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Q" sheetId="1" r:id="rId5"/>
    <sheet state="visible" name="A.M" sheetId="2" r:id="rId6"/>
    <sheet state="visible" name="A.IL" sheetId="3" r:id="rId7"/>
    <sheet state="visible" name="A.S" sheetId="4" r:id="rId8"/>
    <sheet state="visible" name="Kp" sheetId="5" r:id="rId9"/>
    <sheet state="visible" name="Ks" sheetId="6" r:id="rId10"/>
    <sheet state="visible" name="W.S" sheetId="7" r:id="rId11"/>
    <sheet state="visible" name="W.O" sheetId="8" r:id="rId12"/>
    <sheet state="visible" name="R.H" sheetId="9" r:id="rId13"/>
    <sheet state="visible" name="TL" sheetId="10" r:id="rId14"/>
    <sheet state="visible" name="Cdgn" sheetId="11" r:id="rId15"/>
    <sheet state="visible" name="DTrma" sheetId="12" r:id="rId16"/>
    <sheet state="visible" name="MTsPa" sheetId="13" r:id="rId17"/>
    <sheet state="visible" name="MTsPi" sheetId="14" r:id="rId18"/>
    <sheet state="visible" name="ILPa" sheetId="15" r:id="rId19"/>
    <sheet state="visible" name="ILPi" sheetId="16" r:id="rId20"/>
    <sheet state="visible" name="SMA" sheetId="17" r:id="rId21"/>
    <sheet state="visible" name="IL" sheetId="18" r:id="rId22"/>
    <sheet state="visible" name="REKAP TOTAL" sheetId="19" r:id="rId23"/>
  </sheets>
  <definedNames>
    <definedName hidden="1" localSheetId="0" name="_xlnm._FilterDatabase">AQ!$A$1:$I$62</definedName>
    <definedName hidden="1" localSheetId="6" name="_xlnm._FilterDatabase">W.S!$A$1:$Y$16</definedName>
    <definedName hidden="1" localSheetId="7" name="_xlnm._FilterDatabase">W.O!$A$1:$V$60</definedName>
    <definedName hidden="1" localSheetId="8" name="_xlnm._FilterDatabase">R.H!$A$1:$U$120</definedName>
    <definedName hidden="1" localSheetId="10" name="_xlnm._FilterDatabase">Cdgn!$A$1:$C$26</definedName>
    <definedName hidden="1" localSheetId="11" name="_xlnm._FilterDatabase">DTrma!$A$1:$H$56</definedName>
  </definedNames>
  <calcPr/>
</workbook>
</file>

<file path=xl/sharedStrings.xml><?xml version="1.0" encoding="utf-8"?>
<sst xmlns="http://schemas.openxmlformats.org/spreadsheetml/2006/main" count="2551" uniqueCount="114">
  <si>
    <t>Nama</t>
  </si>
  <si>
    <t>Nomor Pendaftaran</t>
  </si>
  <si>
    <t>Jenjang</t>
  </si>
  <si>
    <t>Nilai Tajwid</t>
  </si>
  <si>
    <t>Nilai Kelancaran</t>
  </si>
  <si>
    <t>Rekomendasi</t>
  </si>
  <si>
    <t>Nama Penguji</t>
  </si>
  <si>
    <t>Catatan</t>
  </si>
  <si>
    <t>Nilai Rerata</t>
  </si>
  <si>
    <t>PAI</t>
  </si>
  <si>
    <t>Bahasa Indonesia</t>
  </si>
  <si>
    <t>IPA</t>
  </si>
  <si>
    <t>Matematika</t>
  </si>
  <si>
    <t>Tanggal</t>
  </si>
  <si>
    <t>Nama Lengkap</t>
  </si>
  <si>
    <t>No. Pendaftaran</t>
  </si>
  <si>
    <t>Kejujuran</t>
  </si>
  <si>
    <t>Nilai</t>
  </si>
  <si>
    <t>B. Ind</t>
  </si>
  <si>
    <t>MTK</t>
  </si>
  <si>
    <t>Jawaban</t>
  </si>
  <si>
    <t>Tanggal Tes Seleksi</t>
  </si>
  <si>
    <t>Siap</t>
  </si>
  <si>
    <t>|</t>
  </si>
  <si>
    <t>Jumlah</t>
  </si>
  <si>
    <t>Motivasi Berprestasi</t>
  </si>
  <si>
    <t>Kepatuhan</t>
  </si>
  <si>
    <t>Kemandirian</t>
  </si>
  <si>
    <t>Mampu Bertahan Lama</t>
  </si>
  <si>
    <t>Keterbukaan</t>
  </si>
  <si>
    <t>Dominansi</t>
  </si>
  <si>
    <t>Ketergantungan</t>
  </si>
  <si>
    <t>Ingin Menonjolkan Diri</t>
  </si>
  <si>
    <t>Kecenderungan Seksual</t>
  </si>
  <si>
    <t>Agresivitas</t>
  </si>
  <si>
    <t>Total</t>
  </si>
  <si>
    <t>A</t>
  </si>
  <si>
    <t>B</t>
  </si>
  <si>
    <t>A+B</t>
  </si>
  <si>
    <t>Belum Siap</t>
  </si>
  <si>
    <t>butuh bimbingan intensif</t>
  </si>
  <si>
    <t>Cukup Siap</t>
  </si>
  <si>
    <t>perlu pendampingan awal</t>
  </si>
  <si>
    <t>bisa mengikuti pola pesantren dengan baik</t>
  </si>
  <si>
    <t>Jumlah Skor</t>
  </si>
  <si>
    <t>Nama Calon Santri/Wati</t>
  </si>
  <si>
    <t>Nama Audiens/Orangtua calon Santri/Wati</t>
  </si>
  <si>
    <t>Jenjang Pendidikan</t>
  </si>
  <si>
    <t>Sumber Informasi</t>
  </si>
  <si>
    <t>Kategori</t>
  </si>
  <si>
    <t>Karakter</t>
  </si>
  <si>
    <t>Pakta dan Surat Pernyataan</t>
  </si>
  <si>
    <t>Rekomendasi Pewawancara</t>
  </si>
  <si>
    <t>Pewawancara</t>
  </si>
  <si>
    <t>Catatan Pewawancara (opsional)</t>
  </si>
  <si>
    <t>Al Quran</t>
  </si>
  <si>
    <t>Akademik MTs</t>
  </si>
  <si>
    <t>Akademik IL</t>
  </si>
  <si>
    <t>Akademik SMA</t>
  </si>
  <si>
    <t>Tes Kepribadian</t>
  </si>
  <si>
    <t>Wawancara Calsan</t>
  </si>
  <si>
    <t>Kesiapan</t>
  </si>
  <si>
    <t>Wawancara Ortu</t>
  </si>
  <si>
    <t>Keputusan Rapat</t>
  </si>
  <si>
    <t>Keterangan</t>
  </si>
  <si>
    <t>NQ</t>
  </si>
  <si>
    <t>NA</t>
  </si>
  <si>
    <t>NKp</t>
  </si>
  <si>
    <t>NWc</t>
  </si>
  <si>
    <t>NKs</t>
  </si>
  <si>
    <t>kecenderungan seksual</t>
  </si>
  <si>
    <t>TIDAK LULUS</t>
  </si>
  <si>
    <t>Diterima</t>
  </si>
  <si>
    <t>LULUS</t>
  </si>
  <si>
    <t>CADANGAN</t>
  </si>
  <si>
    <t>ketergantungan sangat tinggi</t>
  </si>
  <si>
    <t>DITERIMA DI IL</t>
  </si>
  <si>
    <t>Al Quran dan Akademik</t>
  </si>
  <si>
    <t>Nilai Akademik</t>
  </si>
  <si>
    <t>DITERIMA DI K8</t>
  </si>
  <si>
    <t>dominasi dan agresivitas</t>
  </si>
  <si>
    <t>Al-Quran</t>
  </si>
  <si>
    <t>Menunggu Tes Hafalan</t>
  </si>
  <si>
    <t>wawancara ulang</t>
  </si>
  <si>
    <t>Hafalan dan Nilai Akademik</t>
  </si>
  <si>
    <t>ketergantungan, seksual, agresivitas</t>
  </si>
  <si>
    <t>Al-Quran tidak lulus</t>
  </si>
  <si>
    <t>Hafalan dan Akademik</t>
  </si>
  <si>
    <t>Akademik, Al Quran</t>
  </si>
  <si>
    <t>Akademik</t>
  </si>
  <si>
    <t>NP</t>
  </si>
  <si>
    <t>MTs Putra</t>
  </si>
  <si>
    <t>IL Putra</t>
  </si>
  <si>
    <t>SMA</t>
  </si>
  <si>
    <t>MTs Putri</t>
  </si>
  <si>
    <t/>
  </si>
  <si>
    <t>IL Putri</t>
  </si>
  <si>
    <t>Kepribadian</t>
  </si>
  <si>
    <t>Kesesuaian</t>
  </si>
  <si>
    <t>KETERANGAN</t>
  </si>
  <si>
    <t>masuk tahun 2526</t>
  </si>
  <si>
    <t>Jumlah Pendaftar</t>
  </si>
  <si>
    <t>Selesai Semua Tes</t>
  </si>
  <si>
    <t>Diterima MTs Putra</t>
  </si>
  <si>
    <t>Diterima MTs Putri</t>
  </si>
  <si>
    <t>Diterima IL Putra</t>
  </si>
  <si>
    <t>Diterima IL Putri</t>
  </si>
  <si>
    <t>Diterima SMA K10 Putra</t>
  </si>
  <si>
    <t>Cadangan</t>
  </si>
  <si>
    <t>Tidak Lulus</t>
  </si>
  <si>
    <t>SMA diterima di IL</t>
  </si>
  <si>
    <t>Peserta Tes PDB PUAS</t>
  </si>
  <si>
    <t>Wawancara Santri</t>
  </si>
  <si>
    <t>Wawancara Orang Tua</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</si>
</sst>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h:mm:ss"/>
    <numFmt numFmtId="165" formatCode="&quot;Rp&quot;#,##0.00"/>
    <numFmt numFmtId="166" formatCode="dd/mm/yyyy h:mm:ss"/>
    <numFmt numFmtId="167" formatCode="dd/mm/yyyy h:mm"/>
  </numFmts>
  <fonts count="18">
    <font>
      <sz val="10.0"/>
      <color rgb="FF000000"/>
      <name val="Arial"/>
      <scheme val="minor"/>
    </font>
    <font>
      <color theme="1"/>
      <name val="Arial"/>
      <scheme val="minor"/>
    </font>
    <font>
      <color theme="1"/>
      <name val="Arial"/>
    </font>
    <font>
      <sz val="11.0"/>
      <color rgb="FF000000"/>
      <name val="&quot;Times New Roman&quot;"/>
    </font>
    <font/>
    <font>
      <b/>
      <sz val="11.0"/>
      <color rgb="FF000000"/>
      <name val="&quot;Times New Roman&quot;"/>
    </font>
    <font>
      <sz val="12.0"/>
      <color rgb="FF000000"/>
      <name val="&quot;Times New Roman&quot;"/>
    </font>
    <font>
      <color rgb="FF000000"/>
      <name val="Arial"/>
    </font>
    <font>
      <sz val="12.0"/>
      <color theme="1"/>
      <name val="Cambria"/>
    </font>
    <font>
      <b/>
      <sz val="12.0"/>
      <color rgb="FF000000"/>
      <name val="&quot;Times New Roman&quot;"/>
    </font>
    <font>
      <sz val="12.0"/>
      <color rgb="FFFFFFFF"/>
      <name val="&quot;Times New Roman&quot;"/>
    </font>
    <font>
      <sz val="12.0"/>
      <color theme="1"/>
      <name val="&quot;Times New Roman&quot;"/>
    </font>
    <font>
      <color rgb="FF000000"/>
      <name val="&quot;Bahnschrift Light&quot;"/>
    </font>
    <font>
      <sz val="11.0"/>
      <color theme="1"/>
      <name val="Calibri"/>
    </font>
    <font>
      <color rgb="FF333333"/>
      <name val="FreeSerif"/>
    </font>
    <font>
      <b/>
      <color theme="1"/>
      <name val="Arial"/>
      <scheme val="minor"/>
    </font>
    <font>
      <b/>
      <color rgb="FFFF0000"/>
      <name val="Arial"/>
      <scheme val="minor"/>
    </font>
    <font>
      <color rgb="FFFF0000"/>
      <name val="Arial"/>
      <scheme val="minor"/>
    </font>
  </fonts>
  <fills count="14">
    <fill>
      <patternFill patternType="none"/>
    </fill>
    <fill>
      <patternFill patternType="lightGray"/>
    </fill>
    <fill>
      <patternFill patternType="solid">
        <fgColor rgb="FFFF0000"/>
        <bgColor rgb="FFFF0000"/>
      </patternFill>
    </fill>
    <fill>
      <patternFill patternType="solid">
        <fgColor theme="0"/>
        <bgColor theme="0"/>
      </patternFill>
    </fill>
    <fill>
      <patternFill patternType="solid">
        <fgColor rgb="FF00FFFF"/>
        <bgColor rgb="FF00FFFF"/>
      </patternFill>
    </fill>
    <fill>
      <patternFill patternType="solid">
        <fgColor rgb="FFF4B083"/>
        <bgColor rgb="FFF4B083"/>
      </patternFill>
    </fill>
    <fill>
      <patternFill patternType="solid">
        <fgColor rgb="FF00FF00"/>
        <bgColor rgb="FF00FF00"/>
      </patternFill>
    </fill>
    <fill>
      <patternFill patternType="solid">
        <fgColor rgb="FFFFFF00"/>
        <bgColor rgb="FFFFFF00"/>
      </patternFill>
    </fill>
    <fill>
      <patternFill patternType="solid">
        <fgColor rgb="FF34A853"/>
        <bgColor rgb="FF34A853"/>
      </patternFill>
    </fill>
    <fill>
      <patternFill patternType="solid">
        <fgColor theme="7"/>
        <bgColor theme="7"/>
      </patternFill>
    </fill>
    <fill>
      <patternFill patternType="solid">
        <fgColor rgb="FFFF9900"/>
        <bgColor rgb="FFFF9900"/>
      </patternFill>
    </fill>
    <fill>
      <patternFill patternType="solid">
        <fgColor theme="5"/>
        <bgColor theme="5"/>
      </patternFill>
    </fill>
    <fill>
      <patternFill patternType="solid">
        <fgColor rgb="FFB6D7A8"/>
        <bgColor rgb="FFB6D7A8"/>
      </patternFill>
    </fill>
    <fill>
      <patternFill patternType="solid">
        <fgColor theme="9"/>
        <bgColor theme="9"/>
      </patternFill>
    </fill>
  </fills>
  <borders count="1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ttom style="thin">
        <color rgb="FF000000"/>
      </bottom>
    </border>
    <border>
      <left style="thin">
        <color rgb="FF000000"/>
      </left>
      <right style="thin">
        <color rgb="FF000000"/>
      </right>
      <bottom style="thin">
        <color rgb="FF000000"/>
      </bottom>
    </border>
    <border>
      <left style="thin">
        <color rgb="FF00B0F0"/>
      </left>
      <top style="thin">
        <color rgb="FF00B0F0"/>
      </top>
      <bottom style="thin">
        <color rgb="FF00B0F0"/>
      </bottom>
    </border>
    <border>
      <top style="thin">
        <color rgb="FF00B0F0"/>
      </top>
      <bottom style="thin">
        <color rgb="FF00B0F0"/>
      </bottom>
    </border>
    <border>
      <right style="thin">
        <color rgb="FF00B0F0"/>
      </right>
      <top style="thin">
        <color rgb="FF00B0F0"/>
      </top>
      <bottom style="thin">
        <color rgb="FF00B0F0"/>
      </bottom>
    </border>
    <border>
      <left style="thin">
        <color rgb="FF00B0F0"/>
      </left>
      <right style="thin">
        <color rgb="FF00B0F0"/>
      </right>
      <top style="thin">
        <color rgb="FF00B0F0"/>
      </top>
      <bottom style="thin">
        <color rgb="FF00B0F0"/>
      </bottom>
    </border>
    <border>
      <left style="thin">
        <color rgb="FF0070C0"/>
      </left>
      <right style="thin">
        <color rgb="FF0070C0"/>
      </right>
      <top style="thin">
        <color rgb="FF0070C0"/>
      </top>
      <bottom style="thin">
        <color rgb="FF0070C0"/>
      </bottom>
    </border>
    <border>
      <left style="thin">
        <color rgb="FF0070C0"/>
      </left>
      <top style="thin">
        <color rgb="FF0070C0"/>
      </top>
      <bottom style="thin">
        <color rgb="FF0070C0"/>
      </bottom>
    </border>
    <border>
      <left style="thin">
        <color rgb="FF000000"/>
      </left>
      <right style="thin">
        <color rgb="FF000000"/>
      </right>
    </border>
  </borders>
  <cellStyleXfs count="1">
    <xf borderId="0" fillId="0" fontId="0" numFmtId="0" applyAlignment="1" applyFont="1"/>
  </cellStyleXfs>
  <cellXfs count="219">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1" numFmtId="0" xfId="0" applyAlignment="1" applyBorder="1" applyFont="1">
      <alignment horizontal="center" readingOrder="0" shrinkToFit="0" vertical="center" wrapText="1"/>
    </xf>
    <xf borderId="0" fillId="0" fontId="1" numFmtId="0" xfId="0" applyAlignment="1" applyFont="1">
      <alignment horizontal="center" vertical="center"/>
    </xf>
    <xf borderId="1" fillId="0" fontId="2" numFmtId="0" xfId="0" applyBorder="1" applyFont="1"/>
    <xf borderId="1" fillId="0" fontId="1" numFmtId="0" xfId="0" applyBorder="1" applyFont="1"/>
    <xf borderId="1" fillId="0" fontId="1" numFmtId="0" xfId="0" applyAlignment="1" applyBorder="1" applyFont="1">
      <alignment shrinkToFit="0" wrapText="1"/>
    </xf>
    <xf borderId="0" fillId="0" fontId="1" numFmtId="0" xfId="0" applyFont="1"/>
    <xf borderId="0" fillId="0" fontId="1" numFmtId="0" xfId="0" applyAlignment="1" applyFont="1">
      <alignment shrinkToFit="0" wrapText="1"/>
    </xf>
    <xf borderId="0" fillId="2" fontId="1" numFmtId="0" xfId="0" applyFill="1" applyFont="1"/>
    <xf borderId="0" fillId="2" fontId="1" numFmtId="0" xfId="0" applyAlignment="1" applyFont="1">
      <alignment shrinkToFit="0" wrapText="1"/>
    </xf>
    <xf borderId="1" fillId="2" fontId="1" numFmtId="0" xfId="0" applyBorder="1" applyFont="1"/>
    <xf borderId="1" fillId="3" fontId="1" numFmtId="0" xfId="0" applyBorder="1" applyFill="1" applyFont="1"/>
    <xf borderId="0" fillId="4" fontId="1" numFmtId="0" xfId="0" applyFill="1" applyFont="1"/>
    <xf borderId="0" fillId="4" fontId="1" numFmtId="0" xfId="0" applyAlignment="1" applyFont="1">
      <alignment shrinkToFit="0" wrapText="1"/>
    </xf>
    <xf borderId="1" fillId="4" fontId="1" numFmtId="0" xfId="0" applyBorder="1" applyFont="1"/>
    <xf borderId="1" fillId="5" fontId="3" numFmtId="0" xfId="0" applyAlignment="1" applyBorder="1" applyFill="1" applyFont="1">
      <alignment horizontal="center" shrinkToFit="0" wrapText="0"/>
    </xf>
    <xf borderId="1" fillId="5" fontId="3" numFmtId="0" xfId="0" applyAlignment="1" applyBorder="1" applyFont="1">
      <alignment shrinkToFit="0" wrapText="0"/>
    </xf>
    <xf borderId="1" fillId="5" fontId="3" numFmtId="0" xfId="0" applyAlignment="1" applyBorder="1" applyFont="1">
      <alignment horizontal="center" readingOrder="0" shrinkToFit="0" wrapText="0"/>
    </xf>
    <xf borderId="2" fillId="5" fontId="3" numFmtId="0" xfId="0" applyAlignment="1" applyBorder="1" applyFont="1">
      <alignment horizontal="center" readingOrder="0" shrinkToFit="0" wrapText="0"/>
    </xf>
    <xf borderId="3" fillId="0" fontId="4" numFmtId="0" xfId="0" applyBorder="1" applyFont="1"/>
    <xf borderId="4" fillId="0" fontId="4" numFmtId="0" xfId="0" applyBorder="1" applyFont="1"/>
    <xf borderId="0" fillId="0" fontId="3" numFmtId="0" xfId="0" applyAlignment="1" applyFont="1">
      <alignment shrinkToFit="0" wrapText="0"/>
    </xf>
    <xf borderId="0" fillId="0" fontId="3" numFmtId="0" xfId="0" applyAlignment="1" applyFont="1">
      <alignment horizontal="center" shrinkToFit="0" wrapText="0"/>
    </xf>
    <xf borderId="1" fillId="5" fontId="3" numFmtId="0" xfId="0" applyAlignment="1" applyBorder="1" applyFont="1">
      <alignment horizontal="center" readingOrder="0" shrinkToFit="0" wrapText="1"/>
    </xf>
    <xf borderId="1" fillId="5" fontId="5" numFmtId="0" xfId="0" applyAlignment="1" applyBorder="1" applyFont="1">
      <alignment horizontal="center" readingOrder="0" shrinkToFit="0" wrapText="0"/>
    </xf>
    <xf borderId="0" fillId="0" fontId="3" numFmtId="0" xfId="0" applyAlignment="1" applyFont="1">
      <alignment horizontal="center" readingOrder="0" shrinkToFit="0" wrapText="0"/>
    </xf>
    <xf borderId="1" fillId="0" fontId="3" numFmtId="0" xfId="0" applyAlignment="1" applyBorder="1" applyFont="1">
      <alignment horizontal="center" shrinkToFit="0" wrapText="0"/>
    </xf>
    <xf borderId="1" fillId="0" fontId="3" numFmtId="0" xfId="0" applyAlignment="1" applyBorder="1" applyFont="1">
      <alignment horizontal="center" readingOrder="0" shrinkToFit="0" wrapText="0"/>
    </xf>
    <xf borderId="1" fillId="0" fontId="5" numFmtId="0" xfId="0" applyAlignment="1" applyBorder="1" applyFont="1">
      <alignment horizontal="center" readingOrder="0" shrinkToFit="0" wrapText="0"/>
    </xf>
    <xf borderId="0" fillId="0" fontId="6" numFmtId="0" xfId="0" applyAlignment="1" applyFont="1">
      <alignment horizontal="right" readingOrder="0" shrinkToFit="0" wrapText="0"/>
    </xf>
    <xf borderId="1" fillId="0" fontId="3" numFmtId="164" xfId="0" applyAlignment="1" applyBorder="1" applyFont="1" applyNumberFormat="1">
      <alignment horizontal="center" shrinkToFit="0" wrapText="0"/>
    </xf>
    <xf borderId="1" fillId="0" fontId="3" numFmtId="0" xfId="0" applyAlignment="1" applyBorder="1" applyFont="1">
      <alignment shrinkToFit="0" wrapText="0"/>
    </xf>
    <xf borderId="1" fillId="0" fontId="3" numFmtId="3" xfId="0" applyAlignment="1" applyBorder="1" applyFont="1" applyNumberFormat="1">
      <alignment shrinkToFit="0" wrapText="0"/>
    </xf>
    <xf borderId="1" fillId="0" fontId="7" numFmtId="0" xfId="0" applyAlignment="1" applyBorder="1" applyFont="1">
      <alignment vertical="bottom"/>
    </xf>
    <xf borderId="1" fillId="0" fontId="8" numFmtId="0" xfId="0" applyAlignment="1" applyBorder="1" applyFont="1">
      <alignment horizontal="center" shrinkToFit="0" wrapText="0"/>
    </xf>
    <xf borderId="1" fillId="0" fontId="6" numFmtId="0" xfId="0" applyAlignment="1" applyBorder="1" applyFont="1">
      <alignment shrinkToFit="0" vertical="bottom" wrapText="0"/>
    </xf>
    <xf borderId="1" fillId="0" fontId="6" numFmtId="3" xfId="0" applyAlignment="1" applyBorder="1" applyFont="1" applyNumberFormat="1">
      <alignment shrinkToFit="0" vertical="bottom" wrapText="0"/>
    </xf>
    <xf borderId="1" fillId="0" fontId="2" numFmtId="164" xfId="0" applyAlignment="1" applyBorder="1" applyFont="1" applyNumberFormat="1">
      <alignment vertical="bottom"/>
    </xf>
    <xf borderId="1" fillId="0" fontId="2" numFmtId="0" xfId="0" applyAlignment="1" applyBorder="1" applyFont="1">
      <alignment vertical="bottom"/>
    </xf>
    <xf borderId="1" fillId="0" fontId="2" numFmtId="0" xfId="0" applyAlignment="1" applyBorder="1" applyFont="1">
      <alignment horizontal="center" vertical="bottom"/>
    </xf>
    <xf borderId="1" fillId="0" fontId="2" numFmtId="0" xfId="0" applyAlignment="1" applyBorder="1" applyFont="1">
      <alignment horizontal="right" vertical="bottom"/>
    </xf>
    <xf borderId="1" fillId="6" fontId="3" numFmtId="164" xfId="0" applyAlignment="1" applyBorder="1" applyFill="1" applyFont="1" applyNumberFormat="1">
      <alignment horizontal="center" shrinkToFit="0" wrapText="0"/>
    </xf>
    <xf borderId="1" fillId="6" fontId="3" numFmtId="0" xfId="0" applyAlignment="1" applyBorder="1" applyFont="1">
      <alignment shrinkToFit="0" wrapText="0"/>
    </xf>
    <xf borderId="1" fillId="6" fontId="3" numFmtId="0" xfId="0" applyAlignment="1" applyBorder="1" applyFont="1">
      <alignment horizontal="center" shrinkToFit="0" wrapText="0"/>
    </xf>
    <xf borderId="1" fillId="6" fontId="3" numFmtId="0" xfId="0" applyAlignment="1" applyBorder="1" applyFont="1">
      <alignment horizontal="center" readingOrder="0" shrinkToFit="0" wrapText="0"/>
    </xf>
    <xf borderId="1" fillId="6" fontId="5" numFmtId="0" xfId="0" applyAlignment="1" applyBorder="1" applyFont="1">
      <alignment horizontal="center" readingOrder="0" shrinkToFit="0" wrapText="0"/>
    </xf>
    <xf borderId="0" fillId="6" fontId="3" numFmtId="0" xfId="0" applyAlignment="1" applyFont="1">
      <alignment shrinkToFit="0" wrapText="0"/>
    </xf>
    <xf borderId="0" fillId="6" fontId="3" numFmtId="0" xfId="0" applyAlignment="1" applyFont="1">
      <alignment horizontal="center" readingOrder="0" shrinkToFit="0" wrapText="0"/>
    </xf>
    <xf borderId="0" fillId="6" fontId="6" numFmtId="0" xfId="0" applyAlignment="1" applyFont="1">
      <alignment horizontal="right" readingOrder="0" shrinkToFit="0" wrapText="0"/>
    </xf>
    <xf borderId="0" fillId="0" fontId="1" numFmtId="0" xfId="0" applyAlignment="1" applyFont="1">
      <alignment horizontal="center"/>
    </xf>
    <xf borderId="1" fillId="7" fontId="6" numFmtId="0" xfId="0" applyAlignment="1" applyBorder="1" applyFill="1" applyFont="1">
      <alignment horizontal="center" shrinkToFit="0" wrapText="0"/>
    </xf>
    <xf borderId="1" fillId="7" fontId="6" numFmtId="0" xfId="0" applyAlignment="1" applyBorder="1" applyFont="1">
      <alignment shrinkToFit="0" wrapText="0"/>
    </xf>
    <xf borderId="3" fillId="7" fontId="6" numFmtId="0" xfId="0" applyAlignment="1" applyBorder="1" applyFont="1">
      <alignment shrinkToFit="0" wrapText="0"/>
    </xf>
    <xf borderId="2" fillId="7" fontId="6" numFmtId="0" xfId="0" applyAlignment="1" applyBorder="1" applyFont="1">
      <alignment horizontal="center" readingOrder="0" shrinkToFit="0" wrapText="0"/>
    </xf>
    <xf borderId="3" fillId="7" fontId="6" numFmtId="0" xfId="0" applyAlignment="1" applyBorder="1" applyFont="1">
      <alignment horizontal="center" readingOrder="0" shrinkToFit="0" wrapText="0"/>
    </xf>
    <xf borderId="0" fillId="0" fontId="6" numFmtId="0" xfId="0" applyAlignment="1" applyFont="1">
      <alignment shrinkToFit="0" wrapText="0"/>
    </xf>
    <xf borderId="5" fillId="0" fontId="6" numFmtId="0" xfId="0" applyAlignment="1" applyBorder="1" applyFont="1">
      <alignment horizontal="center" readingOrder="0" shrinkToFit="0" wrapText="0"/>
    </xf>
    <xf borderId="1" fillId="7" fontId="6" numFmtId="0" xfId="0" applyAlignment="1" applyBorder="1" applyFont="1">
      <alignment horizontal="center" readingOrder="0" shrinkToFit="0" wrapText="0"/>
    </xf>
    <xf borderId="1" fillId="7" fontId="6" numFmtId="0" xfId="0" applyAlignment="1" applyBorder="1" applyFont="1">
      <alignment horizontal="left" readingOrder="0" shrinkToFit="0" wrapText="0"/>
    </xf>
    <xf borderId="1" fillId="7" fontId="6" numFmtId="0" xfId="0" applyAlignment="1" applyBorder="1" applyFont="1">
      <alignment horizontal="right" readingOrder="0" shrinkToFit="0" wrapText="0"/>
    </xf>
    <xf borderId="1" fillId="7" fontId="6" numFmtId="0" xfId="0" applyAlignment="1" applyBorder="1" applyFont="1">
      <alignment horizontal="right" readingOrder="0"/>
    </xf>
    <xf borderId="6" fillId="7" fontId="6" numFmtId="0" xfId="0" applyAlignment="1" applyBorder="1" applyFont="1">
      <alignment horizontal="center" readingOrder="0" shrinkToFit="0" wrapText="0"/>
    </xf>
    <xf borderId="1" fillId="7" fontId="9" numFmtId="0" xfId="0" applyAlignment="1" applyBorder="1" applyFont="1">
      <alignment horizontal="center" readingOrder="0" shrinkToFit="0" wrapText="0"/>
    </xf>
    <xf borderId="7" fillId="0" fontId="4" numFmtId="0" xfId="0" applyBorder="1" applyFont="1"/>
    <xf borderId="1" fillId="0" fontId="6" numFmtId="164" xfId="0" applyAlignment="1" applyBorder="1" applyFont="1" applyNumberFormat="1">
      <alignment shrinkToFit="0" wrapText="0"/>
    </xf>
    <xf borderId="1" fillId="0" fontId="2" numFmtId="165" xfId="0" applyAlignment="1" applyBorder="1" applyFont="1" applyNumberFormat="1">
      <alignment horizontal="right" vertical="bottom"/>
    </xf>
    <xf borderId="0" fillId="0" fontId="6" numFmtId="0" xfId="0" applyAlignment="1" applyFont="1">
      <alignment horizontal="center" readingOrder="0" shrinkToFit="0" wrapText="0"/>
    </xf>
    <xf borderId="0" fillId="0" fontId="9" numFmtId="0" xfId="0" applyAlignment="1" applyFont="1">
      <alignment horizontal="center" readingOrder="0" shrinkToFit="0" wrapText="0"/>
    </xf>
    <xf borderId="1" fillId="0" fontId="6" numFmtId="0" xfId="0" applyAlignment="1" applyBorder="1" applyFont="1">
      <alignment shrinkToFit="0" wrapText="0"/>
    </xf>
    <xf borderId="1" fillId="0" fontId="6" numFmtId="165" xfId="0" applyAlignment="1" applyBorder="1" applyFont="1" applyNumberFormat="1">
      <alignment shrinkToFit="0" wrapText="0"/>
    </xf>
    <xf borderId="1" fillId="0" fontId="8" numFmtId="0" xfId="0" applyAlignment="1" applyBorder="1" applyFont="1">
      <alignment shrinkToFit="0" wrapText="0"/>
    </xf>
    <xf borderId="1" fillId="6" fontId="6" numFmtId="164" xfId="0" applyAlignment="1" applyBorder="1" applyFont="1" applyNumberFormat="1">
      <alignment shrinkToFit="0" wrapText="0"/>
    </xf>
    <xf borderId="1" fillId="6" fontId="6" numFmtId="0" xfId="0" applyAlignment="1" applyBorder="1" applyFont="1">
      <alignment shrinkToFit="0" wrapText="0"/>
    </xf>
    <xf borderId="1" fillId="6" fontId="6" numFmtId="165" xfId="0" applyAlignment="1" applyBorder="1" applyFont="1" applyNumberFormat="1">
      <alignment shrinkToFit="0" wrapText="0"/>
    </xf>
    <xf borderId="0" fillId="6" fontId="6" numFmtId="0" xfId="0" applyAlignment="1" applyFont="1">
      <alignment horizontal="center" readingOrder="0" shrinkToFit="0" wrapText="0"/>
    </xf>
    <xf borderId="0" fillId="6" fontId="9" numFmtId="0" xfId="0" applyAlignment="1" applyFont="1">
      <alignment horizontal="center" readingOrder="0" shrinkToFit="0" wrapText="0"/>
    </xf>
    <xf borderId="0" fillId="6" fontId="6" numFmtId="0" xfId="0" applyAlignment="1" applyFont="1">
      <alignment shrinkToFit="0" wrapText="0"/>
    </xf>
    <xf borderId="5" fillId="0" fontId="6" numFmtId="0" xfId="0" applyAlignment="1" applyBorder="1" applyFont="1">
      <alignment horizontal="center" readingOrder="0" shrinkToFit="0" wrapText="1"/>
    </xf>
    <xf borderId="1" fillId="0" fontId="6" numFmtId="0" xfId="0" applyAlignment="1" applyBorder="1" applyFont="1">
      <alignment horizontal="center"/>
    </xf>
    <xf borderId="0" fillId="2" fontId="10" numFmtId="0" xfId="0" applyAlignment="1" applyFont="1">
      <alignment horizontal="center" readingOrder="0"/>
    </xf>
    <xf borderId="0" fillId="0" fontId="6" numFmtId="0" xfId="0" applyAlignment="1" applyFont="1">
      <alignment horizontal="center"/>
    </xf>
    <xf borderId="0" fillId="2" fontId="6" numFmtId="0" xfId="0" applyAlignment="1" applyFont="1">
      <alignment horizontal="center"/>
    </xf>
    <xf borderId="8" fillId="0" fontId="6" numFmtId="0" xfId="0" applyAlignment="1" applyBorder="1" applyFont="1">
      <alignment horizontal="center" readingOrder="0"/>
    </xf>
    <xf borderId="9" fillId="0" fontId="4" numFmtId="0" xfId="0" applyBorder="1" applyFont="1"/>
    <xf borderId="10" fillId="0" fontId="4" numFmtId="0" xfId="0" applyBorder="1" applyFont="1"/>
    <xf borderId="1" fillId="0" fontId="6" numFmtId="0" xfId="0" applyAlignment="1" applyBorder="1" applyFont="1">
      <alignment horizontal="center" readingOrder="0" textRotation="90"/>
    </xf>
    <xf borderId="1" fillId="0" fontId="6" numFmtId="0" xfId="0" applyAlignment="1" applyBorder="1" applyFont="1">
      <alignment horizontal="center" readingOrder="0"/>
    </xf>
    <xf borderId="1" fillId="0" fontId="9" numFmtId="0" xfId="0" applyAlignment="1" applyBorder="1" applyFont="1">
      <alignment horizontal="center" readingOrder="0" shrinkToFit="0" wrapText="0"/>
    </xf>
    <xf borderId="0" fillId="2" fontId="10" numFmtId="0" xfId="0" applyAlignment="1" applyFont="1">
      <alignment horizontal="center" readingOrder="0" shrinkToFit="0" wrapText="0"/>
    </xf>
    <xf borderId="11" fillId="0" fontId="9" numFmtId="0" xfId="0" applyAlignment="1" applyBorder="1" applyFont="1">
      <alignment horizontal="center" readingOrder="0" shrinkToFit="0" wrapText="0"/>
    </xf>
    <xf borderId="0" fillId="2" fontId="9" numFmtId="0" xfId="0" applyAlignment="1" applyFont="1">
      <alignment horizontal="center" shrinkToFit="0" wrapText="0"/>
    </xf>
    <xf borderId="0" fillId="0" fontId="9" numFmtId="0" xfId="0" applyAlignment="1" applyFont="1">
      <alignment horizontal="center" shrinkToFit="0" wrapText="0"/>
    </xf>
    <xf borderId="1" fillId="0" fontId="9" numFmtId="0" xfId="0" applyAlignment="1" applyBorder="1" applyFont="1">
      <alignment horizontal="center" shrinkToFit="0" wrapText="0"/>
    </xf>
    <xf borderId="1" fillId="0" fontId="11" numFmtId="166" xfId="0" applyAlignment="1" applyBorder="1" applyFont="1" applyNumberFormat="1">
      <alignment horizontal="center" readingOrder="0" vertical="bottom"/>
    </xf>
    <xf borderId="1" fillId="0" fontId="11" numFmtId="0" xfId="0" applyAlignment="1" applyBorder="1" applyFont="1">
      <alignment horizontal="left" readingOrder="0" vertical="bottom"/>
    </xf>
    <xf borderId="1" fillId="0" fontId="11" numFmtId="0" xfId="0" applyAlignment="1" applyBorder="1" applyFont="1">
      <alignment horizontal="center" readingOrder="0" vertical="bottom"/>
    </xf>
    <xf borderId="11" fillId="0" fontId="6" numFmtId="0" xfId="0" applyAlignment="1" applyBorder="1" applyFont="1">
      <alignment horizontal="center" readingOrder="0" shrinkToFit="0" wrapText="0"/>
    </xf>
    <xf borderId="0" fillId="2" fontId="6" numFmtId="0" xfId="0" applyAlignment="1" applyFont="1">
      <alignment horizontal="center" shrinkToFit="0" wrapText="0"/>
    </xf>
    <xf borderId="0" fillId="0" fontId="6" numFmtId="0" xfId="0" applyAlignment="1" applyFont="1">
      <alignment horizontal="center" shrinkToFit="0" wrapText="0"/>
    </xf>
    <xf borderId="12" fillId="0" fontId="12" numFmtId="0" xfId="0" applyAlignment="1" applyBorder="1" applyFont="1">
      <alignment horizontal="center" readingOrder="0" shrinkToFit="0" wrapText="0"/>
    </xf>
    <xf borderId="13" fillId="0" fontId="12" numFmtId="0" xfId="0" applyAlignment="1" applyBorder="1" applyFont="1">
      <alignment horizontal="center" readingOrder="0" shrinkToFit="0" wrapText="0"/>
    </xf>
    <xf borderId="1" fillId="0" fontId="6" numFmtId="0" xfId="0" applyAlignment="1" applyBorder="1" applyFont="1">
      <alignment horizontal="center" readingOrder="0" shrinkToFit="0" wrapText="0"/>
    </xf>
    <xf borderId="1" fillId="0" fontId="11" numFmtId="164" xfId="0" applyAlignment="1" applyBorder="1" applyFont="1" applyNumberFormat="1">
      <alignment horizontal="center" readingOrder="0" vertical="bottom"/>
    </xf>
    <xf borderId="0" fillId="0" fontId="1" numFmtId="164" xfId="0" applyFont="1" applyNumberFormat="1"/>
    <xf borderId="0" fillId="0" fontId="1" numFmtId="0" xfId="0" applyAlignment="1" applyFont="1">
      <alignment horizontal="left"/>
    </xf>
    <xf borderId="0" fillId="6" fontId="1" numFmtId="164" xfId="0" applyFont="1" applyNumberFormat="1"/>
    <xf borderId="0" fillId="6" fontId="1" numFmtId="0" xfId="0" applyAlignment="1" applyFont="1">
      <alignment horizontal="left"/>
    </xf>
    <xf borderId="0" fillId="6" fontId="1" numFmtId="0" xfId="0" applyFont="1"/>
    <xf borderId="0" fillId="6" fontId="10" numFmtId="0" xfId="0" applyAlignment="1" applyFont="1">
      <alignment horizontal="center" readingOrder="0" shrinkToFit="0" wrapText="0"/>
    </xf>
    <xf borderId="11" fillId="6" fontId="6" numFmtId="0" xfId="0" applyAlignment="1" applyBorder="1" applyFont="1">
      <alignment horizontal="center" readingOrder="0" shrinkToFit="0" wrapText="0"/>
    </xf>
    <xf borderId="0" fillId="6" fontId="6" numFmtId="0" xfId="0" applyAlignment="1" applyFont="1">
      <alignment horizontal="center" shrinkToFit="0" wrapText="0"/>
    </xf>
    <xf borderId="11" fillId="6" fontId="9" numFmtId="0" xfId="0" applyAlignment="1" applyBorder="1" applyFont="1">
      <alignment horizontal="center" readingOrder="0" shrinkToFit="0" wrapText="0"/>
    </xf>
    <xf borderId="12" fillId="6" fontId="12" numFmtId="0" xfId="0" applyAlignment="1" applyBorder="1" applyFont="1">
      <alignment horizontal="center" readingOrder="0" shrinkToFit="0" wrapText="0"/>
    </xf>
    <xf borderId="13" fillId="6" fontId="12" numFmtId="0" xfId="0" applyAlignment="1" applyBorder="1" applyFont="1">
      <alignment horizontal="center" readingOrder="0" shrinkToFit="0" wrapText="0"/>
    </xf>
    <xf borderId="1" fillId="6" fontId="6" numFmtId="0" xfId="0" applyAlignment="1" applyBorder="1" applyFont="1">
      <alignment horizontal="center" readingOrder="0" shrinkToFit="0" wrapText="0"/>
    </xf>
    <xf borderId="1" fillId="0" fontId="2" numFmtId="0" xfId="0" applyAlignment="1" applyBorder="1" applyFont="1">
      <alignment horizontal="center" shrinkToFit="0" vertical="bottom" wrapText="1"/>
    </xf>
    <xf borderId="0" fillId="0" fontId="1" numFmtId="0" xfId="0" applyAlignment="1" applyFont="1">
      <alignment horizontal="center" shrinkToFit="0" wrapText="1"/>
    </xf>
    <xf borderId="0" fillId="0" fontId="1" numFmtId="0" xfId="0" applyAlignment="1" applyFont="1">
      <alignment horizontal="center" readingOrder="0" shrinkToFit="0" wrapText="1"/>
    </xf>
    <xf borderId="1" fillId="0" fontId="13" numFmtId="0" xfId="0" applyAlignment="1" applyBorder="1" applyFont="1">
      <alignment horizontal="center" shrinkToFit="0" wrapText="0"/>
    </xf>
    <xf borderId="0" fillId="0" fontId="13" numFmtId="0" xfId="0" applyFont="1"/>
    <xf borderId="1" fillId="0" fontId="1" numFmtId="0" xfId="0" applyAlignment="1" applyBorder="1" applyFont="1">
      <alignment horizontal="left" readingOrder="0"/>
    </xf>
    <xf borderId="1" fillId="0" fontId="13" numFmtId="0" xfId="0" applyAlignment="1" applyBorder="1" applyFont="1">
      <alignment horizontal="left" readingOrder="0"/>
    </xf>
    <xf borderId="0" fillId="0" fontId="1" numFmtId="164" xfId="0" applyAlignment="1" applyFont="1" applyNumberFormat="1">
      <alignment shrinkToFit="0" wrapText="1"/>
    </xf>
    <xf borderId="0" fillId="6" fontId="1" numFmtId="164" xfId="0" applyAlignment="1" applyFont="1" applyNumberFormat="1">
      <alignment shrinkToFit="0" wrapText="1"/>
    </xf>
    <xf borderId="0" fillId="6" fontId="1" numFmtId="0" xfId="0" applyAlignment="1" applyFont="1">
      <alignment shrinkToFit="0" wrapText="1"/>
    </xf>
    <xf borderId="1" fillId="6" fontId="13" numFmtId="0" xfId="0" applyAlignment="1" applyBorder="1" applyFont="1">
      <alignment horizontal="center" shrinkToFit="0" wrapText="0"/>
    </xf>
    <xf borderId="1" fillId="0" fontId="13" numFmtId="0" xfId="0" applyAlignment="1" applyBorder="1" applyFont="1">
      <alignment horizontal="center" readingOrder="0" shrinkToFit="0" wrapText="0"/>
    </xf>
    <xf borderId="0" fillId="0" fontId="13" numFmtId="0" xfId="0" applyAlignment="1" applyFont="1">
      <alignment horizontal="center"/>
    </xf>
    <xf borderId="0" fillId="0" fontId="13" numFmtId="0" xfId="0" applyAlignment="1" applyFont="1">
      <alignment horizontal="center" shrinkToFit="0" wrapText="0"/>
    </xf>
    <xf borderId="1" fillId="0" fontId="8" numFmtId="164" xfId="0" applyAlignment="1" applyBorder="1" applyFont="1" applyNumberFormat="1">
      <alignment shrinkToFit="0" wrapText="0"/>
    </xf>
    <xf borderId="1" fillId="0" fontId="8" numFmtId="0" xfId="0" applyAlignment="1" applyBorder="1" applyFont="1">
      <alignment shrinkToFit="0" wrapText="1"/>
    </xf>
    <xf borderId="0" fillId="0" fontId="13" numFmtId="0" xfId="0" applyAlignment="1" applyFont="1">
      <alignment horizontal="right" readingOrder="0"/>
    </xf>
    <xf borderId="0" fillId="0" fontId="13" numFmtId="0" xfId="0" applyAlignment="1" applyFont="1">
      <alignment horizontal="right" readingOrder="0" shrinkToFit="0" wrapText="0"/>
    </xf>
    <xf borderId="0" fillId="0" fontId="13" numFmtId="0" xfId="0" applyAlignment="1" applyFont="1">
      <alignment shrinkToFit="0" wrapText="0"/>
    </xf>
    <xf borderId="0" fillId="0" fontId="1" numFmtId="0" xfId="0" applyFont="1"/>
    <xf borderId="1" fillId="0" fontId="2" numFmtId="164" xfId="0" applyAlignment="1" applyBorder="1" applyFont="1" applyNumberFormat="1">
      <alignment shrinkToFit="0" vertical="bottom" wrapText="0"/>
    </xf>
    <xf borderId="1" fillId="0" fontId="2" numFmtId="0" xfId="0" applyAlignment="1" applyBorder="1" applyFont="1">
      <alignment shrinkToFit="0" vertical="bottom" wrapText="0"/>
    </xf>
    <xf borderId="1" fillId="0" fontId="2" numFmtId="0" xfId="0" applyAlignment="1" applyBorder="1" applyFont="1">
      <alignment shrinkToFit="0" vertical="bottom" wrapText="1"/>
    </xf>
    <xf borderId="1" fillId="0" fontId="13" numFmtId="164" xfId="0" applyAlignment="1" applyBorder="1" applyFont="1" applyNumberFormat="1">
      <alignment shrinkToFit="0" wrapText="0"/>
    </xf>
    <xf borderId="1" fillId="0" fontId="13" numFmtId="0" xfId="0" applyAlignment="1" applyBorder="1" applyFont="1">
      <alignment shrinkToFit="0" wrapText="0"/>
    </xf>
    <xf borderId="1" fillId="0" fontId="13" numFmtId="0" xfId="0" applyAlignment="1" applyBorder="1" applyFont="1">
      <alignment shrinkToFit="0" wrapText="1"/>
    </xf>
    <xf borderId="1" fillId="0" fontId="13" numFmtId="0" xfId="0" applyAlignment="1" applyBorder="1" applyFont="1">
      <alignment shrinkToFit="0" wrapText="1"/>
    </xf>
    <xf borderId="1" fillId="0" fontId="13" numFmtId="164" xfId="0" applyBorder="1" applyFont="1" applyNumberFormat="1"/>
    <xf borderId="1" fillId="0" fontId="13" numFmtId="0" xfId="0" applyBorder="1" applyFont="1"/>
    <xf borderId="1" fillId="0" fontId="13" numFmtId="0" xfId="0" applyAlignment="1" applyBorder="1" applyFont="1">
      <alignment shrinkToFit="0" wrapText="0"/>
    </xf>
    <xf borderId="0" fillId="0" fontId="13" numFmtId="164" xfId="0" applyAlignment="1" applyFont="1" applyNumberFormat="1">
      <alignment shrinkToFit="0" wrapText="0"/>
    </xf>
    <xf borderId="0" fillId="0" fontId="13" numFmtId="0" xfId="0" applyAlignment="1" applyFont="1">
      <alignment shrinkToFit="0" wrapText="1"/>
    </xf>
    <xf borderId="1" fillId="6" fontId="8" numFmtId="0" xfId="0" applyAlignment="1" applyBorder="1" applyFont="1">
      <alignment shrinkToFit="0" wrapText="1"/>
    </xf>
    <xf borderId="1" fillId="0" fontId="8" numFmtId="0" xfId="0" applyAlignment="1" applyBorder="1" applyFont="1">
      <alignment horizontal="center" readingOrder="0" shrinkToFit="0" wrapText="1"/>
    </xf>
    <xf borderId="1" fillId="0" fontId="8" numFmtId="167" xfId="0" applyAlignment="1" applyBorder="1" applyFont="1" applyNumberFormat="1">
      <alignment horizontal="center" readingOrder="0" shrinkToFit="0" wrapText="0"/>
    </xf>
    <xf borderId="1" fillId="0" fontId="8" numFmtId="0" xfId="0" applyAlignment="1" applyBorder="1" applyFont="1">
      <alignment horizontal="center" readingOrder="0" shrinkToFit="0" wrapText="0"/>
    </xf>
    <xf borderId="1" fillId="0" fontId="8" numFmtId="0" xfId="0" applyAlignment="1" applyBorder="1" applyFont="1">
      <alignment horizontal="left" readingOrder="0" shrinkToFit="0" wrapText="0"/>
    </xf>
    <xf borderId="1" fillId="0" fontId="8" numFmtId="164" xfId="0" applyAlignment="1" applyBorder="1" applyFont="1" applyNumberFormat="1">
      <alignment horizontal="center" shrinkToFit="0" wrapText="0"/>
    </xf>
    <xf borderId="1" fillId="0" fontId="2" numFmtId="0" xfId="0" applyAlignment="1" applyBorder="1" applyFont="1">
      <alignment horizontal="left"/>
    </xf>
    <xf borderId="1" fillId="0" fontId="8" numFmtId="0" xfId="0" applyBorder="1" applyFont="1"/>
    <xf borderId="1" fillId="0" fontId="8" numFmtId="0" xfId="0" applyAlignment="1" applyBorder="1" applyFont="1">
      <alignment horizontal="left"/>
    </xf>
    <xf borderId="1" fillId="0" fontId="8" numFmtId="0" xfId="0" applyAlignment="1" applyBorder="1" applyFont="1">
      <alignment horizontal="center"/>
    </xf>
    <xf borderId="1" fillId="0" fontId="8" numFmtId="0" xfId="0" applyAlignment="1" applyBorder="1" applyFont="1">
      <alignment horizontal="left" shrinkToFit="0" wrapText="0"/>
    </xf>
    <xf borderId="1" fillId="0" fontId="2" numFmtId="0" xfId="0" applyAlignment="1" applyBorder="1" applyFont="1">
      <alignment horizontal="left" vertical="bottom"/>
    </xf>
    <xf borderId="1" fillId="0" fontId="14" numFmtId="0" xfId="0" applyAlignment="1" applyBorder="1" applyFont="1">
      <alignment shrinkToFit="0" wrapText="0"/>
    </xf>
    <xf borderId="0" fillId="6" fontId="1" numFmtId="0" xfId="0" applyAlignment="1" applyFont="1">
      <alignment horizontal="center"/>
    </xf>
    <xf borderId="1" fillId="4" fontId="15" numFmtId="0" xfId="0" applyAlignment="1" applyBorder="1" applyFont="1">
      <alignment horizontal="center" readingOrder="0" shrinkToFit="0" vertical="center" wrapText="1"/>
    </xf>
    <xf borderId="1" fillId="3"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1" fillId="0" fontId="15" numFmtId="0" xfId="0" applyAlignment="1" applyBorder="1" applyFont="1">
      <alignment horizontal="center" readingOrder="0"/>
    </xf>
    <xf borderId="0" fillId="0" fontId="15" numFmtId="0" xfId="0" applyAlignment="1" applyFont="1">
      <alignment horizontal="center" readingOrder="0"/>
    </xf>
    <xf borderId="1" fillId="0" fontId="1" numFmtId="0" xfId="0" applyAlignment="1" applyBorder="1" applyFont="1">
      <alignment horizontal="center" readingOrder="0"/>
    </xf>
    <xf borderId="1" fillId="0" fontId="1" numFmtId="0" xfId="0" applyAlignment="1" applyBorder="1" applyFont="1">
      <alignment horizontal="center"/>
    </xf>
    <xf borderId="0" fillId="3" fontId="1" numFmtId="0" xfId="0" applyAlignment="1" applyFont="1">
      <alignment horizontal="center" readingOrder="0"/>
    </xf>
    <xf borderId="1" fillId="2" fontId="1" numFmtId="0" xfId="0" applyAlignment="1" applyBorder="1" applyFont="1">
      <alignment horizontal="center" readingOrder="0"/>
    </xf>
    <xf borderId="1" fillId="8" fontId="1" numFmtId="0" xfId="0" applyBorder="1" applyFill="1" applyFont="1"/>
    <xf borderId="1" fillId="3" fontId="1" numFmtId="0" xfId="0" applyAlignment="1" applyBorder="1" applyFont="1">
      <alignment horizontal="center" readingOrder="0"/>
    </xf>
    <xf borderId="1" fillId="8" fontId="1" numFmtId="0" xfId="0" applyAlignment="1" applyBorder="1" applyFont="1">
      <alignment horizontal="center" readingOrder="0"/>
    </xf>
    <xf borderId="1" fillId="3" fontId="1" numFmtId="0" xfId="0" applyAlignment="1" applyBorder="1" applyFont="1">
      <alignment horizontal="center"/>
    </xf>
    <xf borderId="1" fillId="7" fontId="1" numFmtId="0" xfId="0" applyBorder="1" applyFont="1"/>
    <xf borderId="1" fillId="7" fontId="1" numFmtId="0" xfId="0" applyAlignment="1" applyBorder="1" applyFont="1">
      <alignment horizontal="center" readingOrder="0"/>
    </xf>
    <xf borderId="0" fillId="3" fontId="1" numFmtId="0" xfId="0" applyAlignment="1" applyFont="1">
      <alignment horizontal="center"/>
    </xf>
    <xf borderId="1" fillId="9" fontId="1" numFmtId="0" xfId="0" applyAlignment="1" applyBorder="1" applyFill="1" applyFont="1">
      <alignment horizontal="center" readingOrder="0"/>
    </xf>
    <xf borderId="0" fillId="7" fontId="1" numFmtId="0" xfId="0" applyAlignment="1" applyFont="1">
      <alignment horizontal="center" readingOrder="0"/>
    </xf>
    <xf borderId="1" fillId="10" fontId="1" numFmtId="0" xfId="0" applyBorder="1" applyFill="1" applyFont="1"/>
    <xf borderId="0" fillId="10" fontId="1" numFmtId="0" xfId="0" applyAlignment="1" applyFont="1">
      <alignment horizontal="center" readingOrder="0"/>
    </xf>
    <xf borderId="0" fillId="0" fontId="1" numFmtId="0" xfId="0" applyAlignment="1" applyFont="1">
      <alignment readingOrder="0"/>
    </xf>
    <xf borderId="1" fillId="11" fontId="1" numFmtId="0" xfId="0" applyBorder="1" applyFill="1" applyFont="1"/>
    <xf borderId="0" fillId="2" fontId="1" numFmtId="0" xfId="0" applyAlignment="1" applyFont="1">
      <alignment horizontal="center" readingOrder="0"/>
    </xf>
    <xf borderId="0" fillId="8" fontId="1" numFmtId="0" xfId="0" applyAlignment="1" applyFont="1">
      <alignment horizontal="center" readingOrder="0"/>
    </xf>
    <xf borderId="1" fillId="9" fontId="1" numFmtId="0" xfId="0" applyBorder="1" applyFont="1"/>
    <xf borderId="1" fillId="2" fontId="1" numFmtId="0" xfId="0" applyAlignment="1" applyBorder="1" applyFont="1">
      <alignment horizontal="center"/>
    </xf>
    <xf borderId="0" fillId="2" fontId="1" numFmtId="0" xfId="0" applyAlignment="1" applyFont="1">
      <alignment horizontal="center"/>
    </xf>
    <xf borderId="1" fillId="6" fontId="1" numFmtId="0" xfId="0" applyAlignment="1" applyBorder="1" applyFont="1">
      <alignment horizontal="center" readingOrder="0"/>
    </xf>
    <xf borderId="1" fillId="6" fontId="1" numFmtId="0" xfId="0" applyBorder="1" applyFont="1"/>
    <xf borderId="1" fillId="6" fontId="1" numFmtId="0" xfId="0" applyAlignment="1" applyBorder="1" applyFont="1">
      <alignment horizontal="center"/>
    </xf>
    <xf borderId="0" fillId="0" fontId="15" numFmtId="0" xfId="0" applyAlignment="1" applyFont="1">
      <alignment horizontal="center"/>
    </xf>
    <xf borderId="1" fillId="0" fontId="1" numFmtId="0" xfId="0" applyAlignment="1" applyBorder="1" applyFont="1">
      <alignment readingOrder="0"/>
    </xf>
    <xf borderId="1" fillId="0" fontId="2" numFmtId="0" xfId="0" applyAlignment="1" applyBorder="1" applyFont="1">
      <alignment horizontal="center" vertical="bottom"/>
    </xf>
    <xf borderId="1" fillId="0" fontId="2" numFmtId="0" xfId="0" applyAlignment="1" applyBorder="1" applyFont="1">
      <alignment vertical="bottom"/>
    </xf>
    <xf borderId="1" fillId="0" fontId="15" numFmtId="0" xfId="0" applyBorder="1" applyFont="1"/>
    <xf borderId="0" fillId="0" fontId="15" numFmtId="0" xfId="0" applyFont="1"/>
    <xf borderId="1" fillId="0" fontId="15" numFmtId="0" xfId="0" applyAlignment="1" applyBorder="1" applyFont="1">
      <alignment horizontal="center"/>
    </xf>
    <xf borderId="0" fillId="0" fontId="16" numFmtId="0" xfId="0" applyAlignment="1" applyFont="1">
      <alignment horizontal="center" readingOrder="0"/>
    </xf>
    <xf borderId="1" fillId="0" fontId="1" numFmtId="10" xfId="0" applyBorder="1" applyFont="1" applyNumberFormat="1"/>
    <xf borderId="1" fillId="12" fontId="1" numFmtId="0" xfId="0" applyAlignment="1" applyBorder="1" applyFill="1" applyFont="1">
      <alignment readingOrder="0"/>
    </xf>
    <xf borderId="1" fillId="12" fontId="1" numFmtId="0" xfId="0" applyBorder="1" applyFont="1"/>
    <xf borderId="1" fillId="12" fontId="1" numFmtId="10" xfId="0" applyBorder="1" applyFont="1" applyNumberFormat="1"/>
    <xf borderId="1" fillId="10" fontId="1" numFmtId="0" xfId="0" applyAlignment="1" applyBorder="1" applyFont="1">
      <alignment readingOrder="0"/>
    </xf>
    <xf borderId="1" fillId="10" fontId="1" numFmtId="10" xfId="0" applyBorder="1" applyFont="1" applyNumberFormat="1"/>
    <xf borderId="1" fillId="2" fontId="1" numFmtId="0" xfId="0" applyAlignment="1" applyBorder="1" applyFont="1">
      <alignment readingOrder="0"/>
    </xf>
    <xf borderId="1" fillId="2" fontId="1" numFmtId="10" xfId="0" applyBorder="1" applyFont="1" applyNumberFormat="1"/>
    <xf borderId="1" fillId="13" fontId="1" numFmtId="0" xfId="0" applyAlignment="1" applyBorder="1" applyFill="1" applyFont="1">
      <alignment readingOrder="0"/>
    </xf>
    <xf borderId="1" fillId="13" fontId="1" numFmtId="0" xfId="0" applyBorder="1" applyFont="1"/>
    <xf borderId="1" fillId="13" fontId="1" numFmtId="10" xfId="0" applyBorder="1" applyFont="1" applyNumberFormat="1"/>
    <xf borderId="1" fillId="7" fontId="1" numFmtId="0" xfId="0" applyAlignment="1" applyBorder="1" applyFont="1">
      <alignment readingOrder="0"/>
    </xf>
    <xf borderId="1" fillId="7" fontId="1" numFmtId="10" xfId="0" applyBorder="1" applyFont="1" applyNumberFormat="1"/>
    <xf borderId="0" fillId="0" fontId="1" numFmtId="0" xfId="0" applyAlignment="1" applyFont="1">
      <alignment horizontal="center" readingOrder="0"/>
    </xf>
    <xf borderId="0" fillId="0" fontId="17" numFmtId="0" xfId="0" applyAlignment="1" applyFont="1">
      <alignment horizontal="center" readingOrder="0"/>
    </xf>
    <xf borderId="2" fillId="0" fontId="1" numFmtId="0" xfId="0" applyBorder="1" applyFont="1"/>
    <xf borderId="5" fillId="0" fontId="1" numFmtId="0" xfId="0" applyAlignment="1" applyBorder="1" applyFont="1">
      <alignment horizontal="right"/>
    </xf>
    <xf borderId="5" fillId="0" fontId="1" numFmtId="10" xfId="0" applyBorder="1" applyFont="1" applyNumberFormat="1"/>
    <xf borderId="14" fillId="0" fontId="4" numFmtId="0" xfId="0" applyBorder="1" applyFont="1"/>
  </cellXfs>
  <cellStyles count="1">
    <cellStyle xfId="0" name="Normal" builtinId="0"/>
  </cellStyles>
  <dxfs count="15">
    <dxf>
      <font/>
      <fill>
        <patternFill patternType="solid">
          <fgColor rgb="FFFF0000"/>
          <bgColor rgb="FFFF0000"/>
        </patternFill>
      </fill>
      <border/>
    </dxf>
    <dxf>
      <font/>
      <fill>
        <patternFill patternType="solid">
          <fgColor rgb="FFFFFF00"/>
          <bgColor rgb="FFFFFF00"/>
        </patternFill>
      </fill>
      <border/>
    </dxf>
    <dxf>
      <font/>
      <fill>
        <patternFill patternType="solid">
          <fgColor rgb="FFB7E1CD"/>
          <bgColor rgb="FFB7E1CD"/>
        </patternFill>
      </fill>
      <border/>
    </dxf>
    <dxf>
      <font/>
      <fill>
        <patternFill patternType="solid">
          <fgColor rgb="FF34A853"/>
          <bgColor rgb="FF34A853"/>
        </patternFill>
      </fill>
      <border/>
    </dxf>
    <dxf>
      <font/>
      <fill>
        <patternFill patternType="solid">
          <fgColor rgb="FFCC0000"/>
          <bgColor rgb="FFCC0000"/>
        </patternFill>
      </fill>
      <border/>
    </dxf>
    <dxf>
      <font/>
      <fill>
        <patternFill patternType="solid">
          <fgColor rgb="FF980000"/>
          <bgColor rgb="FF980000"/>
        </patternFill>
      </fill>
      <border/>
    </dxf>
    <dxf>
      <font>
        <color rgb="FFFFFF00"/>
      </font>
      <fill>
        <patternFill patternType="solid">
          <fgColor rgb="FF660000"/>
          <bgColor rgb="FF660000"/>
        </patternFill>
      </fill>
      <border/>
    </dxf>
    <dxf>
      <font>
        <color rgb="FFFFFFFF"/>
      </font>
      <fill>
        <patternFill patternType="solid">
          <fgColor rgb="FFFF9900"/>
          <bgColor rgb="FFFF9900"/>
        </patternFill>
      </fill>
      <border/>
    </dxf>
    <dxf>
      <font>
        <color rgb="FFFFFFFF"/>
      </font>
      <fill>
        <patternFill patternType="solid">
          <fgColor rgb="FF34A853"/>
          <bgColor rgb="FF34A853"/>
        </patternFill>
      </fill>
      <border/>
    </dxf>
    <dxf>
      <font>
        <color rgb="FFFF0000"/>
      </font>
      <fill>
        <patternFill patternType="solid">
          <fgColor rgb="FFB7E1CD"/>
          <bgColor rgb="FFB7E1CD"/>
        </patternFill>
      </fill>
      <border/>
    </dxf>
    <dxf>
      <font/>
      <fill>
        <patternFill patternType="solid">
          <fgColor theme="7"/>
          <bgColor theme="7"/>
        </patternFill>
      </fill>
      <border/>
    </dxf>
    <dxf>
      <font>
        <color rgb="FFFF0000"/>
      </font>
      <fill>
        <patternFill patternType="solid">
          <fgColor rgb="FFFFFF00"/>
          <bgColor rgb="FFFFFF00"/>
        </patternFill>
      </fill>
      <border/>
    </dxf>
    <dxf>
      <font/>
      <fill>
        <patternFill patternType="solid">
          <fgColor rgb="FF00FFFF"/>
          <bgColor rgb="FF00FFFF"/>
        </patternFill>
      </fill>
      <border/>
    </dxf>
    <dxf>
      <font>
        <b/>
        <color rgb="FFFF0000"/>
      </font>
      <fill>
        <patternFill patternType="solid">
          <fgColor rgb="FFFFFF00"/>
          <bgColor rgb="FFFFFF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6.25"/>
    <col customWidth="1" min="2" max="2" width="15.5"/>
    <col customWidth="1" min="4" max="5" width="9.88"/>
    <col customWidth="1" min="6" max="6" width="11.25"/>
    <col customWidth="1" min="7" max="7" width="24.13"/>
    <col customWidth="1" min="8" max="8" width="63.75"/>
  </cols>
  <sheetData>
    <row r="1">
      <c r="A1" s="1" t="s">
        <v>0</v>
      </c>
      <c r="B1" s="1" t="s">
        <v>1</v>
      </c>
      <c r="C1" s="1" t="s">
        <v>2</v>
      </c>
      <c r="D1" s="2" t="s">
        <v>3</v>
      </c>
      <c r="E1" s="2" t="s">
        <v>4</v>
      </c>
      <c r="F1" s="1" t="s">
        <v>5</v>
      </c>
      <c r="G1" s="1" t="s">
        <v>6</v>
      </c>
      <c r="H1" s="2" t="s">
        <v>7</v>
      </c>
      <c r="I1" s="1" t="s">
        <v>8</v>
      </c>
      <c r="J1" s="3"/>
      <c r="K1" s="3"/>
      <c r="L1" s="3"/>
      <c r="M1" s="3"/>
      <c r="N1" s="3"/>
      <c r="O1" s="3"/>
      <c r="P1" s="3"/>
      <c r="Q1" s="3"/>
      <c r="R1" s="3"/>
      <c r="S1" s="3"/>
      <c r="T1" s="3"/>
      <c r="U1" s="3"/>
      <c r="V1" s="3"/>
      <c r="W1" s="3"/>
      <c r="X1" s="3"/>
      <c r="Y1" s="3"/>
      <c r="Z1" s="3"/>
    </row>
    <row r="2">
      <c r="A2" s="4" t="str">
        <f>IFERROR(__xludf.DUMMYFUNCTION("importrange(""https://docs.google.com/spreadsheets/d/1UbhKnOqCU4kQCzSZuNAARq9KSZBV7aq-k2gR_yYLDOg/edit?resourcekey=&amp;gid=976856029#gid=976856029"",""Form Responses 1!C2:J1000"")"),"Aviccena Syahdan Haqoni ")</f>
        <v>Aviccena Syahdan Haqoni </v>
      </c>
      <c r="B2" s="5" t="str">
        <f>IFERROR(__xludf.DUMMYFUNCTION("""COMPUTED_VALUE"""),"A250060")</f>
        <v>A250060</v>
      </c>
      <c r="C2" s="5" t="str">
        <f>IFERROR(__xludf.DUMMYFUNCTION("""COMPUTED_VALUE"""),"MTs Putra")</f>
        <v>MTs Putra</v>
      </c>
      <c r="D2" s="5">
        <f>IFERROR(__xludf.DUMMYFUNCTION("""COMPUTED_VALUE"""),70.0)</f>
        <v>70</v>
      </c>
      <c r="E2" s="5">
        <f>IFERROR(__xludf.DUMMYFUNCTION("""COMPUTED_VALUE"""),50.0)</f>
        <v>50</v>
      </c>
      <c r="F2" s="5" t="str">
        <f>IFERROR(__xludf.DUMMYFUNCTION("""COMPUTED_VALUE"""),"C. Ditolak")</f>
        <v>C. Ditolak</v>
      </c>
      <c r="G2" s="5" t="str">
        <f>IFERROR(__xludf.DUMMYFUNCTION("""COMPUTED_VALUE"""),"Fuad Khomsatun")</f>
        <v>Fuad Khomsatun</v>
      </c>
      <c r="H2" s="6" t="str">
        <f>IFERROR(__xludf.DUMMYFUNCTION("""COMPUTED_VALUE"""),"Makhroj cukup bagus, tapi hukum Tajwid yang sangat kurang")</f>
        <v>Makhroj cukup bagus, tapi hukum Tajwid yang sangat kurang</v>
      </c>
      <c r="I2" s="5">
        <f t="shared" ref="I2:I155" si="1">average(D2:E2)</f>
        <v>60</v>
      </c>
    </row>
    <row r="3">
      <c r="A3" s="5" t="str">
        <f>IFERROR(__xludf.DUMMYFUNCTION("""COMPUTED_VALUE"""),"Syabban Ghazi Alfathan ")</f>
        <v>Syabban Ghazi Alfathan </v>
      </c>
      <c r="B3" s="5" t="str">
        <f>IFERROR(__xludf.DUMMYFUNCTION("""COMPUTED_VALUE"""),"B250025")</f>
        <v>B250025</v>
      </c>
      <c r="C3" s="5" t="str">
        <f>IFERROR(__xludf.DUMMYFUNCTION("""COMPUTED_VALUE"""),"IL Putra")</f>
        <v>IL Putra</v>
      </c>
      <c r="D3" s="5">
        <f>IFERROR(__xludf.DUMMYFUNCTION("""COMPUTED_VALUE"""),85.0)</f>
        <v>85</v>
      </c>
      <c r="E3" s="5">
        <f>IFERROR(__xludf.DUMMYFUNCTION("""COMPUTED_VALUE"""),50.0)</f>
        <v>50</v>
      </c>
      <c r="F3" s="5" t="str">
        <f>IFERROR(__xludf.DUMMYFUNCTION("""COMPUTED_VALUE"""),"B. Cadangan")</f>
        <v>B. Cadangan</v>
      </c>
      <c r="G3" s="5" t="str">
        <f>IFERROR(__xludf.DUMMYFUNCTION("""COMPUTED_VALUE"""),"Fuad Khomsatun")</f>
        <v>Fuad Khomsatun</v>
      </c>
      <c r="H3" s="6" t="str">
        <f>IFERROR(__xludf.DUMMYFUNCTION("""COMPUTED_VALUE"""),"1. Dari 3 soal yg diberikan, ananda hanya menjawab 1 saja itupun tidak begitu lancar
2. Waqof dan ibtida, tidak tepat
3. Makhroj cukup bagus ")</f>
        <v>1. Dari 3 soal yg diberikan, ananda hanya menjawab 1 saja itupun tidak begitu lancar
2. Waqof dan ibtida, tidak tepat
3. Makhroj cukup bagus </v>
      </c>
      <c r="I3" s="5">
        <f t="shared" si="1"/>
        <v>67.5</v>
      </c>
    </row>
    <row r="4">
      <c r="A4" s="5" t="str">
        <f>IFERROR(__xludf.DUMMYFUNCTION("""COMPUTED_VALUE"""),"Daffa Taamir Alfarizi ")</f>
        <v>Daffa Taamir Alfarizi </v>
      </c>
      <c r="B4" s="5" t="str">
        <f>IFERROR(__xludf.DUMMYFUNCTION("""COMPUTED_VALUE"""),"A250008")</f>
        <v>A250008</v>
      </c>
      <c r="C4" s="5" t="str">
        <f>IFERROR(__xludf.DUMMYFUNCTION("""COMPUTED_VALUE"""),"MTs Putra")</f>
        <v>MTs Putra</v>
      </c>
      <c r="D4" s="5">
        <f>IFERROR(__xludf.DUMMYFUNCTION("""COMPUTED_VALUE"""),93.0)</f>
        <v>93</v>
      </c>
      <c r="E4" s="5">
        <f>IFERROR(__xludf.DUMMYFUNCTION("""COMPUTED_VALUE"""),90.0)</f>
        <v>90</v>
      </c>
      <c r="F4" s="5" t="str">
        <f>IFERROR(__xludf.DUMMYFUNCTION("""COMPUTED_VALUE"""),"A. Diterima")</f>
        <v>A. Diterima</v>
      </c>
      <c r="G4" s="5" t="str">
        <f>IFERROR(__xludf.DUMMYFUNCTION("""COMPUTED_VALUE"""),"Fuad Khomsatun")</f>
        <v>Fuad Khomsatun</v>
      </c>
      <c r="H4" s="6" t="str">
        <f>IFERROR(__xludf.DUMMYFUNCTION("""COMPUTED_VALUE"""),"semuanya Alhamdulillah kongkrit, tidak ada keraguan didalamnya. Namun pada waqof ibtida perlu diperbaiki")</f>
        <v>semuanya Alhamdulillah kongkrit, tidak ada keraguan didalamnya. Namun pada waqof ibtida perlu diperbaiki</v>
      </c>
      <c r="I4" s="5">
        <f t="shared" si="1"/>
        <v>91.5</v>
      </c>
    </row>
    <row r="5">
      <c r="A5" s="5" t="str">
        <f>IFERROR(__xludf.DUMMYFUNCTION("""COMPUTED_VALUE"""),"Aisyah")</f>
        <v>Aisyah</v>
      </c>
      <c r="B5" s="5" t="str">
        <f>IFERROR(__xludf.DUMMYFUNCTION("""COMPUTED_VALUE"""),"D250005")</f>
        <v>D250005</v>
      </c>
      <c r="C5" s="5" t="str">
        <f>IFERROR(__xludf.DUMMYFUNCTION("""COMPUTED_VALUE"""),"MTs Putri")</f>
        <v>MTs Putri</v>
      </c>
      <c r="D5" s="5">
        <f>IFERROR(__xludf.DUMMYFUNCTION("""COMPUTED_VALUE"""),80.0)</f>
        <v>80</v>
      </c>
      <c r="E5" s="5">
        <f>IFERROR(__xludf.DUMMYFUNCTION("""COMPUTED_VALUE"""),80.0)</f>
        <v>80</v>
      </c>
      <c r="F5" s="5" t="str">
        <f>IFERROR(__xludf.DUMMYFUNCTION("""COMPUTED_VALUE"""),"A. Diterima")</f>
        <v>A. Diterima</v>
      </c>
      <c r="G5" s="5" t="str">
        <f>IFERROR(__xludf.DUMMYFUNCTION("""COMPUTED_VALUE"""),"Andi Fatimah Azzahra Rahman")</f>
        <v>Andi Fatimah Azzahra Rahman</v>
      </c>
      <c r="H5" s="6" t="str">
        <f>IFERROR(__xludf.DUMMYFUNCTION("""COMPUTED_VALUE"""),"Di terima dan perlu bimbingan lagi sebelum masuk smp")</f>
        <v>Di terima dan perlu bimbingan lagi sebelum masuk smp</v>
      </c>
      <c r="I5" s="5">
        <f t="shared" si="1"/>
        <v>80</v>
      </c>
    </row>
    <row r="6">
      <c r="A6" s="5" t="str">
        <f>IFERROR(__xludf.DUMMYFUNCTION("""COMPUTED_VALUE"""),"Aina Syahmina Givani ")</f>
        <v>Aina Syahmina Givani </v>
      </c>
      <c r="B6" s="5" t="str">
        <f>IFERROR(__xludf.DUMMYFUNCTION("""COMPUTED_VALUE"""),"D250006")</f>
        <v>D250006</v>
      </c>
      <c r="C6" s="5" t="str">
        <f>IFERROR(__xludf.DUMMYFUNCTION("""COMPUTED_VALUE"""),"MTs Putri")</f>
        <v>MTs Putri</v>
      </c>
      <c r="D6" s="5">
        <f>IFERROR(__xludf.DUMMYFUNCTION("""COMPUTED_VALUE"""),81.0)</f>
        <v>81</v>
      </c>
      <c r="E6" s="5">
        <f>IFERROR(__xludf.DUMMYFUNCTION("""COMPUTED_VALUE"""),80.0)</f>
        <v>80</v>
      </c>
      <c r="F6" s="5" t="str">
        <f>IFERROR(__xludf.DUMMYFUNCTION("""COMPUTED_VALUE"""),"A. Diterima")</f>
        <v>A. Diterima</v>
      </c>
      <c r="G6" s="5" t="str">
        <f>IFERROR(__xludf.DUMMYFUNCTION("""COMPUTED_VALUE"""),"Andi Fatimah Azzahra Rahman")</f>
        <v>Andi Fatimah Azzahra Rahman</v>
      </c>
      <c r="H6" s="6" t="str">
        <f>IFERROR(__xludf.DUMMYFUNCTION("""COMPUTED_VALUE"""),"Di terima dan perlu bimbingan lagi sebelum masuk smp")</f>
        <v>Di terima dan perlu bimbingan lagi sebelum masuk smp</v>
      </c>
      <c r="I6" s="5">
        <f t="shared" si="1"/>
        <v>80.5</v>
      </c>
    </row>
    <row r="7">
      <c r="A7" s="5" t="str">
        <f>IFERROR(__xludf.DUMMYFUNCTION("""COMPUTED_VALUE"""),"Keyza Qaireen")</f>
        <v>Keyza Qaireen</v>
      </c>
      <c r="B7" s="5" t="str">
        <f>IFERROR(__xludf.DUMMYFUNCTION("""COMPUTED_VALUE"""),"D250009")</f>
        <v>D250009</v>
      </c>
      <c r="C7" s="5" t="str">
        <f>IFERROR(__xludf.DUMMYFUNCTION("""COMPUTED_VALUE"""),"MTs Putri")</f>
        <v>MTs Putri</v>
      </c>
      <c r="D7" s="5">
        <f>IFERROR(__xludf.DUMMYFUNCTION("""COMPUTED_VALUE"""),85.0)</f>
        <v>85</v>
      </c>
      <c r="E7" s="5">
        <f>IFERROR(__xludf.DUMMYFUNCTION("""COMPUTED_VALUE"""),85.0)</f>
        <v>85</v>
      </c>
      <c r="F7" s="5" t="str">
        <f>IFERROR(__xludf.DUMMYFUNCTION("""COMPUTED_VALUE"""),"A. Diterima")</f>
        <v>A. Diterima</v>
      </c>
      <c r="G7" s="5" t="str">
        <f>IFERROR(__xludf.DUMMYFUNCTION("""COMPUTED_VALUE"""),"Andi Fatimah Azzahra Rahman")</f>
        <v>Andi Fatimah Azzahra Rahman</v>
      </c>
      <c r="H7" s="6"/>
      <c r="I7" s="5">
        <f t="shared" si="1"/>
        <v>85</v>
      </c>
    </row>
    <row r="8">
      <c r="A8" s="5" t="str">
        <f>IFERROR(__xludf.DUMMYFUNCTION("""COMPUTED_VALUE"""),"Sarah Afifa ")</f>
        <v>Sarah Afifa </v>
      </c>
      <c r="B8" s="5" t="str">
        <f>IFERROR(__xludf.DUMMYFUNCTION("""COMPUTED_VALUE"""),"D250015")</f>
        <v>D250015</v>
      </c>
      <c r="C8" s="5" t="str">
        <f>IFERROR(__xludf.DUMMYFUNCTION("""COMPUTED_VALUE"""),"MTs Putri")</f>
        <v>MTs Putri</v>
      </c>
      <c r="D8" s="5">
        <f>IFERROR(__xludf.DUMMYFUNCTION("""COMPUTED_VALUE"""),90.0)</f>
        <v>90</v>
      </c>
      <c r="E8" s="5">
        <f>IFERROR(__xludf.DUMMYFUNCTION("""COMPUTED_VALUE"""),80.0)</f>
        <v>80</v>
      </c>
      <c r="F8" s="5" t="str">
        <f>IFERROR(__xludf.DUMMYFUNCTION("""COMPUTED_VALUE"""),"A. Diterima")</f>
        <v>A. Diterima</v>
      </c>
      <c r="G8" s="5" t="str">
        <f>IFERROR(__xludf.DUMMYFUNCTION("""COMPUTED_VALUE"""),"Andi Fatimah Azzahra Rahman")</f>
        <v>Andi Fatimah Azzahra Rahman</v>
      </c>
      <c r="H8" s="6" t="str">
        <f>IFERROR(__xludf.DUMMYFUNCTION("""COMPUTED_VALUE"""),"Perbanyak tilawah al quran sebelum masuk pondok agar lebih lancar lagi")</f>
        <v>Perbanyak tilawah al quran sebelum masuk pondok agar lebih lancar lagi</v>
      </c>
      <c r="I8" s="5">
        <f t="shared" si="1"/>
        <v>85</v>
      </c>
    </row>
    <row r="9">
      <c r="A9" s="5" t="str">
        <f>IFERROR(__xludf.DUMMYFUNCTION("""COMPUTED_VALUE"""),"Adibah Saefulloh")</f>
        <v>Adibah Saefulloh</v>
      </c>
      <c r="B9" s="5" t="str">
        <f>IFERROR(__xludf.DUMMYFUNCTION("""COMPUTED_VALUE"""),"D250003")</f>
        <v>D250003</v>
      </c>
      <c r="C9" s="5" t="str">
        <f>IFERROR(__xludf.DUMMYFUNCTION("""COMPUTED_VALUE"""),"MTs Putri")</f>
        <v>MTs Putri</v>
      </c>
      <c r="D9" s="5">
        <f>IFERROR(__xludf.DUMMYFUNCTION("""COMPUTED_VALUE"""),70.0)</f>
        <v>70</v>
      </c>
      <c r="E9" s="5">
        <f>IFERROR(__xludf.DUMMYFUNCTION("""COMPUTED_VALUE"""),70.0)</f>
        <v>70</v>
      </c>
      <c r="F9" s="5" t="str">
        <f>IFERROR(__xludf.DUMMYFUNCTION("""COMPUTED_VALUE"""),"A. Diterima")</f>
        <v>A. Diterima</v>
      </c>
      <c r="G9" s="5" t="str">
        <f>IFERROR(__xludf.DUMMYFUNCTION("""COMPUTED_VALUE"""),"Andi Fatimah Azzahra Rahman")</f>
        <v>Andi Fatimah Azzahra Rahman</v>
      </c>
      <c r="H9" s="6" t="str">
        <f>IFERROR(__xludf.DUMMYFUNCTION("""COMPUTED_VALUE"""),"Di terima dan perlu bimbingan lagi sebelum masuk smp")</f>
        <v>Di terima dan perlu bimbingan lagi sebelum masuk smp</v>
      </c>
      <c r="I9" s="5">
        <f t="shared" si="1"/>
        <v>70</v>
      </c>
    </row>
    <row r="10">
      <c r="A10" s="5" t="str">
        <f>IFERROR(__xludf.DUMMYFUNCTION("""COMPUTED_VALUE"""),"Azka Ulinnuha")</f>
        <v>Azka Ulinnuha</v>
      </c>
      <c r="B10" s="5" t="str">
        <f>IFERROR(__xludf.DUMMYFUNCTION("""COMPUTED_VALUE"""),"B250009")</f>
        <v>B250009</v>
      </c>
      <c r="C10" s="5" t="str">
        <f>IFERROR(__xludf.DUMMYFUNCTION("""COMPUTED_VALUE"""),"IL Putra")</f>
        <v>IL Putra</v>
      </c>
      <c r="D10" s="5">
        <f>IFERROR(__xludf.DUMMYFUNCTION("""COMPUTED_VALUE"""),70.0)</f>
        <v>70</v>
      </c>
      <c r="E10" s="5">
        <f>IFERROR(__xludf.DUMMYFUNCTION("""COMPUTED_VALUE"""),70.0)</f>
        <v>70</v>
      </c>
      <c r="F10" s="5" t="str">
        <f>IFERROR(__xludf.DUMMYFUNCTION("""COMPUTED_VALUE"""),"B. Cadangan")</f>
        <v>B. Cadangan</v>
      </c>
      <c r="G10" s="5" t="str">
        <f>IFERROR(__xludf.DUMMYFUNCTION("""COMPUTED_VALUE"""),"Jusman")</f>
        <v>Jusman</v>
      </c>
      <c r="H10" s="6"/>
      <c r="I10" s="5">
        <f t="shared" si="1"/>
        <v>70</v>
      </c>
    </row>
    <row r="11">
      <c r="A11" s="5" t="str">
        <f>IFERROR(__xludf.DUMMYFUNCTION("""COMPUTED_VALUE"""),"Muhammad Hamudi Alfarizi")</f>
        <v>Muhammad Hamudi Alfarizi</v>
      </c>
      <c r="B11" s="5" t="str">
        <f>IFERROR(__xludf.DUMMYFUNCTION("""COMPUTED_VALUE"""),"A250062")</f>
        <v>A250062</v>
      </c>
      <c r="C11" s="5" t="str">
        <f>IFERROR(__xludf.DUMMYFUNCTION("""COMPUTED_VALUE"""),"MTs Putra")</f>
        <v>MTs Putra</v>
      </c>
      <c r="D11" s="5">
        <f>IFERROR(__xludf.DUMMYFUNCTION("""COMPUTED_VALUE"""),80.0)</f>
        <v>80</v>
      </c>
      <c r="E11" s="5">
        <f>IFERROR(__xludf.DUMMYFUNCTION("""COMPUTED_VALUE"""),85.0)</f>
        <v>85</v>
      </c>
      <c r="F11" s="5" t="str">
        <f>IFERROR(__xludf.DUMMYFUNCTION("""COMPUTED_VALUE"""),"B. Cadangan")</f>
        <v>B. Cadangan</v>
      </c>
      <c r="G11" s="5" t="str">
        <f>IFERROR(__xludf.DUMMYFUNCTION("""COMPUTED_VALUE"""),"Agus Cahyono")</f>
        <v>Agus Cahyono</v>
      </c>
      <c r="H11" s="6" t="str">
        <f>IFERROR(__xludf.DUMMYFUNCTION("""COMPUTED_VALUE"""),"1. Ananda bacaanya lancar , tp masih perlu perbaikan di tahsinnya.
2. Masih ada beberapa hukum bacaan yg kurang tepat, seperti mad tobi'i yg tidak tertunaikan.
3. Terkadang terburu-buru sehingga ada huruf yg terbalik penyebutannya.")</f>
        <v>1. Ananda bacaanya lancar , tp masih perlu perbaikan di tahsinnya.
2. Masih ada beberapa hukum bacaan yg kurang tepat, seperti mad tobi'i yg tidak tertunaikan.
3. Terkadang terburu-buru sehingga ada huruf yg terbalik penyebutannya.</v>
      </c>
      <c r="I11" s="5">
        <f t="shared" si="1"/>
        <v>82.5</v>
      </c>
    </row>
    <row r="12">
      <c r="A12" s="5" t="str">
        <f>IFERROR(__xludf.DUMMYFUNCTION("""COMPUTED_VALUE"""),"Ahmad Vickhy Wijaya")</f>
        <v>Ahmad Vickhy Wijaya</v>
      </c>
      <c r="B12" s="5" t="str">
        <f>IFERROR(__xludf.DUMMYFUNCTION("""COMPUTED_VALUE"""),"A250073")</f>
        <v>A250073</v>
      </c>
      <c r="C12" s="5" t="str">
        <f>IFERROR(__xludf.DUMMYFUNCTION("""COMPUTED_VALUE"""),"MTs Putra")</f>
        <v>MTs Putra</v>
      </c>
      <c r="D12" s="5">
        <f>IFERROR(__xludf.DUMMYFUNCTION("""COMPUTED_VALUE"""),70.0)</f>
        <v>70</v>
      </c>
      <c r="E12" s="5">
        <f>IFERROR(__xludf.DUMMYFUNCTION("""COMPUTED_VALUE"""),75.0)</f>
        <v>75</v>
      </c>
      <c r="F12" s="5" t="str">
        <f>IFERROR(__xludf.DUMMYFUNCTION("""COMPUTED_VALUE"""),"C. Ditolak")</f>
        <v>C. Ditolak</v>
      </c>
      <c r="G12" s="5" t="str">
        <f>IFERROR(__xludf.DUMMYFUNCTION("""COMPUTED_VALUE"""),"Agus Cahyono")</f>
        <v>Agus Cahyono</v>
      </c>
      <c r="H12" s="6"/>
      <c r="I12" s="5">
        <f t="shared" si="1"/>
        <v>72.5</v>
      </c>
    </row>
    <row r="13">
      <c r="A13" s="5" t="str">
        <f>IFERROR(__xludf.DUMMYFUNCTION("""COMPUTED_VALUE"""),"Ambiya Addaruqutni J")</f>
        <v>Ambiya Addaruqutni J</v>
      </c>
      <c r="B13" s="5" t="str">
        <f>IFERROR(__xludf.DUMMYFUNCTION("""COMPUTED_VALUE"""),"A250066")</f>
        <v>A250066</v>
      </c>
      <c r="C13" s="5" t="str">
        <f>IFERROR(__xludf.DUMMYFUNCTION("""COMPUTED_VALUE"""),"MTs Putra")</f>
        <v>MTs Putra</v>
      </c>
      <c r="D13" s="5">
        <f>IFERROR(__xludf.DUMMYFUNCTION("""COMPUTED_VALUE"""),85.0)</f>
        <v>85</v>
      </c>
      <c r="E13" s="5">
        <f>IFERROR(__xludf.DUMMYFUNCTION("""COMPUTED_VALUE"""),85.0)</f>
        <v>85</v>
      </c>
      <c r="F13" s="5" t="str">
        <f>IFERROR(__xludf.DUMMYFUNCTION("""COMPUTED_VALUE"""),"B. Cadangan")</f>
        <v>B. Cadangan</v>
      </c>
      <c r="G13" s="5" t="str">
        <f>IFERROR(__xludf.DUMMYFUNCTION("""COMPUTED_VALUE"""),"Agus Cahyono")</f>
        <v>Agus Cahyono</v>
      </c>
      <c r="H13" s="6" t="str">
        <f>IFERROR(__xludf.DUMMYFUNCTION("""COMPUTED_VALUE"""),"1. Kelancarannya masih perlu di latih lagi
2. Hukum bacaan mad masih sering terlewat
")</f>
        <v>1. Kelancarannya masih perlu di latih lagi
2. Hukum bacaan mad masih sering terlewat
</v>
      </c>
      <c r="I13" s="5">
        <f t="shared" si="1"/>
        <v>85</v>
      </c>
    </row>
    <row r="14">
      <c r="A14" s="5" t="str">
        <f>IFERROR(__xludf.DUMMYFUNCTION("""COMPUTED_VALUE"""),"Umar Fawwaz")</f>
        <v>Umar Fawwaz</v>
      </c>
      <c r="B14" s="5" t="str">
        <f>IFERROR(__xludf.DUMMYFUNCTION("""COMPUTED_VALUE"""),"A250002")</f>
        <v>A250002</v>
      </c>
      <c r="C14" s="5" t="str">
        <f>IFERROR(__xludf.DUMMYFUNCTION("""COMPUTED_VALUE"""),"MTs Putra")</f>
        <v>MTs Putra</v>
      </c>
      <c r="D14" s="5">
        <f>IFERROR(__xludf.DUMMYFUNCTION("""COMPUTED_VALUE"""),95.0)</f>
        <v>95</v>
      </c>
      <c r="E14" s="5">
        <f>IFERROR(__xludf.DUMMYFUNCTION("""COMPUTED_VALUE"""),95.0)</f>
        <v>95</v>
      </c>
      <c r="F14" s="5" t="str">
        <f>IFERROR(__xludf.DUMMYFUNCTION("""COMPUTED_VALUE"""),"A. Diterima")</f>
        <v>A. Diterima</v>
      </c>
      <c r="G14" s="5" t="str">
        <f>IFERROR(__xludf.DUMMYFUNCTION("""COMPUTED_VALUE"""),"Agus Cahyono")</f>
        <v>Agus Cahyono</v>
      </c>
      <c r="H14" s="6" t="str">
        <f>IFERROR(__xludf.DUMMYFUNCTION("""COMPUTED_VALUE"""),"Alhamdulillah")</f>
        <v>Alhamdulillah</v>
      </c>
      <c r="I14" s="5">
        <f t="shared" si="1"/>
        <v>95</v>
      </c>
    </row>
    <row r="15">
      <c r="A15" s="7" t="str">
        <f>IFERROR(__xludf.DUMMYFUNCTION("""COMPUTED_VALUE"""),"Muhammad Asyam Abdullah")</f>
        <v>Muhammad Asyam Abdullah</v>
      </c>
      <c r="B15" s="7" t="str">
        <f>IFERROR(__xludf.DUMMYFUNCTION("""COMPUTED_VALUE"""),"A250010")</f>
        <v>A250010</v>
      </c>
      <c r="C15" s="7" t="str">
        <f>IFERROR(__xludf.DUMMYFUNCTION("""COMPUTED_VALUE"""),"MTs Putra")</f>
        <v>MTs Putra</v>
      </c>
      <c r="D15" s="7">
        <f>IFERROR(__xludf.DUMMYFUNCTION("""COMPUTED_VALUE"""),95.0)</f>
        <v>95</v>
      </c>
      <c r="E15" s="7">
        <f>IFERROR(__xludf.DUMMYFUNCTION("""COMPUTED_VALUE"""),90.0)</f>
        <v>90</v>
      </c>
      <c r="F15" s="7" t="str">
        <f>IFERROR(__xludf.DUMMYFUNCTION("""COMPUTED_VALUE"""),"A. Diterima")</f>
        <v>A. Diterima</v>
      </c>
      <c r="G15" s="7" t="str">
        <f>IFERROR(__xludf.DUMMYFUNCTION("""COMPUTED_VALUE"""),"Agus Cahyono")</f>
        <v>Agus Cahyono</v>
      </c>
      <c r="H15" s="8" t="str">
        <f>IFERROR(__xludf.DUMMYFUNCTION("""COMPUTED_VALUE"""),"Alhamdulillah")</f>
        <v>Alhamdulillah</v>
      </c>
      <c r="I15" s="5">
        <f t="shared" si="1"/>
        <v>92.5</v>
      </c>
    </row>
    <row r="16">
      <c r="A16" s="7" t="str">
        <f>IFERROR(__xludf.DUMMYFUNCTION("""COMPUTED_VALUE"""),"Haneef Abdurahman")</f>
        <v>Haneef Abdurahman</v>
      </c>
      <c r="B16" s="7" t="str">
        <f>IFERROR(__xludf.DUMMYFUNCTION("""COMPUTED_VALUE"""),"A250012")</f>
        <v>A250012</v>
      </c>
      <c r="C16" s="7" t="str">
        <f>IFERROR(__xludf.DUMMYFUNCTION("""COMPUTED_VALUE"""),"MTs Putra")</f>
        <v>MTs Putra</v>
      </c>
      <c r="D16" s="7">
        <f>IFERROR(__xludf.DUMMYFUNCTION("""COMPUTED_VALUE"""),95.0)</f>
        <v>95</v>
      </c>
      <c r="E16" s="7">
        <f>IFERROR(__xludf.DUMMYFUNCTION("""COMPUTED_VALUE"""),96.0)</f>
        <v>96</v>
      </c>
      <c r="F16" s="7" t="str">
        <f>IFERROR(__xludf.DUMMYFUNCTION("""COMPUTED_VALUE"""),"A. Diterima")</f>
        <v>A. Diterima</v>
      </c>
      <c r="G16" s="7" t="str">
        <f>IFERROR(__xludf.DUMMYFUNCTION("""COMPUTED_VALUE"""),"Jusman")</f>
        <v>Jusman</v>
      </c>
      <c r="H16" s="8"/>
      <c r="I16" s="5">
        <f t="shared" si="1"/>
        <v>95.5</v>
      </c>
    </row>
    <row r="17">
      <c r="A17" s="7" t="str">
        <f>IFERROR(__xludf.DUMMYFUNCTION("""COMPUTED_VALUE"""),"Donli")</f>
        <v>Donli</v>
      </c>
      <c r="B17" s="7" t="str">
        <f>IFERROR(__xludf.DUMMYFUNCTION("""COMPUTED_VALUE"""),"B250001")</f>
        <v>B250001</v>
      </c>
      <c r="C17" s="7" t="str">
        <f>IFERROR(__xludf.DUMMYFUNCTION("""COMPUTED_VALUE"""),"IL Putra")</f>
        <v>IL Putra</v>
      </c>
      <c r="D17" s="7">
        <f>IFERROR(__xludf.DUMMYFUNCTION("""COMPUTED_VALUE"""),75.0)</f>
        <v>75</v>
      </c>
      <c r="E17" s="7">
        <f>IFERROR(__xludf.DUMMYFUNCTION("""COMPUTED_VALUE"""),70.0)</f>
        <v>70</v>
      </c>
      <c r="F17" s="7" t="str">
        <f>IFERROR(__xludf.DUMMYFUNCTION("""COMPUTED_VALUE"""),"B. Cadangan")</f>
        <v>B. Cadangan</v>
      </c>
      <c r="G17" s="7" t="str">
        <f>IFERROR(__xludf.DUMMYFUNCTION("""COMPUTED_VALUE"""),"Fuad Khomsatun")</f>
        <v>Fuad Khomsatun</v>
      </c>
      <c r="H17" s="8" t="str">
        <f>IFERROR(__xludf.DUMMYFUNCTION("""COMPUTED_VALUE"""),"untuk makhroj lumayan bagus, tapi tajwid dan kelancaran masih kurang baik")</f>
        <v>untuk makhroj lumayan bagus, tapi tajwid dan kelancaran masih kurang baik</v>
      </c>
      <c r="I17" s="5">
        <f t="shared" si="1"/>
        <v>72.5</v>
      </c>
    </row>
    <row r="18">
      <c r="A18" s="7" t="str">
        <f>IFERROR(__xludf.DUMMYFUNCTION("""COMPUTED_VALUE"""),"Adya Wiguna")</f>
        <v>Adya Wiguna</v>
      </c>
      <c r="B18" s="7" t="str">
        <f>IFERROR(__xludf.DUMMYFUNCTION("""COMPUTED_VALUE"""),"A250013")</f>
        <v>A250013</v>
      </c>
      <c r="C18" s="7" t="str">
        <f>IFERROR(__xludf.DUMMYFUNCTION("""COMPUTED_VALUE"""),"MTs Putra")</f>
        <v>MTs Putra</v>
      </c>
      <c r="D18" s="7">
        <f>IFERROR(__xludf.DUMMYFUNCTION("""COMPUTED_VALUE"""),60.0)</f>
        <v>60</v>
      </c>
      <c r="E18" s="7">
        <f>IFERROR(__xludf.DUMMYFUNCTION("""COMPUTED_VALUE"""),50.0)</f>
        <v>50</v>
      </c>
      <c r="F18" s="7" t="str">
        <f>IFERROR(__xludf.DUMMYFUNCTION("""COMPUTED_VALUE"""),"C. Ditolak")</f>
        <v>C. Ditolak</v>
      </c>
      <c r="G18" s="7" t="str">
        <f>IFERROR(__xludf.DUMMYFUNCTION("""COMPUTED_VALUE"""),"Fuad Khomsatun")</f>
        <v>Fuad Khomsatun</v>
      </c>
      <c r="H18" s="8" t="str">
        <f>IFERROR(__xludf.DUMMYFUNCTION("""COMPUTED_VALUE"""),"Makhroj, Tajwid, Kelancaran masih sangat jauh")</f>
        <v>Makhroj, Tajwid, Kelancaran masih sangat jauh</v>
      </c>
      <c r="I18" s="5">
        <f t="shared" si="1"/>
        <v>55</v>
      </c>
    </row>
    <row r="19">
      <c r="A19" s="7" t="str">
        <f>IFERROR(__xludf.DUMMYFUNCTION("""COMPUTED_VALUE"""),"Abudzar Al Mahbub ")</f>
        <v>Abudzar Al Mahbub </v>
      </c>
      <c r="B19" s="7" t="str">
        <f>IFERROR(__xludf.DUMMYFUNCTION("""COMPUTED_VALUE"""),"A250034")</f>
        <v>A250034</v>
      </c>
      <c r="C19" s="7" t="str">
        <f>IFERROR(__xludf.DUMMYFUNCTION("""COMPUTED_VALUE"""),"MTs Putra")</f>
        <v>MTs Putra</v>
      </c>
      <c r="D19" s="7">
        <f>IFERROR(__xludf.DUMMYFUNCTION("""COMPUTED_VALUE"""),85.0)</f>
        <v>85</v>
      </c>
      <c r="E19" s="7">
        <f>IFERROR(__xludf.DUMMYFUNCTION("""COMPUTED_VALUE"""),85.0)</f>
        <v>85</v>
      </c>
      <c r="F19" s="7" t="str">
        <f>IFERROR(__xludf.DUMMYFUNCTION("""COMPUTED_VALUE"""),"A. Diterima")</f>
        <v>A. Diterima</v>
      </c>
      <c r="G19" s="7" t="str">
        <f>IFERROR(__xludf.DUMMYFUNCTION("""COMPUTED_VALUE"""),"Fuad Khomsatun")</f>
        <v>Fuad Khomsatun</v>
      </c>
      <c r="H19" s="8" t="str">
        <f>IFERROR(__xludf.DUMMYFUNCTION("""COMPUTED_VALUE"""),"makhroj, tajwid dan kelancaran okeeeee")</f>
        <v>makhroj, tajwid dan kelancaran okeeeee</v>
      </c>
      <c r="I19" s="5">
        <f t="shared" si="1"/>
        <v>85</v>
      </c>
    </row>
    <row r="20">
      <c r="A20" s="7" t="str">
        <f>IFERROR(__xludf.DUMMYFUNCTION("""COMPUTED_VALUE"""),"Ksatria Hudzaifah Al Mizzi ")</f>
        <v>Ksatria Hudzaifah Al Mizzi </v>
      </c>
      <c r="B20" s="7" t="str">
        <f>IFERROR(__xludf.DUMMYFUNCTION("""COMPUTED_VALUE"""),"B250010")</f>
        <v>B250010</v>
      </c>
      <c r="C20" s="7" t="str">
        <f>IFERROR(__xludf.DUMMYFUNCTION("""COMPUTED_VALUE"""),"IL Putra")</f>
        <v>IL Putra</v>
      </c>
      <c r="D20" s="7">
        <f>IFERROR(__xludf.DUMMYFUNCTION("""COMPUTED_VALUE"""),95.0)</f>
        <v>95</v>
      </c>
      <c r="E20" s="7">
        <f>IFERROR(__xludf.DUMMYFUNCTION("""COMPUTED_VALUE"""),90.0)</f>
        <v>90</v>
      </c>
      <c r="F20" s="7" t="str">
        <f>IFERROR(__xludf.DUMMYFUNCTION("""COMPUTED_VALUE"""),"A. Diterima")</f>
        <v>A. Diterima</v>
      </c>
      <c r="G20" s="7" t="str">
        <f>IFERROR(__xludf.DUMMYFUNCTION("""COMPUTED_VALUE"""),"Fuad Khomsatun")</f>
        <v>Fuad Khomsatun</v>
      </c>
      <c r="H20" s="8" t="str">
        <f>IFERROR(__xludf.DUMMYFUNCTION("""COMPUTED_VALUE"""),"Paten bin Kongkrit ")</f>
        <v>Paten bin Kongkrit </v>
      </c>
      <c r="I20" s="5">
        <f t="shared" si="1"/>
        <v>92.5</v>
      </c>
    </row>
    <row r="21">
      <c r="A21" s="7" t="str">
        <f>IFERROR(__xludf.DUMMYFUNCTION("""COMPUTED_VALUE"""),"FAEYZA IZZATUL KHAIRY")</f>
        <v>FAEYZA IZZATUL KHAIRY</v>
      </c>
      <c r="B21" s="7" t="str">
        <f>IFERROR(__xludf.DUMMYFUNCTION("""COMPUTED_VALUE"""),"A250016")</f>
        <v>A250016</v>
      </c>
      <c r="C21" s="7" t="str">
        <f>IFERROR(__xludf.DUMMYFUNCTION("""COMPUTED_VALUE"""),"MTs Putra")</f>
        <v>MTs Putra</v>
      </c>
      <c r="D21" s="7">
        <f>IFERROR(__xludf.DUMMYFUNCTION("""COMPUTED_VALUE"""),80.0)</f>
        <v>80</v>
      </c>
      <c r="E21" s="7">
        <f>IFERROR(__xludf.DUMMYFUNCTION("""COMPUTED_VALUE"""),85.0)</f>
        <v>85</v>
      </c>
      <c r="F21" s="7" t="str">
        <f>IFERROR(__xludf.DUMMYFUNCTION("""COMPUTED_VALUE"""),"B. Cadangan")</f>
        <v>B. Cadangan</v>
      </c>
      <c r="G21" s="7" t="str">
        <f>IFERROR(__xludf.DUMMYFUNCTION("""COMPUTED_VALUE"""),"Agus Cahyono")</f>
        <v>Agus Cahyono</v>
      </c>
      <c r="H21" s="8" t="str">
        <f>IFERROR(__xludf.DUMMYFUNCTION("""COMPUTED_VALUE"""),"- Secara umum ananda memiliki bacaan yang lancar, akan tetapi masih mengbaikan hukum tajwid yang berlaku
- Terlalu lama menyebbut sebuah huruf sehingga banyak bacaan yang menjadi panjang")</f>
        <v>- Secara umum ananda memiliki bacaan yang lancar, akan tetapi masih mengbaikan hukum tajwid yang berlaku
- Terlalu lama menyebbut sebuah huruf sehingga banyak bacaan yang menjadi panjang</v>
      </c>
      <c r="I21" s="5">
        <f t="shared" si="1"/>
        <v>82.5</v>
      </c>
    </row>
    <row r="22">
      <c r="A22" s="7" t="str">
        <f>IFERROR(__xludf.DUMMYFUNCTION("""COMPUTED_VALUE"""),"Widya Meilani zahra ")</f>
        <v>Widya Meilani zahra </v>
      </c>
      <c r="B22" s="7" t="str">
        <f>IFERROR(__xludf.DUMMYFUNCTION("""COMPUTED_VALUE"""),"E250001")</f>
        <v>E250001</v>
      </c>
      <c r="C22" s="7" t="str">
        <f>IFERROR(__xludf.DUMMYFUNCTION("""COMPUTED_VALUE"""),"IL Putri")</f>
        <v>IL Putri</v>
      </c>
      <c r="D22" s="7">
        <f>IFERROR(__xludf.DUMMYFUNCTION("""COMPUTED_VALUE"""),85.0)</f>
        <v>85</v>
      </c>
      <c r="E22" s="7">
        <f>IFERROR(__xludf.DUMMYFUNCTION("""COMPUTED_VALUE"""),90.0)</f>
        <v>90</v>
      </c>
      <c r="F22" s="7" t="str">
        <f>IFERROR(__xludf.DUMMYFUNCTION("""COMPUTED_VALUE"""),"A. Diterima")</f>
        <v>A. Diterima</v>
      </c>
      <c r="G22" s="7" t="str">
        <f>IFERROR(__xludf.DUMMYFUNCTION("""COMPUTED_VALUE"""),"Andi Fatimah Azzahra Rahman")</f>
        <v>Andi Fatimah Azzahra Rahman</v>
      </c>
      <c r="H22" s="8"/>
      <c r="I22" s="5">
        <f t="shared" si="1"/>
        <v>87.5</v>
      </c>
    </row>
    <row r="23">
      <c r="A23" s="7" t="str">
        <f>IFERROR(__xludf.DUMMYFUNCTION("""COMPUTED_VALUE"""),"Siti Hafsoh sholihah ")</f>
        <v>Siti Hafsoh sholihah </v>
      </c>
      <c r="B23" s="7" t="str">
        <f>IFERROR(__xludf.DUMMYFUNCTION("""COMPUTED_VALUE"""),"E250005")</f>
        <v>E250005</v>
      </c>
      <c r="C23" s="7" t="str">
        <f>IFERROR(__xludf.DUMMYFUNCTION("""COMPUTED_VALUE"""),"IL Putri")</f>
        <v>IL Putri</v>
      </c>
      <c r="D23" s="7">
        <f>IFERROR(__xludf.DUMMYFUNCTION("""COMPUTED_VALUE"""),85.0)</f>
        <v>85</v>
      </c>
      <c r="E23" s="7">
        <f>IFERROR(__xludf.DUMMYFUNCTION("""COMPUTED_VALUE"""),90.0)</f>
        <v>90</v>
      </c>
      <c r="F23" s="7" t="str">
        <f>IFERROR(__xludf.DUMMYFUNCTION("""COMPUTED_VALUE"""),"A. Diterima")</f>
        <v>A. Diterima</v>
      </c>
      <c r="G23" s="7" t="str">
        <f>IFERROR(__xludf.DUMMYFUNCTION("""COMPUTED_VALUE"""),"Andi Fatimah Azzahra Rahman")</f>
        <v>Andi Fatimah Azzahra Rahman</v>
      </c>
      <c r="H23" s="8"/>
      <c r="I23" s="5">
        <f t="shared" si="1"/>
        <v>87.5</v>
      </c>
    </row>
    <row r="24">
      <c r="A24" s="7" t="str">
        <f>IFERROR(__xludf.DUMMYFUNCTION("""COMPUTED_VALUE"""),"Nadira Salsabila apriliani")</f>
        <v>Nadira Salsabila apriliani</v>
      </c>
      <c r="B24" s="7" t="str">
        <f>IFERROR(__xludf.DUMMYFUNCTION("""COMPUTED_VALUE"""),"E250007")</f>
        <v>E250007</v>
      </c>
      <c r="C24" s="7" t="str">
        <f>IFERROR(__xludf.DUMMYFUNCTION("""COMPUTED_VALUE"""),"IL Putri")</f>
        <v>IL Putri</v>
      </c>
      <c r="D24" s="7">
        <f>IFERROR(__xludf.DUMMYFUNCTION("""COMPUTED_VALUE"""),82.0)</f>
        <v>82</v>
      </c>
      <c r="E24" s="7">
        <f>IFERROR(__xludf.DUMMYFUNCTION("""COMPUTED_VALUE"""),90.0)</f>
        <v>90</v>
      </c>
      <c r="F24" s="7" t="str">
        <f>IFERROR(__xludf.DUMMYFUNCTION("""COMPUTED_VALUE"""),"A. Diterima")</f>
        <v>A. Diterima</v>
      </c>
      <c r="G24" s="7" t="str">
        <f>IFERROR(__xludf.DUMMYFUNCTION("""COMPUTED_VALUE"""),"Andi Fatimah Azzahra Rahman")</f>
        <v>Andi Fatimah Azzahra Rahman</v>
      </c>
      <c r="H24" s="8"/>
      <c r="I24" s="5">
        <f t="shared" si="1"/>
        <v>86</v>
      </c>
    </row>
    <row r="25">
      <c r="A25" s="7" t="str">
        <f>IFERROR(__xludf.DUMMYFUNCTION("""COMPUTED_VALUE"""),"Hilda Sahlannisa")</f>
        <v>Hilda Sahlannisa</v>
      </c>
      <c r="B25" s="7" t="str">
        <f>IFERROR(__xludf.DUMMYFUNCTION("""COMPUTED_VALUE"""),"E250002")</f>
        <v>E250002</v>
      </c>
      <c r="C25" s="7" t="str">
        <f>IFERROR(__xludf.DUMMYFUNCTION("""COMPUTED_VALUE"""),"IL Putri")</f>
        <v>IL Putri</v>
      </c>
      <c r="D25" s="7">
        <f>IFERROR(__xludf.DUMMYFUNCTION("""COMPUTED_VALUE"""),84.0)</f>
        <v>84</v>
      </c>
      <c r="E25" s="7">
        <f>IFERROR(__xludf.DUMMYFUNCTION("""COMPUTED_VALUE"""),90.0)</f>
        <v>90</v>
      </c>
      <c r="F25" s="7" t="str">
        <f>IFERROR(__xludf.DUMMYFUNCTION("""COMPUTED_VALUE"""),"A. Diterima")</f>
        <v>A. Diterima</v>
      </c>
      <c r="G25" s="7" t="str">
        <f>IFERROR(__xludf.DUMMYFUNCTION("""COMPUTED_VALUE"""),"Andi Fatimah Azzahra Rahman")</f>
        <v>Andi Fatimah Azzahra Rahman</v>
      </c>
      <c r="H25" s="8"/>
      <c r="I25" s="5">
        <f t="shared" si="1"/>
        <v>87</v>
      </c>
    </row>
    <row r="26">
      <c r="A26" s="7" t="str">
        <f>IFERROR(__xludf.DUMMYFUNCTION("""COMPUTED_VALUE"""),"SITI FATIMAH AZZAHRA")</f>
        <v>SITI FATIMAH AZZAHRA</v>
      </c>
      <c r="B26" s="7" t="str">
        <f>IFERROR(__xludf.DUMMYFUNCTION("""COMPUTED_VALUE"""),"D250010")</f>
        <v>D250010</v>
      </c>
      <c r="C26" s="7" t="str">
        <f>IFERROR(__xludf.DUMMYFUNCTION("""COMPUTED_VALUE"""),"MTs Putri")</f>
        <v>MTs Putri</v>
      </c>
      <c r="D26" s="7">
        <f>IFERROR(__xludf.DUMMYFUNCTION("""COMPUTED_VALUE"""),79.0)</f>
        <v>79</v>
      </c>
      <c r="E26" s="7">
        <f>IFERROR(__xludf.DUMMYFUNCTION("""COMPUTED_VALUE"""),85.0)</f>
        <v>85</v>
      </c>
      <c r="F26" s="7" t="str">
        <f>IFERROR(__xludf.DUMMYFUNCTION("""COMPUTED_VALUE"""),"A. Diterima")</f>
        <v>A. Diterima</v>
      </c>
      <c r="G26" s="7" t="str">
        <f>IFERROR(__xludf.DUMMYFUNCTION("""COMPUTED_VALUE"""),"Andi Fatimah Azzahra Rahman")</f>
        <v>Andi Fatimah Azzahra Rahman</v>
      </c>
      <c r="H26" s="8" t="str">
        <f>IFERROR(__xludf.DUMMYFUNCTION("""COMPUTED_VALUE"""),"Sebelum masuk pondok disarankan ada pembimbingan membaca al quran Agar lebih baik lagi")</f>
        <v>Sebelum masuk pondok disarankan ada pembimbingan membaca al quran Agar lebih baik lagi</v>
      </c>
      <c r="I26" s="5">
        <f t="shared" si="1"/>
        <v>82</v>
      </c>
    </row>
    <row r="27">
      <c r="A27" s="7" t="str">
        <f>IFERROR(__xludf.DUMMYFUNCTION("""COMPUTED_VALUE"""),"Hanifah Qurrotul 'Ain ")</f>
        <v>Hanifah Qurrotul 'Ain </v>
      </c>
      <c r="B27" s="7" t="str">
        <f>IFERROR(__xludf.DUMMYFUNCTION("""COMPUTED_VALUE"""),"D250002")</f>
        <v>D250002</v>
      </c>
      <c r="C27" s="7" t="str">
        <f>IFERROR(__xludf.DUMMYFUNCTION("""COMPUTED_VALUE"""),"MTs Putri")</f>
        <v>MTs Putri</v>
      </c>
      <c r="D27" s="7">
        <f>IFERROR(__xludf.DUMMYFUNCTION("""COMPUTED_VALUE"""),87.0)</f>
        <v>87</v>
      </c>
      <c r="E27" s="7">
        <f>IFERROR(__xludf.DUMMYFUNCTION("""COMPUTED_VALUE"""),92.0)</f>
        <v>92</v>
      </c>
      <c r="F27" s="7" t="str">
        <f>IFERROR(__xludf.DUMMYFUNCTION("""COMPUTED_VALUE"""),"A. Diterima")</f>
        <v>A. Diterima</v>
      </c>
      <c r="G27" s="7" t="str">
        <f>IFERROR(__xludf.DUMMYFUNCTION("""COMPUTED_VALUE"""),"Andi Fatimah Azzahra Rahman")</f>
        <v>Andi Fatimah Azzahra Rahman</v>
      </c>
      <c r="H27" s="8"/>
      <c r="I27" s="5">
        <f t="shared" si="1"/>
        <v>89.5</v>
      </c>
    </row>
    <row r="28">
      <c r="A28" s="7" t="str">
        <f>IFERROR(__xludf.DUMMYFUNCTION("""COMPUTED_VALUE"""),"Ulfia Nurfauziah ")</f>
        <v>Ulfia Nurfauziah </v>
      </c>
      <c r="B28" s="7" t="str">
        <f>IFERROR(__xludf.DUMMYFUNCTION("""COMPUTED_VALUE"""),"D250027")</f>
        <v>D250027</v>
      </c>
      <c r="C28" s="7" t="str">
        <f>IFERROR(__xludf.DUMMYFUNCTION("""COMPUTED_VALUE"""),"MTs Putri")</f>
        <v>MTs Putri</v>
      </c>
      <c r="D28" s="7">
        <f>IFERROR(__xludf.DUMMYFUNCTION("""COMPUTED_VALUE"""),85.0)</f>
        <v>85</v>
      </c>
      <c r="E28" s="7">
        <f>IFERROR(__xludf.DUMMYFUNCTION("""COMPUTED_VALUE"""),90.0)</f>
        <v>90</v>
      </c>
      <c r="F28" s="7" t="str">
        <f>IFERROR(__xludf.DUMMYFUNCTION("""COMPUTED_VALUE"""),"A. Diterima")</f>
        <v>A. Diterima</v>
      </c>
      <c r="G28" s="7" t="str">
        <f>IFERROR(__xludf.DUMMYFUNCTION("""COMPUTED_VALUE"""),"Andi Fatimah Azzahra Rahman")</f>
        <v>Andi Fatimah Azzahra Rahman</v>
      </c>
      <c r="H28" s="8"/>
      <c r="I28" s="5">
        <f t="shared" si="1"/>
        <v>87.5</v>
      </c>
    </row>
    <row r="29">
      <c r="A29" s="7" t="str">
        <f>IFERROR(__xludf.DUMMYFUNCTION("""COMPUTED_VALUE"""),"Abu Reihan Al Fajri")</f>
        <v>Abu Reihan Al Fajri</v>
      </c>
      <c r="B29" s="7" t="str">
        <f>IFERROR(__xludf.DUMMYFUNCTION("""COMPUTED_VALUE"""),"A250025")</f>
        <v>A250025</v>
      </c>
      <c r="C29" s="7" t="str">
        <f>IFERROR(__xludf.DUMMYFUNCTION("""COMPUTED_VALUE"""),"MTs Putra")</f>
        <v>MTs Putra</v>
      </c>
      <c r="D29" s="7">
        <f>IFERROR(__xludf.DUMMYFUNCTION("""COMPUTED_VALUE"""),85.0)</f>
        <v>85</v>
      </c>
      <c r="E29" s="7">
        <f>IFERROR(__xludf.DUMMYFUNCTION("""COMPUTED_VALUE"""),85.0)</f>
        <v>85</v>
      </c>
      <c r="F29" s="7" t="str">
        <f>IFERROR(__xludf.DUMMYFUNCTION("""COMPUTED_VALUE"""),"A. Diterima")</f>
        <v>A. Diterima</v>
      </c>
      <c r="G29" s="7" t="str">
        <f>IFERROR(__xludf.DUMMYFUNCTION("""COMPUTED_VALUE"""),"Jusman")</f>
        <v>Jusman</v>
      </c>
      <c r="H29" s="8"/>
      <c r="I29" s="5">
        <f t="shared" si="1"/>
        <v>85</v>
      </c>
    </row>
    <row r="30">
      <c r="A30" s="7" t="str">
        <f>IFERROR(__xludf.DUMMYFUNCTION("""COMPUTED_VALUE"""),"Satria Panca Desmara")</f>
        <v>Satria Panca Desmara</v>
      </c>
      <c r="B30" s="7" t="str">
        <f>IFERROR(__xludf.DUMMYFUNCTION("""COMPUTED_VALUE"""),"A250028")</f>
        <v>A250028</v>
      </c>
      <c r="C30" s="7" t="str">
        <f>IFERROR(__xludf.DUMMYFUNCTION("""COMPUTED_VALUE"""),"MTs Putra")</f>
        <v>MTs Putra</v>
      </c>
      <c r="D30" s="7">
        <f>IFERROR(__xludf.DUMMYFUNCTION("""COMPUTED_VALUE"""),70.0)</f>
        <v>70</v>
      </c>
      <c r="E30" s="7">
        <f>IFERROR(__xludf.DUMMYFUNCTION("""COMPUTED_VALUE"""),73.0)</f>
        <v>73</v>
      </c>
      <c r="F30" s="7" t="str">
        <f>IFERROR(__xludf.DUMMYFUNCTION("""COMPUTED_VALUE"""),"B. Cadangan")</f>
        <v>B. Cadangan</v>
      </c>
      <c r="G30" s="7" t="str">
        <f>IFERROR(__xludf.DUMMYFUNCTION("""COMPUTED_VALUE"""),"Jusman")</f>
        <v>Jusman</v>
      </c>
      <c r="H30" s="8" t="str">
        <f>IFERROR(__xludf.DUMMYFUNCTION("""COMPUTED_VALUE"""),"Perlu banyak belajar lagi, agar tidak banyak salah dalam membaca al-Qur'an")</f>
        <v>Perlu banyak belajar lagi, agar tidak banyak salah dalam membaca al-Qur'an</v>
      </c>
      <c r="I30" s="5">
        <f t="shared" si="1"/>
        <v>71.5</v>
      </c>
    </row>
    <row r="31">
      <c r="A31" s="7" t="str">
        <f>IFERROR(__xludf.DUMMYFUNCTION("""COMPUTED_VALUE"""),"Keanu Azka Wibowo")</f>
        <v>Keanu Azka Wibowo</v>
      </c>
      <c r="B31" s="7" t="str">
        <f>IFERROR(__xludf.DUMMYFUNCTION("""COMPUTED_VALUE"""),"B250021")</f>
        <v>B250021</v>
      </c>
      <c r="C31" s="7" t="str">
        <f>IFERROR(__xludf.DUMMYFUNCTION("""COMPUTED_VALUE"""),"IL Putra")</f>
        <v>IL Putra</v>
      </c>
      <c r="D31" s="7">
        <f>IFERROR(__xludf.DUMMYFUNCTION("""COMPUTED_VALUE"""),90.0)</f>
        <v>90</v>
      </c>
      <c r="E31" s="7">
        <f>IFERROR(__xludf.DUMMYFUNCTION("""COMPUTED_VALUE"""),93.0)</f>
        <v>93</v>
      </c>
      <c r="F31" s="7" t="str">
        <f>IFERROR(__xludf.DUMMYFUNCTION("""COMPUTED_VALUE"""),"A. Diterima")</f>
        <v>A. Diterima</v>
      </c>
      <c r="G31" s="7" t="str">
        <f>IFERROR(__xludf.DUMMYFUNCTION("""COMPUTED_VALUE"""),"Fuad Khomsatun")</f>
        <v>Fuad Khomsatun</v>
      </c>
      <c r="H31" s="8" t="str">
        <f>IFERROR(__xludf.DUMMYFUNCTION("""COMPUTED_VALUE"""),"bagus kongkrit, tapi huruf Lam nya agak aneh dikit")</f>
        <v>bagus kongkrit, tapi huruf Lam nya agak aneh dikit</v>
      </c>
      <c r="I31" s="5">
        <f t="shared" si="1"/>
        <v>91.5</v>
      </c>
    </row>
    <row r="32">
      <c r="A32" s="7" t="str">
        <f>IFERROR(__xludf.DUMMYFUNCTION("""COMPUTED_VALUE"""),"Muhammad Hanif Ash Shidiq")</f>
        <v>Muhammad Hanif Ash Shidiq</v>
      </c>
      <c r="B32" s="7" t="str">
        <f>IFERROR(__xludf.DUMMYFUNCTION("""COMPUTED_VALUE"""),"A250048")</f>
        <v>A250048</v>
      </c>
      <c r="C32" s="7" t="str">
        <f>IFERROR(__xludf.DUMMYFUNCTION("""COMPUTED_VALUE"""),"MTs Putra")</f>
        <v>MTs Putra</v>
      </c>
      <c r="D32" s="7">
        <f>IFERROR(__xludf.DUMMYFUNCTION("""COMPUTED_VALUE"""),90.0)</f>
        <v>90</v>
      </c>
      <c r="E32" s="7">
        <f>IFERROR(__xludf.DUMMYFUNCTION("""COMPUTED_VALUE"""),87.0)</f>
        <v>87</v>
      </c>
      <c r="F32" s="7" t="str">
        <f>IFERROR(__xludf.DUMMYFUNCTION("""COMPUTED_VALUE"""),"A. Diterima")</f>
        <v>A. Diterima</v>
      </c>
      <c r="G32" s="7" t="str">
        <f>IFERROR(__xludf.DUMMYFUNCTION("""COMPUTED_VALUE"""),"Fuad Khomsatun")</f>
        <v>Fuad Khomsatun</v>
      </c>
      <c r="H32" s="8" t="str">
        <f>IFERROR(__xludf.DUMMYFUNCTION("""COMPUTED_VALUE"""),"Paten bin Kongkrit")</f>
        <v>Paten bin Kongkrit</v>
      </c>
      <c r="I32" s="5">
        <f t="shared" si="1"/>
        <v>88.5</v>
      </c>
    </row>
    <row r="33">
      <c r="A33" s="7" t="str">
        <f>IFERROR(__xludf.DUMMYFUNCTION("""COMPUTED_VALUE"""),"Nahnurizko Nabhan Faghali ")</f>
        <v>Nahnurizko Nabhan Faghali </v>
      </c>
      <c r="B33" s="7" t="str">
        <f>IFERROR(__xludf.DUMMYFUNCTION("""COMPUTED_VALUE"""),"A250009")</f>
        <v>A250009</v>
      </c>
      <c r="C33" s="7" t="str">
        <f>IFERROR(__xludf.DUMMYFUNCTION("""COMPUTED_VALUE"""),"MTs Putra")</f>
        <v>MTs Putra</v>
      </c>
      <c r="D33" s="7">
        <f>IFERROR(__xludf.DUMMYFUNCTION("""COMPUTED_VALUE"""),90.0)</f>
        <v>90</v>
      </c>
      <c r="E33" s="7">
        <f>IFERROR(__xludf.DUMMYFUNCTION("""COMPUTED_VALUE"""),92.0)</f>
        <v>92</v>
      </c>
      <c r="F33" s="7" t="str">
        <f>IFERROR(__xludf.DUMMYFUNCTION("""COMPUTED_VALUE"""),"A. Diterima")</f>
        <v>A. Diterima</v>
      </c>
      <c r="G33" s="7" t="str">
        <f>IFERROR(__xludf.DUMMYFUNCTION("""COMPUTED_VALUE"""),"Fuad Khomsatun")</f>
        <v>Fuad Khomsatun</v>
      </c>
      <c r="H33" s="8"/>
      <c r="I33" s="5">
        <f t="shared" si="1"/>
        <v>91</v>
      </c>
    </row>
    <row r="34">
      <c r="A34" s="7" t="str">
        <f>IFERROR(__xludf.DUMMYFUNCTION("""COMPUTED_VALUE"""),"Nouvalldy Farzani Prayoga ")</f>
        <v>Nouvalldy Farzani Prayoga </v>
      </c>
      <c r="B34" s="7" t="str">
        <f>IFERROR(__xludf.DUMMYFUNCTION("""COMPUTED_VALUE"""),"A250023")</f>
        <v>A250023</v>
      </c>
      <c r="C34" s="7" t="str">
        <f>IFERROR(__xludf.DUMMYFUNCTION("""COMPUTED_VALUE"""),"MTs Putra")</f>
        <v>MTs Putra</v>
      </c>
      <c r="D34" s="7">
        <f>IFERROR(__xludf.DUMMYFUNCTION("""COMPUTED_VALUE"""),60.0)</f>
        <v>60</v>
      </c>
      <c r="E34" s="7">
        <f>IFERROR(__xludf.DUMMYFUNCTION("""COMPUTED_VALUE"""),58.0)</f>
        <v>58</v>
      </c>
      <c r="F34" s="7" t="str">
        <f>IFERROR(__xludf.DUMMYFUNCTION("""COMPUTED_VALUE"""),"C. Ditolak")</f>
        <v>C. Ditolak</v>
      </c>
      <c r="G34" s="7" t="str">
        <f>IFERROR(__xludf.DUMMYFUNCTION("""COMPUTED_VALUE"""),"Fuad Khomsatun")</f>
        <v>Fuad Khomsatun</v>
      </c>
      <c r="H34" s="8" t="str">
        <f>IFERROR(__xludf.DUMMYFUNCTION("""COMPUTED_VALUE"""),"lumayan jauh tertinggaln")</f>
        <v>lumayan jauh tertinggaln</v>
      </c>
      <c r="I34" s="5">
        <f t="shared" si="1"/>
        <v>59</v>
      </c>
    </row>
    <row r="35">
      <c r="A35" s="9" t="str">
        <f>IFERROR(__xludf.DUMMYFUNCTION("""COMPUTED_VALUE"""),"Muhammad Arkan")</f>
        <v>Muhammad Arkan</v>
      </c>
      <c r="B35" s="9" t="str">
        <f>IFERROR(__xludf.DUMMYFUNCTION("""COMPUTED_VALUE"""),"A250037")</f>
        <v>A250037</v>
      </c>
      <c r="C35" s="9" t="str">
        <f>IFERROR(__xludf.DUMMYFUNCTION("""COMPUTED_VALUE"""),"MTs Putra")</f>
        <v>MTs Putra</v>
      </c>
      <c r="D35" s="9">
        <f>IFERROR(__xludf.DUMMYFUNCTION("""COMPUTED_VALUE"""),90.0)</f>
        <v>90</v>
      </c>
      <c r="E35" s="9">
        <f>IFERROR(__xludf.DUMMYFUNCTION("""COMPUTED_VALUE"""),95.0)</f>
        <v>95</v>
      </c>
      <c r="F35" s="9" t="str">
        <f>IFERROR(__xludf.DUMMYFUNCTION("""COMPUTED_VALUE"""),"A. Diterima")</f>
        <v>A. Diterima</v>
      </c>
      <c r="G35" s="9" t="str">
        <f>IFERROR(__xludf.DUMMYFUNCTION("""COMPUTED_VALUE"""),"Agus Cahyono")</f>
        <v>Agus Cahyono</v>
      </c>
      <c r="H35" s="10" t="str">
        <f>IFERROR(__xludf.DUMMYFUNCTION("""COMPUTED_VALUE"""),"Alhamdulillah")</f>
        <v>Alhamdulillah</v>
      </c>
      <c r="I35" s="11">
        <f t="shared" si="1"/>
        <v>92.5</v>
      </c>
      <c r="J35" s="9"/>
      <c r="K35" s="9"/>
      <c r="L35" s="9"/>
      <c r="M35" s="9"/>
      <c r="N35" s="9"/>
      <c r="O35" s="9"/>
      <c r="P35" s="9"/>
      <c r="Q35" s="9"/>
      <c r="R35" s="9"/>
      <c r="S35" s="9"/>
      <c r="T35" s="9"/>
      <c r="U35" s="9"/>
      <c r="V35" s="9"/>
      <c r="W35" s="9"/>
      <c r="X35" s="9"/>
      <c r="Y35" s="9"/>
      <c r="Z35" s="9"/>
    </row>
    <row r="36">
      <c r="A36" s="7" t="str">
        <f>IFERROR(__xludf.DUMMYFUNCTION("""COMPUTED_VALUE"""),"Sulthan Faqih Al Hadziq")</f>
        <v>Sulthan Faqih Al Hadziq</v>
      </c>
      <c r="B36" s="7" t="str">
        <f>IFERROR(__xludf.DUMMYFUNCTION("""COMPUTED_VALUE"""),"A250046")</f>
        <v>A250046</v>
      </c>
      <c r="C36" s="7" t="str">
        <f>IFERROR(__xludf.DUMMYFUNCTION("""COMPUTED_VALUE"""),"MTs Putra")</f>
        <v>MTs Putra</v>
      </c>
      <c r="D36" s="7">
        <f>IFERROR(__xludf.DUMMYFUNCTION("""COMPUTED_VALUE"""),93.0)</f>
        <v>93</v>
      </c>
      <c r="E36" s="7">
        <f>IFERROR(__xludf.DUMMYFUNCTION("""COMPUTED_VALUE"""),95.0)</f>
        <v>95</v>
      </c>
      <c r="F36" s="7" t="str">
        <f>IFERROR(__xludf.DUMMYFUNCTION("""COMPUTED_VALUE"""),"A. Diterima")</f>
        <v>A. Diterima</v>
      </c>
      <c r="G36" s="7" t="str">
        <f>IFERROR(__xludf.DUMMYFUNCTION("""COMPUTED_VALUE"""),"Agus Cahyono")</f>
        <v>Agus Cahyono</v>
      </c>
      <c r="H36" s="8" t="str">
        <f>IFERROR(__xludf.DUMMYFUNCTION("""COMPUTED_VALUE"""),"Alhamdulillah")</f>
        <v>Alhamdulillah</v>
      </c>
      <c r="I36" s="5">
        <f t="shared" si="1"/>
        <v>94</v>
      </c>
    </row>
    <row r="37">
      <c r="A37" s="7" t="str">
        <f>IFERROR(__xludf.DUMMYFUNCTION("""COMPUTED_VALUE"""),"Muhammad Umar Ali ")</f>
        <v>Muhammad Umar Ali </v>
      </c>
      <c r="B37" s="7" t="str">
        <f>IFERROR(__xludf.DUMMYFUNCTION("""COMPUTED_VALUE"""),"A250020")</f>
        <v>A250020</v>
      </c>
      <c r="C37" s="7" t="str">
        <f>IFERROR(__xludf.DUMMYFUNCTION("""COMPUTED_VALUE"""),"MTs Putra")</f>
        <v>MTs Putra</v>
      </c>
      <c r="D37" s="7">
        <f>IFERROR(__xludf.DUMMYFUNCTION("""COMPUTED_VALUE"""),78.0)</f>
        <v>78</v>
      </c>
      <c r="E37" s="7">
        <f>IFERROR(__xludf.DUMMYFUNCTION("""COMPUTED_VALUE"""),75.0)</f>
        <v>75</v>
      </c>
      <c r="F37" s="7" t="str">
        <f>IFERROR(__xludf.DUMMYFUNCTION("""COMPUTED_VALUE"""),"B. Cadangan")</f>
        <v>B. Cadangan</v>
      </c>
      <c r="G37" s="7" t="str">
        <f>IFERROR(__xludf.DUMMYFUNCTION("""COMPUTED_VALUE"""),"Fuad Khomsatun")</f>
        <v>Fuad Khomsatun</v>
      </c>
      <c r="H37" s="8" t="str">
        <f>IFERROR(__xludf.DUMMYFUNCTION("""COMPUTED_VALUE"""),"makhroj lumayan bagus, mad dan ghunnah tidak terlalu parah. Tapi kelimpungan dalam membaca pada beberapa kalimat dalam Al Qur'an ")</f>
        <v>makhroj lumayan bagus, mad dan ghunnah tidak terlalu parah. Tapi kelimpungan dalam membaca pada beberapa kalimat dalam Al Qur'an </v>
      </c>
      <c r="I37" s="5">
        <f t="shared" si="1"/>
        <v>76.5</v>
      </c>
    </row>
    <row r="38">
      <c r="A38" s="7" t="str">
        <f>IFERROR(__xludf.DUMMYFUNCTION("""COMPUTED_VALUE"""),"Muhammad Usman Ali")</f>
        <v>Muhammad Usman Ali</v>
      </c>
      <c r="B38" s="7" t="str">
        <f>IFERROR(__xludf.DUMMYFUNCTION("""COMPUTED_VALUE"""),"A250018")</f>
        <v>A250018</v>
      </c>
      <c r="C38" s="7" t="str">
        <f>IFERROR(__xludf.DUMMYFUNCTION("""COMPUTED_VALUE"""),"MTs Putra")</f>
        <v>MTs Putra</v>
      </c>
      <c r="D38" s="7">
        <f>IFERROR(__xludf.DUMMYFUNCTION("""COMPUTED_VALUE"""),65.0)</f>
        <v>65</v>
      </c>
      <c r="E38" s="7">
        <f>IFERROR(__xludf.DUMMYFUNCTION("""COMPUTED_VALUE"""),60.0)</f>
        <v>60</v>
      </c>
      <c r="F38" s="7" t="str">
        <f>IFERROR(__xludf.DUMMYFUNCTION("""COMPUTED_VALUE"""),"C. Ditolak")</f>
        <v>C. Ditolak</v>
      </c>
      <c r="G38" s="7" t="str">
        <f>IFERROR(__xludf.DUMMYFUNCTION("""COMPUTED_VALUE"""),"Fuad Khomsatun")</f>
        <v>Fuad Khomsatun</v>
      </c>
      <c r="H38" s="8" t="str">
        <f>IFERROR(__xludf.DUMMYFUNCTION("""COMPUTED_VALUE"""),"Kalo makhroj lumayan, tapi tajwid dan kelancaran kurang konkret. Berbeda dgn Umar ")</f>
        <v>Kalo makhroj lumayan, tapi tajwid dan kelancaran kurang konkret. Berbeda dgn Umar </v>
      </c>
      <c r="I38" s="5">
        <f t="shared" si="1"/>
        <v>62.5</v>
      </c>
    </row>
    <row r="39">
      <c r="A39" s="7" t="str">
        <f>IFERROR(__xludf.DUMMYFUNCTION("""COMPUTED_VALUE"""),"Muhammad Hilmy Ilyasa Rizal")</f>
        <v>Muhammad Hilmy Ilyasa Rizal</v>
      </c>
      <c r="B39" s="7" t="str">
        <f>IFERROR(__xludf.DUMMYFUNCTION("""COMPUTED_VALUE"""),"A250014")</f>
        <v>A250014</v>
      </c>
      <c r="C39" s="7" t="str">
        <f>IFERROR(__xludf.DUMMYFUNCTION("""COMPUTED_VALUE"""),"MTs Putra")</f>
        <v>MTs Putra</v>
      </c>
      <c r="D39" s="7">
        <f>IFERROR(__xludf.DUMMYFUNCTION("""COMPUTED_VALUE"""),87.0)</f>
        <v>87</v>
      </c>
      <c r="E39" s="7">
        <f>IFERROR(__xludf.DUMMYFUNCTION("""COMPUTED_VALUE"""),85.0)</f>
        <v>85</v>
      </c>
      <c r="F39" s="7" t="str">
        <f>IFERROR(__xludf.DUMMYFUNCTION("""COMPUTED_VALUE"""),"A. Diterima")</f>
        <v>A. Diterima</v>
      </c>
      <c r="G39" s="7" t="str">
        <f>IFERROR(__xludf.DUMMYFUNCTION("""COMPUTED_VALUE"""),"Agus Cahyono")</f>
        <v>Agus Cahyono</v>
      </c>
      <c r="H39" s="8" t="str">
        <f>IFERROR(__xludf.DUMMYFUNCTION("""COMPUTED_VALUE"""),"1. Ananda Kurang teliti ketika membaca.
")</f>
        <v>1. Ananda Kurang teliti ketika membaca.
</v>
      </c>
      <c r="I39" s="5">
        <f t="shared" si="1"/>
        <v>86</v>
      </c>
    </row>
    <row r="40">
      <c r="A40" s="7" t="str">
        <f>IFERROR(__xludf.DUMMYFUNCTION("""COMPUTED_VALUE"""),"Wahid Ahmad Nugraha")</f>
        <v>Wahid Ahmad Nugraha</v>
      </c>
      <c r="B40" s="7" t="str">
        <f>IFERROR(__xludf.DUMMYFUNCTION("""COMPUTED_VALUE"""),"A250043")</f>
        <v>A250043</v>
      </c>
      <c r="C40" s="7" t="str">
        <f>IFERROR(__xludf.DUMMYFUNCTION("""COMPUTED_VALUE"""),"MTs Putra")</f>
        <v>MTs Putra</v>
      </c>
      <c r="D40" s="7">
        <f>IFERROR(__xludf.DUMMYFUNCTION("""COMPUTED_VALUE"""),80.0)</f>
        <v>80</v>
      </c>
      <c r="E40" s="7">
        <f>IFERROR(__xludf.DUMMYFUNCTION("""COMPUTED_VALUE"""),75.0)</f>
        <v>75</v>
      </c>
      <c r="F40" s="7" t="str">
        <f>IFERROR(__xludf.DUMMYFUNCTION("""COMPUTED_VALUE"""),"B. Cadangan")</f>
        <v>B. Cadangan</v>
      </c>
      <c r="G40" s="7" t="str">
        <f>IFERROR(__xludf.DUMMYFUNCTION("""COMPUTED_VALUE"""),"Jusman")</f>
        <v>Jusman</v>
      </c>
      <c r="H40" s="8" t="str">
        <f>IFERROR(__xludf.DUMMYFUNCTION("""COMPUTED_VALUE"""),"Terus belajar dan dilatih terus lisannya dengan memperbanyak baca Al-Qur'an")</f>
        <v>Terus belajar dan dilatih terus lisannya dengan memperbanyak baca Al-Qur'an</v>
      </c>
      <c r="I40" s="5">
        <f t="shared" si="1"/>
        <v>77.5</v>
      </c>
    </row>
    <row r="41">
      <c r="A41" s="7" t="str">
        <f>IFERROR(__xludf.DUMMYFUNCTION("""COMPUTED_VALUE"""),"Faiz Abdussalam Taslim Budidoyo")</f>
        <v>Faiz Abdussalam Taslim Budidoyo</v>
      </c>
      <c r="B41" s="7" t="str">
        <f>IFERROR(__xludf.DUMMYFUNCTION("""COMPUTED_VALUE"""),"B250014")</f>
        <v>B250014</v>
      </c>
      <c r="C41" s="7" t="str">
        <f>IFERROR(__xludf.DUMMYFUNCTION("""COMPUTED_VALUE"""),"IL Putra")</f>
        <v>IL Putra</v>
      </c>
      <c r="D41" s="7">
        <f>IFERROR(__xludf.DUMMYFUNCTION("""COMPUTED_VALUE"""),88.0)</f>
        <v>88</v>
      </c>
      <c r="E41" s="7">
        <f>IFERROR(__xludf.DUMMYFUNCTION("""COMPUTED_VALUE"""),90.0)</f>
        <v>90</v>
      </c>
      <c r="F41" s="7" t="str">
        <f>IFERROR(__xludf.DUMMYFUNCTION("""COMPUTED_VALUE"""),"A. Diterima")</f>
        <v>A. Diterima</v>
      </c>
      <c r="G41" s="7" t="str">
        <f>IFERROR(__xludf.DUMMYFUNCTION("""COMPUTED_VALUE"""),"Agus Cahyono")</f>
        <v>Agus Cahyono</v>
      </c>
      <c r="H41" s="8" t="str">
        <f>IFERROR(__xludf.DUMMYFUNCTION("""COMPUTED_VALUE"""),"Alhamdulillah ananda sudah memiliki hafalan 7 juz,
Tp keterangan ananda belum mutqin semua.
")</f>
        <v>Alhamdulillah ananda sudah memiliki hafalan 7 juz,
Tp keterangan ananda belum mutqin semua.
</v>
      </c>
      <c r="I41" s="5">
        <f t="shared" si="1"/>
        <v>89</v>
      </c>
    </row>
    <row r="42">
      <c r="A42" s="7" t="str">
        <f>IFERROR(__xludf.DUMMYFUNCTION("""COMPUTED_VALUE"""),"Hamzah Aqil")</f>
        <v>Hamzah Aqil</v>
      </c>
      <c r="B42" s="7" t="str">
        <f>IFERROR(__xludf.DUMMYFUNCTION("""COMPUTED_VALUE"""),"A250057")</f>
        <v>A250057</v>
      </c>
      <c r="C42" s="7" t="str">
        <f>IFERROR(__xludf.DUMMYFUNCTION("""COMPUTED_VALUE"""),"MTs Putra")</f>
        <v>MTs Putra</v>
      </c>
      <c r="D42" s="7">
        <f>IFERROR(__xludf.DUMMYFUNCTION("""COMPUTED_VALUE"""),80.0)</f>
        <v>80</v>
      </c>
      <c r="E42" s="7">
        <f>IFERROR(__xludf.DUMMYFUNCTION("""COMPUTED_VALUE"""),85.0)</f>
        <v>85</v>
      </c>
      <c r="F42" s="7" t="str">
        <f>IFERROR(__xludf.DUMMYFUNCTION("""COMPUTED_VALUE"""),"B. Cadangan")</f>
        <v>B. Cadangan</v>
      </c>
      <c r="G42" s="7" t="str">
        <f>IFERROR(__xludf.DUMMYFUNCTION("""COMPUTED_VALUE"""),"Agus Cahyono")</f>
        <v>Agus Cahyono</v>
      </c>
      <c r="H42" s="8" t="str">
        <f>IFERROR(__xludf.DUMMYFUNCTION("""COMPUTED_VALUE"""),"Ananda masih perlu banyak berlatih,sehingga kelancarannya bisa di atasi demikian juga dgn hukum tajwid nya. 
Semoga allah mudahkan untuk semua. ")</f>
        <v>Ananda masih perlu banyak berlatih,sehingga kelancarannya bisa di atasi demikian juga dgn hukum tajwid nya. 
Semoga allah mudahkan untuk semua. </v>
      </c>
      <c r="I42" s="5">
        <f t="shared" si="1"/>
        <v>82.5</v>
      </c>
    </row>
    <row r="43">
      <c r="A43" s="7" t="str">
        <f>IFERROR(__xludf.DUMMYFUNCTION("""COMPUTED_VALUE"""),"Farhan Ibadurrohman")</f>
        <v>Farhan Ibadurrohman</v>
      </c>
      <c r="B43" s="7" t="str">
        <f>IFERROR(__xludf.DUMMYFUNCTION("""COMPUTED_VALUE"""),"B250018")</f>
        <v>B250018</v>
      </c>
      <c r="C43" s="7" t="str">
        <f>IFERROR(__xludf.DUMMYFUNCTION("""COMPUTED_VALUE"""),"IL Putra")</f>
        <v>IL Putra</v>
      </c>
      <c r="D43" s="7">
        <f>IFERROR(__xludf.DUMMYFUNCTION("""COMPUTED_VALUE"""),90.0)</f>
        <v>90</v>
      </c>
      <c r="E43" s="7">
        <f>IFERROR(__xludf.DUMMYFUNCTION("""COMPUTED_VALUE"""),90.0)</f>
        <v>90</v>
      </c>
      <c r="F43" s="7" t="str">
        <f>IFERROR(__xludf.DUMMYFUNCTION("""COMPUTED_VALUE"""),"A. Diterima")</f>
        <v>A. Diterima</v>
      </c>
      <c r="G43" s="7" t="str">
        <f>IFERROR(__xludf.DUMMYFUNCTION("""COMPUTED_VALUE"""),"Agus Cahyono")</f>
        <v>Agus Cahyono</v>
      </c>
      <c r="H43" s="8" t="str">
        <f>IFERROR(__xludf.DUMMYFUNCTION("""COMPUTED_VALUE"""),"Alhamdulillah ananda punya hafalan 7 juz
Tp belum lancar.")</f>
        <v>Alhamdulillah ananda punya hafalan 7 juz
Tp belum lancar.</v>
      </c>
      <c r="I43" s="5">
        <f t="shared" si="1"/>
        <v>90</v>
      </c>
    </row>
    <row r="44">
      <c r="A44" s="7" t="str">
        <f>IFERROR(__xludf.DUMMYFUNCTION("""COMPUTED_VALUE"""),"Hafizh Abdurrahman")</f>
        <v>Hafizh Abdurrahman</v>
      </c>
      <c r="B44" s="7" t="str">
        <f>IFERROR(__xludf.DUMMYFUNCTION("""COMPUTED_VALUE"""),"B250004")</f>
        <v>B250004</v>
      </c>
      <c r="C44" s="7" t="str">
        <f>IFERROR(__xludf.DUMMYFUNCTION("""COMPUTED_VALUE"""),"IL Putra")</f>
        <v>IL Putra</v>
      </c>
      <c r="D44" s="7">
        <f>IFERROR(__xludf.DUMMYFUNCTION("""COMPUTED_VALUE"""),75.0)</f>
        <v>75</v>
      </c>
      <c r="E44" s="7">
        <f>IFERROR(__xludf.DUMMYFUNCTION("""COMPUTED_VALUE"""),70.0)</f>
        <v>70</v>
      </c>
      <c r="F44" s="7" t="str">
        <f>IFERROR(__xludf.DUMMYFUNCTION("""COMPUTED_VALUE"""),"C. Ditolak")</f>
        <v>C. Ditolak</v>
      </c>
      <c r="G44" s="7" t="str">
        <f>IFERROR(__xludf.DUMMYFUNCTION("""COMPUTED_VALUE"""),"Agus Cahyono")</f>
        <v>Agus Cahyono</v>
      </c>
      <c r="H44" s="8"/>
      <c r="I44" s="5">
        <f t="shared" si="1"/>
        <v>72.5</v>
      </c>
    </row>
    <row r="45">
      <c r="A45" s="7" t="str">
        <f>IFERROR(__xludf.DUMMYFUNCTION("""COMPUTED_VALUE"""),"Ihsan Abdul Hakim")</f>
        <v>Ihsan Abdul Hakim</v>
      </c>
      <c r="B45" s="7" t="str">
        <f>IFERROR(__xludf.DUMMYFUNCTION("""COMPUTED_VALUE"""),"B250003")</f>
        <v>B250003</v>
      </c>
      <c r="C45" s="7" t="str">
        <f>IFERROR(__xludf.DUMMYFUNCTION("""COMPUTED_VALUE"""),"IL Putra")</f>
        <v>IL Putra</v>
      </c>
      <c r="D45" s="7">
        <f>IFERROR(__xludf.DUMMYFUNCTION("""COMPUTED_VALUE"""),99.0)</f>
        <v>99</v>
      </c>
      <c r="E45" s="7">
        <f>IFERROR(__xludf.DUMMYFUNCTION("""COMPUTED_VALUE"""),99.0)</f>
        <v>99</v>
      </c>
      <c r="F45" s="7" t="str">
        <f>IFERROR(__xludf.DUMMYFUNCTION("""COMPUTED_VALUE"""),"A. Diterima")</f>
        <v>A. Diterima</v>
      </c>
      <c r="G45" s="7" t="str">
        <f>IFERROR(__xludf.DUMMYFUNCTION("""COMPUTED_VALUE"""),"Agus Cahyono")</f>
        <v>Agus Cahyono</v>
      </c>
      <c r="H45" s="8" t="str">
        <f>IFERROR(__xludf.DUMMYFUNCTION("""COMPUTED_VALUE"""),"Sempurna hanya milik Allah Ta'ala,.
Alhamdulillah. ")</f>
        <v>Sempurna hanya milik Allah Ta'ala,.
Alhamdulillah. </v>
      </c>
      <c r="I45" s="5">
        <f t="shared" si="1"/>
        <v>99</v>
      </c>
    </row>
    <row r="46">
      <c r="A46" s="7" t="str">
        <f>IFERROR(__xludf.DUMMYFUNCTION("""COMPUTED_VALUE"""),"Muhammad Azzam Alhafizh")</f>
        <v>Muhammad Azzam Alhafizh</v>
      </c>
      <c r="B46" s="7" t="str">
        <f>IFERROR(__xludf.DUMMYFUNCTION("""COMPUTED_VALUE"""),"A250076")</f>
        <v>A250076</v>
      </c>
      <c r="C46" s="7" t="str">
        <f>IFERROR(__xludf.DUMMYFUNCTION("""COMPUTED_VALUE"""),"MTs Putra")</f>
        <v>MTs Putra</v>
      </c>
      <c r="D46" s="7">
        <f>IFERROR(__xludf.DUMMYFUNCTION("""COMPUTED_VALUE"""),60.0)</f>
        <v>60</v>
      </c>
      <c r="E46" s="7">
        <f>IFERROR(__xludf.DUMMYFUNCTION("""COMPUTED_VALUE"""),60.0)</f>
        <v>60</v>
      </c>
      <c r="F46" s="7" t="str">
        <f>IFERROR(__xludf.DUMMYFUNCTION("""COMPUTED_VALUE"""),"C. Ditolak")</f>
        <v>C. Ditolak</v>
      </c>
      <c r="G46" s="7" t="str">
        <f>IFERROR(__xludf.DUMMYFUNCTION("""COMPUTED_VALUE"""),"Agus Cahyono")</f>
        <v>Agus Cahyono</v>
      </c>
      <c r="H46" s="8"/>
      <c r="I46" s="5">
        <f t="shared" si="1"/>
        <v>60</v>
      </c>
    </row>
    <row r="47">
      <c r="A47" s="7" t="str">
        <f>IFERROR(__xludf.DUMMYFUNCTION("""COMPUTED_VALUE"""),"Ruwaifi")</f>
        <v>Ruwaifi</v>
      </c>
      <c r="B47" s="7" t="str">
        <f>IFERROR(__xludf.DUMMYFUNCTION("""COMPUTED_VALUE"""),"A250071")</f>
        <v>A250071</v>
      </c>
      <c r="C47" s="7" t="str">
        <f>IFERROR(__xludf.DUMMYFUNCTION("""COMPUTED_VALUE"""),"MTs Putra")</f>
        <v>MTs Putra</v>
      </c>
      <c r="D47" s="7">
        <f>IFERROR(__xludf.DUMMYFUNCTION("""COMPUTED_VALUE"""),75.0)</f>
        <v>75</v>
      </c>
      <c r="E47" s="7">
        <f>IFERROR(__xludf.DUMMYFUNCTION("""COMPUTED_VALUE"""),75.0)</f>
        <v>75</v>
      </c>
      <c r="F47" s="7" t="str">
        <f>IFERROR(__xludf.DUMMYFUNCTION("""COMPUTED_VALUE"""),"B. Cadangan")</f>
        <v>B. Cadangan</v>
      </c>
      <c r="G47" s="7" t="str">
        <f>IFERROR(__xludf.DUMMYFUNCTION("""COMPUTED_VALUE"""),"Agus Cahyono")</f>
        <v>Agus Cahyono</v>
      </c>
      <c r="H47" s="8"/>
      <c r="I47" s="5">
        <f t="shared" si="1"/>
        <v>75</v>
      </c>
    </row>
    <row r="48">
      <c r="A48" s="7" t="str">
        <f>IFERROR(__xludf.DUMMYFUNCTION("""COMPUTED_VALUE"""),"Yahya Azka Ya'sub")</f>
        <v>Yahya Azka Ya'sub</v>
      </c>
      <c r="B48" s="7" t="str">
        <f>IFERROR(__xludf.DUMMYFUNCTION("""COMPUTED_VALUE"""),"A250058")</f>
        <v>A250058</v>
      </c>
      <c r="C48" s="7" t="str">
        <f>IFERROR(__xludf.DUMMYFUNCTION("""COMPUTED_VALUE"""),"MTs Putra")</f>
        <v>MTs Putra</v>
      </c>
      <c r="D48" s="7">
        <f>IFERROR(__xludf.DUMMYFUNCTION("""COMPUTED_VALUE"""),95.0)</f>
        <v>95</v>
      </c>
      <c r="E48" s="7">
        <f>IFERROR(__xludf.DUMMYFUNCTION("""COMPUTED_VALUE"""),93.0)</f>
        <v>93</v>
      </c>
      <c r="F48" s="7" t="str">
        <f>IFERROR(__xludf.DUMMYFUNCTION("""COMPUTED_VALUE"""),"A. Diterima")</f>
        <v>A. Diterima</v>
      </c>
      <c r="G48" s="7" t="str">
        <f>IFERROR(__xludf.DUMMYFUNCTION("""COMPUTED_VALUE"""),"Jusman")</f>
        <v>Jusman</v>
      </c>
      <c r="H48" s="8"/>
      <c r="I48" s="5">
        <f t="shared" si="1"/>
        <v>94</v>
      </c>
    </row>
    <row r="49">
      <c r="A49" s="7" t="str">
        <f>IFERROR(__xludf.DUMMYFUNCTION("""COMPUTED_VALUE"""),"Fatih Kenzie Dzuliam Anado")</f>
        <v>Fatih Kenzie Dzuliam Anado</v>
      </c>
      <c r="B49" s="7" t="str">
        <f>IFERROR(__xludf.DUMMYFUNCTION("""COMPUTED_VALUE"""),"A250019")</f>
        <v>A250019</v>
      </c>
      <c r="C49" s="7" t="str">
        <f>IFERROR(__xludf.DUMMYFUNCTION("""COMPUTED_VALUE"""),"MTs Putra")</f>
        <v>MTs Putra</v>
      </c>
      <c r="D49" s="7">
        <f>IFERROR(__xludf.DUMMYFUNCTION("""COMPUTED_VALUE"""),90.0)</f>
        <v>90</v>
      </c>
      <c r="E49" s="7">
        <f>IFERROR(__xludf.DUMMYFUNCTION("""COMPUTED_VALUE"""),90.0)</f>
        <v>90</v>
      </c>
      <c r="F49" s="7" t="str">
        <f>IFERROR(__xludf.DUMMYFUNCTION("""COMPUTED_VALUE"""),"A. Diterima")</f>
        <v>A. Diterima</v>
      </c>
      <c r="G49" s="7" t="str">
        <f>IFERROR(__xludf.DUMMYFUNCTION("""COMPUTED_VALUE"""),"Agus Cahyono")</f>
        <v>Agus Cahyono</v>
      </c>
      <c r="H49" s="8" t="str">
        <f>IFERROR(__xludf.DUMMYFUNCTION("""COMPUTED_VALUE"""),"Alhamdulillah")</f>
        <v>Alhamdulillah</v>
      </c>
      <c r="I49" s="5">
        <f t="shared" si="1"/>
        <v>90</v>
      </c>
    </row>
    <row r="50">
      <c r="A50" s="7" t="str">
        <f>IFERROR(__xludf.DUMMYFUNCTION("""COMPUTED_VALUE"""),"Artka Hasbina Azhuary")</f>
        <v>Artka Hasbina Azhuary</v>
      </c>
      <c r="B50" s="7" t="str">
        <f>IFERROR(__xludf.DUMMYFUNCTION("""COMPUTED_VALUE"""),"A250032")</f>
        <v>A250032</v>
      </c>
      <c r="C50" s="7" t="str">
        <f>IFERROR(__xludf.DUMMYFUNCTION("""COMPUTED_VALUE"""),"MTs Putra")</f>
        <v>MTs Putra</v>
      </c>
      <c r="D50" s="7">
        <f>IFERROR(__xludf.DUMMYFUNCTION("""COMPUTED_VALUE"""),90.0)</f>
        <v>90</v>
      </c>
      <c r="E50" s="7">
        <f>IFERROR(__xludf.DUMMYFUNCTION("""COMPUTED_VALUE"""),87.0)</f>
        <v>87</v>
      </c>
      <c r="F50" s="7" t="str">
        <f>IFERROR(__xludf.DUMMYFUNCTION("""COMPUTED_VALUE"""),"A. Diterima")</f>
        <v>A. Diterima</v>
      </c>
      <c r="G50" s="7" t="str">
        <f>IFERROR(__xludf.DUMMYFUNCTION("""COMPUTED_VALUE"""),"Jusman")</f>
        <v>Jusman</v>
      </c>
      <c r="H50" s="8"/>
      <c r="I50" s="5">
        <f t="shared" si="1"/>
        <v>88.5</v>
      </c>
    </row>
    <row r="51">
      <c r="A51" s="7" t="str">
        <f>IFERROR(__xludf.DUMMYFUNCTION("""COMPUTED_VALUE"""),"Azka Khairul Ichsan Hasugian")</f>
        <v>Azka Khairul Ichsan Hasugian</v>
      </c>
      <c r="B51" s="7" t="str">
        <f>IFERROR(__xludf.DUMMYFUNCTION("""COMPUTED_VALUE"""),"A250033")</f>
        <v>A250033</v>
      </c>
      <c r="C51" s="7" t="str">
        <f>IFERROR(__xludf.DUMMYFUNCTION("""COMPUTED_VALUE"""),"MTs Putra")</f>
        <v>MTs Putra</v>
      </c>
      <c r="D51" s="7">
        <f>IFERROR(__xludf.DUMMYFUNCTION("""COMPUTED_VALUE"""),82.0)</f>
        <v>82</v>
      </c>
      <c r="E51" s="7">
        <f>IFERROR(__xludf.DUMMYFUNCTION("""COMPUTED_VALUE"""),80.0)</f>
        <v>80</v>
      </c>
      <c r="F51" s="7" t="str">
        <f>IFERROR(__xludf.DUMMYFUNCTION("""COMPUTED_VALUE"""),"B. Cadangan")</f>
        <v>B. Cadangan</v>
      </c>
      <c r="G51" s="7" t="str">
        <f>IFERROR(__xludf.DUMMYFUNCTION("""COMPUTED_VALUE"""),"Jusman")</f>
        <v>Jusman</v>
      </c>
      <c r="H51" s="8"/>
      <c r="I51" s="5">
        <f t="shared" si="1"/>
        <v>81</v>
      </c>
    </row>
    <row r="52">
      <c r="A52" s="7" t="str">
        <f>IFERROR(__xludf.DUMMYFUNCTION("""COMPUTED_VALUE"""),"Rezvan Zhian Agusto ")</f>
        <v>Rezvan Zhian Agusto </v>
      </c>
      <c r="B52" s="7" t="str">
        <f>IFERROR(__xludf.DUMMYFUNCTION("""COMPUTED_VALUE"""),"B250006")</f>
        <v>B250006</v>
      </c>
      <c r="C52" s="7" t="str">
        <f>IFERROR(__xludf.DUMMYFUNCTION("""COMPUTED_VALUE"""),"IL Putra")</f>
        <v>IL Putra</v>
      </c>
      <c r="D52" s="7">
        <f>IFERROR(__xludf.DUMMYFUNCTION("""COMPUTED_VALUE"""),60.0)</f>
        <v>60</v>
      </c>
      <c r="E52" s="7">
        <f>IFERROR(__xludf.DUMMYFUNCTION("""COMPUTED_VALUE"""),65.0)</f>
        <v>65</v>
      </c>
      <c r="F52" s="7" t="str">
        <f>IFERROR(__xludf.DUMMYFUNCTION("""COMPUTED_VALUE"""),"A. Diterima")</f>
        <v>A. Diterima</v>
      </c>
      <c r="G52" s="7" t="str">
        <f>IFERROR(__xludf.DUMMYFUNCTION("""COMPUTED_VALUE"""),"Fuad Khomsatun")</f>
        <v>Fuad Khomsatun</v>
      </c>
      <c r="H52" s="8" t="str">
        <f>IFERROR(__xludf.DUMMYFUNCTION("""COMPUTED_VALUE"""),"masih jauh dari harapan untuk jenjang IL (Abangnya Razqa 7a)")</f>
        <v>masih jauh dari harapan untuk jenjang IL (Abangnya Razqa 7a)</v>
      </c>
      <c r="I52" s="5">
        <f t="shared" si="1"/>
        <v>62.5</v>
      </c>
    </row>
    <row r="53">
      <c r="A53" s="7" t="str">
        <f>IFERROR(__xludf.DUMMYFUNCTION("""COMPUTED_VALUE"""),"Muhammad Kamil Athaillah Rizky")</f>
        <v>Muhammad Kamil Athaillah Rizky</v>
      </c>
      <c r="B53" s="7" t="str">
        <f>IFERROR(__xludf.DUMMYFUNCTION("""COMPUTED_VALUE"""),"A250053")</f>
        <v>A250053</v>
      </c>
      <c r="C53" s="7" t="str">
        <f>IFERROR(__xludf.DUMMYFUNCTION("""COMPUTED_VALUE"""),"MTs Putra")</f>
        <v>MTs Putra</v>
      </c>
      <c r="D53" s="7">
        <f>IFERROR(__xludf.DUMMYFUNCTION("""COMPUTED_VALUE"""),87.0)</f>
        <v>87</v>
      </c>
      <c r="E53" s="7">
        <f>IFERROR(__xludf.DUMMYFUNCTION("""COMPUTED_VALUE"""),90.0)</f>
        <v>90</v>
      </c>
      <c r="F53" s="7" t="str">
        <f>IFERROR(__xludf.DUMMYFUNCTION("""COMPUTED_VALUE"""),"A. Diterima")</f>
        <v>A. Diterima</v>
      </c>
      <c r="G53" s="7" t="str">
        <f>IFERROR(__xludf.DUMMYFUNCTION("""COMPUTED_VALUE"""),"Fuad Khomsatun")</f>
        <v>Fuad Khomsatun</v>
      </c>
      <c r="H53" s="8" t="str">
        <f>IFERROR(__xludf.DUMMYFUNCTION("""COMPUTED_VALUE"""),"bacaan bagus, tapi ada beberapa makhroj yg perlu diluruskan")</f>
        <v>bacaan bagus, tapi ada beberapa makhroj yg perlu diluruskan</v>
      </c>
      <c r="I53" s="5">
        <f t="shared" si="1"/>
        <v>88.5</v>
      </c>
    </row>
    <row r="54">
      <c r="A54" s="9" t="str">
        <f>IFERROR(__xludf.DUMMYFUNCTION("""COMPUTED_VALUE"""),"Arayyan Abdur Rashid ")</f>
        <v>Arayyan Abdur Rashid </v>
      </c>
      <c r="B54" s="9" t="str">
        <f>IFERROR(__xludf.DUMMYFUNCTION("""COMPUTED_VALUE"""),"A250015")</f>
        <v>A250015</v>
      </c>
      <c r="C54" s="9" t="str">
        <f>IFERROR(__xludf.DUMMYFUNCTION("""COMPUTED_VALUE"""),"MTs Putra")</f>
        <v>MTs Putra</v>
      </c>
      <c r="D54" s="9">
        <f>IFERROR(__xludf.DUMMYFUNCTION("""COMPUTED_VALUE"""),88.0)</f>
        <v>88</v>
      </c>
      <c r="E54" s="9">
        <f>IFERROR(__xludf.DUMMYFUNCTION("""COMPUTED_VALUE"""),90.0)</f>
        <v>90</v>
      </c>
      <c r="F54" s="9" t="str">
        <f>IFERROR(__xludf.DUMMYFUNCTION("""COMPUTED_VALUE"""),"A. Diterima")</f>
        <v>A. Diterima</v>
      </c>
      <c r="G54" s="9" t="str">
        <f>IFERROR(__xludf.DUMMYFUNCTION("""COMPUTED_VALUE"""),"Fuad Khomsatun")</f>
        <v>Fuad Khomsatun</v>
      </c>
      <c r="H54" s="10" t="str">
        <f>IFERROR(__xludf.DUMMYFUNCTION("""COMPUTED_VALUE"""),"konkret InsyaAllah, tapi Hamzah kadang terbaca 'Ain")</f>
        <v>konkret InsyaAllah, tapi Hamzah kadang terbaca 'Ain</v>
      </c>
      <c r="I54" s="11">
        <f t="shared" si="1"/>
        <v>89</v>
      </c>
      <c r="J54" s="9"/>
      <c r="K54" s="9"/>
      <c r="L54" s="9"/>
      <c r="M54" s="9"/>
      <c r="N54" s="9"/>
      <c r="O54" s="9"/>
      <c r="P54" s="9"/>
      <c r="Q54" s="9"/>
      <c r="R54" s="9"/>
      <c r="S54" s="9"/>
      <c r="T54" s="9"/>
      <c r="U54" s="9"/>
      <c r="V54" s="9"/>
      <c r="W54" s="9"/>
      <c r="X54" s="9"/>
      <c r="Y54" s="9"/>
      <c r="Z54" s="9"/>
    </row>
    <row r="55">
      <c r="A55" s="7" t="str">
        <f>IFERROR(__xludf.DUMMYFUNCTION("""COMPUTED_VALUE"""),"Sulthon Abrisam Karim ")</f>
        <v>Sulthon Abrisam Karim </v>
      </c>
      <c r="B55" s="7" t="str">
        <f>IFERROR(__xludf.DUMMYFUNCTION("""COMPUTED_VALUE"""),"A250041")</f>
        <v>A250041</v>
      </c>
      <c r="C55" s="7" t="str">
        <f>IFERROR(__xludf.DUMMYFUNCTION("""COMPUTED_VALUE"""),"MTs Putra")</f>
        <v>MTs Putra</v>
      </c>
      <c r="D55" s="7">
        <f>IFERROR(__xludf.DUMMYFUNCTION("""COMPUTED_VALUE"""),60.0)</f>
        <v>60</v>
      </c>
      <c r="E55" s="7">
        <f>IFERROR(__xludf.DUMMYFUNCTION("""COMPUTED_VALUE"""),55.0)</f>
        <v>55</v>
      </c>
      <c r="F55" s="7" t="str">
        <f>IFERROR(__xludf.DUMMYFUNCTION("""COMPUTED_VALUE"""),"C. Ditolak")</f>
        <v>C. Ditolak</v>
      </c>
      <c r="G55" s="7" t="str">
        <f>IFERROR(__xludf.DUMMYFUNCTION("""COMPUTED_VALUE"""),"Fuad Khomsatun")</f>
        <v>Fuad Khomsatun</v>
      </c>
      <c r="H55" s="8" t="str">
        <f>IFERROR(__xludf.DUMMYFUNCTION("""COMPUTED_VALUE"""),"mad dan ghunnah sangat jauh dari kriteria ")</f>
        <v>mad dan ghunnah sangat jauh dari kriteria </v>
      </c>
      <c r="I55" s="5">
        <f t="shared" si="1"/>
        <v>57.5</v>
      </c>
    </row>
    <row r="56">
      <c r="A56" s="7" t="str">
        <f>IFERROR(__xludf.DUMMYFUNCTION("""COMPUTED_VALUE"""),"Muhammad Raihan Alfawwaz ")</f>
        <v>Muhammad Raihan Alfawwaz </v>
      </c>
      <c r="B56" s="7" t="str">
        <f>IFERROR(__xludf.DUMMYFUNCTION("""COMPUTED_VALUE"""),"A250005")</f>
        <v>A250005</v>
      </c>
      <c r="C56" s="7" t="str">
        <f>IFERROR(__xludf.DUMMYFUNCTION("""COMPUTED_VALUE"""),"MTs Putra")</f>
        <v>MTs Putra</v>
      </c>
      <c r="D56" s="7">
        <f>IFERROR(__xludf.DUMMYFUNCTION("""COMPUTED_VALUE"""),87.0)</f>
        <v>87</v>
      </c>
      <c r="E56" s="7">
        <f>IFERROR(__xludf.DUMMYFUNCTION("""COMPUTED_VALUE"""),90.0)</f>
        <v>90</v>
      </c>
      <c r="F56" s="7" t="str">
        <f>IFERROR(__xludf.DUMMYFUNCTION("""COMPUTED_VALUE"""),"A. Diterima")</f>
        <v>A. Diterima</v>
      </c>
      <c r="G56" s="7" t="str">
        <f>IFERROR(__xludf.DUMMYFUNCTION("""COMPUTED_VALUE"""),"Fuad Khomsatun")</f>
        <v>Fuad Khomsatun</v>
      </c>
      <c r="H56" s="8" t="str">
        <f>IFERROR(__xludf.DUMMYFUNCTION("""COMPUTED_VALUE"""),"Jayyid Jiddan, tapi beberapa makhroj perlu perbaikan")</f>
        <v>Jayyid Jiddan, tapi beberapa makhroj perlu perbaikan</v>
      </c>
      <c r="I56" s="5">
        <f t="shared" si="1"/>
        <v>88.5</v>
      </c>
    </row>
    <row r="57">
      <c r="A57" s="7" t="str">
        <f>IFERROR(__xludf.DUMMYFUNCTION("""COMPUTED_VALUE"""),"Riyadi Wirawan ")</f>
        <v>Riyadi Wirawan </v>
      </c>
      <c r="B57" s="7" t="str">
        <f>IFERROR(__xludf.DUMMYFUNCTION("""COMPUTED_VALUE"""),"A250040")</f>
        <v>A250040</v>
      </c>
      <c r="C57" s="7" t="str">
        <f>IFERROR(__xludf.DUMMYFUNCTION("""COMPUTED_VALUE"""),"MTs Putra")</f>
        <v>MTs Putra</v>
      </c>
      <c r="D57" s="7">
        <f>IFERROR(__xludf.DUMMYFUNCTION("""COMPUTED_VALUE"""),55.0)</f>
        <v>55</v>
      </c>
      <c r="E57" s="7">
        <f>IFERROR(__xludf.DUMMYFUNCTION("""COMPUTED_VALUE"""),50.0)</f>
        <v>50</v>
      </c>
      <c r="F57" s="7" t="str">
        <f>IFERROR(__xludf.DUMMYFUNCTION("""COMPUTED_VALUE"""),"C. Ditolak")</f>
        <v>C. Ditolak</v>
      </c>
      <c r="G57" s="7" t="str">
        <f>IFERROR(__xludf.DUMMYFUNCTION("""COMPUTED_VALUE"""),"Fuad Khomsatun")</f>
        <v>Fuad Khomsatun</v>
      </c>
      <c r="H57" s="8" t="str">
        <f>IFERROR(__xludf.DUMMYFUNCTION("""COMPUTED_VALUE"""),"rosib banget ")</f>
        <v>rosib banget </v>
      </c>
      <c r="I57" s="5">
        <f t="shared" si="1"/>
        <v>52.5</v>
      </c>
    </row>
    <row r="58">
      <c r="A58" s="7" t="str">
        <f>IFERROR(__xludf.DUMMYFUNCTION("""COMPUTED_VALUE"""),"Raihan Farzin ")</f>
        <v>Raihan Farzin </v>
      </c>
      <c r="B58" s="7" t="str">
        <f>IFERROR(__xludf.DUMMYFUNCTION("""COMPUTED_VALUE"""),"B250005")</f>
        <v>B250005</v>
      </c>
      <c r="C58" s="7" t="str">
        <f>IFERROR(__xludf.DUMMYFUNCTION("""COMPUTED_VALUE"""),"IL Putra")</f>
        <v>IL Putra</v>
      </c>
      <c r="D58" s="7">
        <f>IFERROR(__xludf.DUMMYFUNCTION("""COMPUTED_VALUE"""),85.0)</f>
        <v>85</v>
      </c>
      <c r="E58" s="7">
        <f>IFERROR(__xludf.DUMMYFUNCTION("""COMPUTED_VALUE"""),87.0)</f>
        <v>87</v>
      </c>
      <c r="F58" s="7" t="str">
        <f>IFERROR(__xludf.DUMMYFUNCTION("""COMPUTED_VALUE"""),"A. Diterima")</f>
        <v>A. Diterima</v>
      </c>
      <c r="G58" s="7" t="str">
        <f>IFERROR(__xludf.DUMMYFUNCTION("""COMPUTED_VALUE"""),"Fuad Khomsatun")</f>
        <v>Fuad Khomsatun</v>
      </c>
      <c r="H58" s="8" t="str">
        <f>IFERROR(__xludf.DUMMYFUNCTION("""COMPUTED_VALUE"""),"Jayyid Jiddan")</f>
        <v>Jayyid Jiddan</v>
      </c>
      <c r="I58" s="5">
        <f t="shared" si="1"/>
        <v>86</v>
      </c>
    </row>
    <row r="59">
      <c r="A59" s="7" t="str">
        <f>IFERROR(__xludf.DUMMYFUNCTION("""COMPUTED_VALUE"""),"Granada Khansa El Qibtiya")</f>
        <v>Granada Khansa El Qibtiya</v>
      </c>
      <c r="B59" s="7" t="str">
        <f>IFERROR(__xludf.DUMMYFUNCTION("""COMPUTED_VALUE"""),"D250026")</f>
        <v>D250026</v>
      </c>
      <c r="C59" s="7" t="str">
        <f>IFERROR(__xludf.DUMMYFUNCTION("""COMPUTED_VALUE"""),"MTs Putri")</f>
        <v>MTs Putri</v>
      </c>
      <c r="D59" s="7">
        <f>IFERROR(__xludf.DUMMYFUNCTION("""COMPUTED_VALUE"""),80.0)</f>
        <v>80</v>
      </c>
      <c r="E59" s="7">
        <f>IFERROR(__xludf.DUMMYFUNCTION("""COMPUTED_VALUE"""),80.0)</f>
        <v>80</v>
      </c>
      <c r="F59" s="7" t="str">
        <f>IFERROR(__xludf.DUMMYFUNCTION("""COMPUTED_VALUE"""),"A. Diterima")</f>
        <v>A. Diterima</v>
      </c>
      <c r="G59" s="7" t="str">
        <f>IFERROR(__xludf.DUMMYFUNCTION("""COMPUTED_VALUE"""),"Andi Fatimah Azzahra Rahman")</f>
        <v>Andi Fatimah Azzahra Rahman</v>
      </c>
      <c r="H59" s="8" t="str">
        <f>IFERROR(__xludf.DUMMYFUNCTION("""COMPUTED_VALUE"""),"Saran di perbanyak baca al quran agar semakin lancar")</f>
        <v>Saran di perbanyak baca al quran agar semakin lancar</v>
      </c>
      <c r="I59" s="5">
        <f t="shared" si="1"/>
        <v>80</v>
      </c>
    </row>
    <row r="60">
      <c r="A60" s="9" t="str">
        <f>IFERROR(__xludf.DUMMYFUNCTION("""COMPUTED_VALUE"""),"Lazuardi Akbar Narendra")</f>
        <v>Lazuardi Akbar Narendra</v>
      </c>
      <c r="B60" s="9" t="str">
        <f>IFERROR(__xludf.DUMMYFUNCTION("""COMPUTED_VALUE"""),"A250007")</f>
        <v>A250007</v>
      </c>
      <c r="C60" s="9" t="str">
        <f>IFERROR(__xludf.DUMMYFUNCTION("""COMPUTED_VALUE"""),"MTs Putra")</f>
        <v>MTs Putra</v>
      </c>
      <c r="D60" s="9">
        <f>IFERROR(__xludf.DUMMYFUNCTION("""COMPUTED_VALUE"""),60.0)</f>
        <v>60</v>
      </c>
      <c r="E60" s="9">
        <f>IFERROR(__xludf.DUMMYFUNCTION("""COMPUTED_VALUE"""),60.0)</f>
        <v>60</v>
      </c>
      <c r="F60" s="9" t="str">
        <f>IFERROR(__xludf.DUMMYFUNCTION("""COMPUTED_VALUE"""),"C. Ditolak")</f>
        <v>C. Ditolak</v>
      </c>
      <c r="G60" s="9" t="str">
        <f>IFERROR(__xludf.DUMMYFUNCTION("""COMPUTED_VALUE"""),"Agus Cahyono")</f>
        <v>Agus Cahyono</v>
      </c>
      <c r="H60" s="10"/>
      <c r="I60" s="11">
        <f t="shared" si="1"/>
        <v>60</v>
      </c>
      <c r="J60" s="9"/>
      <c r="K60" s="9"/>
      <c r="L60" s="9"/>
      <c r="M60" s="9"/>
      <c r="N60" s="9"/>
      <c r="O60" s="9"/>
      <c r="P60" s="9"/>
      <c r="Q60" s="9"/>
      <c r="R60" s="9"/>
      <c r="S60" s="9"/>
      <c r="T60" s="9"/>
      <c r="U60" s="9"/>
      <c r="V60" s="9"/>
      <c r="W60" s="9"/>
      <c r="X60" s="9"/>
      <c r="Y60" s="9"/>
      <c r="Z60" s="9"/>
    </row>
    <row r="61">
      <c r="A61" s="7" t="str">
        <f>IFERROR(__xludf.DUMMYFUNCTION("""COMPUTED_VALUE"""),"Siti Arafah")</f>
        <v>Siti Arafah</v>
      </c>
      <c r="B61" s="7" t="str">
        <f>IFERROR(__xludf.DUMMYFUNCTION("""COMPUTED_VALUE"""),"E250008")</f>
        <v>E250008</v>
      </c>
      <c r="C61" s="7" t="str">
        <f>IFERROR(__xludf.DUMMYFUNCTION("""COMPUTED_VALUE"""),"IL Putri")</f>
        <v>IL Putri</v>
      </c>
      <c r="D61" s="7">
        <f>IFERROR(__xludf.DUMMYFUNCTION("""COMPUTED_VALUE"""),75.0)</f>
        <v>75</v>
      </c>
      <c r="E61" s="7">
        <f>IFERROR(__xludf.DUMMYFUNCTION("""COMPUTED_VALUE"""),85.0)</f>
        <v>85</v>
      </c>
      <c r="F61" s="7" t="str">
        <f>IFERROR(__xludf.DUMMYFUNCTION("""COMPUTED_VALUE"""),"A. Diterima")</f>
        <v>A. Diterima</v>
      </c>
      <c r="G61" s="7" t="str">
        <f>IFERROR(__xludf.DUMMYFUNCTION("""COMPUTED_VALUE"""),"Andi Fatimah Azzahra Rahman")</f>
        <v>Andi Fatimah Azzahra Rahman</v>
      </c>
      <c r="H61" s="8" t="str">
        <f>IFERROR(__xludf.DUMMYFUNCTION("""COMPUTED_VALUE"""),"Sebelum masuk pondok mohon diperbaiki makhorijul huruf dan hafalannya dilancarkan lagi dan di arahkan untuk semakin sering membaca Alquran agar semakin lancar.. juga saat membaca Alquran perhatikan huruf-hurufnya agar tidak salah huruf. ")</f>
        <v>Sebelum masuk pondok mohon diperbaiki makhorijul huruf dan hafalannya dilancarkan lagi dan di arahkan untuk semakin sering membaca Alquran agar semakin lancar.. juga saat membaca Alquran perhatikan huruf-hurufnya agar tidak salah huruf. </v>
      </c>
      <c r="I61" s="12">
        <f t="shared" si="1"/>
        <v>80</v>
      </c>
    </row>
    <row r="62">
      <c r="A62" s="7" t="str">
        <f>IFERROR(__xludf.DUMMYFUNCTION("""COMPUTED_VALUE"""),"Hanifah azahra putri")</f>
        <v>Hanifah azahra putri</v>
      </c>
      <c r="B62" s="7" t="str">
        <f>IFERROR(__xludf.DUMMYFUNCTION("""COMPUTED_VALUE"""),"D250022")</f>
        <v>D250022</v>
      </c>
      <c r="C62" s="7" t="str">
        <f>IFERROR(__xludf.DUMMYFUNCTION("""COMPUTED_VALUE"""),"MTs Putri")</f>
        <v>MTs Putri</v>
      </c>
      <c r="D62" s="7">
        <f>IFERROR(__xludf.DUMMYFUNCTION("""COMPUTED_VALUE"""),80.0)</f>
        <v>80</v>
      </c>
      <c r="E62" s="7">
        <f>IFERROR(__xludf.DUMMYFUNCTION("""COMPUTED_VALUE"""),75.0)</f>
        <v>75</v>
      </c>
      <c r="F62" s="7" t="str">
        <f>IFERROR(__xludf.DUMMYFUNCTION("""COMPUTED_VALUE"""),"A. Diterima")</f>
        <v>A. Diterima</v>
      </c>
      <c r="G62" s="7" t="str">
        <f>IFERROR(__xludf.DUMMYFUNCTION("""COMPUTED_VALUE"""),"Andi Fatimah Azzahra Rahman")</f>
        <v>Andi Fatimah Azzahra Rahman</v>
      </c>
      <c r="H62" s="8" t="str">
        <f>IFERROR(__xludf.DUMMYFUNCTION("""COMPUTED_VALUE"""),"Bacaan alqurannya diperbanyak lagi agar semakin lancar bacaannya")</f>
        <v>Bacaan alqurannya diperbanyak lagi agar semakin lancar bacaannya</v>
      </c>
      <c r="I62" s="12">
        <f t="shared" si="1"/>
        <v>77.5</v>
      </c>
    </row>
    <row r="63">
      <c r="A63" s="7" t="str">
        <f>IFERROR(__xludf.DUMMYFUNCTION("""COMPUTED_VALUE"""),"Janeeta Candy Hinata")</f>
        <v>Janeeta Candy Hinata</v>
      </c>
      <c r="B63" s="7" t="str">
        <f>IFERROR(__xludf.DUMMYFUNCTION("""COMPUTED_VALUE"""),"D250004")</f>
        <v>D250004</v>
      </c>
      <c r="C63" s="7" t="str">
        <f>IFERROR(__xludf.DUMMYFUNCTION("""COMPUTED_VALUE"""),"MTs Putri")</f>
        <v>MTs Putri</v>
      </c>
      <c r="D63" s="7">
        <f>IFERROR(__xludf.DUMMYFUNCTION("""COMPUTED_VALUE"""),90.0)</f>
        <v>90</v>
      </c>
      <c r="E63" s="7">
        <f>IFERROR(__xludf.DUMMYFUNCTION("""COMPUTED_VALUE"""),90.0)</f>
        <v>90</v>
      </c>
      <c r="F63" s="7" t="str">
        <f>IFERROR(__xludf.DUMMYFUNCTION("""COMPUTED_VALUE"""),"A. Diterima")</f>
        <v>A. Diterima</v>
      </c>
      <c r="G63" s="7" t="str">
        <f>IFERROR(__xludf.DUMMYFUNCTION("""COMPUTED_VALUE"""),"Andi Fatimah Azzahra Rahman")</f>
        <v>Andi Fatimah Azzahra Rahman</v>
      </c>
      <c r="H63" s="8"/>
      <c r="I63" s="12">
        <f t="shared" si="1"/>
        <v>90</v>
      </c>
    </row>
    <row r="64">
      <c r="A64" s="7" t="str">
        <f>IFERROR(__xludf.DUMMYFUNCTION("""COMPUTED_VALUE"""),"Shakira Nur Aisyah")</f>
        <v>Shakira Nur Aisyah</v>
      </c>
      <c r="B64" s="7" t="str">
        <f>IFERROR(__xludf.DUMMYFUNCTION("""COMPUTED_VALUE"""),"D250008")</f>
        <v>D250008</v>
      </c>
      <c r="C64" s="7" t="str">
        <f>IFERROR(__xludf.DUMMYFUNCTION("""COMPUTED_VALUE"""),"MTs Putri")</f>
        <v>MTs Putri</v>
      </c>
      <c r="D64" s="7">
        <f>IFERROR(__xludf.DUMMYFUNCTION("""COMPUTED_VALUE"""),70.0)</f>
        <v>70</v>
      </c>
      <c r="E64" s="7">
        <f>IFERROR(__xludf.DUMMYFUNCTION("""COMPUTED_VALUE"""),80.0)</f>
        <v>80</v>
      </c>
      <c r="F64" s="7" t="str">
        <f>IFERROR(__xludf.DUMMYFUNCTION("""COMPUTED_VALUE"""),"A. Diterima")</f>
        <v>A. Diterima</v>
      </c>
      <c r="G64" s="7" t="str">
        <f>IFERROR(__xludf.DUMMYFUNCTION("""COMPUTED_VALUE"""),"Andi Fatimah Azzahra Rahman")</f>
        <v>Andi Fatimah Azzahra Rahman</v>
      </c>
      <c r="H64" s="8" t="str">
        <f>IFERROR(__xludf.DUMMYFUNCTION("""COMPUTED_VALUE"""),"Sebelum masuk pondok harus melancarkan bacaan Alquran lagi dan belajar tajwid. ")</f>
        <v>Sebelum masuk pondok harus melancarkan bacaan Alquran lagi dan belajar tajwid. </v>
      </c>
      <c r="I64" s="12">
        <f t="shared" si="1"/>
        <v>75</v>
      </c>
    </row>
    <row r="65">
      <c r="A65" s="7" t="str">
        <f>IFERROR(__xludf.DUMMYFUNCTION("""COMPUTED_VALUE"""),"Qaesyara Siti Zafna Fitriyadi")</f>
        <v>Qaesyara Siti Zafna Fitriyadi</v>
      </c>
      <c r="B65" s="7" t="str">
        <f>IFERROR(__xludf.DUMMYFUNCTION("""COMPUTED_VALUE"""),"D250017")</f>
        <v>D250017</v>
      </c>
      <c r="C65" s="7" t="str">
        <f>IFERROR(__xludf.DUMMYFUNCTION("""COMPUTED_VALUE"""),"MTs Putri")</f>
        <v>MTs Putri</v>
      </c>
      <c r="D65" s="7">
        <f>IFERROR(__xludf.DUMMYFUNCTION("""COMPUTED_VALUE"""),80.0)</f>
        <v>80</v>
      </c>
      <c r="E65" s="7">
        <f>IFERROR(__xludf.DUMMYFUNCTION("""COMPUTED_VALUE"""),79.0)</f>
        <v>79</v>
      </c>
      <c r="F65" s="7" t="str">
        <f>IFERROR(__xludf.DUMMYFUNCTION("""COMPUTED_VALUE"""),"A. Diterima")</f>
        <v>A. Diterima</v>
      </c>
      <c r="G65" s="7" t="str">
        <f>IFERROR(__xludf.DUMMYFUNCTION("""COMPUTED_VALUE"""),"Andi Fatimah Azzahra Rahman")</f>
        <v>Andi Fatimah Azzahra Rahman</v>
      </c>
      <c r="H65" s="8" t="str">
        <f>IFERROR(__xludf.DUMMYFUNCTION("""COMPUTED_VALUE"""),"Sebelum masuk pondok diusahakan untuk banyak membaca Alquran agar bacaan semakin lancar dan melakukan bimbingan tajwid agar setiap huruf keluar dari makhorijul huruf dan hukum tajwidnya. ")</f>
        <v>Sebelum masuk pondok diusahakan untuk banyak membaca Alquran agar bacaan semakin lancar dan melakukan bimbingan tajwid agar setiap huruf keluar dari makhorijul huruf dan hukum tajwidnya. </v>
      </c>
      <c r="I65" s="12">
        <f t="shared" si="1"/>
        <v>79.5</v>
      </c>
    </row>
    <row r="66">
      <c r="A66" s="7" t="str">
        <f>IFERROR(__xludf.DUMMYFUNCTION("""COMPUTED_VALUE"""),"Siti Azizah")</f>
        <v>Siti Azizah</v>
      </c>
      <c r="B66" s="7" t="str">
        <f>IFERROR(__xludf.DUMMYFUNCTION("""COMPUTED_VALUE"""),"D250007")</f>
        <v>D250007</v>
      </c>
      <c r="C66" s="7" t="str">
        <f>IFERROR(__xludf.DUMMYFUNCTION("""COMPUTED_VALUE"""),"MTs Putri")</f>
        <v>MTs Putri</v>
      </c>
      <c r="D66" s="7">
        <f>IFERROR(__xludf.DUMMYFUNCTION("""COMPUTED_VALUE"""),85.0)</f>
        <v>85</v>
      </c>
      <c r="E66" s="7">
        <f>IFERROR(__xludf.DUMMYFUNCTION("""COMPUTED_VALUE"""),84.0)</f>
        <v>84</v>
      </c>
      <c r="F66" s="7" t="str">
        <f>IFERROR(__xludf.DUMMYFUNCTION("""COMPUTED_VALUE"""),"A. Diterima")</f>
        <v>A. Diterima</v>
      </c>
      <c r="G66" s="7" t="str">
        <f>IFERROR(__xludf.DUMMYFUNCTION("""COMPUTED_VALUE"""),"Andi Fatimah Azzahra Rahman")</f>
        <v>Andi Fatimah Azzahra Rahman</v>
      </c>
      <c r="H66" s="8" t="str">
        <f>IFERROR(__xludf.DUMMYFUNCTION("""COMPUTED_VALUE"""),"Lebih banyak lagi tilawah pelan-pelan perhatikan panjang pendek dan perbaiki lagi tajwid nya. ")</f>
        <v>Lebih banyak lagi tilawah pelan-pelan perhatikan panjang pendek dan perbaiki lagi tajwid nya. </v>
      </c>
      <c r="I66" s="12">
        <f t="shared" si="1"/>
        <v>84.5</v>
      </c>
    </row>
    <row r="67">
      <c r="A67" s="7" t="str">
        <f>IFERROR(__xludf.DUMMYFUNCTION("""COMPUTED_VALUE"""),"Adinda Humaira")</f>
        <v>Adinda Humaira</v>
      </c>
      <c r="B67" s="7" t="str">
        <f>IFERROR(__xludf.DUMMYFUNCTION("""COMPUTED_VALUE"""),"E250004")</f>
        <v>E250004</v>
      </c>
      <c r="C67" s="7" t="str">
        <f>IFERROR(__xludf.DUMMYFUNCTION("""COMPUTED_VALUE"""),"IL Putri")</f>
        <v>IL Putri</v>
      </c>
      <c r="D67" s="7">
        <f>IFERROR(__xludf.DUMMYFUNCTION("""COMPUTED_VALUE"""),80.0)</f>
        <v>80</v>
      </c>
      <c r="E67" s="7">
        <f>IFERROR(__xludf.DUMMYFUNCTION("""COMPUTED_VALUE"""),90.0)</f>
        <v>90</v>
      </c>
      <c r="F67" s="7" t="str">
        <f>IFERROR(__xludf.DUMMYFUNCTION("""COMPUTED_VALUE"""),"A. Diterima")</f>
        <v>A. Diterima</v>
      </c>
      <c r="G67" s="7" t="str">
        <f>IFERROR(__xludf.DUMMYFUNCTION("""COMPUTED_VALUE"""),"Andi Fatimah Azzahra Rahman")</f>
        <v>Andi Fatimah Azzahra Rahman</v>
      </c>
      <c r="H67" s="8" t="str">
        <f>IFERROR(__xludf.DUMMYFUNCTION("""COMPUTED_VALUE"""),"Sebelum masuk pondok lebih sering bimbingan perbaikan bacaan terutama pada panjang pendek dan makhorijul huruf saat membaca al quran .. hafalan di lancarkan lagi")</f>
        <v>Sebelum masuk pondok lebih sering bimbingan perbaikan bacaan terutama pada panjang pendek dan makhorijul huruf saat membaca al quran .. hafalan di lancarkan lagi</v>
      </c>
      <c r="I67" s="12">
        <f t="shared" si="1"/>
        <v>85</v>
      </c>
    </row>
    <row r="68">
      <c r="A68" s="7" t="str">
        <f>IFERROR(__xludf.DUMMYFUNCTION("""COMPUTED_VALUE"""),"Maryam Al-Kayyisah  ")</f>
        <v>Maryam Al-Kayyisah  </v>
      </c>
      <c r="B68" s="7" t="str">
        <f>IFERROR(__xludf.DUMMYFUNCTION("""COMPUTED_VALUE"""),"D250019")</f>
        <v>D250019</v>
      </c>
      <c r="C68" s="7" t="str">
        <f>IFERROR(__xludf.DUMMYFUNCTION("""COMPUTED_VALUE"""),"MTs Putri")</f>
        <v>MTs Putri</v>
      </c>
      <c r="D68" s="7">
        <f>IFERROR(__xludf.DUMMYFUNCTION("""COMPUTED_VALUE"""),95.0)</f>
        <v>95</v>
      </c>
      <c r="E68" s="7">
        <f>IFERROR(__xludf.DUMMYFUNCTION("""COMPUTED_VALUE"""),90.0)</f>
        <v>90</v>
      </c>
      <c r="F68" s="7" t="str">
        <f>IFERROR(__xludf.DUMMYFUNCTION("""COMPUTED_VALUE"""),"A. Diterima")</f>
        <v>A. Diterima</v>
      </c>
      <c r="G68" s="7" t="str">
        <f>IFERROR(__xludf.DUMMYFUNCTION("""COMPUTED_VALUE"""),"Andi Fatimah Azzahra Rahman")</f>
        <v>Andi Fatimah Azzahra Rahman</v>
      </c>
      <c r="H68" s="8"/>
      <c r="I68" s="12">
        <f t="shared" si="1"/>
        <v>92.5</v>
      </c>
    </row>
    <row r="69">
      <c r="A69" s="7" t="str">
        <f>IFERROR(__xludf.DUMMYFUNCTION("""COMPUTED_VALUE"""),"Rizkia Aulia Az zahra")</f>
        <v>Rizkia Aulia Az zahra</v>
      </c>
      <c r="B69" s="7" t="str">
        <f>IFERROR(__xludf.DUMMYFUNCTION("""COMPUTED_VALUE"""),"D250013")</f>
        <v>D250013</v>
      </c>
      <c r="C69" s="7" t="str">
        <f>IFERROR(__xludf.DUMMYFUNCTION("""COMPUTED_VALUE"""),"MTs Putri")</f>
        <v>MTs Putri</v>
      </c>
      <c r="D69" s="7">
        <f>IFERROR(__xludf.DUMMYFUNCTION("""COMPUTED_VALUE"""),90.0)</f>
        <v>90</v>
      </c>
      <c r="E69" s="7">
        <f>IFERROR(__xludf.DUMMYFUNCTION("""COMPUTED_VALUE"""),80.0)</f>
        <v>80</v>
      </c>
      <c r="F69" s="7" t="str">
        <f>IFERROR(__xludf.DUMMYFUNCTION("""COMPUTED_VALUE"""),"A. Diterima")</f>
        <v>A. Diterima</v>
      </c>
      <c r="G69" s="7" t="str">
        <f>IFERROR(__xludf.DUMMYFUNCTION("""COMPUTED_VALUE"""),"Andi Fatimah Azzahra Rahman")</f>
        <v>Andi Fatimah Azzahra Rahman</v>
      </c>
      <c r="H69" s="8" t="str">
        <f>IFERROR(__xludf.DUMMYFUNCTION("""COMPUTED_VALUE"""),"Bimbingan kelancaran bacaan lagi sebelum masuk pondok ")</f>
        <v>Bimbingan kelancaran bacaan lagi sebelum masuk pondok </v>
      </c>
      <c r="I69" s="12">
        <f t="shared" si="1"/>
        <v>85</v>
      </c>
    </row>
    <row r="70">
      <c r="A70" s="7" t="str">
        <f>IFERROR(__xludf.DUMMYFUNCTION("""COMPUTED_VALUE"""),"alesha az zahra saputra")</f>
        <v>alesha az zahra saputra</v>
      </c>
      <c r="B70" s="7" t="str">
        <f>IFERROR(__xludf.DUMMYFUNCTION("""COMPUTED_VALUE"""),"D250011")</f>
        <v>D250011</v>
      </c>
      <c r="C70" s="7" t="str">
        <f>IFERROR(__xludf.DUMMYFUNCTION("""COMPUTED_VALUE"""),"MTs Putri")</f>
        <v>MTs Putri</v>
      </c>
      <c r="D70" s="7">
        <f>IFERROR(__xludf.DUMMYFUNCTION("""COMPUTED_VALUE"""),78.0)</f>
        <v>78</v>
      </c>
      <c r="E70" s="7">
        <f>IFERROR(__xludf.DUMMYFUNCTION("""COMPUTED_VALUE"""),80.0)</f>
        <v>80</v>
      </c>
      <c r="F70" s="7" t="str">
        <f>IFERROR(__xludf.DUMMYFUNCTION("""COMPUTED_VALUE"""),"A. Diterima")</f>
        <v>A. Diterima</v>
      </c>
      <c r="G70" s="7" t="str">
        <f>IFERROR(__xludf.DUMMYFUNCTION("""COMPUTED_VALUE"""),"Andi Fatimah Azzahra Rahman")</f>
        <v>Andi Fatimah Azzahra Rahman</v>
      </c>
      <c r="H70" s="8" t="str">
        <f>IFERROR(__xludf.DUMMYFUNCTION("""COMPUTED_VALUE"""),"Lebih giat membaca Alquran agar semakin lancar dan memperhatikan hukum tajwid sebelum masuk pondok")</f>
        <v>Lebih giat membaca Alquran agar semakin lancar dan memperhatikan hukum tajwid sebelum masuk pondok</v>
      </c>
      <c r="I70" s="12">
        <f t="shared" si="1"/>
        <v>79</v>
      </c>
    </row>
    <row r="71">
      <c r="A71" s="7" t="str">
        <f>IFERROR(__xludf.DUMMYFUNCTION("""COMPUTED_VALUE"""),"Nisrina Qurrota Aini ")</f>
        <v>Nisrina Qurrota Aini </v>
      </c>
      <c r="B71" s="7" t="str">
        <f>IFERROR(__xludf.DUMMYFUNCTION("""COMPUTED_VALUE"""),"E250003")</f>
        <v>E250003</v>
      </c>
      <c r="C71" s="7" t="str">
        <f>IFERROR(__xludf.DUMMYFUNCTION("""COMPUTED_VALUE"""),"MTs Putri")</f>
        <v>MTs Putri</v>
      </c>
      <c r="D71" s="7">
        <f>IFERROR(__xludf.DUMMYFUNCTION("""COMPUTED_VALUE"""),85.0)</f>
        <v>85</v>
      </c>
      <c r="E71" s="7">
        <f>IFERROR(__xludf.DUMMYFUNCTION("""COMPUTED_VALUE"""),90.0)</f>
        <v>90</v>
      </c>
      <c r="F71" s="7" t="str">
        <f>IFERROR(__xludf.DUMMYFUNCTION("""COMPUTED_VALUE"""),"A. Diterima")</f>
        <v>A. Diterima</v>
      </c>
      <c r="G71" s="7" t="str">
        <f>IFERROR(__xludf.DUMMYFUNCTION("""COMPUTED_VALUE"""),"Andi Fatimah Azzahra Rahman")</f>
        <v>Andi Fatimah Azzahra Rahman</v>
      </c>
      <c r="H71" s="8" t="str">
        <f>IFERROR(__xludf.DUMMYFUNCTION("""COMPUTED_VALUE"""),"Lebih giat bimbingan tajwid dan dilancarkan kembali hafalannya")</f>
        <v>Lebih giat bimbingan tajwid dan dilancarkan kembali hafalannya</v>
      </c>
      <c r="I71" s="12">
        <f t="shared" si="1"/>
        <v>87.5</v>
      </c>
    </row>
    <row r="72">
      <c r="A72" s="7" t="str">
        <f>IFERROR(__xludf.DUMMYFUNCTION("""COMPUTED_VALUE"""),"Anastasya Putri")</f>
        <v>Anastasya Putri</v>
      </c>
      <c r="B72" s="7" t="str">
        <f>IFERROR(__xludf.DUMMYFUNCTION("""COMPUTED_VALUE"""),"D250012")</f>
        <v>D250012</v>
      </c>
      <c r="C72" s="7" t="str">
        <f>IFERROR(__xludf.DUMMYFUNCTION("""COMPUTED_VALUE"""),"MTs Putri")</f>
        <v>MTs Putri</v>
      </c>
      <c r="D72" s="7">
        <f>IFERROR(__xludf.DUMMYFUNCTION("""COMPUTED_VALUE"""),65.0)</f>
        <v>65</v>
      </c>
      <c r="E72" s="7">
        <f>IFERROR(__xludf.DUMMYFUNCTION("""COMPUTED_VALUE"""),65.0)</f>
        <v>65</v>
      </c>
      <c r="F72" s="7" t="str">
        <f>IFERROR(__xludf.DUMMYFUNCTION("""COMPUTED_VALUE"""),"B. Cadangan")</f>
        <v>B. Cadangan</v>
      </c>
      <c r="G72" s="7" t="str">
        <f>IFERROR(__xludf.DUMMYFUNCTION("""COMPUTED_VALUE"""),"Andi Fatimah Azzahra Rahman")</f>
        <v>Andi Fatimah Azzahra Rahman</v>
      </c>
      <c r="H72" s="8"/>
      <c r="I72" s="12">
        <f t="shared" si="1"/>
        <v>65</v>
      </c>
    </row>
    <row r="73">
      <c r="A73" s="7" t="str">
        <f>IFERROR(__xludf.DUMMYFUNCTION("""COMPUTED_VALUE"""),"Qisya Rahma Kamila")</f>
        <v>Qisya Rahma Kamila</v>
      </c>
      <c r="B73" s="7" t="str">
        <f>IFERROR(__xludf.DUMMYFUNCTION("""COMPUTED_VALUE"""),"D250001")</f>
        <v>D250001</v>
      </c>
      <c r="C73" s="7" t="str">
        <f>IFERROR(__xludf.DUMMYFUNCTION("""COMPUTED_VALUE"""),"MTs Putri")</f>
        <v>MTs Putri</v>
      </c>
      <c r="D73" s="7">
        <f>IFERROR(__xludf.DUMMYFUNCTION("""COMPUTED_VALUE"""),85.0)</f>
        <v>85</v>
      </c>
      <c r="E73" s="7">
        <f>IFERROR(__xludf.DUMMYFUNCTION("""COMPUTED_VALUE"""),85.0)</f>
        <v>85</v>
      </c>
      <c r="F73" s="7" t="str">
        <f>IFERROR(__xludf.DUMMYFUNCTION("""COMPUTED_VALUE"""),"A. Diterima")</f>
        <v>A. Diterima</v>
      </c>
      <c r="G73" s="7" t="str">
        <f>IFERROR(__xludf.DUMMYFUNCTION("""COMPUTED_VALUE"""),"Andi Fatimah Azzahra Rahman")</f>
        <v>Andi Fatimah Azzahra Rahman</v>
      </c>
      <c r="H73" s="8" t="str">
        <f>IFERROR(__xludf.DUMMYFUNCTION("""COMPUTED_VALUE"""),"Sebelum masuk pondok lebih giat bimbingan tahsin agar panjang pendek lebih stabil dan tajwid semakin baik")</f>
        <v>Sebelum masuk pondok lebih giat bimbingan tahsin agar panjang pendek lebih stabil dan tajwid semakin baik</v>
      </c>
      <c r="I73" s="12">
        <f t="shared" si="1"/>
        <v>85</v>
      </c>
    </row>
    <row r="74">
      <c r="A74" s="7" t="str">
        <f>IFERROR(__xludf.DUMMYFUNCTION("""COMPUTED_VALUE"""),"Muhammad Al Fatih Fadhly")</f>
        <v>Muhammad Al Fatih Fadhly</v>
      </c>
      <c r="B74" s="7" t="str">
        <f>IFERROR(__xludf.DUMMYFUNCTION("""COMPUTED_VALUE"""),"A250054")</f>
        <v>A250054</v>
      </c>
      <c r="C74" s="7" t="str">
        <f>IFERROR(__xludf.DUMMYFUNCTION("""COMPUTED_VALUE"""),"MTs Putra")</f>
        <v>MTs Putra</v>
      </c>
      <c r="D74" s="7">
        <f>IFERROR(__xludf.DUMMYFUNCTION("""COMPUTED_VALUE"""),80.0)</f>
        <v>80</v>
      </c>
      <c r="E74" s="7">
        <f>IFERROR(__xludf.DUMMYFUNCTION("""COMPUTED_VALUE"""),75.0)</f>
        <v>75</v>
      </c>
      <c r="F74" s="7" t="str">
        <f>IFERROR(__xludf.DUMMYFUNCTION("""COMPUTED_VALUE"""),"B. Cadangan")</f>
        <v>B. Cadangan</v>
      </c>
      <c r="G74" s="7" t="str">
        <f>IFERROR(__xludf.DUMMYFUNCTION("""COMPUTED_VALUE"""),"Jusman")</f>
        <v>Jusman</v>
      </c>
      <c r="H74" s="8"/>
      <c r="I74" s="12">
        <f t="shared" si="1"/>
        <v>77.5</v>
      </c>
    </row>
    <row r="75">
      <c r="A75" s="7" t="str">
        <f>IFERROR(__xludf.DUMMYFUNCTION("""COMPUTED_VALUE"""),"Adhyasta Widyadhana")</f>
        <v>Adhyasta Widyadhana</v>
      </c>
      <c r="B75" s="7" t="str">
        <f>IFERROR(__xludf.DUMMYFUNCTION("""COMPUTED_VALUE"""),"C250014")</f>
        <v>C250014</v>
      </c>
      <c r="C75" s="7" t="str">
        <f>IFERROR(__xludf.DUMMYFUNCTION("""COMPUTED_VALUE"""),"SMA Putra")</f>
        <v>SMA Putra</v>
      </c>
      <c r="D75" s="7">
        <f>IFERROR(__xludf.DUMMYFUNCTION("""COMPUTED_VALUE"""),95.0)</f>
        <v>95</v>
      </c>
      <c r="E75" s="7">
        <f>IFERROR(__xludf.DUMMYFUNCTION("""COMPUTED_VALUE"""),90.0)</f>
        <v>90</v>
      </c>
      <c r="F75" s="7" t="str">
        <f>IFERROR(__xludf.DUMMYFUNCTION("""COMPUTED_VALUE"""),"A. Diterima")</f>
        <v>A. Diterima</v>
      </c>
      <c r="G75" s="7" t="str">
        <f>IFERROR(__xludf.DUMMYFUNCTION("""COMPUTED_VALUE"""),"Jusman")</f>
        <v>Jusman</v>
      </c>
      <c r="H75" s="8" t="str">
        <f>IFERROR(__xludf.DUMMYFUNCTION("""COMPUTED_VALUE"""),"Alhamdulillah ketika tes hafalan banyak ayat yang bisa disambung")</f>
        <v>Alhamdulillah ketika tes hafalan banyak ayat yang bisa disambung</v>
      </c>
      <c r="I75" s="12">
        <f t="shared" si="1"/>
        <v>92.5</v>
      </c>
    </row>
    <row r="76">
      <c r="A76" s="7" t="str">
        <f>IFERROR(__xludf.DUMMYFUNCTION("""COMPUTED_VALUE"""),"Azkia Salsabila ")</f>
        <v>Azkia Salsabila </v>
      </c>
      <c r="B76" s="7" t="str">
        <f>IFERROR(__xludf.DUMMYFUNCTION("""COMPUTED_VALUE"""),"E250006")</f>
        <v>E250006</v>
      </c>
      <c r="C76" s="7" t="str">
        <f>IFERROR(__xludf.DUMMYFUNCTION("""COMPUTED_VALUE"""),"IL Putri")</f>
        <v>IL Putri</v>
      </c>
      <c r="D76" s="7">
        <f>IFERROR(__xludf.DUMMYFUNCTION("""COMPUTED_VALUE"""),90.0)</f>
        <v>90</v>
      </c>
      <c r="E76" s="7">
        <f>IFERROR(__xludf.DUMMYFUNCTION("""COMPUTED_VALUE"""),95.0)</f>
        <v>95</v>
      </c>
      <c r="F76" s="7" t="str">
        <f>IFERROR(__xludf.DUMMYFUNCTION("""COMPUTED_VALUE"""),"A. Diterima")</f>
        <v>A. Diterima</v>
      </c>
      <c r="G76" s="7" t="str">
        <f>IFERROR(__xludf.DUMMYFUNCTION("""COMPUTED_VALUE"""),"Andi Fatimah Azzahra Rahman")</f>
        <v>Andi Fatimah Azzahra Rahman</v>
      </c>
      <c r="H76" s="8"/>
      <c r="I76" s="12">
        <f t="shared" si="1"/>
        <v>92.5</v>
      </c>
    </row>
    <row r="77">
      <c r="A77" s="7" t="str">
        <f>IFERROR(__xludf.DUMMYFUNCTION("""COMPUTED_VALUE"""),"Hana Dwi Rinjani")</f>
        <v>Hana Dwi Rinjani</v>
      </c>
      <c r="B77" s="7" t="str">
        <f>IFERROR(__xludf.DUMMYFUNCTION("""COMPUTED_VALUE"""),"D250024")</f>
        <v>D250024</v>
      </c>
      <c r="C77" s="7" t="str">
        <f>IFERROR(__xludf.DUMMYFUNCTION("""COMPUTED_VALUE"""),"MTs Putri")</f>
        <v>MTs Putri</v>
      </c>
      <c r="D77" s="7">
        <f>IFERROR(__xludf.DUMMYFUNCTION("""COMPUTED_VALUE"""),85.0)</f>
        <v>85</v>
      </c>
      <c r="E77" s="7">
        <f>IFERROR(__xludf.DUMMYFUNCTION("""COMPUTED_VALUE"""),85.0)</f>
        <v>85</v>
      </c>
      <c r="F77" s="7" t="str">
        <f>IFERROR(__xludf.DUMMYFUNCTION("""COMPUTED_VALUE"""),"A. Diterima")</f>
        <v>A. Diterima</v>
      </c>
      <c r="G77" s="7" t="str">
        <f>IFERROR(__xludf.DUMMYFUNCTION("""COMPUTED_VALUE"""),"Andi Fatimah Azzahra Rahman")</f>
        <v>Andi Fatimah Azzahra Rahman</v>
      </c>
      <c r="H77" s="8" t="str">
        <f>IFERROR(__xludf.DUMMYFUNCTION("""COMPUTED_VALUE"""),"lebih giat bimbingan tahsin sebelum masuk pondok agar lebih baik panjang pendek nya")</f>
        <v>lebih giat bimbingan tahsin sebelum masuk pondok agar lebih baik panjang pendek nya</v>
      </c>
      <c r="I77" s="12">
        <f t="shared" si="1"/>
        <v>85</v>
      </c>
    </row>
    <row r="78">
      <c r="A78" s="7" t="str">
        <f>IFERROR(__xludf.DUMMYFUNCTION("""COMPUTED_VALUE"""),"Satria Ibrahim Tamaoki")</f>
        <v>Satria Ibrahim Tamaoki</v>
      </c>
      <c r="B78" s="7" t="str">
        <f>IFERROR(__xludf.DUMMYFUNCTION("""COMPUTED_VALUE"""),"A250072")</f>
        <v>A250072</v>
      </c>
      <c r="C78" s="7" t="str">
        <f>IFERROR(__xludf.DUMMYFUNCTION("""COMPUTED_VALUE"""),"MTs Putra")</f>
        <v>MTs Putra</v>
      </c>
      <c r="D78" s="7">
        <f>IFERROR(__xludf.DUMMYFUNCTION("""COMPUTED_VALUE"""),88.0)</f>
        <v>88</v>
      </c>
      <c r="E78" s="7">
        <f>IFERROR(__xludf.DUMMYFUNCTION("""COMPUTED_VALUE"""),87.0)</f>
        <v>87</v>
      </c>
      <c r="F78" s="7" t="str">
        <f>IFERROR(__xludf.DUMMYFUNCTION("""COMPUTED_VALUE"""),"A. Diterima")</f>
        <v>A. Diterima</v>
      </c>
      <c r="G78" s="7" t="str">
        <f>IFERROR(__xludf.DUMMYFUNCTION("""COMPUTED_VALUE"""),"Jusman")</f>
        <v>Jusman</v>
      </c>
      <c r="H78" s="8" t="str">
        <f>IFERROR(__xludf.DUMMYFUNCTION("""COMPUTED_VALUE"""),"Alhamdulillah, dari 15 soal yang dilontarkan untuk tes hafalan 1 Juz( Juz 30) hanya 2 soal yang perlu dibantu sedikit, selebihnya lancar. Ghunnahnya sudah bagus hanya ada beberapa kata yang tidak konsisten dalam penggunaan ghunnah.")</f>
        <v>Alhamdulillah, dari 15 soal yang dilontarkan untuk tes hafalan 1 Juz( Juz 30) hanya 2 soal yang perlu dibantu sedikit, selebihnya lancar. Ghunnahnya sudah bagus hanya ada beberapa kata yang tidak konsisten dalam penggunaan ghunnah.</v>
      </c>
      <c r="I78" s="12">
        <f t="shared" si="1"/>
        <v>87.5</v>
      </c>
    </row>
    <row r="79">
      <c r="A79" s="7" t="str">
        <f>IFERROR(__xludf.DUMMYFUNCTION("""COMPUTED_VALUE"""),"Abdurrahman Hafizh Ayyasi")</f>
        <v>Abdurrahman Hafizh Ayyasi</v>
      </c>
      <c r="B79" s="7" t="str">
        <f>IFERROR(__xludf.DUMMYFUNCTION("""COMPUTED_VALUE"""),"B250013")</f>
        <v>B250013</v>
      </c>
      <c r="C79" s="7" t="str">
        <f>IFERROR(__xludf.DUMMYFUNCTION("""COMPUTED_VALUE"""),"IL Putra")</f>
        <v>IL Putra</v>
      </c>
      <c r="D79" s="7">
        <f>IFERROR(__xludf.DUMMYFUNCTION("""COMPUTED_VALUE"""),70.0)</f>
        <v>70</v>
      </c>
      <c r="E79" s="7">
        <f>IFERROR(__xludf.DUMMYFUNCTION("""COMPUTED_VALUE"""),75.0)</f>
        <v>75</v>
      </c>
      <c r="F79" s="7" t="str">
        <f>IFERROR(__xludf.DUMMYFUNCTION("""COMPUTED_VALUE"""),"B. Cadangan")</f>
        <v>B. Cadangan</v>
      </c>
      <c r="G79" s="7" t="str">
        <f>IFERROR(__xludf.DUMMYFUNCTION("""COMPUTED_VALUE"""),"Fuad Khomsatun")</f>
        <v>Fuad Khomsatun</v>
      </c>
      <c r="H79" s="8" t="str">
        <f>IFERROR(__xludf.DUMMYFUNCTION("""COMPUTED_VALUE"""),"bacaan lancar ngawur")</f>
        <v>bacaan lancar ngawur</v>
      </c>
      <c r="I79" s="12">
        <f t="shared" si="1"/>
        <v>72.5</v>
      </c>
    </row>
    <row r="80">
      <c r="A80" s="7" t="str">
        <f>IFERROR(__xludf.DUMMYFUNCTION("""COMPUTED_VALUE"""),"Shafwan Iyadh Addarimy")</f>
        <v>Shafwan Iyadh Addarimy</v>
      </c>
      <c r="B80" s="7" t="str">
        <f>IFERROR(__xludf.DUMMYFUNCTION("""COMPUTED_VALUE"""),"A250024")</f>
        <v>A250024</v>
      </c>
      <c r="C80" s="7" t="str">
        <f>IFERROR(__xludf.DUMMYFUNCTION("""COMPUTED_VALUE"""),"MTs Putra")</f>
        <v>MTs Putra</v>
      </c>
      <c r="D80" s="7">
        <f>IFERROR(__xludf.DUMMYFUNCTION("""COMPUTED_VALUE"""),85.0)</f>
        <v>85</v>
      </c>
      <c r="E80" s="7">
        <f>IFERROR(__xludf.DUMMYFUNCTION("""COMPUTED_VALUE"""),87.0)</f>
        <v>87</v>
      </c>
      <c r="F80" s="7" t="str">
        <f>IFERROR(__xludf.DUMMYFUNCTION("""COMPUTED_VALUE"""),"A. Diterima")</f>
        <v>A. Diterima</v>
      </c>
      <c r="G80" s="7" t="str">
        <f>IFERROR(__xludf.DUMMYFUNCTION("""COMPUTED_VALUE"""),"Fuad Khomsatun")</f>
        <v>Fuad Khomsatun</v>
      </c>
      <c r="H80" s="8" t="str">
        <f>IFERROR(__xludf.DUMMYFUNCTION("""COMPUTED_VALUE"""),"abi nya agak ngegas beremosi ")</f>
        <v>abi nya agak ngegas beremosi </v>
      </c>
      <c r="I80" s="12">
        <f t="shared" si="1"/>
        <v>86</v>
      </c>
    </row>
    <row r="81">
      <c r="A81" s="7" t="str">
        <f>IFERROR(__xludf.DUMMYFUNCTION("""COMPUTED_VALUE"""),"Akhdan ")</f>
        <v>Akhdan </v>
      </c>
      <c r="B81" s="7" t="str">
        <f>IFERROR(__xludf.DUMMYFUNCTION("""COMPUTED_VALUE"""),"A250017")</f>
        <v>A250017</v>
      </c>
      <c r="C81" s="7" t="str">
        <f>IFERROR(__xludf.DUMMYFUNCTION("""COMPUTED_VALUE"""),"MTs Putra")</f>
        <v>MTs Putra</v>
      </c>
      <c r="D81" s="7">
        <f>IFERROR(__xludf.DUMMYFUNCTION("""COMPUTED_VALUE"""),82.0)</f>
        <v>82</v>
      </c>
      <c r="E81" s="7">
        <f>IFERROR(__xludf.DUMMYFUNCTION("""COMPUTED_VALUE"""),80.0)</f>
        <v>80</v>
      </c>
      <c r="F81" s="7" t="str">
        <f>IFERROR(__xludf.DUMMYFUNCTION("""COMPUTED_VALUE"""),"A. Diterima")</f>
        <v>A. Diterima</v>
      </c>
      <c r="G81" s="7" t="str">
        <f>IFERROR(__xludf.DUMMYFUNCTION("""COMPUTED_VALUE"""),"Fuad Khomsatun")</f>
        <v>Fuad Khomsatun</v>
      </c>
      <c r="H81" s="8"/>
      <c r="I81" s="12">
        <f t="shared" si="1"/>
        <v>81</v>
      </c>
    </row>
    <row r="82">
      <c r="A82" s="7" t="str">
        <f>IFERROR(__xludf.DUMMYFUNCTION("""COMPUTED_VALUE"""),"Alifadhilah Irhab Hauzan")</f>
        <v>Alifadhilah Irhab Hauzan</v>
      </c>
      <c r="B82" s="7" t="str">
        <f>IFERROR(__xludf.DUMMYFUNCTION("""COMPUTED_VALUE"""),"C250020")</f>
        <v>C250020</v>
      </c>
      <c r="C82" s="7" t="str">
        <f>IFERROR(__xludf.DUMMYFUNCTION("""COMPUTED_VALUE"""),"SMA Putra")</f>
        <v>SMA Putra</v>
      </c>
      <c r="D82" s="7">
        <f>IFERROR(__xludf.DUMMYFUNCTION("""COMPUTED_VALUE"""),75.0)</f>
        <v>75</v>
      </c>
      <c r="E82" s="7">
        <f>IFERROR(__xludf.DUMMYFUNCTION("""COMPUTED_VALUE"""),78.0)</f>
        <v>78</v>
      </c>
      <c r="F82" s="7" t="str">
        <f>IFERROR(__xludf.DUMMYFUNCTION("""COMPUTED_VALUE"""),"B. Cadangan")</f>
        <v>B. Cadangan</v>
      </c>
      <c r="G82" s="7" t="str">
        <f>IFERROR(__xludf.DUMMYFUNCTION("""COMPUTED_VALUE"""),"Fuad Khomsatun")</f>
        <v>Fuad Khomsatun</v>
      </c>
      <c r="H82" s="8" t="str">
        <f>IFERROR(__xludf.DUMMYFUNCTION("""COMPUTED_VALUE"""),"kurang konkret")</f>
        <v>kurang konkret</v>
      </c>
      <c r="I82" s="12">
        <f t="shared" si="1"/>
        <v>76.5</v>
      </c>
    </row>
    <row r="83">
      <c r="A83" s="7" t="str">
        <f>IFERROR(__xludf.DUMMYFUNCTION("""COMPUTED_VALUE"""),"Umar ")</f>
        <v>Umar </v>
      </c>
      <c r="B83" s="7" t="str">
        <f>IFERROR(__xludf.DUMMYFUNCTION("""COMPUTED_VALUE"""),"A250027")</f>
        <v>A250027</v>
      </c>
      <c r="C83" s="7" t="str">
        <f>IFERROR(__xludf.DUMMYFUNCTION("""COMPUTED_VALUE"""),"MTs Putra")</f>
        <v>MTs Putra</v>
      </c>
      <c r="D83" s="7">
        <f>IFERROR(__xludf.DUMMYFUNCTION("""COMPUTED_VALUE"""),75.0)</f>
        <v>75</v>
      </c>
      <c r="E83" s="7">
        <f>IFERROR(__xludf.DUMMYFUNCTION("""COMPUTED_VALUE"""),75.0)</f>
        <v>75</v>
      </c>
      <c r="F83" s="7" t="str">
        <f>IFERROR(__xludf.DUMMYFUNCTION("""COMPUTED_VALUE"""),"B. Cadangan")</f>
        <v>B. Cadangan</v>
      </c>
      <c r="G83" s="7" t="str">
        <f>IFERROR(__xludf.DUMMYFUNCTION("""COMPUTED_VALUE"""),"Fuad Khomsatun")</f>
        <v>Fuad Khomsatun</v>
      </c>
      <c r="H83" s="8" t="str">
        <f>IFERROR(__xludf.DUMMYFUNCTION("""COMPUTED_VALUE"""),"mad nya masih kurang dikit")</f>
        <v>mad nya masih kurang dikit</v>
      </c>
      <c r="I83" s="12">
        <f t="shared" si="1"/>
        <v>75</v>
      </c>
    </row>
    <row r="84">
      <c r="A84" s="7" t="str">
        <f>IFERROR(__xludf.DUMMYFUNCTION("""COMPUTED_VALUE"""),"Fatan Ihya As-sunnah A250031")</f>
        <v>Fatan Ihya As-sunnah A250031</v>
      </c>
      <c r="B84" s="7" t="str">
        <f>IFERROR(__xludf.DUMMYFUNCTION("""COMPUTED_VALUE"""),"A250031")</f>
        <v>A250031</v>
      </c>
      <c r="C84" s="7" t="str">
        <f>IFERROR(__xludf.DUMMYFUNCTION("""COMPUTED_VALUE"""),"MTs Putra")</f>
        <v>MTs Putra</v>
      </c>
      <c r="D84" s="7">
        <f>IFERROR(__xludf.DUMMYFUNCTION("""COMPUTED_VALUE"""),82.0)</f>
        <v>82</v>
      </c>
      <c r="E84" s="7">
        <f>IFERROR(__xludf.DUMMYFUNCTION("""COMPUTED_VALUE"""),80.0)</f>
        <v>80</v>
      </c>
      <c r="F84" s="7" t="str">
        <f>IFERROR(__xludf.DUMMYFUNCTION("""COMPUTED_VALUE"""),"A. Diterima")</f>
        <v>A. Diterima</v>
      </c>
      <c r="G84" s="7" t="str">
        <f>IFERROR(__xludf.DUMMYFUNCTION("""COMPUTED_VALUE"""),"Fuad Khomsatun")</f>
        <v>Fuad Khomsatun</v>
      </c>
      <c r="H84" s="8" t="str">
        <f>IFERROR(__xludf.DUMMYFUNCTION("""COMPUTED_VALUE"""),"nafas agak pendek, ada beberapa mad yg jadi qosr")</f>
        <v>nafas agak pendek, ada beberapa mad yg jadi qosr</v>
      </c>
      <c r="I84" s="12">
        <f t="shared" si="1"/>
        <v>81</v>
      </c>
    </row>
    <row r="85">
      <c r="A85" s="7" t="str">
        <f>IFERROR(__xludf.DUMMYFUNCTION("""COMPUTED_VALUE"""),"Nizar")</f>
        <v>Nizar</v>
      </c>
      <c r="B85" s="7" t="str">
        <f>IFERROR(__xludf.DUMMYFUNCTION("""COMPUTED_VALUE"""),"C250009")</f>
        <v>C250009</v>
      </c>
      <c r="C85" s="7" t="str">
        <f>IFERROR(__xludf.DUMMYFUNCTION("""COMPUTED_VALUE"""),"SMA Putra")</f>
        <v>SMA Putra</v>
      </c>
      <c r="D85" s="7">
        <f>IFERROR(__xludf.DUMMYFUNCTION("""COMPUTED_VALUE"""),95.0)</f>
        <v>95</v>
      </c>
      <c r="E85" s="7">
        <f>IFERROR(__xludf.DUMMYFUNCTION("""COMPUTED_VALUE"""),90.0)</f>
        <v>90</v>
      </c>
      <c r="F85" s="7" t="str">
        <f>IFERROR(__xludf.DUMMYFUNCTION("""COMPUTED_VALUE"""),"A. Diterima")</f>
        <v>A. Diterima</v>
      </c>
      <c r="G85" s="7" t="str">
        <f>IFERROR(__xludf.DUMMYFUNCTION("""COMPUTED_VALUE"""),"Jusman")</f>
        <v>Jusman</v>
      </c>
      <c r="H85" s="8" t="str">
        <f>IFERROR(__xludf.DUMMYFUNCTION("""COMPUTED_VALUE"""),"Alhamdulillah dari 15 soal yang diujikan mulai juz 27-30, ananda Nizar menjawab dengan baik kecuali 2 soal yang dibantu")</f>
        <v>Alhamdulillah dari 15 soal yang diujikan mulai juz 27-30, ananda Nizar menjawab dengan baik kecuali 2 soal yang dibantu</v>
      </c>
      <c r="I85" s="12">
        <f t="shared" si="1"/>
        <v>92.5</v>
      </c>
    </row>
    <row r="86">
      <c r="A86" s="7" t="str">
        <f>IFERROR(__xludf.DUMMYFUNCTION("""COMPUTED_VALUE"""),"Ahadan Nazka Harits")</f>
        <v>Ahadan Nazka Harits</v>
      </c>
      <c r="B86" s="7" t="str">
        <f>IFERROR(__xludf.DUMMYFUNCTION("""COMPUTED_VALUE"""),"B250024")</f>
        <v>B250024</v>
      </c>
      <c r="C86" s="7" t="str">
        <f>IFERROR(__xludf.DUMMYFUNCTION("""COMPUTED_VALUE"""),"IL Putra")</f>
        <v>IL Putra</v>
      </c>
      <c r="D86" s="7">
        <f>IFERROR(__xludf.DUMMYFUNCTION("""COMPUTED_VALUE"""),75.0)</f>
        <v>75</v>
      </c>
      <c r="E86" s="7">
        <f>IFERROR(__xludf.DUMMYFUNCTION("""COMPUTED_VALUE"""),80.0)</f>
        <v>80</v>
      </c>
      <c r="F86" s="7" t="str">
        <f>IFERROR(__xludf.DUMMYFUNCTION("""COMPUTED_VALUE"""),"B. Cadangan")</f>
        <v>B. Cadangan</v>
      </c>
      <c r="G86" s="7" t="str">
        <f>IFERROR(__xludf.DUMMYFUNCTION("""COMPUTED_VALUE"""),"Agus Cahyono")</f>
        <v>Agus Cahyono</v>
      </c>
      <c r="H86" s="8" t="str">
        <f>IFERROR(__xludf.DUMMYFUNCTION("""COMPUTED_VALUE"""),"Bacaannya terlalu tergesa-gesa, sehingga banyak hukum tajwid yg di abaikan. 
")</f>
        <v>Bacaannya terlalu tergesa-gesa, sehingga banyak hukum tajwid yg di abaikan. 
</v>
      </c>
      <c r="I86" s="12">
        <f t="shared" si="1"/>
        <v>77.5</v>
      </c>
    </row>
    <row r="87">
      <c r="A87" s="7" t="str">
        <f>IFERROR(__xludf.DUMMYFUNCTION("""COMPUTED_VALUE"""),"Abdurrahman Umar")</f>
        <v>Abdurrahman Umar</v>
      </c>
      <c r="B87" s="7" t="str">
        <f>IFERROR(__xludf.DUMMYFUNCTION("""COMPUTED_VALUE"""),"C250004")</f>
        <v>C250004</v>
      </c>
      <c r="C87" s="7" t="str">
        <f>IFERROR(__xludf.DUMMYFUNCTION("""COMPUTED_VALUE"""),"SMA Putra")</f>
        <v>SMA Putra</v>
      </c>
      <c r="D87" s="7">
        <f>IFERROR(__xludf.DUMMYFUNCTION("""COMPUTED_VALUE"""),90.0)</f>
        <v>90</v>
      </c>
      <c r="E87" s="7">
        <f>IFERROR(__xludf.DUMMYFUNCTION("""COMPUTED_VALUE"""),90.0)</f>
        <v>90</v>
      </c>
      <c r="F87" s="7" t="str">
        <f>IFERROR(__xludf.DUMMYFUNCTION("""COMPUTED_VALUE"""),"A. Diterima")</f>
        <v>A. Diterima</v>
      </c>
      <c r="G87" s="7" t="str">
        <f>IFERROR(__xludf.DUMMYFUNCTION("""COMPUTED_VALUE"""),"Agus Cahyono")</f>
        <v>Agus Cahyono</v>
      </c>
      <c r="H87" s="8" t="str">
        <f>IFERROR(__xludf.DUMMYFUNCTION("""COMPUTED_VALUE"""),"Alhamdulillah ananda punya hafalan 5 juz.
Setelah di ujialhamdulillah ananda bisa menjawab . Sedikit macet di juz 27. 
")</f>
        <v>Alhamdulillah ananda punya hafalan 5 juz.
Setelah di ujialhamdulillah ananda bisa menjawab . Sedikit macet di juz 27. 
</v>
      </c>
      <c r="I87" s="12">
        <f t="shared" si="1"/>
        <v>90</v>
      </c>
    </row>
    <row r="88">
      <c r="A88" s="7" t="str">
        <f>IFERROR(__xludf.DUMMYFUNCTION("""COMPUTED_VALUE"""),"Muhamad Nizar")</f>
        <v>Muhamad Nizar</v>
      </c>
      <c r="B88" s="7" t="str">
        <f>IFERROR(__xludf.DUMMYFUNCTION("""COMPUTED_VALUE"""),"A250061")</f>
        <v>A250061</v>
      </c>
      <c r="C88" s="7" t="str">
        <f>IFERROR(__xludf.DUMMYFUNCTION("""COMPUTED_VALUE"""),"MTs Putra")</f>
        <v>MTs Putra</v>
      </c>
      <c r="D88" s="7">
        <f>IFERROR(__xludf.DUMMYFUNCTION("""COMPUTED_VALUE"""),80.0)</f>
        <v>80</v>
      </c>
      <c r="E88" s="7">
        <f>IFERROR(__xludf.DUMMYFUNCTION("""COMPUTED_VALUE"""),80.0)</f>
        <v>80</v>
      </c>
      <c r="F88" s="7" t="str">
        <f>IFERROR(__xludf.DUMMYFUNCTION("""COMPUTED_VALUE"""),"B. Cadangan")</f>
        <v>B. Cadangan</v>
      </c>
      <c r="G88" s="7" t="str">
        <f>IFERROR(__xludf.DUMMYFUNCTION("""COMPUTED_VALUE"""),"Agus Cahyono")</f>
        <v>Agus Cahyono</v>
      </c>
      <c r="H88" s="8" t="str">
        <f>IFERROR(__xludf.DUMMYFUNCTION("""COMPUTED_VALUE"""),"Masih perlu di Latih untuk Hukum tajwid nya,.")</f>
        <v>Masih perlu di Latih untuk Hukum tajwid nya,.</v>
      </c>
      <c r="I88" s="12">
        <f t="shared" si="1"/>
        <v>80</v>
      </c>
    </row>
    <row r="89">
      <c r="A89" s="7" t="str">
        <f>IFERROR(__xludf.DUMMYFUNCTION("""COMPUTED_VALUE"""),"M. Rezza Putra Darma")</f>
        <v>M. Rezza Putra Darma</v>
      </c>
      <c r="B89" s="7" t="str">
        <f>IFERROR(__xludf.DUMMYFUNCTION("""COMPUTED_VALUE"""),"A250038")</f>
        <v>A250038</v>
      </c>
      <c r="C89" s="7" t="str">
        <f>IFERROR(__xludf.DUMMYFUNCTION("""COMPUTED_VALUE"""),"MTs Putra")</f>
        <v>MTs Putra</v>
      </c>
      <c r="D89" s="7">
        <f>IFERROR(__xludf.DUMMYFUNCTION("""COMPUTED_VALUE"""),65.0)</f>
        <v>65</v>
      </c>
      <c r="E89" s="7">
        <f>IFERROR(__xludf.DUMMYFUNCTION("""COMPUTED_VALUE"""),50.0)</f>
        <v>50</v>
      </c>
      <c r="F89" s="7" t="str">
        <f>IFERROR(__xludf.DUMMYFUNCTION("""COMPUTED_VALUE"""),"C. Ditolak")</f>
        <v>C. Ditolak</v>
      </c>
      <c r="G89" s="7" t="str">
        <f>IFERROR(__xludf.DUMMYFUNCTION("""COMPUTED_VALUE"""),"Agus Cahyono")</f>
        <v>Agus Cahyono</v>
      </c>
      <c r="H89" s="8"/>
      <c r="I89" s="12">
        <f t="shared" si="1"/>
        <v>57.5</v>
      </c>
    </row>
    <row r="90">
      <c r="A90" s="7" t="str">
        <f>IFERROR(__xludf.DUMMYFUNCTION("""COMPUTED_VALUE"""),"Khalid Muhammad Affiq")</f>
        <v>Khalid Muhammad Affiq</v>
      </c>
      <c r="B90" s="7" t="str">
        <f>IFERROR(__xludf.DUMMYFUNCTION("""COMPUTED_VALUE"""),"A250051")</f>
        <v>A250051</v>
      </c>
      <c r="C90" s="7" t="str">
        <f>IFERROR(__xludf.DUMMYFUNCTION("""COMPUTED_VALUE"""),"MTs Putra")</f>
        <v>MTs Putra</v>
      </c>
      <c r="D90" s="7">
        <f>IFERROR(__xludf.DUMMYFUNCTION("""COMPUTED_VALUE"""),87.0)</f>
        <v>87</v>
      </c>
      <c r="E90" s="7">
        <f>IFERROR(__xludf.DUMMYFUNCTION("""COMPUTED_VALUE"""),90.0)</f>
        <v>90</v>
      </c>
      <c r="F90" s="7" t="str">
        <f>IFERROR(__xludf.DUMMYFUNCTION("""COMPUTED_VALUE"""),"A. Diterima")</f>
        <v>A. Diterima</v>
      </c>
      <c r="G90" s="7" t="str">
        <f>IFERROR(__xludf.DUMMYFUNCTION("""COMPUTED_VALUE"""),"Agus Cahyono")</f>
        <v>Agus Cahyono</v>
      </c>
      <c r="H90" s="8" t="str">
        <f>IFERROR(__xludf.DUMMYFUNCTION("""COMPUTED_VALUE"""),"Ananda punya potensi untuk bisa mengembangkan Bacaannya in syaa allah. ")</f>
        <v>Ananda punya potensi untuk bisa mengembangkan Bacaannya in syaa allah. </v>
      </c>
      <c r="I90" s="12">
        <f t="shared" si="1"/>
        <v>88.5</v>
      </c>
    </row>
    <row r="91">
      <c r="A91" s="7" t="str">
        <f>IFERROR(__xludf.DUMMYFUNCTION("""COMPUTED_VALUE"""),"Muhammad Ghaza")</f>
        <v>Muhammad Ghaza</v>
      </c>
      <c r="B91" s="7" t="str">
        <f>IFERROR(__xludf.DUMMYFUNCTION("""COMPUTED_VALUE"""),"C250013")</f>
        <v>C250013</v>
      </c>
      <c r="C91" s="7" t="str">
        <f>IFERROR(__xludf.DUMMYFUNCTION("""COMPUTED_VALUE"""),"IL Putra")</f>
        <v>IL Putra</v>
      </c>
      <c r="D91" s="7">
        <f>IFERROR(__xludf.DUMMYFUNCTION("""COMPUTED_VALUE"""),90.0)</f>
        <v>90</v>
      </c>
      <c r="E91" s="7">
        <f>IFERROR(__xludf.DUMMYFUNCTION("""COMPUTED_VALUE"""),88.0)</f>
        <v>88</v>
      </c>
      <c r="F91" s="7" t="str">
        <f>IFERROR(__xludf.DUMMYFUNCTION("""COMPUTED_VALUE"""),"A. Diterima")</f>
        <v>A. Diterima</v>
      </c>
      <c r="G91" s="7" t="str">
        <f>IFERROR(__xludf.DUMMYFUNCTION("""COMPUTED_VALUE"""),"Agus Cahyono")</f>
        <v>Agus Cahyono</v>
      </c>
      <c r="H91" s="8" t="str">
        <f>IFERROR(__xludf.DUMMYFUNCTION("""COMPUTED_VALUE"""),"Ananda daftar SMA, tp setelah di tes Hafalannya, masih perlu di murojaah lagi. Jd lebih cocok di IL dulu. Bacaannya bagus alhamdulillah. ")</f>
        <v>Ananda daftar SMA, tp setelah di tes Hafalannya, masih perlu di murojaah lagi. Jd lebih cocok di IL dulu. Bacaannya bagus alhamdulillah. </v>
      </c>
      <c r="I91" s="12">
        <f t="shared" si="1"/>
        <v>89</v>
      </c>
    </row>
    <row r="92">
      <c r="A92" s="7" t="str">
        <f>IFERROR(__xludf.DUMMYFUNCTION("""COMPUTED_VALUE"""),"Ali Barqi Assaif")</f>
        <v>Ali Barqi Assaif</v>
      </c>
      <c r="B92" s="7" t="str">
        <f>IFERROR(__xludf.DUMMYFUNCTION("""COMPUTED_VALUE"""),"B250007")</f>
        <v>B250007</v>
      </c>
      <c r="C92" s="7" t="str">
        <f>IFERROR(__xludf.DUMMYFUNCTION("""COMPUTED_VALUE"""),"IL Putra")</f>
        <v>IL Putra</v>
      </c>
      <c r="D92" s="7">
        <f>IFERROR(__xludf.DUMMYFUNCTION("""COMPUTED_VALUE"""),90.0)</f>
        <v>90</v>
      </c>
      <c r="E92" s="7">
        <f>IFERROR(__xludf.DUMMYFUNCTION("""COMPUTED_VALUE"""),90.0)</f>
        <v>90</v>
      </c>
      <c r="F92" s="7" t="str">
        <f>IFERROR(__xludf.DUMMYFUNCTION("""COMPUTED_VALUE"""),"A. Diterima")</f>
        <v>A. Diterima</v>
      </c>
      <c r="G92" s="7" t="str">
        <f>IFERROR(__xludf.DUMMYFUNCTION("""COMPUTED_VALUE"""),"Agus Cahyono")</f>
        <v>Agus Cahyono</v>
      </c>
      <c r="H92" s="8" t="str">
        <f>IFERROR(__xludf.DUMMYFUNCTION("""COMPUTED_VALUE"""),"Alhamdulillah., ")</f>
        <v>Alhamdulillah., </v>
      </c>
      <c r="I92" s="12">
        <f t="shared" si="1"/>
        <v>90</v>
      </c>
    </row>
    <row r="93">
      <c r="A93" s="7" t="str">
        <f>IFERROR(__xludf.DUMMYFUNCTION("""COMPUTED_VALUE"""),"Muhammad Syauqi Abdul Haq")</f>
        <v>Muhammad Syauqi Abdul Haq</v>
      </c>
      <c r="B93" s="7" t="str">
        <f>IFERROR(__xludf.DUMMYFUNCTION("""COMPUTED_VALUE"""),"A250069")</f>
        <v>A250069</v>
      </c>
      <c r="C93" s="7" t="str">
        <f>IFERROR(__xludf.DUMMYFUNCTION("""COMPUTED_VALUE"""),"MTs Putra")</f>
        <v>MTs Putra</v>
      </c>
      <c r="D93" s="7">
        <f>IFERROR(__xludf.DUMMYFUNCTION("""COMPUTED_VALUE"""),50.0)</f>
        <v>50</v>
      </c>
      <c r="E93" s="7">
        <f>IFERROR(__xludf.DUMMYFUNCTION("""COMPUTED_VALUE"""),50.0)</f>
        <v>50</v>
      </c>
      <c r="F93" s="7" t="str">
        <f>IFERROR(__xludf.DUMMYFUNCTION("""COMPUTED_VALUE"""),"C. Ditolak")</f>
        <v>C. Ditolak</v>
      </c>
      <c r="G93" s="7" t="str">
        <f>IFERROR(__xludf.DUMMYFUNCTION("""COMPUTED_VALUE"""),"Agus Cahyono")</f>
        <v>Agus Cahyono</v>
      </c>
      <c r="H93" s="8" t="str">
        <f>IFERROR(__xludf.DUMMYFUNCTION("""COMPUTED_VALUE"""),"Masih sangat perlu banyak tilawah dan belajar.")</f>
        <v>Masih sangat perlu banyak tilawah dan belajar.</v>
      </c>
      <c r="I93" s="12">
        <f t="shared" si="1"/>
        <v>50</v>
      </c>
    </row>
    <row r="94">
      <c r="A94" s="7" t="str">
        <f>IFERROR(__xludf.DUMMYFUNCTION("""COMPUTED_VALUE"""),"Farid")</f>
        <v>Farid</v>
      </c>
      <c r="B94" s="7" t="str">
        <f>IFERROR(__xludf.DUMMYFUNCTION("""COMPUTED_VALUE"""),"B250027")</f>
        <v>B250027</v>
      </c>
      <c r="C94" s="7" t="str">
        <f>IFERROR(__xludf.DUMMYFUNCTION("""COMPUTED_VALUE"""),"IL Putra")</f>
        <v>IL Putra</v>
      </c>
      <c r="D94" s="7">
        <f>IFERROR(__xludf.DUMMYFUNCTION("""COMPUTED_VALUE"""),75.0)</f>
        <v>75</v>
      </c>
      <c r="E94" s="7">
        <f>IFERROR(__xludf.DUMMYFUNCTION("""COMPUTED_VALUE"""),73.0)</f>
        <v>73</v>
      </c>
      <c r="F94" s="7" t="str">
        <f>IFERROR(__xludf.DUMMYFUNCTION("""COMPUTED_VALUE"""),"C. Ditolak")</f>
        <v>C. Ditolak</v>
      </c>
      <c r="G94" s="7" t="str">
        <f>IFERROR(__xludf.DUMMYFUNCTION("""COMPUTED_VALUE"""),"Jusman")</f>
        <v>Jusman</v>
      </c>
      <c r="H94" s="8"/>
      <c r="I94" s="12">
        <f t="shared" si="1"/>
        <v>74</v>
      </c>
    </row>
    <row r="95">
      <c r="A95" s="7" t="str">
        <f>IFERROR(__xludf.DUMMYFUNCTION("""COMPUTED_VALUE"""),"Abas Raihan")</f>
        <v>Abas Raihan</v>
      </c>
      <c r="B95" s="7" t="str">
        <f>IFERROR(__xludf.DUMMYFUNCTION("""COMPUTED_VALUE"""),"B250019")</f>
        <v>B250019</v>
      </c>
      <c r="C95" s="7" t="str">
        <f>IFERROR(__xludf.DUMMYFUNCTION("""COMPUTED_VALUE"""),"IL Putra")</f>
        <v>IL Putra</v>
      </c>
      <c r="D95" s="7">
        <f>IFERROR(__xludf.DUMMYFUNCTION("""COMPUTED_VALUE"""),85.0)</f>
        <v>85</v>
      </c>
      <c r="E95" s="7">
        <f>IFERROR(__xludf.DUMMYFUNCTION("""COMPUTED_VALUE"""),82.0)</f>
        <v>82</v>
      </c>
      <c r="F95" s="7" t="str">
        <f>IFERROR(__xludf.DUMMYFUNCTION("""COMPUTED_VALUE"""),"B. Cadangan")</f>
        <v>B. Cadangan</v>
      </c>
      <c r="G95" s="7" t="str">
        <f>IFERROR(__xludf.DUMMYFUNCTION("""COMPUTED_VALUE"""),"Jusman")</f>
        <v>Jusman</v>
      </c>
      <c r="H95" s="8"/>
      <c r="I95" s="12">
        <f t="shared" si="1"/>
        <v>83.5</v>
      </c>
    </row>
    <row r="96">
      <c r="A96" s="7" t="str">
        <f>IFERROR(__xludf.DUMMYFUNCTION("""COMPUTED_VALUE"""),"Fathan Syahril Suseno")</f>
        <v>Fathan Syahril Suseno</v>
      </c>
      <c r="B96" s="7" t="str">
        <f>IFERROR(__xludf.DUMMYFUNCTION("""COMPUTED_VALUE"""),"C250016")</f>
        <v>C250016</v>
      </c>
      <c r="C96" s="7" t="str">
        <f>IFERROR(__xludf.DUMMYFUNCTION("""COMPUTED_VALUE"""),"SMA Putra")</f>
        <v>SMA Putra</v>
      </c>
      <c r="D96" s="7">
        <f>IFERROR(__xludf.DUMMYFUNCTION("""COMPUTED_VALUE"""),85.0)</f>
        <v>85</v>
      </c>
      <c r="E96" s="7">
        <f>IFERROR(__xludf.DUMMYFUNCTION("""COMPUTED_VALUE"""),70.0)</f>
        <v>70</v>
      </c>
      <c r="F96" s="7" t="str">
        <f>IFERROR(__xludf.DUMMYFUNCTION("""COMPUTED_VALUE"""),"C. Ditolak")</f>
        <v>C. Ditolak</v>
      </c>
      <c r="G96" s="7" t="str">
        <f>IFERROR(__xludf.DUMMYFUNCTION("""COMPUTED_VALUE"""),"Jusman")</f>
        <v>Jusman</v>
      </c>
      <c r="H96" s="8"/>
      <c r="I96" s="12">
        <f t="shared" si="1"/>
        <v>77.5</v>
      </c>
    </row>
    <row r="97">
      <c r="A97" s="7" t="str">
        <f>IFERROR(__xludf.DUMMYFUNCTION("""COMPUTED_VALUE"""),"Ehsan Kazim")</f>
        <v>Ehsan Kazim</v>
      </c>
      <c r="B97" s="7" t="str">
        <f>IFERROR(__xludf.DUMMYFUNCTION("""COMPUTED_VALUE"""),"A250074")</f>
        <v>A250074</v>
      </c>
      <c r="C97" s="7" t="str">
        <f>IFERROR(__xludf.DUMMYFUNCTION("""COMPUTED_VALUE"""),"MTs Putra")</f>
        <v>MTs Putra</v>
      </c>
      <c r="D97" s="7">
        <f>IFERROR(__xludf.DUMMYFUNCTION("""COMPUTED_VALUE"""),99.0)</f>
        <v>99</v>
      </c>
      <c r="E97" s="7">
        <f>IFERROR(__xludf.DUMMYFUNCTION("""COMPUTED_VALUE"""),100.0)</f>
        <v>100</v>
      </c>
      <c r="F97" s="7" t="str">
        <f>IFERROR(__xludf.DUMMYFUNCTION("""COMPUTED_VALUE"""),"A. Diterima")</f>
        <v>A. Diterima</v>
      </c>
      <c r="G97" s="7" t="str">
        <f>IFERROR(__xludf.DUMMYFUNCTION("""COMPUTED_VALUE"""),"Jusman")</f>
        <v>Jusman</v>
      </c>
      <c r="H97" s="8" t="str">
        <f>IFERROR(__xludf.DUMMYFUNCTION("""COMPUTED_VALUE"""),"Kisanak dari Batam ini, bacaannya indah sekali dibaca dengan tartil, suara merdu dan fasih, hafalannya sudah 30 juz.")</f>
        <v>Kisanak dari Batam ini, bacaannya indah sekali dibaca dengan tartil, suara merdu dan fasih, hafalannya sudah 30 juz.</v>
      </c>
      <c r="I97" s="12">
        <f t="shared" si="1"/>
        <v>99.5</v>
      </c>
    </row>
    <row r="98">
      <c r="A98" s="7" t="str">
        <f>IFERROR(__xludf.DUMMYFUNCTION("""COMPUTED_VALUE"""),"Putra Perdana")</f>
        <v>Putra Perdana</v>
      </c>
      <c r="B98" s="7" t="str">
        <f>IFERROR(__xludf.DUMMYFUNCTION("""COMPUTED_VALUE"""),"A250003")</f>
        <v>A250003</v>
      </c>
      <c r="C98" s="7" t="str">
        <f>IFERROR(__xludf.DUMMYFUNCTION("""COMPUTED_VALUE"""),"MTs Putra")</f>
        <v>MTs Putra</v>
      </c>
      <c r="D98" s="7">
        <f>IFERROR(__xludf.DUMMYFUNCTION("""COMPUTED_VALUE"""),65.0)</f>
        <v>65</v>
      </c>
      <c r="E98" s="7">
        <f>IFERROR(__xludf.DUMMYFUNCTION("""COMPUTED_VALUE"""),65.0)</f>
        <v>65</v>
      </c>
      <c r="F98" s="7" t="str">
        <f>IFERROR(__xludf.DUMMYFUNCTION("""COMPUTED_VALUE"""),"C. Ditolak")</f>
        <v>C. Ditolak</v>
      </c>
      <c r="G98" s="7" t="str">
        <f>IFERROR(__xludf.DUMMYFUNCTION("""COMPUTED_VALUE"""),"Jusman")</f>
        <v>Jusman</v>
      </c>
      <c r="H98" s="8"/>
      <c r="I98" s="12">
        <f t="shared" si="1"/>
        <v>65</v>
      </c>
    </row>
    <row r="99">
      <c r="A99" s="7" t="str">
        <f>IFERROR(__xludf.DUMMYFUNCTION("""COMPUTED_VALUE"""),"Umar Syahid")</f>
        <v>Umar Syahid</v>
      </c>
      <c r="B99" s="7" t="str">
        <f>IFERROR(__xludf.DUMMYFUNCTION("""COMPUTED_VALUE"""),"A250078")</f>
        <v>A250078</v>
      </c>
      <c r="C99" s="7" t="str">
        <f>IFERROR(__xludf.DUMMYFUNCTION("""COMPUTED_VALUE"""),"MTs Putra")</f>
        <v>MTs Putra</v>
      </c>
      <c r="D99" s="7">
        <f>IFERROR(__xludf.DUMMYFUNCTION("""COMPUTED_VALUE"""),74.0)</f>
        <v>74</v>
      </c>
      <c r="E99" s="7">
        <f>IFERROR(__xludf.DUMMYFUNCTION("""COMPUTED_VALUE"""),75.0)</f>
        <v>75</v>
      </c>
      <c r="F99" s="7" t="str">
        <f>IFERROR(__xludf.DUMMYFUNCTION("""COMPUTED_VALUE"""),"B. Cadangan")</f>
        <v>B. Cadangan</v>
      </c>
      <c r="G99" s="7" t="str">
        <f>IFERROR(__xludf.DUMMYFUNCTION("""COMPUTED_VALUE"""),"Jusman")</f>
        <v>Jusman</v>
      </c>
      <c r="H99" s="8"/>
      <c r="I99" s="12">
        <f t="shared" si="1"/>
        <v>74.5</v>
      </c>
    </row>
    <row r="100">
      <c r="A100" s="7" t="str">
        <f>IFERROR(__xludf.DUMMYFUNCTION("""COMPUTED_VALUE"""),"Muhammad Al Fathih")</f>
        <v>Muhammad Al Fathih</v>
      </c>
      <c r="B100" s="7" t="str">
        <f>IFERROR(__xludf.DUMMYFUNCTION("""COMPUTED_VALUE"""),"C250019")</f>
        <v>C250019</v>
      </c>
      <c r="C100" s="7" t="str">
        <f>IFERROR(__xludf.DUMMYFUNCTION("""COMPUTED_VALUE"""),"IL Putra")</f>
        <v>IL Putra</v>
      </c>
      <c r="D100" s="7">
        <f>IFERROR(__xludf.DUMMYFUNCTION("""COMPUTED_VALUE"""),85.0)</f>
        <v>85</v>
      </c>
      <c r="E100" s="7">
        <f>IFERROR(__xludf.DUMMYFUNCTION("""COMPUTED_VALUE"""),90.0)</f>
        <v>90</v>
      </c>
      <c r="F100" s="7" t="str">
        <f>IFERROR(__xludf.DUMMYFUNCTION("""COMPUTED_VALUE"""),"A. Diterima")</f>
        <v>A. Diterima</v>
      </c>
      <c r="G100" s="7" t="str">
        <f>IFERROR(__xludf.DUMMYFUNCTION("""COMPUTED_VALUE"""),"Agus Cahyono")</f>
        <v>Agus Cahyono</v>
      </c>
      <c r="H100" s="8" t="str">
        <f>IFERROR(__xludf.DUMMYFUNCTION("""COMPUTED_VALUE"""),"Ananda mendaftar SMA, tp Qoddarullah belum lulus tes Qur'annya. Tp layak masuk IL,.")</f>
        <v>Ananda mendaftar SMA, tp Qoddarullah belum lulus tes Qur'annya. Tp layak masuk IL,.</v>
      </c>
      <c r="I100" s="12">
        <f t="shared" si="1"/>
        <v>87.5</v>
      </c>
    </row>
    <row r="101">
      <c r="A101" s="7" t="str">
        <f>IFERROR(__xludf.DUMMYFUNCTION("""COMPUTED_VALUE"""),"Angga Saputra")</f>
        <v>Angga Saputra</v>
      </c>
      <c r="B101" s="7" t="str">
        <f>IFERROR(__xludf.DUMMYFUNCTION("""COMPUTED_VALUE"""),"B250017")</f>
        <v>B250017</v>
      </c>
      <c r="C101" s="7" t="str">
        <f>IFERROR(__xludf.DUMMYFUNCTION("""COMPUTED_VALUE"""),"IL Putra")</f>
        <v>IL Putra</v>
      </c>
      <c r="D101" s="7">
        <f>IFERROR(__xludf.DUMMYFUNCTION("""COMPUTED_VALUE"""),55.0)</f>
        <v>55</v>
      </c>
      <c r="E101" s="7">
        <f>IFERROR(__xludf.DUMMYFUNCTION("""COMPUTED_VALUE"""),50.0)</f>
        <v>50</v>
      </c>
      <c r="F101" s="7" t="str">
        <f>IFERROR(__xludf.DUMMYFUNCTION("""COMPUTED_VALUE"""),"C. Ditolak")</f>
        <v>C. Ditolak</v>
      </c>
      <c r="G101" s="7" t="str">
        <f>IFERROR(__xludf.DUMMYFUNCTION("""COMPUTED_VALUE"""),"Agus Cahyono")</f>
        <v>Agus Cahyono</v>
      </c>
      <c r="H101" s="8" t="str">
        <f>IFERROR(__xludf.DUMMYFUNCTION("""COMPUTED_VALUE"""),"Masih banyak yg harus di perbaiki di tajwidnya. Juga dgn kelancarannya. ")</f>
        <v>Masih banyak yg harus di perbaiki di tajwidnya. Juga dgn kelancarannya. </v>
      </c>
      <c r="I101" s="12">
        <f t="shared" si="1"/>
        <v>52.5</v>
      </c>
    </row>
    <row r="102">
      <c r="A102" s="7" t="str">
        <f>IFERROR(__xludf.DUMMYFUNCTION("""COMPUTED_VALUE"""),"Alfarizy Fauzan Wijaya")</f>
        <v>Alfarizy Fauzan Wijaya</v>
      </c>
      <c r="B102" s="7" t="str">
        <f>IFERROR(__xludf.DUMMYFUNCTION("""COMPUTED_VALUE"""),"A250068")</f>
        <v>A250068</v>
      </c>
      <c r="C102" s="7" t="str">
        <f>IFERROR(__xludf.DUMMYFUNCTION("""COMPUTED_VALUE"""),"MTs Putra")</f>
        <v>MTs Putra</v>
      </c>
      <c r="D102" s="7">
        <f>IFERROR(__xludf.DUMMYFUNCTION("""COMPUTED_VALUE"""),55.0)</f>
        <v>55</v>
      </c>
      <c r="E102" s="7">
        <f>IFERROR(__xludf.DUMMYFUNCTION("""COMPUTED_VALUE"""),50.0)</f>
        <v>50</v>
      </c>
      <c r="F102" s="7" t="str">
        <f>IFERROR(__xludf.DUMMYFUNCTION("""COMPUTED_VALUE"""),"C. Ditolak")</f>
        <v>C. Ditolak</v>
      </c>
      <c r="G102" s="7" t="str">
        <f>IFERROR(__xludf.DUMMYFUNCTION("""COMPUTED_VALUE"""),"Agus Cahyono")</f>
        <v>Agus Cahyono</v>
      </c>
      <c r="H102" s="8" t="str">
        <f>IFERROR(__xludf.DUMMYFUNCTION("""COMPUTED_VALUE"""),"Masih perlu banyak latihan dan belajar lagi. 
Mungkin tidak untuk saat ini 🙏")</f>
        <v>Masih perlu banyak latihan dan belajar lagi. 
Mungkin tidak untuk saat ini 🙏</v>
      </c>
      <c r="I102" s="12">
        <f t="shared" si="1"/>
        <v>52.5</v>
      </c>
    </row>
    <row r="103">
      <c r="A103" s="7" t="str">
        <f>IFERROR(__xludf.DUMMYFUNCTION("""COMPUTED_VALUE"""),"Hibban Hibaturrahman")</f>
        <v>Hibban Hibaturrahman</v>
      </c>
      <c r="B103" s="7" t="str">
        <f>IFERROR(__xludf.DUMMYFUNCTION("""COMPUTED_VALUE"""),"C250003")</f>
        <v>C250003</v>
      </c>
      <c r="C103" s="7" t="str">
        <f>IFERROR(__xludf.DUMMYFUNCTION("""COMPUTED_VALUE"""),"SMA Putra")</f>
        <v>SMA Putra</v>
      </c>
      <c r="D103" s="7">
        <f>IFERROR(__xludf.DUMMYFUNCTION("""COMPUTED_VALUE"""),84.0)</f>
        <v>84</v>
      </c>
      <c r="E103" s="7">
        <f>IFERROR(__xludf.DUMMYFUNCTION("""COMPUTED_VALUE"""),87.0)</f>
        <v>87</v>
      </c>
      <c r="F103" s="7" t="str">
        <f>IFERROR(__xludf.DUMMYFUNCTION("""COMPUTED_VALUE"""),"C. Ditolak")</f>
        <v>C. Ditolak</v>
      </c>
      <c r="G103" s="7" t="str">
        <f>IFERROR(__xludf.DUMMYFUNCTION("""COMPUTED_VALUE"""),"Fuad Khomsatun")</f>
        <v>Fuad Khomsatun</v>
      </c>
      <c r="H103" s="8" t="str">
        <f>IFERROR(__xludf.DUMMYFUNCTION("""COMPUTED_VALUE"""),"dari 8 soal, hanya bisa jawab satu itupun tidak tuntas")</f>
        <v>dari 8 soal, hanya bisa jawab satu itupun tidak tuntas</v>
      </c>
      <c r="I103" s="12">
        <f t="shared" si="1"/>
        <v>85.5</v>
      </c>
    </row>
    <row r="104">
      <c r="A104" s="7" t="str">
        <f>IFERROR(__xludf.DUMMYFUNCTION("""COMPUTED_VALUE"""),"Kamil Iskandar")</f>
        <v>Kamil Iskandar</v>
      </c>
      <c r="B104" s="7" t="str">
        <f>IFERROR(__xludf.DUMMYFUNCTION("""COMPUTED_VALUE"""),"C250018")</f>
        <v>C250018</v>
      </c>
      <c r="C104" s="7" t="str">
        <f>IFERROR(__xludf.DUMMYFUNCTION("""COMPUTED_VALUE"""),"SMA Putra")</f>
        <v>SMA Putra</v>
      </c>
      <c r="D104" s="7">
        <f>IFERROR(__xludf.DUMMYFUNCTION("""COMPUTED_VALUE"""),83.0)</f>
        <v>83</v>
      </c>
      <c r="E104" s="7">
        <f>IFERROR(__xludf.DUMMYFUNCTION("""COMPUTED_VALUE"""),73.0)</f>
        <v>73</v>
      </c>
      <c r="F104" s="7" t="str">
        <f>IFERROR(__xludf.DUMMYFUNCTION("""COMPUTED_VALUE"""),"B. Cadangan")</f>
        <v>B. Cadangan</v>
      </c>
      <c r="G104" s="7" t="str">
        <f>IFERROR(__xludf.DUMMYFUNCTION("""COMPUTED_VALUE"""),"Jusman")</f>
        <v>Jusman</v>
      </c>
      <c r="H104" s="8" t="str">
        <f>IFERROR(__xludf.DUMMYFUNCTION("""COMPUTED_VALUE"""),"Tajwidnya bagus, hafalannya kurang lancar")</f>
        <v>Tajwidnya bagus, hafalannya kurang lancar</v>
      </c>
      <c r="I104" s="12">
        <f t="shared" si="1"/>
        <v>78</v>
      </c>
    </row>
    <row r="105">
      <c r="A105" s="7" t="str">
        <f>IFERROR(__xludf.DUMMYFUNCTION("""COMPUTED_VALUE"""),"Muhammad Irsyad")</f>
        <v>Muhammad Irsyad</v>
      </c>
      <c r="B105" s="7" t="str">
        <f>IFERROR(__xludf.DUMMYFUNCTION("""COMPUTED_VALUE"""),"C250023")</f>
        <v>C250023</v>
      </c>
      <c r="C105" s="7" t="str">
        <f>IFERROR(__xludf.DUMMYFUNCTION("""COMPUTED_VALUE"""),"SMA Putra")</f>
        <v>SMA Putra</v>
      </c>
      <c r="D105" s="7">
        <f>IFERROR(__xludf.DUMMYFUNCTION("""COMPUTED_VALUE"""),85.0)</f>
        <v>85</v>
      </c>
      <c r="E105" s="7">
        <f>IFERROR(__xludf.DUMMYFUNCTION("""COMPUTED_VALUE"""),85.0)</f>
        <v>85</v>
      </c>
      <c r="F105" s="7" t="str">
        <f>IFERROR(__xludf.DUMMYFUNCTION("""COMPUTED_VALUE"""),"C. Ditolak")</f>
        <v>C. Ditolak</v>
      </c>
      <c r="G105" s="7" t="str">
        <f>IFERROR(__xludf.DUMMYFUNCTION("""COMPUTED_VALUE"""),"Agus Cahyono")</f>
        <v>Agus Cahyono</v>
      </c>
      <c r="H105" s="8" t="str">
        <f>IFERROR(__xludf.DUMMYFUNCTION("""COMPUTED_VALUE"""),"Ananda mendaftar di SMA, tp setelah di tes Hafalan , qoddarullah belum bisa lulus, untuk bahasa ananda punya potensi yg baik.
Jd mungkin bisa di terima di IL saja terlebih dahulu. ")</f>
        <v>Ananda mendaftar di SMA, tp setelah di tes Hafalan , qoddarullah belum bisa lulus, untuk bahasa ananda punya potensi yg baik.
Jd mungkin bisa di terima di IL saja terlebih dahulu. </v>
      </c>
      <c r="I105" s="12">
        <f t="shared" si="1"/>
        <v>85</v>
      </c>
    </row>
    <row r="106">
      <c r="A106" s="7" t="str">
        <f>IFERROR(__xludf.DUMMYFUNCTION("""COMPUTED_VALUE"""),"Muhammad Hilman Alfarisi")</f>
        <v>Muhammad Hilman Alfarisi</v>
      </c>
      <c r="B106" s="7" t="str">
        <f>IFERROR(__xludf.DUMMYFUNCTION("""COMPUTED_VALUE"""),"C250010")</f>
        <v>C250010</v>
      </c>
      <c r="C106" s="7" t="str">
        <f>IFERROR(__xludf.DUMMYFUNCTION("""COMPUTED_VALUE"""),"IL Putra")</f>
        <v>IL Putra</v>
      </c>
      <c r="D106" s="7">
        <f>IFERROR(__xludf.DUMMYFUNCTION("""COMPUTED_VALUE"""),90.0)</f>
        <v>90</v>
      </c>
      <c r="E106" s="7">
        <f>IFERROR(__xludf.DUMMYFUNCTION("""COMPUTED_VALUE"""),90.0)</f>
        <v>90</v>
      </c>
      <c r="F106" s="7" t="str">
        <f>IFERROR(__xludf.DUMMYFUNCTION("""COMPUTED_VALUE"""),"A. Diterima")</f>
        <v>A. Diterima</v>
      </c>
      <c r="G106" s="7" t="str">
        <f>IFERROR(__xludf.DUMMYFUNCTION("""COMPUTED_VALUE"""),"Agus Cahyono")</f>
        <v>Agus Cahyono</v>
      </c>
      <c r="H106" s="8" t="str">
        <f>IFERROR(__xludf.DUMMYFUNCTION("""COMPUTED_VALUE"""),"Alhamdulillah bacaannya bagus, 
Tp qoddarullah belum bisa di luluskan untuk masuk SMA, Hafalannya belum lulus dan Bahasa juga masih kurang. 
In syaa allah berpotensi baik di IL. Semoga allah mudahkan. ")</f>
        <v>Alhamdulillah bacaannya bagus, 
Tp qoddarullah belum bisa di luluskan untuk masuk SMA, Hafalannya belum lulus dan Bahasa juga masih kurang. 
In syaa allah berpotensi baik di IL. Semoga allah mudahkan. </v>
      </c>
      <c r="I106" s="12">
        <f t="shared" si="1"/>
        <v>90</v>
      </c>
    </row>
    <row r="107">
      <c r="A107" s="7" t="str">
        <f>IFERROR(__xludf.DUMMYFUNCTION("""COMPUTED_VALUE"""),"Abudzar Al Mahbub")</f>
        <v>Abudzar Al Mahbub</v>
      </c>
      <c r="B107" s="7" t="str">
        <f>IFERROR(__xludf.DUMMYFUNCTION("""COMPUTED_VALUE"""),"A250034")</f>
        <v>A250034</v>
      </c>
      <c r="C107" s="7" t="str">
        <f>IFERROR(__xludf.DUMMYFUNCTION("""COMPUTED_VALUE"""),"MTs Putra")</f>
        <v>MTs Putra</v>
      </c>
      <c r="D107" s="7">
        <f>IFERROR(__xludf.DUMMYFUNCTION("""COMPUTED_VALUE"""),70.0)</f>
        <v>70</v>
      </c>
      <c r="E107" s="7">
        <f>IFERROR(__xludf.DUMMYFUNCTION("""COMPUTED_VALUE"""),65.0)</f>
        <v>65</v>
      </c>
      <c r="F107" s="7" t="str">
        <f>IFERROR(__xludf.DUMMYFUNCTION("""COMPUTED_VALUE"""),"B. Cadangan")</f>
        <v>B. Cadangan</v>
      </c>
      <c r="G107" s="7" t="str">
        <f>IFERROR(__xludf.DUMMYFUNCTION("""COMPUTED_VALUE"""),"Fuad Khomsatun")</f>
        <v>Fuad Khomsatun</v>
      </c>
      <c r="H107" s="8"/>
      <c r="I107" s="12">
        <f t="shared" si="1"/>
        <v>67.5</v>
      </c>
    </row>
    <row r="108">
      <c r="A108" s="7" t="str">
        <f>IFERROR(__xludf.DUMMYFUNCTION("""COMPUTED_VALUE"""),"Faruq Ahmad Asy-Syirbuni")</f>
        <v>Faruq Ahmad Asy-Syirbuni</v>
      </c>
      <c r="B108" s="7" t="str">
        <f>IFERROR(__xludf.DUMMYFUNCTION("""COMPUTED_VALUE"""),"A250026")</f>
        <v>A250026</v>
      </c>
      <c r="C108" s="7" t="str">
        <f>IFERROR(__xludf.DUMMYFUNCTION("""COMPUTED_VALUE"""),"MTs Putra")</f>
        <v>MTs Putra</v>
      </c>
      <c r="D108" s="7">
        <f>IFERROR(__xludf.DUMMYFUNCTION("""COMPUTED_VALUE"""),95.0)</f>
        <v>95</v>
      </c>
      <c r="E108" s="7">
        <f>IFERROR(__xludf.DUMMYFUNCTION("""COMPUTED_VALUE"""),96.0)</f>
        <v>96</v>
      </c>
      <c r="F108" s="7" t="str">
        <f>IFERROR(__xludf.DUMMYFUNCTION("""COMPUTED_VALUE"""),"A. Diterima")</f>
        <v>A. Diterima</v>
      </c>
      <c r="G108" s="7" t="str">
        <f>IFERROR(__xludf.DUMMYFUNCTION("""COMPUTED_VALUE"""),"Jusman")</f>
        <v>Jusman</v>
      </c>
      <c r="H108" s="8"/>
      <c r="I108" s="12">
        <f t="shared" si="1"/>
        <v>95.5</v>
      </c>
    </row>
    <row r="109">
      <c r="A109" s="7" t="str">
        <f>IFERROR(__xludf.DUMMYFUNCTION("""COMPUTED_VALUE"""),"Malka Firdaus Syarif")</f>
        <v>Malka Firdaus Syarif</v>
      </c>
      <c r="B109" s="7" t="str">
        <f>IFERROR(__xludf.DUMMYFUNCTION("""COMPUTED_VALUE"""),"A250021")</f>
        <v>A250021</v>
      </c>
      <c r="C109" s="7" t="str">
        <f>IFERROR(__xludf.DUMMYFUNCTION("""COMPUTED_VALUE"""),"MTs Putra")</f>
        <v>MTs Putra</v>
      </c>
      <c r="D109" s="7">
        <f>IFERROR(__xludf.DUMMYFUNCTION("""COMPUTED_VALUE"""),75.0)</f>
        <v>75</v>
      </c>
      <c r="E109" s="7">
        <f>IFERROR(__xludf.DUMMYFUNCTION("""COMPUTED_VALUE"""),73.0)</f>
        <v>73</v>
      </c>
      <c r="F109" s="7" t="str">
        <f>IFERROR(__xludf.DUMMYFUNCTION("""COMPUTED_VALUE"""),"B. Cadangan")</f>
        <v>B. Cadangan</v>
      </c>
      <c r="G109" s="7" t="str">
        <f>IFERROR(__xludf.DUMMYFUNCTION("""COMPUTED_VALUE"""),"Jusman")</f>
        <v>Jusman</v>
      </c>
      <c r="H109" s="8"/>
      <c r="I109" s="12">
        <f t="shared" si="1"/>
        <v>74</v>
      </c>
    </row>
    <row r="110">
      <c r="A110" s="7" t="str">
        <f>IFERROR(__xludf.DUMMYFUNCTION("""COMPUTED_VALUE"""),"Khotibul Syafiiq")</f>
        <v>Khotibul Syafiiq</v>
      </c>
      <c r="B110" s="7" t="str">
        <f>IFERROR(__xludf.DUMMYFUNCTION("""COMPUTED_VALUE"""),"A250036")</f>
        <v>A250036</v>
      </c>
      <c r="C110" s="7" t="str">
        <f>IFERROR(__xludf.DUMMYFUNCTION("""COMPUTED_VALUE"""),"MTs Putra")</f>
        <v>MTs Putra</v>
      </c>
      <c r="D110" s="7">
        <f>IFERROR(__xludf.DUMMYFUNCTION("""COMPUTED_VALUE"""),63.0)</f>
        <v>63</v>
      </c>
      <c r="E110" s="7">
        <f>IFERROR(__xludf.DUMMYFUNCTION("""COMPUTED_VALUE"""),60.0)</f>
        <v>60</v>
      </c>
      <c r="F110" s="7" t="str">
        <f>IFERROR(__xludf.DUMMYFUNCTION("""COMPUTED_VALUE"""),"C. Ditolak")</f>
        <v>C. Ditolak</v>
      </c>
      <c r="G110" s="7" t="str">
        <f>IFERROR(__xludf.DUMMYFUNCTION("""COMPUTED_VALUE"""),"Jusman")</f>
        <v>Jusman</v>
      </c>
      <c r="H110" s="8" t="str">
        <f>IFERROR(__xludf.DUMMYFUNCTION("""COMPUTED_VALUE"""),"Masih perlu banyak belajar")</f>
        <v>Masih perlu banyak belajar</v>
      </c>
      <c r="I110" s="12">
        <f t="shared" si="1"/>
        <v>61.5</v>
      </c>
    </row>
    <row r="111">
      <c r="A111" s="7" t="str">
        <f>IFERROR(__xludf.DUMMYFUNCTION("""COMPUTED_VALUE"""),"Rayyan Muzaffar Firdaus ")</f>
        <v>Rayyan Muzaffar Firdaus </v>
      </c>
      <c r="B111" s="7" t="str">
        <f>IFERROR(__xludf.DUMMYFUNCTION("""COMPUTED_VALUE"""),"A250039")</f>
        <v>A250039</v>
      </c>
      <c r="C111" s="7" t="str">
        <f>IFERROR(__xludf.DUMMYFUNCTION("""COMPUTED_VALUE"""),"MTs Putra")</f>
        <v>MTs Putra</v>
      </c>
      <c r="D111" s="7">
        <f>IFERROR(__xludf.DUMMYFUNCTION("""COMPUTED_VALUE"""),60.0)</f>
        <v>60</v>
      </c>
      <c r="E111" s="7">
        <f>IFERROR(__xludf.DUMMYFUNCTION("""COMPUTED_VALUE"""),60.0)</f>
        <v>60</v>
      </c>
      <c r="F111" s="7" t="str">
        <f>IFERROR(__xludf.DUMMYFUNCTION("""COMPUTED_VALUE"""),"C. Ditolak")</f>
        <v>C. Ditolak</v>
      </c>
      <c r="G111" s="7" t="str">
        <f>IFERROR(__xludf.DUMMYFUNCTION("""COMPUTED_VALUE"""),"Fuad Khomsatun")</f>
        <v>Fuad Khomsatun</v>
      </c>
      <c r="H111" s="8"/>
      <c r="I111" s="12">
        <f t="shared" si="1"/>
        <v>60</v>
      </c>
    </row>
    <row r="112">
      <c r="A112" s="7" t="str">
        <f>IFERROR(__xludf.DUMMYFUNCTION("""COMPUTED_VALUE"""),"Fathi Fahlevi Fahmi ")</f>
        <v>Fathi Fahlevi Fahmi </v>
      </c>
      <c r="B112" s="7" t="str">
        <f>IFERROR(__xludf.DUMMYFUNCTION("""COMPUTED_VALUE"""),"A250011")</f>
        <v>A250011</v>
      </c>
      <c r="C112" s="7" t="str">
        <f>IFERROR(__xludf.DUMMYFUNCTION("""COMPUTED_VALUE"""),"MTs Putra")</f>
        <v>MTs Putra</v>
      </c>
      <c r="D112" s="7">
        <f>IFERROR(__xludf.DUMMYFUNCTION("""COMPUTED_VALUE"""),65.0)</f>
        <v>65</v>
      </c>
      <c r="E112" s="7">
        <f>IFERROR(__xludf.DUMMYFUNCTION("""COMPUTED_VALUE"""),63.0)</f>
        <v>63</v>
      </c>
      <c r="F112" s="7" t="str">
        <f>IFERROR(__xludf.DUMMYFUNCTION("""COMPUTED_VALUE"""),"C. Ditolak")</f>
        <v>C. Ditolak</v>
      </c>
      <c r="G112" s="7" t="str">
        <f>IFERROR(__xludf.DUMMYFUNCTION("""COMPUTED_VALUE"""),"Fuad Khomsatun")</f>
        <v>Fuad Khomsatun</v>
      </c>
      <c r="H112" s="8"/>
      <c r="I112" s="12">
        <f t="shared" si="1"/>
        <v>64</v>
      </c>
    </row>
    <row r="113">
      <c r="A113" s="7" t="str">
        <f>IFERROR(__xludf.DUMMYFUNCTION("""COMPUTED_VALUE"""),"Ahmad Kamaludin ")</f>
        <v>Ahmad Kamaludin </v>
      </c>
      <c r="B113" s="7" t="str">
        <f>IFERROR(__xludf.DUMMYFUNCTION("""COMPUTED_VALUE"""),"A250030")</f>
        <v>A250030</v>
      </c>
      <c r="C113" s="7" t="str">
        <f>IFERROR(__xludf.DUMMYFUNCTION("""COMPUTED_VALUE"""),"MTs Putra")</f>
        <v>MTs Putra</v>
      </c>
      <c r="D113" s="7">
        <f>IFERROR(__xludf.DUMMYFUNCTION("""COMPUTED_VALUE"""),82.0)</f>
        <v>82</v>
      </c>
      <c r="E113" s="7">
        <f>IFERROR(__xludf.DUMMYFUNCTION("""COMPUTED_VALUE"""),80.0)</f>
        <v>80</v>
      </c>
      <c r="F113" s="7" t="str">
        <f>IFERROR(__xludf.DUMMYFUNCTION("""COMPUTED_VALUE"""),"A. Diterima")</f>
        <v>A. Diterima</v>
      </c>
      <c r="G113" s="7" t="str">
        <f>IFERROR(__xludf.DUMMYFUNCTION("""COMPUTED_VALUE"""),"Fuad Khomsatun")</f>
        <v>Fuad Khomsatun</v>
      </c>
      <c r="H113" s="8"/>
      <c r="I113" s="12">
        <f t="shared" si="1"/>
        <v>81</v>
      </c>
    </row>
    <row r="114">
      <c r="A114" s="7" t="str">
        <f>IFERROR(__xludf.DUMMYFUNCTION("""COMPUTED_VALUE"""),"clarisa aqila putri")</f>
        <v>clarisa aqila putri</v>
      </c>
      <c r="B114" s="7" t="str">
        <f>IFERROR(__xludf.DUMMYFUNCTION("""COMPUTED_VALUE"""),"D250030")</f>
        <v>D250030</v>
      </c>
      <c r="C114" s="7" t="str">
        <f>IFERROR(__xludf.DUMMYFUNCTION("""COMPUTED_VALUE"""),"MTs Putri")</f>
        <v>MTs Putri</v>
      </c>
      <c r="D114" s="7">
        <f>IFERROR(__xludf.DUMMYFUNCTION("""COMPUTED_VALUE"""),70.0)</f>
        <v>70</v>
      </c>
      <c r="E114" s="7">
        <f>IFERROR(__xludf.DUMMYFUNCTION("""COMPUTED_VALUE"""),65.0)</f>
        <v>65</v>
      </c>
      <c r="F114" s="7" t="str">
        <f>IFERROR(__xludf.DUMMYFUNCTION("""COMPUTED_VALUE"""),"B. Cadangan")</f>
        <v>B. Cadangan</v>
      </c>
      <c r="G114" s="7" t="str">
        <f>IFERROR(__xludf.DUMMYFUNCTION("""COMPUTED_VALUE"""),"Andi Fatimah Azzahra Rahman")</f>
        <v>Andi Fatimah Azzahra Rahman</v>
      </c>
      <c r="H114" s="8" t="str">
        <f>IFERROR(__xludf.DUMMYFUNCTION("""COMPUTED_VALUE"""),"Ananda sudah dapat membaca Alquran namun belum lancar dan belum tajwid, namun ada potensi dapat membaca Alquran dengan baik")</f>
        <v>Ananda sudah dapat membaca Alquran namun belum lancar dan belum tajwid, namun ada potensi dapat membaca Alquran dengan baik</v>
      </c>
      <c r="I114" s="12">
        <f t="shared" si="1"/>
        <v>67.5</v>
      </c>
    </row>
    <row r="115">
      <c r="A115" s="7" t="str">
        <f>IFERROR(__xludf.DUMMYFUNCTION("""COMPUTED_VALUE"""),"Arjuna Permana")</f>
        <v>Arjuna Permana</v>
      </c>
      <c r="B115" s="7" t="str">
        <f>IFERROR(__xludf.DUMMYFUNCTION("""COMPUTED_VALUE"""),"A250022")</f>
        <v>A250022</v>
      </c>
      <c r="C115" s="7" t="str">
        <f>IFERROR(__xludf.DUMMYFUNCTION("""COMPUTED_VALUE"""),"MTs Putra")</f>
        <v>MTs Putra</v>
      </c>
      <c r="D115" s="7">
        <f>IFERROR(__xludf.DUMMYFUNCTION("""COMPUTED_VALUE"""),92.0)</f>
        <v>92</v>
      </c>
      <c r="E115" s="7">
        <f>IFERROR(__xludf.DUMMYFUNCTION("""COMPUTED_VALUE"""),90.0)</f>
        <v>90</v>
      </c>
      <c r="F115" s="7" t="str">
        <f>IFERROR(__xludf.DUMMYFUNCTION("""COMPUTED_VALUE"""),"A. Diterima")</f>
        <v>A. Diterima</v>
      </c>
      <c r="G115" s="7" t="str">
        <f>IFERROR(__xludf.DUMMYFUNCTION("""COMPUTED_VALUE"""),"Fuad Khomsatun")</f>
        <v>Fuad Khomsatun</v>
      </c>
      <c r="H115" s="8" t="str">
        <f>IFERROR(__xludf.DUMMYFUNCTION("""COMPUTED_VALUE"""),"bacaan bagus, hafal 5 juz")</f>
        <v>bacaan bagus, hafal 5 juz</v>
      </c>
      <c r="I115" s="12">
        <f t="shared" si="1"/>
        <v>91</v>
      </c>
    </row>
    <row r="116">
      <c r="A116" s="7" t="str">
        <f>IFERROR(__xludf.DUMMYFUNCTION("""COMPUTED_VALUE"""),"Zihan Muzainah Zein")</f>
        <v>Zihan Muzainah Zein</v>
      </c>
      <c r="B116" s="7" t="str">
        <f>IFERROR(__xludf.DUMMYFUNCTION("""COMPUTED_VALUE"""),"D250031")</f>
        <v>D250031</v>
      </c>
      <c r="C116" s="7" t="str">
        <f>IFERROR(__xludf.DUMMYFUNCTION("""COMPUTED_VALUE"""),"MTs Putri")</f>
        <v>MTs Putri</v>
      </c>
      <c r="D116" s="7">
        <f>IFERROR(__xludf.DUMMYFUNCTION("""COMPUTED_VALUE"""),75.0)</f>
        <v>75</v>
      </c>
      <c r="E116" s="7">
        <f>IFERROR(__xludf.DUMMYFUNCTION("""COMPUTED_VALUE"""),79.0)</f>
        <v>79</v>
      </c>
      <c r="F116" s="7" t="str">
        <f>IFERROR(__xludf.DUMMYFUNCTION("""COMPUTED_VALUE"""),"A. Diterima")</f>
        <v>A. Diterima</v>
      </c>
      <c r="G116" s="7" t="str">
        <f>IFERROR(__xludf.DUMMYFUNCTION("""COMPUTED_VALUE"""),"Andi Fatimah Azzahra Rahman")</f>
        <v>Andi Fatimah Azzahra Rahman</v>
      </c>
      <c r="H116" s="8" t="str">
        <f>IFERROR(__xludf.DUMMYFUNCTION("""COMPUTED_VALUE"""),"Sebelum masuk pondok lebih sering bimbingan bacaan al quran dan tajwid")</f>
        <v>Sebelum masuk pondok lebih sering bimbingan bacaan al quran dan tajwid</v>
      </c>
      <c r="I116" s="12">
        <f t="shared" si="1"/>
        <v>77</v>
      </c>
    </row>
    <row r="117">
      <c r="A117" s="7" t="str">
        <f>IFERROR(__xludf.DUMMYFUNCTION("""COMPUTED_VALUE"""),"Syahira Zahratul Islam")</f>
        <v>Syahira Zahratul Islam</v>
      </c>
      <c r="B117" s="7" t="str">
        <f>IFERROR(__xludf.DUMMYFUNCTION("""COMPUTED_VALUE"""),"D250018")</f>
        <v>D250018</v>
      </c>
      <c r="C117" s="7" t="str">
        <f>IFERROR(__xludf.DUMMYFUNCTION("""COMPUTED_VALUE"""),"MTs Putri")</f>
        <v>MTs Putri</v>
      </c>
      <c r="D117" s="7">
        <f>IFERROR(__xludf.DUMMYFUNCTION("""COMPUTED_VALUE"""),85.0)</f>
        <v>85</v>
      </c>
      <c r="E117" s="7">
        <f>IFERROR(__xludf.DUMMYFUNCTION("""COMPUTED_VALUE"""),85.0)</f>
        <v>85</v>
      </c>
      <c r="F117" s="7" t="str">
        <f>IFERROR(__xludf.DUMMYFUNCTION("""COMPUTED_VALUE"""),"A. Diterima")</f>
        <v>A. Diterima</v>
      </c>
      <c r="G117" s="7" t="str">
        <f>IFERROR(__xludf.DUMMYFUNCTION("""COMPUTED_VALUE"""),"Andi Fatimah Azzahra Rahman")</f>
        <v>Andi Fatimah Azzahra Rahman</v>
      </c>
      <c r="H117" s="8" t="str">
        <f>IFERROR(__xludf.DUMMYFUNCTION("""COMPUTED_VALUE"""),"Sebelum masuk pondok pesantren harus lebih banyak pembimbingan bacaan Qur'an ")</f>
        <v>Sebelum masuk pondok pesantren harus lebih banyak pembimbingan bacaan Qur'an </v>
      </c>
      <c r="I117" s="12">
        <f t="shared" si="1"/>
        <v>85</v>
      </c>
    </row>
    <row r="118">
      <c r="A118" s="7" t="str">
        <f>IFERROR(__xludf.DUMMYFUNCTION("""COMPUTED_VALUE"""),"Alika Aisyah Putri")</f>
        <v>Alika Aisyah Putri</v>
      </c>
      <c r="B118" s="7" t="str">
        <f>IFERROR(__xludf.DUMMYFUNCTION("""COMPUTED_VALUE"""),"D250021")</f>
        <v>D250021</v>
      </c>
      <c r="C118" s="7" t="str">
        <f>IFERROR(__xludf.DUMMYFUNCTION("""COMPUTED_VALUE"""),"MTs Putri")</f>
        <v>MTs Putri</v>
      </c>
      <c r="D118" s="7">
        <f>IFERROR(__xludf.DUMMYFUNCTION("""COMPUTED_VALUE"""),75.0)</f>
        <v>75</v>
      </c>
      <c r="E118" s="7">
        <f>IFERROR(__xludf.DUMMYFUNCTION("""COMPUTED_VALUE"""),85.0)</f>
        <v>85</v>
      </c>
      <c r="F118" s="7" t="str">
        <f>IFERROR(__xludf.DUMMYFUNCTION("""COMPUTED_VALUE"""),"A. Diterima")</f>
        <v>A. Diterima</v>
      </c>
      <c r="G118" s="7" t="str">
        <f>IFERROR(__xludf.DUMMYFUNCTION("""COMPUTED_VALUE"""),"Andi Fatimah Azzahra Rahman")</f>
        <v>Andi Fatimah Azzahra Rahman</v>
      </c>
      <c r="H118" s="8" t="str">
        <f>IFERROR(__xludf.DUMMYFUNCTION("""COMPUTED_VALUE"""),"Sebelum masuk pondok pesantren harus lebih banyak bimbingan tajwid ")</f>
        <v>Sebelum masuk pondok pesantren harus lebih banyak bimbingan tajwid </v>
      </c>
      <c r="I118" s="12">
        <f t="shared" si="1"/>
        <v>80</v>
      </c>
    </row>
    <row r="119">
      <c r="A119" s="7" t="str">
        <f>IFERROR(__xludf.DUMMYFUNCTION("""COMPUTED_VALUE"""),"Suhail Aiman")</f>
        <v>Suhail Aiman</v>
      </c>
      <c r="B119" s="7" t="str">
        <f>IFERROR(__xludf.DUMMYFUNCTION("""COMPUTED_VALUE"""),"A250045")</f>
        <v>A250045</v>
      </c>
      <c r="C119" s="7" t="str">
        <f>IFERROR(__xludf.DUMMYFUNCTION("""COMPUTED_VALUE"""),"MTs Putra")</f>
        <v>MTs Putra</v>
      </c>
      <c r="D119" s="7">
        <f>IFERROR(__xludf.DUMMYFUNCTION("""COMPUTED_VALUE"""),83.0)</f>
        <v>83</v>
      </c>
      <c r="E119" s="7">
        <f>IFERROR(__xludf.DUMMYFUNCTION("""COMPUTED_VALUE"""),85.0)</f>
        <v>85</v>
      </c>
      <c r="F119" s="7" t="str">
        <f>IFERROR(__xludf.DUMMYFUNCTION("""COMPUTED_VALUE"""),"A. Diterima")</f>
        <v>A. Diterima</v>
      </c>
      <c r="G119" s="7" t="str">
        <f>IFERROR(__xludf.DUMMYFUNCTION("""COMPUTED_VALUE"""),"Jusman")</f>
        <v>Jusman</v>
      </c>
      <c r="H119" s="8"/>
      <c r="I119" s="12">
        <f t="shared" si="1"/>
        <v>84</v>
      </c>
    </row>
    <row r="120">
      <c r="A120" s="7" t="str">
        <f>IFERROR(__xludf.DUMMYFUNCTION("""COMPUTED_VALUE"""),"Aisha Alifa Noor Attarini")</f>
        <v>Aisha Alifa Noor Attarini</v>
      </c>
      <c r="B120" s="7" t="str">
        <f>IFERROR(__xludf.DUMMYFUNCTION("""COMPUTED_VALUE"""),"D250023")</f>
        <v>D250023</v>
      </c>
      <c r="C120" s="7" t="str">
        <f>IFERROR(__xludf.DUMMYFUNCTION("""COMPUTED_VALUE"""),"MTs Putri")</f>
        <v>MTs Putri</v>
      </c>
      <c r="D120" s="7">
        <f>IFERROR(__xludf.DUMMYFUNCTION("""COMPUTED_VALUE"""),69.0)</f>
        <v>69</v>
      </c>
      <c r="E120" s="7">
        <f>IFERROR(__xludf.DUMMYFUNCTION("""COMPUTED_VALUE"""),69.0)</f>
        <v>69</v>
      </c>
      <c r="F120" s="7" t="str">
        <f>IFERROR(__xludf.DUMMYFUNCTION("""COMPUTED_VALUE"""),"B. Cadangan")</f>
        <v>B. Cadangan</v>
      </c>
      <c r="G120" s="7" t="str">
        <f>IFERROR(__xludf.DUMMYFUNCTION("""COMPUTED_VALUE"""),"Andi Fatimah Azzahra Rahman")</f>
        <v>Andi Fatimah Azzahra Rahman</v>
      </c>
      <c r="H120" s="8" t="str">
        <f>IFERROR(__xludf.DUMMYFUNCTION("""COMPUTED_VALUE"""),"Jika di terima harus bimbingan intensif tentang kelancaran bacaan dan tajwid sebelum masuk pondok ")</f>
        <v>Jika di terima harus bimbingan intensif tentang kelancaran bacaan dan tajwid sebelum masuk pondok </v>
      </c>
      <c r="I120" s="12">
        <f t="shared" si="1"/>
        <v>69</v>
      </c>
    </row>
    <row r="121">
      <c r="A121" s="7" t="str">
        <f>IFERROR(__xludf.DUMMYFUNCTION("""COMPUTED_VALUE"""),"Syabil Al-Fachrizzi")</f>
        <v>Syabil Al-Fachrizzi</v>
      </c>
      <c r="B121" s="7" t="str">
        <f>IFERROR(__xludf.DUMMYFUNCTION("""COMPUTED_VALUE"""),"A250047")</f>
        <v>A250047</v>
      </c>
      <c r="C121" s="7" t="str">
        <f>IFERROR(__xludf.DUMMYFUNCTION("""COMPUTED_VALUE"""),"MTs Putra")</f>
        <v>MTs Putra</v>
      </c>
      <c r="D121" s="7">
        <f>IFERROR(__xludf.DUMMYFUNCTION("""COMPUTED_VALUE"""),88.0)</f>
        <v>88</v>
      </c>
      <c r="E121" s="7">
        <f>IFERROR(__xludf.DUMMYFUNCTION("""COMPUTED_VALUE"""),85.0)</f>
        <v>85</v>
      </c>
      <c r="F121" s="7" t="str">
        <f>IFERROR(__xludf.DUMMYFUNCTION("""COMPUTED_VALUE"""),"A. Diterima")</f>
        <v>A. Diterima</v>
      </c>
      <c r="G121" s="7" t="str">
        <f>IFERROR(__xludf.DUMMYFUNCTION("""COMPUTED_VALUE"""),"Jusman")</f>
        <v>Jusman</v>
      </c>
      <c r="H121" s="8"/>
      <c r="I121" s="12">
        <f t="shared" si="1"/>
        <v>86.5</v>
      </c>
    </row>
    <row r="122">
      <c r="A122" s="7" t="str">
        <f>IFERROR(__xludf.DUMMYFUNCTION("""COMPUTED_VALUE"""),"Kafie Arkan Rafiqi")</f>
        <v>Kafie Arkan Rafiqi</v>
      </c>
      <c r="B122" s="7" t="str">
        <f>IFERROR(__xludf.DUMMYFUNCTION("""COMPUTED_VALUE"""),"A250055")</f>
        <v>A250055</v>
      </c>
      <c r="C122" s="7" t="str">
        <f>IFERROR(__xludf.DUMMYFUNCTION("""COMPUTED_VALUE"""),"MTs Putra")</f>
        <v>MTs Putra</v>
      </c>
      <c r="D122" s="7">
        <f>IFERROR(__xludf.DUMMYFUNCTION("""COMPUTED_VALUE"""),87.0)</f>
        <v>87</v>
      </c>
      <c r="E122" s="7">
        <f>IFERROR(__xludf.DUMMYFUNCTION("""COMPUTED_VALUE"""),84.0)</f>
        <v>84</v>
      </c>
      <c r="F122" s="7" t="str">
        <f>IFERROR(__xludf.DUMMYFUNCTION("""COMPUTED_VALUE"""),"A. Diterima")</f>
        <v>A. Diterima</v>
      </c>
      <c r="G122" s="7" t="str">
        <f>IFERROR(__xludf.DUMMYFUNCTION("""COMPUTED_VALUE"""),"Jusman")</f>
        <v>Jusman</v>
      </c>
      <c r="H122" s="8"/>
      <c r="I122" s="12">
        <f t="shared" si="1"/>
        <v>85.5</v>
      </c>
    </row>
    <row r="123">
      <c r="A123" s="7" t="str">
        <f>IFERROR(__xludf.DUMMYFUNCTION("""COMPUTED_VALUE"""),"najla ulfa")</f>
        <v>najla ulfa</v>
      </c>
      <c r="B123" s="7" t="str">
        <f>IFERROR(__xludf.DUMMYFUNCTION("""COMPUTED_VALUE"""),"E250009")</f>
        <v>E250009</v>
      </c>
      <c r="C123" s="7" t="str">
        <f>IFERROR(__xludf.DUMMYFUNCTION("""COMPUTED_VALUE"""),"IL Putri")</f>
        <v>IL Putri</v>
      </c>
      <c r="D123" s="7">
        <f>IFERROR(__xludf.DUMMYFUNCTION("""COMPUTED_VALUE"""),93.0)</f>
        <v>93</v>
      </c>
      <c r="E123" s="7">
        <f>IFERROR(__xludf.DUMMYFUNCTION("""COMPUTED_VALUE"""),90.0)</f>
        <v>90</v>
      </c>
      <c r="F123" s="7" t="str">
        <f>IFERROR(__xludf.DUMMYFUNCTION("""COMPUTED_VALUE"""),"A. Diterima")</f>
        <v>A. Diterima</v>
      </c>
      <c r="G123" s="7" t="str">
        <f>IFERROR(__xludf.DUMMYFUNCTION("""COMPUTED_VALUE"""),"Andi Fatimah Azzahra Rahman")</f>
        <v>Andi Fatimah Azzahra Rahman</v>
      </c>
      <c r="H123" s="8"/>
      <c r="I123" s="12">
        <f t="shared" si="1"/>
        <v>91.5</v>
      </c>
    </row>
    <row r="124">
      <c r="A124" s="7" t="str">
        <f>IFERROR(__xludf.DUMMYFUNCTION("""COMPUTED_VALUE"""),"Ananda Hezky Faeza")</f>
        <v>Ananda Hezky Faeza</v>
      </c>
      <c r="B124" s="7" t="str">
        <f>IFERROR(__xludf.DUMMYFUNCTION("""COMPUTED_VALUE"""),"C250024")</f>
        <v>C250024</v>
      </c>
      <c r="C124" s="7" t="str">
        <f>IFERROR(__xludf.DUMMYFUNCTION("""COMPUTED_VALUE"""),"SMA Putra")</f>
        <v>SMA Putra</v>
      </c>
      <c r="D124" s="7">
        <f>IFERROR(__xludf.DUMMYFUNCTION("""COMPUTED_VALUE"""),80.0)</f>
        <v>80</v>
      </c>
      <c r="E124" s="7">
        <f>IFERROR(__xludf.DUMMYFUNCTION("""COMPUTED_VALUE"""),80.0)</f>
        <v>80</v>
      </c>
      <c r="F124" s="7" t="str">
        <f>IFERROR(__xludf.DUMMYFUNCTION("""COMPUTED_VALUE"""),"C. Ditolak")</f>
        <v>C. Ditolak</v>
      </c>
      <c r="G124" s="7" t="str">
        <f>IFERROR(__xludf.DUMMYFUNCTION("""COMPUTED_VALUE"""),"Agus Cahyono")</f>
        <v>Agus Cahyono</v>
      </c>
      <c r="H124" s="8" t="str">
        <f>IFERROR(__xludf.DUMMYFUNCTION("""COMPUTED_VALUE"""),"Secara qiroah amanda punya potensi bagus.
Tp setelah di uji hafalan qoddarullah belum lulus untuk masuk SMA, mungkin bisa di IL terlebih dahulu. ")</f>
        <v>Secara qiroah amanda punya potensi bagus.
Tp setelah di uji hafalan qoddarullah belum lulus untuk masuk SMA, mungkin bisa di IL terlebih dahulu. </v>
      </c>
      <c r="I124" s="12">
        <f t="shared" si="1"/>
        <v>80</v>
      </c>
    </row>
    <row r="125">
      <c r="A125" s="7" t="str">
        <f>IFERROR(__xludf.DUMMYFUNCTION("""COMPUTED_VALUE"""),"Bisma Adhi Saputra ")</f>
        <v>Bisma Adhi Saputra </v>
      </c>
      <c r="B125" s="7" t="str">
        <f>IFERROR(__xludf.DUMMYFUNCTION("""COMPUTED_VALUE"""),"B250028")</f>
        <v>B250028</v>
      </c>
      <c r="C125" s="7" t="str">
        <f>IFERROR(__xludf.DUMMYFUNCTION("""COMPUTED_VALUE"""),"IL Putra")</f>
        <v>IL Putra</v>
      </c>
      <c r="D125" s="7">
        <f>IFERROR(__xludf.DUMMYFUNCTION("""COMPUTED_VALUE"""),85.0)</f>
        <v>85</v>
      </c>
      <c r="E125" s="7">
        <f>IFERROR(__xludf.DUMMYFUNCTION("""COMPUTED_VALUE"""),80.0)</f>
        <v>80</v>
      </c>
      <c r="F125" s="7" t="str">
        <f>IFERROR(__xludf.DUMMYFUNCTION("""COMPUTED_VALUE"""),"A. Diterima")</f>
        <v>A. Diterima</v>
      </c>
      <c r="G125" s="7" t="str">
        <f>IFERROR(__xludf.DUMMYFUNCTION("""COMPUTED_VALUE"""),"Agus Cahyono")</f>
        <v>Agus Cahyono</v>
      </c>
      <c r="H125" s="8" t="str">
        <f>IFERROR(__xludf.DUMMYFUNCTION("""COMPUTED_VALUE"""),"Ananda punya potensi yg baik, in syaa allah layak untuk di terima IL")</f>
        <v>Ananda punya potensi yg baik, in syaa allah layak untuk di terima IL</v>
      </c>
      <c r="I125" s="12">
        <f t="shared" si="1"/>
        <v>82.5</v>
      </c>
    </row>
    <row r="126">
      <c r="A126" s="7" t="str">
        <f>IFERROR(__xludf.DUMMYFUNCTION("""COMPUTED_VALUE"""),"Naisyail Tazqia Qolbi")</f>
        <v>Naisyail Tazqia Qolbi</v>
      </c>
      <c r="B126" s="7" t="str">
        <f>IFERROR(__xludf.DUMMYFUNCTION("""COMPUTED_VALUE"""),"F250001")</f>
        <v>F250001</v>
      </c>
      <c r="C126" s="7" t="str">
        <f>IFERROR(__xludf.DUMMYFUNCTION("""COMPUTED_VALUE"""),"IL Putri")</f>
        <v>IL Putri</v>
      </c>
      <c r="D126" s="7">
        <f>IFERROR(__xludf.DUMMYFUNCTION("""COMPUTED_VALUE"""),85.0)</f>
        <v>85</v>
      </c>
      <c r="E126" s="7">
        <f>IFERROR(__xludf.DUMMYFUNCTION("""COMPUTED_VALUE"""),80.0)</f>
        <v>80</v>
      </c>
      <c r="F126" s="7" t="str">
        <f>IFERROR(__xludf.DUMMYFUNCTION("""COMPUTED_VALUE"""),"A. Diterima")</f>
        <v>A. Diterima</v>
      </c>
      <c r="G126" s="7" t="str">
        <f>IFERROR(__xludf.DUMMYFUNCTION("""COMPUTED_VALUE"""),"Andi Fatimah Azzahra Rahman")</f>
        <v>Andi Fatimah Azzahra Rahman</v>
      </c>
      <c r="H126" s="8" t="str">
        <f>IFERROR(__xludf.DUMMYFUNCTION("""COMPUTED_VALUE"""),"Bimbingan tajwid dan baca Al Quran lagi sebelum masuk pondok. Hafalan di lancarkan lagi. ")</f>
        <v>Bimbingan tajwid dan baca Al Quran lagi sebelum masuk pondok. Hafalan di lancarkan lagi. </v>
      </c>
      <c r="I126" s="12">
        <f t="shared" si="1"/>
        <v>82.5</v>
      </c>
    </row>
    <row r="127">
      <c r="A127" s="7" t="str">
        <f>IFERROR(__xludf.DUMMYFUNCTION("""COMPUTED_VALUE"""),"Aisah ")</f>
        <v>Aisah </v>
      </c>
      <c r="B127" s="7" t="str">
        <f>IFERROR(__xludf.DUMMYFUNCTION("""COMPUTED_VALUE"""),"D250032")</f>
        <v>D250032</v>
      </c>
      <c r="C127" s="7" t="str">
        <f>IFERROR(__xludf.DUMMYFUNCTION("""COMPUTED_VALUE"""),"MTs Putri")</f>
        <v>MTs Putri</v>
      </c>
      <c r="D127" s="7">
        <f>IFERROR(__xludf.DUMMYFUNCTION("""COMPUTED_VALUE"""),80.0)</f>
        <v>80</v>
      </c>
      <c r="E127" s="7">
        <f>IFERROR(__xludf.DUMMYFUNCTION("""COMPUTED_VALUE"""),80.0)</f>
        <v>80</v>
      </c>
      <c r="F127" s="7" t="str">
        <f>IFERROR(__xludf.DUMMYFUNCTION("""COMPUTED_VALUE"""),"A. Diterima")</f>
        <v>A. Diterima</v>
      </c>
      <c r="G127" s="7" t="str">
        <f>IFERROR(__xludf.DUMMYFUNCTION("""COMPUTED_VALUE"""),"Andi Fatimah Azzahra Rahman")</f>
        <v>Andi Fatimah Azzahra Rahman</v>
      </c>
      <c r="H127" s="8" t="str">
        <f>IFERROR(__xludf.DUMMYFUNCTION("""COMPUTED_VALUE"""),"Harus ada bimbingan intensif tentang bacaan Alquran dan tajwid sebelum masuk pondok")</f>
        <v>Harus ada bimbingan intensif tentang bacaan Alquran dan tajwid sebelum masuk pondok</v>
      </c>
      <c r="I127" s="12">
        <f t="shared" si="1"/>
        <v>80</v>
      </c>
    </row>
    <row r="128">
      <c r="A128" s="7" t="str">
        <f>IFERROR(__xludf.DUMMYFUNCTION("""COMPUTED_VALUE"""),"Fadlan Waldi Zamzami")</f>
        <v>Fadlan Waldi Zamzami</v>
      </c>
      <c r="B128" s="7" t="str">
        <f>IFERROR(__xludf.DUMMYFUNCTION("""COMPUTED_VALUE"""),"C250005")</f>
        <v>C250005</v>
      </c>
      <c r="C128" s="7" t="str">
        <f>IFERROR(__xludf.DUMMYFUNCTION("""COMPUTED_VALUE"""),"SMA Putra")</f>
        <v>SMA Putra</v>
      </c>
      <c r="D128" s="7">
        <f>IFERROR(__xludf.DUMMYFUNCTION("""COMPUTED_VALUE"""),60.0)</f>
        <v>60</v>
      </c>
      <c r="E128" s="7">
        <f>IFERROR(__xludf.DUMMYFUNCTION("""COMPUTED_VALUE"""),65.0)</f>
        <v>65</v>
      </c>
      <c r="F128" s="7" t="str">
        <f>IFERROR(__xludf.DUMMYFUNCTION("""COMPUTED_VALUE"""),"C. Ditolak")</f>
        <v>C. Ditolak</v>
      </c>
      <c r="G128" s="7" t="str">
        <f>IFERROR(__xludf.DUMMYFUNCTION("""COMPUTED_VALUE"""),"Fuad Khomsatun")</f>
        <v>Fuad Khomsatun</v>
      </c>
      <c r="H128" s="8" t="str">
        <f>IFERROR(__xludf.DUMMYFUNCTION("""COMPUTED_VALUE"""),"ga lolos di SMA, tapi masuk IL pun wajib cadangan karena bacaannya yg tidak konkret")</f>
        <v>ga lolos di SMA, tapi masuk IL pun wajib cadangan karena bacaannya yg tidak konkret</v>
      </c>
      <c r="I128" s="12">
        <f t="shared" si="1"/>
        <v>62.5</v>
      </c>
    </row>
    <row r="129">
      <c r="A129" s="7" t="str">
        <f>IFERROR(__xludf.DUMMYFUNCTION("""COMPUTED_VALUE"""),"Muhammad Nadhif Raisyauqi")</f>
        <v>Muhammad Nadhif Raisyauqi</v>
      </c>
      <c r="B129" s="7" t="str">
        <f>IFERROR(__xludf.DUMMYFUNCTION("""COMPUTED_VALUE"""),"A250075")</f>
        <v>A250075</v>
      </c>
      <c r="C129" s="7" t="str">
        <f>IFERROR(__xludf.DUMMYFUNCTION("""COMPUTED_VALUE"""),"MTs Putra")</f>
        <v>MTs Putra</v>
      </c>
      <c r="D129" s="7">
        <f>IFERROR(__xludf.DUMMYFUNCTION("""COMPUTED_VALUE"""),80.0)</f>
        <v>80</v>
      </c>
      <c r="E129" s="7">
        <f>IFERROR(__xludf.DUMMYFUNCTION("""COMPUTED_VALUE"""),80.0)</f>
        <v>80</v>
      </c>
      <c r="F129" s="7" t="str">
        <f>IFERROR(__xludf.DUMMYFUNCTION("""COMPUTED_VALUE"""),"A. Diterima")</f>
        <v>A. Diterima</v>
      </c>
      <c r="G129" s="7" t="str">
        <f>IFERROR(__xludf.DUMMYFUNCTION("""COMPUTED_VALUE"""),"Agus Cahyono")</f>
        <v>Agus Cahyono</v>
      </c>
      <c r="H129" s="8"/>
      <c r="I129" s="12">
        <f t="shared" si="1"/>
        <v>80</v>
      </c>
    </row>
    <row r="130">
      <c r="A130" s="7" t="str">
        <f>IFERROR(__xludf.DUMMYFUNCTION("""COMPUTED_VALUE"""),"Achmad Kaisan Sidqi ")</f>
        <v>Achmad Kaisan Sidqi </v>
      </c>
      <c r="B130" s="7" t="str">
        <f>IFERROR(__xludf.DUMMYFUNCTION("""COMPUTED_VALUE"""),"C250007")</f>
        <v>C250007</v>
      </c>
      <c r="C130" s="7" t="str">
        <f>IFERROR(__xludf.DUMMYFUNCTION("""COMPUTED_VALUE"""),"SMA Putra")</f>
        <v>SMA Putra</v>
      </c>
      <c r="D130" s="7">
        <f>IFERROR(__xludf.DUMMYFUNCTION("""COMPUTED_VALUE"""),60.0)</f>
        <v>60</v>
      </c>
      <c r="E130" s="7">
        <f>IFERROR(__xludf.DUMMYFUNCTION("""COMPUTED_VALUE"""),60.0)</f>
        <v>60</v>
      </c>
      <c r="F130" s="7" t="str">
        <f>IFERROR(__xludf.DUMMYFUNCTION("""COMPUTED_VALUE"""),"C. Ditolak")</f>
        <v>C. Ditolak</v>
      </c>
      <c r="G130" s="7" t="str">
        <f>IFERROR(__xludf.DUMMYFUNCTION("""COMPUTED_VALUE"""),"Fuad Khomsatun")</f>
        <v>Fuad Khomsatun</v>
      </c>
      <c r="H130" s="8" t="str">
        <f>IFERROR(__xludf.DUMMYFUNCTION("""COMPUTED_VALUE"""),"sebaiknya ditolak aja walaupun dia masuk IL")</f>
        <v>sebaiknya ditolak aja walaupun dia masuk IL</v>
      </c>
      <c r="I130" s="12">
        <f t="shared" si="1"/>
        <v>60</v>
      </c>
    </row>
    <row r="131">
      <c r="A131" s="7" t="str">
        <f>IFERROR(__xludf.DUMMYFUNCTION("""COMPUTED_VALUE"""),"Nidaul Husna ")</f>
        <v>Nidaul Husna </v>
      </c>
      <c r="B131" s="7" t="str">
        <f>IFERROR(__xludf.DUMMYFUNCTION("""COMPUTED_VALUE"""),"F250003")</f>
        <v>F250003</v>
      </c>
      <c r="C131" s="7" t="str">
        <f>IFERROR(__xludf.DUMMYFUNCTION("""COMPUTED_VALUE"""),"IL Putri")</f>
        <v>IL Putri</v>
      </c>
      <c r="D131" s="7">
        <f>IFERROR(__xludf.DUMMYFUNCTION("""COMPUTED_VALUE"""),90.0)</f>
        <v>90</v>
      </c>
      <c r="E131" s="7">
        <f>IFERROR(__xludf.DUMMYFUNCTION("""COMPUTED_VALUE"""),90.0)</f>
        <v>90</v>
      </c>
      <c r="F131" s="7" t="str">
        <f>IFERROR(__xludf.DUMMYFUNCTION("""COMPUTED_VALUE"""),"A. Diterima")</f>
        <v>A. Diterima</v>
      </c>
      <c r="G131" s="7" t="str">
        <f>IFERROR(__xludf.DUMMYFUNCTION("""COMPUTED_VALUE"""),"Andi Fatimah Azzahra Rahman")</f>
        <v>Andi Fatimah Azzahra Rahman</v>
      </c>
      <c r="H131" s="8"/>
      <c r="I131" s="12">
        <f t="shared" si="1"/>
        <v>90</v>
      </c>
    </row>
    <row r="132">
      <c r="A132" s="7" t="str">
        <f>IFERROR(__xludf.DUMMYFUNCTION("""COMPUTED_VALUE"""),"Aditya Afnan Dhiaulhaq Ilham")</f>
        <v>Aditya Afnan Dhiaulhaq Ilham</v>
      </c>
      <c r="B132" s="7" t="str">
        <f>IFERROR(__xludf.DUMMYFUNCTION("""COMPUTED_VALUE"""),"C250021")</f>
        <v>C250021</v>
      </c>
      <c r="C132" s="7" t="str">
        <f>IFERROR(__xludf.DUMMYFUNCTION("""COMPUTED_VALUE"""),"SMA Putra")</f>
        <v>SMA Putra</v>
      </c>
      <c r="D132" s="7">
        <f>IFERROR(__xludf.DUMMYFUNCTION("""COMPUTED_VALUE"""),85.0)</f>
        <v>85</v>
      </c>
      <c r="E132" s="7">
        <f>IFERROR(__xludf.DUMMYFUNCTION("""COMPUTED_VALUE"""),85.0)</f>
        <v>85</v>
      </c>
      <c r="F132" s="7" t="str">
        <f>IFERROR(__xludf.DUMMYFUNCTION("""COMPUTED_VALUE"""),"C. Ditolak")</f>
        <v>C. Ditolak</v>
      </c>
      <c r="G132" s="7" t="str">
        <f>IFERROR(__xludf.DUMMYFUNCTION("""COMPUTED_VALUE"""),"Agus Cahyono")</f>
        <v>Agus Cahyono</v>
      </c>
      <c r="H132" s="8" t="str">
        <f>IFERROR(__xludf.DUMMYFUNCTION("""COMPUTED_VALUE"""),"Ananda punya potensi dan bacaan yg layak.
In syaa allah Siap Di IL")</f>
        <v>Ananda punya potensi dan bacaan yg layak.
In syaa allah Siap Di IL</v>
      </c>
      <c r="I132" s="12">
        <f t="shared" si="1"/>
        <v>85</v>
      </c>
    </row>
    <row r="133">
      <c r="A133" s="7" t="str">
        <f>IFERROR(__xludf.DUMMYFUNCTION("""COMPUTED_VALUE"""),"Naufal Taqqy Hafifurrahman")</f>
        <v>Naufal Taqqy Hafifurrahman</v>
      </c>
      <c r="B133" s="7" t="str">
        <f>IFERROR(__xludf.DUMMYFUNCTION("""COMPUTED_VALUE"""),"B250029")</f>
        <v>B250029</v>
      </c>
      <c r="C133" s="7" t="str">
        <f>IFERROR(__xludf.DUMMYFUNCTION("""COMPUTED_VALUE"""),"IL Putra")</f>
        <v>IL Putra</v>
      </c>
      <c r="D133" s="7">
        <f>IFERROR(__xludf.DUMMYFUNCTION("""COMPUTED_VALUE"""),85.0)</f>
        <v>85</v>
      </c>
      <c r="E133" s="7">
        <f>IFERROR(__xludf.DUMMYFUNCTION("""COMPUTED_VALUE"""),85.0)</f>
        <v>85</v>
      </c>
      <c r="F133" s="7" t="str">
        <f>IFERROR(__xludf.DUMMYFUNCTION("""COMPUTED_VALUE"""),"A. Diterima")</f>
        <v>A. Diterima</v>
      </c>
      <c r="G133" s="7" t="str">
        <f>IFERROR(__xludf.DUMMYFUNCTION("""COMPUTED_VALUE"""),"Agus Cahyono")</f>
        <v>Agus Cahyono</v>
      </c>
      <c r="H133" s="8" t="str">
        <f>IFERROR(__xludf.DUMMYFUNCTION("""COMPUTED_VALUE"""),"Ananda Mencoba Tes masuk SMA, qoddarullah belum bisa di SMA , tp layak di IL in syaa allah. ")</f>
        <v>Ananda Mencoba Tes masuk SMA, qoddarullah belum bisa di SMA , tp layak di IL in syaa allah. </v>
      </c>
      <c r="I133" s="12">
        <f t="shared" si="1"/>
        <v>85</v>
      </c>
    </row>
    <row r="134">
      <c r="A134" s="7" t="str">
        <f>IFERROR(__xludf.DUMMYFUNCTION("""COMPUTED_VALUE"""),"Abdurrahman")</f>
        <v>Abdurrahman</v>
      </c>
      <c r="B134" s="7" t="str">
        <f>IFERROR(__xludf.DUMMYFUNCTION("""COMPUTED_VALUE"""),"A250077")</f>
        <v>A250077</v>
      </c>
      <c r="C134" s="7" t="str">
        <f>IFERROR(__xludf.DUMMYFUNCTION("""COMPUTED_VALUE"""),"MTs Putra")</f>
        <v>MTs Putra</v>
      </c>
      <c r="D134" s="7">
        <f>IFERROR(__xludf.DUMMYFUNCTION("""COMPUTED_VALUE"""),85.0)</f>
        <v>85</v>
      </c>
      <c r="E134" s="7">
        <f>IFERROR(__xludf.DUMMYFUNCTION("""COMPUTED_VALUE"""),80.0)</f>
        <v>80</v>
      </c>
      <c r="F134" s="7" t="str">
        <f>IFERROR(__xludf.DUMMYFUNCTION("""COMPUTED_VALUE"""),"A. Diterima")</f>
        <v>A. Diterima</v>
      </c>
      <c r="G134" s="7" t="str">
        <f>IFERROR(__xludf.DUMMYFUNCTION("""COMPUTED_VALUE"""),"Agus Cahyono")</f>
        <v>Agus Cahyono</v>
      </c>
      <c r="H134" s="8"/>
      <c r="I134" s="12">
        <f t="shared" si="1"/>
        <v>82.5</v>
      </c>
    </row>
    <row r="135">
      <c r="A135" s="7" t="str">
        <f>IFERROR(__xludf.DUMMYFUNCTION("""COMPUTED_VALUE"""),"Abdurrahman Dihya Arrobi")</f>
        <v>Abdurrahman Dihya Arrobi</v>
      </c>
      <c r="B135" s="7" t="str">
        <f>IFERROR(__xludf.DUMMYFUNCTION("""COMPUTED_VALUE"""),"A250056")</f>
        <v>A250056</v>
      </c>
      <c r="C135" s="7" t="str">
        <f>IFERROR(__xludf.DUMMYFUNCTION("""COMPUTED_VALUE"""),"MTs Putra")</f>
        <v>MTs Putra</v>
      </c>
      <c r="D135" s="7">
        <f>IFERROR(__xludf.DUMMYFUNCTION("""COMPUTED_VALUE"""),72.0)</f>
        <v>72</v>
      </c>
      <c r="E135" s="7">
        <f>IFERROR(__xludf.DUMMYFUNCTION("""COMPUTED_VALUE"""),70.0)</f>
        <v>70</v>
      </c>
      <c r="F135" s="7" t="str">
        <f>IFERROR(__xludf.DUMMYFUNCTION("""COMPUTED_VALUE"""),"B. Cadangan")</f>
        <v>B. Cadangan</v>
      </c>
      <c r="G135" s="7" t="str">
        <f>IFERROR(__xludf.DUMMYFUNCTION("""COMPUTED_VALUE"""),"Jusman")</f>
        <v>Jusman</v>
      </c>
      <c r="H135" s="8" t="str">
        <f>IFERROR(__xludf.DUMMYFUNCTION("""COMPUTED_VALUE"""),"Masih perlu banyak bertilawah")</f>
        <v>Masih perlu banyak bertilawah</v>
      </c>
      <c r="I135" s="12">
        <f t="shared" si="1"/>
        <v>71</v>
      </c>
    </row>
    <row r="136">
      <c r="A136" s="7" t="str">
        <f>IFERROR(__xludf.DUMMYFUNCTION("""COMPUTED_VALUE"""),"M. Daffa Barokah")</f>
        <v>M. Daffa Barokah</v>
      </c>
      <c r="B136" s="7" t="str">
        <f>IFERROR(__xludf.DUMMYFUNCTION("""COMPUTED_VALUE"""),"C250006")</f>
        <v>C250006</v>
      </c>
      <c r="C136" s="7" t="str">
        <f>IFERROR(__xludf.DUMMYFUNCTION("""COMPUTED_VALUE"""),"SMA Putra")</f>
        <v>SMA Putra</v>
      </c>
      <c r="D136" s="7">
        <f>IFERROR(__xludf.DUMMYFUNCTION("""COMPUTED_VALUE"""),85.0)</f>
        <v>85</v>
      </c>
      <c r="E136" s="7">
        <f>IFERROR(__xludf.DUMMYFUNCTION("""COMPUTED_VALUE"""),87.0)</f>
        <v>87</v>
      </c>
      <c r="F136" s="7" t="str">
        <f>IFERROR(__xludf.DUMMYFUNCTION("""COMPUTED_VALUE"""),"C. Ditolak")</f>
        <v>C. Ditolak</v>
      </c>
      <c r="G136" s="7" t="str">
        <f>IFERROR(__xludf.DUMMYFUNCTION("""COMPUTED_VALUE"""),"Jusman")</f>
        <v>Jusman</v>
      </c>
      <c r="H136" s="8" t="str">
        <f>IFERROR(__xludf.DUMMYFUNCTION("""COMPUTED_VALUE"""),"Ananda diterima Jika masuk IL")</f>
        <v>Ananda diterima Jika masuk IL</v>
      </c>
      <c r="I136" s="12">
        <f t="shared" si="1"/>
        <v>86</v>
      </c>
    </row>
    <row r="137">
      <c r="A137" s="7" t="str">
        <f>IFERROR(__xludf.DUMMYFUNCTION("""COMPUTED_VALUE"""),"Muhammad Dafa Athallah")</f>
        <v>Muhammad Dafa Athallah</v>
      </c>
      <c r="B137" s="7" t="str">
        <f>IFERROR(__xludf.DUMMYFUNCTION("""COMPUTED_VALUE"""),"B250023")</f>
        <v>B250023</v>
      </c>
      <c r="C137" s="7" t="str">
        <f>IFERROR(__xludf.DUMMYFUNCTION("""COMPUTED_VALUE"""),"IL Putra")</f>
        <v>IL Putra</v>
      </c>
      <c r="D137" s="7">
        <f>IFERROR(__xludf.DUMMYFUNCTION("""COMPUTED_VALUE"""),88.0)</f>
        <v>88</v>
      </c>
      <c r="E137" s="7">
        <f>IFERROR(__xludf.DUMMYFUNCTION("""COMPUTED_VALUE"""),86.0)</f>
        <v>86</v>
      </c>
      <c r="F137" s="7" t="str">
        <f>IFERROR(__xludf.DUMMYFUNCTION("""COMPUTED_VALUE"""),"A. Diterima")</f>
        <v>A. Diterima</v>
      </c>
      <c r="G137" s="7" t="str">
        <f>IFERROR(__xludf.DUMMYFUNCTION("""COMPUTED_VALUE"""),"Jusman")</f>
        <v>Jusman</v>
      </c>
      <c r="H137" s="8"/>
      <c r="I137" s="12">
        <f t="shared" si="1"/>
        <v>87</v>
      </c>
    </row>
    <row r="138">
      <c r="A138" s="7" t="str">
        <f>IFERROR(__xludf.DUMMYFUNCTION("""COMPUTED_VALUE"""),"unaysah")</f>
        <v>unaysah</v>
      </c>
      <c r="B138" s="7" t="str">
        <f>IFERROR(__xludf.DUMMYFUNCTION("""COMPUTED_VALUE"""),"F250002")</f>
        <v>F250002</v>
      </c>
      <c r="C138" s="7" t="str">
        <f>IFERROR(__xludf.DUMMYFUNCTION("""COMPUTED_VALUE"""),"IL Putri")</f>
        <v>IL Putri</v>
      </c>
      <c r="D138" s="7">
        <f>IFERROR(__xludf.DUMMYFUNCTION("""COMPUTED_VALUE"""),90.0)</f>
        <v>90</v>
      </c>
      <c r="E138" s="7">
        <f>IFERROR(__xludf.DUMMYFUNCTION("""COMPUTED_VALUE"""),90.0)</f>
        <v>90</v>
      </c>
      <c r="F138" s="7" t="str">
        <f>IFERROR(__xludf.DUMMYFUNCTION("""COMPUTED_VALUE"""),"A. Diterima")</f>
        <v>A. Diterima</v>
      </c>
      <c r="G138" s="7" t="str">
        <f>IFERROR(__xludf.DUMMYFUNCTION("""COMPUTED_VALUE"""),"Andi Fatimah Azzahra Rahman")</f>
        <v>Andi Fatimah Azzahra Rahman</v>
      </c>
      <c r="H138" s="8"/>
      <c r="I138" s="12">
        <f t="shared" si="1"/>
        <v>90</v>
      </c>
    </row>
    <row r="139">
      <c r="A139" s="7" t="str">
        <f>IFERROR(__xludf.DUMMYFUNCTION("""COMPUTED_VALUE"""),"Adlin ar rihaily ")</f>
        <v>Adlin ar rihaily </v>
      </c>
      <c r="B139" s="7" t="str">
        <f>IFERROR(__xludf.DUMMYFUNCTION("""COMPUTED_VALUE"""),"D250020")</f>
        <v>D250020</v>
      </c>
      <c r="C139" s="7" t="str">
        <f>IFERROR(__xludf.DUMMYFUNCTION("""COMPUTED_VALUE"""),"MTs Putri")</f>
        <v>MTs Putri</v>
      </c>
      <c r="D139" s="7">
        <f>IFERROR(__xludf.DUMMYFUNCTION("""COMPUTED_VALUE"""),70.0)</f>
        <v>70</v>
      </c>
      <c r="E139" s="7">
        <f>IFERROR(__xludf.DUMMYFUNCTION("""COMPUTED_VALUE"""),70.0)</f>
        <v>70</v>
      </c>
      <c r="F139" s="7" t="str">
        <f>IFERROR(__xludf.DUMMYFUNCTION("""COMPUTED_VALUE"""),"A. Diterima")</f>
        <v>A. Diterima</v>
      </c>
      <c r="G139" s="7" t="str">
        <f>IFERROR(__xludf.DUMMYFUNCTION("""COMPUTED_VALUE"""),"Andi Fatimah Azzahra Rahman")</f>
        <v>Andi Fatimah Azzahra Rahman</v>
      </c>
      <c r="H139" s="8" t="str">
        <f>IFERROR(__xludf.DUMMYFUNCTION("""COMPUTED_VALUE"""),"Wajib bimbingan intensif untuk kelancaran dan tajwid bacaan Qur'an sebelum masuk pondok ")</f>
        <v>Wajib bimbingan intensif untuk kelancaran dan tajwid bacaan Qur'an sebelum masuk pondok </v>
      </c>
      <c r="I139" s="12">
        <f t="shared" si="1"/>
        <v>70</v>
      </c>
    </row>
    <row r="140">
      <c r="A140" s="7" t="str">
        <f>IFERROR(__xludf.DUMMYFUNCTION("""COMPUTED_VALUE"""),"Al Raffi Hafizh Irham Zakaria")</f>
        <v>Al Raffi Hafizh Irham Zakaria</v>
      </c>
      <c r="B140" s="7" t="str">
        <f>IFERROR(__xludf.DUMMYFUNCTION("""COMPUTED_VALUE"""),"C250025")</f>
        <v>C250025</v>
      </c>
      <c r="C140" s="7" t="str">
        <f>IFERROR(__xludf.DUMMYFUNCTION("""COMPUTED_VALUE"""),"SMA Putra")</f>
        <v>SMA Putra</v>
      </c>
      <c r="D140" s="7">
        <f>IFERROR(__xludf.DUMMYFUNCTION("""COMPUTED_VALUE"""),80.0)</f>
        <v>80</v>
      </c>
      <c r="E140" s="7">
        <f>IFERROR(__xludf.DUMMYFUNCTION("""COMPUTED_VALUE"""),80.0)</f>
        <v>80</v>
      </c>
      <c r="F140" s="7" t="str">
        <f>IFERROR(__xludf.DUMMYFUNCTION("""COMPUTED_VALUE"""),"C. Ditolak")</f>
        <v>C. Ditolak</v>
      </c>
      <c r="G140" s="7" t="str">
        <f>IFERROR(__xludf.DUMMYFUNCTION("""COMPUTED_VALUE"""),"Agus Cahyono")</f>
        <v>Agus Cahyono</v>
      </c>
      <c r="H140" s="8" t="str">
        <f>IFERROR(__xludf.DUMMYFUNCTION("""COMPUTED_VALUE"""),"Ananda mendaftar SMA, tp qoddarullah belum memenuhi persyaratan, tp ananda siap di IL terlebih dahuu. ")</f>
        <v>Ananda mendaftar SMA, tp qoddarullah belum memenuhi persyaratan, tp ananda siap di IL terlebih dahuu. </v>
      </c>
      <c r="I140" s="12">
        <f t="shared" si="1"/>
        <v>80</v>
      </c>
    </row>
    <row r="141">
      <c r="A141" s="7" t="str">
        <f>IFERROR(__xludf.DUMMYFUNCTION("""COMPUTED_VALUE"""),"Zakaria Reynaldo")</f>
        <v>Zakaria Reynaldo</v>
      </c>
      <c r="B141" s="7" t="str">
        <f>IFERROR(__xludf.DUMMYFUNCTION("""COMPUTED_VALUE"""),"C0000")</f>
        <v>C0000</v>
      </c>
      <c r="C141" s="7" t="str">
        <f>IFERROR(__xludf.DUMMYFUNCTION("""COMPUTED_VALUE"""),"IL Putra")</f>
        <v>IL Putra</v>
      </c>
      <c r="D141" s="7">
        <f>IFERROR(__xludf.DUMMYFUNCTION("""COMPUTED_VALUE"""),80.0)</f>
        <v>80</v>
      </c>
      <c r="E141" s="7">
        <f>IFERROR(__xludf.DUMMYFUNCTION("""COMPUTED_VALUE"""),80.0)</f>
        <v>80</v>
      </c>
      <c r="F141" s="7" t="str">
        <f>IFERROR(__xludf.DUMMYFUNCTION("""COMPUTED_VALUE"""),"C. Ditolak")</f>
        <v>C. Ditolak</v>
      </c>
      <c r="G141" s="7" t="str">
        <f>IFERROR(__xludf.DUMMYFUNCTION("""COMPUTED_VALUE"""),"Agus Cahyono")</f>
        <v>Agus Cahyono</v>
      </c>
      <c r="H141" s="8" t="str">
        <f>IFERROR(__xludf.DUMMYFUNCTION("""COMPUTED_VALUE"""),"Tidak siap tes 2 juz, bacaan masih sering salah panjang pendeknya")</f>
        <v>Tidak siap tes 2 juz, bacaan masih sering salah panjang pendeknya</v>
      </c>
      <c r="I141" s="12">
        <f t="shared" si="1"/>
        <v>80</v>
      </c>
    </row>
    <row r="142">
      <c r="A142" s="7" t="str">
        <f>IFERROR(__xludf.DUMMYFUNCTION("""COMPUTED_VALUE"""),"Miizan Alghifary Dizlilar ")</f>
        <v>Miizan Alghifary Dizlilar </v>
      </c>
      <c r="B142" s="7" t="str">
        <f>IFERROR(__xludf.DUMMYFUNCTION("""COMPUTED_VALUE"""),"B250008")</f>
        <v>B250008</v>
      </c>
      <c r="C142" s="7" t="str">
        <f>IFERROR(__xludf.DUMMYFUNCTION("""COMPUTED_VALUE"""),"IL Putra")</f>
        <v>IL Putra</v>
      </c>
      <c r="D142" s="7">
        <f>IFERROR(__xludf.DUMMYFUNCTION("""COMPUTED_VALUE"""),60.0)</f>
        <v>60</v>
      </c>
      <c r="E142" s="7">
        <f>IFERROR(__xludf.DUMMYFUNCTION("""COMPUTED_VALUE"""),62.0)</f>
        <v>62</v>
      </c>
      <c r="F142" s="7" t="str">
        <f>IFERROR(__xludf.DUMMYFUNCTION("""COMPUTED_VALUE"""),"B. Cadangan")</f>
        <v>B. Cadangan</v>
      </c>
      <c r="G142" s="7" t="str">
        <f>IFERROR(__xludf.DUMMYFUNCTION("""COMPUTED_VALUE"""),"Fuad Khomsatun")</f>
        <v>Fuad Khomsatun</v>
      </c>
      <c r="H142" s="8" t="str">
        <f>IFERROR(__xludf.DUMMYFUNCTION("""COMPUTED_VALUE"""),"makhroj dan tajwid kureng banget")</f>
        <v>makhroj dan tajwid kureng banget</v>
      </c>
      <c r="I142" s="12">
        <f t="shared" si="1"/>
        <v>61</v>
      </c>
    </row>
    <row r="143">
      <c r="A143" s="7" t="str">
        <f>IFERROR(__xludf.DUMMYFUNCTION("""COMPUTED_VALUE"""),"Muhammad Risky Shapin")</f>
        <v>Muhammad Risky Shapin</v>
      </c>
      <c r="B143" s="7" t="str">
        <f>IFERROR(__xludf.DUMMYFUNCTION("""COMPUTED_VALUE"""),"B250011")</f>
        <v>B250011</v>
      </c>
      <c r="C143" s="7" t="str">
        <f>IFERROR(__xludf.DUMMYFUNCTION("""COMPUTED_VALUE"""),"IL Putra")</f>
        <v>IL Putra</v>
      </c>
      <c r="D143" s="7">
        <f>IFERROR(__xludf.DUMMYFUNCTION("""COMPUTED_VALUE"""),98.0)</f>
        <v>98</v>
      </c>
      <c r="E143" s="7">
        <f>IFERROR(__xludf.DUMMYFUNCTION("""COMPUTED_VALUE"""),97.0)</f>
        <v>97</v>
      </c>
      <c r="F143" s="7" t="str">
        <f>IFERROR(__xludf.DUMMYFUNCTION("""COMPUTED_VALUE"""),"A. Diterima")</f>
        <v>A. Diterima</v>
      </c>
      <c r="G143" s="7" t="str">
        <f>IFERROR(__xludf.DUMMYFUNCTION("""COMPUTED_VALUE"""),"Fuad Khomsatun")</f>
        <v>Fuad Khomsatun</v>
      </c>
      <c r="H143" s="8" t="str">
        <f>IFERROR(__xludf.DUMMYFUNCTION("""COMPUTED_VALUE"""),"konkret tanpa abstrak")</f>
        <v>konkret tanpa abstrak</v>
      </c>
      <c r="I143" s="12">
        <f t="shared" si="1"/>
        <v>97.5</v>
      </c>
    </row>
    <row r="144">
      <c r="A144" s="7" t="str">
        <f>IFERROR(__xludf.DUMMYFUNCTION("""COMPUTED_VALUE"""),"Salaman Alfarizi Alamsyah ")</f>
        <v>Salaman Alfarizi Alamsyah </v>
      </c>
      <c r="B144" s="7" t="str">
        <f>IFERROR(__xludf.DUMMYFUNCTION("""COMPUTED_VALUE"""),"B250012")</f>
        <v>B250012</v>
      </c>
      <c r="C144" s="7" t="str">
        <f>IFERROR(__xludf.DUMMYFUNCTION("""COMPUTED_VALUE"""),"IL Putra")</f>
        <v>IL Putra</v>
      </c>
      <c r="D144" s="7">
        <f>IFERROR(__xludf.DUMMYFUNCTION("""COMPUTED_VALUE"""),67.0)</f>
        <v>67</v>
      </c>
      <c r="E144" s="7">
        <f>IFERROR(__xludf.DUMMYFUNCTION("""COMPUTED_VALUE"""),65.0)</f>
        <v>65</v>
      </c>
      <c r="F144" s="7" t="str">
        <f>IFERROR(__xludf.DUMMYFUNCTION("""COMPUTED_VALUE"""),"B. Cadangan")</f>
        <v>B. Cadangan</v>
      </c>
      <c r="G144" s="7" t="str">
        <f>IFERROR(__xludf.DUMMYFUNCTION("""COMPUTED_VALUE"""),"Fuad Khomsatun")</f>
        <v>Fuad Khomsatun</v>
      </c>
      <c r="H144" s="8" t="str">
        <f>IFERROR(__xludf.DUMMYFUNCTION("""COMPUTED_VALUE"""),"bagusnya cadangan")</f>
        <v>bagusnya cadangan</v>
      </c>
      <c r="I144" s="12">
        <f t="shared" si="1"/>
        <v>66</v>
      </c>
    </row>
    <row r="145">
      <c r="A145" s="7" t="str">
        <f>IFERROR(__xludf.DUMMYFUNCTION("""COMPUTED_VALUE"""),"Muhammad Naufal Rafif ")</f>
        <v>Muhammad Naufal Rafif </v>
      </c>
      <c r="B145" s="7" t="str">
        <f>IFERROR(__xludf.DUMMYFUNCTION("""COMPUTED_VALUE"""),"B250016")</f>
        <v>B250016</v>
      </c>
      <c r="C145" s="7" t="str">
        <f>IFERROR(__xludf.DUMMYFUNCTION("""COMPUTED_VALUE"""),"IL Putra")</f>
        <v>IL Putra</v>
      </c>
      <c r="D145" s="7">
        <f>IFERROR(__xludf.DUMMYFUNCTION("""COMPUTED_VALUE"""),60.0)</f>
        <v>60</v>
      </c>
      <c r="E145" s="7">
        <f>IFERROR(__xludf.DUMMYFUNCTION("""COMPUTED_VALUE"""),57.0)</f>
        <v>57</v>
      </c>
      <c r="F145" s="7" t="str">
        <f>IFERROR(__xludf.DUMMYFUNCTION("""COMPUTED_VALUE"""),"B. Cadangan")</f>
        <v>B. Cadangan</v>
      </c>
      <c r="G145" s="7" t="str">
        <f>IFERROR(__xludf.DUMMYFUNCTION("""COMPUTED_VALUE"""),"Fuad Khomsatun")</f>
        <v>Fuad Khomsatun</v>
      </c>
      <c r="H145" s="8" t="str">
        <f>IFERROR(__xludf.DUMMYFUNCTION("""COMPUTED_VALUE"""),"cadangan setelah cadangan ")</f>
        <v>cadangan setelah cadangan </v>
      </c>
      <c r="I145" s="12">
        <f t="shared" si="1"/>
        <v>58.5</v>
      </c>
    </row>
    <row r="146">
      <c r="A146" s="7" t="str">
        <f>IFERROR(__xludf.DUMMYFUNCTION("""COMPUTED_VALUE"""),"Rifqi Fathurrohman")</f>
        <v>Rifqi Fathurrohman</v>
      </c>
      <c r="B146" s="7" t="str">
        <f>IFERROR(__xludf.DUMMYFUNCTION("""COMPUTED_VALUE"""),"A250084")</f>
        <v>A250084</v>
      </c>
      <c r="C146" s="7" t="str">
        <f>IFERROR(__xludf.DUMMYFUNCTION("""COMPUTED_VALUE"""),"MTs Putra")</f>
        <v>MTs Putra</v>
      </c>
      <c r="D146" s="7">
        <f>IFERROR(__xludf.DUMMYFUNCTION("""COMPUTED_VALUE"""),80.0)</f>
        <v>80</v>
      </c>
      <c r="E146" s="7">
        <f>IFERROR(__xludf.DUMMYFUNCTION("""COMPUTED_VALUE"""),77.0)</f>
        <v>77</v>
      </c>
      <c r="F146" s="7" t="str">
        <f>IFERROR(__xludf.DUMMYFUNCTION("""COMPUTED_VALUE"""),"A. Diterima")</f>
        <v>A. Diterima</v>
      </c>
      <c r="G146" s="7" t="str">
        <f>IFERROR(__xludf.DUMMYFUNCTION("""COMPUTED_VALUE"""),"Jusman")</f>
        <v>Jusman</v>
      </c>
      <c r="H146" s="8"/>
      <c r="I146" s="12">
        <f t="shared" si="1"/>
        <v>78.5</v>
      </c>
    </row>
    <row r="147">
      <c r="A147" s="7" t="str">
        <f>IFERROR(__xludf.DUMMYFUNCTION("""COMPUTED_VALUE"""),"Gesya Reyfan")</f>
        <v>Gesya Reyfan</v>
      </c>
      <c r="B147" s="7" t="str">
        <f>IFERROR(__xludf.DUMMYFUNCTION("""COMPUTED_VALUE"""),"A250083")</f>
        <v>A250083</v>
      </c>
      <c r="C147" s="7" t="str">
        <f>IFERROR(__xludf.DUMMYFUNCTION("""COMPUTED_VALUE"""),"MTs Putra")</f>
        <v>MTs Putra</v>
      </c>
      <c r="D147" s="7">
        <f>IFERROR(__xludf.DUMMYFUNCTION("""COMPUTED_VALUE"""),70.0)</f>
        <v>70</v>
      </c>
      <c r="E147" s="7">
        <f>IFERROR(__xludf.DUMMYFUNCTION("""COMPUTED_VALUE"""),68.0)</f>
        <v>68</v>
      </c>
      <c r="F147" s="7" t="str">
        <f>IFERROR(__xludf.DUMMYFUNCTION("""COMPUTED_VALUE"""),"B. Cadangan")</f>
        <v>B. Cadangan</v>
      </c>
      <c r="G147" s="7" t="str">
        <f>IFERROR(__xludf.DUMMYFUNCTION("""COMPUTED_VALUE"""),"Fuad Khomsatun")</f>
        <v>Fuad Khomsatun</v>
      </c>
      <c r="H147" s="8" t="str">
        <f>IFERROR(__xludf.DUMMYFUNCTION("""COMPUTED_VALUE"""),"panjang pendek masih perlu diperbaiki tapi ringan, beberapa kali salah baca harokat. Cadang aja, beliau 1km dari pondok")</f>
        <v>panjang pendek masih perlu diperbaiki tapi ringan, beberapa kali salah baca harokat. Cadang aja, beliau 1km dari pondok</v>
      </c>
      <c r="I147" s="12">
        <f t="shared" si="1"/>
        <v>69</v>
      </c>
    </row>
    <row r="148">
      <c r="A148" s="7" t="str">
        <f>IFERROR(__xludf.DUMMYFUNCTION("""COMPUTED_VALUE"""),"Urwatulwutsqo")</f>
        <v>Urwatulwutsqo</v>
      </c>
      <c r="B148" s="7" t="str">
        <f>IFERROR(__xludf.DUMMYFUNCTION("""COMPUTED_VALUE"""),"A250082")</f>
        <v>A250082</v>
      </c>
      <c r="C148" s="7" t="str">
        <f>IFERROR(__xludf.DUMMYFUNCTION("""COMPUTED_VALUE"""),"MTs Putra")</f>
        <v>MTs Putra</v>
      </c>
      <c r="D148" s="7">
        <f>IFERROR(__xludf.DUMMYFUNCTION("""COMPUTED_VALUE"""),80.0)</f>
        <v>80</v>
      </c>
      <c r="E148" s="7">
        <f>IFERROR(__xludf.DUMMYFUNCTION("""COMPUTED_VALUE"""),76.0)</f>
        <v>76</v>
      </c>
      <c r="F148" s="7" t="str">
        <f>IFERROR(__xludf.DUMMYFUNCTION("""COMPUTED_VALUE"""),"A. Diterima")</f>
        <v>A. Diterima</v>
      </c>
      <c r="G148" s="7" t="str">
        <f>IFERROR(__xludf.DUMMYFUNCTION("""COMPUTED_VALUE"""),"Jusman")</f>
        <v>Jusman</v>
      </c>
      <c r="H148" s="8"/>
      <c r="I148" s="12">
        <f t="shared" si="1"/>
        <v>78</v>
      </c>
    </row>
    <row r="149">
      <c r="A149" s="13" t="str">
        <f>IFERROR(__xludf.DUMMYFUNCTION("""COMPUTED_VALUE"""),"Khubaib Abdul Aziz")</f>
        <v>Khubaib Abdul Aziz</v>
      </c>
      <c r="B149" s="13" t="str">
        <f>IFERROR(__xludf.DUMMYFUNCTION("""COMPUTED_VALUE"""),"C250022")</f>
        <v>C250022</v>
      </c>
      <c r="C149" s="13" t="str">
        <f>IFERROR(__xludf.DUMMYFUNCTION("""COMPUTED_VALUE"""),"SMA Putra")</f>
        <v>SMA Putra</v>
      </c>
      <c r="D149" s="13">
        <f>IFERROR(__xludf.DUMMYFUNCTION("""COMPUTED_VALUE"""),70.0)</f>
        <v>70</v>
      </c>
      <c r="E149" s="13">
        <f>IFERROR(__xludf.DUMMYFUNCTION("""COMPUTED_VALUE"""),65.0)</f>
        <v>65</v>
      </c>
      <c r="F149" s="13" t="str">
        <f>IFERROR(__xludf.DUMMYFUNCTION("""COMPUTED_VALUE"""),"C. Ditolak")</f>
        <v>C. Ditolak</v>
      </c>
      <c r="G149" s="13" t="str">
        <f>IFERROR(__xludf.DUMMYFUNCTION("""COMPUTED_VALUE"""),"Fuad Khomsatun")</f>
        <v>Fuad Khomsatun</v>
      </c>
      <c r="H149" s="14" t="str">
        <f>IFERROR(__xludf.DUMMYFUNCTION("""COMPUTED_VALUE"""),"tempo baca cepet tapi sembarangan, IL pun masuknya cadangan")</f>
        <v>tempo baca cepet tapi sembarangan, IL pun masuknya cadangan</v>
      </c>
      <c r="I149" s="15">
        <f t="shared" si="1"/>
        <v>67.5</v>
      </c>
      <c r="J149" s="13"/>
      <c r="K149" s="13"/>
      <c r="L149" s="13"/>
      <c r="M149" s="13"/>
      <c r="N149" s="13"/>
      <c r="O149" s="13"/>
      <c r="P149" s="13"/>
      <c r="Q149" s="13"/>
      <c r="R149" s="13"/>
      <c r="S149" s="13"/>
      <c r="T149" s="13"/>
      <c r="U149" s="13"/>
      <c r="V149" s="13"/>
      <c r="W149" s="13"/>
      <c r="X149" s="13"/>
      <c r="Y149" s="13"/>
      <c r="Z149" s="13"/>
    </row>
    <row r="150">
      <c r="A150" s="7" t="str">
        <f>IFERROR(__xludf.DUMMYFUNCTION("""COMPUTED_VALUE"""),"Nada Faizah")</f>
        <v>Nada Faizah</v>
      </c>
      <c r="B150" s="7" t="str">
        <f>IFERROR(__xludf.DUMMYFUNCTION("""COMPUTED_VALUE"""),"E250010")</f>
        <v>E250010</v>
      </c>
      <c r="C150" s="7" t="str">
        <f>IFERROR(__xludf.DUMMYFUNCTION("""COMPUTED_VALUE"""),"IL Putri")</f>
        <v>IL Putri</v>
      </c>
      <c r="D150" s="7">
        <f>IFERROR(__xludf.DUMMYFUNCTION("""COMPUTED_VALUE"""),88.0)</f>
        <v>88</v>
      </c>
      <c r="E150" s="7">
        <f>IFERROR(__xludf.DUMMYFUNCTION("""COMPUTED_VALUE"""),88.0)</f>
        <v>88</v>
      </c>
      <c r="F150" s="7" t="str">
        <f>IFERROR(__xludf.DUMMYFUNCTION("""COMPUTED_VALUE"""),"A. Diterima")</f>
        <v>A. Diterima</v>
      </c>
      <c r="G150" s="7" t="str">
        <f>IFERROR(__xludf.DUMMYFUNCTION("""COMPUTED_VALUE"""),"Andi Fatimah Azzahra Rahman")</f>
        <v>Andi Fatimah Azzahra Rahman</v>
      </c>
      <c r="H150" s="8" t="str">
        <f>IFERROR(__xludf.DUMMYFUNCTION("""COMPUTED_VALUE"""),"Murajaah kembali hafalan belum mutqin dan bacaan al quran lebih intensif lagi di pelajari agar semakin lancar dan baik tajwidnya ")</f>
        <v>Murajaah kembali hafalan belum mutqin dan bacaan al quran lebih intensif lagi di pelajari agar semakin lancar dan baik tajwidnya </v>
      </c>
      <c r="I150" s="15">
        <f t="shared" si="1"/>
        <v>88</v>
      </c>
    </row>
    <row r="151">
      <c r="A151" s="7" t="str">
        <f>IFERROR(__xludf.DUMMYFUNCTION("""COMPUTED_VALUE"""),"kimora amanda putri")</f>
        <v>kimora amanda putri</v>
      </c>
      <c r="B151" s="7" t="str">
        <f>IFERROR(__xludf.DUMMYFUNCTION("""COMPUTED_VALUE"""),"D250033")</f>
        <v>D250033</v>
      </c>
      <c r="C151" s="7" t="str">
        <f>IFERROR(__xludf.DUMMYFUNCTION("""COMPUTED_VALUE"""),"MTs Putri")</f>
        <v>MTs Putri</v>
      </c>
      <c r="D151" s="7">
        <f>IFERROR(__xludf.DUMMYFUNCTION("""COMPUTED_VALUE"""),80.0)</f>
        <v>80</v>
      </c>
      <c r="E151" s="7">
        <f>IFERROR(__xludf.DUMMYFUNCTION("""COMPUTED_VALUE"""),80.0)</f>
        <v>80</v>
      </c>
      <c r="F151" s="7" t="str">
        <f>IFERROR(__xludf.DUMMYFUNCTION("""COMPUTED_VALUE"""),"A. Diterima")</f>
        <v>A. Diterima</v>
      </c>
      <c r="G151" s="7" t="str">
        <f>IFERROR(__xludf.DUMMYFUNCTION("""COMPUTED_VALUE"""),"Andi Fatimah Azzahra Rahman")</f>
        <v>Andi Fatimah Azzahra Rahman</v>
      </c>
      <c r="H151" s="8" t="str">
        <f>IFERROR(__xludf.DUMMYFUNCTION("""COMPUTED_VALUE"""),"Lebih giat bimbingan kelancaran bacaan dan tajwid sebelum masuk pondok ")</f>
        <v>Lebih giat bimbingan kelancaran bacaan dan tajwid sebelum masuk pondok </v>
      </c>
      <c r="I151" s="15">
        <f t="shared" si="1"/>
        <v>80</v>
      </c>
    </row>
    <row r="152">
      <c r="A152" s="7" t="str">
        <f>IFERROR(__xludf.DUMMYFUNCTION("""COMPUTED_VALUE"""),"Naisya Ashadiya Rusli")</f>
        <v>Naisya Ashadiya Rusli</v>
      </c>
      <c r="B152" s="7" t="str">
        <f>IFERROR(__xludf.DUMMYFUNCTION("""COMPUTED_VALUE"""),"D250035")</f>
        <v>D250035</v>
      </c>
      <c r="C152" s="7" t="str">
        <f>IFERROR(__xludf.DUMMYFUNCTION("""COMPUTED_VALUE"""),"MTs Putri")</f>
        <v>MTs Putri</v>
      </c>
      <c r="D152" s="7">
        <f>IFERROR(__xludf.DUMMYFUNCTION("""COMPUTED_VALUE"""),90.0)</f>
        <v>90</v>
      </c>
      <c r="E152" s="7">
        <f>IFERROR(__xludf.DUMMYFUNCTION("""COMPUTED_VALUE"""),89.0)</f>
        <v>89</v>
      </c>
      <c r="F152" s="7" t="str">
        <f>IFERROR(__xludf.DUMMYFUNCTION("""COMPUTED_VALUE"""),"A. Diterima")</f>
        <v>A. Diterima</v>
      </c>
      <c r="G152" s="7" t="str">
        <f>IFERROR(__xludf.DUMMYFUNCTION("""COMPUTED_VALUE"""),"Andi Fatimah Azzahra Rahman")</f>
        <v>Andi Fatimah Azzahra Rahman</v>
      </c>
      <c r="H152" s="8" t="str">
        <f>IFERROR(__xludf.DUMMYFUNCTION("""COMPUTED_VALUE"""),"Lebih giat lagi dalam bimbingan belajar dan tajwid agar lebih lancar dan baik bacaan al quran ")</f>
        <v>Lebih giat lagi dalam bimbingan belajar dan tajwid agar lebih lancar dan baik bacaan al quran </v>
      </c>
      <c r="I152" s="15">
        <f t="shared" si="1"/>
        <v>89.5</v>
      </c>
    </row>
    <row r="153">
      <c r="A153" s="7" t="str">
        <f>IFERROR(__xludf.DUMMYFUNCTION("""COMPUTED_VALUE"""),"Aisha salma Mutmainah")</f>
        <v>Aisha salma Mutmainah</v>
      </c>
      <c r="B153" s="7" t="str">
        <f>IFERROR(__xludf.DUMMYFUNCTION("""COMPUTED_VALUE"""),"D250034")</f>
        <v>D250034</v>
      </c>
      <c r="C153" s="7" t="str">
        <f>IFERROR(__xludf.DUMMYFUNCTION("""COMPUTED_VALUE"""),"MTs Putri")</f>
        <v>MTs Putri</v>
      </c>
      <c r="D153" s="7">
        <f>IFERROR(__xludf.DUMMYFUNCTION("""COMPUTED_VALUE"""),88.0)</f>
        <v>88</v>
      </c>
      <c r="E153" s="7">
        <f>IFERROR(__xludf.DUMMYFUNCTION("""COMPUTED_VALUE"""),80.0)</f>
        <v>80</v>
      </c>
      <c r="F153" s="7" t="str">
        <f>IFERROR(__xludf.DUMMYFUNCTION("""COMPUTED_VALUE"""),"A. Diterima")</f>
        <v>A. Diterima</v>
      </c>
      <c r="G153" s="7" t="str">
        <f>IFERROR(__xludf.DUMMYFUNCTION("""COMPUTED_VALUE"""),"Andi Fatimah Azzahra Rahman")</f>
        <v>Andi Fatimah Azzahra Rahman</v>
      </c>
      <c r="H153" s="8" t="str">
        <f>IFERROR(__xludf.DUMMYFUNCTION("""COMPUTED_VALUE"""),"Perbanyak bimbingan belajar tajwid dan dilancarkan lagi bacaannya ")</f>
        <v>Perbanyak bimbingan belajar tajwid dan dilancarkan lagi bacaannya </v>
      </c>
      <c r="I153" s="15">
        <f t="shared" si="1"/>
        <v>84</v>
      </c>
    </row>
    <row r="154">
      <c r="A154" s="7" t="str">
        <f>IFERROR(__xludf.DUMMYFUNCTION("""COMPUTED_VALUE"""),"Raylan Akbar")</f>
        <v>Raylan Akbar</v>
      </c>
      <c r="B154" s="7" t="str">
        <f>IFERROR(__xludf.DUMMYFUNCTION("""COMPUTED_VALUE"""),"C250026")</f>
        <v>C250026</v>
      </c>
      <c r="C154" s="7" t="str">
        <f>IFERROR(__xludf.DUMMYFUNCTION("""COMPUTED_VALUE"""),"SMA Putra")</f>
        <v>SMA Putra</v>
      </c>
      <c r="D154" s="7">
        <f>IFERROR(__xludf.DUMMYFUNCTION("""COMPUTED_VALUE"""),60.0)</f>
        <v>60</v>
      </c>
      <c r="E154" s="7">
        <f>IFERROR(__xludf.DUMMYFUNCTION("""COMPUTED_VALUE"""),62.0)</f>
        <v>62</v>
      </c>
      <c r="F154" s="7" t="str">
        <f>IFERROR(__xludf.DUMMYFUNCTION("""COMPUTED_VALUE"""),"C. Ditolak")</f>
        <v>C. Ditolak</v>
      </c>
      <c r="G154" s="7" t="str">
        <f>IFERROR(__xludf.DUMMYFUNCTION("""COMPUTED_VALUE"""),"Fuad Khomsatun")</f>
        <v>Fuad Khomsatun</v>
      </c>
      <c r="H154" s="8" t="str">
        <f>IFERROR(__xludf.DUMMYFUNCTION("""COMPUTED_VALUE"""),"IL pun cadangan")</f>
        <v>IL pun cadangan</v>
      </c>
      <c r="I154" s="15">
        <f t="shared" si="1"/>
        <v>61</v>
      </c>
    </row>
    <row r="155">
      <c r="A155" s="7" t="str">
        <f>IFERROR(__xludf.DUMMYFUNCTION("""COMPUTED_VALUE"""),"Ratu Rafifa Putri Mulyana")</f>
        <v>Ratu Rafifa Putri Mulyana</v>
      </c>
      <c r="B155" s="7" t="str">
        <f>IFERROR(__xludf.DUMMYFUNCTION("""COMPUTED_VALUE"""),"D250036")</f>
        <v>D250036</v>
      </c>
      <c r="C155" s="7" t="str">
        <f>IFERROR(__xludf.DUMMYFUNCTION("""COMPUTED_VALUE"""),"MTs Putri")</f>
        <v>MTs Putri</v>
      </c>
      <c r="D155" s="7">
        <f>IFERROR(__xludf.DUMMYFUNCTION("""COMPUTED_VALUE"""),60.0)</f>
        <v>60</v>
      </c>
      <c r="E155" s="7">
        <f>IFERROR(__xludf.DUMMYFUNCTION("""COMPUTED_VALUE"""),60.0)</f>
        <v>60</v>
      </c>
      <c r="F155" s="7" t="str">
        <f>IFERROR(__xludf.DUMMYFUNCTION("""COMPUTED_VALUE"""),"B. Cadangan")</f>
        <v>B. Cadangan</v>
      </c>
      <c r="G155" s="7" t="str">
        <f>IFERROR(__xludf.DUMMYFUNCTION("""COMPUTED_VALUE"""),"Andi Fatimah Azzahra Rahman")</f>
        <v>Andi Fatimah Azzahra Rahman</v>
      </c>
      <c r="H155" s="8" t="str">
        <f>IFERROR(__xludf.DUMMYFUNCTION("""COMPUTED_VALUE"""),"Harus bimbingan ekstra sblm masuk pondok jika di terima")</f>
        <v>Harus bimbingan ekstra sblm masuk pondok jika di terima</v>
      </c>
      <c r="I155" s="15">
        <f t="shared" si="1"/>
        <v>60</v>
      </c>
    </row>
    <row r="156">
      <c r="A156" s="7"/>
      <c r="B156" s="7"/>
      <c r="C156" s="7"/>
      <c r="D156" s="7"/>
      <c r="E156" s="7"/>
      <c r="F156" s="7"/>
      <c r="G156" s="7"/>
      <c r="H156" s="8"/>
    </row>
    <row r="157">
      <c r="A157" s="7"/>
      <c r="B157" s="7"/>
      <c r="C157" s="7"/>
      <c r="D157" s="7"/>
      <c r="E157" s="7"/>
      <c r="F157" s="7"/>
      <c r="G157" s="7"/>
      <c r="H157" s="8"/>
    </row>
    <row r="158">
      <c r="A158" s="7"/>
      <c r="B158" s="7"/>
      <c r="C158" s="7"/>
      <c r="D158" s="7"/>
      <c r="E158" s="7"/>
      <c r="F158" s="7"/>
      <c r="G158" s="7"/>
      <c r="H158" s="8"/>
    </row>
    <row r="159">
      <c r="A159" s="7"/>
      <c r="B159" s="7"/>
      <c r="C159" s="7"/>
      <c r="D159" s="7"/>
      <c r="E159" s="7"/>
      <c r="F159" s="7"/>
      <c r="G159" s="7"/>
      <c r="H159" s="8"/>
    </row>
    <row r="160">
      <c r="A160" s="7"/>
      <c r="B160" s="7"/>
      <c r="C160" s="7"/>
      <c r="D160" s="7"/>
      <c r="E160" s="7"/>
      <c r="F160" s="7"/>
      <c r="G160" s="7"/>
      <c r="H160" s="8"/>
    </row>
    <row r="161">
      <c r="A161" s="7"/>
      <c r="B161" s="7"/>
      <c r="C161" s="7"/>
      <c r="D161" s="7"/>
      <c r="E161" s="7"/>
      <c r="F161" s="7"/>
      <c r="G161" s="7"/>
      <c r="H161" s="8"/>
    </row>
    <row r="162">
      <c r="A162" s="7"/>
      <c r="B162" s="7"/>
      <c r="C162" s="7"/>
      <c r="D162" s="7"/>
      <c r="E162" s="7"/>
      <c r="F162" s="7"/>
      <c r="G162" s="7"/>
      <c r="H162" s="8"/>
    </row>
    <row r="163">
      <c r="A163" s="7"/>
      <c r="B163" s="7"/>
      <c r="C163" s="7"/>
      <c r="D163" s="7"/>
      <c r="E163" s="7"/>
      <c r="F163" s="7"/>
      <c r="G163" s="7"/>
      <c r="H163" s="8"/>
    </row>
    <row r="164">
      <c r="A164" s="7"/>
      <c r="B164" s="7"/>
      <c r="C164" s="7"/>
      <c r="D164" s="7"/>
      <c r="E164" s="7"/>
      <c r="F164" s="7"/>
      <c r="G164" s="7"/>
      <c r="H164" s="8"/>
    </row>
    <row r="165">
      <c r="A165" s="7"/>
      <c r="B165" s="7"/>
      <c r="C165" s="7"/>
      <c r="D165" s="7"/>
      <c r="E165" s="7"/>
      <c r="F165" s="7"/>
      <c r="G165" s="7"/>
      <c r="H165" s="8"/>
    </row>
    <row r="166">
      <c r="A166" s="7"/>
      <c r="B166" s="7"/>
      <c r="C166" s="7"/>
      <c r="D166" s="7"/>
      <c r="E166" s="7"/>
      <c r="F166" s="7"/>
      <c r="G166" s="7"/>
      <c r="H166" s="8"/>
    </row>
    <row r="167">
      <c r="A167" s="7"/>
      <c r="B167" s="7"/>
      <c r="C167" s="7"/>
      <c r="D167" s="7"/>
      <c r="E167" s="7"/>
      <c r="F167" s="7"/>
      <c r="G167" s="7"/>
      <c r="H167" s="8"/>
    </row>
    <row r="168">
      <c r="A168" s="7"/>
      <c r="B168" s="7"/>
      <c r="C168" s="7"/>
      <c r="D168" s="7"/>
      <c r="E168" s="7"/>
      <c r="F168" s="7"/>
      <c r="G168" s="7"/>
      <c r="H168" s="8"/>
    </row>
    <row r="169">
      <c r="A169" s="7"/>
      <c r="B169" s="7"/>
      <c r="C169" s="7"/>
      <c r="D169" s="7"/>
      <c r="E169" s="7"/>
      <c r="F169" s="7"/>
      <c r="G169" s="7"/>
      <c r="H169" s="8"/>
    </row>
    <row r="170">
      <c r="A170" s="7"/>
      <c r="B170" s="7"/>
      <c r="C170" s="7"/>
      <c r="D170" s="7"/>
      <c r="E170" s="7"/>
      <c r="F170" s="7"/>
      <c r="G170" s="7"/>
      <c r="H170" s="8"/>
    </row>
    <row r="171">
      <c r="A171" s="7"/>
      <c r="B171" s="7"/>
      <c r="C171" s="7"/>
      <c r="D171" s="7"/>
      <c r="E171" s="7"/>
      <c r="F171" s="7"/>
      <c r="G171" s="7"/>
      <c r="H171" s="8"/>
    </row>
    <row r="172">
      <c r="A172" s="7"/>
      <c r="B172" s="7"/>
      <c r="C172" s="7"/>
      <c r="D172" s="7"/>
      <c r="E172" s="7"/>
      <c r="F172" s="7"/>
      <c r="G172" s="7"/>
      <c r="H172" s="8"/>
    </row>
    <row r="173">
      <c r="A173" s="7"/>
      <c r="B173" s="7"/>
      <c r="C173" s="7"/>
      <c r="D173" s="7"/>
      <c r="E173" s="7"/>
      <c r="F173" s="7"/>
      <c r="G173" s="7"/>
      <c r="H173" s="8"/>
    </row>
    <row r="174">
      <c r="A174" s="7"/>
      <c r="B174" s="7"/>
      <c r="C174" s="7"/>
      <c r="D174" s="7"/>
      <c r="E174" s="7"/>
      <c r="F174" s="7"/>
      <c r="G174" s="7"/>
      <c r="H174" s="8"/>
    </row>
    <row r="175">
      <c r="A175" s="7"/>
      <c r="B175" s="7"/>
      <c r="C175" s="7"/>
      <c r="D175" s="7"/>
      <c r="E175" s="7"/>
      <c r="F175" s="7"/>
      <c r="G175" s="7"/>
      <c r="H175" s="8"/>
    </row>
    <row r="176">
      <c r="A176" s="7"/>
      <c r="B176" s="7"/>
      <c r="C176" s="7"/>
      <c r="D176" s="7"/>
      <c r="E176" s="7"/>
      <c r="F176" s="7"/>
      <c r="G176" s="7"/>
      <c r="H176" s="8"/>
    </row>
    <row r="177">
      <c r="A177" s="7"/>
      <c r="B177" s="7"/>
      <c r="C177" s="7"/>
      <c r="D177" s="7"/>
      <c r="E177" s="7"/>
      <c r="F177" s="7"/>
      <c r="G177" s="7"/>
      <c r="H177" s="8"/>
    </row>
    <row r="178">
      <c r="A178" s="7"/>
      <c r="B178" s="7"/>
      <c r="C178" s="7"/>
      <c r="D178" s="7"/>
      <c r="E178" s="7"/>
      <c r="F178" s="7"/>
      <c r="G178" s="7"/>
      <c r="H178" s="8"/>
    </row>
    <row r="179">
      <c r="A179" s="7"/>
      <c r="B179" s="7"/>
      <c r="C179" s="7"/>
      <c r="D179" s="7"/>
      <c r="E179" s="7"/>
      <c r="F179" s="7"/>
      <c r="G179" s="7"/>
      <c r="H179" s="8"/>
    </row>
    <row r="180">
      <c r="A180" s="7"/>
      <c r="B180" s="7"/>
      <c r="C180" s="7"/>
      <c r="D180" s="7"/>
      <c r="E180" s="7"/>
      <c r="F180" s="7"/>
      <c r="G180" s="7"/>
      <c r="H180" s="8"/>
    </row>
    <row r="181">
      <c r="A181" s="7"/>
      <c r="B181" s="7"/>
      <c r="C181" s="7"/>
      <c r="D181" s="7"/>
      <c r="E181" s="7"/>
      <c r="F181" s="7"/>
      <c r="G181" s="7"/>
      <c r="H181" s="8"/>
    </row>
    <row r="182">
      <c r="A182" s="7"/>
      <c r="B182" s="7"/>
      <c r="C182" s="7"/>
      <c r="D182" s="7"/>
      <c r="E182" s="7"/>
      <c r="F182" s="7"/>
      <c r="G182" s="7"/>
      <c r="H182" s="8"/>
    </row>
    <row r="183">
      <c r="A183" s="7"/>
      <c r="B183" s="7"/>
      <c r="C183" s="7"/>
      <c r="D183" s="7"/>
      <c r="E183" s="7"/>
      <c r="F183" s="7"/>
      <c r="G183" s="7"/>
      <c r="H183" s="8"/>
    </row>
    <row r="184">
      <c r="A184" s="7"/>
      <c r="B184" s="7"/>
      <c r="C184" s="7"/>
      <c r="D184" s="7"/>
      <c r="E184" s="7"/>
      <c r="F184" s="7"/>
      <c r="G184" s="7"/>
      <c r="H184" s="8"/>
    </row>
    <row r="185">
      <c r="A185" s="7"/>
      <c r="B185" s="7"/>
      <c r="C185" s="7"/>
      <c r="D185" s="7"/>
      <c r="E185" s="7"/>
      <c r="F185" s="7"/>
      <c r="G185" s="7"/>
      <c r="H185" s="8"/>
    </row>
    <row r="186">
      <c r="A186" s="7"/>
      <c r="B186" s="7"/>
      <c r="C186" s="7"/>
      <c r="D186" s="7"/>
      <c r="E186" s="7"/>
      <c r="F186" s="7"/>
      <c r="G186" s="7"/>
      <c r="H186" s="8"/>
    </row>
    <row r="187">
      <c r="A187" s="7"/>
      <c r="B187" s="7"/>
      <c r="C187" s="7"/>
      <c r="D187" s="7"/>
      <c r="E187" s="7"/>
      <c r="F187" s="7"/>
      <c r="G187" s="7"/>
      <c r="H187" s="8"/>
    </row>
    <row r="188">
      <c r="A188" s="7"/>
      <c r="B188" s="7"/>
      <c r="C188" s="7"/>
      <c r="D188" s="7"/>
      <c r="E188" s="7"/>
      <c r="F188" s="7"/>
      <c r="G188" s="7"/>
      <c r="H188" s="8"/>
    </row>
    <row r="189">
      <c r="A189" s="7"/>
      <c r="B189" s="7"/>
      <c r="C189" s="7"/>
      <c r="D189" s="7"/>
      <c r="E189" s="7"/>
      <c r="F189" s="7"/>
      <c r="G189" s="7"/>
      <c r="H189" s="8"/>
    </row>
    <row r="190">
      <c r="A190" s="7"/>
      <c r="B190" s="7"/>
      <c r="C190" s="7"/>
      <c r="D190" s="7"/>
      <c r="E190" s="7"/>
      <c r="F190" s="7"/>
      <c r="G190" s="7"/>
      <c r="H190" s="8"/>
    </row>
    <row r="191">
      <c r="A191" s="7"/>
      <c r="B191" s="7"/>
      <c r="C191" s="7"/>
      <c r="D191" s="7"/>
      <c r="E191" s="7"/>
      <c r="F191" s="7"/>
      <c r="G191" s="7"/>
      <c r="H191" s="8"/>
    </row>
    <row r="192">
      <c r="A192" s="7"/>
      <c r="B192" s="7"/>
      <c r="C192" s="7"/>
      <c r="D192" s="7"/>
      <c r="E192" s="7"/>
      <c r="F192" s="7"/>
      <c r="G192" s="7"/>
      <c r="H192" s="8"/>
    </row>
    <row r="193">
      <c r="A193" s="7"/>
      <c r="B193" s="7"/>
      <c r="C193" s="7"/>
      <c r="D193" s="7"/>
      <c r="E193" s="7"/>
      <c r="F193" s="7"/>
      <c r="G193" s="7"/>
      <c r="H193" s="8"/>
    </row>
    <row r="194">
      <c r="A194" s="7"/>
      <c r="B194" s="7"/>
      <c r="C194" s="7"/>
      <c r="D194" s="7"/>
      <c r="E194" s="7"/>
      <c r="F194" s="7"/>
      <c r="G194" s="7"/>
      <c r="H194" s="8"/>
    </row>
    <row r="195">
      <c r="A195" s="7"/>
      <c r="B195" s="7"/>
      <c r="C195" s="7"/>
      <c r="D195" s="7"/>
      <c r="E195" s="7"/>
      <c r="F195" s="7"/>
      <c r="G195" s="7"/>
      <c r="H195" s="8"/>
    </row>
    <row r="196">
      <c r="A196" s="7"/>
      <c r="B196" s="7"/>
      <c r="C196" s="7"/>
      <c r="D196" s="7"/>
      <c r="E196" s="7"/>
      <c r="F196" s="7"/>
      <c r="G196" s="7"/>
      <c r="H196" s="8"/>
    </row>
    <row r="197">
      <c r="A197" s="7"/>
      <c r="B197" s="7"/>
      <c r="C197" s="7"/>
      <c r="D197" s="7"/>
      <c r="E197" s="7"/>
      <c r="F197" s="7"/>
      <c r="G197" s="7"/>
      <c r="H197" s="8"/>
    </row>
    <row r="198">
      <c r="A198" s="7"/>
      <c r="B198" s="7"/>
      <c r="C198" s="7"/>
      <c r="D198" s="7"/>
      <c r="E198" s="7"/>
      <c r="F198" s="7"/>
      <c r="G198" s="7"/>
      <c r="H198" s="8"/>
    </row>
    <row r="199">
      <c r="A199" s="7"/>
      <c r="B199" s="7"/>
      <c r="C199" s="7"/>
      <c r="D199" s="7"/>
      <c r="E199" s="7"/>
      <c r="F199" s="7"/>
      <c r="G199" s="7"/>
      <c r="H199" s="8"/>
    </row>
    <row r="200">
      <c r="A200" s="7"/>
      <c r="B200" s="7"/>
      <c r="C200" s="7"/>
      <c r="D200" s="7"/>
      <c r="E200" s="7"/>
      <c r="F200" s="7"/>
      <c r="G200" s="7"/>
      <c r="H200" s="8"/>
    </row>
    <row r="201">
      <c r="A201" s="7"/>
      <c r="B201" s="7"/>
      <c r="C201" s="7"/>
      <c r="D201" s="7"/>
      <c r="E201" s="7"/>
      <c r="F201" s="7"/>
      <c r="G201" s="7"/>
      <c r="H201" s="8"/>
    </row>
    <row r="202">
      <c r="A202" s="7"/>
      <c r="B202" s="7"/>
      <c r="C202" s="7"/>
      <c r="D202" s="7"/>
      <c r="E202" s="7"/>
      <c r="F202" s="7"/>
      <c r="G202" s="7"/>
      <c r="H202" s="8"/>
    </row>
    <row r="203">
      <c r="A203" s="7"/>
      <c r="B203" s="7"/>
      <c r="C203" s="7"/>
      <c r="D203" s="7"/>
      <c r="E203" s="7"/>
      <c r="F203" s="7"/>
      <c r="G203" s="7"/>
      <c r="H203" s="8"/>
    </row>
    <row r="204">
      <c r="A204" s="7"/>
      <c r="B204" s="7"/>
      <c r="C204" s="7"/>
      <c r="D204" s="7"/>
      <c r="E204" s="7"/>
      <c r="F204" s="7"/>
      <c r="G204" s="7"/>
      <c r="H204" s="8"/>
    </row>
    <row r="205">
      <c r="A205" s="7"/>
      <c r="B205" s="7"/>
      <c r="C205" s="7"/>
      <c r="D205" s="7"/>
      <c r="E205" s="7"/>
      <c r="F205" s="7"/>
      <c r="G205" s="7"/>
      <c r="H205" s="8"/>
    </row>
    <row r="206">
      <c r="A206" s="7"/>
      <c r="B206" s="7"/>
      <c r="C206" s="7"/>
      <c r="D206" s="7"/>
      <c r="E206" s="7"/>
      <c r="F206" s="7"/>
      <c r="G206" s="7"/>
      <c r="H206" s="8"/>
    </row>
    <row r="207">
      <c r="A207" s="7"/>
      <c r="B207" s="7"/>
      <c r="C207" s="7"/>
      <c r="D207" s="7"/>
      <c r="E207" s="7"/>
      <c r="F207" s="7"/>
      <c r="G207" s="7"/>
      <c r="H207" s="8"/>
    </row>
    <row r="208">
      <c r="A208" s="7"/>
      <c r="B208" s="7"/>
      <c r="C208" s="7"/>
      <c r="D208" s="7"/>
      <c r="E208" s="7"/>
      <c r="F208" s="7"/>
      <c r="G208" s="7"/>
      <c r="H208" s="8"/>
    </row>
    <row r="209">
      <c r="A209" s="7"/>
      <c r="B209" s="7"/>
      <c r="C209" s="7"/>
      <c r="D209" s="7"/>
      <c r="E209" s="7"/>
      <c r="F209" s="7"/>
      <c r="G209" s="7"/>
      <c r="H209" s="8"/>
    </row>
    <row r="210">
      <c r="A210" s="7"/>
      <c r="B210" s="7"/>
      <c r="C210" s="7"/>
      <c r="D210" s="7"/>
      <c r="E210" s="7"/>
      <c r="F210" s="7"/>
      <c r="G210" s="7"/>
      <c r="H210" s="8"/>
    </row>
    <row r="211">
      <c r="A211" s="7"/>
      <c r="B211" s="7"/>
      <c r="C211" s="7"/>
      <c r="D211" s="7"/>
      <c r="E211" s="7"/>
      <c r="F211" s="7"/>
      <c r="G211" s="7"/>
      <c r="H211" s="8"/>
    </row>
    <row r="212">
      <c r="A212" s="7"/>
      <c r="B212" s="7"/>
      <c r="C212" s="7"/>
      <c r="D212" s="7"/>
      <c r="E212" s="7"/>
      <c r="F212" s="7"/>
      <c r="G212" s="7"/>
      <c r="H212" s="8"/>
    </row>
    <row r="213">
      <c r="A213" s="7"/>
      <c r="B213" s="7"/>
      <c r="C213" s="7"/>
      <c r="D213" s="7"/>
      <c r="E213" s="7"/>
      <c r="F213" s="7"/>
      <c r="G213" s="7"/>
      <c r="H213" s="8"/>
    </row>
    <row r="214">
      <c r="A214" s="7"/>
      <c r="B214" s="7"/>
      <c r="C214" s="7"/>
      <c r="D214" s="7"/>
      <c r="E214" s="7"/>
      <c r="F214" s="7"/>
      <c r="G214" s="7"/>
      <c r="H214" s="8"/>
    </row>
    <row r="215">
      <c r="A215" s="7"/>
      <c r="B215" s="7"/>
      <c r="C215" s="7"/>
      <c r="D215" s="7"/>
      <c r="E215" s="7"/>
      <c r="F215" s="7"/>
      <c r="G215" s="7"/>
      <c r="H215" s="8"/>
    </row>
    <row r="216">
      <c r="A216" s="7"/>
      <c r="B216" s="7"/>
      <c r="C216" s="7"/>
      <c r="D216" s="7"/>
      <c r="E216" s="7"/>
      <c r="F216" s="7"/>
      <c r="G216" s="7"/>
      <c r="H216" s="8"/>
    </row>
    <row r="217">
      <c r="A217" s="7"/>
      <c r="B217" s="7"/>
      <c r="C217" s="7"/>
      <c r="D217" s="7"/>
      <c r="E217" s="7"/>
      <c r="F217" s="7"/>
      <c r="G217" s="7"/>
      <c r="H217" s="8"/>
    </row>
    <row r="218">
      <c r="A218" s="7"/>
      <c r="B218" s="7"/>
      <c r="C218" s="7"/>
      <c r="D218" s="7"/>
      <c r="E218" s="7"/>
      <c r="F218" s="7"/>
      <c r="G218" s="7"/>
      <c r="H218" s="8"/>
    </row>
    <row r="219">
      <c r="A219" s="7"/>
      <c r="B219" s="7"/>
      <c r="C219" s="7"/>
      <c r="D219" s="7"/>
      <c r="E219" s="7"/>
      <c r="F219" s="7"/>
      <c r="G219" s="7"/>
      <c r="H219" s="8"/>
    </row>
    <row r="220">
      <c r="A220" s="7"/>
      <c r="B220" s="7"/>
      <c r="C220" s="7"/>
      <c r="D220" s="7"/>
      <c r="E220" s="7"/>
      <c r="F220" s="7"/>
      <c r="G220" s="7"/>
      <c r="H220" s="8"/>
    </row>
    <row r="221">
      <c r="A221" s="7"/>
      <c r="B221" s="7"/>
      <c r="C221" s="7"/>
      <c r="D221" s="7"/>
      <c r="E221" s="7"/>
      <c r="F221" s="7"/>
      <c r="G221" s="7"/>
      <c r="H221" s="8"/>
    </row>
    <row r="222">
      <c r="A222" s="7"/>
      <c r="B222" s="7"/>
      <c r="C222" s="7"/>
      <c r="D222" s="7"/>
      <c r="E222" s="7"/>
      <c r="F222" s="7"/>
      <c r="G222" s="7"/>
      <c r="H222" s="8"/>
    </row>
    <row r="223">
      <c r="A223" s="7"/>
      <c r="B223" s="7"/>
      <c r="C223" s="7"/>
      <c r="D223" s="7"/>
      <c r="E223" s="7"/>
      <c r="F223" s="7"/>
      <c r="G223" s="7"/>
      <c r="H223" s="8"/>
    </row>
    <row r="224">
      <c r="A224" s="7"/>
      <c r="B224" s="7"/>
      <c r="C224" s="7"/>
      <c r="D224" s="7"/>
      <c r="E224" s="7"/>
      <c r="F224" s="7"/>
      <c r="G224" s="7"/>
      <c r="H224" s="8"/>
    </row>
    <row r="225">
      <c r="A225" s="7"/>
      <c r="B225" s="7"/>
      <c r="C225" s="7"/>
      <c r="D225" s="7"/>
      <c r="E225" s="7"/>
      <c r="F225" s="7"/>
      <c r="G225" s="7"/>
      <c r="H225" s="8"/>
    </row>
    <row r="226">
      <c r="A226" s="7"/>
      <c r="B226" s="7"/>
      <c r="C226" s="7"/>
      <c r="D226" s="7"/>
      <c r="E226" s="7"/>
      <c r="F226" s="7"/>
      <c r="G226" s="7"/>
      <c r="H226" s="8"/>
    </row>
    <row r="227">
      <c r="A227" s="7"/>
      <c r="B227" s="7"/>
      <c r="C227" s="7"/>
      <c r="D227" s="7"/>
      <c r="E227" s="7"/>
      <c r="F227" s="7"/>
      <c r="G227" s="7"/>
      <c r="H227" s="8"/>
    </row>
    <row r="228">
      <c r="A228" s="7"/>
      <c r="B228" s="7"/>
      <c r="C228" s="7"/>
      <c r="D228" s="7"/>
      <c r="E228" s="7"/>
      <c r="F228" s="7"/>
      <c r="G228" s="7"/>
      <c r="H228" s="8"/>
    </row>
    <row r="229">
      <c r="A229" s="7"/>
      <c r="B229" s="7"/>
      <c r="C229" s="7"/>
      <c r="D229" s="7"/>
      <c r="E229" s="7"/>
      <c r="F229" s="7"/>
      <c r="G229" s="7"/>
      <c r="H229" s="8"/>
    </row>
    <row r="230">
      <c r="A230" s="7"/>
      <c r="B230" s="7"/>
      <c r="C230" s="7"/>
      <c r="D230" s="7"/>
      <c r="E230" s="7"/>
      <c r="F230" s="7"/>
      <c r="G230" s="7"/>
      <c r="H230" s="8"/>
    </row>
    <row r="231">
      <c r="A231" s="7"/>
      <c r="B231" s="7"/>
      <c r="C231" s="7"/>
      <c r="D231" s="7"/>
      <c r="E231" s="7"/>
      <c r="F231" s="7"/>
      <c r="G231" s="7"/>
      <c r="H231" s="8"/>
    </row>
    <row r="232">
      <c r="A232" s="7"/>
      <c r="B232" s="7"/>
      <c r="C232" s="7"/>
      <c r="D232" s="7"/>
      <c r="E232" s="7"/>
      <c r="F232" s="7"/>
      <c r="G232" s="7"/>
      <c r="H232" s="8"/>
    </row>
    <row r="233">
      <c r="A233" s="7"/>
      <c r="B233" s="7"/>
      <c r="C233" s="7"/>
      <c r="D233" s="7"/>
      <c r="E233" s="7"/>
      <c r="F233" s="7"/>
      <c r="G233" s="7"/>
      <c r="H233" s="8"/>
    </row>
    <row r="234">
      <c r="A234" s="7"/>
      <c r="B234" s="7"/>
      <c r="C234" s="7"/>
      <c r="D234" s="7"/>
      <c r="E234" s="7"/>
      <c r="F234" s="7"/>
      <c r="G234" s="7"/>
      <c r="H234" s="8"/>
    </row>
    <row r="235">
      <c r="A235" s="7"/>
      <c r="B235" s="7"/>
      <c r="C235" s="7"/>
      <c r="D235" s="7"/>
      <c r="E235" s="7"/>
      <c r="F235" s="7"/>
      <c r="G235" s="7"/>
      <c r="H235" s="8"/>
    </row>
    <row r="236">
      <c r="A236" s="7"/>
      <c r="B236" s="7"/>
      <c r="C236" s="7"/>
      <c r="D236" s="7"/>
      <c r="E236" s="7"/>
      <c r="F236" s="7"/>
      <c r="G236" s="7"/>
      <c r="H236" s="8"/>
    </row>
    <row r="237">
      <c r="A237" s="7"/>
      <c r="B237" s="7"/>
      <c r="C237" s="7"/>
      <c r="D237" s="7"/>
      <c r="E237" s="7"/>
      <c r="F237" s="7"/>
      <c r="G237" s="7"/>
      <c r="H237" s="8"/>
    </row>
    <row r="238">
      <c r="A238" s="7"/>
      <c r="B238" s="7"/>
      <c r="C238" s="7"/>
      <c r="D238" s="7"/>
      <c r="E238" s="7"/>
      <c r="F238" s="7"/>
      <c r="G238" s="7"/>
      <c r="H238" s="8"/>
    </row>
    <row r="239">
      <c r="A239" s="7"/>
      <c r="B239" s="7"/>
      <c r="C239" s="7"/>
      <c r="D239" s="7"/>
      <c r="E239" s="7"/>
      <c r="F239" s="7"/>
      <c r="G239" s="7"/>
      <c r="H239" s="8"/>
    </row>
    <row r="240">
      <c r="A240" s="7"/>
      <c r="B240" s="7"/>
      <c r="C240" s="7"/>
      <c r="D240" s="7"/>
      <c r="E240" s="7"/>
      <c r="F240" s="7"/>
      <c r="G240" s="7"/>
      <c r="H240" s="8"/>
    </row>
    <row r="241">
      <c r="A241" s="7"/>
      <c r="B241" s="7"/>
      <c r="C241" s="7"/>
      <c r="D241" s="7"/>
      <c r="E241" s="7"/>
      <c r="F241" s="7"/>
      <c r="G241" s="7"/>
      <c r="H241" s="8"/>
    </row>
    <row r="242">
      <c r="A242" s="7"/>
      <c r="B242" s="7"/>
      <c r="C242" s="7"/>
      <c r="D242" s="7"/>
      <c r="E242" s="7"/>
      <c r="F242" s="7"/>
      <c r="G242" s="7"/>
      <c r="H242" s="8"/>
    </row>
    <row r="243">
      <c r="A243" s="7"/>
      <c r="B243" s="7"/>
      <c r="C243" s="7"/>
      <c r="D243" s="7"/>
      <c r="E243" s="7"/>
      <c r="F243" s="7"/>
      <c r="G243" s="7"/>
      <c r="H243" s="8"/>
    </row>
    <row r="244">
      <c r="A244" s="7"/>
      <c r="B244" s="7"/>
      <c r="C244" s="7"/>
      <c r="D244" s="7"/>
      <c r="E244" s="7"/>
      <c r="F244" s="7"/>
      <c r="G244" s="7"/>
      <c r="H244" s="8"/>
    </row>
    <row r="245">
      <c r="A245" s="7"/>
      <c r="B245" s="7"/>
      <c r="C245" s="7"/>
      <c r="D245" s="7"/>
      <c r="E245" s="7"/>
      <c r="F245" s="7"/>
      <c r="G245" s="7"/>
      <c r="H245" s="8"/>
    </row>
    <row r="246">
      <c r="A246" s="7"/>
      <c r="B246" s="7"/>
      <c r="C246" s="7"/>
      <c r="D246" s="7"/>
      <c r="E246" s="7"/>
      <c r="F246" s="7"/>
      <c r="G246" s="7"/>
      <c r="H246" s="8"/>
    </row>
    <row r="247">
      <c r="A247" s="7"/>
      <c r="B247" s="7"/>
      <c r="C247" s="7"/>
      <c r="D247" s="7"/>
      <c r="E247" s="7"/>
      <c r="F247" s="7"/>
      <c r="G247" s="7"/>
      <c r="H247" s="8"/>
    </row>
    <row r="248">
      <c r="A248" s="7"/>
      <c r="B248" s="7"/>
      <c r="C248" s="7"/>
      <c r="D248" s="7"/>
      <c r="E248" s="7"/>
      <c r="F248" s="7"/>
      <c r="G248" s="7"/>
      <c r="H248" s="8"/>
    </row>
    <row r="249">
      <c r="A249" s="7"/>
      <c r="B249" s="7"/>
      <c r="C249" s="7"/>
      <c r="D249" s="7"/>
      <c r="E249" s="7"/>
      <c r="F249" s="7"/>
      <c r="G249" s="7"/>
      <c r="H249" s="8"/>
    </row>
    <row r="250">
      <c r="A250" s="7"/>
      <c r="B250" s="7"/>
      <c r="C250" s="7"/>
      <c r="D250" s="7"/>
      <c r="E250" s="7"/>
      <c r="F250" s="7"/>
      <c r="G250" s="7"/>
      <c r="H250" s="8"/>
    </row>
    <row r="251">
      <c r="A251" s="7"/>
      <c r="B251" s="7"/>
      <c r="C251" s="7"/>
      <c r="D251" s="7"/>
      <c r="E251" s="7"/>
      <c r="F251" s="7"/>
      <c r="G251" s="7"/>
      <c r="H251" s="8"/>
    </row>
    <row r="252">
      <c r="A252" s="7"/>
      <c r="B252" s="7"/>
      <c r="C252" s="7"/>
      <c r="D252" s="7"/>
      <c r="E252" s="7"/>
      <c r="F252" s="7"/>
      <c r="G252" s="7"/>
      <c r="H252" s="8"/>
    </row>
    <row r="253">
      <c r="A253" s="7"/>
      <c r="B253" s="7"/>
      <c r="C253" s="7"/>
      <c r="D253" s="7"/>
      <c r="E253" s="7"/>
      <c r="F253" s="7"/>
      <c r="G253" s="7"/>
      <c r="H253" s="8"/>
    </row>
    <row r="254">
      <c r="A254" s="7"/>
      <c r="B254" s="7"/>
      <c r="C254" s="7"/>
      <c r="D254" s="7"/>
      <c r="E254" s="7"/>
      <c r="F254" s="7"/>
      <c r="G254" s="7"/>
      <c r="H254" s="8"/>
    </row>
    <row r="255">
      <c r="A255" s="7"/>
      <c r="B255" s="7"/>
      <c r="C255" s="7"/>
      <c r="D255" s="7"/>
      <c r="E255" s="7"/>
      <c r="F255" s="7"/>
      <c r="G255" s="7"/>
      <c r="H255" s="8"/>
    </row>
    <row r="256">
      <c r="H256" s="8"/>
    </row>
    <row r="257">
      <c r="H257" s="8"/>
    </row>
    <row r="258">
      <c r="H258" s="8"/>
    </row>
    <row r="259">
      <c r="H259" s="8"/>
    </row>
    <row r="260">
      <c r="H260" s="8"/>
    </row>
    <row r="261">
      <c r="H261" s="8"/>
    </row>
    <row r="262">
      <c r="H262" s="8"/>
    </row>
    <row r="263">
      <c r="H263" s="8"/>
    </row>
    <row r="264">
      <c r="H264" s="8"/>
    </row>
    <row r="265">
      <c r="H265" s="8"/>
    </row>
    <row r="266">
      <c r="H266" s="8"/>
    </row>
    <row r="267">
      <c r="H267" s="8"/>
    </row>
    <row r="268">
      <c r="H268" s="8"/>
    </row>
    <row r="269">
      <c r="H269" s="8"/>
    </row>
    <row r="270">
      <c r="H270" s="8"/>
    </row>
    <row r="271">
      <c r="H271" s="8"/>
    </row>
    <row r="272">
      <c r="H272" s="8"/>
    </row>
    <row r="273">
      <c r="H273" s="8"/>
    </row>
    <row r="274">
      <c r="H274" s="8"/>
    </row>
    <row r="275">
      <c r="H275" s="8"/>
    </row>
    <row r="276">
      <c r="H276" s="8"/>
    </row>
    <row r="277">
      <c r="H277" s="8"/>
    </row>
    <row r="278">
      <c r="H278" s="8"/>
    </row>
    <row r="279">
      <c r="H279" s="8"/>
    </row>
    <row r="280">
      <c r="H280" s="8"/>
    </row>
    <row r="281">
      <c r="H281" s="8"/>
    </row>
    <row r="282">
      <c r="H282" s="8"/>
    </row>
    <row r="283">
      <c r="H283" s="8"/>
    </row>
    <row r="284">
      <c r="H284" s="8"/>
    </row>
    <row r="285">
      <c r="H285" s="8"/>
    </row>
    <row r="286">
      <c r="H286" s="8"/>
    </row>
    <row r="287">
      <c r="H287" s="8"/>
    </row>
    <row r="288">
      <c r="H288" s="8"/>
    </row>
    <row r="289">
      <c r="H289" s="8"/>
    </row>
    <row r="290">
      <c r="H290" s="8"/>
    </row>
    <row r="291">
      <c r="H291" s="8"/>
    </row>
    <row r="292">
      <c r="H292" s="8"/>
    </row>
    <row r="293">
      <c r="H293" s="8"/>
    </row>
    <row r="294">
      <c r="H294" s="8"/>
    </row>
    <row r="295">
      <c r="H295" s="8"/>
    </row>
    <row r="296">
      <c r="H296" s="8"/>
    </row>
    <row r="297">
      <c r="H297" s="8"/>
    </row>
    <row r="298">
      <c r="H298" s="8"/>
    </row>
    <row r="299">
      <c r="H299" s="8"/>
    </row>
    <row r="300">
      <c r="H300" s="8"/>
    </row>
    <row r="301">
      <c r="H301" s="8"/>
    </row>
    <row r="302">
      <c r="H302" s="8"/>
    </row>
    <row r="303">
      <c r="H303" s="8"/>
    </row>
    <row r="304">
      <c r="H304" s="8"/>
    </row>
    <row r="305">
      <c r="H305" s="8"/>
    </row>
    <row r="306">
      <c r="H306" s="8"/>
    </row>
    <row r="307">
      <c r="H307" s="8"/>
    </row>
    <row r="308">
      <c r="H308" s="8"/>
    </row>
    <row r="309">
      <c r="H309" s="8"/>
    </row>
    <row r="310">
      <c r="H310" s="8"/>
    </row>
    <row r="311">
      <c r="H311" s="8"/>
    </row>
    <row r="312">
      <c r="H312" s="8"/>
    </row>
    <row r="313">
      <c r="H313" s="8"/>
    </row>
    <row r="314">
      <c r="H314" s="8"/>
    </row>
    <row r="315">
      <c r="H315" s="8"/>
    </row>
    <row r="316">
      <c r="H316" s="8"/>
    </row>
    <row r="317">
      <c r="H317" s="8"/>
    </row>
    <row r="318">
      <c r="H318" s="8"/>
    </row>
    <row r="319">
      <c r="H319" s="8"/>
    </row>
    <row r="320">
      <c r="H320" s="8"/>
    </row>
    <row r="321">
      <c r="H321" s="8"/>
    </row>
    <row r="322">
      <c r="H322" s="8"/>
    </row>
    <row r="323">
      <c r="H323" s="8"/>
    </row>
    <row r="324">
      <c r="H324" s="8"/>
    </row>
    <row r="325">
      <c r="H325" s="8"/>
    </row>
    <row r="326">
      <c r="H326" s="8"/>
    </row>
    <row r="327">
      <c r="H327" s="8"/>
    </row>
    <row r="328">
      <c r="H328" s="8"/>
    </row>
    <row r="329">
      <c r="H329" s="8"/>
    </row>
    <row r="330">
      <c r="H330" s="8"/>
    </row>
    <row r="331">
      <c r="H331" s="8"/>
    </row>
    <row r="332">
      <c r="H332" s="8"/>
    </row>
    <row r="333">
      <c r="H333" s="8"/>
    </row>
    <row r="334">
      <c r="H334" s="8"/>
    </row>
    <row r="335">
      <c r="H335" s="8"/>
    </row>
    <row r="336">
      <c r="H336" s="8"/>
    </row>
    <row r="337">
      <c r="H337" s="8"/>
    </row>
    <row r="338">
      <c r="H338" s="8"/>
    </row>
    <row r="339">
      <c r="H339" s="8"/>
    </row>
    <row r="340">
      <c r="H340" s="8"/>
    </row>
    <row r="341">
      <c r="H341" s="8"/>
    </row>
    <row r="342">
      <c r="H342" s="8"/>
    </row>
    <row r="343">
      <c r="H343" s="8"/>
    </row>
    <row r="344">
      <c r="H344" s="8"/>
    </row>
    <row r="345">
      <c r="H345" s="8"/>
    </row>
    <row r="346">
      <c r="H346" s="8"/>
    </row>
    <row r="347">
      <c r="H347" s="8"/>
    </row>
    <row r="348">
      <c r="H348" s="8"/>
    </row>
    <row r="349">
      <c r="H349" s="8"/>
    </row>
    <row r="350">
      <c r="H350" s="8"/>
    </row>
    <row r="351">
      <c r="H351" s="8"/>
    </row>
    <row r="352">
      <c r="H352" s="8"/>
    </row>
    <row r="353">
      <c r="H353" s="8"/>
    </row>
    <row r="354">
      <c r="H354" s="8"/>
    </row>
    <row r="355">
      <c r="H355" s="8"/>
    </row>
    <row r="356">
      <c r="H356" s="8"/>
    </row>
    <row r="357">
      <c r="H357" s="8"/>
    </row>
    <row r="358">
      <c r="H358" s="8"/>
    </row>
    <row r="359">
      <c r="H359" s="8"/>
    </row>
    <row r="360">
      <c r="H360" s="8"/>
    </row>
    <row r="361">
      <c r="H361" s="8"/>
    </row>
    <row r="362">
      <c r="H362" s="8"/>
    </row>
    <row r="363">
      <c r="H363" s="8"/>
    </row>
    <row r="364">
      <c r="H364" s="8"/>
    </row>
    <row r="365">
      <c r="H365" s="8"/>
    </row>
    <row r="366">
      <c r="H366" s="8"/>
    </row>
    <row r="367">
      <c r="H367" s="8"/>
    </row>
    <row r="368">
      <c r="H368" s="8"/>
    </row>
    <row r="369">
      <c r="H369" s="8"/>
    </row>
    <row r="370">
      <c r="H370" s="8"/>
    </row>
    <row r="371">
      <c r="H371" s="8"/>
    </row>
    <row r="372">
      <c r="H372" s="8"/>
    </row>
    <row r="373">
      <c r="H373" s="8"/>
    </row>
    <row r="374">
      <c r="H374" s="8"/>
    </row>
    <row r="375">
      <c r="H375" s="8"/>
    </row>
    <row r="376">
      <c r="H376" s="8"/>
    </row>
    <row r="377">
      <c r="H377" s="8"/>
    </row>
    <row r="378">
      <c r="H378" s="8"/>
    </row>
    <row r="379">
      <c r="H379" s="8"/>
    </row>
    <row r="380">
      <c r="H380" s="8"/>
    </row>
    <row r="381">
      <c r="H381" s="8"/>
    </row>
    <row r="382">
      <c r="H382" s="8"/>
    </row>
    <row r="383">
      <c r="H383" s="8"/>
    </row>
    <row r="384">
      <c r="H384" s="8"/>
    </row>
    <row r="385">
      <c r="H385" s="8"/>
    </row>
    <row r="386">
      <c r="H386" s="8"/>
    </row>
    <row r="387">
      <c r="H387" s="8"/>
    </row>
    <row r="388">
      <c r="H388" s="8"/>
    </row>
    <row r="389">
      <c r="H389" s="8"/>
    </row>
    <row r="390">
      <c r="H390" s="8"/>
    </row>
    <row r="391">
      <c r="H391" s="8"/>
    </row>
    <row r="392">
      <c r="H392" s="8"/>
    </row>
    <row r="393">
      <c r="H393" s="8"/>
    </row>
    <row r="394">
      <c r="H394" s="8"/>
    </row>
    <row r="395">
      <c r="H395" s="8"/>
    </row>
    <row r="396">
      <c r="H396" s="8"/>
    </row>
    <row r="397">
      <c r="H397" s="8"/>
    </row>
    <row r="398">
      <c r="H398" s="8"/>
    </row>
    <row r="399">
      <c r="H399" s="8"/>
    </row>
    <row r="400">
      <c r="H400" s="8"/>
    </row>
    <row r="401">
      <c r="H401" s="8"/>
    </row>
    <row r="402">
      <c r="H402" s="8"/>
    </row>
    <row r="403">
      <c r="H403" s="8"/>
    </row>
    <row r="404">
      <c r="H404" s="8"/>
    </row>
    <row r="405">
      <c r="H405" s="8"/>
    </row>
    <row r="406">
      <c r="H406" s="8"/>
    </row>
    <row r="407">
      <c r="H407" s="8"/>
    </row>
    <row r="408">
      <c r="H408" s="8"/>
    </row>
    <row r="409">
      <c r="H409" s="8"/>
    </row>
    <row r="410">
      <c r="H410" s="8"/>
    </row>
    <row r="411">
      <c r="H411" s="8"/>
    </row>
    <row r="412">
      <c r="H412" s="8"/>
    </row>
    <row r="413">
      <c r="H413" s="8"/>
    </row>
    <row r="414">
      <c r="H414" s="8"/>
    </row>
    <row r="415">
      <c r="H415" s="8"/>
    </row>
    <row r="416">
      <c r="H416" s="8"/>
    </row>
    <row r="417">
      <c r="H417" s="8"/>
    </row>
    <row r="418">
      <c r="H418" s="8"/>
    </row>
    <row r="419">
      <c r="H419" s="8"/>
    </row>
    <row r="420">
      <c r="H420" s="8"/>
    </row>
    <row r="421">
      <c r="H421" s="8"/>
    </row>
    <row r="422">
      <c r="H422" s="8"/>
    </row>
    <row r="423">
      <c r="H423" s="8"/>
    </row>
    <row r="424">
      <c r="H424" s="8"/>
    </row>
    <row r="425">
      <c r="H425" s="8"/>
    </row>
    <row r="426">
      <c r="H426" s="8"/>
    </row>
    <row r="427">
      <c r="H427" s="8"/>
    </row>
    <row r="428">
      <c r="H428" s="8"/>
    </row>
    <row r="429">
      <c r="H429" s="8"/>
    </row>
    <row r="430">
      <c r="H430" s="8"/>
    </row>
    <row r="431">
      <c r="H431" s="8"/>
    </row>
    <row r="432">
      <c r="H432" s="8"/>
    </row>
    <row r="433">
      <c r="H433" s="8"/>
    </row>
    <row r="434">
      <c r="H434" s="8"/>
    </row>
    <row r="435">
      <c r="H435" s="8"/>
    </row>
    <row r="436">
      <c r="H436" s="8"/>
    </row>
    <row r="437">
      <c r="H437" s="8"/>
    </row>
    <row r="438">
      <c r="H438" s="8"/>
    </row>
    <row r="439">
      <c r="H439" s="8"/>
    </row>
    <row r="440">
      <c r="H440" s="8"/>
    </row>
    <row r="441">
      <c r="H441" s="8"/>
    </row>
    <row r="442">
      <c r="H442" s="8"/>
    </row>
    <row r="443">
      <c r="H443" s="8"/>
    </row>
    <row r="444">
      <c r="H444" s="8"/>
    </row>
    <row r="445">
      <c r="H445" s="8"/>
    </row>
    <row r="446">
      <c r="H446" s="8"/>
    </row>
    <row r="447">
      <c r="H447" s="8"/>
    </row>
    <row r="448">
      <c r="H448" s="8"/>
    </row>
    <row r="449">
      <c r="H449" s="8"/>
    </row>
    <row r="450">
      <c r="H450" s="8"/>
    </row>
    <row r="451">
      <c r="H451" s="8"/>
    </row>
    <row r="452">
      <c r="H452" s="8"/>
    </row>
    <row r="453">
      <c r="H453" s="8"/>
    </row>
    <row r="454">
      <c r="H454" s="8"/>
    </row>
    <row r="455">
      <c r="H455" s="8"/>
    </row>
    <row r="456">
      <c r="H456" s="8"/>
    </row>
    <row r="457">
      <c r="H457" s="8"/>
    </row>
    <row r="458">
      <c r="H458" s="8"/>
    </row>
    <row r="459">
      <c r="H459" s="8"/>
    </row>
    <row r="460">
      <c r="H460" s="8"/>
    </row>
    <row r="461">
      <c r="H461" s="8"/>
    </row>
    <row r="462">
      <c r="H462" s="8"/>
    </row>
    <row r="463">
      <c r="H463" s="8"/>
    </row>
    <row r="464">
      <c r="H464" s="8"/>
    </row>
    <row r="465">
      <c r="H465" s="8"/>
    </row>
    <row r="466">
      <c r="H466" s="8"/>
    </row>
    <row r="467">
      <c r="H467" s="8"/>
    </row>
    <row r="468">
      <c r="H468" s="8"/>
    </row>
    <row r="469">
      <c r="H469" s="8"/>
    </row>
    <row r="470">
      <c r="H470" s="8"/>
    </row>
    <row r="471">
      <c r="H471" s="8"/>
    </row>
    <row r="472">
      <c r="H472" s="8"/>
    </row>
    <row r="473">
      <c r="H473" s="8"/>
    </row>
    <row r="474">
      <c r="H474" s="8"/>
    </row>
    <row r="475">
      <c r="H475" s="8"/>
    </row>
    <row r="476">
      <c r="H476" s="8"/>
    </row>
    <row r="477">
      <c r="H477" s="8"/>
    </row>
    <row r="478">
      <c r="H478" s="8"/>
    </row>
    <row r="479">
      <c r="H479" s="8"/>
    </row>
    <row r="480">
      <c r="H480" s="8"/>
    </row>
    <row r="481">
      <c r="H481" s="8"/>
    </row>
    <row r="482">
      <c r="H482" s="8"/>
    </row>
    <row r="483">
      <c r="H483" s="8"/>
    </row>
    <row r="484">
      <c r="H484" s="8"/>
    </row>
    <row r="485">
      <c r="H485" s="8"/>
    </row>
    <row r="486">
      <c r="H486" s="8"/>
    </row>
    <row r="487">
      <c r="H487" s="8"/>
    </row>
    <row r="488">
      <c r="H488" s="8"/>
    </row>
    <row r="489">
      <c r="H489" s="8"/>
    </row>
    <row r="490">
      <c r="H490" s="8"/>
    </row>
    <row r="491">
      <c r="H491" s="8"/>
    </row>
    <row r="492">
      <c r="H492" s="8"/>
    </row>
    <row r="493">
      <c r="H493" s="8"/>
    </row>
    <row r="494">
      <c r="H494" s="8"/>
    </row>
    <row r="495">
      <c r="H495" s="8"/>
    </row>
    <row r="496">
      <c r="H496" s="8"/>
    </row>
    <row r="497">
      <c r="H497" s="8"/>
    </row>
    <row r="498">
      <c r="H498" s="8"/>
    </row>
    <row r="499">
      <c r="H499" s="8"/>
    </row>
    <row r="500">
      <c r="H500" s="8"/>
    </row>
    <row r="501">
      <c r="H501" s="8"/>
    </row>
    <row r="502">
      <c r="H502" s="8"/>
    </row>
    <row r="503">
      <c r="H503" s="8"/>
    </row>
    <row r="504">
      <c r="H504" s="8"/>
    </row>
    <row r="505">
      <c r="H505" s="8"/>
    </row>
    <row r="506">
      <c r="H506" s="8"/>
    </row>
    <row r="507">
      <c r="H507" s="8"/>
    </row>
    <row r="508">
      <c r="H508" s="8"/>
    </row>
    <row r="509">
      <c r="H509" s="8"/>
    </row>
    <row r="510">
      <c r="H510" s="8"/>
    </row>
    <row r="511">
      <c r="H511" s="8"/>
    </row>
    <row r="512">
      <c r="H512" s="8"/>
    </row>
    <row r="513">
      <c r="H513" s="8"/>
    </row>
    <row r="514">
      <c r="H514" s="8"/>
    </row>
    <row r="515">
      <c r="H515" s="8"/>
    </row>
    <row r="516">
      <c r="H516" s="8"/>
    </row>
    <row r="517">
      <c r="H517" s="8"/>
    </row>
    <row r="518">
      <c r="H518" s="8"/>
    </row>
    <row r="519">
      <c r="H519" s="8"/>
    </row>
    <row r="520">
      <c r="H520" s="8"/>
    </row>
    <row r="521">
      <c r="H521" s="8"/>
    </row>
    <row r="522">
      <c r="H522" s="8"/>
    </row>
    <row r="523">
      <c r="H523" s="8"/>
    </row>
    <row r="524">
      <c r="H524" s="8"/>
    </row>
    <row r="525">
      <c r="H525" s="8"/>
    </row>
    <row r="526">
      <c r="H526" s="8"/>
    </row>
    <row r="527">
      <c r="H527" s="8"/>
    </row>
    <row r="528">
      <c r="H528" s="8"/>
    </row>
    <row r="529">
      <c r="H529" s="8"/>
    </row>
    <row r="530">
      <c r="H530" s="8"/>
    </row>
    <row r="531">
      <c r="H531" s="8"/>
    </row>
    <row r="532">
      <c r="H532" s="8"/>
    </row>
    <row r="533">
      <c r="H533" s="8"/>
    </row>
    <row r="534">
      <c r="H534" s="8"/>
    </row>
    <row r="535">
      <c r="H535" s="8"/>
    </row>
    <row r="536">
      <c r="H536" s="8"/>
    </row>
    <row r="537">
      <c r="H537" s="8"/>
    </row>
    <row r="538">
      <c r="H538" s="8"/>
    </row>
    <row r="539">
      <c r="H539" s="8"/>
    </row>
    <row r="540">
      <c r="H540" s="8"/>
    </row>
    <row r="541">
      <c r="H541" s="8"/>
    </row>
    <row r="542">
      <c r="H542" s="8"/>
    </row>
    <row r="543">
      <c r="H543" s="8"/>
    </row>
    <row r="544">
      <c r="H544" s="8"/>
    </row>
    <row r="545">
      <c r="H545" s="8"/>
    </row>
    <row r="546">
      <c r="H546" s="8"/>
    </row>
    <row r="547">
      <c r="H547" s="8"/>
    </row>
    <row r="548">
      <c r="H548" s="8"/>
    </row>
    <row r="549">
      <c r="H549" s="8"/>
    </row>
    <row r="550">
      <c r="H550" s="8"/>
    </row>
    <row r="551">
      <c r="H551" s="8"/>
    </row>
    <row r="552">
      <c r="H552" s="8"/>
    </row>
    <row r="553">
      <c r="H553" s="8"/>
    </row>
    <row r="554">
      <c r="H554" s="8"/>
    </row>
    <row r="555">
      <c r="H555" s="8"/>
    </row>
    <row r="556">
      <c r="H556" s="8"/>
    </row>
    <row r="557">
      <c r="H557" s="8"/>
    </row>
    <row r="558">
      <c r="H558" s="8"/>
    </row>
    <row r="559">
      <c r="H559" s="8"/>
    </row>
    <row r="560">
      <c r="H560" s="8"/>
    </row>
    <row r="561">
      <c r="H561" s="8"/>
    </row>
    <row r="562">
      <c r="H562" s="8"/>
    </row>
    <row r="563">
      <c r="H563" s="8"/>
    </row>
    <row r="564">
      <c r="H564" s="8"/>
    </row>
    <row r="565">
      <c r="H565" s="8"/>
    </row>
    <row r="566">
      <c r="H566" s="8"/>
    </row>
    <row r="567">
      <c r="H567" s="8"/>
    </row>
    <row r="568">
      <c r="H568" s="8"/>
    </row>
    <row r="569">
      <c r="H569" s="8"/>
    </row>
    <row r="570">
      <c r="H570" s="8"/>
    </row>
    <row r="571">
      <c r="H571" s="8"/>
    </row>
    <row r="572">
      <c r="H572" s="8"/>
    </row>
    <row r="573">
      <c r="H573" s="8"/>
    </row>
    <row r="574">
      <c r="H574" s="8"/>
    </row>
    <row r="575">
      <c r="H575" s="8"/>
    </row>
    <row r="576">
      <c r="H576" s="8"/>
    </row>
    <row r="577">
      <c r="H577" s="8"/>
    </row>
    <row r="578">
      <c r="H578" s="8"/>
    </row>
    <row r="579">
      <c r="H579" s="8"/>
    </row>
    <row r="580">
      <c r="H580" s="8"/>
    </row>
    <row r="581">
      <c r="H581" s="8"/>
    </row>
    <row r="582">
      <c r="H582" s="8"/>
    </row>
    <row r="583">
      <c r="H583" s="8"/>
    </row>
    <row r="584">
      <c r="H584" s="8"/>
    </row>
    <row r="585">
      <c r="H585" s="8"/>
    </row>
    <row r="586">
      <c r="H586" s="8"/>
    </row>
    <row r="587">
      <c r="H587" s="8"/>
    </row>
    <row r="588">
      <c r="H588" s="8"/>
    </row>
    <row r="589">
      <c r="H589" s="8"/>
    </row>
    <row r="590">
      <c r="H590" s="8"/>
    </row>
    <row r="591">
      <c r="H591" s="8"/>
    </row>
    <row r="592">
      <c r="H592" s="8"/>
    </row>
    <row r="593">
      <c r="H593" s="8"/>
    </row>
    <row r="594">
      <c r="H594" s="8"/>
    </row>
    <row r="595">
      <c r="H595" s="8"/>
    </row>
    <row r="596">
      <c r="H596" s="8"/>
    </row>
    <row r="597">
      <c r="H597" s="8"/>
    </row>
    <row r="598">
      <c r="H598" s="8"/>
    </row>
    <row r="599">
      <c r="H599" s="8"/>
    </row>
    <row r="600">
      <c r="H600" s="8"/>
    </row>
    <row r="601">
      <c r="H601" s="8"/>
    </row>
    <row r="602">
      <c r="H602" s="8"/>
    </row>
    <row r="603">
      <c r="H603" s="8"/>
    </row>
    <row r="604">
      <c r="H604" s="8"/>
    </row>
    <row r="605">
      <c r="H605" s="8"/>
    </row>
    <row r="606">
      <c r="H606" s="8"/>
    </row>
    <row r="607">
      <c r="H607" s="8"/>
    </row>
    <row r="608">
      <c r="H608" s="8"/>
    </row>
    <row r="609">
      <c r="H609" s="8"/>
    </row>
    <row r="610">
      <c r="H610" s="8"/>
    </row>
    <row r="611">
      <c r="H611" s="8"/>
    </row>
    <row r="612">
      <c r="H612" s="8"/>
    </row>
    <row r="613">
      <c r="H613" s="8"/>
    </row>
    <row r="614">
      <c r="H614" s="8"/>
    </row>
    <row r="615">
      <c r="H615" s="8"/>
    </row>
    <row r="616">
      <c r="H616" s="8"/>
    </row>
    <row r="617">
      <c r="H617" s="8"/>
    </row>
    <row r="618">
      <c r="H618" s="8"/>
    </row>
    <row r="619">
      <c r="H619" s="8"/>
    </row>
    <row r="620">
      <c r="H620" s="8"/>
    </row>
    <row r="621">
      <c r="H621" s="8"/>
    </row>
    <row r="622">
      <c r="H622" s="8"/>
    </row>
    <row r="623">
      <c r="H623" s="8"/>
    </row>
    <row r="624">
      <c r="H624" s="8"/>
    </row>
    <row r="625">
      <c r="H625" s="8"/>
    </row>
    <row r="626">
      <c r="H626" s="8"/>
    </row>
    <row r="627">
      <c r="H627" s="8"/>
    </row>
    <row r="628">
      <c r="H628" s="8"/>
    </row>
    <row r="629">
      <c r="H629" s="8"/>
    </row>
    <row r="630">
      <c r="H630" s="8"/>
    </row>
    <row r="631">
      <c r="H631" s="8"/>
    </row>
    <row r="632">
      <c r="H632" s="8"/>
    </row>
    <row r="633">
      <c r="H633" s="8"/>
    </row>
    <row r="634">
      <c r="H634" s="8"/>
    </row>
    <row r="635">
      <c r="H635" s="8"/>
    </row>
    <row r="636">
      <c r="H636" s="8"/>
    </row>
    <row r="637">
      <c r="H637" s="8"/>
    </row>
    <row r="638">
      <c r="H638" s="8"/>
    </row>
    <row r="639">
      <c r="H639" s="8"/>
    </row>
    <row r="640">
      <c r="H640" s="8"/>
    </row>
    <row r="641">
      <c r="H641" s="8"/>
    </row>
    <row r="642">
      <c r="H642" s="8"/>
    </row>
    <row r="643">
      <c r="H643" s="8"/>
    </row>
    <row r="644">
      <c r="H644" s="8"/>
    </row>
    <row r="645">
      <c r="H645" s="8"/>
    </row>
    <row r="646">
      <c r="H646" s="8"/>
    </row>
    <row r="647">
      <c r="H647" s="8"/>
    </row>
    <row r="648">
      <c r="H648" s="8"/>
    </row>
    <row r="649">
      <c r="H649" s="8"/>
    </row>
    <row r="650">
      <c r="H650" s="8"/>
    </row>
    <row r="651">
      <c r="H651" s="8"/>
    </row>
    <row r="652">
      <c r="H652" s="8"/>
    </row>
    <row r="653">
      <c r="H653" s="8"/>
    </row>
    <row r="654">
      <c r="H654" s="8"/>
    </row>
    <row r="655">
      <c r="H655" s="8"/>
    </row>
    <row r="656">
      <c r="H656" s="8"/>
    </row>
    <row r="657">
      <c r="H657" s="8"/>
    </row>
    <row r="658">
      <c r="H658" s="8"/>
    </row>
    <row r="659">
      <c r="H659" s="8"/>
    </row>
    <row r="660">
      <c r="H660" s="8"/>
    </row>
    <row r="661">
      <c r="H661" s="8"/>
    </row>
    <row r="662">
      <c r="H662" s="8"/>
    </row>
    <row r="663">
      <c r="H663" s="8"/>
    </row>
    <row r="664">
      <c r="H664" s="8"/>
    </row>
    <row r="665">
      <c r="H665" s="8"/>
    </row>
    <row r="666">
      <c r="H666" s="8"/>
    </row>
    <row r="667">
      <c r="H667" s="8"/>
    </row>
    <row r="668">
      <c r="H668" s="8"/>
    </row>
    <row r="669">
      <c r="H669" s="8"/>
    </row>
    <row r="670">
      <c r="H670" s="8"/>
    </row>
    <row r="671">
      <c r="H671" s="8"/>
    </row>
    <row r="672">
      <c r="H672" s="8"/>
    </row>
    <row r="673">
      <c r="H673" s="8"/>
    </row>
    <row r="674">
      <c r="H674" s="8"/>
    </row>
    <row r="675">
      <c r="H675" s="8"/>
    </row>
    <row r="676">
      <c r="H676" s="8"/>
    </row>
    <row r="677">
      <c r="H677" s="8"/>
    </row>
    <row r="678">
      <c r="H678" s="8"/>
    </row>
    <row r="679">
      <c r="H679" s="8"/>
    </row>
    <row r="680">
      <c r="H680" s="8"/>
    </row>
    <row r="681">
      <c r="H681" s="8"/>
    </row>
    <row r="682">
      <c r="H682" s="8"/>
    </row>
    <row r="683">
      <c r="H683" s="8"/>
    </row>
    <row r="684">
      <c r="H684" s="8"/>
    </row>
    <row r="685">
      <c r="H685" s="8"/>
    </row>
    <row r="686">
      <c r="H686" s="8"/>
    </row>
    <row r="687">
      <c r="H687" s="8"/>
    </row>
    <row r="688">
      <c r="H688" s="8"/>
    </row>
    <row r="689">
      <c r="H689" s="8"/>
    </row>
    <row r="690">
      <c r="H690" s="8"/>
    </row>
    <row r="691">
      <c r="H691" s="8"/>
    </row>
    <row r="692">
      <c r="H692" s="8"/>
    </row>
    <row r="693">
      <c r="H693" s="8"/>
    </row>
    <row r="694">
      <c r="H694" s="8"/>
    </row>
    <row r="695">
      <c r="H695" s="8"/>
    </row>
    <row r="696">
      <c r="H696" s="8"/>
    </row>
    <row r="697">
      <c r="H697" s="8"/>
    </row>
    <row r="698">
      <c r="H698" s="8"/>
    </row>
    <row r="699">
      <c r="H699" s="8"/>
    </row>
    <row r="700">
      <c r="H700" s="8"/>
    </row>
    <row r="701">
      <c r="H701" s="8"/>
    </row>
    <row r="702">
      <c r="H702" s="8"/>
    </row>
    <row r="703">
      <c r="H703" s="8"/>
    </row>
    <row r="704">
      <c r="H704" s="8"/>
    </row>
    <row r="705">
      <c r="H705" s="8"/>
    </row>
    <row r="706">
      <c r="H706" s="8"/>
    </row>
    <row r="707">
      <c r="H707" s="8"/>
    </row>
    <row r="708">
      <c r="H708" s="8"/>
    </row>
    <row r="709">
      <c r="H709" s="8"/>
    </row>
    <row r="710">
      <c r="H710" s="8"/>
    </row>
    <row r="711">
      <c r="H711" s="8"/>
    </row>
    <row r="712">
      <c r="H712" s="8"/>
    </row>
    <row r="713">
      <c r="H713" s="8"/>
    </row>
    <row r="714">
      <c r="H714" s="8"/>
    </row>
    <row r="715">
      <c r="H715" s="8"/>
    </row>
    <row r="716">
      <c r="H716" s="8"/>
    </row>
    <row r="717">
      <c r="H717" s="8"/>
    </row>
    <row r="718">
      <c r="H718" s="8"/>
    </row>
    <row r="719">
      <c r="H719" s="8"/>
    </row>
    <row r="720">
      <c r="H720" s="8"/>
    </row>
    <row r="721">
      <c r="H721" s="8"/>
    </row>
    <row r="722">
      <c r="H722" s="8"/>
    </row>
    <row r="723">
      <c r="H723" s="8"/>
    </row>
    <row r="724">
      <c r="H724" s="8"/>
    </row>
    <row r="725">
      <c r="H725" s="8"/>
    </row>
    <row r="726">
      <c r="H726" s="8"/>
    </row>
    <row r="727">
      <c r="H727" s="8"/>
    </row>
    <row r="728">
      <c r="H728" s="8"/>
    </row>
    <row r="729">
      <c r="H729" s="8"/>
    </row>
    <row r="730">
      <c r="H730" s="8"/>
    </row>
    <row r="731">
      <c r="H731" s="8"/>
    </row>
    <row r="732">
      <c r="H732" s="8"/>
    </row>
    <row r="733">
      <c r="H733" s="8"/>
    </row>
    <row r="734">
      <c r="H734" s="8"/>
    </row>
    <row r="735">
      <c r="H735" s="8"/>
    </row>
    <row r="736">
      <c r="H736" s="8"/>
    </row>
    <row r="737">
      <c r="H737" s="8"/>
    </row>
    <row r="738">
      <c r="H738" s="8"/>
    </row>
    <row r="739">
      <c r="H739" s="8"/>
    </row>
    <row r="740">
      <c r="H740" s="8"/>
    </row>
    <row r="741">
      <c r="H741" s="8"/>
    </row>
    <row r="742">
      <c r="H742" s="8"/>
    </row>
    <row r="743">
      <c r="H743" s="8"/>
    </row>
    <row r="744">
      <c r="H744" s="8"/>
    </row>
    <row r="745">
      <c r="H745" s="8"/>
    </row>
    <row r="746">
      <c r="H746" s="8"/>
    </row>
    <row r="747">
      <c r="H747" s="8"/>
    </row>
    <row r="748">
      <c r="H748" s="8"/>
    </row>
    <row r="749">
      <c r="H749" s="8"/>
    </row>
    <row r="750">
      <c r="H750" s="8"/>
    </row>
    <row r="751">
      <c r="H751" s="8"/>
    </row>
    <row r="752">
      <c r="H752" s="8"/>
    </row>
    <row r="753">
      <c r="H753" s="8"/>
    </row>
    <row r="754">
      <c r="H754" s="8"/>
    </row>
    <row r="755">
      <c r="H755" s="8"/>
    </row>
    <row r="756">
      <c r="H756" s="8"/>
    </row>
    <row r="757">
      <c r="H757" s="8"/>
    </row>
    <row r="758">
      <c r="H758" s="8"/>
    </row>
    <row r="759">
      <c r="H759" s="8"/>
    </row>
    <row r="760">
      <c r="H760" s="8"/>
    </row>
    <row r="761">
      <c r="H761" s="8"/>
    </row>
    <row r="762">
      <c r="H762" s="8"/>
    </row>
    <row r="763">
      <c r="H763" s="8"/>
    </row>
    <row r="764">
      <c r="H764" s="8"/>
    </row>
    <row r="765">
      <c r="H765" s="8"/>
    </row>
    <row r="766">
      <c r="H766" s="8"/>
    </row>
    <row r="767">
      <c r="H767" s="8"/>
    </row>
    <row r="768">
      <c r="H768" s="8"/>
    </row>
    <row r="769">
      <c r="H769" s="8"/>
    </row>
    <row r="770">
      <c r="H770" s="8"/>
    </row>
    <row r="771">
      <c r="H771" s="8"/>
    </row>
    <row r="772">
      <c r="H772" s="8"/>
    </row>
    <row r="773">
      <c r="H773" s="8"/>
    </row>
    <row r="774">
      <c r="H774" s="8"/>
    </row>
    <row r="775">
      <c r="H775" s="8"/>
    </row>
    <row r="776">
      <c r="H776" s="8"/>
    </row>
    <row r="777">
      <c r="H777" s="8"/>
    </row>
    <row r="778">
      <c r="H778" s="8"/>
    </row>
    <row r="779">
      <c r="H779" s="8"/>
    </row>
    <row r="780">
      <c r="H780" s="8"/>
    </row>
    <row r="781">
      <c r="H781" s="8"/>
    </row>
    <row r="782">
      <c r="H782" s="8"/>
    </row>
    <row r="783">
      <c r="H783" s="8"/>
    </row>
    <row r="784">
      <c r="H784" s="8"/>
    </row>
    <row r="785">
      <c r="H785" s="8"/>
    </row>
    <row r="786">
      <c r="H786" s="8"/>
    </row>
    <row r="787">
      <c r="H787" s="8"/>
    </row>
    <row r="788">
      <c r="H788" s="8"/>
    </row>
    <row r="789">
      <c r="H789" s="8"/>
    </row>
    <row r="790">
      <c r="H790" s="8"/>
    </row>
    <row r="791">
      <c r="H791" s="8"/>
    </row>
    <row r="792">
      <c r="H792" s="8"/>
    </row>
    <row r="793">
      <c r="H793" s="8"/>
    </row>
    <row r="794">
      <c r="H794" s="8"/>
    </row>
    <row r="795">
      <c r="H795" s="8"/>
    </row>
    <row r="796">
      <c r="H796" s="8"/>
    </row>
    <row r="797">
      <c r="H797" s="8"/>
    </row>
    <row r="798">
      <c r="H798" s="8"/>
    </row>
    <row r="799">
      <c r="H799" s="8"/>
    </row>
    <row r="800">
      <c r="H800" s="8"/>
    </row>
    <row r="801">
      <c r="H801" s="8"/>
    </row>
    <row r="802">
      <c r="H802" s="8"/>
    </row>
    <row r="803">
      <c r="H803" s="8"/>
    </row>
    <row r="804">
      <c r="H804" s="8"/>
    </row>
    <row r="805">
      <c r="H805" s="8"/>
    </row>
    <row r="806">
      <c r="H806" s="8"/>
    </row>
    <row r="807">
      <c r="H807" s="8"/>
    </row>
    <row r="808">
      <c r="H808" s="8"/>
    </row>
    <row r="809">
      <c r="H809" s="8"/>
    </row>
    <row r="810">
      <c r="H810" s="8"/>
    </row>
    <row r="811">
      <c r="H811" s="8"/>
    </row>
    <row r="812">
      <c r="H812" s="8"/>
    </row>
    <row r="813">
      <c r="H813" s="8"/>
    </row>
    <row r="814">
      <c r="H814" s="8"/>
    </row>
    <row r="815">
      <c r="H815" s="8"/>
    </row>
    <row r="816">
      <c r="H816" s="8"/>
    </row>
    <row r="817">
      <c r="H817" s="8"/>
    </row>
    <row r="818">
      <c r="H818" s="8"/>
    </row>
    <row r="819">
      <c r="H819" s="8"/>
    </row>
    <row r="820">
      <c r="H820" s="8"/>
    </row>
    <row r="821">
      <c r="H821" s="8"/>
    </row>
    <row r="822">
      <c r="H822" s="8"/>
    </row>
    <row r="823">
      <c r="H823" s="8"/>
    </row>
    <row r="824">
      <c r="H824" s="8"/>
    </row>
    <row r="825">
      <c r="H825" s="8"/>
    </row>
    <row r="826">
      <c r="H826" s="8"/>
    </row>
    <row r="827">
      <c r="H827" s="8"/>
    </row>
    <row r="828">
      <c r="H828" s="8"/>
    </row>
    <row r="829">
      <c r="H829" s="8"/>
    </row>
    <row r="830">
      <c r="H830" s="8"/>
    </row>
    <row r="831">
      <c r="H831" s="8"/>
    </row>
    <row r="832">
      <c r="H832" s="8"/>
    </row>
    <row r="833">
      <c r="H833" s="8"/>
    </row>
    <row r="834">
      <c r="H834" s="8"/>
    </row>
    <row r="835">
      <c r="H835" s="8"/>
    </row>
    <row r="836">
      <c r="H836" s="8"/>
    </row>
    <row r="837">
      <c r="H837" s="8"/>
    </row>
    <row r="838">
      <c r="H838" s="8"/>
    </row>
    <row r="839">
      <c r="H839" s="8"/>
    </row>
    <row r="840">
      <c r="H840" s="8"/>
    </row>
    <row r="841">
      <c r="H841" s="8"/>
    </row>
    <row r="842">
      <c r="H842" s="8"/>
    </row>
    <row r="843">
      <c r="H843" s="8"/>
    </row>
    <row r="844">
      <c r="H844" s="8"/>
    </row>
    <row r="845">
      <c r="H845" s="8"/>
    </row>
    <row r="846">
      <c r="H846" s="8"/>
    </row>
    <row r="847">
      <c r="H847" s="8"/>
    </row>
    <row r="848">
      <c r="H848" s="8"/>
    </row>
    <row r="849">
      <c r="H849" s="8"/>
    </row>
    <row r="850">
      <c r="H850" s="8"/>
    </row>
    <row r="851">
      <c r="H851" s="8"/>
    </row>
    <row r="852">
      <c r="H852" s="8"/>
    </row>
    <row r="853">
      <c r="H853" s="8"/>
    </row>
    <row r="854">
      <c r="H854" s="8"/>
    </row>
    <row r="855">
      <c r="H855" s="8"/>
    </row>
    <row r="856">
      <c r="H856" s="8"/>
    </row>
    <row r="857">
      <c r="H857" s="8"/>
    </row>
    <row r="858">
      <c r="H858" s="8"/>
    </row>
    <row r="859">
      <c r="H859" s="8"/>
    </row>
    <row r="860">
      <c r="H860" s="8"/>
    </row>
    <row r="861">
      <c r="H861" s="8"/>
    </row>
    <row r="862">
      <c r="H862" s="8"/>
    </row>
    <row r="863">
      <c r="H863" s="8"/>
    </row>
    <row r="864">
      <c r="H864" s="8"/>
    </row>
    <row r="865">
      <c r="H865" s="8"/>
    </row>
    <row r="866">
      <c r="H866" s="8"/>
    </row>
    <row r="867">
      <c r="H867" s="8"/>
    </row>
    <row r="868">
      <c r="H868" s="8"/>
    </row>
    <row r="869">
      <c r="H869" s="8"/>
    </row>
    <row r="870">
      <c r="H870" s="8"/>
    </row>
    <row r="871">
      <c r="H871" s="8"/>
    </row>
    <row r="872">
      <c r="H872" s="8"/>
    </row>
    <row r="873">
      <c r="H873" s="8"/>
    </row>
    <row r="874">
      <c r="H874" s="8"/>
    </row>
    <row r="875">
      <c r="H875" s="8"/>
    </row>
    <row r="876">
      <c r="H876" s="8"/>
    </row>
    <row r="877">
      <c r="H877" s="8"/>
    </row>
    <row r="878">
      <c r="H878" s="8"/>
    </row>
    <row r="879">
      <c r="H879" s="8"/>
    </row>
    <row r="880">
      <c r="H880" s="8"/>
    </row>
    <row r="881">
      <c r="H881" s="8"/>
    </row>
    <row r="882">
      <c r="H882" s="8"/>
    </row>
    <row r="883">
      <c r="H883" s="8"/>
    </row>
    <row r="884">
      <c r="H884" s="8"/>
    </row>
    <row r="885">
      <c r="H885" s="8"/>
    </row>
    <row r="886">
      <c r="H886" s="8"/>
    </row>
    <row r="887">
      <c r="H887" s="8"/>
    </row>
    <row r="888">
      <c r="H888" s="8"/>
    </row>
    <row r="889">
      <c r="H889" s="8"/>
    </row>
    <row r="890">
      <c r="H890" s="8"/>
    </row>
    <row r="891">
      <c r="H891" s="8"/>
    </row>
    <row r="892">
      <c r="H892" s="8"/>
    </row>
    <row r="893">
      <c r="H893" s="8"/>
    </row>
    <row r="894">
      <c r="H894" s="8"/>
    </row>
    <row r="895">
      <c r="H895" s="8"/>
    </row>
    <row r="896">
      <c r="H896" s="8"/>
    </row>
    <row r="897">
      <c r="H897" s="8"/>
    </row>
    <row r="898">
      <c r="H898" s="8"/>
    </row>
    <row r="899">
      <c r="H899" s="8"/>
    </row>
    <row r="900">
      <c r="H900" s="8"/>
    </row>
    <row r="901">
      <c r="H901" s="8"/>
    </row>
    <row r="902">
      <c r="H902" s="8"/>
    </row>
    <row r="903">
      <c r="H903" s="8"/>
    </row>
    <row r="904">
      <c r="H904" s="8"/>
    </row>
    <row r="905">
      <c r="H905" s="8"/>
    </row>
    <row r="906">
      <c r="H906" s="8"/>
    </row>
    <row r="907">
      <c r="H907" s="8"/>
    </row>
    <row r="908">
      <c r="H908" s="8"/>
    </row>
    <row r="909">
      <c r="H909" s="8"/>
    </row>
    <row r="910">
      <c r="H910" s="8"/>
    </row>
    <row r="911">
      <c r="H911" s="8"/>
    </row>
    <row r="912">
      <c r="H912" s="8"/>
    </row>
    <row r="913">
      <c r="H913" s="8"/>
    </row>
    <row r="914">
      <c r="H914" s="8"/>
    </row>
    <row r="915">
      <c r="H915" s="8"/>
    </row>
    <row r="916">
      <c r="H916" s="8"/>
    </row>
    <row r="917">
      <c r="H917" s="8"/>
    </row>
    <row r="918">
      <c r="H918" s="8"/>
    </row>
    <row r="919">
      <c r="H919" s="8"/>
    </row>
    <row r="920">
      <c r="H920" s="8"/>
    </row>
    <row r="921">
      <c r="H921" s="8"/>
    </row>
    <row r="922">
      <c r="H922" s="8"/>
    </row>
    <row r="923">
      <c r="H923" s="8"/>
    </row>
    <row r="924">
      <c r="H924" s="8"/>
    </row>
    <row r="925">
      <c r="H925" s="8"/>
    </row>
    <row r="926">
      <c r="H926" s="8"/>
    </row>
    <row r="927">
      <c r="H927" s="8"/>
    </row>
    <row r="928">
      <c r="H928" s="8"/>
    </row>
    <row r="929">
      <c r="H929" s="8"/>
    </row>
    <row r="930">
      <c r="H930" s="8"/>
    </row>
    <row r="931">
      <c r="H931" s="8"/>
    </row>
    <row r="932">
      <c r="H932" s="8"/>
    </row>
    <row r="933">
      <c r="H933" s="8"/>
    </row>
    <row r="934">
      <c r="H934" s="8"/>
    </row>
    <row r="935">
      <c r="H935" s="8"/>
    </row>
    <row r="936">
      <c r="H936" s="8"/>
    </row>
    <row r="937">
      <c r="H937" s="8"/>
    </row>
    <row r="938">
      <c r="H938" s="8"/>
    </row>
    <row r="939">
      <c r="H939" s="8"/>
    </row>
    <row r="940">
      <c r="H940" s="8"/>
    </row>
    <row r="941">
      <c r="H941" s="8"/>
    </row>
    <row r="942">
      <c r="H942" s="8"/>
    </row>
    <row r="943">
      <c r="H943" s="8"/>
    </row>
    <row r="944">
      <c r="H944" s="8"/>
    </row>
    <row r="945">
      <c r="H945" s="8"/>
    </row>
    <row r="946">
      <c r="H946" s="8"/>
    </row>
    <row r="947">
      <c r="H947" s="8"/>
    </row>
    <row r="948">
      <c r="H948" s="8"/>
    </row>
    <row r="949">
      <c r="H949" s="8"/>
    </row>
    <row r="950">
      <c r="H950" s="8"/>
    </row>
    <row r="951">
      <c r="H951" s="8"/>
    </row>
    <row r="952">
      <c r="H952" s="8"/>
    </row>
    <row r="953">
      <c r="H953" s="8"/>
    </row>
    <row r="954">
      <c r="H954" s="8"/>
    </row>
    <row r="955">
      <c r="H955" s="8"/>
    </row>
    <row r="956">
      <c r="H956" s="8"/>
    </row>
    <row r="957">
      <c r="H957" s="8"/>
    </row>
    <row r="958">
      <c r="H958" s="8"/>
    </row>
    <row r="959">
      <c r="H959" s="8"/>
    </row>
    <row r="960">
      <c r="H960" s="8"/>
    </row>
    <row r="961">
      <c r="H961" s="8"/>
    </row>
    <row r="962">
      <c r="H962" s="8"/>
    </row>
    <row r="963">
      <c r="H963" s="8"/>
    </row>
    <row r="964">
      <c r="H964" s="8"/>
    </row>
    <row r="965">
      <c r="H965" s="8"/>
    </row>
    <row r="966">
      <c r="H966" s="8"/>
    </row>
    <row r="967">
      <c r="H967" s="8"/>
    </row>
    <row r="968">
      <c r="H968" s="8"/>
    </row>
    <row r="969">
      <c r="H969" s="8"/>
    </row>
    <row r="970">
      <c r="H970" s="8"/>
    </row>
    <row r="971">
      <c r="H971" s="8"/>
    </row>
    <row r="972">
      <c r="H972" s="8"/>
    </row>
    <row r="973">
      <c r="H973" s="8"/>
    </row>
    <row r="974">
      <c r="H974" s="8"/>
    </row>
    <row r="975">
      <c r="H975" s="8"/>
    </row>
    <row r="976">
      <c r="H976" s="8"/>
    </row>
    <row r="977">
      <c r="H977" s="8"/>
    </row>
    <row r="978">
      <c r="H978" s="8"/>
    </row>
    <row r="979">
      <c r="H979" s="8"/>
    </row>
    <row r="980">
      <c r="H980" s="8"/>
    </row>
    <row r="981">
      <c r="H981" s="8"/>
    </row>
    <row r="982">
      <c r="H982" s="8"/>
    </row>
    <row r="983">
      <c r="H983" s="8"/>
    </row>
    <row r="984">
      <c r="H984" s="8"/>
    </row>
    <row r="985">
      <c r="H985" s="8"/>
    </row>
    <row r="986">
      <c r="H986" s="8"/>
    </row>
    <row r="987">
      <c r="H987" s="8"/>
    </row>
    <row r="988">
      <c r="H988" s="8"/>
    </row>
    <row r="989">
      <c r="H989" s="8"/>
    </row>
    <row r="990">
      <c r="H990" s="8"/>
    </row>
    <row r="991">
      <c r="H991" s="8"/>
    </row>
    <row r="992">
      <c r="H992" s="8"/>
    </row>
    <row r="993">
      <c r="H993" s="8"/>
    </row>
    <row r="994">
      <c r="H994" s="8"/>
    </row>
    <row r="995">
      <c r="H995" s="8"/>
    </row>
    <row r="996">
      <c r="H996" s="8"/>
    </row>
    <row r="997">
      <c r="H997" s="8"/>
    </row>
    <row r="998">
      <c r="H998" s="8"/>
    </row>
    <row r="999">
      <c r="H999" s="8"/>
    </row>
    <row r="1000">
      <c r="H1000" s="8"/>
    </row>
  </sheetData>
  <autoFilter ref="$A$1:$I$62"/>
  <conditionalFormatting sqref="A1">
    <cfRule type="colorScale" priority="1">
      <colorScale>
        <cfvo type="min"/>
        <cfvo type="max"/>
        <color rgb="FFFFFFFF"/>
        <color rgb="FF57BB8A"/>
      </colorScale>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16.38"/>
    <col customWidth="1" min="2" max="2" width="32.13"/>
    <col customWidth="1" min="3" max="3" width="9.75"/>
    <col customWidth="1" min="5" max="5" width="7.75"/>
    <col customWidth="1" min="26" max="31" width="4.25"/>
    <col customWidth="1" min="32" max="48" width="4.5"/>
    <col customWidth="1" min="49" max="49" width="5.38"/>
    <col customWidth="1" min="51" max="54" width="4.75"/>
    <col customWidth="1" min="55" max="55" width="6.63"/>
  </cols>
  <sheetData>
    <row r="1">
      <c r="A1" s="16"/>
      <c r="B1" s="17"/>
      <c r="C1" s="16"/>
      <c r="D1" s="16"/>
      <c r="E1" s="16"/>
      <c r="F1" s="18">
        <v>1.0</v>
      </c>
      <c r="G1" s="18">
        <v>2.0</v>
      </c>
      <c r="H1" s="18">
        <v>3.0</v>
      </c>
      <c r="I1" s="18">
        <v>4.0</v>
      </c>
      <c r="J1" s="18">
        <v>5.0</v>
      </c>
      <c r="K1" s="18">
        <v>6.0</v>
      </c>
      <c r="L1" s="18">
        <v>7.0</v>
      </c>
      <c r="M1" s="18">
        <v>8.0</v>
      </c>
      <c r="N1" s="18">
        <v>9.0</v>
      </c>
      <c r="O1" s="18">
        <v>10.0</v>
      </c>
      <c r="P1" s="18">
        <v>11.0</v>
      </c>
      <c r="Q1" s="18">
        <v>12.0</v>
      </c>
      <c r="R1" s="18">
        <v>13.0</v>
      </c>
      <c r="S1" s="18">
        <v>14.0</v>
      </c>
      <c r="T1" s="18">
        <v>15.0</v>
      </c>
      <c r="U1" s="18">
        <v>16.0</v>
      </c>
      <c r="V1" s="18">
        <v>17.0</v>
      </c>
      <c r="W1" s="18">
        <v>18.0</v>
      </c>
      <c r="X1" s="18">
        <v>19.0</v>
      </c>
      <c r="Y1" s="18">
        <v>20.0</v>
      </c>
      <c r="Z1" s="19" t="s">
        <v>9</v>
      </c>
      <c r="AA1" s="20"/>
      <c r="AB1" s="20"/>
      <c r="AC1" s="20"/>
      <c r="AD1" s="20"/>
      <c r="AE1" s="21"/>
      <c r="AF1" s="19" t="s">
        <v>10</v>
      </c>
      <c r="AG1" s="20"/>
      <c r="AH1" s="20"/>
      <c r="AI1" s="20"/>
      <c r="AJ1" s="20"/>
      <c r="AK1" s="21"/>
      <c r="AL1" s="19" t="s">
        <v>11</v>
      </c>
      <c r="AM1" s="20"/>
      <c r="AN1" s="20"/>
      <c r="AO1" s="20"/>
      <c r="AP1" s="20"/>
      <c r="AQ1" s="21"/>
      <c r="AR1" s="19" t="s">
        <v>12</v>
      </c>
      <c r="AS1" s="20"/>
      <c r="AT1" s="20"/>
      <c r="AU1" s="20"/>
      <c r="AV1" s="20"/>
      <c r="AW1" s="21"/>
      <c r="AX1" s="22"/>
      <c r="AY1" s="23"/>
      <c r="AZ1" s="23"/>
      <c r="BA1" s="23"/>
      <c r="BB1" s="23"/>
      <c r="BC1" s="22"/>
    </row>
    <row r="2">
      <c r="A2" s="18" t="s">
        <v>13</v>
      </c>
      <c r="B2" s="18" t="s">
        <v>14</v>
      </c>
      <c r="C2" s="24" t="s">
        <v>15</v>
      </c>
      <c r="D2" s="18" t="s">
        <v>2</v>
      </c>
      <c r="E2" s="18" t="s">
        <v>16</v>
      </c>
      <c r="F2" s="18">
        <v>1.0</v>
      </c>
      <c r="G2" s="18">
        <v>2.0</v>
      </c>
      <c r="H2" s="18">
        <v>3.0</v>
      </c>
      <c r="I2" s="18">
        <v>4.0</v>
      </c>
      <c r="J2" s="18">
        <v>5.0</v>
      </c>
      <c r="K2" s="18">
        <v>6.0</v>
      </c>
      <c r="L2" s="18">
        <v>7.0</v>
      </c>
      <c r="M2" s="18">
        <v>8.0</v>
      </c>
      <c r="N2" s="18">
        <v>9.0</v>
      </c>
      <c r="O2" s="18">
        <v>10.0</v>
      </c>
      <c r="P2" s="18">
        <v>11.0</v>
      </c>
      <c r="Q2" s="18">
        <v>12.0</v>
      </c>
      <c r="R2" s="18">
        <v>13.0</v>
      </c>
      <c r="S2" s="18">
        <v>14.0</v>
      </c>
      <c r="T2" s="18">
        <v>15.0</v>
      </c>
      <c r="U2" s="18">
        <v>16.0</v>
      </c>
      <c r="V2" s="18">
        <v>17.0</v>
      </c>
      <c r="W2" s="18">
        <v>18.0</v>
      </c>
      <c r="X2" s="18">
        <v>19.0</v>
      </c>
      <c r="Y2" s="18">
        <v>20.0</v>
      </c>
      <c r="Z2" s="18">
        <v>1.0</v>
      </c>
      <c r="AA2" s="18">
        <v>2.0</v>
      </c>
      <c r="AB2" s="18">
        <v>3.0</v>
      </c>
      <c r="AC2" s="18">
        <v>4.0</v>
      </c>
      <c r="AD2" s="18">
        <v>5.0</v>
      </c>
      <c r="AE2" s="25" t="s">
        <v>17</v>
      </c>
      <c r="AF2" s="18">
        <v>6.0</v>
      </c>
      <c r="AG2" s="18">
        <v>7.0</v>
      </c>
      <c r="AH2" s="18">
        <v>8.0</v>
      </c>
      <c r="AI2" s="18">
        <v>9.0</v>
      </c>
      <c r="AJ2" s="18">
        <v>10.0</v>
      </c>
      <c r="AK2" s="25" t="s">
        <v>17</v>
      </c>
      <c r="AL2" s="18">
        <v>11.0</v>
      </c>
      <c r="AM2" s="18">
        <v>12.0</v>
      </c>
      <c r="AN2" s="18">
        <v>13.0</v>
      </c>
      <c r="AO2" s="18">
        <v>14.0</v>
      </c>
      <c r="AP2" s="18">
        <v>15.0</v>
      </c>
      <c r="AQ2" s="25" t="s">
        <v>17</v>
      </c>
      <c r="AR2" s="18">
        <v>16.0</v>
      </c>
      <c r="AS2" s="18">
        <v>17.0</v>
      </c>
      <c r="AT2" s="18">
        <v>18.0</v>
      </c>
      <c r="AU2" s="18">
        <v>19.0</v>
      </c>
      <c r="AV2" s="18">
        <v>20.0</v>
      </c>
      <c r="AW2" s="25" t="s">
        <v>17</v>
      </c>
      <c r="AX2" s="23"/>
      <c r="AY2" s="26" t="s">
        <v>9</v>
      </c>
      <c r="AZ2" s="26" t="s">
        <v>18</v>
      </c>
      <c r="BA2" s="26" t="s">
        <v>11</v>
      </c>
      <c r="BB2" s="26" t="s">
        <v>19</v>
      </c>
      <c r="BC2" s="23"/>
    </row>
    <row r="3">
      <c r="A3" s="27" t="str">
        <f>IFERROR(__xludf.DUMMYFUNCTION("IMPORTRANGE(""https://docs.google.com/spreadsheets/d/1w4NXg816eI7tg1xm3s4iZpgFUIQ3GERl7LlMfsuXt9c/edit?resourcekey=&amp;gid=1083019139#gid=1083019139"",""Form Responses 1!A2:Y1000"")"),"")</f>
        <v/>
      </c>
      <c r="B3" s="27"/>
      <c r="C3" s="27"/>
      <c r="D3" s="27"/>
      <c r="E3" s="27"/>
      <c r="F3" s="27"/>
      <c r="G3" s="27"/>
      <c r="H3" s="27"/>
      <c r="I3" s="27"/>
      <c r="J3" s="27"/>
      <c r="K3" s="27"/>
      <c r="L3" s="27"/>
      <c r="M3" s="27"/>
      <c r="N3" s="27"/>
      <c r="O3" s="27"/>
      <c r="P3" s="27"/>
      <c r="Q3" s="27"/>
      <c r="R3" s="27"/>
      <c r="S3" s="27"/>
      <c r="T3" s="27"/>
      <c r="U3" s="27"/>
      <c r="V3" s="27"/>
      <c r="W3" s="27"/>
      <c r="X3" s="27"/>
      <c r="Y3" s="27"/>
      <c r="Z3" s="28">
        <f t="shared" ref="Z3:Z101" si="1">IF(F3="B. Aku bersaksi bahwa tidak ada tuhan yang berhak di sembah kecuali Allah",1,0)</f>
        <v>0</v>
      </c>
      <c r="AA3" s="28">
        <f t="shared" ref="AA3:AA101" si="2">IF(G3=6,1,0)</f>
        <v>0</v>
      </c>
      <c r="AB3" s="28">
        <f t="shared" ref="AB3:AB101" si="3">IF(H3="1 Syawwal",1,0)</f>
        <v>0</v>
      </c>
      <c r="AC3" s="28">
        <f t="shared" ref="AC3:AC101" si="4">IF(I3="Al 'Alaq",1,0)</f>
        <v>0</v>
      </c>
      <c r="AD3" s="28">
        <f t="shared" ref="AD3:AD101" si="5">IF(J3="Ali Bin Abi Thalib",1,0)</f>
        <v>0</v>
      </c>
      <c r="AE3" s="29">
        <f t="shared" ref="AE3:AE101" si="6">sum(Z3:AD3)</f>
        <v>0</v>
      </c>
      <c r="AF3" s="28">
        <f t="shared" ref="AF3:AF101" si="7">IF(K3="giat",1,0)</f>
        <v>0</v>
      </c>
      <c r="AG3" s="28">
        <f t="shared" ref="AG3:AG101" si="8">IF(L3="dan",1,0)</f>
        <v>0</v>
      </c>
      <c r="AH3" s="28">
        <f t="shared" ref="AH3:AH101" si="9">IF(M3="Hafsah mengatakan bahwa ia ingin belajar di pesantren.",1,0)</f>
        <v>0</v>
      </c>
      <c r="AI3" s="28">
        <f t="shared" ref="AI3:AI101" si="10">IF(N3="Kalimat 1",1,0)</f>
        <v>0</v>
      </c>
      <c r="AJ3" s="28">
        <f t="shared" ref="AJ3:AJ101" si="11">IF(O3="cahaya",1,0)</f>
        <v>0</v>
      </c>
      <c r="AK3" s="29">
        <f t="shared" ref="AK3:AK101" si="12">sum(AF3:AJ3)</f>
        <v>0</v>
      </c>
      <c r="AL3" s="28">
        <f t="shared" ref="AL3:AL101" si="13">IF(P3="Parasitisme",1,0)</f>
        <v>0</v>
      </c>
      <c r="AM3" s="28">
        <f t="shared" ref="AM3:AM101" si="14">IF(Q3="Angin",1,0)</f>
        <v>0</v>
      </c>
      <c r="AN3" s="28">
        <f t="shared" ref="AN3:AN112" si="15">IF(R3="belalang dan ular",1,0)</f>
        <v>0</v>
      </c>
      <c r="AO3" s="28">
        <f t="shared" ref="AO3:AO101" si="16">IF(S3="Menghasilkan klorofil",1,0)</f>
        <v>0</v>
      </c>
      <c r="AP3" s="28">
        <f t="shared" ref="AP3:AP101" si="17">IF(T3="Kelinci",1,0)</f>
        <v>0</v>
      </c>
      <c r="AQ3" s="29">
        <f t="shared" ref="AQ3:AQ101" si="18">sum(AL3:AP3)</f>
        <v>0</v>
      </c>
      <c r="AR3" s="28">
        <f t="shared" ref="AR3:AR101" si="19">IF(U3=-64,1,0)</f>
        <v>0</v>
      </c>
      <c r="AS3" s="28">
        <f t="shared" ref="AS3:AS101" si="20">IF(V3="3/4",1,0)</f>
        <v>0</v>
      </c>
      <c r="AT3" s="28">
        <f t="shared" ref="AT3:AT101" si="21">IF(W3="1.800 meter",1,0)</f>
        <v>0</v>
      </c>
      <c r="AU3" s="28">
        <f t="shared" ref="AU3:AU101" si="22">IF(X3="22 cm",1,0)</f>
        <v>0</v>
      </c>
      <c r="AV3" s="28">
        <f t="shared" ref="AV3:AV101" si="23">IF(Y3="200",1,0)</f>
        <v>0</v>
      </c>
      <c r="AW3" s="29">
        <f t="shared" ref="AW3:AW101" si="24">sum(AR3:AV3)</f>
        <v>0</v>
      </c>
      <c r="AX3" s="22"/>
      <c r="AY3" s="26">
        <f t="shared" ref="AY3:AY101" si="25">AE3</f>
        <v>0</v>
      </c>
      <c r="AZ3" s="26">
        <f t="shared" ref="AZ3:AZ101" si="26">AK3</f>
        <v>0</v>
      </c>
      <c r="BA3" s="26">
        <f t="shared" ref="BA3:BA101" si="27">AQ3</f>
        <v>0</v>
      </c>
      <c r="BB3" s="26">
        <f t="shared" ref="BB3:BB101" si="28">AW3</f>
        <v>0</v>
      </c>
      <c r="BC3" s="30">
        <f t="shared" ref="BC3:BC101" si="29">sum(AY3:BB3)*5</f>
        <v>0</v>
      </c>
    </row>
    <row r="4">
      <c r="A4" s="31">
        <f>IFERROR(__xludf.DUMMYFUNCTION("""COMPUTED_VALUE"""),45918.54390133102)</f>
        <v>45918.5439</v>
      </c>
      <c r="B4" s="32" t="str">
        <f>IFERROR(__xludf.DUMMYFUNCTION("""COMPUTED_VALUE"""),"Aviccena syahdan haqqani ")</f>
        <v>Aviccena syahdan haqqani </v>
      </c>
      <c r="C4" s="27" t="str">
        <f>IFERROR(__xludf.DUMMYFUNCTION("""COMPUTED_VALUE"""),"A250060")</f>
        <v>A250060</v>
      </c>
      <c r="D4" s="27" t="str">
        <f>IFERROR(__xludf.DUMMYFUNCTION("""COMPUTED_VALUE"""),"MTs Putra")</f>
        <v>MTs Putra</v>
      </c>
      <c r="E4" s="27" t="str">
        <f>IFERROR(__xludf.DUMMYFUNCTION("""COMPUTED_VALUE"""),"Ya")</f>
        <v>Ya</v>
      </c>
      <c r="F4" s="32" t="str">
        <f>IFERROR(__xludf.DUMMYFUNCTION("""COMPUTED_VALUE"""),"B. Aku bersaksi bahwa tidak ada tuhan yang berhak di sembah kecuali Allah")</f>
        <v>B. Aku bersaksi bahwa tidak ada tuhan yang berhak di sembah kecuali Allah</v>
      </c>
      <c r="G4" s="32">
        <f>IFERROR(__xludf.DUMMYFUNCTION("""COMPUTED_VALUE"""),6.0)</f>
        <v>6</v>
      </c>
      <c r="H4" s="32" t="str">
        <f>IFERROR(__xludf.DUMMYFUNCTION("""COMPUTED_VALUE"""),"1 Syawwal")</f>
        <v>1 Syawwal</v>
      </c>
      <c r="I4" s="32" t="str">
        <f>IFERROR(__xludf.DUMMYFUNCTION("""COMPUTED_VALUE"""),"Al 'Alaq")</f>
        <v>Al 'Alaq</v>
      </c>
      <c r="J4" s="32" t="str">
        <f>IFERROR(__xludf.DUMMYFUNCTION("""COMPUTED_VALUE"""),"Ali Bin Abi Thalib")</f>
        <v>Ali Bin Abi Thalib</v>
      </c>
      <c r="K4" s="32" t="str">
        <f>IFERROR(__xludf.DUMMYFUNCTION("""COMPUTED_VALUE"""),"giat")</f>
        <v>giat</v>
      </c>
      <c r="L4" s="32" t="str">
        <f>IFERROR(__xludf.DUMMYFUNCTION("""COMPUTED_VALUE"""),"dan")</f>
        <v>dan</v>
      </c>
      <c r="M4" s="32" t="str">
        <f>IFERROR(__xludf.DUMMYFUNCTION("""COMPUTED_VALUE"""),"Aku berkata Hafsah ingin belajar di pesantren.")</f>
        <v>Aku berkata Hafsah ingin belajar di pesantren.</v>
      </c>
      <c r="N4" s="32" t="str">
        <f>IFERROR(__xludf.DUMMYFUNCTION("""COMPUTED_VALUE"""),"Kalimat 1")</f>
        <v>Kalimat 1</v>
      </c>
      <c r="O4" s="32" t="str">
        <f>IFERROR(__xludf.DUMMYFUNCTION("""COMPUTED_VALUE"""),"cahaya")</f>
        <v>cahaya</v>
      </c>
      <c r="P4" s="32" t="str">
        <f>IFERROR(__xludf.DUMMYFUNCTION("""COMPUTED_VALUE"""),"Komensalisme")</f>
        <v>Komensalisme</v>
      </c>
      <c r="Q4" s="32" t="str">
        <f>IFERROR(__xludf.DUMMYFUNCTION("""COMPUTED_VALUE"""),"Angin")</f>
        <v>Angin</v>
      </c>
      <c r="R4" s="32" t="str">
        <f>IFERROR(__xludf.DUMMYFUNCTION("""COMPUTED_VALUE"""),"pipit dan burung hantu")</f>
        <v>pipit dan burung hantu</v>
      </c>
      <c r="S4" s="32" t="str">
        <f>IFERROR(__xludf.DUMMYFUNCTION("""COMPUTED_VALUE"""),"Adanya pertulangan daun")</f>
        <v>Adanya pertulangan daun</v>
      </c>
      <c r="T4" s="32" t="str">
        <f>IFERROR(__xludf.DUMMYFUNCTION("""COMPUTED_VALUE"""),"Kadal")</f>
        <v>Kadal</v>
      </c>
      <c r="U4" s="32">
        <f>IFERROR(__xludf.DUMMYFUNCTION("""COMPUTED_VALUE"""),56.0)</f>
        <v>56</v>
      </c>
      <c r="V4" s="32" t="str">
        <f>IFERROR(__xludf.DUMMYFUNCTION("""COMPUTED_VALUE"""),"3/4")</f>
        <v>3/4</v>
      </c>
      <c r="W4" s="32" t="str">
        <f>IFERROR(__xludf.DUMMYFUNCTION("""COMPUTED_VALUE"""),"1.250 meter")</f>
        <v>1.250 meter</v>
      </c>
      <c r="X4" s="32" t="str">
        <f>IFERROR(__xludf.DUMMYFUNCTION("""COMPUTED_VALUE"""),"11 cm")</f>
        <v>11 cm</v>
      </c>
      <c r="Y4" s="33">
        <f>IFERROR(__xludf.DUMMYFUNCTION("""COMPUTED_VALUE"""),1000.0)</f>
        <v>1000</v>
      </c>
      <c r="Z4" s="28">
        <f t="shared" si="1"/>
        <v>1</v>
      </c>
      <c r="AA4" s="28">
        <f t="shared" si="2"/>
        <v>1</v>
      </c>
      <c r="AB4" s="28">
        <f t="shared" si="3"/>
        <v>1</v>
      </c>
      <c r="AC4" s="28">
        <f t="shared" si="4"/>
        <v>1</v>
      </c>
      <c r="AD4" s="28">
        <f t="shared" si="5"/>
        <v>1</v>
      </c>
      <c r="AE4" s="29">
        <f t="shared" si="6"/>
        <v>5</v>
      </c>
      <c r="AF4" s="28">
        <f t="shared" si="7"/>
        <v>1</v>
      </c>
      <c r="AG4" s="28">
        <f t="shared" si="8"/>
        <v>1</v>
      </c>
      <c r="AH4" s="28">
        <f t="shared" si="9"/>
        <v>0</v>
      </c>
      <c r="AI4" s="28">
        <f t="shared" si="10"/>
        <v>1</v>
      </c>
      <c r="AJ4" s="28">
        <f t="shared" si="11"/>
        <v>1</v>
      </c>
      <c r="AK4" s="29">
        <f t="shared" si="12"/>
        <v>4</v>
      </c>
      <c r="AL4" s="28">
        <f t="shared" si="13"/>
        <v>0</v>
      </c>
      <c r="AM4" s="28">
        <f t="shared" si="14"/>
        <v>1</v>
      </c>
      <c r="AN4" s="28">
        <f t="shared" si="15"/>
        <v>0</v>
      </c>
      <c r="AO4" s="28">
        <f t="shared" si="16"/>
        <v>0</v>
      </c>
      <c r="AP4" s="28">
        <f t="shared" si="17"/>
        <v>0</v>
      </c>
      <c r="AQ4" s="29">
        <f t="shared" si="18"/>
        <v>1</v>
      </c>
      <c r="AR4" s="28">
        <f t="shared" si="19"/>
        <v>0</v>
      </c>
      <c r="AS4" s="28">
        <f t="shared" si="20"/>
        <v>1</v>
      </c>
      <c r="AT4" s="28">
        <f t="shared" si="21"/>
        <v>0</v>
      </c>
      <c r="AU4" s="28">
        <f t="shared" si="22"/>
        <v>0</v>
      </c>
      <c r="AV4" s="28">
        <f t="shared" si="23"/>
        <v>0</v>
      </c>
      <c r="AW4" s="29">
        <f t="shared" si="24"/>
        <v>1</v>
      </c>
      <c r="AX4" s="22"/>
      <c r="AY4" s="26">
        <f t="shared" si="25"/>
        <v>5</v>
      </c>
      <c r="AZ4" s="26">
        <f t="shared" si="26"/>
        <v>4</v>
      </c>
      <c r="BA4" s="26">
        <f t="shared" si="27"/>
        <v>1</v>
      </c>
      <c r="BB4" s="26">
        <f t="shared" si="28"/>
        <v>1</v>
      </c>
      <c r="BC4" s="30">
        <f t="shared" si="29"/>
        <v>55</v>
      </c>
    </row>
    <row r="5">
      <c r="A5" s="31">
        <f>IFERROR(__xludf.DUMMYFUNCTION("""COMPUTED_VALUE"""),45919.839533148144)</f>
        <v>45919.83953</v>
      </c>
      <c r="B5" s="32" t="str">
        <f>IFERROR(__xludf.DUMMYFUNCTION("""COMPUTED_VALUE"""),"Daffa Taamir Alfarizi ")</f>
        <v>Daffa Taamir Alfarizi </v>
      </c>
      <c r="C5" s="27" t="str">
        <f>IFERROR(__xludf.DUMMYFUNCTION("""COMPUTED_VALUE"""),"A250008")</f>
        <v>A250008</v>
      </c>
      <c r="D5" s="27" t="str">
        <f>IFERROR(__xludf.DUMMYFUNCTION("""COMPUTED_VALUE"""),"MTs Putra")</f>
        <v>MTs Putra</v>
      </c>
      <c r="E5" s="27" t="str">
        <f>IFERROR(__xludf.DUMMYFUNCTION("""COMPUTED_VALUE"""),"Ya")</f>
        <v>Ya</v>
      </c>
      <c r="F5" s="32" t="str">
        <f>IFERROR(__xludf.DUMMYFUNCTION("""COMPUTED_VALUE"""),"B. Aku bersaksi bahwa tidak ada tuhan yang berhak di sembah kecuali Allah")</f>
        <v>B. Aku bersaksi bahwa tidak ada tuhan yang berhak di sembah kecuali Allah</v>
      </c>
      <c r="G5" s="32">
        <f>IFERROR(__xludf.DUMMYFUNCTION("""COMPUTED_VALUE"""),6.0)</f>
        <v>6</v>
      </c>
      <c r="H5" s="32" t="str">
        <f>IFERROR(__xludf.DUMMYFUNCTION("""COMPUTED_VALUE"""),"1 Syawwal")</f>
        <v>1 Syawwal</v>
      </c>
      <c r="I5" s="32" t="str">
        <f>IFERROR(__xludf.DUMMYFUNCTION("""COMPUTED_VALUE"""),"Al 'Alaq")</f>
        <v>Al 'Alaq</v>
      </c>
      <c r="J5" s="32" t="str">
        <f>IFERROR(__xludf.DUMMYFUNCTION("""COMPUTED_VALUE"""),"Ali Bin Abi Thalib")</f>
        <v>Ali Bin Abi Thalib</v>
      </c>
      <c r="K5" s="32" t="str">
        <f>IFERROR(__xludf.DUMMYFUNCTION("""COMPUTED_VALUE"""),"giat")</f>
        <v>giat</v>
      </c>
      <c r="L5" s="32" t="str">
        <f>IFERROR(__xludf.DUMMYFUNCTION("""COMPUTED_VALUE"""),"dan")</f>
        <v>dan</v>
      </c>
      <c r="M5" s="32" t="str">
        <f>IFERROR(__xludf.DUMMYFUNCTION("""COMPUTED_VALUE"""),"Hafsah mengatakan bahwa ia ingin belajar di pesantren.")</f>
        <v>Hafsah mengatakan bahwa ia ingin belajar di pesantren.</v>
      </c>
      <c r="N5" s="32" t="str">
        <f>IFERROR(__xludf.DUMMYFUNCTION("""COMPUTED_VALUE"""),"Kalimat 1")</f>
        <v>Kalimat 1</v>
      </c>
      <c r="O5" s="32" t="str">
        <f>IFERROR(__xludf.DUMMYFUNCTION("""COMPUTED_VALUE"""),"kehidupan")</f>
        <v>kehidupan</v>
      </c>
      <c r="P5" s="32" t="str">
        <f>IFERROR(__xludf.DUMMYFUNCTION("""COMPUTED_VALUE"""),"Parasitisme")</f>
        <v>Parasitisme</v>
      </c>
      <c r="Q5" s="32" t="str">
        <f>IFERROR(__xludf.DUMMYFUNCTION("""COMPUTED_VALUE"""),"Angin")</f>
        <v>Angin</v>
      </c>
      <c r="R5" s="32" t="str">
        <f>IFERROR(__xludf.DUMMYFUNCTION("""COMPUTED_VALUE"""),"belalang dan ular")</f>
        <v>belalang dan ular</v>
      </c>
      <c r="S5" s="32" t="str">
        <f>IFERROR(__xludf.DUMMYFUNCTION("""COMPUTED_VALUE"""),"Menghasilkan klorofil")</f>
        <v>Menghasilkan klorofil</v>
      </c>
      <c r="T5" s="32" t="str">
        <f>IFERROR(__xludf.DUMMYFUNCTION("""COMPUTED_VALUE"""),"Kelinci")</f>
        <v>Kelinci</v>
      </c>
      <c r="U5" s="32">
        <f>IFERROR(__xludf.DUMMYFUNCTION("""COMPUTED_VALUE"""),-64.0)</f>
        <v>-64</v>
      </c>
      <c r="V5" s="32" t="str">
        <f>IFERROR(__xludf.DUMMYFUNCTION("""COMPUTED_VALUE"""),"3/4")</f>
        <v>3/4</v>
      </c>
      <c r="W5" s="32" t="str">
        <f>IFERROR(__xludf.DUMMYFUNCTION("""COMPUTED_VALUE"""),"1.800 meter")</f>
        <v>1.800 meter</v>
      </c>
      <c r="X5" s="32" t="str">
        <f>IFERROR(__xludf.DUMMYFUNCTION("""COMPUTED_VALUE"""),"22 cm")</f>
        <v>22 cm</v>
      </c>
      <c r="Y5" s="32">
        <f>IFERROR(__xludf.DUMMYFUNCTION("""COMPUTED_VALUE"""),200.0)</f>
        <v>200</v>
      </c>
      <c r="Z5" s="28">
        <f t="shared" si="1"/>
        <v>1</v>
      </c>
      <c r="AA5" s="28">
        <f t="shared" si="2"/>
        <v>1</v>
      </c>
      <c r="AB5" s="28">
        <f t="shared" si="3"/>
        <v>1</v>
      </c>
      <c r="AC5" s="28">
        <f t="shared" si="4"/>
        <v>1</v>
      </c>
      <c r="AD5" s="28">
        <f t="shared" si="5"/>
        <v>1</v>
      </c>
      <c r="AE5" s="29">
        <f t="shared" si="6"/>
        <v>5</v>
      </c>
      <c r="AF5" s="28">
        <f t="shared" si="7"/>
        <v>1</v>
      </c>
      <c r="AG5" s="28">
        <f t="shared" si="8"/>
        <v>1</v>
      </c>
      <c r="AH5" s="28">
        <f t="shared" si="9"/>
        <v>1</v>
      </c>
      <c r="AI5" s="28">
        <f t="shared" si="10"/>
        <v>1</v>
      </c>
      <c r="AJ5" s="28">
        <f t="shared" si="11"/>
        <v>0</v>
      </c>
      <c r="AK5" s="29">
        <f t="shared" si="12"/>
        <v>4</v>
      </c>
      <c r="AL5" s="28">
        <f t="shared" si="13"/>
        <v>1</v>
      </c>
      <c r="AM5" s="28">
        <f t="shared" si="14"/>
        <v>1</v>
      </c>
      <c r="AN5" s="28">
        <f t="shared" si="15"/>
        <v>1</v>
      </c>
      <c r="AO5" s="28">
        <f t="shared" si="16"/>
        <v>1</v>
      </c>
      <c r="AP5" s="28">
        <f t="shared" si="17"/>
        <v>1</v>
      </c>
      <c r="AQ5" s="29">
        <f t="shared" si="18"/>
        <v>5</v>
      </c>
      <c r="AR5" s="28">
        <f t="shared" si="19"/>
        <v>1</v>
      </c>
      <c r="AS5" s="28">
        <f t="shared" si="20"/>
        <v>1</v>
      </c>
      <c r="AT5" s="28">
        <f t="shared" si="21"/>
        <v>1</v>
      </c>
      <c r="AU5" s="28">
        <f t="shared" si="22"/>
        <v>1</v>
      </c>
      <c r="AV5" s="28">
        <f t="shared" si="23"/>
        <v>0</v>
      </c>
      <c r="AW5" s="29">
        <f t="shared" si="24"/>
        <v>4</v>
      </c>
      <c r="AX5" s="22"/>
      <c r="AY5" s="26">
        <f t="shared" si="25"/>
        <v>5</v>
      </c>
      <c r="AZ5" s="26">
        <f t="shared" si="26"/>
        <v>4</v>
      </c>
      <c r="BA5" s="26">
        <f t="shared" si="27"/>
        <v>5</v>
      </c>
      <c r="BB5" s="26">
        <f t="shared" si="28"/>
        <v>4</v>
      </c>
      <c r="BC5" s="30">
        <f t="shared" si="29"/>
        <v>90</v>
      </c>
    </row>
    <row r="6">
      <c r="A6" s="31">
        <f>IFERROR(__xludf.DUMMYFUNCTION("""COMPUTED_VALUE"""),45920.35915685185)</f>
        <v>45920.35916</v>
      </c>
      <c r="B6" s="32" t="str">
        <f>IFERROR(__xludf.DUMMYFUNCTION("""COMPUTED_VALUE"""),"keyza qaireen")</f>
        <v>keyza qaireen</v>
      </c>
      <c r="C6" s="27" t="str">
        <f>IFERROR(__xludf.DUMMYFUNCTION("""COMPUTED_VALUE"""),"D250009")</f>
        <v>D250009</v>
      </c>
      <c r="D6" s="27" t="str">
        <f>IFERROR(__xludf.DUMMYFUNCTION("""COMPUTED_VALUE"""),"MTs Putri")</f>
        <v>MTs Putri</v>
      </c>
      <c r="E6" s="27" t="str">
        <f>IFERROR(__xludf.DUMMYFUNCTION("""COMPUTED_VALUE"""),"Ya")</f>
        <v>Ya</v>
      </c>
      <c r="F6" s="32" t="str">
        <f>IFERROR(__xludf.DUMMYFUNCTION("""COMPUTED_VALUE"""),"B. Aku bersaksi bahwa tidak ada tuhan yang berhak di sembah kecuali Allah")</f>
        <v>B. Aku bersaksi bahwa tidak ada tuhan yang berhak di sembah kecuali Allah</v>
      </c>
      <c r="G6" s="32">
        <f>IFERROR(__xludf.DUMMYFUNCTION("""COMPUTED_VALUE"""),6.0)</f>
        <v>6</v>
      </c>
      <c r="H6" s="32" t="str">
        <f>IFERROR(__xludf.DUMMYFUNCTION("""COMPUTED_VALUE"""),"1 Syawwal")</f>
        <v>1 Syawwal</v>
      </c>
      <c r="I6" s="32" t="str">
        <f>IFERROR(__xludf.DUMMYFUNCTION("""COMPUTED_VALUE"""),"Al 'Alaq")</f>
        <v>Al 'Alaq</v>
      </c>
      <c r="J6" s="32" t="str">
        <f>IFERROR(__xludf.DUMMYFUNCTION("""COMPUTED_VALUE"""),"Utsman Bin Affan")</f>
        <v>Utsman Bin Affan</v>
      </c>
      <c r="K6" s="32" t="str">
        <f>IFERROR(__xludf.DUMMYFUNCTION("""COMPUTED_VALUE"""),"malas")</f>
        <v>malas</v>
      </c>
      <c r="L6" s="32" t="str">
        <f>IFERROR(__xludf.DUMMYFUNCTION("""COMPUTED_VALUE"""),"dan")</f>
        <v>dan</v>
      </c>
      <c r="M6" s="32" t="str">
        <f>IFERROR(__xludf.DUMMYFUNCTION("""COMPUTED_VALUE"""),"Hafsah mengatakan bahwa aku ingin belajar di pesantren.")</f>
        <v>Hafsah mengatakan bahwa aku ingin belajar di pesantren.</v>
      </c>
      <c r="N6" s="32" t="str">
        <f>IFERROR(__xludf.DUMMYFUNCTION("""COMPUTED_VALUE"""),"Kalimat 1")</f>
        <v>Kalimat 1</v>
      </c>
      <c r="O6" s="32" t="str">
        <f>IFERROR(__xludf.DUMMYFUNCTION("""COMPUTED_VALUE"""),"cahaya")</f>
        <v>cahaya</v>
      </c>
      <c r="P6" s="32" t="str">
        <f>IFERROR(__xludf.DUMMYFUNCTION("""COMPUTED_VALUE"""),"Parasitisme")</f>
        <v>Parasitisme</v>
      </c>
      <c r="Q6" s="32" t="str">
        <f>IFERROR(__xludf.DUMMYFUNCTION("""COMPUTED_VALUE"""),"Angin")</f>
        <v>Angin</v>
      </c>
      <c r="R6" s="32" t="str">
        <f>IFERROR(__xludf.DUMMYFUNCTION("""COMPUTED_VALUE"""),"belalang dan ular")</f>
        <v>belalang dan ular</v>
      </c>
      <c r="S6" s="32" t="str">
        <f>IFERROR(__xludf.DUMMYFUNCTION("""COMPUTED_VALUE"""),"Daun yang pipih dan lebar")</f>
        <v>Daun yang pipih dan lebar</v>
      </c>
      <c r="T6" s="32" t="str">
        <f>IFERROR(__xludf.DUMMYFUNCTION("""COMPUTED_VALUE"""),"Buaya")</f>
        <v>Buaya</v>
      </c>
      <c r="U6" s="32">
        <f>IFERROR(__xludf.DUMMYFUNCTION("""COMPUTED_VALUE"""),-64.0)</f>
        <v>-64</v>
      </c>
      <c r="V6" s="32" t="str">
        <f>IFERROR(__xludf.DUMMYFUNCTION("""COMPUTED_VALUE"""),"3/4")</f>
        <v>3/4</v>
      </c>
      <c r="W6" s="32" t="str">
        <f>IFERROR(__xludf.DUMMYFUNCTION("""COMPUTED_VALUE"""),"1.800 meter")</f>
        <v>1.800 meter</v>
      </c>
      <c r="X6" s="32" t="str">
        <f>IFERROR(__xludf.DUMMYFUNCTION("""COMPUTED_VALUE"""),"22 cm")</f>
        <v>22 cm</v>
      </c>
      <c r="Y6" s="32">
        <f>IFERROR(__xludf.DUMMYFUNCTION("""COMPUTED_VALUE"""),200.0)</f>
        <v>200</v>
      </c>
      <c r="Z6" s="28">
        <f t="shared" si="1"/>
        <v>1</v>
      </c>
      <c r="AA6" s="28">
        <f t="shared" si="2"/>
        <v>1</v>
      </c>
      <c r="AB6" s="28">
        <f t="shared" si="3"/>
        <v>1</v>
      </c>
      <c r="AC6" s="28">
        <f t="shared" si="4"/>
        <v>1</v>
      </c>
      <c r="AD6" s="28">
        <f t="shared" si="5"/>
        <v>0</v>
      </c>
      <c r="AE6" s="29">
        <f t="shared" si="6"/>
        <v>4</v>
      </c>
      <c r="AF6" s="28">
        <f t="shared" si="7"/>
        <v>0</v>
      </c>
      <c r="AG6" s="28">
        <f t="shared" si="8"/>
        <v>1</v>
      </c>
      <c r="AH6" s="28">
        <f t="shared" si="9"/>
        <v>0</v>
      </c>
      <c r="AI6" s="28">
        <f t="shared" si="10"/>
        <v>1</v>
      </c>
      <c r="AJ6" s="28">
        <f t="shared" si="11"/>
        <v>1</v>
      </c>
      <c r="AK6" s="29">
        <f t="shared" si="12"/>
        <v>3</v>
      </c>
      <c r="AL6" s="28">
        <f t="shared" si="13"/>
        <v>1</v>
      </c>
      <c r="AM6" s="28">
        <f t="shared" si="14"/>
        <v>1</v>
      </c>
      <c r="AN6" s="28">
        <f t="shared" si="15"/>
        <v>1</v>
      </c>
      <c r="AO6" s="28">
        <f t="shared" si="16"/>
        <v>0</v>
      </c>
      <c r="AP6" s="28">
        <f t="shared" si="17"/>
        <v>0</v>
      </c>
      <c r="AQ6" s="29">
        <f t="shared" si="18"/>
        <v>3</v>
      </c>
      <c r="AR6" s="28">
        <f t="shared" si="19"/>
        <v>1</v>
      </c>
      <c r="AS6" s="28">
        <f t="shared" si="20"/>
        <v>1</v>
      </c>
      <c r="AT6" s="28">
        <f t="shared" si="21"/>
        <v>1</v>
      </c>
      <c r="AU6" s="28">
        <f t="shared" si="22"/>
        <v>1</v>
      </c>
      <c r="AV6" s="28">
        <f t="shared" si="23"/>
        <v>0</v>
      </c>
      <c r="AW6" s="29">
        <f t="shared" si="24"/>
        <v>4</v>
      </c>
      <c r="AX6" s="22"/>
      <c r="AY6" s="26">
        <f t="shared" si="25"/>
        <v>4</v>
      </c>
      <c r="AZ6" s="26">
        <f t="shared" si="26"/>
        <v>3</v>
      </c>
      <c r="BA6" s="26">
        <f t="shared" si="27"/>
        <v>3</v>
      </c>
      <c r="BB6" s="26">
        <f t="shared" si="28"/>
        <v>4</v>
      </c>
      <c r="BC6" s="30">
        <f t="shared" si="29"/>
        <v>70</v>
      </c>
    </row>
    <row r="7">
      <c r="A7" s="31">
        <f>IFERROR(__xludf.DUMMYFUNCTION("""COMPUTED_VALUE"""),45920.4010121875)</f>
        <v>45920.40101</v>
      </c>
      <c r="B7" s="34" t="str">
        <f>IFERROR(__xludf.DUMMYFUNCTION("""COMPUTED_VALUE"""),"Siti Azizah")</f>
        <v>Siti Azizah</v>
      </c>
      <c r="C7" s="27" t="str">
        <f>IFERROR(__xludf.DUMMYFUNCTION("""COMPUTED_VALUE"""),"D250007")</f>
        <v>D250007</v>
      </c>
      <c r="D7" s="27" t="str">
        <f>IFERROR(__xludf.DUMMYFUNCTION("""COMPUTED_VALUE"""),"MTs Putri")</f>
        <v>MTs Putri</v>
      </c>
      <c r="E7" s="27" t="str">
        <f>IFERROR(__xludf.DUMMYFUNCTION("""COMPUTED_VALUE"""),"Ya")</f>
        <v>Ya</v>
      </c>
      <c r="F7" s="32" t="str">
        <f>IFERROR(__xludf.DUMMYFUNCTION("""COMPUTED_VALUE"""),"B. Aku bersaksi bahwa tidak ada tuhan yang berhak di sembah kecuali Allah")</f>
        <v>B. Aku bersaksi bahwa tidak ada tuhan yang berhak di sembah kecuali Allah</v>
      </c>
      <c r="G7" s="32">
        <f>IFERROR(__xludf.DUMMYFUNCTION("""COMPUTED_VALUE"""),6.0)</f>
        <v>6</v>
      </c>
      <c r="H7" s="32" t="str">
        <f>IFERROR(__xludf.DUMMYFUNCTION("""COMPUTED_VALUE"""),"1 Syawwal")</f>
        <v>1 Syawwal</v>
      </c>
      <c r="I7" s="32" t="str">
        <f>IFERROR(__xludf.DUMMYFUNCTION("""COMPUTED_VALUE"""),"Al 'Alaq")</f>
        <v>Al 'Alaq</v>
      </c>
      <c r="J7" s="32" t="str">
        <f>IFERROR(__xludf.DUMMYFUNCTION("""COMPUTED_VALUE"""),"Abu Bakar Ash Shiddiiq")</f>
        <v>Abu Bakar Ash Shiddiiq</v>
      </c>
      <c r="K7" s="32" t="str">
        <f>IFERROR(__xludf.DUMMYFUNCTION("""COMPUTED_VALUE"""),"giat")</f>
        <v>giat</v>
      </c>
      <c r="L7" s="32" t="str">
        <f>IFERROR(__xludf.DUMMYFUNCTION("""COMPUTED_VALUE"""),"dan")</f>
        <v>dan</v>
      </c>
      <c r="M7" s="32" t="str">
        <f>IFERROR(__xludf.DUMMYFUNCTION("""COMPUTED_VALUE"""),"Hafsah mengatakan bahwa ia ingin belajar di pesantren.")</f>
        <v>Hafsah mengatakan bahwa ia ingin belajar di pesantren.</v>
      </c>
      <c r="N7" s="32" t="str">
        <f>IFERROR(__xludf.DUMMYFUNCTION("""COMPUTED_VALUE"""),"Kalimat 1")</f>
        <v>Kalimat 1</v>
      </c>
      <c r="O7" s="32" t="str">
        <f>IFERROR(__xludf.DUMMYFUNCTION("""COMPUTED_VALUE"""),"cahaya")</f>
        <v>cahaya</v>
      </c>
      <c r="P7" s="32" t="str">
        <f>IFERROR(__xludf.DUMMYFUNCTION("""COMPUTED_VALUE"""),"Parasitisme")</f>
        <v>Parasitisme</v>
      </c>
      <c r="Q7" s="32" t="str">
        <f>IFERROR(__xludf.DUMMYFUNCTION("""COMPUTED_VALUE"""),"Angin")</f>
        <v>Angin</v>
      </c>
      <c r="R7" s="32" t="str">
        <f>IFERROR(__xludf.DUMMYFUNCTION("""COMPUTED_VALUE"""),"belalang dan ular")</f>
        <v>belalang dan ular</v>
      </c>
      <c r="S7" s="32" t="str">
        <f>IFERROR(__xludf.DUMMYFUNCTION("""COMPUTED_VALUE"""),"Daun yang pipih dan lebar")</f>
        <v>Daun yang pipih dan lebar</v>
      </c>
      <c r="T7" s="32" t="str">
        <f>IFERROR(__xludf.DUMMYFUNCTION("""COMPUTED_VALUE"""),"Kadal")</f>
        <v>Kadal</v>
      </c>
      <c r="U7" s="32">
        <f>IFERROR(__xludf.DUMMYFUNCTION("""COMPUTED_VALUE"""),-64.0)</f>
        <v>-64</v>
      </c>
      <c r="V7" s="32">
        <f>IFERROR(__xludf.DUMMYFUNCTION("""COMPUTED_VALUE"""),1.0)</f>
        <v>1</v>
      </c>
      <c r="W7" s="32" t="str">
        <f>IFERROR(__xludf.DUMMYFUNCTION("""COMPUTED_VALUE"""),"1.800 meter")</f>
        <v>1.800 meter</v>
      </c>
      <c r="X7" s="32" t="str">
        <f>IFERROR(__xludf.DUMMYFUNCTION("""COMPUTED_VALUE"""),"28 cm")</f>
        <v>28 cm</v>
      </c>
      <c r="Y7" s="32">
        <f>IFERROR(__xludf.DUMMYFUNCTION("""COMPUTED_VALUE"""),200.0)</f>
        <v>200</v>
      </c>
      <c r="Z7" s="28">
        <f t="shared" si="1"/>
        <v>1</v>
      </c>
      <c r="AA7" s="28">
        <f t="shared" si="2"/>
        <v>1</v>
      </c>
      <c r="AB7" s="28">
        <f t="shared" si="3"/>
        <v>1</v>
      </c>
      <c r="AC7" s="28">
        <f t="shared" si="4"/>
        <v>1</v>
      </c>
      <c r="AD7" s="28">
        <f t="shared" si="5"/>
        <v>0</v>
      </c>
      <c r="AE7" s="29">
        <f t="shared" si="6"/>
        <v>4</v>
      </c>
      <c r="AF7" s="28">
        <f t="shared" si="7"/>
        <v>1</v>
      </c>
      <c r="AG7" s="28">
        <f t="shared" si="8"/>
        <v>1</v>
      </c>
      <c r="AH7" s="28">
        <f t="shared" si="9"/>
        <v>1</v>
      </c>
      <c r="AI7" s="28">
        <f t="shared" si="10"/>
        <v>1</v>
      </c>
      <c r="AJ7" s="28">
        <f t="shared" si="11"/>
        <v>1</v>
      </c>
      <c r="AK7" s="29">
        <f t="shared" si="12"/>
        <v>5</v>
      </c>
      <c r="AL7" s="28">
        <f t="shared" si="13"/>
        <v>1</v>
      </c>
      <c r="AM7" s="28">
        <f t="shared" si="14"/>
        <v>1</v>
      </c>
      <c r="AN7" s="28">
        <f t="shared" si="15"/>
        <v>1</v>
      </c>
      <c r="AO7" s="28">
        <f t="shared" si="16"/>
        <v>0</v>
      </c>
      <c r="AP7" s="28">
        <f t="shared" si="17"/>
        <v>0</v>
      </c>
      <c r="AQ7" s="29">
        <f t="shared" si="18"/>
        <v>3</v>
      </c>
      <c r="AR7" s="28">
        <f t="shared" si="19"/>
        <v>1</v>
      </c>
      <c r="AS7" s="28">
        <f t="shared" si="20"/>
        <v>0</v>
      </c>
      <c r="AT7" s="28">
        <f t="shared" si="21"/>
        <v>1</v>
      </c>
      <c r="AU7" s="28">
        <f t="shared" si="22"/>
        <v>0</v>
      </c>
      <c r="AV7" s="28">
        <f t="shared" si="23"/>
        <v>0</v>
      </c>
      <c r="AW7" s="29">
        <f t="shared" si="24"/>
        <v>2</v>
      </c>
      <c r="AX7" s="22"/>
      <c r="AY7" s="26">
        <f t="shared" si="25"/>
        <v>4</v>
      </c>
      <c r="AZ7" s="26">
        <f t="shared" si="26"/>
        <v>5</v>
      </c>
      <c r="BA7" s="26">
        <f t="shared" si="27"/>
        <v>3</v>
      </c>
      <c r="BB7" s="26">
        <f t="shared" si="28"/>
        <v>2</v>
      </c>
      <c r="BC7" s="30">
        <f t="shared" si="29"/>
        <v>70</v>
      </c>
    </row>
    <row r="8">
      <c r="A8" s="31">
        <f>IFERROR(__xludf.DUMMYFUNCTION("""COMPUTED_VALUE"""),45920.47239439815)</f>
        <v>45920.47239</v>
      </c>
      <c r="B8" s="32" t="str">
        <f>IFERROR(__xludf.DUMMYFUNCTION("""COMPUTED_VALUE"""),"Aina Syahmina Givani")</f>
        <v>Aina Syahmina Givani</v>
      </c>
      <c r="C8" s="27" t="str">
        <f>IFERROR(__xludf.DUMMYFUNCTION("""COMPUTED_VALUE"""),"D250006")</f>
        <v>D250006</v>
      </c>
      <c r="D8" s="27" t="str">
        <f>IFERROR(__xludf.DUMMYFUNCTION("""COMPUTED_VALUE"""),"MTs Putri")</f>
        <v>MTs Putri</v>
      </c>
      <c r="E8" s="27" t="str">
        <f>IFERROR(__xludf.DUMMYFUNCTION("""COMPUTED_VALUE"""),"Ya")</f>
        <v>Ya</v>
      </c>
      <c r="F8" s="32" t="str">
        <f>IFERROR(__xludf.DUMMYFUNCTION("""COMPUTED_VALUE"""),"B. Aku bersaksi bahwa tidak ada tuhan yang berhak di sembah kecuali Allah")</f>
        <v>B. Aku bersaksi bahwa tidak ada tuhan yang berhak di sembah kecuali Allah</v>
      </c>
      <c r="G8" s="32">
        <f>IFERROR(__xludf.DUMMYFUNCTION("""COMPUTED_VALUE"""),6.0)</f>
        <v>6</v>
      </c>
      <c r="H8" s="32" t="str">
        <f>IFERROR(__xludf.DUMMYFUNCTION("""COMPUTED_VALUE"""),"1 Syawwal")</f>
        <v>1 Syawwal</v>
      </c>
      <c r="I8" s="32" t="str">
        <f>IFERROR(__xludf.DUMMYFUNCTION("""COMPUTED_VALUE"""),"Al 'Alaq")</f>
        <v>Al 'Alaq</v>
      </c>
      <c r="J8" s="32" t="str">
        <f>IFERROR(__xludf.DUMMYFUNCTION("""COMPUTED_VALUE"""),"Ali Bin Abi Thalib")</f>
        <v>Ali Bin Abi Thalib</v>
      </c>
      <c r="K8" s="32" t="str">
        <f>IFERROR(__xludf.DUMMYFUNCTION("""COMPUTED_VALUE"""),"giat")</f>
        <v>giat</v>
      </c>
      <c r="L8" s="32" t="str">
        <f>IFERROR(__xludf.DUMMYFUNCTION("""COMPUTED_VALUE"""),"dan")</f>
        <v>dan</v>
      </c>
      <c r="M8" s="32" t="str">
        <f>IFERROR(__xludf.DUMMYFUNCTION("""COMPUTED_VALUE"""),"Hafsah mengatakan bahwa ia ingin belajar di pesantren.")</f>
        <v>Hafsah mengatakan bahwa ia ingin belajar di pesantren.</v>
      </c>
      <c r="N8" s="32" t="str">
        <f>IFERROR(__xludf.DUMMYFUNCTION("""COMPUTED_VALUE"""),"Kalimat 1")</f>
        <v>Kalimat 1</v>
      </c>
      <c r="O8" s="32" t="str">
        <f>IFERROR(__xludf.DUMMYFUNCTION("""COMPUTED_VALUE"""),"cahaya")</f>
        <v>cahaya</v>
      </c>
      <c r="P8" s="32" t="str">
        <f>IFERROR(__xludf.DUMMYFUNCTION("""COMPUTED_VALUE"""),"Parasitisme")</f>
        <v>Parasitisme</v>
      </c>
      <c r="Q8" s="32" t="str">
        <f>IFERROR(__xludf.DUMMYFUNCTION("""COMPUTED_VALUE"""),"Angin")</f>
        <v>Angin</v>
      </c>
      <c r="R8" s="32" t="str">
        <f>IFERROR(__xludf.DUMMYFUNCTION("""COMPUTED_VALUE"""),"belalang dan ular")</f>
        <v>belalang dan ular</v>
      </c>
      <c r="S8" s="32" t="str">
        <f>IFERROR(__xludf.DUMMYFUNCTION("""COMPUTED_VALUE"""),"Menghasilkan klorofil")</f>
        <v>Menghasilkan klorofil</v>
      </c>
      <c r="T8" s="32" t="str">
        <f>IFERROR(__xludf.DUMMYFUNCTION("""COMPUTED_VALUE"""),"Kelinci")</f>
        <v>Kelinci</v>
      </c>
      <c r="U8" s="32">
        <f>IFERROR(__xludf.DUMMYFUNCTION("""COMPUTED_VALUE"""),-56.0)</f>
        <v>-56</v>
      </c>
      <c r="V8" s="32" t="str">
        <f>IFERROR(__xludf.DUMMYFUNCTION("""COMPUTED_VALUE"""),"3/4")</f>
        <v>3/4</v>
      </c>
      <c r="W8" s="32" t="str">
        <f>IFERROR(__xludf.DUMMYFUNCTION("""COMPUTED_VALUE"""),"1.800 meter")</f>
        <v>1.800 meter</v>
      </c>
      <c r="X8" s="32" t="str">
        <f>IFERROR(__xludf.DUMMYFUNCTION("""COMPUTED_VALUE"""),"28 cm")</f>
        <v>28 cm</v>
      </c>
      <c r="Y8" s="32">
        <f>IFERROR(__xludf.DUMMYFUNCTION("""COMPUTED_VALUE"""),200.0)</f>
        <v>200</v>
      </c>
      <c r="Z8" s="28">
        <f t="shared" si="1"/>
        <v>1</v>
      </c>
      <c r="AA8" s="28">
        <f t="shared" si="2"/>
        <v>1</v>
      </c>
      <c r="AB8" s="28">
        <f t="shared" si="3"/>
        <v>1</v>
      </c>
      <c r="AC8" s="28">
        <f t="shared" si="4"/>
        <v>1</v>
      </c>
      <c r="AD8" s="28">
        <f t="shared" si="5"/>
        <v>1</v>
      </c>
      <c r="AE8" s="29">
        <f t="shared" si="6"/>
        <v>5</v>
      </c>
      <c r="AF8" s="28">
        <f t="shared" si="7"/>
        <v>1</v>
      </c>
      <c r="AG8" s="28">
        <f t="shared" si="8"/>
        <v>1</v>
      </c>
      <c r="AH8" s="28">
        <f t="shared" si="9"/>
        <v>1</v>
      </c>
      <c r="AI8" s="28">
        <f t="shared" si="10"/>
        <v>1</v>
      </c>
      <c r="AJ8" s="28">
        <f t="shared" si="11"/>
        <v>1</v>
      </c>
      <c r="AK8" s="29">
        <f t="shared" si="12"/>
        <v>5</v>
      </c>
      <c r="AL8" s="28">
        <f t="shared" si="13"/>
        <v>1</v>
      </c>
      <c r="AM8" s="28">
        <f t="shared" si="14"/>
        <v>1</v>
      </c>
      <c r="AN8" s="28">
        <f t="shared" si="15"/>
        <v>1</v>
      </c>
      <c r="AO8" s="28">
        <f t="shared" si="16"/>
        <v>1</v>
      </c>
      <c r="AP8" s="28">
        <f t="shared" si="17"/>
        <v>1</v>
      </c>
      <c r="AQ8" s="29">
        <f t="shared" si="18"/>
        <v>5</v>
      </c>
      <c r="AR8" s="28">
        <f t="shared" si="19"/>
        <v>0</v>
      </c>
      <c r="AS8" s="28">
        <f t="shared" si="20"/>
        <v>1</v>
      </c>
      <c r="AT8" s="28">
        <f t="shared" si="21"/>
        <v>1</v>
      </c>
      <c r="AU8" s="28">
        <f t="shared" si="22"/>
        <v>0</v>
      </c>
      <c r="AV8" s="28">
        <f t="shared" si="23"/>
        <v>0</v>
      </c>
      <c r="AW8" s="29">
        <f t="shared" si="24"/>
        <v>2</v>
      </c>
      <c r="AX8" s="22"/>
      <c r="AY8" s="26">
        <f t="shared" si="25"/>
        <v>5</v>
      </c>
      <c r="AZ8" s="26">
        <f t="shared" si="26"/>
        <v>5</v>
      </c>
      <c r="BA8" s="26">
        <f t="shared" si="27"/>
        <v>5</v>
      </c>
      <c r="BB8" s="26">
        <f t="shared" si="28"/>
        <v>2</v>
      </c>
      <c r="BC8" s="30">
        <f t="shared" si="29"/>
        <v>85</v>
      </c>
    </row>
    <row r="9">
      <c r="A9" s="31">
        <f>IFERROR(__xludf.DUMMYFUNCTION("""COMPUTED_VALUE"""),45920.49742675926)</f>
        <v>45920.49743</v>
      </c>
      <c r="B9" s="32" t="str">
        <f>IFERROR(__xludf.DUMMYFUNCTION("""COMPUTED_VALUE"""),"Aisyah")</f>
        <v>Aisyah</v>
      </c>
      <c r="C9" s="27" t="str">
        <f>IFERROR(__xludf.DUMMYFUNCTION("""COMPUTED_VALUE"""),"D250005")</f>
        <v>D250005</v>
      </c>
      <c r="D9" s="27" t="str">
        <f>IFERROR(__xludf.DUMMYFUNCTION("""COMPUTED_VALUE"""),"MTs Putri")</f>
        <v>MTs Putri</v>
      </c>
      <c r="E9" s="27" t="str">
        <f>IFERROR(__xludf.DUMMYFUNCTION("""COMPUTED_VALUE"""),"Ya")</f>
        <v>Ya</v>
      </c>
      <c r="F9" s="32" t="str">
        <f>IFERROR(__xludf.DUMMYFUNCTION("""COMPUTED_VALUE"""),"B. Aku bersaksi bahwa tidak ada tuhan yang berhak di sembah kecuali Allah")</f>
        <v>B. Aku bersaksi bahwa tidak ada tuhan yang berhak di sembah kecuali Allah</v>
      </c>
      <c r="G9" s="32">
        <f>IFERROR(__xludf.DUMMYFUNCTION("""COMPUTED_VALUE"""),6.0)</f>
        <v>6</v>
      </c>
      <c r="H9" s="32" t="str">
        <f>IFERROR(__xludf.DUMMYFUNCTION("""COMPUTED_VALUE"""),"1 Syawwal")</f>
        <v>1 Syawwal</v>
      </c>
      <c r="I9" s="32" t="str">
        <f>IFERROR(__xludf.DUMMYFUNCTION("""COMPUTED_VALUE"""),"Al 'Alaq")</f>
        <v>Al 'Alaq</v>
      </c>
      <c r="J9" s="32" t="str">
        <f>IFERROR(__xludf.DUMMYFUNCTION("""COMPUTED_VALUE"""),"Ali Bin Abi Thalib")</f>
        <v>Ali Bin Abi Thalib</v>
      </c>
      <c r="K9" s="32" t="str">
        <f>IFERROR(__xludf.DUMMYFUNCTION("""COMPUTED_VALUE"""),"giat")</f>
        <v>giat</v>
      </c>
      <c r="L9" s="32" t="str">
        <f>IFERROR(__xludf.DUMMYFUNCTION("""COMPUTED_VALUE"""),"dan")</f>
        <v>dan</v>
      </c>
      <c r="M9" s="32" t="str">
        <f>IFERROR(__xludf.DUMMYFUNCTION("""COMPUTED_VALUE"""),"Hafsah mengatakan bahwa ia ingin belajar di pesantren.")</f>
        <v>Hafsah mengatakan bahwa ia ingin belajar di pesantren.</v>
      </c>
      <c r="N9" s="32" t="str">
        <f>IFERROR(__xludf.DUMMYFUNCTION("""COMPUTED_VALUE"""),"Kalimat 1")</f>
        <v>Kalimat 1</v>
      </c>
      <c r="O9" s="32" t="str">
        <f>IFERROR(__xludf.DUMMYFUNCTION("""COMPUTED_VALUE"""),"kehidupan")</f>
        <v>kehidupan</v>
      </c>
      <c r="P9" s="32" t="str">
        <f>IFERROR(__xludf.DUMMYFUNCTION("""COMPUTED_VALUE"""),"Parasitisme")</f>
        <v>Parasitisme</v>
      </c>
      <c r="Q9" s="32" t="str">
        <f>IFERROR(__xludf.DUMMYFUNCTION("""COMPUTED_VALUE"""),"Angin")</f>
        <v>Angin</v>
      </c>
      <c r="R9" s="32" t="str">
        <f>IFERROR(__xludf.DUMMYFUNCTION("""COMPUTED_VALUE"""),"belalang dan ular")</f>
        <v>belalang dan ular</v>
      </c>
      <c r="S9" s="32" t="str">
        <f>IFERROR(__xludf.DUMMYFUNCTION("""COMPUTED_VALUE"""),"Menghasilkan klorofil")</f>
        <v>Menghasilkan klorofil</v>
      </c>
      <c r="T9" s="32" t="str">
        <f>IFERROR(__xludf.DUMMYFUNCTION("""COMPUTED_VALUE"""),"Kelinci")</f>
        <v>Kelinci</v>
      </c>
      <c r="U9" s="32">
        <f>IFERROR(__xludf.DUMMYFUNCTION("""COMPUTED_VALUE"""),-64.0)</f>
        <v>-64</v>
      </c>
      <c r="V9" s="32" t="str">
        <f>IFERROR(__xludf.DUMMYFUNCTION("""COMPUTED_VALUE"""),"3/4")</f>
        <v>3/4</v>
      </c>
      <c r="W9" s="32" t="str">
        <f>IFERROR(__xludf.DUMMYFUNCTION("""COMPUTED_VALUE"""),"2.100 meter")</f>
        <v>2.100 meter</v>
      </c>
      <c r="X9" s="32" t="str">
        <f>IFERROR(__xludf.DUMMYFUNCTION("""COMPUTED_VALUE"""),"22 cm")</f>
        <v>22 cm</v>
      </c>
      <c r="Y9" s="32">
        <f>IFERROR(__xludf.DUMMYFUNCTION("""COMPUTED_VALUE"""),200.0)</f>
        <v>200</v>
      </c>
      <c r="Z9" s="28">
        <f t="shared" si="1"/>
        <v>1</v>
      </c>
      <c r="AA9" s="28">
        <f t="shared" si="2"/>
        <v>1</v>
      </c>
      <c r="AB9" s="28">
        <f t="shared" si="3"/>
        <v>1</v>
      </c>
      <c r="AC9" s="28">
        <f t="shared" si="4"/>
        <v>1</v>
      </c>
      <c r="AD9" s="28">
        <f t="shared" si="5"/>
        <v>1</v>
      </c>
      <c r="AE9" s="29">
        <f t="shared" si="6"/>
        <v>5</v>
      </c>
      <c r="AF9" s="28">
        <f t="shared" si="7"/>
        <v>1</v>
      </c>
      <c r="AG9" s="28">
        <f t="shared" si="8"/>
        <v>1</v>
      </c>
      <c r="AH9" s="28">
        <f t="shared" si="9"/>
        <v>1</v>
      </c>
      <c r="AI9" s="28">
        <f t="shared" si="10"/>
        <v>1</v>
      </c>
      <c r="AJ9" s="28">
        <f t="shared" si="11"/>
        <v>0</v>
      </c>
      <c r="AK9" s="29">
        <f t="shared" si="12"/>
        <v>4</v>
      </c>
      <c r="AL9" s="28">
        <f t="shared" si="13"/>
        <v>1</v>
      </c>
      <c r="AM9" s="28">
        <f t="shared" si="14"/>
        <v>1</v>
      </c>
      <c r="AN9" s="28">
        <f t="shared" si="15"/>
        <v>1</v>
      </c>
      <c r="AO9" s="28">
        <f t="shared" si="16"/>
        <v>1</v>
      </c>
      <c r="AP9" s="28">
        <f t="shared" si="17"/>
        <v>1</v>
      </c>
      <c r="AQ9" s="29">
        <f t="shared" si="18"/>
        <v>5</v>
      </c>
      <c r="AR9" s="28">
        <f t="shared" si="19"/>
        <v>1</v>
      </c>
      <c r="AS9" s="28">
        <f t="shared" si="20"/>
        <v>1</v>
      </c>
      <c r="AT9" s="28">
        <f t="shared" si="21"/>
        <v>0</v>
      </c>
      <c r="AU9" s="28">
        <f t="shared" si="22"/>
        <v>1</v>
      </c>
      <c r="AV9" s="28">
        <f t="shared" si="23"/>
        <v>0</v>
      </c>
      <c r="AW9" s="29">
        <f t="shared" si="24"/>
        <v>3</v>
      </c>
      <c r="AX9" s="22"/>
      <c r="AY9" s="26">
        <f t="shared" si="25"/>
        <v>5</v>
      </c>
      <c r="AZ9" s="26">
        <f t="shared" si="26"/>
        <v>4</v>
      </c>
      <c r="BA9" s="26">
        <f t="shared" si="27"/>
        <v>5</v>
      </c>
      <c r="BB9" s="26">
        <f t="shared" si="28"/>
        <v>3</v>
      </c>
      <c r="BC9" s="30">
        <f t="shared" si="29"/>
        <v>85</v>
      </c>
    </row>
    <row r="10">
      <c r="A10" s="31">
        <f>IFERROR(__xludf.DUMMYFUNCTION("""COMPUTED_VALUE"""),45920.66416510417)</f>
        <v>45920.66417</v>
      </c>
      <c r="B10" s="32" t="str">
        <f>IFERROR(__xludf.DUMMYFUNCTION("""COMPUTED_VALUE"""),"Sarah Afifa")</f>
        <v>Sarah Afifa</v>
      </c>
      <c r="C10" s="27" t="str">
        <f>IFERROR(__xludf.DUMMYFUNCTION("""COMPUTED_VALUE"""),"D250015")</f>
        <v>D250015</v>
      </c>
      <c r="D10" s="27" t="str">
        <f>IFERROR(__xludf.DUMMYFUNCTION("""COMPUTED_VALUE"""),"MTs Putri")</f>
        <v>MTs Putri</v>
      </c>
      <c r="E10" s="27" t="str">
        <f>IFERROR(__xludf.DUMMYFUNCTION("""COMPUTED_VALUE"""),"Ya")</f>
        <v>Ya</v>
      </c>
      <c r="F10" s="32" t="str">
        <f>IFERROR(__xludf.DUMMYFUNCTION("""COMPUTED_VALUE"""),"B. Aku bersaksi bahwa tidak ada tuhan yang berhak di sembah kecuali Allah")</f>
        <v>B. Aku bersaksi bahwa tidak ada tuhan yang berhak di sembah kecuali Allah</v>
      </c>
      <c r="G10" s="32">
        <f>IFERROR(__xludf.DUMMYFUNCTION("""COMPUTED_VALUE"""),6.0)</f>
        <v>6</v>
      </c>
      <c r="H10" s="32" t="str">
        <f>IFERROR(__xludf.DUMMYFUNCTION("""COMPUTED_VALUE"""),"1 Syawwal")</f>
        <v>1 Syawwal</v>
      </c>
      <c r="I10" s="32" t="str">
        <f>IFERROR(__xludf.DUMMYFUNCTION("""COMPUTED_VALUE"""),"Al 'Alaq")</f>
        <v>Al 'Alaq</v>
      </c>
      <c r="J10" s="32" t="str">
        <f>IFERROR(__xludf.DUMMYFUNCTION("""COMPUTED_VALUE"""),"Ali Bin Abi Thalib")</f>
        <v>Ali Bin Abi Thalib</v>
      </c>
      <c r="K10" s="32" t="str">
        <f>IFERROR(__xludf.DUMMYFUNCTION("""COMPUTED_VALUE"""),"giat")</f>
        <v>giat</v>
      </c>
      <c r="L10" s="32" t="str">
        <f>IFERROR(__xludf.DUMMYFUNCTION("""COMPUTED_VALUE"""),"dan")</f>
        <v>dan</v>
      </c>
      <c r="M10" s="32" t="str">
        <f>IFERROR(__xludf.DUMMYFUNCTION("""COMPUTED_VALUE"""),"Hafsah mengatakan bahwa aku ingin belajar di pesantren.")</f>
        <v>Hafsah mengatakan bahwa aku ingin belajar di pesantren.</v>
      </c>
      <c r="N10" s="32" t="str">
        <f>IFERROR(__xludf.DUMMYFUNCTION("""COMPUTED_VALUE"""),"Kalimat 1")</f>
        <v>Kalimat 1</v>
      </c>
      <c r="O10" s="32" t="str">
        <f>IFERROR(__xludf.DUMMYFUNCTION("""COMPUTED_VALUE"""),"cahaya")</f>
        <v>cahaya</v>
      </c>
      <c r="P10" s="32" t="str">
        <f>IFERROR(__xludf.DUMMYFUNCTION("""COMPUTED_VALUE"""),"Mutualisme")</f>
        <v>Mutualisme</v>
      </c>
      <c r="Q10" s="32" t="str">
        <f>IFERROR(__xludf.DUMMYFUNCTION("""COMPUTED_VALUE"""),"Angin")</f>
        <v>Angin</v>
      </c>
      <c r="R10" s="32" t="str">
        <f>IFERROR(__xludf.DUMMYFUNCTION("""COMPUTED_VALUE"""),"belalang dan ular")</f>
        <v>belalang dan ular</v>
      </c>
      <c r="S10" s="32" t="str">
        <f>IFERROR(__xludf.DUMMYFUNCTION("""COMPUTED_VALUE"""),"Menghasilkan klorofil")</f>
        <v>Menghasilkan klorofil</v>
      </c>
      <c r="T10" s="32" t="str">
        <f>IFERROR(__xludf.DUMMYFUNCTION("""COMPUTED_VALUE"""),"Kelinci")</f>
        <v>Kelinci</v>
      </c>
      <c r="U10" s="32">
        <f>IFERROR(__xludf.DUMMYFUNCTION("""COMPUTED_VALUE"""),56.0)</f>
        <v>56</v>
      </c>
      <c r="V10" s="32" t="str">
        <f>IFERROR(__xludf.DUMMYFUNCTION("""COMPUTED_VALUE"""),"4/3")</f>
        <v>4/3</v>
      </c>
      <c r="W10" s="32" t="str">
        <f>IFERROR(__xludf.DUMMYFUNCTION("""COMPUTED_VALUE"""),"1.800 meter")</f>
        <v>1.800 meter</v>
      </c>
      <c r="X10" s="32" t="str">
        <f>IFERROR(__xludf.DUMMYFUNCTION("""COMPUTED_VALUE"""),"22 cm")</f>
        <v>22 cm</v>
      </c>
      <c r="Y10" s="32">
        <f>IFERROR(__xludf.DUMMYFUNCTION("""COMPUTED_VALUE"""),200.0)</f>
        <v>200</v>
      </c>
      <c r="Z10" s="28">
        <f t="shared" si="1"/>
        <v>1</v>
      </c>
      <c r="AA10" s="28">
        <f t="shared" si="2"/>
        <v>1</v>
      </c>
      <c r="AB10" s="28">
        <f t="shared" si="3"/>
        <v>1</v>
      </c>
      <c r="AC10" s="28">
        <f t="shared" si="4"/>
        <v>1</v>
      </c>
      <c r="AD10" s="28">
        <f t="shared" si="5"/>
        <v>1</v>
      </c>
      <c r="AE10" s="29">
        <f t="shared" si="6"/>
        <v>5</v>
      </c>
      <c r="AF10" s="28">
        <f t="shared" si="7"/>
        <v>1</v>
      </c>
      <c r="AG10" s="28">
        <f t="shared" si="8"/>
        <v>1</v>
      </c>
      <c r="AH10" s="28">
        <f t="shared" si="9"/>
        <v>0</v>
      </c>
      <c r="AI10" s="28">
        <f t="shared" si="10"/>
        <v>1</v>
      </c>
      <c r="AJ10" s="28">
        <f t="shared" si="11"/>
        <v>1</v>
      </c>
      <c r="AK10" s="29">
        <f t="shared" si="12"/>
        <v>4</v>
      </c>
      <c r="AL10" s="28">
        <f t="shared" si="13"/>
        <v>0</v>
      </c>
      <c r="AM10" s="28">
        <f t="shared" si="14"/>
        <v>1</v>
      </c>
      <c r="AN10" s="28">
        <f t="shared" si="15"/>
        <v>1</v>
      </c>
      <c r="AO10" s="28">
        <f t="shared" si="16"/>
        <v>1</v>
      </c>
      <c r="AP10" s="28">
        <f t="shared" si="17"/>
        <v>1</v>
      </c>
      <c r="AQ10" s="29">
        <f t="shared" si="18"/>
        <v>4</v>
      </c>
      <c r="AR10" s="28">
        <f t="shared" si="19"/>
        <v>0</v>
      </c>
      <c r="AS10" s="28">
        <f t="shared" si="20"/>
        <v>0</v>
      </c>
      <c r="AT10" s="28">
        <f t="shared" si="21"/>
        <v>1</v>
      </c>
      <c r="AU10" s="28">
        <f t="shared" si="22"/>
        <v>1</v>
      </c>
      <c r="AV10" s="28">
        <f t="shared" si="23"/>
        <v>0</v>
      </c>
      <c r="AW10" s="29">
        <f t="shared" si="24"/>
        <v>2</v>
      </c>
      <c r="AX10" s="22"/>
      <c r="AY10" s="26">
        <f t="shared" si="25"/>
        <v>5</v>
      </c>
      <c r="AZ10" s="26">
        <f t="shared" si="26"/>
        <v>4</v>
      </c>
      <c r="BA10" s="26">
        <f t="shared" si="27"/>
        <v>4</v>
      </c>
      <c r="BB10" s="26">
        <f t="shared" si="28"/>
        <v>2</v>
      </c>
      <c r="BC10" s="30">
        <f t="shared" si="29"/>
        <v>75</v>
      </c>
    </row>
    <row r="11">
      <c r="A11" s="31">
        <f>IFERROR(__xludf.DUMMYFUNCTION("""COMPUTED_VALUE"""),45920.70911672454)</f>
        <v>45920.70912</v>
      </c>
      <c r="B11" s="32" t="str">
        <f>IFERROR(__xludf.DUMMYFUNCTION("""COMPUTED_VALUE"""),"Ambiaaddaruqutnijulpasa")</f>
        <v>Ambiaaddaruqutnijulpasa</v>
      </c>
      <c r="C11" s="27" t="str">
        <f>IFERROR(__xludf.DUMMYFUNCTION("""COMPUTED_VALUE"""),"A250066")</f>
        <v>A250066</v>
      </c>
      <c r="D11" s="27" t="str">
        <f>IFERROR(__xludf.DUMMYFUNCTION("""COMPUTED_VALUE"""),"MTs Putra")</f>
        <v>MTs Putra</v>
      </c>
      <c r="E11" s="27" t="str">
        <f>IFERROR(__xludf.DUMMYFUNCTION("""COMPUTED_VALUE"""),"Ya")</f>
        <v>Ya</v>
      </c>
      <c r="F11" s="32" t="str">
        <f>IFERROR(__xludf.DUMMYFUNCTION("""COMPUTED_VALUE"""),"B. Aku bersaksi bahwa tidak ada tuhan yang berhak di sembah kecuali Allah")</f>
        <v>B. Aku bersaksi bahwa tidak ada tuhan yang berhak di sembah kecuali Allah</v>
      </c>
      <c r="G11" s="32">
        <f>IFERROR(__xludf.DUMMYFUNCTION("""COMPUTED_VALUE"""),6.0)</f>
        <v>6</v>
      </c>
      <c r="H11" s="32" t="str">
        <f>IFERROR(__xludf.DUMMYFUNCTION("""COMPUTED_VALUE"""),"1 Syawwal")</f>
        <v>1 Syawwal</v>
      </c>
      <c r="I11" s="32" t="str">
        <f>IFERROR(__xludf.DUMMYFUNCTION("""COMPUTED_VALUE"""),"Al 'Alaq")</f>
        <v>Al 'Alaq</v>
      </c>
      <c r="J11" s="32" t="str">
        <f>IFERROR(__xludf.DUMMYFUNCTION("""COMPUTED_VALUE"""),"Utsman Bin Affan")</f>
        <v>Utsman Bin Affan</v>
      </c>
      <c r="K11" s="32" t="str">
        <f>IFERROR(__xludf.DUMMYFUNCTION("""COMPUTED_VALUE"""),"giat")</f>
        <v>giat</v>
      </c>
      <c r="L11" s="32" t="str">
        <f>IFERROR(__xludf.DUMMYFUNCTION("""COMPUTED_VALUE"""),"dan")</f>
        <v>dan</v>
      </c>
      <c r="M11" s="32" t="str">
        <f>IFERROR(__xludf.DUMMYFUNCTION("""COMPUTED_VALUE"""),"Aku berkata Hafsah ingin belajar di pesantren.")</f>
        <v>Aku berkata Hafsah ingin belajar di pesantren.</v>
      </c>
      <c r="N11" s="32" t="str">
        <f>IFERROR(__xludf.DUMMYFUNCTION("""COMPUTED_VALUE"""),"Kalimat 2")</f>
        <v>Kalimat 2</v>
      </c>
      <c r="O11" s="32" t="str">
        <f>IFERROR(__xludf.DUMMYFUNCTION("""COMPUTED_VALUE"""),"kehidupan")</f>
        <v>kehidupan</v>
      </c>
      <c r="P11" s="32" t="str">
        <f>IFERROR(__xludf.DUMMYFUNCTION("""COMPUTED_VALUE"""),"Parasitisme")</f>
        <v>Parasitisme</v>
      </c>
      <c r="Q11" s="32" t="str">
        <f>IFERROR(__xludf.DUMMYFUNCTION("""COMPUTED_VALUE"""),"Angin")</f>
        <v>Angin</v>
      </c>
      <c r="R11" s="32" t="str">
        <f>IFERROR(__xludf.DUMMYFUNCTION("""COMPUTED_VALUE"""),"burung ketilang dan ulat")</f>
        <v>burung ketilang dan ulat</v>
      </c>
      <c r="S11" s="32" t="str">
        <f>IFERROR(__xludf.DUMMYFUNCTION("""COMPUTED_VALUE"""),"Menghasilkan klorofil")</f>
        <v>Menghasilkan klorofil</v>
      </c>
      <c r="T11" s="32" t="str">
        <f>IFERROR(__xludf.DUMMYFUNCTION("""COMPUTED_VALUE"""),"Kelinci")</f>
        <v>Kelinci</v>
      </c>
      <c r="U11" s="32">
        <f>IFERROR(__xludf.DUMMYFUNCTION("""COMPUTED_VALUE"""),-56.0)</f>
        <v>-56</v>
      </c>
      <c r="V11" s="32" t="str">
        <f>IFERROR(__xludf.DUMMYFUNCTION("""COMPUTED_VALUE"""),"3/8")</f>
        <v>3/8</v>
      </c>
      <c r="W11" s="32" t="str">
        <f>IFERROR(__xludf.DUMMYFUNCTION("""COMPUTED_VALUE"""),"1.800 meter")</f>
        <v>1.800 meter</v>
      </c>
      <c r="X11" s="32" t="str">
        <f>IFERROR(__xludf.DUMMYFUNCTION("""COMPUTED_VALUE"""),"28 cm")</f>
        <v>28 cm</v>
      </c>
      <c r="Y11" s="33">
        <f>IFERROR(__xludf.DUMMYFUNCTION("""COMPUTED_VALUE"""),1000.0)</f>
        <v>1000</v>
      </c>
      <c r="Z11" s="28">
        <f t="shared" si="1"/>
        <v>1</v>
      </c>
      <c r="AA11" s="28">
        <f t="shared" si="2"/>
        <v>1</v>
      </c>
      <c r="AB11" s="28">
        <f t="shared" si="3"/>
        <v>1</v>
      </c>
      <c r="AC11" s="28">
        <f t="shared" si="4"/>
        <v>1</v>
      </c>
      <c r="AD11" s="28">
        <f t="shared" si="5"/>
        <v>0</v>
      </c>
      <c r="AE11" s="29">
        <f t="shared" si="6"/>
        <v>4</v>
      </c>
      <c r="AF11" s="28">
        <f t="shared" si="7"/>
        <v>1</v>
      </c>
      <c r="AG11" s="28">
        <f t="shared" si="8"/>
        <v>1</v>
      </c>
      <c r="AH11" s="28">
        <f t="shared" si="9"/>
        <v>0</v>
      </c>
      <c r="AI11" s="28">
        <f t="shared" si="10"/>
        <v>0</v>
      </c>
      <c r="AJ11" s="28">
        <f t="shared" si="11"/>
        <v>0</v>
      </c>
      <c r="AK11" s="29">
        <f t="shared" si="12"/>
        <v>2</v>
      </c>
      <c r="AL11" s="28">
        <f t="shared" si="13"/>
        <v>1</v>
      </c>
      <c r="AM11" s="28">
        <f t="shared" si="14"/>
        <v>1</v>
      </c>
      <c r="AN11" s="28">
        <f t="shared" si="15"/>
        <v>0</v>
      </c>
      <c r="AO11" s="28">
        <f t="shared" si="16"/>
        <v>1</v>
      </c>
      <c r="AP11" s="28">
        <f t="shared" si="17"/>
        <v>1</v>
      </c>
      <c r="AQ11" s="29">
        <f t="shared" si="18"/>
        <v>4</v>
      </c>
      <c r="AR11" s="28">
        <f t="shared" si="19"/>
        <v>0</v>
      </c>
      <c r="AS11" s="28">
        <f t="shared" si="20"/>
        <v>0</v>
      </c>
      <c r="AT11" s="28">
        <f t="shared" si="21"/>
        <v>1</v>
      </c>
      <c r="AU11" s="28">
        <f t="shared" si="22"/>
        <v>0</v>
      </c>
      <c r="AV11" s="28">
        <f t="shared" si="23"/>
        <v>0</v>
      </c>
      <c r="AW11" s="29">
        <f t="shared" si="24"/>
        <v>1</v>
      </c>
      <c r="AX11" s="22"/>
      <c r="AY11" s="26">
        <f t="shared" si="25"/>
        <v>4</v>
      </c>
      <c r="AZ11" s="26">
        <f t="shared" si="26"/>
        <v>2</v>
      </c>
      <c r="BA11" s="26">
        <f t="shared" si="27"/>
        <v>4</v>
      </c>
      <c r="BB11" s="26">
        <f t="shared" si="28"/>
        <v>1</v>
      </c>
      <c r="BC11" s="30">
        <f t="shared" si="29"/>
        <v>55</v>
      </c>
    </row>
    <row r="12">
      <c r="A12" s="31">
        <f>IFERROR(__xludf.DUMMYFUNCTION("""COMPUTED_VALUE"""),45921.32281806713)</f>
        <v>45921.32282</v>
      </c>
      <c r="B12" s="32" t="str">
        <f>IFERROR(__xludf.DUMMYFUNCTION("""COMPUTED_VALUE"""),"ABU REIHAN AL FAJRI")</f>
        <v>ABU REIHAN AL FAJRI</v>
      </c>
      <c r="C12" s="27" t="str">
        <f>IFERROR(__xludf.DUMMYFUNCTION("""COMPUTED_VALUE"""),"A250025")</f>
        <v>A250025</v>
      </c>
      <c r="D12" s="27" t="str">
        <f>IFERROR(__xludf.DUMMYFUNCTION("""COMPUTED_VALUE"""),"MTs Putra")</f>
        <v>MTs Putra</v>
      </c>
      <c r="E12" s="27" t="str">
        <f>IFERROR(__xludf.DUMMYFUNCTION("""COMPUTED_VALUE"""),"Ya")</f>
        <v>Ya</v>
      </c>
      <c r="F12" s="32" t="str">
        <f>IFERROR(__xludf.DUMMYFUNCTION("""COMPUTED_VALUE"""),"B. Aku bersaksi bahwa tidak ada tuhan yang berhak di sembah kecuali Allah")</f>
        <v>B. Aku bersaksi bahwa tidak ada tuhan yang berhak di sembah kecuali Allah</v>
      </c>
      <c r="G12" s="32">
        <f>IFERROR(__xludf.DUMMYFUNCTION("""COMPUTED_VALUE"""),6.0)</f>
        <v>6</v>
      </c>
      <c r="H12" s="32" t="str">
        <f>IFERROR(__xludf.DUMMYFUNCTION("""COMPUTED_VALUE"""),"1 Syawwal")</f>
        <v>1 Syawwal</v>
      </c>
      <c r="I12" s="32" t="str">
        <f>IFERROR(__xludf.DUMMYFUNCTION("""COMPUTED_VALUE"""),"Al 'Alaq")</f>
        <v>Al 'Alaq</v>
      </c>
      <c r="J12" s="32" t="str">
        <f>IFERROR(__xludf.DUMMYFUNCTION("""COMPUTED_VALUE"""),"Ali Bin Abi Thalib")</f>
        <v>Ali Bin Abi Thalib</v>
      </c>
      <c r="K12" s="32" t="str">
        <f>IFERROR(__xludf.DUMMYFUNCTION("""COMPUTED_VALUE"""),"giat")</f>
        <v>giat</v>
      </c>
      <c r="L12" s="32" t="str">
        <f>IFERROR(__xludf.DUMMYFUNCTION("""COMPUTED_VALUE"""),"dan")</f>
        <v>dan</v>
      </c>
      <c r="M12" s="32" t="str">
        <f>IFERROR(__xludf.DUMMYFUNCTION("""COMPUTED_VALUE"""),"Hafsah mengatakan bahwa ia ingin belajar di pesantren.")</f>
        <v>Hafsah mengatakan bahwa ia ingin belajar di pesantren.</v>
      </c>
      <c r="N12" s="32" t="str">
        <f>IFERROR(__xludf.DUMMYFUNCTION("""COMPUTED_VALUE"""),"Kalimat 1")</f>
        <v>Kalimat 1</v>
      </c>
      <c r="O12" s="32" t="str">
        <f>IFERROR(__xludf.DUMMYFUNCTION("""COMPUTED_VALUE"""),"cahaya")</f>
        <v>cahaya</v>
      </c>
      <c r="P12" s="32" t="str">
        <f>IFERROR(__xludf.DUMMYFUNCTION("""COMPUTED_VALUE"""),"Parasitisme")</f>
        <v>Parasitisme</v>
      </c>
      <c r="Q12" s="32" t="str">
        <f>IFERROR(__xludf.DUMMYFUNCTION("""COMPUTED_VALUE"""),"Angin")</f>
        <v>Angin</v>
      </c>
      <c r="R12" s="32" t="str">
        <f>IFERROR(__xludf.DUMMYFUNCTION("""COMPUTED_VALUE"""),"belalang dan ular")</f>
        <v>belalang dan ular</v>
      </c>
      <c r="S12" s="32" t="str">
        <f>IFERROR(__xludf.DUMMYFUNCTION("""COMPUTED_VALUE"""),"Menghasilkan klorofil")</f>
        <v>Menghasilkan klorofil</v>
      </c>
      <c r="T12" s="32" t="str">
        <f>IFERROR(__xludf.DUMMYFUNCTION("""COMPUTED_VALUE"""),"Buaya")</f>
        <v>Buaya</v>
      </c>
      <c r="U12" s="32">
        <f>IFERROR(__xludf.DUMMYFUNCTION("""COMPUTED_VALUE"""),-64.0)</f>
        <v>-64</v>
      </c>
      <c r="V12" s="32" t="str">
        <f>IFERROR(__xludf.DUMMYFUNCTION("""COMPUTED_VALUE"""),"3/4")</f>
        <v>3/4</v>
      </c>
      <c r="W12" s="32" t="str">
        <f>IFERROR(__xludf.DUMMYFUNCTION("""COMPUTED_VALUE"""),"1.800 meter")</f>
        <v>1.800 meter</v>
      </c>
      <c r="X12" s="32" t="str">
        <f>IFERROR(__xludf.DUMMYFUNCTION("""COMPUTED_VALUE"""),"22 cm")</f>
        <v>22 cm</v>
      </c>
      <c r="Y12" s="32">
        <f>IFERROR(__xludf.DUMMYFUNCTION("""COMPUTED_VALUE"""),200.0)</f>
        <v>200</v>
      </c>
      <c r="Z12" s="28">
        <f t="shared" si="1"/>
        <v>1</v>
      </c>
      <c r="AA12" s="28">
        <f t="shared" si="2"/>
        <v>1</v>
      </c>
      <c r="AB12" s="28">
        <f t="shared" si="3"/>
        <v>1</v>
      </c>
      <c r="AC12" s="28">
        <f t="shared" si="4"/>
        <v>1</v>
      </c>
      <c r="AD12" s="28">
        <f t="shared" si="5"/>
        <v>1</v>
      </c>
      <c r="AE12" s="29">
        <f t="shared" si="6"/>
        <v>5</v>
      </c>
      <c r="AF12" s="28">
        <f t="shared" si="7"/>
        <v>1</v>
      </c>
      <c r="AG12" s="28">
        <f t="shared" si="8"/>
        <v>1</v>
      </c>
      <c r="AH12" s="28">
        <f t="shared" si="9"/>
        <v>1</v>
      </c>
      <c r="AI12" s="28">
        <f t="shared" si="10"/>
        <v>1</v>
      </c>
      <c r="AJ12" s="28">
        <f t="shared" si="11"/>
        <v>1</v>
      </c>
      <c r="AK12" s="29">
        <f t="shared" si="12"/>
        <v>5</v>
      </c>
      <c r="AL12" s="28">
        <f t="shared" si="13"/>
        <v>1</v>
      </c>
      <c r="AM12" s="28">
        <f t="shared" si="14"/>
        <v>1</v>
      </c>
      <c r="AN12" s="28">
        <f t="shared" si="15"/>
        <v>1</v>
      </c>
      <c r="AO12" s="28">
        <f t="shared" si="16"/>
        <v>1</v>
      </c>
      <c r="AP12" s="28">
        <f t="shared" si="17"/>
        <v>0</v>
      </c>
      <c r="AQ12" s="29">
        <f t="shared" si="18"/>
        <v>4</v>
      </c>
      <c r="AR12" s="28">
        <f t="shared" si="19"/>
        <v>1</v>
      </c>
      <c r="AS12" s="28">
        <f t="shared" si="20"/>
        <v>1</v>
      </c>
      <c r="AT12" s="28">
        <f t="shared" si="21"/>
        <v>1</v>
      </c>
      <c r="AU12" s="28">
        <f t="shared" si="22"/>
        <v>1</v>
      </c>
      <c r="AV12" s="28">
        <f t="shared" si="23"/>
        <v>0</v>
      </c>
      <c r="AW12" s="29">
        <f t="shared" si="24"/>
        <v>4</v>
      </c>
      <c r="AX12" s="22"/>
      <c r="AY12" s="26">
        <f t="shared" si="25"/>
        <v>5</v>
      </c>
      <c r="AZ12" s="26">
        <f t="shared" si="26"/>
        <v>5</v>
      </c>
      <c r="BA12" s="26">
        <f t="shared" si="27"/>
        <v>4</v>
      </c>
      <c r="BB12" s="26">
        <f t="shared" si="28"/>
        <v>4</v>
      </c>
      <c r="BC12" s="30">
        <f t="shared" si="29"/>
        <v>90</v>
      </c>
    </row>
    <row r="13">
      <c r="A13" s="31">
        <f>IFERROR(__xludf.DUMMYFUNCTION("""COMPUTED_VALUE"""),45921.37490707176)</f>
        <v>45921.37491</v>
      </c>
      <c r="B13" s="32" t="str">
        <f>IFERROR(__xludf.DUMMYFUNCTION("""COMPUTED_VALUE"""),"SHAKIRA NUR AISYAH")</f>
        <v>SHAKIRA NUR AISYAH</v>
      </c>
      <c r="C13" s="27" t="str">
        <f>IFERROR(__xludf.DUMMYFUNCTION("""COMPUTED_VALUE"""),"D250008")</f>
        <v>D250008</v>
      </c>
      <c r="D13" s="27" t="str">
        <f>IFERROR(__xludf.DUMMYFUNCTION("""COMPUTED_VALUE"""),"MTs Putri")</f>
        <v>MTs Putri</v>
      </c>
      <c r="E13" s="27" t="str">
        <f>IFERROR(__xludf.DUMMYFUNCTION("""COMPUTED_VALUE"""),"Ya")</f>
        <v>Ya</v>
      </c>
      <c r="F13" s="32" t="str">
        <f>IFERROR(__xludf.DUMMYFUNCTION("""COMPUTED_VALUE"""),"B. Aku bersaksi bahwa tidak ada tuhan yang berhak di sembah kecuali Allah")</f>
        <v>B. Aku bersaksi bahwa tidak ada tuhan yang berhak di sembah kecuali Allah</v>
      </c>
      <c r="G13" s="32">
        <f>IFERROR(__xludf.DUMMYFUNCTION("""COMPUTED_VALUE"""),6.0)</f>
        <v>6</v>
      </c>
      <c r="H13" s="32" t="str">
        <f>IFERROR(__xludf.DUMMYFUNCTION("""COMPUTED_VALUE"""),"1 Syawwal")</f>
        <v>1 Syawwal</v>
      </c>
      <c r="I13" s="32" t="str">
        <f>IFERROR(__xludf.DUMMYFUNCTION("""COMPUTED_VALUE"""),"Al 'Alaq")</f>
        <v>Al 'Alaq</v>
      </c>
      <c r="J13" s="32" t="str">
        <f>IFERROR(__xludf.DUMMYFUNCTION("""COMPUTED_VALUE"""),"Ali Bin Abi Thalib")</f>
        <v>Ali Bin Abi Thalib</v>
      </c>
      <c r="K13" s="32" t="str">
        <f>IFERROR(__xludf.DUMMYFUNCTION("""COMPUTED_VALUE"""),"giat")</f>
        <v>giat</v>
      </c>
      <c r="L13" s="32" t="str">
        <f>IFERROR(__xludf.DUMMYFUNCTION("""COMPUTED_VALUE"""),"dan")</f>
        <v>dan</v>
      </c>
      <c r="M13" s="32" t="str">
        <f>IFERROR(__xludf.DUMMYFUNCTION("""COMPUTED_VALUE"""),"Hafsah mengatakan bahwa ia ingin belajar di pesantren.")</f>
        <v>Hafsah mengatakan bahwa ia ingin belajar di pesantren.</v>
      </c>
      <c r="N13" s="32" t="str">
        <f>IFERROR(__xludf.DUMMYFUNCTION("""COMPUTED_VALUE"""),"Kalimat 1")</f>
        <v>Kalimat 1</v>
      </c>
      <c r="O13" s="32" t="str">
        <f>IFERROR(__xludf.DUMMYFUNCTION("""COMPUTED_VALUE"""),"cahaya")</f>
        <v>cahaya</v>
      </c>
      <c r="P13" s="32" t="str">
        <f>IFERROR(__xludf.DUMMYFUNCTION("""COMPUTED_VALUE"""),"Parasitisme")</f>
        <v>Parasitisme</v>
      </c>
      <c r="Q13" s="32" t="str">
        <f>IFERROR(__xludf.DUMMYFUNCTION("""COMPUTED_VALUE"""),"Angin")</f>
        <v>Angin</v>
      </c>
      <c r="R13" s="32" t="str">
        <f>IFERROR(__xludf.DUMMYFUNCTION("""COMPUTED_VALUE"""),"belalang dan ular")</f>
        <v>belalang dan ular</v>
      </c>
      <c r="S13" s="32" t="str">
        <f>IFERROR(__xludf.DUMMYFUNCTION("""COMPUTED_VALUE"""),"Menghasilkan klorofil")</f>
        <v>Menghasilkan klorofil</v>
      </c>
      <c r="T13" s="32" t="str">
        <f>IFERROR(__xludf.DUMMYFUNCTION("""COMPUTED_VALUE"""),"Kelinci")</f>
        <v>Kelinci</v>
      </c>
      <c r="U13" s="32">
        <f>IFERROR(__xludf.DUMMYFUNCTION("""COMPUTED_VALUE"""),64.0)</f>
        <v>64</v>
      </c>
      <c r="V13" s="32" t="str">
        <f>IFERROR(__xludf.DUMMYFUNCTION("""COMPUTED_VALUE"""),"3/4")</f>
        <v>3/4</v>
      </c>
      <c r="W13" s="32" t="str">
        <f>IFERROR(__xludf.DUMMYFUNCTION("""COMPUTED_VALUE"""),"1.800 meter")</f>
        <v>1.800 meter</v>
      </c>
      <c r="X13" s="32" t="str">
        <f>IFERROR(__xludf.DUMMYFUNCTION("""COMPUTED_VALUE"""),"22 cm")</f>
        <v>22 cm</v>
      </c>
      <c r="Y13" s="32">
        <f>IFERROR(__xludf.DUMMYFUNCTION("""COMPUTED_VALUE"""),200.0)</f>
        <v>200</v>
      </c>
      <c r="Z13" s="28">
        <f t="shared" si="1"/>
        <v>1</v>
      </c>
      <c r="AA13" s="28">
        <f t="shared" si="2"/>
        <v>1</v>
      </c>
      <c r="AB13" s="28">
        <f t="shared" si="3"/>
        <v>1</v>
      </c>
      <c r="AC13" s="28">
        <f t="shared" si="4"/>
        <v>1</v>
      </c>
      <c r="AD13" s="28">
        <f t="shared" si="5"/>
        <v>1</v>
      </c>
      <c r="AE13" s="29">
        <f t="shared" si="6"/>
        <v>5</v>
      </c>
      <c r="AF13" s="28">
        <f t="shared" si="7"/>
        <v>1</v>
      </c>
      <c r="AG13" s="28">
        <f t="shared" si="8"/>
        <v>1</v>
      </c>
      <c r="AH13" s="28">
        <f t="shared" si="9"/>
        <v>1</v>
      </c>
      <c r="AI13" s="28">
        <f t="shared" si="10"/>
        <v>1</v>
      </c>
      <c r="AJ13" s="28">
        <f t="shared" si="11"/>
        <v>1</v>
      </c>
      <c r="AK13" s="29">
        <f t="shared" si="12"/>
        <v>5</v>
      </c>
      <c r="AL13" s="28">
        <f t="shared" si="13"/>
        <v>1</v>
      </c>
      <c r="AM13" s="28">
        <f t="shared" si="14"/>
        <v>1</v>
      </c>
      <c r="AN13" s="28">
        <f t="shared" si="15"/>
        <v>1</v>
      </c>
      <c r="AO13" s="28">
        <f t="shared" si="16"/>
        <v>1</v>
      </c>
      <c r="AP13" s="28">
        <f t="shared" si="17"/>
        <v>1</v>
      </c>
      <c r="AQ13" s="29">
        <f t="shared" si="18"/>
        <v>5</v>
      </c>
      <c r="AR13" s="28">
        <f t="shared" si="19"/>
        <v>0</v>
      </c>
      <c r="AS13" s="28">
        <f t="shared" si="20"/>
        <v>1</v>
      </c>
      <c r="AT13" s="28">
        <f t="shared" si="21"/>
        <v>1</v>
      </c>
      <c r="AU13" s="28">
        <f t="shared" si="22"/>
        <v>1</v>
      </c>
      <c r="AV13" s="28">
        <f t="shared" si="23"/>
        <v>0</v>
      </c>
      <c r="AW13" s="29">
        <f t="shared" si="24"/>
        <v>3</v>
      </c>
      <c r="AX13" s="22"/>
      <c r="AY13" s="26">
        <f t="shared" si="25"/>
        <v>5</v>
      </c>
      <c r="AZ13" s="26">
        <f t="shared" si="26"/>
        <v>5</v>
      </c>
      <c r="BA13" s="26">
        <f t="shared" si="27"/>
        <v>5</v>
      </c>
      <c r="BB13" s="26">
        <f t="shared" si="28"/>
        <v>3</v>
      </c>
      <c r="BC13" s="30">
        <f t="shared" si="29"/>
        <v>90</v>
      </c>
    </row>
    <row r="14">
      <c r="A14" s="31">
        <f>IFERROR(__xludf.DUMMYFUNCTION("""COMPUTED_VALUE"""),45921.38667883102)</f>
        <v>45921.38668</v>
      </c>
      <c r="B14" s="32" t="str">
        <f>IFERROR(__xludf.DUMMYFUNCTION("""COMPUTED_VALUE"""),"Adibah saefulloh")</f>
        <v>Adibah saefulloh</v>
      </c>
      <c r="C14" s="27" t="str">
        <f>IFERROR(__xludf.DUMMYFUNCTION("""COMPUTED_VALUE"""),"D250003")</f>
        <v>D250003</v>
      </c>
      <c r="D14" s="27" t="str">
        <f>IFERROR(__xludf.DUMMYFUNCTION("""COMPUTED_VALUE"""),"MTs Putri")</f>
        <v>MTs Putri</v>
      </c>
      <c r="E14" s="27" t="str">
        <f>IFERROR(__xludf.DUMMYFUNCTION("""COMPUTED_VALUE"""),"Ya")</f>
        <v>Ya</v>
      </c>
      <c r="F14" s="32" t="str">
        <f>IFERROR(__xludf.DUMMYFUNCTION("""COMPUTED_VALUE"""),"B. Aku bersaksi bahwa tidak ada tuhan yang berhak di sembah kecuali Allah")</f>
        <v>B. Aku bersaksi bahwa tidak ada tuhan yang berhak di sembah kecuali Allah</v>
      </c>
      <c r="G14" s="32">
        <f>IFERROR(__xludf.DUMMYFUNCTION("""COMPUTED_VALUE"""),6.0)</f>
        <v>6</v>
      </c>
      <c r="H14" s="32" t="str">
        <f>IFERROR(__xludf.DUMMYFUNCTION("""COMPUTED_VALUE"""),"1 Syawwal")</f>
        <v>1 Syawwal</v>
      </c>
      <c r="I14" s="32" t="str">
        <f>IFERROR(__xludf.DUMMYFUNCTION("""COMPUTED_VALUE"""),"Al Fatihah")</f>
        <v>Al Fatihah</v>
      </c>
      <c r="J14" s="32" t="str">
        <f>IFERROR(__xludf.DUMMYFUNCTION("""COMPUTED_VALUE"""),"Utsman Bin Affan")</f>
        <v>Utsman Bin Affan</v>
      </c>
      <c r="K14" s="32" t="str">
        <f>IFERROR(__xludf.DUMMYFUNCTION("""COMPUTED_VALUE"""),"giat")</f>
        <v>giat</v>
      </c>
      <c r="L14" s="32" t="str">
        <f>IFERROR(__xludf.DUMMYFUNCTION("""COMPUTED_VALUE"""),"dan")</f>
        <v>dan</v>
      </c>
      <c r="M14" s="32" t="str">
        <f>IFERROR(__xludf.DUMMYFUNCTION("""COMPUTED_VALUE"""),"Hafsah mengatakan bahwa ia ingin belajar di pesantren.")</f>
        <v>Hafsah mengatakan bahwa ia ingin belajar di pesantren.</v>
      </c>
      <c r="N14" s="32" t="str">
        <f>IFERROR(__xludf.DUMMYFUNCTION("""COMPUTED_VALUE"""),"Kalimat 1")</f>
        <v>Kalimat 1</v>
      </c>
      <c r="O14" s="32" t="str">
        <f>IFERROR(__xludf.DUMMYFUNCTION("""COMPUTED_VALUE"""),"cahaya")</f>
        <v>cahaya</v>
      </c>
      <c r="P14" s="32" t="str">
        <f>IFERROR(__xludf.DUMMYFUNCTION("""COMPUTED_VALUE"""),"Komensalisme")</f>
        <v>Komensalisme</v>
      </c>
      <c r="Q14" s="32" t="str">
        <f>IFERROR(__xludf.DUMMYFUNCTION("""COMPUTED_VALUE"""),"Angin")</f>
        <v>Angin</v>
      </c>
      <c r="R14" s="32" t="str">
        <f>IFERROR(__xludf.DUMMYFUNCTION("""COMPUTED_VALUE"""),"belalang dan ular")</f>
        <v>belalang dan ular</v>
      </c>
      <c r="S14" s="32" t="str">
        <f>IFERROR(__xludf.DUMMYFUNCTION("""COMPUTED_VALUE"""),"Menghasilkan klorofil")</f>
        <v>Menghasilkan klorofil</v>
      </c>
      <c r="T14" s="32" t="str">
        <f>IFERROR(__xludf.DUMMYFUNCTION("""COMPUTED_VALUE"""),"Kelinci")</f>
        <v>Kelinci</v>
      </c>
      <c r="U14" s="32">
        <f>IFERROR(__xludf.DUMMYFUNCTION("""COMPUTED_VALUE"""),-56.0)</f>
        <v>-56</v>
      </c>
      <c r="V14" s="32" t="str">
        <f>IFERROR(__xludf.DUMMYFUNCTION("""COMPUTED_VALUE"""),"3/4")</f>
        <v>3/4</v>
      </c>
      <c r="W14" s="32" t="str">
        <f>IFERROR(__xludf.DUMMYFUNCTION("""COMPUTED_VALUE"""),"1.800 meter")</f>
        <v>1.800 meter</v>
      </c>
      <c r="X14" s="32" t="str">
        <f>IFERROR(__xludf.DUMMYFUNCTION("""COMPUTED_VALUE"""),"22 cm")</f>
        <v>22 cm</v>
      </c>
      <c r="Y14" s="32">
        <f>IFERROR(__xludf.DUMMYFUNCTION("""COMPUTED_VALUE"""),200.0)</f>
        <v>200</v>
      </c>
      <c r="Z14" s="28">
        <f t="shared" si="1"/>
        <v>1</v>
      </c>
      <c r="AA14" s="28">
        <f t="shared" si="2"/>
        <v>1</v>
      </c>
      <c r="AB14" s="28">
        <f t="shared" si="3"/>
        <v>1</v>
      </c>
      <c r="AC14" s="28">
        <f t="shared" si="4"/>
        <v>0</v>
      </c>
      <c r="AD14" s="28">
        <f t="shared" si="5"/>
        <v>0</v>
      </c>
      <c r="AE14" s="29">
        <f t="shared" si="6"/>
        <v>3</v>
      </c>
      <c r="AF14" s="28">
        <f t="shared" si="7"/>
        <v>1</v>
      </c>
      <c r="AG14" s="28">
        <f t="shared" si="8"/>
        <v>1</v>
      </c>
      <c r="AH14" s="28">
        <f t="shared" si="9"/>
        <v>1</v>
      </c>
      <c r="AI14" s="28">
        <f t="shared" si="10"/>
        <v>1</v>
      </c>
      <c r="AJ14" s="28">
        <f t="shared" si="11"/>
        <v>1</v>
      </c>
      <c r="AK14" s="29">
        <f t="shared" si="12"/>
        <v>5</v>
      </c>
      <c r="AL14" s="28">
        <f t="shared" si="13"/>
        <v>0</v>
      </c>
      <c r="AM14" s="28">
        <f t="shared" si="14"/>
        <v>1</v>
      </c>
      <c r="AN14" s="28">
        <f t="shared" si="15"/>
        <v>1</v>
      </c>
      <c r="AO14" s="28">
        <f t="shared" si="16"/>
        <v>1</v>
      </c>
      <c r="AP14" s="28">
        <f t="shared" si="17"/>
        <v>1</v>
      </c>
      <c r="AQ14" s="29">
        <f t="shared" si="18"/>
        <v>4</v>
      </c>
      <c r="AR14" s="28">
        <f t="shared" si="19"/>
        <v>0</v>
      </c>
      <c r="AS14" s="28">
        <f t="shared" si="20"/>
        <v>1</v>
      </c>
      <c r="AT14" s="28">
        <f t="shared" si="21"/>
        <v>1</v>
      </c>
      <c r="AU14" s="28">
        <f t="shared" si="22"/>
        <v>1</v>
      </c>
      <c r="AV14" s="28">
        <f t="shared" si="23"/>
        <v>0</v>
      </c>
      <c r="AW14" s="29">
        <f t="shared" si="24"/>
        <v>3</v>
      </c>
      <c r="AX14" s="22"/>
      <c r="AY14" s="26">
        <f t="shared" si="25"/>
        <v>3</v>
      </c>
      <c r="AZ14" s="26">
        <f t="shared" si="26"/>
        <v>5</v>
      </c>
      <c r="BA14" s="26">
        <f t="shared" si="27"/>
        <v>4</v>
      </c>
      <c r="BB14" s="26">
        <f t="shared" si="28"/>
        <v>3</v>
      </c>
      <c r="BC14" s="30">
        <f t="shared" si="29"/>
        <v>75</v>
      </c>
    </row>
    <row r="15">
      <c r="A15" s="31">
        <f>IFERROR(__xludf.DUMMYFUNCTION("""COMPUTED_VALUE"""),45921.409184606484)</f>
        <v>45921.40918</v>
      </c>
      <c r="B15" s="32" t="str">
        <f>IFERROR(__xludf.DUMMYFUNCTION("""COMPUTED_VALUE"""),"Adya Wiguna")</f>
        <v>Adya Wiguna</v>
      </c>
      <c r="C15" s="27" t="str">
        <f>IFERROR(__xludf.DUMMYFUNCTION("""COMPUTED_VALUE"""),"A250013")</f>
        <v>A250013</v>
      </c>
      <c r="D15" s="27" t="str">
        <f>IFERROR(__xludf.DUMMYFUNCTION("""COMPUTED_VALUE"""),"MTs Putra")</f>
        <v>MTs Putra</v>
      </c>
      <c r="E15" s="27" t="str">
        <f>IFERROR(__xludf.DUMMYFUNCTION("""COMPUTED_VALUE"""),"Ya")</f>
        <v>Ya</v>
      </c>
      <c r="F15" s="32" t="str">
        <f>IFERROR(__xludf.DUMMYFUNCTION("""COMPUTED_VALUE"""),"A. Aku bersaksi bahwa Muhammad adalah utusan Allah")</f>
        <v>A. Aku bersaksi bahwa Muhammad adalah utusan Allah</v>
      </c>
      <c r="G15" s="32">
        <f>IFERROR(__xludf.DUMMYFUNCTION("""COMPUTED_VALUE"""),5.0)</f>
        <v>5</v>
      </c>
      <c r="H15" s="32" t="str">
        <f>IFERROR(__xludf.DUMMYFUNCTION("""COMPUTED_VALUE"""),"1 Syawwal")</f>
        <v>1 Syawwal</v>
      </c>
      <c r="I15" s="32" t="str">
        <f>IFERROR(__xludf.DUMMYFUNCTION("""COMPUTED_VALUE"""),"Al Baqoroh")</f>
        <v>Al Baqoroh</v>
      </c>
      <c r="J15" s="32" t="str">
        <f>IFERROR(__xludf.DUMMYFUNCTION("""COMPUTED_VALUE"""),"Ali Bin Abi Thalib")</f>
        <v>Ali Bin Abi Thalib</v>
      </c>
      <c r="K15" s="32" t="str">
        <f>IFERROR(__xludf.DUMMYFUNCTION("""COMPUTED_VALUE"""),"giat")</f>
        <v>giat</v>
      </c>
      <c r="L15" s="32" t="str">
        <f>IFERROR(__xludf.DUMMYFUNCTION("""COMPUTED_VALUE"""),"dan")</f>
        <v>dan</v>
      </c>
      <c r="M15" s="32" t="str">
        <f>IFERROR(__xludf.DUMMYFUNCTION("""COMPUTED_VALUE"""),"Hafsah mengatakan bahwa ia ingin belajar di pesantren.")</f>
        <v>Hafsah mengatakan bahwa ia ingin belajar di pesantren.</v>
      </c>
      <c r="N15" s="32" t="str">
        <f>IFERROR(__xludf.DUMMYFUNCTION("""COMPUTED_VALUE"""),"Kalimat 1")</f>
        <v>Kalimat 1</v>
      </c>
      <c r="O15" s="32" t="str">
        <f>IFERROR(__xludf.DUMMYFUNCTION("""COMPUTED_VALUE"""),"cahaya")</f>
        <v>cahaya</v>
      </c>
      <c r="P15" s="32" t="str">
        <f>IFERROR(__xludf.DUMMYFUNCTION("""COMPUTED_VALUE"""),"Parasitisme")</f>
        <v>Parasitisme</v>
      </c>
      <c r="Q15" s="32" t="str">
        <f>IFERROR(__xludf.DUMMYFUNCTION("""COMPUTED_VALUE"""),"Manusia")</f>
        <v>Manusia</v>
      </c>
      <c r="R15" s="32" t="str">
        <f>IFERROR(__xludf.DUMMYFUNCTION("""COMPUTED_VALUE"""),"burung ketilang dan ulat")</f>
        <v>burung ketilang dan ulat</v>
      </c>
      <c r="S15" s="32" t="str">
        <f>IFERROR(__xludf.DUMMYFUNCTION("""COMPUTED_VALUE"""),"Menghasilkan klorofil")</f>
        <v>Menghasilkan klorofil</v>
      </c>
      <c r="T15" s="32" t="str">
        <f>IFERROR(__xludf.DUMMYFUNCTION("""COMPUTED_VALUE"""),"Kelinci")</f>
        <v>Kelinci</v>
      </c>
      <c r="U15" s="32">
        <f>IFERROR(__xludf.DUMMYFUNCTION("""COMPUTED_VALUE"""),64.0)</f>
        <v>64</v>
      </c>
      <c r="V15" s="32" t="str">
        <f>IFERROR(__xludf.DUMMYFUNCTION("""COMPUTED_VALUE"""),"4/3")</f>
        <v>4/3</v>
      </c>
      <c r="W15" s="32" t="str">
        <f>IFERROR(__xludf.DUMMYFUNCTION("""COMPUTED_VALUE"""),"1.250 meter")</f>
        <v>1.250 meter</v>
      </c>
      <c r="X15" s="32" t="str">
        <f>IFERROR(__xludf.DUMMYFUNCTION("""COMPUTED_VALUE"""),"20 cm")</f>
        <v>20 cm</v>
      </c>
      <c r="Y15" s="32">
        <f>IFERROR(__xludf.DUMMYFUNCTION("""COMPUTED_VALUE"""),600.0)</f>
        <v>600</v>
      </c>
      <c r="Z15" s="28">
        <f t="shared" si="1"/>
        <v>0</v>
      </c>
      <c r="AA15" s="28">
        <f t="shared" si="2"/>
        <v>0</v>
      </c>
      <c r="AB15" s="28">
        <f t="shared" si="3"/>
        <v>1</v>
      </c>
      <c r="AC15" s="28">
        <f t="shared" si="4"/>
        <v>0</v>
      </c>
      <c r="AD15" s="28">
        <f t="shared" si="5"/>
        <v>1</v>
      </c>
      <c r="AE15" s="29">
        <f t="shared" si="6"/>
        <v>2</v>
      </c>
      <c r="AF15" s="28">
        <f t="shared" si="7"/>
        <v>1</v>
      </c>
      <c r="AG15" s="28">
        <f t="shared" si="8"/>
        <v>1</v>
      </c>
      <c r="AH15" s="28">
        <f t="shared" si="9"/>
        <v>1</v>
      </c>
      <c r="AI15" s="28">
        <f t="shared" si="10"/>
        <v>1</v>
      </c>
      <c r="AJ15" s="28">
        <f t="shared" si="11"/>
        <v>1</v>
      </c>
      <c r="AK15" s="29">
        <f t="shared" si="12"/>
        <v>5</v>
      </c>
      <c r="AL15" s="28">
        <f t="shared" si="13"/>
        <v>1</v>
      </c>
      <c r="AM15" s="28">
        <f t="shared" si="14"/>
        <v>0</v>
      </c>
      <c r="AN15" s="28">
        <f t="shared" si="15"/>
        <v>0</v>
      </c>
      <c r="AO15" s="28">
        <f t="shared" si="16"/>
        <v>1</v>
      </c>
      <c r="AP15" s="28">
        <f t="shared" si="17"/>
        <v>1</v>
      </c>
      <c r="AQ15" s="29">
        <f t="shared" si="18"/>
        <v>3</v>
      </c>
      <c r="AR15" s="28">
        <f t="shared" si="19"/>
        <v>0</v>
      </c>
      <c r="AS15" s="28">
        <f t="shared" si="20"/>
        <v>0</v>
      </c>
      <c r="AT15" s="28">
        <f t="shared" si="21"/>
        <v>0</v>
      </c>
      <c r="AU15" s="28">
        <f t="shared" si="22"/>
        <v>0</v>
      </c>
      <c r="AV15" s="28">
        <f t="shared" si="23"/>
        <v>0</v>
      </c>
      <c r="AW15" s="29">
        <f t="shared" si="24"/>
        <v>0</v>
      </c>
      <c r="AX15" s="22"/>
      <c r="AY15" s="26">
        <f t="shared" si="25"/>
        <v>2</v>
      </c>
      <c r="AZ15" s="26">
        <f t="shared" si="26"/>
        <v>5</v>
      </c>
      <c r="BA15" s="26">
        <f t="shared" si="27"/>
        <v>3</v>
      </c>
      <c r="BB15" s="26">
        <f t="shared" si="28"/>
        <v>0</v>
      </c>
      <c r="BC15" s="30">
        <f t="shared" si="29"/>
        <v>50</v>
      </c>
    </row>
    <row r="16">
      <c r="A16" s="31">
        <f>IFERROR(__xludf.DUMMYFUNCTION("""COMPUTED_VALUE"""),45921.46578741898)</f>
        <v>45921.46579</v>
      </c>
      <c r="B16" s="32" t="str">
        <f>IFERROR(__xludf.DUMMYFUNCTION("""COMPUTED_VALUE"""),"Muhamad Umar Ali")</f>
        <v>Muhamad Umar Ali</v>
      </c>
      <c r="C16" s="27" t="str">
        <f>IFERROR(__xludf.DUMMYFUNCTION("""COMPUTED_VALUE"""),"A250020")</f>
        <v>A250020</v>
      </c>
      <c r="D16" s="27" t="str">
        <f>IFERROR(__xludf.DUMMYFUNCTION("""COMPUTED_VALUE"""),"MTs Putra")</f>
        <v>MTs Putra</v>
      </c>
      <c r="E16" s="27" t="str">
        <f>IFERROR(__xludf.DUMMYFUNCTION("""COMPUTED_VALUE"""),"Ya")</f>
        <v>Ya</v>
      </c>
      <c r="F16" s="32" t="str">
        <f>IFERROR(__xludf.DUMMYFUNCTION("""COMPUTED_VALUE"""),"B. Aku bersaksi bahwa tidak ada tuhan yang berhak di sembah kecuali Allah")</f>
        <v>B. Aku bersaksi bahwa tidak ada tuhan yang berhak di sembah kecuali Allah</v>
      </c>
      <c r="G16" s="32">
        <f>IFERROR(__xludf.DUMMYFUNCTION("""COMPUTED_VALUE"""),6.0)</f>
        <v>6</v>
      </c>
      <c r="H16" s="32" t="str">
        <f>IFERROR(__xludf.DUMMYFUNCTION("""COMPUTED_VALUE"""),"1 Syawwal")</f>
        <v>1 Syawwal</v>
      </c>
      <c r="I16" s="32" t="str">
        <f>IFERROR(__xludf.DUMMYFUNCTION("""COMPUTED_VALUE"""),"Al 'Alaq")</f>
        <v>Al 'Alaq</v>
      </c>
      <c r="J16" s="32" t="str">
        <f>IFERROR(__xludf.DUMMYFUNCTION("""COMPUTED_VALUE"""),"Ali Bin Abi Thalib")</f>
        <v>Ali Bin Abi Thalib</v>
      </c>
      <c r="K16" s="32" t="str">
        <f>IFERROR(__xludf.DUMMYFUNCTION("""COMPUTED_VALUE"""),"giat")</f>
        <v>giat</v>
      </c>
      <c r="L16" s="32" t="str">
        <f>IFERROR(__xludf.DUMMYFUNCTION("""COMPUTED_VALUE"""),"dan")</f>
        <v>dan</v>
      </c>
      <c r="M16" s="32" t="str">
        <f>IFERROR(__xludf.DUMMYFUNCTION("""COMPUTED_VALUE"""),"Hafsah berkata aku ingin belajar di pesantren.")</f>
        <v>Hafsah berkata aku ingin belajar di pesantren.</v>
      </c>
      <c r="N16" s="32" t="str">
        <f>IFERROR(__xludf.DUMMYFUNCTION("""COMPUTED_VALUE"""),"Kalimat 1")</f>
        <v>Kalimat 1</v>
      </c>
      <c r="O16" s="32" t="str">
        <f>IFERROR(__xludf.DUMMYFUNCTION("""COMPUTED_VALUE"""),"cahaya")</f>
        <v>cahaya</v>
      </c>
      <c r="P16" s="32" t="str">
        <f>IFERROR(__xludf.DUMMYFUNCTION("""COMPUTED_VALUE"""),"Parasitisme")</f>
        <v>Parasitisme</v>
      </c>
      <c r="Q16" s="32" t="str">
        <f>IFERROR(__xludf.DUMMYFUNCTION("""COMPUTED_VALUE"""),"Angin")</f>
        <v>Angin</v>
      </c>
      <c r="R16" s="32" t="str">
        <f>IFERROR(__xludf.DUMMYFUNCTION("""COMPUTED_VALUE"""),"belalang dan ular")</f>
        <v>belalang dan ular</v>
      </c>
      <c r="S16" s="32" t="str">
        <f>IFERROR(__xludf.DUMMYFUNCTION("""COMPUTED_VALUE"""),"Memiliki stomata")</f>
        <v>Memiliki stomata</v>
      </c>
      <c r="T16" s="32" t="str">
        <f>IFERROR(__xludf.DUMMYFUNCTION("""COMPUTED_VALUE"""),"Kelinci")</f>
        <v>Kelinci</v>
      </c>
      <c r="U16" s="32">
        <f>IFERROR(__xludf.DUMMYFUNCTION("""COMPUTED_VALUE"""),-56.0)</f>
        <v>-56</v>
      </c>
      <c r="V16" s="32" t="str">
        <f>IFERROR(__xludf.DUMMYFUNCTION("""COMPUTED_VALUE"""),"3/8")</f>
        <v>3/8</v>
      </c>
      <c r="W16" s="32" t="str">
        <f>IFERROR(__xludf.DUMMYFUNCTION("""COMPUTED_VALUE"""),"1.800 meter")</f>
        <v>1.800 meter</v>
      </c>
      <c r="X16" s="32" t="str">
        <f>IFERROR(__xludf.DUMMYFUNCTION("""COMPUTED_VALUE"""),"28 cm")</f>
        <v>28 cm</v>
      </c>
      <c r="Y16" s="32">
        <f>IFERROR(__xludf.DUMMYFUNCTION("""COMPUTED_VALUE"""),200.0)</f>
        <v>200</v>
      </c>
      <c r="Z16" s="28">
        <f t="shared" si="1"/>
        <v>1</v>
      </c>
      <c r="AA16" s="28">
        <f t="shared" si="2"/>
        <v>1</v>
      </c>
      <c r="AB16" s="28">
        <f t="shared" si="3"/>
        <v>1</v>
      </c>
      <c r="AC16" s="28">
        <f t="shared" si="4"/>
        <v>1</v>
      </c>
      <c r="AD16" s="28">
        <f t="shared" si="5"/>
        <v>1</v>
      </c>
      <c r="AE16" s="29">
        <f t="shared" si="6"/>
        <v>5</v>
      </c>
      <c r="AF16" s="28">
        <f t="shared" si="7"/>
        <v>1</v>
      </c>
      <c r="AG16" s="28">
        <f t="shared" si="8"/>
        <v>1</v>
      </c>
      <c r="AH16" s="28">
        <f t="shared" si="9"/>
        <v>0</v>
      </c>
      <c r="AI16" s="28">
        <f t="shared" si="10"/>
        <v>1</v>
      </c>
      <c r="AJ16" s="28">
        <f t="shared" si="11"/>
        <v>1</v>
      </c>
      <c r="AK16" s="29">
        <f t="shared" si="12"/>
        <v>4</v>
      </c>
      <c r="AL16" s="28">
        <f t="shared" si="13"/>
        <v>1</v>
      </c>
      <c r="AM16" s="28">
        <f t="shared" si="14"/>
        <v>1</v>
      </c>
      <c r="AN16" s="28">
        <f t="shared" si="15"/>
        <v>1</v>
      </c>
      <c r="AO16" s="28">
        <f t="shared" si="16"/>
        <v>0</v>
      </c>
      <c r="AP16" s="28">
        <f t="shared" si="17"/>
        <v>1</v>
      </c>
      <c r="AQ16" s="29">
        <f t="shared" si="18"/>
        <v>4</v>
      </c>
      <c r="AR16" s="28">
        <f t="shared" si="19"/>
        <v>0</v>
      </c>
      <c r="AS16" s="28">
        <f t="shared" si="20"/>
        <v>0</v>
      </c>
      <c r="AT16" s="28">
        <f t="shared" si="21"/>
        <v>1</v>
      </c>
      <c r="AU16" s="28">
        <f t="shared" si="22"/>
        <v>0</v>
      </c>
      <c r="AV16" s="28">
        <f t="shared" si="23"/>
        <v>0</v>
      </c>
      <c r="AW16" s="29">
        <f t="shared" si="24"/>
        <v>1</v>
      </c>
      <c r="AX16" s="22"/>
      <c r="AY16" s="26">
        <f t="shared" si="25"/>
        <v>5</v>
      </c>
      <c r="AZ16" s="26">
        <f t="shared" si="26"/>
        <v>4</v>
      </c>
      <c r="BA16" s="26">
        <f t="shared" si="27"/>
        <v>4</v>
      </c>
      <c r="BB16" s="26">
        <f t="shared" si="28"/>
        <v>1</v>
      </c>
      <c r="BC16" s="30">
        <f t="shared" si="29"/>
        <v>70</v>
      </c>
    </row>
    <row r="17">
      <c r="A17" s="31">
        <f>IFERROR(__xludf.DUMMYFUNCTION("""COMPUTED_VALUE"""),45921.481197256944)</f>
        <v>45921.4812</v>
      </c>
      <c r="B17" s="32" t="str">
        <f>IFERROR(__xludf.DUMMYFUNCTION("""COMPUTED_VALUE"""),"Muhamad Usman Ali")</f>
        <v>Muhamad Usman Ali</v>
      </c>
      <c r="C17" s="27" t="str">
        <f>IFERROR(__xludf.DUMMYFUNCTION("""COMPUTED_VALUE"""),"A250018")</f>
        <v>A250018</v>
      </c>
      <c r="D17" s="27" t="str">
        <f>IFERROR(__xludf.DUMMYFUNCTION("""COMPUTED_VALUE"""),"MTs Putra")</f>
        <v>MTs Putra</v>
      </c>
      <c r="E17" s="27" t="str">
        <f>IFERROR(__xludf.DUMMYFUNCTION("""COMPUTED_VALUE"""),"Ya")</f>
        <v>Ya</v>
      </c>
      <c r="F17" s="32" t="str">
        <f>IFERROR(__xludf.DUMMYFUNCTION("""COMPUTED_VALUE"""),"B. Aku bersaksi bahwa tidak ada tuhan yang berhak di sembah kecuali Allah")</f>
        <v>B. Aku bersaksi bahwa tidak ada tuhan yang berhak di sembah kecuali Allah</v>
      </c>
      <c r="G17" s="32">
        <f>IFERROR(__xludf.DUMMYFUNCTION("""COMPUTED_VALUE"""),6.0)</f>
        <v>6</v>
      </c>
      <c r="H17" s="32" t="str">
        <f>IFERROR(__xludf.DUMMYFUNCTION("""COMPUTED_VALUE"""),"1 Syawwal")</f>
        <v>1 Syawwal</v>
      </c>
      <c r="I17" s="32" t="str">
        <f>IFERROR(__xludf.DUMMYFUNCTION("""COMPUTED_VALUE"""),"Al Maidah")</f>
        <v>Al Maidah</v>
      </c>
      <c r="J17" s="32" t="str">
        <f>IFERROR(__xludf.DUMMYFUNCTION("""COMPUTED_VALUE"""),"Ali Bin Abi Thalib")</f>
        <v>Ali Bin Abi Thalib</v>
      </c>
      <c r="K17" s="32" t="str">
        <f>IFERROR(__xludf.DUMMYFUNCTION("""COMPUTED_VALUE"""),"giat")</f>
        <v>giat</v>
      </c>
      <c r="L17" s="32" t="str">
        <f>IFERROR(__xludf.DUMMYFUNCTION("""COMPUTED_VALUE"""),"dan")</f>
        <v>dan</v>
      </c>
      <c r="M17" s="32" t="str">
        <f>IFERROR(__xludf.DUMMYFUNCTION("""COMPUTED_VALUE"""),"Hafsah berkata aku ingin belajar di pesantren.")</f>
        <v>Hafsah berkata aku ingin belajar di pesantren.</v>
      </c>
      <c r="N17" s="32" t="str">
        <f>IFERROR(__xludf.DUMMYFUNCTION("""COMPUTED_VALUE"""),"Kalimat 2")</f>
        <v>Kalimat 2</v>
      </c>
      <c r="O17" s="32" t="str">
        <f>IFERROR(__xludf.DUMMYFUNCTION("""COMPUTED_VALUE"""),"kehidupan")</f>
        <v>kehidupan</v>
      </c>
      <c r="P17" s="32" t="str">
        <f>IFERROR(__xludf.DUMMYFUNCTION("""COMPUTED_VALUE"""),"Parasitisme")</f>
        <v>Parasitisme</v>
      </c>
      <c r="Q17" s="32" t="str">
        <f>IFERROR(__xludf.DUMMYFUNCTION("""COMPUTED_VALUE"""),"Angin")</f>
        <v>Angin</v>
      </c>
      <c r="R17" s="32" t="str">
        <f>IFERROR(__xludf.DUMMYFUNCTION("""COMPUTED_VALUE"""),"burung ketilang dan ulat")</f>
        <v>burung ketilang dan ulat</v>
      </c>
      <c r="S17" s="32" t="str">
        <f>IFERROR(__xludf.DUMMYFUNCTION("""COMPUTED_VALUE"""),"Adanya pertulangan daun")</f>
        <v>Adanya pertulangan daun</v>
      </c>
      <c r="T17" s="32" t="str">
        <f>IFERROR(__xludf.DUMMYFUNCTION("""COMPUTED_VALUE"""),"Kelinci")</f>
        <v>Kelinci</v>
      </c>
      <c r="U17" s="32">
        <f>IFERROR(__xludf.DUMMYFUNCTION("""COMPUTED_VALUE"""),-64.0)</f>
        <v>-64</v>
      </c>
      <c r="V17" s="32" t="str">
        <f>IFERROR(__xludf.DUMMYFUNCTION("""COMPUTED_VALUE"""),"3/4")</f>
        <v>3/4</v>
      </c>
      <c r="W17" s="32" t="str">
        <f>IFERROR(__xludf.DUMMYFUNCTION("""COMPUTED_VALUE"""),"1.800 meter")</f>
        <v>1.800 meter</v>
      </c>
      <c r="X17" s="32" t="str">
        <f>IFERROR(__xludf.DUMMYFUNCTION("""COMPUTED_VALUE"""),"22 cm")</f>
        <v>22 cm</v>
      </c>
      <c r="Y17" s="32">
        <f>IFERROR(__xludf.DUMMYFUNCTION("""COMPUTED_VALUE"""),200.0)</f>
        <v>200</v>
      </c>
      <c r="Z17" s="28">
        <f t="shared" si="1"/>
        <v>1</v>
      </c>
      <c r="AA17" s="28">
        <f t="shared" si="2"/>
        <v>1</v>
      </c>
      <c r="AB17" s="28">
        <f t="shared" si="3"/>
        <v>1</v>
      </c>
      <c r="AC17" s="28">
        <f t="shared" si="4"/>
        <v>0</v>
      </c>
      <c r="AD17" s="28">
        <f t="shared" si="5"/>
        <v>1</v>
      </c>
      <c r="AE17" s="29">
        <f t="shared" si="6"/>
        <v>4</v>
      </c>
      <c r="AF17" s="28">
        <f t="shared" si="7"/>
        <v>1</v>
      </c>
      <c r="AG17" s="28">
        <f t="shared" si="8"/>
        <v>1</v>
      </c>
      <c r="AH17" s="28">
        <f t="shared" si="9"/>
        <v>0</v>
      </c>
      <c r="AI17" s="28">
        <f t="shared" si="10"/>
        <v>0</v>
      </c>
      <c r="AJ17" s="28">
        <f t="shared" si="11"/>
        <v>0</v>
      </c>
      <c r="AK17" s="29">
        <f t="shared" si="12"/>
        <v>2</v>
      </c>
      <c r="AL17" s="28">
        <f t="shared" si="13"/>
        <v>1</v>
      </c>
      <c r="AM17" s="28">
        <f t="shared" si="14"/>
        <v>1</v>
      </c>
      <c r="AN17" s="28">
        <f t="shared" si="15"/>
        <v>0</v>
      </c>
      <c r="AO17" s="28">
        <f t="shared" si="16"/>
        <v>0</v>
      </c>
      <c r="AP17" s="28">
        <f t="shared" si="17"/>
        <v>1</v>
      </c>
      <c r="AQ17" s="29">
        <f t="shared" si="18"/>
        <v>3</v>
      </c>
      <c r="AR17" s="28">
        <f t="shared" si="19"/>
        <v>1</v>
      </c>
      <c r="AS17" s="28">
        <f t="shared" si="20"/>
        <v>1</v>
      </c>
      <c r="AT17" s="28">
        <f t="shared" si="21"/>
        <v>1</v>
      </c>
      <c r="AU17" s="28">
        <f t="shared" si="22"/>
        <v>1</v>
      </c>
      <c r="AV17" s="28">
        <f t="shared" si="23"/>
        <v>0</v>
      </c>
      <c r="AW17" s="29">
        <f t="shared" si="24"/>
        <v>4</v>
      </c>
      <c r="AX17" s="22"/>
      <c r="AY17" s="26">
        <f t="shared" si="25"/>
        <v>4</v>
      </c>
      <c r="AZ17" s="26">
        <f t="shared" si="26"/>
        <v>2</v>
      </c>
      <c r="BA17" s="26">
        <f t="shared" si="27"/>
        <v>3</v>
      </c>
      <c r="BB17" s="26">
        <f t="shared" si="28"/>
        <v>4</v>
      </c>
      <c r="BC17" s="30">
        <f t="shared" si="29"/>
        <v>65</v>
      </c>
    </row>
    <row r="18">
      <c r="A18" s="31">
        <f>IFERROR(__xludf.DUMMYFUNCTION("""COMPUTED_VALUE"""),45923.746407997685)</f>
        <v>45923.74641</v>
      </c>
      <c r="B18" s="32" t="str">
        <f>IFERROR(__xludf.DUMMYFUNCTION("""COMPUTED_VALUE"""),"Faeyza Izzatul Khairy")</f>
        <v>Faeyza Izzatul Khairy</v>
      </c>
      <c r="C18" s="27" t="str">
        <f>IFERROR(__xludf.DUMMYFUNCTION("""COMPUTED_VALUE"""),"A250016")</f>
        <v>A250016</v>
      </c>
      <c r="D18" s="27" t="str">
        <f>IFERROR(__xludf.DUMMYFUNCTION("""COMPUTED_VALUE"""),"MTs Putra")</f>
        <v>MTs Putra</v>
      </c>
      <c r="E18" s="27" t="str">
        <f>IFERROR(__xludf.DUMMYFUNCTION("""COMPUTED_VALUE"""),"Ya")</f>
        <v>Ya</v>
      </c>
      <c r="F18" s="32" t="str">
        <f>IFERROR(__xludf.DUMMYFUNCTION("""COMPUTED_VALUE"""),"B. Aku bersaksi bahwa tidak ada tuhan yang berhak di sembah kecuali Allah")</f>
        <v>B. Aku bersaksi bahwa tidak ada tuhan yang berhak di sembah kecuali Allah</v>
      </c>
      <c r="G18" s="32">
        <f>IFERROR(__xludf.DUMMYFUNCTION("""COMPUTED_VALUE"""),6.0)</f>
        <v>6</v>
      </c>
      <c r="H18" s="32" t="str">
        <f>IFERROR(__xludf.DUMMYFUNCTION("""COMPUTED_VALUE"""),"1 Syawwal")</f>
        <v>1 Syawwal</v>
      </c>
      <c r="I18" s="32" t="str">
        <f>IFERROR(__xludf.DUMMYFUNCTION("""COMPUTED_VALUE"""),"Al 'Alaq")</f>
        <v>Al 'Alaq</v>
      </c>
      <c r="J18" s="32" t="str">
        <f>IFERROR(__xludf.DUMMYFUNCTION("""COMPUTED_VALUE"""),"Ali Bin Abi Thalib")</f>
        <v>Ali Bin Abi Thalib</v>
      </c>
      <c r="K18" s="32" t="str">
        <f>IFERROR(__xludf.DUMMYFUNCTION("""COMPUTED_VALUE"""),"giat")</f>
        <v>giat</v>
      </c>
      <c r="L18" s="32" t="str">
        <f>IFERROR(__xludf.DUMMYFUNCTION("""COMPUTED_VALUE"""),"dan")</f>
        <v>dan</v>
      </c>
      <c r="M18" s="32" t="str">
        <f>IFERROR(__xludf.DUMMYFUNCTION("""COMPUTED_VALUE"""),"Hafsah mengatakan bahwa ia ingin belajar di pesantren.")</f>
        <v>Hafsah mengatakan bahwa ia ingin belajar di pesantren.</v>
      </c>
      <c r="N18" s="32" t="str">
        <f>IFERROR(__xludf.DUMMYFUNCTION("""COMPUTED_VALUE"""),"Kalimat 1")</f>
        <v>Kalimat 1</v>
      </c>
      <c r="O18" s="32" t="str">
        <f>IFERROR(__xludf.DUMMYFUNCTION("""COMPUTED_VALUE"""),"cahaya")</f>
        <v>cahaya</v>
      </c>
      <c r="P18" s="32" t="str">
        <f>IFERROR(__xludf.DUMMYFUNCTION("""COMPUTED_VALUE"""),"Parasitisme")</f>
        <v>Parasitisme</v>
      </c>
      <c r="Q18" s="32" t="str">
        <f>IFERROR(__xludf.DUMMYFUNCTION("""COMPUTED_VALUE"""),"Angin")</f>
        <v>Angin</v>
      </c>
      <c r="R18" s="32" t="str">
        <f>IFERROR(__xludf.DUMMYFUNCTION("""COMPUTED_VALUE"""),"belalang dan ular")</f>
        <v>belalang dan ular</v>
      </c>
      <c r="S18" s="32" t="str">
        <f>IFERROR(__xludf.DUMMYFUNCTION("""COMPUTED_VALUE"""),"Memiliki stomata")</f>
        <v>Memiliki stomata</v>
      </c>
      <c r="T18" s="32" t="str">
        <f>IFERROR(__xludf.DUMMYFUNCTION("""COMPUTED_VALUE"""),"Kelinci")</f>
        <v>Kelinci</v>
      </c>
      <c r="U18" s="32">
        <f>IFERROR(__xludf.DUMMYFUNCTION("""COMPUTED_VALUE"""),-64.0)</f>
        <v>-64</v>
      </c>
      <c r="V18" s="32" t="str">
        <f>IFERROR(__xludf.DUMMYFUNCTION("""COMPUTED_VALUE"""),"3/4")</f>
        <v>3/4</v>
      </c>
      <c r="W18" s="32" t="str">
        <f>IFERROR(__xludf.DUMMYFUNCTION("""COMPUTED_VALUE"""),"1.800 meter")</f>
        <v>1.800 meter</v>
      </c>
      <c r="X18" s="32" t="str">
        <f>IFERROR(__xludf.DUMMYFUNCTION("""COMPUTED_VALUE"""),"22 cm")</f>
        <v>22 cm</v>
      </c>
      <c r="Y18" s="32">
        <f>IFERROR(__xludf.DUMMYFUNCTION("""COMPUTED_VALUE"""),200.0)</f>
        <v>200</v>
      </c>
      <c r="Z18" s="28">
        <f t="shared" si="1"/>
        <v>1</v>
      </c>
      <c r="AA18" s="28">
        <f t="shared" si="2"/>
        <v>1</v>
      </c>
      <c r="AB18" s="28">
        <f t="shared" si="3"/>
        <v>1</v>
      </c>
      <c r="AC18" s="28">
        <f t="shared" si="4"/>
        <v>1</v>
      </c>
      <c r="AD18" s="28">
        <f t="shared" si="5"/>
        <v>1</v>
      </c>
      <c r="AE18" s="29">
        <f t="shared" si="6"/>
        <v>5</v>
      </c>
      <c r="AF18" s="28">
        <f t="shared" si="7"/>
        <v>1</v>
      </c>
      <c r="AG18" s="28">
        <f t="shared" si="8"/>
        <v>1</v>
      </c>
      <c r="AH18" s="28">
        <f t="shared" si="9"/>
        <v>1</v>
      </c>
      <c r="AI18" s="28">
        <f t="shared" si="10"/>
        <v>1</v>
      </c>
      <c r="AJ18" s="28">
        <f t="shared" si="11"/>
        <v>1</v>
      </c>
      <c r="AK18" s="29">
        <f t="shared" si="12"/>
        <v>5</v>
      </c>
      <c r="AL18" s="28">
        <f t="shared" si="13"/>
        <v>1</v>
      </c>
      <c r="AM18" s="28">
        <f t="shared" si="14"/>
        <v>1</v>
      </c>
      <c r="AN18" s="28">
        <f t="shared" si="15"/>
        <v>1</v>
      </c>
      <c r="AO18" s="28">
        <f t="shared" si="16"/>
        <v>0</v>
      </c>
      <c r="AP18" s="28">
        <f t="shared" si="17"/>
        <v>1</v>
      </c>
      <c r="AQ18" s="29">
        <f t="shared" si="18"/>
        <v>4</v>
      </c>
      <c r="AR18" s="28">
        <f t="shared" si="19"/>
        <v>1</v>
      </c>
      <c r="AS18" s="28">
        <f t="shared" si="20"/>
        <v>1</v>
      </c>
      <c r="AT18" s="28">
        <f t="shared" si="21"/>
        <v>1</v>
      </c>
      <c r="AU18" s="28">
        <f t="shared" si="22"/>
        <v>1</v>
      </c>
      <c r="AV18" s="28">
        <f t="shared" si="23"/>
        <v>0</v>
      </c>
      <c r="AW18" s="29">
        <f t="shared" si="24"/>
        <v>4</v>
      </c>
      <c r="AX18" s="22"/>
      <c r="AY18" s="26">
        <f t="shared" si="25"/>
        <v>5</v>
      </c>
      <c r="AZ18" s="26">
        <f t="shared" si="26"/>
        <v>5</v>
      </c>
      <c r="BA18" s="26">
        <f t="shared" si="27"/>
        <v>4</v>
      </c>
      <c r="BB18" s="26">
        <f t="shared" si="28"/>
        <v>4</v>
      </c>
      <c r="BC18" s="30">
        <f t="shared" si="29"/>
        <v>90</v>
      </c>
    </row>
    <row r="19">
      <c r="A19" s="31">
        <f>IFERROR(__xludf.DUMMYFUNCTION("""COMPUTED_VALUE"""),45924.41357452546)</f>
        <v>45924.41357</v>
      </c>
      <c r="B19" s="32" t="str">
        <f>IFERROR(__xludf.DUMMYFUNCTION("""COMPUTED_VALUE"""),"Haneef Abdurahman")</f>
        <v>Haneef Abdurahman</v>
      </c>
      <c r="C19" s="27" t="str">
        <f>IFERROR(__xludf.DUMMYFUNCTION("""COMPUTED_VALUE"""),"A250012")</f>
        <v>A250012</v>
      </c>
      <c r="D19" s="27" t="str">
        <f>IFERROR(__xludf.DUMMYFUNCTION("""COMPUTED_VALUE"""),"MTs Putra")</f>
        <v>MTs Putra</v>
      </c>
      <c r="E19" s="27" t="str">
        <f>IFERROR(__xludf.DUMMYFUNCTION("""COMPUTED_VALUE"""),"Ya")</f>
        <v>Ya</v>
      </c>
      <c r="F19" s="32" t="str">
        <f>IFERROR(__xludf.DUMMYFUNCTION("""COMPUTED_VALUE"""),"B. Aku bersaksi bahwa tidak ada tuhan yang berhak di sembah kecuali Allah")</f>
        <v>B. Aku bersaksi bahwa tidak ada tuhan yang berhak di sembah kecuali Allah</v>
      </c>
      <c r="G19" s="32">
        <f>IFERROR(__xludf.DUMMYFUNCTION("""COMPUTED_VALUE"""),5.0)</f>
        <v>5</v>
      </c>
      <c r="H19" s="32" t="str">
        <f>IFERROR(__xludf.DUMMYFUNCTION("""COMPUTED_VALUE"""),"1 Syawwal")</f>
        <v>1 Syawwal</v>
      </c>
      <c r="I19" s="32" t="str">
        <f>IFERROR(__xludf.DUMMYFUNCTION("""COMPUTED_VALUE"""),"Al 'Alaq")</f>
        <v>Al 'Alaq</v>
      </c>
      <c r="J19" s="32" t="str">
        <f>IFERROR(__xludf.DUMMYFUNCTION("""COMPUTED_VALUE"""),"Ali Bin Abi Thalib")</f>
        <v>Ali Bin Abi Thalib</v>
      </c>
      <c r="K19" s="32" t="str">
        <f>IFERROR(__xludf.DUMMYFUNCTION("""COMPUTED_VALUE"""),"giat")</f>
        <v>giat</v>
      </c>
      <c r="L19" s="32" t="str">
        <f>IFERROR(__xludf.DUMMYFUNCTION("""COMPUTED_VALUE"""),"dan")</f>
        <v>dan</v>
      </c>
      <c r="M19" s="32" t="str">
        <f>IFERROR(__xludf.DUMMYFUNCTION("""COMPUTED_VALUE"""),"Hafsah mengatakan bahwa ia ingin belajar di pesantren.")</f>
        <v>Hafsah mengatakan bahwa ia ingin belajar di pesantren.</v>
      </c>
      <c r="N19" s="32" t="str">
        <f>IFERROR(__xludf.DUMMYFUNCTION("""COMPUTED_VALUE"""),"Kalimat 1")</f>
        <v>Kalimat 1</v>
      </c>
      <c r="O19" s="32" t="str">
        <f>IFERROR(__xludf.DUMMYFUNCTION("""COMPUTED_VALUE"""),"cahaya")</f>
        <v>cahaya</v>
      </c>
      <c r="P19" s="32" t="str">
        <f>IFERROR(__xludf.DUMMYFUNCTION("""COMPUTED_VALUE"""),"Parasitisme")</f>
        <v>Parasitisme</v>
      </c>
      <c r="Q19" s="32" t="str">
        <f>IFERROR(__xludf.DUMMYFUNCTION("""COMPUTED_VALUE"""),"Angin")</f>
        <v>Angin</v>
      </c>
      <c r="R19" s="32" t="str">
        <f>IFERROR(__xludf.DUMMYFUNCTION("""COMPUTED_VALUE"""),"belalang dan ular")</f>
        <v>belalang dan ular</v>
      </c>
      <c r="S19" s="32" t="str">
        <f>IFERROR(__xludf.DUMMYFUNCTION("""COMPUTED_VALUE"""),"Menghasilkan klorofil")</f>
        <v>Menghasilkan klorofil</v>
      </c>
      <c r="T19" s="32" t="str">
        <f>IFERROR(__xludf.DUMMYFUNCTION("""COMPUTED_VALUE"""),"Kelinci")</f>
        <v>Kelinci</v>
      </c>
      <c r="U19" s="32">
        <f>IFERROR(__xludf.DUMMYFUNCTION("""COMPUTED_VALUE"""),-64.0)</f>
        <v>-64</v>
      </c>
      <c r="V19" s="32" t="str">
        <f>IFERROR(__xludf.DUMMYFUNCTION("""COMPUTED_VALUE"""),"3/4")</f>
        <v>3/4</v>
      </c>
      <c r="W19" s="32" t="str">
        <f>IFERROR(__xludf.DUMMYFUNCTION("""COMPUTED_VALUE"""),"1.800 meter")</f>
        <v>1.800 meter</v>
      </c>
      <c r="X19" s="32" t="str">
        <f>IFERROR(__xludf.DUMMYFUNCTION("""COMPUTED_VALUE"""),"22 cm")</f>
        <v>22 cm</v>
      </c>
      <c r="Y19" s="32">
        <f>IFERROR(__xludf.DUMMYFUNCTION("""COMPUTED_VALUE"""),200.0)</f>
        <v>200</v>
      </c>
      <c r="Z19" s="28">
        <f t="shared" si="1"/>
        <v>1</v>
      </c>
      <c r="AA19" s="28">
        <f t="shared" si="2"/>
        <v>0</v>
      </c>
      <c r="AB19" s="28">
        <f t="shared" si="3"/>
        <v>1</v>
      </c>
      <c r="AC19" s="28">
        <f t="shared" si="4"/>
        <v>1</v>
      </c>
      <c r="AD19" s="28">
        <f t="shared" si="5"/>
        <v>1</v>
      </c>
      <c r="AE19" s="29">
        <f t="shared" si="6"/>
        <v>4</v>
      </c>
      <c r="AF19" s="28">
        <f t="shared" si="7"/>
        <v>1</v>
      </c>
      <c r="AG19" s="28">
        <f t="shared" si="8"/>
        <v>1</v>
      </c>
      <c r="AH19" s="28">
        <f t="shared" si="9"/>
        <v>1</v>
      </c>
      <c r="AI19" s="28">
        <f t="shared" si="10"/>
        <v>1</v>
      </c>
      <c r="AJ19" s="28">
        <f t="shared" si="11"/>
        <v>1</v>
      </c>
      <c r="AK19" s="29">
        <f t="shared" si="12"/>
        <v>5</v>
      </c>
      <c r="AL19" s="28">
        <f t="shared" si="13"/>
        <v>1</v>
      </c>
      <c r="AM19" s="28">
        <f t="shared" si="14"/>
        <v>1</v>
      </c>
      <c r="AN19" s="28">
        <f t="shared" si="15"/>
        <v>1</v>
      </c>
      <c r="AO19" s="28">
        <f t="shared" si="16"/>
        <v>1</v>
      </c>
      <c r="AP19" s="28">
        <f t="shared" si="17"/>
        <v>1</v>
      </c>
      <c r="AQ19" s="29">
        <f t="shared" si="18"/>
        <v>5</v>
      </c>
      <c r="AR19" s="28">
        <f t="shared" si="19"/>
        <v>1</v>
      </c>
      <c r="AS19" s="28">
        <f t="shared" si="20"/>
        <v>1</v>
      </c>
      <c r="AT19" s="28">
        <f t="shared" si="21"/>
        <v>1</v>
      </c>
      <c r="AU19" s="28">
        <f t="shared" si="22"/>
        <v>1</v>
      </c>
      <c r="AV19" s="28">
        <f t="shared" si="23"/>
        <v>0</v>
      </c>
      <c r="AW19" s="29">
        <f t="shared" si="24"/>
        <v>4</v>
      </c>
      <c r="AX19" s="22"/>
      <c r="AY19" s="26">
        <f t="shared" si="25"/>
        <v>4</v>
      </c>
      <c r="AZ19" s="26">
        <f t="shared" si="26"/>
        <v>5</v>
      </c>
      <c r="BA19" s="26">
        <f t="shared" si="27"/>
        <v>5</v>
      </c>
      <c r="BB19" s="26">
        <f t="shared" si="28"/>
        <v>4</v>
      </c>
      <c r="BC19" s="30">
        <f t="shared" si="29"/>
        <v>90</v>
      </c>
    </row>
    <row r="20">
      <c r="A20" s="31">
        <f>IFERROR(__xludf.DUMMYFUNCTION("""COMPUTED_VALUE"""),45924.82897149306)</f>
        <v>45924.82897</v>
      </c>
      <c r="B20" s="32" t="str">
        <f>IFERROR(__xludf.DUMMYFUNCTION("""COMPUTED_VALUE"""),"PUTRA PERDANA")</f>
        <v>PUTRA PERDANA</v>
      </c>
      <c r="C20" s="35" t="str">
        <f>IFERROR(__xludf.DUMMYFUNCTION("""COMPUTED_VALUE"""),"A250003")</f>
        <v>A250003</v>
      </c>
      <c r="D20" s="27" t="str">
        <f>IFERROR(__xludf.DUMMYFUNCTION("""COMPUTED_VALUE"""),"MTs Putra")</f>
        <v>MTs Putra</v>
      </c>
      <c r="E20" s="27" t="str">
        <f>IFERROR(__xludf.DUMMYFUNCTION("""COMPUTED_VALUE"""),"Ya")</f>
        <v>Ya</v>
      </c>
      <c r="F20" s="32" t="str">
        <f>IFERROR(__xludf.DUMMYFUNCTION("""COMPUTED_VALUE"""),"B. Aku bersaksi bahwa tidak ada tuhan yang berhak di sembah kecuali Allah")</f>
        <v>B. Aku bersaksi bahwa tidak ada tuhan yang berhak di sembah kecuali Allah</v>
      </c>
      <c r="G20" s="32">
        <f>IFERROR(__xludf.DUMMYFUNCTION("""COMPUTED_VALUE"""),6.0)</f>
        <v>6</v>
      </c>
      <c r="H20" s="32" t="str">
        <f>IFERROR(__xludf.DUMMYFUNCTION("""COMPUTED_VALUE"""),"1 Syawwal")</f>
        <v>1 Syawwal</v>
      </c>
      <c r="I20" s="32" t="str">
        <f>IFERROR(__xludf.DUMMYFUNCTION("""COMPUTED_VALUE"""),"Al 'Alaq")</f>
        <v>Al 'Alaq</v>
      </c>
      <c r="J20" s="32" t="str">
        <f>IFERROR(__xludf.DUMMYFUNCTION("""COMPUTED_VALUE"""),"Ali Bin Abi Thalib")</f>
        <v>Ali Bin Abi Thalib</v>
      </c>
      <c r="K20" s="32" t="str">
        <f>IFERROR(__xludf.DUMMYFUNCTION("""COMPUTED_VALUE"""),"giat")</f>
        <v>giat</v>
      </c>
      <c r="L20" s="32" t="str">
        <f>IFERROR(__xludf.DUMMYFUNCTION("""COMPUTED_VALUE"""),"dan")</f>
        <v>dan</v>
      </c>
      <c r="M20" s="32" t="str">
        <f>IFERROR(__xludf.DUMMYFUNCTION("""COMPUTED_VALUE"""),"Hafsah mengatakan bahwa aku ingin belajar di pesantren.")</f>
        <v>Hafsah mengatakan bahwa aku ingin belajar di pesantren.</v>
      </c>
      <c r="N20" s="32" t="str">
        <f>IFERROR(__xludf.DUMMYFUNCTION("""COMPUTED_VALUE"""),"Kalimat 2")</f>
        <v>Kalimat 2</v>
      </c>
      <c r="O20" s="32" t="str">
        <f>IFERROR(__xludf.DUMMYFUNCTION("""COMPUTED_VALUE"""),"cahaya")</f>
        <v>cahaya</v>
      </c>
      <c r="P20" s="32" t="str">
        <f>IFERROR(__xludf.DUMMYFUNCTION("""COMPUTED_VALUE"""),"Parasitisme")</f>
        <v>Parasitisme</v>
      </c>
      <c r="Q20" s="32" t="str">
        <f>IFERROR(__xludf.DUMMYFUNCTION("""COMPUTED_VALUE"""),"Angin")</f>
        <v>Angin</v>
      </c>
      <c r="R20" s="32" t="str">
        <f>IFERROR(__xludf.DUMMYFUNCTION("""COMPUTED_VALUE"""),"belalang dan ular")</f>
        <v>belalang dan ular</v>
      </c>
      <c r="S20" s="32" t="str">
        <f>IFERROR(__xludf.DUMMYFUNCTION("""COMPUTED_VALUE"""),"Menghasilkan klorofil")</f>
        <v>Menghasilkan klorofil</v>
      </c>
      <c r="T20" s="32" t="str">
        <f>IFERROR(__xludf.DUMMYFUNCTION("""COMPUTED_VALUE"""),"Kelinci")</f>
        <v>Kelinci</v>
      </c>
      <c r="U20" s="32">
        <f>IFERROR(__xludf.DUMMYFUNCTION("""COMPUTED_VALUE"""),-56.0)</f>
        <v>-56</v>
      </c>
      <c r="V20" s="32" t="str">
        <f>IFERROR(__xludf.DUMMYFUNCTION("""COMPUTED_VALUE"""),"3/8")</f>
        <v>3/8</v>
      </c>
      <c r="W20" s="32" t="str">
        <f>IFERROR(__xludf.DUMMYFUNCTION("""COMPUTED_VALUE"""),"1.250 meter")</f>
        <v>1.250 meter</v>
      </c>
      <c r="X20" s="32" t="str">
        <f>IFERROR(__xludf.DUMMYFUNCTION("""COMPUTED_VALUE"""),"22 cm")</f>
        <v>22 cm</v>
      </c>
      <c r="Y20" s="32">
        <f>IFERROR(__xludf.DUMMYFUNCTION("""COMPUTED_VALUE"""),200.0)</f>
        <v>200</v>
      </c>
      <c r="Z20" s="28">
        <f t="shared" si="1"/>
        <v>1</v>
      </c>
      <c r="AA20" s="28">
        <f t="shared" si="2"/>
        <v>1</v>
      </c>
      <c r="AB20" s="28">
        <f t="shared" si="3"/>
        <v>1</v>
      </c>
      <c r="AC20" s="28">
        <f t="shared" si="4"/>
        <v>1</v>
      </c>
      <c r="AD20" s="28">
        <f t="shared" si="5"/>
        <v>1</v>
      </c>
      <c r="AE20" s="29">
        <f t="shared" si="6"/>
        <v>5</v>
      </c>
      <c r="AF20" s="28">
        <f t="shared" si="7"/>
        <v>1</v>
      </c>
      <c r="AG20" s="28">
        <f t="shared" si="8"/>
        <v>1</v>
      </c>
      <c r="AH20" s="28">
        <f t="shared" si="9"/>
        <v>0</v>
      </c>
      <c r="AI20" s="28">
        <f t="shared" si="10"/>
        <v>0</v>
      </c>
      <c r="AJ20" s="28">
        <f t="shared" si="11"/>
        <v>1</v>
      </c>
      <c r="AK20" s="29">
        <f t="shared" si="12"/>
        <v>3</v>
      </c>
      <c r="AL20" s="28">
        <f t="shared" si="13"/>
        <v>1</v>
      </c>
      <c r="AM20" s="28">
        <f t="shared" si="14"/>
        <v>1</v>
      </c>
      <c r="AN20" s="28">
        <f t="shared" si="15"/>
        <v>1</v>
      </c>
      <c r="AO20" s="28">
        <f t="shared" si="16"/>
        <v>1</v>
      </c>
      <c r="AP20" s="28">
        <f t="shared" si="17"/>
        <v>1</v>
      </c>
      <c r="AQ20" s="29">
        <f t="shared" si="18"/>
        <v>5</v>
      </c>
      <c r="AR20" s="28">
        <f t="shared" si="19"/>
        <v>0</v>
      </c>
      <c r="AS20" s="28">
        <f t="shared" si="20"/>
        <v>0</v>
      </c>
      <c r="AT20" s="28">
        <f t="shared" si="21"/>
        <v>0</v>
      </c>
      <c r="AU20" s="28">
        <f t="shared" si="22"/>
        <v>1</v>
      </c>
      <c r="AV20" s="28">
        <f t="shared" si="23"/>
        <v>0</v>
      </c>
      <c r="AW20" s="29">
        <f t="shared" si="24"/>
        <v>1</v>
      </c>
      <c r="AX20" s="22"/>
      <c r="AY20" s="26">
        <f t="shared" si="25"/>
        <v>5</v>
      </c>
      <c r="AZ20" s="26">
        <f t="shared" si="26"/>
        <v>3</v>
      </c>
      <c r="BA20" s="26">
        <f t="shared" si="27"/>
        <v>5</v>
      </c>
      <c r="BB20" s="26">
        <f t="shared" si="28"/>
        <v>1</v>
      </c>
      <c r="BC20" s="30">
        <f t="shared" si="29"/>
        <v>70</v>
      </c>
    </row>
    <row r="21">
      <c r="A21" s="31">
        <f>IFERROR(__xludf.DUMMYFUNCTION("""COMPUTED_VALUE"""),45925.41437844907)</f>
        <v>45925.41438</v>
      </c>
      <c r="B21" s="32" t="str">
        <f>IFERROR(__xludf.DUMMYFUNCTION("""COMPUTED_VALUE"""),"Abudzar Al Mahbub")</f>
        <v>Abudzar Al Mahbub</v>
      </c>
      <c r="C21" s="27" t="str">
        <f>IFERROR(__xludf.DUMMYFUNCTION("""COMPUTED_VALUE"""),"A250034")</f>
        <v>A250034</v>
      </c>
      <c r="D21" s="27" t="str">
        <f>IFERROR(__xludf.DUMMYFUNCTION("""COMPUTED_VALUE"""),"MTs Putra")</f>
        <v>MTs Putra</v>
      </c>
      <c r="E21" s="27" t="str">
        <f>IFERROR(__xludf.DUMMYFUNCTION("""COMPUTED_VALUE"""),"Ya")</f>
        <v>Ya</v>
      </c>
      <c r="F21" s="32" t="str">
        <f>IFERROR(__xludf.DUMMYFUNCTION("""COMPUTED_VALUE"""),"B. Aku bersaksi bahwa tidak ada tuhan yang berhak di sembah kecuali Allah")</f>
        <v>B. Aku bersaksi bahwa tidak ada tuhan yang berhak di sembah kecuali Allah</v>
      </c>
      <c r="G21" s="32">
        <f>IFERROR(__xludf.DUMMYFUNCTION("""COMPUTED_VALUE"""),6.0)</f>
        <v>6</v>
      </c>
      <c r="H21" s="32" t="str">
        <f>IFERROR(__xludf.DUMMYFUNCTION("""COMPUTED_VALUE"""),"1 Syawwal")</f>
        <v>1 Syawwal</v>
      </c>
      <c r="I21" s="32" t="str">
        <f>IFERROR(__xludf.DUMMYFUNCTION("""COMPUTED_VALUE"""),"Al Maidah")</f>
        <v>Al Maidah</v>
      </c>
      <c r="J21" s="32" t="str">
        <f>IFERROR(__xludf.DUMMYFUNCTION("""COMPUTED_VALUE"""),"Ali Bin Abi Thalib")</f>
        <v>Ali Bin Abi Thalib</v>
      </c>
      <c r="K21" s="32" t="str">
        <f>IFERROR(__xludf.DUMMYFUNCTION("""COMPUTED_VALUE"""),"giat")</f>
        <v>giat</v>
      </c>
      <c r="L21" s="32" t="str">
        <f>IFERROR(__xludf.DUMMYFUNCTION("""COMPUTED_VALUE"""),"dan")</f>
        <v>dan</v>
      </c>
      <c r="M21" s="32" t="str">
        <f>IFERROR(__xludf.DUMMYFUNCTION("""COMPUTED_VALUE"""),"Hafsah mengatakan bahwa aku ingin belajar di pesantren.")</f>
        <v>Hafsah mengatakan bahwa aku ingin belajar di pesantren.</v>
      </c>
      <c r="N21" s="32" t="str">
        <f>IFERROR(__xludf.DUMMYFUNCTION("""COMPUTED_VALUE"""),"Kalimat 1")</f>
        <v>Kalimat 1</v>
      </c>
      <c r="O21" s="32" t="str">
        <f>IFERROR(__xludf.DUMMYFUNCTION("""COMPUTED_VALUE"""),"cahaya")</f>
        <v>cahaya</v>
      </c>
      <c r="P21" s="32" t="str">
        <f>IFERROR(__xludf.DUMMYFUNCTION("""COMPUTED_VALUE"""),"Parasitisme")</f>
        <v>Parasitisme</v>
      </c>
      <c r="Q21" s="32" t="str">
        <f>IFERROR(__xludf.DUMMYFUNCTION("""COMPUTED_VALUE"""),"Angin")</f>
        <v>Angin</v>
      </c>
      <c r="R21" s="32" t="str">
        <f>IFERROR(__xludf.DUMMYFUNCTION("""COMPUTED_VALUE"""),"belalang dan ular")</f>
        <v>belalang dan ular</v>
      </c>
      <c r="S21" s="32" t="str">
        <f>IFERROR(__xludf.DUMMYFUNCTION("""COMPUTED_VALUE"""),"Daun yang pipih dan lebar")</f>
        <v>Daun yang pipih dan lebar</v>
      </c>
      <c r="T21" s="32" t="str">
        <f>IFERROR(__xludf.DUMMYFUNCTION("""COMPUTED_VALUE"""),"Kelinci")</f>
        <v>Kelinci</v>
      </c>
      <c r="U21" s="32">
        <f>IFERROR(__xludf.DUMMYFUNCTION("""COMPUTED_VALUE"""),-56.0)</f>
        <v>-56</v>
      </c>
      <c r="V21" s="32" t="str">
        <f>IFERROR(__xludf.DUMMYFUNCTION("""COMPUTED_VALUE"""),"4/3")</f>
        <v>4/3</v>
      </c>
      <c r="W21" s="32" t="str">
        <f>IFERROR(__xludf.DUMMYFUNCTION("""COMPUTED_VALUE"""),"1.800 meter")</f>
        <v>1.800 meter</v>
      </c>
      <c r="X21" s="32" t="str">
        <f>IFERROR(__xludf.DUMMYFUNCTION("""COMPUTED_VALUE"""),"22 cm")</f>
        <v>22 cm</v>
      </c>
      <c r="Y21" s="33">
        <f>IFERROR(__xludf.DUMMYFUNCTION("""COMPUTED_VALUE"""),1000.0)</f>
        <v>1000</v>
      </c>
      <c r="Z21" s="28">
        <f t="shared" si="1"/>
        <v>1</v>
      </c>
      <c r="AA21" s="28">
        <f t="shared" si="2"/>
        <v>1</v>
      </c>
      <c r="AB21" s="28">
        <f t="shared" si="3"/>
        <v>1</v>
      </c>
      <c r="AC21" s="28">
        <f t="shared" si="4"/>
        <v>0</v>
      </c>
      <c r="AD21" s="28">
        <f t="shared" si="5"/>
        <v>1</v>
      </c>
      <c r="AE21" s="29">
        <f t="shared" si="6"/>
        <v>4</v>
      </c>
      <c r="AF21" s="28">
        <f t="shared" si="7"/>
        <v>1</v>
      </c>
      <c r="AG21" s="28">
        <f t="shared" si="8"/>
        <v>1</v>
      </c>
      <c r="AH21" s="28">
        <f t="shared" si="9"/>
        <v>0</v>
      </c>
      <c r="AI21" s="28">
        <f t="shared" si="10"/>
        <v>1</v>
      </c>
      <c r="AJ21" s="28">
        <f t="shared" si="11"/>
        <v>1</v>
      </c>
      <c r="AK21" s="29">
        <f t="shared" si="12"/>
        <v>4</v>
      </c>
      <c r="AL21" s="28">
        <f t="shared" si="13"/>
        <v>1</v>
      </c>
      <c r="AM21" s="28">
        <f t="shared" si="14"/>
        <v>1</v>
      </c>
      <c r="AN21" s="28">
        <f t="shared" si="15"/>
        <v>1</v>
      </c>
      <c r="AO21" s="28">
        <f t="shared" si="16"/>
        <v>0</v>
      </c>
      <c r="AP21" s="28">
        <f t="shared" si="17"/>
        <v>1</v>
      </c>
      <c r="AQ21" s="29">
        <f t="shared" si="18"/>
        <v>4</v>
      </c>
      <c r="AR21" s="28">
        <f t="shared" si="19"/>
        <v>0</v>
      </c>
      <c r="AS21" s="28">
        <f t="shared" si="20"/>
        <v>0</v>
      </c>
      <c r="AT21" s="28">
        <f t="shared" si="21"/>
        <v>1</v>
      </c>
      <c r="AU21" s="28">
        <f t="shared" si="22"/>
        <v>1</v>
      </c>
      <c r="AV21" s="28">
        <f t="shared" si="23"/>
        <v>0</v>
      </c>
      <c r="AW21" s="29">
        <f t="shared" si="24"/>
        <v>2</v>
      </c>
      <c r="AX21" s="22"/>
      <c r="AY21" s="26">
        <f t="shared" si="25"/>
        <v>4</v>
      </c>
      <c r="AZ21" s="26">
        <f t="shared" si="26"/>
        <v>4</v>
      </c>
      <c r="BA21" s="26">
        <f t="shared" si="27"/>
        <v>4</v>
      </c>
      <c r="BB21" s="26">
        <f t="shared" si="28"/>
        <v>2</v>
      </c>
      <c r="BC21" s="30">
        <f t="shared" si="29"/>
        <v>70</v>
      </c>
    </row>
    <row r="22">
      <c r="A22" s="31">
        <f>IFERROR(__xludf.DUMMYFUNCTION("""COMPUTED_VALUE"""),45925.60360766204)</f>
        <v>45925.60361</v>
      </c>
      <c r="B22" s="32" t="str">
        <f>IFERROR(__xludf.DUMMYFUNCTION("""COMPUTED_VALUE"""),"Kafe arkan rafiqi")</f>
        <v>Kafe arkan rafiqi</v>
      </c>
      <c r="C22" s="27" t="str">
        <f>IFERROR(__xludf.DUMMYFUNCTION("""COMPUTED_VALUE"""),"A250055")</f>
        <v>A250055</v>
      </c>
      <c r="D22" s="27" t="str">
        <f>IFERROR(__xludf.DUMMYFUNCTION("""COMPUTED_VALUE"""),"MTs Putra")</f>
        <v>MTs Putra</v>
      </c>
      <c r="E22" s="27" t="str">
        <f>IFERROR(__xludf.DUMMYFUNCTION("""COMPUTED_VALUE"""),"Ya")</f>
        <v>Ya</v>
      </c>
      <c r="F22" s="32" t="str">
        <f>IFERROR(__xludf.DUMMYFUNCTION("""COMPUTED_VALUE"""),"B. Aku bersaksi bahwa tidak ada tuhan yang berhak di sembah kecuali Allah")</f>
        <v>B. Aku bersaksi bahwa tidak ada tuhan yang berhak di sembah kecuali Allah</v>
      </c>
      <c r="G22" s="32">
        <f>IFERROR(__xludf.DUMMYFUNCTION("""COMPUTED_VALUE"""),6.0)</f>
        <v>6</v>
      </c>
      <c r="H22" s="32" t="str">
        <f>IFERROR(__xludf.DUMMYFUNCTION("""COMPUTED_VALUE"""),"1 Syawwal")</f>
        <v>1 Syawwal</v>
      </c>
      <c r="I22" s="32" t="str">
        <f>IFERROR(__xludf.DUMMYFUNCTION("""COMPUTED_VALUE"""),"Al 'Alaq")</f>
        <v>Al 'Alaq</v>
      </c>
      <c r="J22" s="32" t="str">
        <f>IFERROR(__xludf.DUMMYFUNCTION("""COMPUTED_VALUE"""),"Utsman Bin Affan")</f>
        <v>Utsman Bin Affan</v>
      </c>
      <c r="K22" s="32" t="str">
        <f>IFERROR(__xludf.DUMMYFUNCTION("""COMPUTED_VALUE"""),"malas")</f>
        <v>malas</v>
      </c>
      <c r="L22" s="32" t="str">
        <f>IFERROR(__xludf.DUMMYFUNCTION("""COMPUTED_VALUE"""),"dan")</f>
        <v>dan</v>
      </c>
      <c r="M22" s="32" t="str">
        <f>IFERROR(__xludf.DUMMYFUNCTION("""COMPUTED_VALUE"""),"Hafsah mengatakan bahwa ia ingin belajar di pesantren.")</f>
        <v>Hafsah mengatakan bahwa ia ingin belajar di pesantren.</v>
      </c>
      <c r="N22" s="32" t="str">
        <f>IFERROR(__xludf.DUMMYFUNCTION("""COMPUTED_VALUE"""),"Kalimat 1")</f>
        <v>Kalimat 1</v>
      </c>
      <c r="O22" s="32" t="str">
        <f>IFERROR(__xludf.DUMMYFUNCTION("""COMPUTED_VALUE"""),"cahaya")</f>
        <v>cahaya</v>
      </c>
      <c r="P22" s="32" t="str">
        <f>IFERROR(__xludf.DUMMYFUNCTION("""COMPUTED_VALUE"""),"Parasitisme")</f>
        <v>Parasitisme</v>
      </c>
      <c r="Q22" s="32" t="str">
        <f>IFERROR(__xludf.DUMMYFUNCTION("""COMPUTED_VALUE"""),"Angin")</f>
        <v>Angin</v>
      </c>
      <c r="R22" s="32" t="str">
        <f>IFERROR(__xludf.DUMMYFUNCTION("""COMPUTED_VALUE"""),"belalang dan ular")</f>
        <v>belalang dan ular</v>
      </c>
      <c r="S22" s="32" t="str">
        <f>IFERROR(__xludf.DUMMYFUNCTION("""COMPUTED_VALUE"""),"Memiliki stomata")</f>
        <v>Memiliki stomata</v>
      </c>
      <c r="T22" s="32" t="str">
        <f>IFERROR(__xludf.DUMMYFUNCTION("""COMPUTED_VALUE"""),"Kelinci")</f>
        <v>Kelinci</v>
      </c>
      <c r="U22" s="32">
        <f>IFERROR(__xludf.DUMMYFUNCTION("""COMPUTED_VALUE"""),-64.0)</f>
        <v>-64</v>
      </c>
      <c r="V22" s="32" t="str">
        <f>IFERROR(__xludf.DUMMYFUNCTION("""COMPUTED_VALUE"""),"3/4")</f>
        <v>3/4</v>
      </c>
      <c r="W22" s="32" t="str">
        <f>IFERROR(__xludf.DUMMYFUNCTION("""COMPUTED_VALUE"""),"1.800 meter")</f>
        <v>1.800 meter</v>
      </c>
      <c r="X22" s="32" t="str">
        <f>IFERROR(__xludf.DUMMYFUNCTION("""COMPUTED_VALUE"""),"22 cm")</f>
        <v>22 cm</v>
      </c>
      <c r="Y22" s="32">
        <f>IFERROR(__xludf.DUMMYFUNCTION("""COMPUTED_VALUE"""),200.0)</f>
        <v>200</v>
      </c>
      <c r="Z22" s="28">
        <f t="shared" si="1"/>
        <v>1</v>
      </c>
      <c r="AA22" s="28">
        <f t="shared" si="2"/>
        <v>1</v>
      </c>
      <c r="AB22" s="28">
        <f t="shared" si="3"/>
        <v>1</v>
      </c>
      <c r="AC22" s="28">
        <f t="shared" si="4"/>
        <v>1</v>
      </c>
      <c r="AD22" s="28">
        <f t="shared" si="5"/>
        <v>0</v>
      </c>
      <c r="AE22" s="29">
        <f t="shared" si="6"/>
        <v>4</v>
      </c>
      <c r="AF22" s="28">
        <f t="shared" si="7"/>
        <v>0</v>
      </c>
      <c r="AG22" s="28">
        <f t="shared" si="8"/>
        <v>1</v>
      </c>
      <c r="AH22" s="28">
        <f t="shared" si="9"/>
        <v>1</v>
      </c>
      <c r="AI22" s="28">
        <f t="shared" si="10"/>
        <v>1</v>
      </c>
      <c r="AJ22" s="28">
        <f t="shared" si="11"/>
        <v>1</v>
      </c>
      <c r="AK22" s="29">
        <f t="shared" si="12"/>
        <v>4</v>
      </c>
      <c r="AL22" s="28">
        <f t="shared" si="13"/>
        <v>1</v>
      </c>
      <c r="AM22" s="28">
        <f t="shared" si="14"/>
        <v>1</v>
      </c>
      <c r="AN22" s="28">
        <f t="shared" si="15"/>
        <v>1</v>
      </c>
      <c r="AO22" s="28">
        <f t="shared" si="16"/>
        <v>0</v>
      </c>
      <c r="AP22" s="28">
        <f t="shared" si="17"/>
        <v>1</v>
      </c>
      <c r="AQ22" s="29">
        <f t="shared" si="18"/>
        <v>4</v>
      </c>
      <c r="AR22" s="28">
        <f t="shared" si="19"/>
        <v>1</v>
      </c>
      <c r="AS22" s="28">
        <f t="shared" si="20"/>
        <v>1</v>
      </c>
      <c r="AT22" s="28">
        <f t="shared" si="21"/>
        <v>1</v>
      </c>
      <c r="AU22" s="28">
        <f t="shared" si="22"/>
        <v>1</v>
      </c>
      <c r="AV22" s="28">
        <f t="shared" si="23"/>
        <v>0</v>
      </c>
      <c r="AW22" s="29">
        <f t="shared" si="24"/>
        <v>4</v>
      </c>
      <c r="AX22" s="22"/>
      <c r="AY22" s="26">
        <f t="shared" si="25"/>
        <v>4</v>
      </c>
      <c r="AZ22" s="26">
        <f t="shared" si="26"/>
        <v>4</v>
      </c>
      <c r="BA22" s="26">
        <f t="shared" si="27"/>
        <v>4</v>
      </c>
      <c r="BB22" s="26">
        <f t="shared" si="28"/>
        <v>4</v>
      </c>
      <c r="BC22" s="30">
        <f t="shared" si="29"/>
        <v>80</v>
      </c>
    </row>
    <row r="23">
      <c r="A23" s="31">
        <f>IFERROR(__xludf.DUMMYFUNCTION("""COMPUTED_VALUE"""),45925.7143866088)</f>
        <v>45925.71439</v>
      </c>
      <c r="B23" s="32" t="str">
        <f>IFERROR(__xludf.DUMMYFUNCTION("""COMPUTED_VALUE"""),"Shafwan Iyadh Addarimy")</f>
        <v>Shafwan Iyadh Addarimy</v>
      </c>
      <c r="C23" s="27" t="str">
        <f>IFERROR(__xludf.DUMMYFUNCTION("""COMPUTED_VALUE"""),"A250024")</f>
        <v>A250024</v>
      </c>
      <c r="D23" s="27" t="str">
        <f>IFERROR(__xludf.DUMMYFUNCTION("""COMPUTED_VALUE"""),"MTs Putra")</f>
        <v>MTs Putra</v>
      </c>
      <c r="E23" s="27" t="str">
        <f>IFERROR(__xludf.DUMMYFUNCTION("""COMPUTED_VALUE"""),"Ya")</f>
        <v>Ya</v>
      </c>
      <c r="F23" s="32" t="str">
        <f>IFERROR(__xludf.DUMMYFUNCTION("""COMPUTED_VALUE"""),"B. Aku bersaksi bahwa tidak ada tuhan yang berhak di sembah kecuali Allah")</f>
        <v>B. Aku bersaksi bahwa tidak ada tuhan yang berhak di sembah kecuali Allah</v>
      </c>
      <c r="G23" s="32">
        <f>IFERROR(__xludf.DUMMYFUNCTION("""COMPUTED_VALUE"""),6.0)</f>
        <v>6</v>
      </c>
      <c r="H23" s="32" t="str">
        <f>IFERROR(__xludf.DUMMYFUNCTION("""COMPUTED_VALUE"""),"4 Syawwal")</f>
        <v>4 Syawwal</v>
      </c>
      <c r="I23" s="32" t="str">
        <f>IFERROR(__xludf.DUMMYFUNCTION("""COMPUTED_VALUE"""),"Al 'Alaq")</f>
        <v>Al 'Alaq</v>
      </c>
      <c r="J23" s="32" t="str">
        <f>IFERROR(__xludf.DUMMYFUNCTION("""COMPUTED_VALUE"""),"Abu Bakar Ash Shiddiiq")</f>
        <v>Abu Bakar Ash Shiddiiq</v>
      </c>
      <c r="K23" s="32" t="str">
        <f>IFERROR(__xludf.DUMMYFUNCTION("""COMPUTED_VALUE"""),"malas")</f>
        <v>malas</v>
      </c>
      <c r="L23" s="32" t="str">
        <f>IFERROR(__xludf.DUMMYFUNCTION("""COMPUTED_VALUE"""),"dan")</f>
        <v>dan</v>
      </c>
      <c r="M23" s="32" t="str">
        <f>IFERROR(__xludf.DUMMYFUNCTION("""COMPUTED_VALUE"""),"Hafsah mengatakan bahwa ia ingin belajar di pesantren.")</f>
        <v>Hafsah mengatakan bahwa ia ingin belajar di pesantren.</v>
      </c>
      <c r="N23" s="32" t="str">
        <f>IFERROR(__xludf.DUMMYFUNCTION("""COMPUTED_VALUE"""),"Kalimat 1")</f>
        <v>Kalimat 1</v>
      </c>
      <c r="O23" s="32" t="str">
        <f>IFERROR(__xludf.DUMMYFUNCTION("""COMPUTED_VALUE"""),"cahaya")</f>
        <v>cahaya</v>
      </c>
      <c r="P23" s="32" t="str">
        <f>IFERROR(__xludf.DUMMYFUNCTION("""COMPUTED_VALUE"""),"Parasitisme")</f>
        <v>Parasitisme</v>
      </c>
      <c r="Q23" s="32" t="str">
        <f>IFERROR(__xludf.DUMMYFUNCTION("""COMPUTED_VALUE"""),"Angin")</f>
        <v>Angin</v>
      </c>
      <c r="R23" s="32" t="str">
        <f>IFERROR(__xludf.DUMMYFUNCTION("""COMPUTED_VALUE"""),"pipit dan burung hantu")</f>
        <v>pipit dan burung hantu</v>
      </c>
      <c r="S23" s="32" t="str">
        <f>IFERROR(__xludf.DUMMYFUNCTION("""COMPUTED_VALUE"""),"Memiliki stomata")</f>
        <v>Memiliki stomata</v>
      </c>
      <c r="T23" s="32" t="str">
        <f>IFERROR(__xludf.DUMMYFUNCTION("""COMPUTED_VALUE"""),"Komodo")</f>
        <v>Komodo</v>
      </c>
      <c r="U23" s="32">
        <f>IFERROR(__xludf.DUMMYFUNCTION("""COMPUTED_VALUE"""),-64.0)</f>
        <v>-64</v>
      </c>
      <c r="V23" s="32" t="str">
        <f>IFERROR(__xludf.DUMMYFUNCTION("""COMPUTED_VALUE"""),"3/4")</f>
        <v>3/4</v>
      </c>
      <c r="W23" s="32" t="str">
        <f>IFERROR(__xludf.DUMMYFUNCTION("""COMPUTED_VALUE"""),"2.100 meter")</f>
        <v>2.100 meter</v>
      </c>
      <c r="X23" s="32" t="str">
        <f>IFERROR(__xludf.DUMMYFUNCTION("""COMPUTED_VALUE"""),"22 cm")</f>
        <v>22 cm</v>
      </c>
      <c r="Y23" s="32">
        <f>IFERROR(__xludf.DUMMYFUNCTION("""COMPUTED_VALUE"""),600.0)</f>
        <v>600</v>
      </c>
      <c r="Z23" s="28">
        <f t="shared" si="1"/>
        <v>1</v>
      </c>
      <c r="AA23" s="28">
        <f t="shared" si="2"/>
        <v>1</v>
      </c>
      <c r="AB23" s="28">
        <f t="shared" si="3"/>
        <v>0</v>
      </c>
      <c r="AC23" s="28">
        <f t="shared" si="4"/>
        <v>1</v>
      </c>
      <c r="AD23" s="28">
        <f t="shared" si="5"/>
        <v>0</v>
      </c>
      <c r="AE23" s="29">
        <f t="shared" si="6"/>
        <v>3</v>
      </c>
      <c r="AF23" s="28">
        <f t="shared" si="7"/>
        <v>0</v>
      </c>
      <c r="AG23" s="28">
        <f t="shared" si="8"/>
        <v>1</v>
      </c>
      <c r="AH23" s="28">
        <f t="shared" si="9"/>
        <v>1</v>
      </c>
      <c r="AI23" s="28">
        <f t="shared" si="10"/>
        <v>1</v>
      </c>
      <c r="AJ23" s="28">
        <f t="shared" si="11"/>
        <v>1</v>
      </c>
      <c r="AK23" s="29">
        <f t="shared" si="12"/>
        <v>4</v>
      </c>
      <c r="AL23" s="28">
        <f t="shared" si="13"/>
        <v>1</v>
      </c>
      <c r="AM23" s="28">
        <f t="shared" si="14"/>
        <v>1</v>
      </c>
      <c r="AN23" s="28">
        <f t="shared" si="15"/>
        <v>0</v>
      </c>
      <c r="AO23" s="28">
        <f t="shared" si="16"/>
        <v>0</v>
      </c>
      <c r="AP23" s="28">
        <f t="shared" si="17"/>
        <v>0</v>
      </c>
      <c r="AQ23" s="29">
        <f t="shared" si="18"/>
        <v>2</v>
      </c>
      <c r="AR23" s="28">
        <f t="shared" si="19"/>
        <v>1</v>
      </c>
      <c r="AS23" s="28">
        <f t="shared" si="20"/>
        <v>1</v>
      </c>
      <c r="AT23" s="28">
        <f t="shared" si="21"/>
        <v>0</v>
      </c>
      <c r="AU23" s="28">
        <f t="shared" si="22"/>
        <v>1</v>
      </c>
      <c r="AV23" s="28">
        <f t="shared" si="23"/>
        <v>0</v>
      </c>
      <c r="AW23" s="29">
        <f t="shared" si="24"/>
        <v>3</v>
      </c>
      <c r="AX23" s="22"/>
      <c r="AY23" s="26">
        <f t="shared" si="25"/>
        <v>3</v>
      </c>
      <c r="AZ23" s="26">
        <f t="shared" si="26"/>
        <v>4</v>
      </c>
      <c r="BA23" s="26">
        <f t="shared" si="27"/>
        <v>2</v>
      </c>
      <c r="BB23" s="26">
        <f t="shared" si="28"/>
        <v>3</v>
      </c>
      <c r="BC23" s="30">
        <f t="shared" si="29"/>
        <v>60</v>
      </c>
    </row>
    <row r="24">
      <c r="A24" s="31">
        <f>IFERROR(__xludf.DUMMYFUNCTION("""COMPUTED_VALUE"""),45925.83866760417)</f>
        <v>45925.83867</v>
      </c>
      <c r="B24" s="32" t="str">
        <f>IFERROR(__xludf.DUMMYFUNCTION("""COMPUTED_VALUE"""),"Hana Dwi Rinjani")</f>
        <v>Hana Dwi Rinjani</v>
      </c>
      <c r="C24" s="27" t="str">
        <f>IFERROR(__xludf.DUMMYFUNCTION("""COMPUTED_VALUE"""),"D250024")</f>
        <v>D250024</v>
      </c>
      <c r="D24" s="27" t="str">
        <f>IFERROR(__xludf.DUMMYFUNCTION("""COMPUTED_VALUE"""),"MTs Putri")</f>
        <v>MTs Putri</v>
      </c>
      <c r="E24" s="27" t="str">
        <f>IFERROR(__xludf.DUMMYFUNCTION("""COMPUTED_VALUE"""),"Ya")</f>
        <v>Ya</v>
      </c>
      <c r="F24" s="32" t="str">
        <f>IFERROR(__xludf.DUMMYFUNCTION("""COMPUTED_VALUE"""),"B. Aku bersaksi bahwa tidak ada tuhan yang berhak di sembah kecuali Allah")</f>
        <v>B. Aku bersaksi bahwa tidak ada tuhan yang berhak di sembah kecuali Allah</v>
      </c>
      <c r="G24" s="32">
        <f>IFERROR(__xludf.DUMMYFUNCTION("""COMPUTED_VALUE"""),6.0)</f>
        <v>6</v>
      </c>
      <c r="H24" s="32" t="str">
        <f>IFERROR(__xludf.DUMMYFUNCTION("""COMPUTED_VALUE"""),"1 Syawwal")</f>
        <v>1 Syawwal</v>
      </c>
      <c r="I24" s="32" t="str">
        <f>IFERROR(__xludf.DUMMYFUNCTION("""COMPUTED_VALUE"""),"Al 'Alaq")</f>
        <v>Al 'Alaq</v>
      </c>
      <c r="J24" s="32" t="str">
        <f>IFERROR(__xludf.DUMMYFUNCTION("""COMPUTED_VALUE"""),"Ali Bin Abi Thalib")</f>
        <v>Ali Bin Abi Thalib</v>
      </c>
      <c r="K24" s="32" t="str">
        <f>IFERROR(__xludf.DUMMYFUNCTION("""COMPUTED_VALUE"""),"giat")</f>
        <v>giat</v>
      </c>
      <c r="L24" s="32" t="str">
        <f>IFERROR(__xludf.DUMMYFUNCTION("""COMPUTED_VALUE"""),"dan")</f>
        <v>dan</v>
      </c>
      <c r="M24" s="32" t="str">
        <f>IFERROR(__xludf.DUMMYFUNCTION("""COMPUTED_VALUE"""),"Hafsah mengatakan bahwa ia ingin belajar di pesantren.")</f>
        <v>Hafsah mengatakan bahwa ia ingin belajar di pesantren.</v>
      </c>
      <c r="N24" s="32" t="str">
        <f>IFERROR(__xludf.DUMMYFUNCTION("""COMPUTED_VALUE"""),"Kalimat 2")</f>
        <v>Kalimat 2</v>
      </c>
      <c r="O24" s="32" t="str">
        <f>IFERROR(__xludf.DUMMYFUNCTION("""COMPUTED_VALUE"""),"kehidupan")</f>
        <v>kehidupan</v>
      </c>
      <c r="P24" s="32" t="str">
        <f>IFERROR(__xludf.DUMMYFUNCTION("""COMPUTED_VALUE"""),"Parasitisme")</f>
        <v>Parasitisme</v>
      </c>
      <c r="Q24" s="32" t="str">
        <f>IFERROR(__xludf.DUMMYFUNCTION("""COMPUTED_VALUE"""),"Angin")</f>
        <v>Angin</v>
      </c>
      <c r="R24" s="32" t="str">
        <f>IFERROR(__xludf.DUMMYFUNCTION("""COMPUTED_VALUE"""),"belalang dan ular")</f>
        <v>belalang dan ular</v>
      </c>
      <c r="S24" s="32" t="str">
        <f>IFERROR(__xludf.DUMMYFUNCTION("""COMPUTED_VALUE"""),"Daun yang pipih dan lebar")</f>
        <v>Daun yang pipih dan lebar</v>
      </c>
      <c r="T24" s="32" t="str">
        <f>IFERROR(__xludf.DUMMYFUNCTION("""COMPUTED_VALUE"""),"Kelinci")</f>
        <v>Kelinci</v>
      </c>
      <c r="U24" s="32">
        <f>IFERROR(__xludf.DUMMYFUNCTION("""COMPUTED_VALUE"""),-64.0)</f>
        <v>-64</v>
      </c>
      <c r="V24" s="32" t="str">
        <f>IFERROR(__xludf.DUMMYFUNCTION("""COMPUTED_VALUE"""),"4/3")</f>
        <v>4/3</v>
      </c>
      <c r="W24" s="32" t="str">
        <f>IFERROR(__xludf.DUMMYFUNCTION("""COMPUTED_VALUE"""),"1.800 meter")</f>
        <v>1.800 meter</v>
      </c>
      <c r="X24" s="32" t="str">
        <f>IFERROR(__xludf.DUMMYFUNCTION("""COMPUTED_VALUE"""),"22 cm")</f>
        <v>22 cm</v>
      </c>
      <c r="Y24" s="32">
        <f>IFERROR(__xludf.DUMMYFUNCTION("""COMPUTED_VALUE"""),200.0)</f>
        <v>200</v>
      </c>
      <c r="Z24" s="28">
        <f t="shared" si="1"/>
        <v>1</v>
      </c>
      <c r="AA24" s="28">
        <f t="shared" si="2"/>
        <v>1</v>
      </c>
      <c r="AB24" s="28">
        <f t="shared" si="3"/>
        <v>1</v>
      </c>
      <c r="AC24" s="28">
        <f t="shared" si="4"/>
        <v>1</v>
      </c>
      <c r="AD24" s="28">
        <f t="shared" si="5"/>
        <v>1</v>
      </c>
      <c r="AE24" s="29">
        <f t="shared" si="6"/>
        <v>5</v>
      </c>
      <c r="AF24" s="28">
        <f t="shared" si="7"/>
        <v>1</v>
      </c>
      <c r="AG24" s="28">
        <f t="shared" si="8"/>
        <v>1</v>
      </c>
      <c r="AH24" s="28">
        <f t="shared" si="9"/>
        <v>1</v>
      </c>
      <c r="AI24" s="28">
        <f t="shared" si="10"/>
        <v>0</v>
      </c>
      <c r="AJ24" s="28">
        <f t="shared" si="11"/>
        <v>0</v>
      </c>
      <c r="AK24" s="29">
        <f t="shared" si="12"/>
        <v>3</v>
      </c>
      <c r="AL24" s="28">
        <f t="shared" si="13"/>
        <v>1</v>
      </c>
      <c r="AM24" s="28">
        <f t="shared" si="14"/>
        <v>1</v>
      </c>
      <c r="AN24" s="28">
        <f t="shared" si="15"/>
        <v>1</v>
      </c>
      <c r="AO24" s="28">
        <f t="shared" si="16"/>
        <v>0</v>
      </c>
      <c r="AP24" s="28">
        <f t="shared" si="17"/>
        <v>1</v>
      </c>
      <c r="AQ24" s="29">
        <f t="shared" si="18"/>
        <v>4</v>
      </c>
      <c r="AR24" s="28">
        <f t="shared" si="19"/>
        <v>1</v>
      </c>
      <c r="AS24" s="28">
        <f t="shared" si="20"/>
        <v>0</v>
      </c>
      <c r="AT24" s="28">
        <f t="shared" si="21"/>
        <v>1</v>
      </c>
      <c r="AU24" s="28">
        <f t="shared" si="22"/>
        <v>1</v>
      </c>
      <c r="AV24" s="28">
        <f t="shared" si="23"/>
        <v>0</v>
      </c>
      <c r="AW24" s="29">
        <f t="shared" si="24"/>
        <v>3</v>
      </c>
      <c r="AX24" s="22"/>
      <c r="AY24" s="26">
        <f t="shared" si="25"/>
        <v>5</v>
      </c>
      <c r="AZ24" s="26">
        <f t="shared" si="26"/>
        <v>3</v>
      </c>
      <c r="BA24" s="26">
        <f t="shared" si="27"/>
        <v>4</v>
      </c>
      <c r="BB24" s="26">
        <f t="shared" si="28"/>
        <v>3</v>
      </c>
      <c r="BC24" s="30">
        <f t="shared" si="29"/>
        <v>75</v>
      </c>
    </row>
    <row r="25">
      <c r="A25" s="31">
        <f>IFERROR(__xludf.DUMMYFUNCTION("""COMPUTED_VALUE"""),45926.45448480324)</f>
        <v>45926.45448</v>
      </c>
      <c r="B25" s="32" t="str">
        <f>IFERROR(__xludf.DUMMYFUNCTION("""COMPUTED_VALUE"""),"Muhammad Hilmy Ilyasa Rizal")</f>
        <v>Muhammad Hilmy Ilyasa Rizal</v>
      </c>
      <c r="C25" s="27" t="str">
        <f>IFERROR(__xludf.DUMMYFUNCTION("""COMPUTED_VALUE"""),"A250014")</f>
        <v>A250014</v>
      </c>
      <c r="D25" s="27" t="str">
        <f>IFERROR(__xludf.DUMMYFUNCTION("""COMPUTED_VALUE"""),"MTs Putra")</f>
        <v>MTs Putra</v>
      </c>
      <c r="E25" s="27" t="str">
        <f>IFERROR(__xludf.DUMMYFUNCTION("""COMPUTED_VALUE"""),"Ya")</f>
        <v>Ya</v>
      </c>
      <c r="F25" s="32" t="str">
        <f>IFERROR(__xludf.DUMMYFUNCTION("""COMPUTED_VALUE"""),"B. Aku bersaksi bahwa tidak ada tuhan yang berhak di sembah kecuali Allah")</f>
        <v>B. Aku bersaksi bahwa tidak ada tuhan yang berhak di sembah kecuali Allah</v>
      </c>
      <c r="G25" s="32">
        <f>IFERROR(__xludf.DUMMYFUNCTION("""COMPUTED_VALUE"""),6.0)</f>
        <v>6</v>
      </c>
      <c r="H25" s="32" t="str">
        <f>IFERROR(__xludf.DUMMYFUNCTION("""COMPUTED_VALUE"""),"1 Syawwal")</f>
        <v>1 Syawwal</v>
      </c>
      <c r="I25" s="32" t="str">
        <f>IFERROR(__xludf.DUMMYFUNCTION("""COMPUTED_VALUE"""),"Al 'Alaq")</f>
        <v>Al 'Alaq</v>
      </c>
      <c r="J25" s="32" t="str">
        <f>IFERROR(__xludf.DUMMYFUNCTION("""COMPUTED_VALUE"""),"Ali Bin Abi Thalib")</f>
        <v>Ali Bin Abi Thalib</v>
      </c>
      <c r="K25" s="32" t="str">
        <f>IFERROR(__xludf.DUMMYFUNCTION("""COMPUTED_VALUE"""),"giat")</f>
        <v>giat</v>
      </c>
      <c r="L25" s="32" t="str">
        <f>IFERROR(__xludf.DUMMYFUNCTION("""COMPUTED_VALUE"""),"dan")</f>
        <v>dan</v>
      </c>
      <c r="M25" s="32" t="str">
        <f>IFERROR(__xludf.DUMMYFUNCTION("""COMPUTED_VALUE"""),"Hafsah mengatakan bahwa ia ingin belajar di pesantren.")</f>
        <v>Hafsah mengatakan bahwa ia ingin belajar di pesantren.</v>
      </c>
      <c r="N25" s="32" t="str">
        <f>IFERROR(__xludf.DUMMYFUNCTION("""COMPUTED_VALUE"""),"Kalimat 2")</f>
        <v>Kalimat 2</v>
      </c>
      <c r="O25" s="32" t="str">
        <f>IFERROR(__xludf.DUMMYFUNCTION("""COMPUTED_VALUE"""),"cahaya")</f>
        <v>cahaya</v>
      </c>
      <c r="P25" s="32" t="str">
        <f>IFERROR(__xludf.DUMMYFUNCTION("""COMPUTED_VALUE"""),"Parasitisme")</f>
        <v>Parasitisme</v>
      </c>
      <c r="Q25" s="32" t="str">
        <f>IFERROR(__xludf.DUMMYFUNCTION("""COMPUTED_VALUE"""),"Angin")</f>
        <v>Angin</v>
      </c>
      <c r="R25" s="32" t="str">
        <f>IFERROR(__xludf.DUMMYFUNCTION("""COMPUTED_VALUE"""),"belalang dan ular")</f>
        <v>belalang dan ular</v>
      </c>
      <c r="S25" s="32" t="str">
        <f>IFERROR(__xludf.DUMMYFUNCTION("""COMPUTED_VALUE"""),"Memiliki stomata")</f>
        <v>Memiliki stomata</v>
      </c>
      <c r="T25" s="32" t="str">
        <f>IFERROR(__xludf.DUMMYFUNCTION("""COMPUTED_VALUE"""),"Kadal")</f>
        <v>Kadal</v>
      </c>
      <c r="U25" s="32">
        <f>IFERROR(__xludf.DUMMYFUNCTION("""COMPUTED_VALUE"""),-64.0)</f>
        <v>-64</v>
      </c>
      <c r="V25" s="32" t="str">
        <f>IFERROR(__xludf.DUMMYFUNCTION("""COMPUTED_VALUE"""),"3/8")</f>
        <v>3/8</v>
      </c>
      <c r="W25" s="32" t="str">
        <f>IFERROR(__xludf.DUMMYFUNCTION("""COMPUTED_VALUE"""),"1.800 meter")</f>
        <v>1.800 meter</v>
      </c>
      <c r="X25" s="32" t="str">
        <f>IFERROR(__xludf.DUMMYFUNCTION("""COMPUTED_VALUE"""),"22 cm")</f>
        <v>22 cm</v>
      </c>
      <c r="Y25" s="32">
        <f>IFERROR(__xludf.DUMMYFUNCTION("""COMPUTED_VALUE"""),200.0)</f>
        <v>200</v>
      </c>
      <c r="Z25" s="28">
        <f t="shared" si="1"/>
        <v>1</v>
      </c>
      <c r="AA25" s="28">
        <f t="shared" si="2"/>
        <v>1</v>
      </c>
      <c r="AB25" s="28">
        <f t="shared" si="3"/>
        <v>1</v>
      </c>
      <c r="AC25" s="28">
        <f t="shared" si="4"/>
        <v>1</v>
      </c>
      <c r="AD25" s="28">
        <f t="shared" si="5"/>
        <v>1</v>
      </c>
      <c r="AE25" s="29">
        <f t="shared" si="6"/>
        <v>5</v>
      </c>
      <c r="AF25" s="28">
        <f t="shared" si="7"/>
        <v>1</v>
      </c>
      <c r="AG25" s="28">
        <f t="shared" si="8"/>
        <v>1</v>
      </c>
      <c r="AH25" s="28">
        <f t="shared" si="9"/>
        <v>1</v>
      </c>
      <c r="AI25" s="28">
        <f t="shared" si="10"/>
        <v>0</v>
      </c>
      <c r="AJ25" s="28">
        <f t="shared" si="11"/>
        <v>1</v>
      </c>
      <c r="AK25" s="29">
        <f t="shared" si="12"/>
        <v>4</v>
      </c>
      <c r="AL25" s="28">
        <f t="shared" si="13"/>
        <v>1</v>
      </c>
      <c r="AM25" s="28">
        <f t="shared" si="14"/>
        <v>1</v>
      </c>
      <c r="AN25" s="28">
        <f t="shared" si="15"/>
        <v>1</v>
      </c>
      <c r="AO25" s="28">
        <f t="shared" si="16"/>
        <v>0</v>
      </c>
      <c r="AP25" s="28">
        <f t="shared" si="17"/>
        <v>0</v>
      </c>
      <c r="AQ25" s="29">
        <f t="shared" si="18"/>
        <v>3</v>
      </c>
      <c r="AR25" s="28">
        <f t="shared" si="19"/>
        <v>1</v>
      </c>
      <c r="AS25" s="28">
        <f t="shared" si="20"/>
        <v>0</v>
      </c>
      <c r="AT25" s="28">
        <f t="shared" si="21"/>
        <v>1</v>
      </c>
      <c r="AU25" s="28">
        <f t="shared" si="22"/>
        <v>1</v>
      </c>
      <c r="AV25" s="28">
        <f t="shared" si="23"/>
        <v>0</v>
      </c>
      <c r="AW25" s="29">
        <f t="shared" si="24"/>
        <v>3</v>
      </c>
      <c r="AX25" s="22"/>
      <c r="AY25" s="26">
        <f t="shared" si="25"/>
        <v>5</v>
      </c>
      <c r="AZ25" s="26">
        <f t="shared" si="26"/>
        <v>4</v>
      </c>
      <c r="BA25" s="26">
        <f t="shared" si="27"/>
        <v>3</v>
      </c>
      <c r="BB25" s="26">
        <f t="shared" si="28"/>
        <v>3</v>
      </c>
      <c r="BC25" s="30">
        <f t="shared" si="29"/>
        <v>75</v>
      </c>
    </row>
    <row r="26">
      <c r="A26" s="31">
        <f>IFERROR(__xludf.DUMMYFUNCTION("""COMPUTED_VALUE"""),45926.66487572917)</f>
        <v>45926.66488</v>
      </c>
      <c r="B26" s="34" t="str">
        <f>IFERROR(__xludf.DUMMYFUNCTION("""COMPUTED_VALUE"""),"Nahnurizko nabhan farghali ")</f>
        <v>Nahnurizko nabhan farghali </v>
      </c>
      <c r="C26" s="27" t="str">
        <f>IFERROR(__xludf.DUMMYFUNCTION("""COMPUTED_VALUE"""),"A250009")</f>
        <v>A250009</v>
      </c>
      <c r="D26" s="27" t="str">
        <f>IFERROR(__xludf.DUMMYFUNCTION("""COMPUTED_VALUE"""),"MTs Putra")</f>
        <v>MTs Putra</v>
      </c>
      <c r="E26" s="27" t="str">
        <f>IFERROR(__xludf.DUMMYFUNCTION("""COMPUTED_VALUE"""),"Ya")</f>
        <v>Ya</v>
      </c>
      <c r="F26" s="32" t="str">
        <f>IFERROR(__xludf.DUMMYFUNCTION("""COMPUTED_VALUE"""),"B. Aku bersaksi bahwa tidak ada tuhan yang berhak di sembah kecuali Allah")</f>
        <v>B. Aku bersaksi bahwa tidak ada tuhan yang berhak di sembah kecuali Allah</v>
      </c>
      <c r="G26" s="32">
        <f>IFERROR(__xludf.DUMMYFUNCTION("""COMPUTED_VALUE"""),6.0)</f>
        <v>6</v>
      </c>
      <c r="H26" s="32" t="str">
        <f>IFERROR(__xludf.DUMMYFUNCTION("""COMPUTED_VALUE"""),"1 Syawwal")</f>
        <v>1 Syawwal</v>
      </c>
      <c r="I26" s="32" t="str">
        <f>IFERROR(__xludf.DUMMYFUNCTION("""COMPUTED_VALUE"""),"Al 'Alaq")</f>
        <v>Al 'Alaq</v>
      </c>
      <c r="J26" s="32" t="str">
        <f>IFERROR(__xludf.DUMMYFUNCTION("""COMPUTED_VALUE"""),"Ali Bin Abi Thalib")</f>
        <v>Ali Bin Abi Thalib</v>
      </c>
      <c r="K26" s="32" t="str">
        <f>IFERROR(__xludf.DUMMYFUNCTION("""COMPUTED_VALUE"""),"giat")</f>
        <v>giat</v>
      </c>
      <c r="L26" s="32" t="str">
        <f>IFERROR(__xludf.DUMMYFUNCTION("""COMPUTED_VALUE"""),"dan")</f>
        <v>dan</v>
      </c>
      <c r="M26" s="32" t="str">
        <f>IFERROR(__xludf.DUMMYFUNCTION("""COMPUTED_VALUE"""),"Hafsah mengatakan bahwa ia ingin belajar di pesantren.")</f>
        <v>Hafsah mengatakan bahwa ia ingin belajar di pesantren.</v>
      </c>
      <c r="N26" s="32" t="str">
        <f>IFERROR(__xludf.DUMMYFUNCTION("""COMPUTED_VALUE"""),"Kalimat 1")</f>
        <v>Kalimat 1</v>
      </c>
      <c r="O26" s="32" t="str">
        <f>IFERROR(__xludf.DUMMYFUNCTION("""COMPUTED_VALUE"""),"cahaya")</f>
        <v>cahaya</v>
      </c>
      <c r="P26" s="32" t="str">
        <f>IFERROR(__xludf.DUMMYFUNCTION("""COMPUTED_VALUE"""),"Parasitisme")</f>
        <v>Parasitisme</v>
      </c>
      <c r="Q26" s="32" t="str">
        <f>IFERROR(__xludf.DUMMYFUNCTION("""COMPUTED_VALUE"""),"Angin")</f>
        <v>Angin</v>
      </c>
      <c r="R26" s="32" t="str">
        <f>IFERROR(__xludf.DUMMYFUNCTION("""COMPUTED_VALUE"""),"belalang dan ular")</f>
        <v>belalang dan ular</v>
      </c>
      <c r="S26" s="32" t="str">
        <f>IFERROR(__xludf.DUMMYFUNCTION("""COMPUTED_VALUE"""),"Daun yang pipih dan lebar")</f>
        <v>Daun yang pipih dan lebar</v>
      </c>
      <c r="T26" s="32" t="str">
        <f>IFERROR(__xludf.DUMMYFUNCTION("""COMPUTED_VALUE"""),"Kelinci")</f>
        <v>Kelinci</v>
      </c>
      <c r="U26" s="32">
        <f>IFERROR(__xludf.DUMMYFUNCTION("""COMPUTED_VALUE"""),-64.0)</f>
        <v>-64</v>
      </c>
      <c r="V26" s="32" t="str">
        <f>IFERROR(__xludf.DUMMYFUNCTION("""COMPUTED_VALUE"""),"3/4")</f>
        <v>3/4</v>
      </c>
      <c r="W26" s="32" t="str">
        <f>IFERROR(__xludf.DUMMYFUNCTION("""COMPUTED_VALUE"""),"1.800 meter")</f>
        <v>1.800 meter</v>
      </c>
      <c r="X26" s="32" t="str">
        <f>IFERROR(__xludf.DUMMYFUNCTION("""COMPUTED_VALUE"""),"22 cm")</f>
        <v>22 cm</v>
      </c>
      <c r="Y26" s="32">
        <f>IFERROR(__xludf.DUMMYFUNCTION("""COMPUTED_VALUE"""),200.0)</f>
        <v>200</v>
      </c>
      <c r="Z26" s="28">
        <f t="shared" si="1"/>
        <v>1</v>
      </c>
      <c r="AA26" s="28">
        <f t="shared" si="2"/>
        <v>1</v>
      </c>
      <c r="AB26" s="28">
        <f t="shared" si="3"/>
        <v>1</v>
      </c>
      <c r="AC26" s="28">
        <f t="shared" si="4"/>
        <v>1</v>
      </c>
      <c r="AD26" s="28">
        <f t="shared" si="5"/>
        <v>1</v>
      </c>
      <c r="AE26" s="29">
        <f t="shared" si="6"/>
        <v>5</v>
      </c>
      <c r="AF26" s="28">
        <f t="shared" si="7"/>
        <v>1</v>
      </c>
      <c r="AG26" s="28">
        <f t="shared" si="8"/>
        <v>1</v>
      </c>
      <c r="AH26" s="28">
        <f t="shared" si="9"/>
        <v>1</v>
      </c>
      <c r="AI26" s="28">
        <f t="shared" si="10"/>
        <v>1</v>
      </c>
      <c r="AJ26" s="28">
        <f t="shared" si="11"/>
        <v>1</v>
      </c>
      <c r="AK26" s="29">
        <f t="shared" si="12"/>
        <v>5</v>
      </c>
      <c r="AL26" s="28">
        <f t="shared" si="13"/>
        <v>1</v>
      </c>
      <c r="AM26" s="28">
        <f t="shared" si="14"/>
        <v>1</v>
      </c>
      <c r="AN26" s="28">
        <f t="shared" si="15"/>
        <v>1</v>
      </c>
      <c r="AO26" s="28">
        <f t="shared" si="16"/>
        <v>0</v>
      </c>
      <c r="AP26" s="28">
        <f t="shared" si="17"/>
        <v>1</v>
      </c>
      <c r="AQ26" s="29">
        <f t="shared" si="18"/>
        <v>4</v>
      </c>
      <c r="AR26" s="28">
        <f t="shared" si="19"/>
        <v>1</v>
      </c>
      <c r="AS26" s="28">
        <f t="shared" si="20"/>
        <v>1</v>
      </c>
      <c r="AT26" s="28">
        <f t="shared" si="21"/>
        <v>1</v>
      </c>
      <c r="AU26" s="28">
        <f t="shared" si="22"/>
        <v>1</v>
      </c>
      <c r="AV26" s="28">
        <f t="shared" si="23"/>
        <v>0</v>
      </c>
      <c r="AW26" s="29">
        <f t="shared" si="24"/>
        <v>4</v>
      </c>
      <c r="AX26" s="22"/>
      <c r="AY26" s="26">
        <f t="shared" si="25"/>
        <v>5</v>
      </c>
      <c r="AZ26" s="26">
        <f t="shared" si="26"/>
        <v>5</v>
      </c>
      <c r="BA26" s="26">
        <f t="shared" si="27"/>
        <v>4</v>
      </c>
      <c r="BB26" s="26">
        <f t="shared" si="28"/>
        <v>4</v>
      </c>
      <c r="BC26" s="30">
        <f t="shared" si="29"/>
        <v>90</v>
      </c>
    </row>
    <row r="27">
      <c r="A27" s="31">
        <f>IFERROR(__xludf.DUMMYFUNCTION("""COMPUTED_VALUE"""),45926.798331122685)</f>
        <v>45926.79833</v>
      </c>
      <c r="B27" s="32" t="str">
        <f>IFERROR(__xludf.DUMMYFUNCTION("""COMPUTED_VALUE"""),"Satria Panca Desmara")</f>
        <v>Satria Panca Desmara</v>
      </c>
      <c r="C27" s="35" t="str">
        <f>IFERROR(__xludf.DUMMYFUNCTION("""COMPUTED_VALUE"""),"A250028")</f>
        <v>A250028</v>
      </c>
      <c r="D27" s="27" t="str">
        <f>IFERROR(__xludf.DUMMYFUNCTION("""COMPUTED_VALUE"""),"MTs Putra")</f>
        <v>MTs Putra</v>
      </c>
      <c r="E27" s="27" t="str">
        <f>IFERROR(__xludf.DUMMYFUNCTION("""COMPUTED_VALUE"""),"Ya")</f>
        <v>Ya</v>
      </c>
      <c r="F27" s="32" t="str">
        <f>IFERROR(__xludf.DUMMYFUNCTION("""COMPUTED_VALUE"""),"B. Aku bersaksi bahwa tidak ada tuhan yang berhak di sembah kecuali Allah")</f>
        <v>B. Aku bersaksi bahwa tidak ada tuhan yang berhak di sembah kecuali Allah</v>
      </c>
      <c r="G27" s="32">
        <f>IFERROR(__xludf.DUMMYFUNCTION("""COMPUTED_VALUE"""),6.0)</f>
        <v>6</v>
      </c>
      <c r="H27" s="32" t="str">
        <f>IFERROR(__xludf.DUMMYFUNCTION("""COMPUTED_VALUE"""),"1 Syawwal")</f>
        <v>1 Syawwal</v>
      </c>
      <c r="I27" s="32" t="str">
        <f>IFERROR(__xludf.DUMMYFUNCTION("""COMPUTED_VALUE"""),"Al 'Alaq")</f>
        <v>Al 'Alaq</v>
      </c>
      <c r="J27" s="32" t="str">
        <f>IFERROR(__xludf.DUMMYFUNCTION("""COMPUTED_VALUE"""),"Ali Bin Abi Thalib")</f>
        <v>Ali Bin Abi Thalib</v>
      </c>
      <c r="K27" s="32" t="str">
        <f>IFERROR(__xludf.DUMMYFUNCTION("""COMPUTED_VALUE"""),"giat")</f>
        <v>giat</v>
      </c>
      <c r="L27" s="32" t="str">
        <f>IFERROR(__xludf.DUMMYFUNCTION("""COMPUTED_VALUE"""),"dan")</f>
        <v>dan</v>
      </c>
      <c r="M27" s="32" t="str">
        <f>IFERROR(__xludf.DUMMYFUNCTION("""COMPUTED_VALUE"""),"Hafsah mengatakan bahwa ia ingin belajar di pesantren.")</f>
        <v>Hafsah mengatakan bahwa ia ingin belajar di pesantren.</v>
      </c>
      <c r="N27" s="32" t="str">
        <f>IFERROR(__xludf.DUMMYFUNCTION("""COMPUTED_VALUE"""),"Kalimat 1")</f>
        <v>Kalimat 1</v>
      </c>
      <c r="O27" s="32" t="str">
        <f>IFERROR(__xludf.DUMMYFUNCTION("""COMPUTED_VALUE"""),"cahaya")</f>
        <v>cahaya</v>
      </c>
      <c r="P27" s="32" t="str">
        <f>IFERROR(__xludf.DUMMYFUNCTION("""COMPUTED_VALUE"""),"Parasitisme")</f>
        <v>Parasitisme</v>
      </c>
      <c r="Q27" s="32" t="str">
        <f>IFERROR(__xludf.DUMMYFUNCTION("""COMPUTED_VALUE"""),"Angin")</f>
        <v>Angin</v>
      </c>
      <c r="R27" s="32" t="str">
        <f>IFERROR(__xludf.DUMMYFUNCTION("""COMPUTED_VALUE"""),"belalang dan ular")</f>
        <v>belalang dan ular</v>
      </c>
      <c r="S27" s="32" t="str">
        <f>IFERROR(__xludf.DUMMYFUNCTION("""COMPUTED_VALUE"""),"Menghasilkan klorofil")</f>
        <v>Menghasilkan klorofil</v>
      </c>
      <c r="T27" s="32" t="str">
        <f>IFERROR(__xludf.DUMMYFUNCTION("""COMPUTED_VALUE"""),"Kelinci")</f>
        <v>Kelinci</v>
      </c>
      <c r="U27" s="32">
        <f>IFERROR(__xludf.DUMMYFUNCTION("""COMPUTED_VALUE"""),-64.0)</f>
        <v>-64</v>
      </c>
      <c r="V27" s="32" t="str">
        <f>IFERROR(__xludf.DUMMYFUNCTION("""COMPUTED_VALUE"""),"3/4")</f>
        <v>3/4</v>
      </c>
      <c r="W27" s="32" t="str">
        <f>IFERROR(__xludf.DUMMYFUNCTION("""COMPUTED_VALUE"""),"1.800 meter")</f>
        <v>1.800 meter</v>
      </c>
      <c r="X27" s="32" t="str">
        <f>IFERROR(__xludf.DUMMYFUNCTION("""COMPUTED_VALUE"""),"22 cm")</f>
        <v>22 cm</v>
      </c>
      <c r="Y27" s="32">
        <f>IFERROR(__xludf.DUMMYFUNCTION("""COMPUTED_VALUE"""),200.0)</f>
        <v>200</v>
      </c>
      <c r="Z27" s="28">
        <f t="shared" si="1"/>
        <v>1</v>
      </c>
      <c r="AA27" s="28">
        <f t="shared" si="2"/>
        <v>1</v>
      </c>
      <c r="AB27" s="28">
        <f t="shared" si="3"/>
        <v>1</v>
      </c>
      <c r="AC27" s="28">
        <f t="shared" si="4"/>
        <v>1</v>
      </c>
      <c r="AD27" s="28">
        <f t="shared" si="5"/>
        <v>1</v>
      </c>
      <c r="AE27" s="29">
        <f t="shared" si="6"/>
        <v>5</v>
      </c>
      <c r="AF27" s="28">
        <f t="shared" si="7"/>
        <v>1</v>
      </c>
      <c r="AG27" s="28">
        <f t="shared" si="8"/>
        <v>1</v>
      </c>
      <c r="AH27" s="28">
        <f t="shared" si="9"/>
        <v>1</v>
      </c>
      <c r="AI27" s="28">
        <f t="shared" si="10"/>
        <v>1</v>
      </c>
      <c r="AJ27" s="28">
        <f t="shared" si="11"/>
        <v>1</v>
      </c>
      <c r="AK27" s="29">
        <f t="shared" si="12"/>
        <v>5</v>
      </c>
      <c r="AL27" s="28">
        <f t="shared" si="13"/>
        <v>1</v>
      </c>
      <c r="AM27" s="28">
        <f t="shared" si="14"/>
        <v>1</v>
      </c>
      <c r="AN27" s="28">
        <f t="shared" si="15"/>
        <v>1</v>
      </c>
      <c r="AO27" s="28">
        <f t="shared" si="16"/>
        <v>1</v>
      </c>
      <c r="AP27" s="28">
        <f t="shared" si="17"/>
        <v>1</v>
      </c>
      <c r="AQ27" s="29">
        <f t="shared" si="18"/>
        <v>5</v>
      </c>
      <c r="AR27" s="28">
        <f t="shared" si="19"/>
        <v>1</v>
      </c>
      <c r="AS27" s="28">
        <f t="shared" si="20"/>
        <v>1</v>
      </c>
      <c r="AT27" s="28">
        <f t="shared" si="21"/>
        <v>1</v>
      </c>
      <c r="AU27" s="28">
        <f t="shared" si="22"/>
        <v>1</v>
      </c>
      <c r="AV27" s="28">
        <f t="shared" si="23"/>
        <v>0</v>
      </c>
      <c r="AW27" s="29">
        <f t="shared" si="24"/>
        <v>4</v>
      </c>
      <c r="AX27" s="22"/>
      <c r="AY27" s="26">
        <f t="shared" si="25"/>
        <v>5</v>
      </c>
      <c r="AZ27" s="26">
        <f t="shared" si="26"/>
        <v>5</v>
      </c>
      <c r="BA27" s="26">
        <f t="shared" si="27"/>
        <v>5</v>
      </c>
      <c r="BB27" s="26">
        <f t="shared" si="28"/>
        <v>4</v>
      </c>
      <c r="BC27" s="30">
        <f t="shared" si="29"/>
        <v>95</v>
      </c>
    </row>
    <row r="28">
      <c r="A28" s="31">
        <f>IFERROR(__xludf.DUMMYFUNCTION("""COMPUTED_VALUE"""),45926.856671574074)</f>
        <v>45926.85667</v>
      </c>
      <c r="B28" s="32" t="str">
        <f>IFERROR(__xludf.DUMMYFUNCTION("""COMPUTED_VALUE"""),"Hanifah Qurrotul 'Ain ")</f>
        <v>Hanifah Qurrotul 'Ain </v>
      </c>
      <c r="C28" s="27" t="str">
        <f>IFERROR(__xludf.DUMMYFUNCTION("""COMPUTED_VALUE"""),"D250002")</f>
        <v>D250002</v>
      </c>
      <c r="D28" s="27" t="str">
        <f>IFERROR(__xludf.DUMMYFUNCTION("""COMPUTED_VALUE"""),"MTs Putri")</f>
        <v>MTs Putri</v>
      </c>
      <c r="E28" s="27" t="str">
        <f>IFERROR(__xludf.DUMMYFUNCTION("""COMPUTED_VALUE"""),"Ya")</f>
        <v>Ya</v>
      </c>
      <c r="F28" s="32" t="str">
        <f>IFERROR(__xludf.DUMMYFUNCTION("""COMPUTED_VALUE"""),"B. Aku bersaksi bahwa tidak ada tuhan yang berhak di sembah kecuali Allah")</f>
        <v>B. Aku bersaksi bahwa tidak ada tuhan yang berhak di sembah kecuali Allah</v>
      </c>
      <c r="G28" s="32">
        <f>IFERROR(__xludf.DUMMYFUNCTION("""COMPUTED_VALUE"""),6.0)</f>
        <v>6</v>
      </c>
      <c r="H28" s="32" t="str">
        <f>IFERROR(__xludf.DUMMYFUNCTION("""COMPUTED_VALUE"""),"1 Syawwal")</f>
        <v>1 Syawwal</v>
      </c>
      <c r="I28" s="32" t="str">
        <f>IFERROR(__xludf.DUMMYFUNCTION("""COMPUTED_VALUE"""),"Al 'Alaq")</f>
        <v>Al 'Alaq</v>
      </c>
      <c r="J28" s="32" t="str">
        <f>IFERROR(__xludf.DUMMYFUNCTION("""COMPUTED_VALUE"""),"Ali Bin Abi Thalib")</f>
        <v>Ali Bin Abi Thalib</v>
      </c>
      <c r="K28" s="32" t="str">
        <f>IFERROR(__xludf.DUMMYFUNCTION("""COMPUTED_VALUE"""),"giat")</f>
        <v>giat</v>
      </c>
      <c r="L28" s="32" t="str">
        <f>IFERROR(__xludf.DUMMYFUNCTION("""COMPUTED_VALUE"""),"dan")</f>
        <v>dan</v>
      </c>
      <c r="M28" s="32" t="str">
        <f>IFERROR(__xludf.DUMMYFUNCTION("""COMPUTED_VALUE"""),"Hafsah mengatakan bahwa ia ingin belajar di pesantren.")</f>
        <v>Hafsah mengatakan bahwa ia ingin belajar di pesantren.</v>
      </c>
      <c r="N28" s="32" t="str">
        <f>IFERROR(__xludf.DUMMYFUNCTION("""COMPUTED_VALUE"""),"Kalimat 1")</f>
        <v>Kalimat 1</v>
      </c>
      <c r="O28" s="32" t="str">
        <f>IFERROR(__xludf.DUMMYFUNCTION("""COMPUTED_VALUE"""),"cahaya")</f>
        <v>cahaya</v>
      </c>
      <c r="P28" s="32" t="str">
        <f>IFERROR(__xludf.DUMMYFUNCTION("""COMPUTED_VALUE"""),"Parasitisme")</f>
        <v>Parasitisme</v>
      </c>
      <c r="Q28" s="32" t="str">
        <f>IFERROR(__xludf.DUMMYFUNCTION("""COMPUTED_VALUE"""),"Angin")</f>
        <v>Angin</v>
      </c>
      <c r="R28" s="32" t="str">
        <f>IFERROR(__xludf.DUMMYFUNCTION("""COMPUTED_VALUE"""),"belalang dan ular")</f>
        <v>belalang dan ular</v>
      </c>
      <c r="S28" s="32" t="str">
        <f>IFERROR(__xludf.DUMMYFUNCTION("""COMPUTED_VALUE"""),"Daun yang pipih dan lebar")</f>
        <v>Daun yang pipih dan lebar</v>
      </c>
      <c r="T28" s="32" t="str">
        <f>IFERROR(__xludf.DUMMYFUNCTION("""COMPUTED_VALUE"""),"Kelinci")</f>
        <v>Kelinci</v>
      </c>
      <c r="U28" s="32">
        <f>IFERROR(__xludf.DUMMYFUNCTION("""COMPUTED_VALUE"""),-64.0)</f>
        <v>-64</v>
      </c>
      <c r="V28" s="32">
        <f>IFERROR(__xludf.DUMMYFUNCTION("""COMPUTED_VALUE"""),1.0)</f>
        <v>1</v>
      </c>
      <c r="W28" s="32" t="str">
        <f>IFERROR(__xludf.DUMMYFUNCTION("""COMPUTED_VALUE"""),"1.800 meter")</f>
        <v>1.800 meter</v>
      </c>
      <c r="X28" s="32" t="str">
        <f>IFERROR(__xludf.DUMMYFUNCTION("""COMPUTED_VALUE"""),"22 cm")</f>
        <v>22 cm</v>
      </c>
      <c r="Y28" s="32">
        <f>IFERROR(__xludf.DUMMYFUNCTION("""COMPUTED_VALUE"""),200.0)</f>
        <v>200</v>
      </c>
      <c r="Z28" s="28">
        <f t="shared" si="1"/>
        <v>1</v>
      </c>
      <c r="AA28" s="28">
        <f t="shared" si="2"/>
        <v>1</v>
      </c>
      <c r="AB28" s="28">
        <f t="shared" si="3"/>
        <v>1</v>
      </c>
      <c r="AC28" s="28">
        <f t="shared" si="4"/>
        <v>1</v>
      </c>
      <c r="AD28" s="28">
        <f t="shared" si="5"/>
        <v>1</v>
      </c>
      <c r="AE28" s="29">
        <f t="shared" si="6"/>
        <v>5</v>
      </c>
      <c r="AF28" s="28">
        <f t="shared" si="7"/>
        <v>1</v>
      </c>
      <c r="AG28" s="28">
        <f t="shared" si="8"/>
        <v>1</v>
      </c>
      <c r="AH28" s="28">
        <f t="shared" si="9"/>
        <v>1</v>
      </c>
      <c r="AI28" s="28">
        <f t="shared" si="10"/>
        <v>1</v>
      </c>
      <c r="AJ28" s="28">
        <f t="shared" si="11"/>
        <v>1</v>
      </c>
      <c r="AK28" s="29">
        <f t="shared" si="12"/>
        <v>5</v>
      </c>
      <c r="AL28" s="28">
        <f t="shared" si="13"/>
        <v>1</v>
      </c>
      <c r="AM28" s="28">
        <f t="shared" si="14"/>
        <v>1</v>
      </c>
      <c r="AN28" s="28">
        <f t="shared" si="15"/>
        <v>1</v>
      </c>
      <c r="AO28" s="28">
        <f t="shared" si="16"/>
        <v>0</v>
      </c>
      <c r="AP28" s="28">
        <f t="shared" si="17"/>
        <v>1</v>
      </c>
      <c r="AQ28" s="29">
        <f t="shared" si="18"/>
        <v>4</v>
      </c>
      <c r="AR28" s="28">
        <f t="shared" si="19"/>
        <v>1</v>
      </c>
      <c r="AS28" s="28">
        <f t="shared" si="20"/>
        <v>0</v>
      </c>
      <c r="AT28" s="28">
        <f t="shared" si="21"/>
        <v>1</v>
      </c>
      <c r="AU28" s="28">
        <f t="shared" si="22"/>
        <v>1</v>
      </c>
      <c r="AV28" s="28">
        <f t="shared" si="23"/>
        <v>0</v>
      </c>
      <c r="AW28" s="29">
        <f t="shared" si="24"/>
        <v>3</v>
      </c>
      <c r="AX28" s="22"/>
      <c r="AY28" s="26">
        <f t="shared" si="25"/>
        <v>5</v>
      </c>
      <c r="AZ28" s="26">
        <f t="shared" si="26"/>
        <v>5</v>
      </c>
      <c r="BA28" s="26">
        <f t="shared" si="27"/>
        <v>4</v>
      </c>
      <c r="BB28" s="26">
        <f t="shared" si="28"/>
        <v>3</v>
      </c>
      <c r="BC28" s="30">
        <f t="shared" si="29"/>
        <v>85</v>
      </c>
    </row>
    <row r="29">
      <c r="A29" s="31">
        <f>IFERROR(__xludf.DUMMYFUNCTION("""COMPUTED_VALUE"""),45926.856941018515)</f>
        <v>45926.85694</v>
      </c>
      <c r="B29" s="32" t="str">
        <f>IFERROR(__xludf.DUMMYFUNCTION("""COMPUTED_VALUE"""),"Muhammad Asyam Abdullah ")</f>
        <v>Muhammad Asyam Abdullah </v>
      </c>
      <c r="C29" s="27" t="str">
        <f>IFERROR(__xludf.DUMMYFUNCTION("""COMPUTED_VALUE"""),"A250010")</f>
        <v>A250010</v>
      </c>
      <c r="D29" s="27" t="str">
        <f>IFERROR(__xludf.DUMMYFUNCTION("""COMPUTED_VALUE"""),"MTs Putra")</f>
        <v>MTs Putra</v>
      </c>
      <c r="E29" s="27" t="str">
        <f>IFERROR(__xludf.DUMMYFUNCTION("""COMPUTED_VALUE"""),"Ya")</f>
        <v>Ya</v>
      </c>
      <c r="F29" s="32" t="str">
        <f>IFERROR(__xludf.DUMMYFUNCTION("""COMPUTED_VALUE"""),"B. Aku bersaksi bahwa tidak ada tuhan yang berhak di sembah kecuali Allah")</f>
        <v>B. Aku bersaksi bahwa tidak ada tuhan yang berhak di sembah kecuali Allah</v>
      </c>
      <c r="G29" s="32">
        <f>IFERROR(__xludf.DUMMYFUNCTION("""COMPUTED_VALUE"""),6.0)</f>
        <v>6</v>
      </c>
      <c r="H29" s="32" t="str">
        <f>IFERROR(__xludf.DUMMYFUNCTION("""COMPUTED_VALUE"""),"1 Syawwal")</f>
        <v>1 Syawwal</v>
      </c>
      <c r="I29" s="32" t="str">
        <f>IFERROR(__xludf.DUMMYFUNCTION("""COMPUTED_VALUE"""),"Al 'Alaq")</f>
        <v>Al 'Alaq</v>
      </c>
      <c r="J29" s="32" t="str">
        <f>IFERROR(__xludf.DUMMYFUNCTION("""COMPUTED_VALUE"""),"Ali Bin Abi Thalib")</f>
        <v>Ali Bin Abi Thalib</v>
      </c>
      <c r="K29" s="32" t="str">
        <f>IFERROR(__xludf.DUMMYFUNCTION("""COMPUTED_VALUE"""),"malas")</f>
        <v>malas</v>
      </c>
      <c r="L29" s="32" t="str">
        <f>IFERROR(__xludf.DUMMYFUNCTION("""COMPUTED_VALUE"""),"dan")</f>
        <v>dan</v>
      </c>
      <c r="M29" s="32" t="str">
        <f>IFERROR(__xludf.DUMMYFUNCTION("""COMPUTED_VALUE"""),"Hafsah mengatakan bahwa ia ingin belajar di pesantren.")</f>
        <v>Hafsah mengatakan bahwa ia ingin belajar di pesantren.</v>
      </c>
      <c r="N29" s="32" t="str">
        <f>IFERROR(__xludf.DUMMYFUNCTION("""COMPUTED_VALUE"""),"Kalimat 2")</f>
        <v>Kalimat 2</v>
      </c>
      <c r="O29" s="32" t="str">
        <f>IFERROR(__xludf.DUMMYFUNCTION("""COMPUTED_VALUE"""),"cahaya")</f>
        <v>cahaya</v>
      </c>
      <c r="P29" s="32" t="str">
        <f>IFERROR(__xludf.DUMMYFUNCTION("""COMPUTED_VALUE"""),"Komensalisme")</f>
        <v>Komensalisme</v>
      </c>
      <c r="Q29" s="32" t="str">
        <f>IFERROR(__xludf.DUMMYFUNCTION("""COMPUTED_VALUE"""),"Angin")</f>
        <v>Angin</v>
      </c>
      <c r="R29" s="32" t="str">
        <f>IFERROR(__xludf.DUMMYFUNCTION("""COMPUTED_VALUE"""),"belalang dan ular")</f>
        <v>belalang dan ular</v>
      </c>
      <c r="S29" s="32" t="str">
        <f>IFERROR(__xludf.DUMMYFUNCTION("""COMPUTED_VALUE"""),"Menghasilkan klorofil")</f>
        <v>Menghasilkan klorofil</v>
      </c>
      <c r="T29" s="32" t="str">
        <f>IFERROR(__xludf.DUMMYFUNCTION("""COMPUTED_VALUE"""),"Buaya")</f>
        <v>Buaya</v>
      </c>
      <c r="U29" s="32">
        <f>IFERROR(__xludf.DUMMYFUNCTION("""COMPUTED_VALUE"""),-64.0)</f>
        <v>-64</v>
      </c>
      <c r="V29" s="32" t="str">
        <f>IFERROR(__xludf.DUMMYFUNCTION("""COMPUTED_VALUE"""),"3/4")</f>
        <v>3/4</v>
      </c>
      <c r="W29" s="32" t="str">
        <f>IFERROR(__xludf.DUMMYFUNCTION("""COMPUTED_VALUE"""),"1.800 meter")</f>
        <v>1.800 meter</v>
      </c>
      <c r="X29" s="32" t="str">
        <f>IFERROR(__xludf.DUMMYFUNCTION("""COMPUTED_VALUE"""),"22 cm")</f>
        <v>22 cm</v>
      </c>
      <c r="Y29" s="32">
        <f>IFERROR(__xludf.DUMMYFUNCTION("""COMPUTED_VALUE"""),200.0)</f>
        <v>200</v>
      </c>
      <c r="Z29" s="28">
        <f t="shared" si="1"/>
        <v>1</v>
      </c>
      <c r="AA29" s="28">
        <f t="shared" si="2"/>
        <v>1</v>
      </c>
      <c r="AB29" s="28">
        <f t="shared" si="3"/>
        <v>1</v>
      </c>
      <c r="AC29" s="28">
        <f t="shared" si="4"/>
        <v>1</v>
      </c>
      <c r="AD29" s="28">
        <f t="shared" si="5"/>
        <v>1</v>
      </c>
      <c r="AE29" s="29">
        <f t="shared" si="6"/>
        <v>5</v>
      </c>
      <c r="AF29" s="28">
        <f t="shared" si="7"/>
        <v>0</v>
      </c>
      <c r="AG29" s="28">
        <f t="shared" si="8"/>
        <v>1</v>
      </c>
      <c r="AH29" s="28">
        <f t="shared" si="9"/>
        <v>1</v>
      </c>
      <c r="AI29" s="28">
        <f t="shared" si="10"/>
        <v>0</v>
      </c>
      <c r="AJ29" s="28">
        <f t="shared" si="11"/>
        <v>1</v>
      </c>
      <c r="AK29" s="29">
        <f t="shared" si="12"/>
        <v>3</v>
      </c>
      <c r="AL29" s="28">
        <f t="shared" si="13"/>
        <v>0</v>
      </c>
      <c r="AM29" s="28">
        <f t="shared" si="14"/>
        <v>1</v>
      </c>
      <c r="AN29" s="28">
        <f t="shared" si="15"/>
        <v>1</v>
      </c>
      <c r="AO29" s="28">
        <f t="shared" si="16"/>
        <v>1</v>
      </c>
      <c r="AP29" s="28">
        <f t="shared" si="17"/>
        <v>0</v>
      </c>
      <c r="AQ29" s="29">
        <f t="shared" si="18"/>
        <v>3</v>
      </c>
      <c r="AR29" s="28">
        <f t="shared" si="19"/>
        <v>1</v>
      </c>
      <c r="AS29" s="28">
        <f t="shared" si="20"/>
        <v>1</v>
      </c>
      <c r="AT29" s="28">
        <f t="shared" si="21"/>
        <v>1</v>
      </c>
      <c r="AU29" s="28">
        <f t="shared" si="22"/>
        <v>1</v>
      </c>
      <c r="AV29" s="28">
        <f t="shared" si="23"/>
        <v>0</v>
      </c>
      <c r="AW29" s="29">
        <f t="shared" si="24"/>
        <v>4</v>
      </c>
      <c r="AX29" s="22"/>
      <c r="AY29" s="26">
        <f t="shared" si="25"/>
        <v>5</v>
      </c>
      <c r="AZ29" s="26">
        <f t="shared" si="26"/>
        <v>3</v>
      </c>
      <c r="BA29" s="26">
        <f t="shared" si="27"/>
        <v>3</v>
      </c>
      <c r="BB29" s="26">
        <f t="shared" si="28"/>
        <v>4</v>
      </c>
      <c r="BC29" s="30">
        <f t="shared" si="29"/>
        <v>75</v>
      </c>
    </row>
    <row r="30">
      <c r="A30" s="31">
        <f>IFERROR(__xludf.DUMMYFUNCTION("""COMPUTED_VALUE"""),45926.91359059028)</f>
        <v>45926.91359</v>
      </c>
      <c r="B30" s="32" t="str">
        <f>IFERROR(__xludf.DUMMYFUNCTION("""COMPUTED_VALUE"""),"NOUVALLDY FRZANI PRAYOGA")</f>
        <v>NOUVALLDY FRZANI PRAYOGA</v>
      </c>
      <c r="C30" s="27" t="str">
        <f>IFERROR(__xludf.DUMMYFUNCTION("""COMPUTED_VALUE"""),"A250023")</f>
        <v>A250023</v>
      </c>
      <c r="D30" s="27" t="str">
        <f>IFERROR(__xludf.DUMMYFUNCTION("""COMPUTED_VALUE"""),"MTs Putra")</f>
        <v>MTs Putra</v>
      </c>
      <c r="E30" s="27" t="str">
        <f>IFERROR(__xludf.DUMMYFUNCTION("""COMPUTED_VALUE"""),"Ya")</f>
        <v>Ya</v>
      </c>
      <c r="F30" s="32" t="str">
        <f>IFERROR(__xludf.DUMMYFUNCTION("""COMPUTED_VALUE"""),"B. Aku bersaksi bahwa tidak ada tuhan yang berhak di sembah kecuali Allah")</f>
        <v>B. Aku bersaksi bahwa tidak ada tuhan yang berhak di sembah kecuali Allah</v>
      </c>
      <c r="G30" s="32">
        <f>IFERROR(__xludf.DUMMYFUNCTION("""COMPUTED_VALUE"""),6.0)</f>
        <v>6</v>
      </c>
      <c r="H30" s="32" t="str">
        <f>IFERROR(__xludf.DUMMYFUNCTION("""COMPUTED_VALUE"""),"1 Syawwal")</f>
        <v>1 Syawwal</v>
      </c>
      <c r="I30" s="32" t="str">
        <f>IFERROR(__xludf.DUMMYFUNCTION("""COMPUTED_VALUE"""),"Al 'Alaq")</f>
        <v>Al 'Alaq</v>
      </c>
      <c r="J30" s="32" t="str">
        <f>IFERROR(__xludf.DUMMYFUNCTION("""COMPUTED_VALUE"""),"Ali Bin Abi Thalib")</f>
        <v>Ali Bin Abi Thalib</v>
      </c>
      <c r="K30" s="32" t="str">
        <f>IFERROR(__xludf.DUMMYFUNCTION("""COMPUTED_VALUE"""),"giat")</f>
        <v>giat</v>
      </c>
      <c r="L30" s="32" t="str">
        <f>IFERROR(__xludf.DUMMYFUNCTION("""COMPUTED_VALUE"""),"dan")</f>
        <v>dan</v>
      </c>
      <c r="M30" s="32" t="str">
        <f>IFERROR(__xludf.DUMMYFUNCTION("""COMPUTED_VALUE"""),"Hafsah berkata aku ingin belajar di pesantren.")</f>
        <v>Hafsah berkata aku ingin belajar di pesantren.</v>
      </c>
      <c r="N30" s="32" t="str">
        <f>IFERROR(__xludf.DUMMYFUNCTION("""COMPUTED_VALUE"""),"Kalimat 1")</f>
        <v>Kalimat 1</v>
      </c>
      <c r="O30" s="32" t="str">
        <f>IFERROR(__xludf.DUMMYFUNCTION("""COMPUTED_VALUE"""),"cahaya")</f>
        <v>cahaya</v>
      </c>
      <c r="P30" s="32" t="str">
        <f>IFERROR(__xludf.DUMMYFUNCTION("""COMPUTED_VALUE"""),"Parasitisme")</f>
        <v>Parasitisme</v>
      </c>
      <c r="Q30" s="32" t="str">
        <f>IFERROR(__xludf.DUMMYFUNCTION("""COMPUTED_VALUE"""),"Angin")</f>
        <v>Angin</v>
      </c>
      <c r="R30" s="32" t="str">
        <f>IFERROR(__xludf.DUMMYFUNCTION("""COMPUTED_VALUE"""),"belalang dan ular")</f>
        <v>belalang dan ular</v>
      </c>
      <c r="S30" s="32" t="str">
        <f>IFERROR(__xludf.DUMMYFUNCTION("""COMPUTED_VALUE"""),"Daun yang pipih dan lebar")</f>
        <v>Daun yang pipih dan lebar</v>
      </c>
      <c r="T30" s="32" t="str">
        <f>IFERROR(__xludf.DUMMYFUNCTION("""COMPUTED_VALUE"""),"Kelinci")</f>
        <v>Kelinci</v>
      </c>
      <c r="U30" s="32">
        <f>IFERROR(__xludf.DUMMYFUNCTION("""COMPUTED_VALUE"""),-64.0)</f>
        <v>-64</v>
      </c>
      <c r="V30" s="32" t="str">
        <f>IFERROR(__xludf.DUMMYFUNCTION("""COMPUTED_VALUE"""),"3/4")</f>
        <v>3/4</v>
      </c>
      <c r="W30" s="32" t="str">
        <f>IFERROR(__xludf.DUMMYFUNCTION("""COMPUTED_VALUE"""),"1.800 meter")</f>
        <v>1.800 meter</v>
      </c>
      <c r="X30" s="32" t="str">
        <f>IFERROR(__xludf.DUMMYFUNCTION("""COMPUTED_VALUE"""),"22 cm")</f>
        <v>22 cm</v>
      </c>
      <c r="Y30" s="32">
        <f>IFERROR(__xludf.DUMMYFUNCTION("""COMPUTED_VALUE"""),200.0)</f>
        <v>200</v>
      </c>
      <c r="Z30" s="28">
        <f t="shared" si="1"/>
        <v>1</v>
      </c>
      <c r="AA30" s="28">
        <f t="shared" si="2"/>
        <v>1</v>
      </c>
      <c r="AB30" s="28">
        <f t="shared" si="3"/>
        <v>1</v>
      </c>
      <c r="AC30" s="28">
        <f t="shared" si="4"/>
        <v>1</v>
      </c>
      <c r="AD30" s="28">
        <f t="shared" si="5"/>
        <v>1</v>
      </c>
      <c r="AE30" s="29">
        <f t="shared" si="6"/>
        <v>5</v>
      </c>
      <c r="AF30" s="28">
        <f t="shared" si="7"/>
        <v>1</v>
      </c>
      <c r="AG30" s="28">
        <f t="shared" si="8"/>
        <v>1</v>
      </c>
      <c r="AH30" s="28">
        <f t="shared" si="9"/>
        <v>0</v>
      </c>
      <c r="AI30" s="28">
        <f t="shared" si="10"/>
        <v>1</v>
      </c>
      <c r="AJ30" s="28">
        <f t="shared" si="11"/>
        <v>1</v>
      </c>
      <c r="AK30" s="29">
        <f t="shared" si="12"/>
        <v>4</v>
      </c>
      <c r="AL30" s="28">
        <f t="shared" si="13"/>
        <v>1</v>
      </c>
      <c r="AM30" s="28">
        <f t="shared" si="14"/>
        <v>1</v>
      </c>
      <c r="AN30" s="28">
        <f t="shared" si="15"/>
        <v>1</v>
      </c>
      <c r="AO30" s="28">
        <f t="shared" si="16"/>
        <v>0</v>
      </c>
      <c r="AP30" s="28">
        <f t="shared" si="17"/>
        <v>1</v>
      </c>
      <c r="AQ30" s="29">
        <f t="shared" si="18"/>
        <v>4</v>
      </c>
      <c r="AR30" s="28">
        <f t="shared" si="19"/>
        <v>1</v>
      </c>
      <c r="AS30" s="28">
        <f t="shared" si="20"/>
        <v>1</v>
      </c>
      <c r="AT30" s="28">
        <f t="shared" si="21"/>
        <v>1</v>
      </c>
      <c r="AU30" s="28">
        <f t="shared" si="22"/>
        <v>1</v>
      </c>
      <c r="AV30" s="28">
        <f t="shared" si="23"/>
        <v>0</v>
      </c>
      <c r="AW30" s="29">
        <f t="shared" si="24"/>
        <v>4</v>
      </c>
      <c r="AX30" s="22"/>
      <c r="AY30" s="26">
        <f t="shared" si="25"/>
        <v>5</v>
      </c>
      <c r="AZ30" s="26">
        <f t="shared" si="26"/>
        <v>4</v>
      </c>
      <c r="BA30" s="26">
        <f t="shared" si="27"/>
        <v>4</v>
      </c>
      <c r="BB30" s="26">
        <f t="shared" si="28"/>
        <v>4</v>
      </c>
      <c r="BC30" s="30">
        <f t="shared" si="29"/>
        <v>85</v>
      </c>
    </row>
    <row r="31">
      <c r="A31" s="31">
        <f>IFERROR(__xludf.DUMMYFUNCTION("""COMPUTED_VALUE"""),45927.29628578704)</f>
        <v>45927.29629</v>
      </c>
      <c r="B31" s="32" t="str">
        <f>IFERROR(__xludf.DUMMYFUNCTION("""COMPUTED_VALUE"""),"MUHAMMAD HANIF ASH SHIDDIQ")</f>
        <v>MUHAMMAD HANIF ASH SHIDDIQ</v>
      </c>
      <c r="C31" s="27" t="str">
        <f>IFERROR(__xludf.DUMMYFUNCTION("""COMPUTED_VALUE"""),"A250048")</f>
        <v>A250048</v>
      </c>
      <c r="D31" s="27" t="str">
        <f>IFERROR(__xludf.DUMMYFUNCTION("""COMPUTED_VALUE"""),"MTs Putra")</f>
        <v>MTs Putra</v>
      </c>
      <c r="E31" s="27" t="str">
        <f>IFERROR(__xludf.DUMMYFUNCTION("""COMPUTED_VALUE"""),"Ya")</f>
        <v>Ya</v>
      </c>
      <c r="F31" s="32" t="str">
        <f>IFERROR(__xludf.DUMMYFUNCTION("""COMPUTED_VALUE"""),"B. Aku bersaksi bahwa tidak ada tuhan yang berhak di sembah kecuali Allah")</f>
        <v>B. Aku bersaksi bahwa tidak ada tuhan yang berhak di sembah kecuali Allah</v>
      </c>
      <c r="G31" s="32">
        <f>IFERROR(__xludf.DUMMYFUNCTION("""COMPUTED_VALUE"""),6.0)</f>
        <v>6</v>
      </c>
      <c r="H31" s="32" t="str">
        <f>IFERROR(__xludf.DUMMYFUNCTION("""COMPUTED_VALUE"""),"1 Syawwal")</f>
        <v>1 Syawwal</v>
      </c>
      <c r="I31" s="32" t="str">
        <f>IFERROR(__xludf.DUMMYFUNCTION("""COMPUTED_VALUE"""),"Al 'Alaq")</f>
        <v>Al 'Alaq</v>
      </c>
      <c r="J31" s="32" t="str">
        <f>IFERROR(__xludf.DUMMYFUNCTION("""COMPUTED_VALUE"""),"Ali Bin Abi Thalib")</f>
        <v>Ali Bin Abi Thalib</v>
      </c>
      <c r="K31" s="32" t="str">
        <f>IFERROR(__xludf.DUMMYFUNCTION("""COMPUTED_VALUE"""),"malas")</f>
        <v>malas</v>
      </c>
      <c r="L31" s="32" t="str">
        <f>IFERROR(__xludf.DUMMYFUNCTION("""COMPUTED_VALUE"""),"dan")</f>
        <v>dan</v>
      </c>
      <c r="M31" s="32" t="str">
        <f>IFERROR(__xludf.DUMMYFUNCTION("""COMPUTED_VALUE"""),"Hafsah mengatakan bahwa ia ingin belajar di pesantren.")</f>
        <v>Hafsah mengatakan bahwa ia ingin belajar di pesantren.</v>
      </c>
      <c r="N31" s="32" t="str">
        <f>IFERROR(__xludf.DUMMYFUNCTION("""COMPUTED_VALUE"""),"Kalimat 2")</f>
        <v>Kalimat 2</v>
      </c>
      <c r="O31" s="32" t="str">
        <f>IFERROR(__xludf.DUMMYFUNCTION("""COMPUTED_VALUE"""),"cahaya")</f>
        <v>cahaya</v>
      </c>
      <c r="P31" s="32" t="str">
        <f>IFERROR(__xludf.DUMMYFUNCTION("""COMPUTED_VALUE"""),"Parasitisme")</f>
        <v>Parasitisme</v>
      </c>
      <c r="Q31" s="32" t="str">
        <f>IFERROR(__xludf.DUMMYFUNCTION("""COMPUTED_VALUE"""),"Angin")</f>
        <v>Angin</v>
      </c>
      <c r="R31" s="32" t="str">
        <f>IFERROR(__xludf.DUMMYFUNCTION("""COMPUTED_VALUE"""),"belalang dan ular")</f>
        <v>belalang dan ular</v>
      </c>
      <c r="S31" s="32" t="str">
        <f>IFERROR(__xludf.DUMMYFUNCTION("""COMPUTED_VALUE"""),"Menghasilkan klorofil")</f>
        <v>Menghasilkan klorofil</v>
      </c>
      <c r="T31" s="32" t="str">
        <f>IFERROR(__xludf.DUMMYFUNCTION("""COMPUTED_VALUE"""),"Buaya")</f>
        <v>Buaya</v>
      </c>
      <c r="U31" s="32">
        <f>IFERROR(__xludf.DUMMYFUNCTION("""COMPUTED_VALUE"""),-56.0)</f>
        <v>-56</v>
      </c>
      <c r="V31" s="32" t="str">
        <f>IFERROR(__xludf.DUMMYFUNCTION("""COMPUTED_VALUE"""),"3/4")</f>
        <v>3/4</v>
      </c>
      <c r="W31" s="32" t="str">
        <f>IFERROR(__xludf.DUMMYFUNCTION("""COMPUTED_VALUE"""),"1.800 meter")</f>
        <v>1.800 meter</v>
      </c>
      <c r="X31" s="32" t="str">
        <f>IFERROR(__xludf.DUMMYFUNCTION("""COMPUTED_VALUE"""),"22 cm")</f>
        <v>22 cm</v>
      </c>
      <c r="Y31" s="32">
        <f>IFERROR(__xludf.DUMMYFUNCTION("""COMPUTED_VALUE"""),200.0)</f>
        <v>200</v>
      </c>
      <c r="Z31" s="28">
        <f t="shared" si="1"/>
        <v>1</v>
      </c>
      <c r="AA31" s="28">
        <f t="shared" si="2"/>
        <v>1</v>
      </c>
      <c r="AB31" s="28">
        <f t="shared" si="3"/>
        <v>1</v>
      </c>
      <c r="AC31" s="28">
        <f t="shared" si="4"/>
        <v>1</v>
      </c>
      <c r="AD31" s="28">
        <f t="shared" si="5"/>
        <v>1</v>
      </c>
      <c r="AE31" s="29">
        <f t="shared" si="6"/>
        <v>5</v>
      </c>
      <c r="AF31" s="28">
        <f t="shared" si="7"/>
        <v>0</v>
      </c>
      <c r="AG31" s="28">
        <f t="shared" si="8"/>
        <v>1</v>
      </c>
      <c r="AH31" s="28">
        <f t="shared" si="9"/>
        <v>1</v>
      </c>
      <c r="AI31" s="28">
        <f t="shared" si="10"/>
        <v>0</v>
      </c>
      <c r="AJ31" s="28">
        <f t="shared" si="11"/>
        <v>1</v>
      </c>
      <c r="AK31" s="29">
        <f t="shared" si="12"/>
        <v>3</v>
      </c>
      <c r="AL31" s="28">
        <f t="shared" si="13"/>
        <v>1</v>
      </c>
      <c r="AM31" s="28">
        <f t="shared" si="14"/>
        <v>1</v>
      </c>
      <c r="AN31" s="28">
        <f t="shared" si="15"/>
        <v>1</v>
      </c>
      <c r="AO31" s="28">
        <f t="shared" si="16"/>
        <v>1</v>
      </c>
      <c r="AP31" s="28">
        <f t="shared" si="17"/>
        <v>0</v>
      </c>
      <c r="AQ31" s="29">
        <f t="shared" si="18"/>
        <v>4</v>
      </c>
      <c r="AR31" s="28">
        <f t="shared" si="19"/>
        <v>0</v>
      </c>
      <c r="AS31" s="28">
        <f t="shared" si="20"/>
        <v>1</v>
      </c>
      <c r="AT31" s="28">
        <f t="shared" si="21"/>
        <v>1</v>
      </c>
      <c r="AU31" s="28">
        <f t="shared" si="22"/>
        <v>1</v>
      </c>
      <c r="AV31" s="28">
        <f t="shared" si="23"/>
        <v>0</v>
      </c>
      <c r="AW31" s="29">
        <f t="shared" si="24"/>
        <v>3</v>
      </c>
      <c r="AX31" s="22"/>
      <c r="AY31" s="26">
        <f t="shared" si="25"/>
        <v>5</v>
      </c>
      <c r="AZ31" s="26">
        <f t="shared" si="26"/>
        <v>3</v>
      </c>
      <c r="BA31" s="26">
        <f t="shared" si="27"/>
        <v>4</v>
      </c>
      <c r="BB31" s="26">
        <f t="shared" si="28"/>
        <v>3</v>
      </c>
      <c r="BC31" s="30">
        <f t="shared" si="29"/>
        <v>75</v>
      </c>
    </row>
    <row r="32">
      <c r="A32" s="31">
        <f>IFERROR(__xludf.DUMMYFUNCTION("""COMPUTED_VALUE"""),45927.40113712963)</f>
        <v>45927.40114</v>
      </c>
      <c r="B32" s="32" t="str">
        <f>IFERROR(__xludf.DUMMYFUNCTION("""COMPUTED_VALUE"""),"Janeeta Candy Hinata")</f>
        <v>Janeeta Candy Hinata</v>
      </c>
      <c r="C32" s="27" t="str">
        <f>IFERROR(__xludf.DUMMYFUNCTION("""COMPUTED_VALUE"""),"D250004")</f>
        <v>D250004</v>
      </c>
      <c r="D32" s="27" t="str">
        <f>IFERROR(__xludf.DUMMYFUNCTION("""COMPUTED_VALUE"""),"MTs Putri")</f>
        <v>MTs Putri</v>
      </c>
      <c r="E32" s="27" t="str">
        <f>IFERROR(__xludf.DUMMYFUNCTION("""COMPUTED_VALUE"""),"Ya")</f>
        <v>Ya</v>
      </c>
      <c r="F32" s="32" t="str">
        <f>IFERROR(__xludf.DUMMYFUNCTION("""COMPUTED_VALUE"""),"B. Aku bersaksi bahwa tidak ada tuhan yang berhak di sembah kecuali Allah")</f>
        <v>B. Aku bersaksi bahwa tidak ada tuhan yang berhak di sembah kecuali Allah</v>
      </c>
      <c r="G32" s="32">
        <f>IFERROR(__xludf.DUMMYFUNCTION("""COMPUTED_VALUE"""),6.0)</f>
        <v>6</v>
      </c>
      <c r="H32" s="32" t="str">
        <f>IFERROR(__xludf.DUMMYFUNCTION("""COMPUTED_VALUE"""),"1 Syawwal")</f>
        <v>1 Syawwal</v>
      </c>
      <c r="I32" s="32" t="str">
        <f>IFERROR(__xludf.DUMMYFUNCTION("""COMPUTED_VALUE"""),"Al 'Alaq")</f>
        <v>Al 'Alaq</v>
      </c>
      <c r="J32" s="32" t="str">
        <f>IFERROR(__xludf.DUMMYFUNCTION("""COMPUTED_VALUE"""),"Ali Bin Abi Thalib")</f>
        <v>Ali Bin Abi Thalib</v>
      </c>
      <c r="K32" s="32" t="str">
        <f>IFERROR(__xludf.DUMMYFUNCTION("""COMPUTED_VALUE"""),"giat")</f>
        <v>giat</v>
      </c>
      <c r="L32" s="32" t="str">
        <f>IFERROR(__xludf.DUMMYFUNCTION("""COMPUTED_VALUE"""),"dan")</f>
        <v>dan</v>
      </c>
      <c r="M32" s="32" t="str">
        <f>IFERROR(__xludf.DUMMYFUNCTION("""COMPUTED_VALUE"""),"Hafsah mengatakan bahwa ia ingin belajar di pesantren.")</f>
        <v>Hafsah mengatakan bahwa ia ingin belajar di pesantren.</v>
      </c>
      <c r="N32" s="32" t="str">
        <f>IFERROR(__xludf.DUMMYFUNCTION("""COMPUTED_VALUE"""),"Kalimat 1")</f>
        <v>Kalimat 1</v>
      </c>
      <c r="O32" s="32" t="str">
        <f>IFERROR(__xludf.DUMMYFUNCTION("""COMPUTED_VALUE"""),"cahaya")</f>
        <v>cahaya</v>
      </c>
      <c r="P32" s="32" t="str">
        <f>IFERROR(__xludf.DUMMYFUNCTION("""COMPUTED_VALUE"""),"Komensalisme")</f>
        <v>Komensalisme</v>
      </c>
      <c r="Q32" s="32" t="str">
        <f>IFERROR(__xludf.DUMMYFUNCTION("""COMPUTED_VALUE"""),"Angin")</f>
        <v>Angin</v>
      </c>
      <c r="R32" s="32" t="str">
        <f>IFERROR(__xludf.DUMMYFUNCTION("""COMPUTED_VALUE"""),"belalang dan ular")</f>
        <v>belalang dan ular</v>
      </c>
      <c r="S32" s="32" t="str">
        <f>IFERROR(__xludf.DUMMYFUNCTION("""COMPUTED_VALUE"""),"Menghasilkan klorofil")</f>
        <v>Menghasilkan klorofil</v>
      </c>
      <c r="T32" s="32" t="str">
        <f>IFERROR(__xludf.DUMMYFUNCTION("""COMPUTED_VALUE"""),"Kelinci")</f>
        <v>Kelinci</v>
      </c>
      <c r="U32" s="32">
        <f>IFERROR(__xludf.DUMMYFUNCTION("""COMPUTED_VALUE"""),-64.0)</f>
        <v>-64</v>
      </c>
      <c r="V32" s="32" t="str">
        <f>IFERROR(__xludf.DUMMYFUNCTION("""COMPUTED_VALUE"""),"3/4")</f>
        <v>3/4</v>
      </c>
      <c r="W32" s="32" t="str">
        <f>IFERROR(__xludf.DUMMYFUNCTION("""COMPUTED_VALUE"""),"1.800 meter")</f>
        <v>1.800 meter</v>
      </c>
      <c r="X32" s="32" t="str">
        <f>IFERROR(__xludf.DUMMYFUNCTION("""COMPUTED_VALUE"""),"22 cm")</f>
        <v>22 cm</v>
      </c>
      <c r="Y32" s="32">
        <f>IFERROR(__xludf.DUMMYFUNCTION("""COMPUTED_VALUE"""),200.0)</f>
        <v>200</v>
      </c>
      <c r="Z32" s="28">
        <f t="shared" si="1"/>
        <v>1</v>
      </c>
      <c r="AA32" s="28">
        <f t="shared" si="2"/>
        <v>1</v>
      </c>
      <c r="AB32" s="28">
        <f t="shared" si="3"/>
        <v>1</v>
      </c>
      <c r="AC32" s="28">
        <f t="shared" si="4"/>
        <v>1</v>
      </c>
      <c r="AD32" s="28">
        <f t="shared" si="5"/>
        <v>1</v>
      </c>
      <c r="AE32" s="29">
        <f t="shared" si="6"/>
        <v>5</v>
      </c>
      <c r="AF32" s="28">
        <f t="shared" si="7"/>
        <v>1</v>
      </c>
      <c r="AG32" s="28">
        <f t="shared" si="8"/>
        <v>1</v>
      </c>
      <c r="AH32" s="28">
        <f t="shared" si="9"/>
        <v>1</v>
      </c>
      <c r="AI32" s="28">
        <f t="shared" si="10"/>
        <v>1</v>
      </c>
      <c r="AJ32" s="28">
        <f t="shared" si="11"/>
        <v>1</v>
      </c>
      <c r="AK32" s="29">
        <f t="shared" si="12"/>
        <v>5</v>
      </c>
      <c r="AL32" s="28">
        <f t="shared" si="13"/>
        <v>0</v>
      </c>
      <c r="AM32" s="28">
        <f t="shared" si="14"/>
        <v>1</v>
      </c>
      <c r="AN32" s="28">
        <f t="shared" si="15"/>
        <v>1</v>
      </c>
      <c r="AO32" s="28">
        <f t="shared" si="16"/>
        <v>1</v>
      </c>
      <c r="AP32" s="28">
        <f t="shared" si="17"/>
        <v>1</v>
      </c>
      <c r="AQ32" s="29">
        <f t="shared" si="18"/>
        <v>4</v>
      </c>
      <c r="AR32" s="28">
        <f t="shared" si="19"/>
        <v>1</v>
      </c>
      <c r="AS32" s="28">
        <f t="shared" si="20"/>
        <v>1</v>
      </c>
      <c r="AT32" s="28">
        <f t="shared" si="21"/>
        <v>1</v>
      </c>
      <c r="AU32" s="28">
        <f t="shared" si="22"/>
        <v>1</v>
      </c>
      <c r="AV32" s="28">
        <f t="shared" si="23"/>
        <v>0</v>
      </c>
      <c r="AW32" s="29">
        <f t="shared" si="24"/>
        <v>4</v>
      </c>
      <c r="AX32" s="22"/>
      <c r="AY32" s="26">
        <f t="shared" si="25"/>
        <v>5</v>
      </c>
      <c r="AZ32" s="26">
        <f t="shared" si="26"/>
        <v>5</v>
      </c>
      <c r="BA32" s="26">
        <f t="shared" si="27"/>
        <v>4</v>
      </c>
      <c r="BB32" s="26">
        <f t="shared" si="28"/>
        <v>4</v>
      </c>
      <c r="BC32" s="30">
        <f t="shared" si="29"/>
        <v>90</v>
      </c>
    </row>
    <row r="33">
      <c r="A33" s="31">
        <f>IFERROR(__xludf.DUMMYFUNCTION("""COMPUTED_VALUE"""),45927.41532101852)</f>
        <v>45927.41532</v>
      </c>
      <c r="B33" s="32" t="str">
        <f>IFERROR(__xludf.DUMMYFUNCTION("""COMPUTED_VALUE"""),"Alesha az zahra saputra")</f>
        <v>Alesha az zahra saputra</v>
      </c>
      <c r="C33" s="27" t="str">
        <f>IFERROR(__xludf.DUMMYFUNCTION("""COMPUTED_VALUE"""),"D250011")</f>
        <v>D250011</v>
      </c>
      <c r="D33" s="27" t="str">
        <f>IFERROR(__xludf.DUMMYFUNCTION("""COMPUTED_VALUE"""),"MTs Putri")</f>
        <v>MTs Putri</v>
      </c>
      <c r="E33" s="27" t="str">
        <f>IFERROR(__xludf.DUMMYFUNCTION("""COMPUTED_VALUE"""),"Ya")</f>
        <v>Ya</v>
      </c>
      <c r="F33" s="32" t="str">
        <f>IFERROR(__xludf.DUMMYFUNCTION("""COMPUTED_VALUE"""),"B. Aku bersaksi bahwa tidak ada tuhan yang berhak di sembah kecuali Allah")</f>
        <v>B. Aku bersaksi bahwa tidak ada tuhan yang berhak di sembah kecuali Allah</v>
      </c>
      <c r="G33" s="32">
        <f>IFERROR(__xludf.DUMMYFUNCTION("""COMPUTED_VALUE"""),6.0)</f>
        <v>6</v>
      </c>
      <c r="H33" s="32" t="str">
        <f>IFERROR(__xludf.DUMMYFUNCTION("""COMPUTED_VALUE"""),"1 Syawwal")</f>
        <v>1 Syawwal</v>
      </c>
      <c r="I33" s="32" t="str">
        <f>IFERROR(__xludf.DUMMYFUNCTION("""COMPUTED_VALUE"""),"Al 'Alaq")</f>
        <v>Al 'Alaq</v>
      </c>
      <c r="J33" s="32" t="str">
        <f>IFERROR(__xludf.DUMMYFUNCTION("""COMPUTED_VALUE"""),"Ali Bin Abi Thalib")</f>
        <v>Ali Bin Abi Thalib</v>
      </c>
      <c r="K33" s="32" t="str">
        <f>IFERROR(__xludf.DUMMYFUNCTION("""COMPUTED_VALUE"""),"giat")</f>
        <v>giat</v>
      </c>
      <c r="L33" s="32" t="str">
        <f>IFERROR(__xludf.DUMMYFUNCTION("""COMPUTED_VALUE"""),"dan")</f>
        <v>dan</v>
      </c>
      <c r="M33" s="32" t="str">
        <f>IFERROR(__xludf.DUMMYFUNCTION("""COMPUTED_VALUE"""),"Hafsah mengatakan bahwa ia ingin belajar di pesantren.")</f>
        <v>Hafsah mengatakan bahwa ia ingin belajar di pesantren.</v>
      </c>
      <c r="N33" s="32" t="str">
        <f>IFERROR(__xludf.DUMMYFUNCTION("""COMPUTED_VALUE"""),"Kalimat 1")</f>
        <v>Kalimat 1</v>
      </c>
      <c r="O33" s="32" t="str">
        <f>IFERROR(__xludf.DUMMYFUNCTION("""COMPUTED_VALUE"""),"cahaya")</f>
        <v>cahaya</v>
      </c>
      <c r="P33" s="32" t="str">
        <f>IFERROR(__xludf.DUMMYFUNCTION("""COMPUTED_VALUE"""),"Parasitisme")</f>
        <v>Parasitisme</v>
      </c>
      <c r="Q33" s="32" t="str">
        <f>IFERROR(__xludf.DUMMYFUNCTION("""COMPUTED_VALUE"""),"Angin")</f>
        <v>Angin</v>
      </c>
      <c r="R33" s="32" t="str">
        <f>IFERROR(__xludf.DUMMYFUNCTION("""COMPUTED_VALUE"""),"belalang dan ular")</f>
        <v>belalang dan ular</v>
      </c>
      <c r="S33" s="32" t="str">
        <f>IFERROR(__xludf.DUMMYFUNCTION("""COMPUTED_VALUE"""),"Daun yang pipih dan lebar")</f>
        <v>Daun yang pipih dan lebar</v>
      </c>
      <c r="T33" s="32" t="str">
        <f>IFERROR(__xludf.DUMMYFUNCTION("""COMPUTED_VALUE"""),"Kelinci")</f>
        <v>Kelinci</v>
      </c>
      <c r="U33" s="32">
        <f>IFERROR(__xludf.DUMMYFUNCTION("""COMPUTED_VALUE"""),-64.0)</f>
        <v>-64</v>
      </c>
      <c r="V33" s="32" t="str">
        <f>IFERROR(__xludf.DUMMYFUNCTION("""COMPUTED_VALUE"""),"3/4")</f>
        <v>3/4</v>
      </c>
      <c r="W33" s="32" t="str">
        <f>IFERROR(__xludf.DUMMYFUNCTION("""COMPUTED_VALUE"""),"1.800 meter")</f>
        <v>1.800 meter</v>
      </c>
      <c r="X33" s="32" t="str">
        <f>IFERROR(__xludf.DUMMYFUNCTION("""COMPUTED_VALUE"""),"22 cm")</f>
        <v>22 cm</v>
      </c>
      <c r="Y33" s="32">
        <f>IFERROR(__xludf.DUMMYFUNCTION("""COMPUTED_VALUE"""),200.0)</f>
        <v>200</v>
      </c>
      <c r="Z33" s="28">
        <f t="shared" si="1"/>
        <v>1</v>
      </c>
      <c r="AA33" s="28">
        <f t="shared" si="2"/>
        <v>1</v>
      </c>
      <c r="AB33" s="28">
        <f t="shared" si="3"/>
        <v>1</v>
      </c>
      <c r="AC33" s="28">
        <f t="shared" si="4"/>
        <v>1</v>
      </c>
      <c r="AD33" s="28">
        <f t="shared" si="5"/>
        <v>1</v>
      </c>
      <c r="AE33" s="29">
        <f t="shared" si="6"/>
        <v>5</v>
      </c>
      <c r="AF33" s="28">
        <f t="shared" si="7"/>
        <v>1</v>
      </c>
      <c r="AG33" s="28">
        <f t="shared" si="8"/>
        <v>1</v>
      </c>
      <c r="AH33" s="28">
        <f t="shared" si="9"/>
        <v>1</v>
      </c>
      <c r="AI33" s="28">
        <f t="shared" si="10"/>
        <v>1</v>
      </c>
      <c r="AJ33" s="28">
        <f t="shared" si="11"/>
        <v>1</v>
      </c>
      <c r="AK33" s="29">
        <f t="shared" si="12"/>
        <v>5</v>
      </c>
      <c r="AL33" s="28">
        <f t="shared" si="13"/>
        <v>1</v>
      </c>
      <c r="AM33" s="28">
        <f t="shared" si="14"/>
        <v>1</v>
      </c>
      <c r="AN33" s="28">
        <f t="shared" si="15"/>
        <v>1</v>
      </c>
      <c r="AO33" s="28">
        <f t="shared" si="16"/>
        <v>0</v>
      </c>
      <c r="AP33" s="28">
        <f t="shared" si="17"/>
        <v>1</v>
      </c>
      <c r="AQ33" s="29">
        <f t="shared" si="18"/>
        <v>4</v>
      </c>
      <c r="AR33" s="28">
        <f t="shared" si="19"/>
        <v>1</v>
      </c>
      <c r="AS33" s="28">
        <f t="shared" si="20"/>
        <v>1</v>
      </c>
      <c r="AT33" s="28">
        <f t="shared" si="21"/>
        <v>1</v>
      </c>
      <c r="AU33" s="28">
        <f t="shared" si="22"/>
        <v>1</v>
      </c>
      <c r="AV33" s="28">
        <f t="shared" si="23"/>
        <v>0</v>
      </c>
      <c r="AW33" s="29">
        <f t="shared" si="24"/>
        <v>4</v>
      </c>
      <c r="AX33" s="22"/>
      <c r="AY33" s="26">
        <f t="shared" si="25"/>
        <v>5</v>
      </c>
      <c r="AZ33" s="26">
        <f t="shared" si="26"/>
        <v>5</v>
      </c>
      <c r="BA33" s="26">
        <f t="shared" si="27"/>
        <v>4</v>
      </c>
      <c r="BB33" s="26">
        <f t="shared" si="28"/>
        <v>4</v>
      </c>
      <c r="BC33" s="30">
        <f t="shared" si="29"/>
        <v>90</v>
      </c>
    </row>
    <row r="34">
      <c r="A34" s="31">
        <f>IFERROR(__xludf.DUMMYFUNCTION("""COMPUTED_VALUE"""),45927.60206704861)</f>
        <v>45927.60207</v>
      </c>
      <c r="B34" s="32" t="str">
        <f>IFERROR(__xludf.DUMMYFUNCTION("""COMPUTED_VALUE"""),"Muhammad Kamil Athaillah Rizki")</f>
        <v>Muhammad Kamil Athaillah Rizki</v>
      </c>
      <c r="C34" s="27" t="str">
        <f>IFERROR(__xludf.DUMMYFUNCTION("""COMPUTED_VALUE"""),"A250053")</f>
        <v>A250053</v>
      </c>
      <c r="D34" s="27" t="str">
        <f>IFERROR(__xludf.DUMMYFUNCTION("""COMPUTED_VALUE"""),"MTs Putra")</f>
        <v>MTs Putra</v>
      </c>
      <c r="E34" s="27" t="str">
        <f>IFERROR(__xludf.DUMMYFUNCTION("""COMPUTED_VALUE"""),"Ya")</f>
        <v>Ya</v>
      </c>
      <c r="F34" s="32" t="str">
        <f>IFERROR(__xludf.DUMMYFUNCTION("""COMPUTED_VALUE"""),"B. Aku bersaksi bahwa tidak ada tuhan yang berhak di sembah kecuali Allah")</f>
        <v>B. Aku bersaksi bahwa tidak ada tuhan yang berhak di sembah kecuali Allah</v>
      </c>
      <c r="G34" s="32">
        <f>IFERROR(__xludf.DUMMYFUNCTION("""COMPUTED_VALUE"""),6.0)</f>
        <v>6</v>
      </c>
      <c r="H34" s="32" t="str">
        <f>IFERROR(__xludf.DUMMYFUNCTION("""COMPUTED_VALUE"""),"1 Syawwal")</f>
        <v>1 Syawwal</v>
      </c>
      <c r="I34" s="32" t="str">
        <f>IFERROR(__xludf.DUMMYFUNCTION("""COMPUTED_VALUE"""),"Al 'Alaq")</f>
        <v>Al 'Alaq</v>
      </c>
      <c r="J34" s="32" t="str">
        <f>IFERROR(__xludf.DUMMYFUNCTION("""COMPUTED_VALUE"""),"Ali Bin Abi Thalib")</f>
        <v>Ali Bin Abi Thalib</v>
      </c>
      <c r="K34" s="32" t="str">
        <f>IFERROR(__xludf.DUMMYFUNCTION("""COMPUTED_VALUE"""),"malas")</f>
        <v>malas</v>
      </c>
      <c r="L34" s="32" t="str">
        <f>IFERROR(__xludf.DUMMYFUNCTION("""COMPUTED_VALUE"""),"dan")</f>
        <v>dan</v>
      </c>
      <c r="M34" s="32" t="str">
        <f>IFERROR(__xludf.DUMMYFUNCTION("""COMPUTED_VALUE"""),"Aku berkata Hafsah ingin belajar di pesantren.")</f>
        <v>Aku berkata Hafsah ingin belajar di pesantren.</v>
      </c>
      <c r="N34" s="32" t="str">
        <f>IFERROR(__xludf.DUMMYFUNCTION("""COMPUTED_VALUE"""),"Kalimat 1")</f>
        <v>Kalimat 1</v>
      </c>
      <c r="O34" s="32" t="str">
        <f>IFERROR(__xludf.DUMMYFUNCTION("""COMPUTED_VALUE"""),"cahaya")</f>
        <v>cahaya</v>
      </c>
      <c r="P34" s="32" t="str">
        <f>IFERROR(__xludf.DUMMYFUNCTION("""COMPUTED_VALUE"""),"Parasitisme")</f>
        <v>Parasitisme</v>
      </c>
      <c r="Q34" s="32" t="str">
        <f>IFERROR(__xludf.DUMMYFUNCTION("""COMPUTED_VALUE"""),"Angin")</f>
        <v>Angin</v>
      </c>
      <c r="R34" s="32" t="str">
        <f>IFERROR(__xludf.DUMMYFUNCTION("""COMPUTED_VALUE"""),"belalang dan ular")</f>
        <v>belalang dan ular</v>
      </c>
      <c r="S34" s="32" t="str">
        <f>IFERROR(__xludf.DUMMYFUNCTION("""COMPUTED_VALUE"""),"Memiliki stomata")</f>
        <v>Memiliki stomata</v>
      </c>
      <c r="T34" s="32" t="str">
        <f>IFERROR(__xludf.DUMMYFUNCTION("""COMPUTED_VALUE"""),"Kelinci")</f>
        <v>Kelinci</v>
      </c>
      <c r="U34" s="32">
        <f>IFERROR(__xludf.DUMMYFUNCTION("""COMPUTED_VALUE"""),-64.0)</f>
        <v>-64</v>
      </c>
      <c r="V34" s="32" t="str">
        <f>IFERROR(__xludf.DUMMYFUNCTION("""COMPUTED_VALUE"""),"3/4")</f>
        <v>3/4</v>
      </c>
      <c r="W34" s="32" t="str">
        <f>IFERROR(__xludf.DUMMYFUNCTION("""COMPUTED_VALUE"""),"1.800 meter")</f>
        <v>1.800 meter</v>
      </c>
      <c r="X34" s="32" t="str">
        <f>IFERROR(__xludf.DUMMYFUNCTION("""COMPUTED_VALUE"""),"11 cm")</f>
        <v>11 cm</v>
      </c>
      <c r="Y34" s="32">
        <f>IFERROR(__xludf.DUMMYFUNCTION("""COMPUTED_VALUE"""),200.0)</f>
        <v>200</v>
      </c>
      <c r="Z34" s="28">
        <f t="shared" si="1"/>
        <v>1</v>
      </c>
      <c r="AA34" s="28">
        <f t="shared" si="2"/>
        <v>1</v>
      </c>
      <c r="AB34" s="28">
        <f t="shared" si="3"/>
        <v>1</v>
      </c>
      <c r="AC34" s="28">
        <f t="shared" si="4"/>
        <v>1</v>
      </c>
      <c r="AD34" s="28">
        <f t="shared" si="5"/>
        <v>1</v>
      </c>
      <c r="AE34" s="29">
        <f t="shared" si="6"/>
        <v>5</v>
      </c>
      <c r="AF34" s="28">
        <f t="shared" si="7"/>
        <v>0</v>
      </c>
      <c r="AG34" s="28">
        <f t="shared" si="8"/>
        <v>1</v>
      </c>
      <c r="AH34" s="28">
        <f t="shared" si="9"/>
        <v>0</v>
      </c>
      <c r="AI34" s="28">
        <f t="shared" si="10"/>
        <v>1</v>
      </c>
      <c r="AJ34" s="28">
        <f t="shared" si="11"/>
        <v>1</v>
      </c>
      <c r="AK34" s="29">
        <f t="shared" si="12"/>
        <v>3</v>
      </c>
      <c r="AL34" s="28">
        <f t="shared" si="13"/>
        <v>1</v>
      </c>
      <c r="AM34" s="28">
        <f t="shared" si="14"/>
        <v>1</v>
      </c>
      <c r="AN34" s="28">
        <f t="shared" si="15"/>
        <v>1</v>
      </c>
      <c r="AO34" s="28">
        <f t="shared" si="16"/>
        <v>0</v>
      </c>
      <c r="AP34" s="28">
        <f t="shared" si="17"/>
        <v>1</v>
      </c>
      <c r="AQ34" s="29">
        <f t="shared" si="18"/>
        <v>4</v>
      </c>
      <c r="AR34" s="28">
        <f t="shared" si="19"/>
        <v>1</v>
      </c>
      <c r="AS34" s="28">
        <f t="shared" si="20"/>
        <v>1</v>
      </c>
      <c r="AT34" s="28">
        <f t="shared" si="21"/>
        <v>1</v>
      </c>
      <c r="AU34" s="28">
        <f t="shared" si="22"/>
        <v>0</v>
      </c>
      <c r="AV34" s="28">
        <f t="shared" si="23"/>
        <v>0</v>
      </c>
      <c r="AW34" s="29">
        <f t="shared" si="24"/>
        <v>3</v>
      </c>
      <c r="AX34" s="22"/>
      <c r="AY34" s="26">
        <f t="shared" si="25"/>
        <v>5</v>
      </c>
      <c r="AZ34" s="26">
        <f t="shared" si="26"/>
        <v>3</v>
      </c>
      <c r="BA34" s="26">
        <f t="shared" si="27"/>
        <v>4</v>
      </c>
      <c r="BB34" s="26">
        <f t="shared" si="28"/>
        <v>3</v>
      </c>
      <c r="BC34" s="30">
        <f t="shared" si="29"/>
        <v>75</v>
      </c>
    </row>
    <row r="35">
      <c r="A35" s="31">
        <f>IFERROR(__xludf.DUMMYFUNCTION("""COMPUTED_VALUE"""),45927.65510923611)</f>
        <v>45927.65511</v>
      </c>
      <c r="B35" s="32" t="str">
        <f>IFERROR(__xludf.DUMMYFUNCTION("""COMPUTED_VALUE"""),"Lazuardi Akbar Narendra ")</f>
        <v>Lazuardi Akbar Narendra </v>
      </c>
      <c r="C35" s="27" t="str">
        <f>IFERROR(__xludf.DUMMYFUNCTION("""COMPUTED_VALUE"""),"A250007")</f>
        <v>A250007</v>
      </c>
      <c r="D35" s="27" t="str">
        <f>IFERROR(__xludf.DUMMYFUNCTION("""COMPUTED_VALUE"""),"MTs Putra")</f>
        <v>MTs Putra</v>
      </c>
      <c r="E35" s="27" t="str">
        <f>IFERROR(__xludf.DUMMYFUNCTION("""COMPUTED_VALUE"""),"Ya")</f>
        <v>Ya</v>
      </c>
      <c r="F35" s="32" t="str">
        <f>IFERROR(__xludf.DUMMYFUNCTION("""COMPUTED_VALUE"""),"B. Aku bersaksi bahwa tidak ada tuhan yang berhak di sembah kecuali Allah")</f>
        <v>B. Aku bersaksi bahwa tidak ada tuhan yang berhak di sembah kecuali Allah</v>
      </c>
      <c r="G35" s="32">
        <f>IFERROR(__xludf.DUMMYFUNCTION("""COMPUTED_VALUE"""),5.0)</f>
        <v>5</v>
      </c>
      <c r="H35" s="32" t="str">
        <f>IFERROR(__xludf.DUMMYFUNCTION("""COMPUTED_VALUE"""),"3 Syawwal")</f>
        <v>3 Syawwal</v>
      </c>
      <c r="I35" s="32" t="str">
        <f>IFERROR(__xludf.DUMMYFUNCTION("""COMPUTED_VALUE"""),"Al 'Alaq")</f>
        <v>Al 'Alaq</v>
      </c>
      <c r="J35" s="32" t="str">
        <f>IFERROR(__xludf.DUMMYFUNCTION("""COMPUTED_VALUE"""),"Umar Bin Khattab")</f>
        <v>Umar Bin Khattab</v>
      </c>
      <c r="K35" s="32" t="str">
        <f>IFERROR(__xludf.DUMMYFUNCTION("""COMPUTED_VALUE"""),"giat")</f>
        <v>giat</v>
      </c>
      <c r="L35" s="32" t="str">
        <f>IFERROR(__xludf.DUMMYFUNCTION("""COMPUTED_VALUE"""),"dan")</f>
        <v>dan</v>
      </c>
      <c r="M35" s="32" t="str">
        <f>IFERROR(__xludf.DUMMYFUNCTION("""COMPUTED_VALUE"""),"Hafsah mengatakan bahwa aku ingin belajar di pesantren.")</f>
        <v>Hafsah mengatakan bahwa aku ingin belajar di pesantren.</v>
      </c>
      <c r="N35" s="32" t="str">
        <f>IFERROR(__xludf.DUMMYFUNCTION("""COMPUTED_VALUE"""),"Kalimat 3")</f>
        <v>Kalimat 3</v>
      </c>
      <c r="O35" s="32" t="str">
        <f>IFERROR(__xludf.DUMMYFUNCTION("""COMPUTED_VALUE"""),"kehidupan")</f>
        <v>kehidupan</v>
      </c>
      <c r="P35" s="32" t="str">
        <f>IFERROR(__xludf.DUMMYFUNCTION("""COMPUTED_VALUE"""),"Parasitisme")</f>
        <v>Parasitisme</v>
      </c>
      <c r="Q35" s="32" t="str">
        <f>IFERROR(__xludf.DUMMYFUNCTION("""COMPUTED_VALUE"""),"Angin")</f>
        <v>Angin</v>
      </c>
      <c r="R35" s="32" t="str">
        <f>IFERROR(__xludf.DUMMYFUNCTION("""COMPUTED_VALUE"""),"ulat dan kelinci")</f>
        <v>ulat dan kelinci</v>
      </c>
      <c r="S35" s="32" t="str">
        <f>IFERROR(__xludf.DUMMYFUNCTION("""COMPUTED_VALUE"""),"Memiliki stomata")</f>
        <v>Memiliki stomata</v>
      </c>
      <c r="T35" s="32" t="str">
        <f>IFERROR(__xludf.DUMMYFUNCTION("""COMPUTED_VALUE"""),"Kelinci")</f>
        <v>Kelinci</v>
      </c>
      <c r="U35" s="32">
        <f>IFERROR(__xludf.DUMMYFUNCTION("""COMPUTED_VALUE"""),-56.0)</f>
        <v>-56</v>
      </c>
      <c r="V35" s="32" t="str">
        <f>IFERROR(__xludf.DUMMYFUNCTION("""COMPUTED_VALUE"""),"3/8")</f>
        <v>3/8</v>
      </c>
      <c r="W35" s="32" t="str">
        <f>IFERROR(__xludf.DUMMYFUNCTION("""COMPUTED_VALUE"""),"1.575 meter")</f>
        <v>1.575 meter</v>
      </c>
      <c r="X35" s="32" t="str">
        <f>IFERROR(__xludf.DUMMYFUNCTION("""COMPUTED_VALUE"""),"28 cm")</f>
        <v>28 cm</v>
      </c>
      <c r="Y35" s="32">
        <f>IFERROR(__xludf.DUMMYFUNCTION("""COMPUTED_VALUE"""),200.0)</f>
        <v>200</v>
      </c>
      <c r="Z35" s="28">
        <f t="shared" si="1"/>
        <v>1</v>
      </c>
      <c r="AA35" s="28">
        <f t="shared" si="2"/>
        <v>0</v>
      </c>
      <c r="AB35" s="28">
        <f t="shared" si="3"/>
        <v>0</v>
      </c>
      <c r="AC35" s="28">
        <f t="shared" si="4"/>
        <v>1</v>
      </c>
      <c r="AD35" s="28">
        <f t="shared" si="5"/>
        <v>0</v>
      </c>
      <c r="AE35" s="29">
        <f t="shared" si="6"/>
        <v>2</v>
      </c>
      <c r="AF35" s="28">
        <f t="shared" si="7"/>
        <v>1</v>
      </c>
      <c r="AG35" s="28">
        <f t="shared" si="8"/>
        <v>1</v>
      </c>
      <c r="AH35" s="28">
        <f t="shared" si="9"/>
        <v>0</v>
      </c>
      <c r="AI35" s="28">
        <f t="shared" si="10"/>
        <v>0</v>
      </c>
      <c r="AJ35" s="28">
        <f t="shared" si="11"/>
        <v>0</v>
      </c>
      <c r="AK35" s="29">
        <f t="shared" si="12"/>
        <v>2</v>
      </c>
      <c r="AL35" s="28">
        <f t="shared" si="13"/>
        <v>1</v>
      </c>
      <c r="AM35" s="28">
        <f t="shared" si="14"/>
        <v>1</v>
      </c>
      <c r="AN35" s="28">
        <f t="shared" si="15"/>
        <v>0</v>
      </c>
      <c r="AO35" s="28">
        <f t="shared" si="16"/>
        <v>0</v>
      </c>
      <c r="AP35" s="28">
        <f t="shared" si="17"/>
        <v>1</v>
      </c>
      <c r="AQ35" s="29">
        <f t="shared" si="18"/>
        <v>3</v>
      </c>
      <c r="AR35" s="28">
        <f t="shared" si="19"/>
        <v>0</v>
      </c>
      <c r="AS35" s="28">
        <f t="shared" si="20"/>
        <v>0</v>
      </c>
      <c r="AT35" s="28">
        <f t="shared" si="21"/>
        <v>0</v>
      </c>
      <c r="AU35" s="28">
        <f t="shared" si="22"/>
        <v>0</v>
      </c>
      <c r="AV35" s="28">
        <f t="shared" si="23"/>
        <v>0</v>
      </c>
      <c r="AW35" s="29">
        <f t="shared" si="24"/>
        <v>0</v>
      </c>
      <c r="AX35" s="22"/>
      <c r="AY35" s="26">
        <f t="shared" si="25"/>
        <v>2</v>
      </c>
      <c r="AZ35" s="26">
        <f t="shared" si="26"/>
        <v>2</v>
      </c>
      <c r="BA35" s="26">
        <f t="shared" si="27"/>
        <v>3</v>
      </c>
      <c r="BB35" s="26">
        <f t="shared" si="28"/>
        <v>0</v>
      </c>
      <c r="BC35" s="30">
        <f t="shared" si="29"/>
        <v>35</v>
      </c>
    </row>
    <row r="36">
      <c r="A36" s="31">
        <f>IFERROR(__xludf.DUMMYFUNCTION("""COMPUTED_VALUE"""),45927.72406721065)</f>
        <v>45927.72407</v>
      </c>
      <c r="B36" s="32" t="str">
        <f>IFERROR(__xludf.DUMMYFUNCTION("""COMPUTED_VALUE"""),"Muhammad Al Fatih Fadhly")</f>
        <v>Muhammad Al Fatih Fadhly</v>
      </c>
      <c r="C36" s="27" t="str">
        <f>IFERROR(__xludf.DUMMYFUNCTION("""COMPUTED_VALUE"""),"A250054")</f>
        <v>A250054</v>
      </c>
      <c r="D36" s="27" t="str">
        <f>IFERROR(__xludf.DUMMYFUNCTION("""COMPUTED_VALUE"""),"MTs Putra")</f>
        <v>MTs Putra</v>
      </c>
      <c r="E36" s="27" t="str">
        <f>IFERROR(__xludf.DUMMYFUNCTION("""COMPUTED_VALUE"""),"Ya")</f>
        <v>Ya</v>
      </c>
      <c r="F36" s="32" t="str">
        <f>IFERROR(__xludf.DUMMYFUNCTION("""COMPUTED_VALUE"""),"B. Aku bersaksi bahwa tidak ada tuhan yang berhak di sembah kecuali Allah")</f>
        <v>B. Aku bersaksi bahwa tidak ada tuhan yang berhak di sembah kecuali Allah</v>
      </c>
      <c r="G36" s="32">
        <f>IFERROR(__xludf.DUMMYFUNCTION("""COMPUTED_VALUE"""),5.0)</f>
        <v>5</v>
      </c>
      <c r="H36" s="32" t="str">
        <f>IFERROR(__xludf.DUMMYFUNCTION("""COMPUTED_VALUE"""),"1 Syawwal")</f>
        <v>1 Syawwal</v>
      </c>
      <c r="I36" s="32" t="str">
        <f>IFERROR(__xludf.DUMMYFUNCTION("""COMPUTED_VALUE"""),"Al 'Alaq")</f>
        <v>Al 'Alaq</v>
      </c>
      <c r="J36" s="32" t="str">
        <f>IFERROR(__xludf.DUMMYFUNCTION("""COMPUTED_VALUE"""),"Umar Bin Khattab")</f>
        <v>Umar Bin Khattab</v>
      </c>
      <c r="K36" s="32" t="str">
        <f>IFERROR(__xludf.DUMMYFUNCTION("""COMPUTED_VALUE"""),"giat")</f>
        <v>giat</v>
      </c>
      <c r="L36" s="32" t="str">
        <f>IFERROR(__xludf.DUMMYFUNCTION("""COMPUTED_VALUE"""),"dan")</f>
        <v>dan</v>
      </c>
      <c r="M36" s="32" t="str">
        <f>IFERROR(__xludf.DUMMYFUNCTION("""COMPUTED_VALUE"""),"Hafsah mengatakan bahwa ia ingin belajar di pesantren.")</f>
        <v>Hafsah mengatakan bahwa ia ingin belajar di pesantren.</v>
      </c>
      <c r="N36" s="32" t="str">
        <f>IFERROR(__xludf.DUMMYFUNCTION("""COMPUTED_VALUE"""),"Kalimat 1")</f>
        <v>Kalimat 1</v>
      </c>
      <c r="O36" s="32" t="str">
        <f>IFERROR(__xludf.DUMMYFUNCTION("""COMPUTED_VALUE"""),"cahaya")</f>
        <v>cahaya</v>
      </c>
      <c r="P36" s="32" t="str">
        <f>IFERROR(__xludf.DUMMYFUNCTION("""COMPUTED_VALUE"""),"Mutualisme")</f>
        <v>Mutualisme</v>
      </c>
      <c r="Q36" s="32" t="str">
        <f>IFERROR(__xludf.DUMMYFUNCTION("""COMPUTED_VALUE"""),"Angin")</f>
        <v>Angin</v>
      </c>
      <c r="R36" s="32" t="str">
        <f>IFERROR(__xludf.DUMMYFUNCTION("""COMPUTED_VALUE"""),"ulat dan kelinci")</f>
        <v>ulat dan kelinci</v>
      </c>
      <c r="S36" s="32" t="str">
        <f>IFERROR(__xludf.DUMMYFUNCTION("""COMPUTED_VALUE"""),"Menghasilkan klorofil")</f>
        <v>Menghasilkan klorofil</v>
      </c>
      <c r="T36" s="32" t="str">
        <f>IFERROR(__xludf.DUMMYFUNCTION("""COMPUTED_VALUE"""),"Buaya")</f>
        <v>Buaya</v>
      </c>
      <c r="U36" s="32">
        <f>IFERROR(__xludf.DUMMYFUNCTION("""COMPUTED_VALUE"""),-64.0)</f>
        <v>-64</v>
      </c>
      <c r="V36" s="32" t="str">
        <f>IFERROR(__xludf.DUMMYFUNCTION("""COMPUTED_VALUE"""),"3/8")</f>
        <v>3/8</v>
      </c>
      <c r="W36" s="32" t="str">
        <f>IFERROR(__xludf.DUMMYFUNCTION("""COMPUTED_VALUE"""),"1.800 meter")</f>
        <v>1.800 meter</v>
      </c>
      <c r="X36" s="32" t="str">
        <f>IFERROR(__xludf.DUMMYFUNCTION("""COMPUTED_VALUE"""),"28 cm")</f>
        <v>28 cm</v>
      </c>
      <c r="Y36" s="32">
        <f>IFERROR(__xludf.DUMMYFUNCTION("""COMPUTED_VALUE"""),400.0)</f>
        <v>400</v>
      </c>
      <c r="Z36" s="28">
        <f t="shared" si="1"/>
        <v>1</v>
      </c>
      <c r="AA36" s="28">
        <f t="shared" si="2"/>
        <v>0</v>
      </c>
      <c r="AB36" s="28">
        <f t="shared" si="3"/>
        <v>1</v>
      </c>
      <c r="AC36" s="28">
        <f t="shared" si="4"/>
        <v>1</v>
      </c>
      <c r="AD36" s="28">
        <f t="shared" si="5"/>
        <v>0</v>
      </c>
      <c r="AE36" s="29">
        <f t="shared" si="6"/>
        <v>3</v>
      </c>
      <c r="AF36" s="28">
        <f t="shared" si="7"/>
        <v>1</v>
      </c>
      <c r="AG36" s="28">
        <f t="shared" si="8"/>
        <v>1</v>
      </c>
      <c r="AH36" s="28">
        <f t="shared" si="9"/>
        <v>1</v>
      </c>
      <c r="AI36" s="28">
        <f t="shared" si="10"/>
        <v>1</v>
      </c>
      <c r="AJ36" s="28">
        <f t="shared" si="11"/>
        <v>1</v>
      </c>
      <c r="AK36" s="29">
        <f t="shared" si="12"/>
        <v>5</v>
      </c>
      <c r="AL36" s="28">
        <f t="shared" si="13"/>
        <v>0</v>
      </c>
      <c r="AM36" s="28">
        <f t="shared" si="14"/>
        <v>1</v>
      </c>
      <c r="AN36" s="28">
        <f t="shared" si="15"/>
        <v>0</v>
      </c>
      <c r="AO36" s="28">
        <f t="shared" si="16"/>
        <v>1</v>
      </c>
      <c r="AP36" s="28">
        <f t="shared" si="17"/>
        <v>0</v>
      </c>
      <c r="AQ36" s="29">
        <f t="shared" si="18"/>
        <v>2</v>
      </c>
      <c r="AR36" s="28">
        <f t="shared" si="19"/>
        <v>1</v>
      </c>
      <c r="AS36" s="28">
        <f t="shared" si="20"/>
        <v>0</v>
      </c>
      <c r="AT36" s="28">
        <f t="shared" si="21"/>
        <v>1</v>
      </c>
      <c r="AU36" s="28">
        <f t="shared" si="22"/>
        <v>0</v>
      </c>
      <c r="AV36" s="28">
        <f t="shared" si="23"/>
        <v>0</v>
      </c>
      <c r="AW36" s="29">
        <f t="shared" si="24"/>
        <v>2</v>
      </c>
      <c r="AX36" s="22"/>
      <c r="AY36" s="26">
        <f t="shared" si="25"/>
        <v>3</v>
      </c>
      <c r="AZ36" s="26">
        <f t="shared" si="26"/>
        <v>5</v>
      </c>
      <c r="BA36" s="26">
        <f t="shared" si="27"/>
        <v>2</v>
      </c>
      <c r="BB36" s="26">
        <f t="shared" si="28"/>
        <v>2</v>
      </c>
      <c r="BC36" s="30">
        <f t="shared" si="29"/>
        <v>60</v>
      </c>
    </row>
    <row r="37">
      <c r="A37" s="31">
        <f>IFERROR(__xludf.DUMMYFUNCTION("""COMPUTED_VALUE"""),45927.74625033565)</f>
        <v>45927.74625</v>
      </c>
      <c r="B37" s="32" t="str">
        <f>IFERROR(__xludf.DUMMYFUNCTION("""COMPUTED_VALUE"""),"M. Rezza Putra Darma")</f>
        <v>M. Rezza Putra Darma</v>
      </c>
      <c r="C37" s="27" t="str">
        <f>IFERROR(__xludf.DUMMYFUNCTION("""COMPUTED_VALUE"""),"A250038")</f>
        <v>A250038</v>
      </c>
      <c r="D37" s="27" t="str">
        <f>IFERROR(__xludf.DUMMYFUNCTION("""COMPUTED_VALUE"""),"MTs Putra")</f>
        <v>MTs Putra</v>
      </c>
      <c r="E37" s="27" t="str">
        <f>IFERROR(__xludf.DUMMYFUNCTION("""COMPUTED_VALUE"""),"Ya")</f>
        <v>Ya</v>
      </c>
      <c r="F37" s="32" t="str">
        <f>IFERROR(__xludf.DUMMYFUNCTION("""COMPUTED_VALUE"""),"B. Aku bersaksi bahwa tidak ada tuhan yang berhak di sembah kecuali Allah")</f>
        <v>B. Aku bersaksi bahwa tidak ada tuhan yang berhak di sembah kecuali Allah</v>
      </c>
      <c r="G37" s="32">
        <f>IFERROR(__xludf.DUMMYFUNCTION("""COMPUTED_VALUE"""),6.0)</f>
        <v>6</v>
      </c>
      <c r="H37" s="32" t="str">
        <f>IFERROR(__xludf.DUMMYFUNCTION("""COMPUTED_VALUE"""),"3 Syawwal")</f>
        <v>3 Syawwal</v>
      </c>
      <c r="I37" s="32" t="str">
        <f>IFERROR(__xludf.DUMMYFUNCTION("""COMPUTED_VALUE"""),"Al Fatihah")</f>
        <v>Al Fatihah</v>
      </c>
      <c r="J37" s="32" t="str">
        <f>IFERROR(__xludf.DUMMYFUNCTION("""COMPUTED_VALUE"""),"Ali Bin Abi Thalib")</f>
        <v>Ali Bin Abi Thalib</v>
      </c>
      <c r="K37" s="32" t="str">
        <f>IFERROR(__xludf.DUMMYFUNCTION("""COMPUTED_VALUE"""),"giat")</f>
        <v>giat</v>
      </c>
      <c r="L37" s="32" t="str">
        <f>IFERROR(__xludf.DUMMYFUNCTION("""COMPUTED_VALUE"""),"dan")</f>
        <v>dan</v>
      </c>
      <c r="M37" s="32" t="str">
        <f>IFERROR(__xludf.DUMMYFUNCTION("""COMPUTED_VALUE"""),"Hafsah mengatakan bahwa ia ingin belajar di pesantren.")</f>
        <v>Hafsah mengatakan bahwa ia ingin belajar di pesantren.</v>
      </c>
      <c r="N37" s="32" t="str">
        <f>IFERROR(__xludf.DUMMYFUNCTION("""COMPUTED_VALUE"""),"Kalimat 1")</f>
        <v>Kalimat 1</v>
      </c>
      <c r="O37" s="32" t="str">
        <f>IFERROR(__xludf.DUMMYFUNCTION("""COMPUTED_VALUE"""),"cahaya")</f>
        <v>cahaya</v>
      </c>
      <c r="P37" s="32" t="str">
        <f>IFERROR(__xludf.DUMMYFUNCTION("""COMPUTED_VALUE"""),"Parasitisme")</f>
        <v>Parasitisme</v>
      </c>
      <c r="Q37" s="32" t="str">
        <f>IFERROR(__xludf.DUMMYFUNCTION("""COMPUTED_VALUE"""),"Angin")</f>
        <v>Angin</v>
      </c>
      <c r="R37" s="32" t="str">
        <f>IFERROR(__xludf.DUMMYFUNCTION("""COMPUTED_VALUE"""),"belalang dan ular")</f>
        <v>belalang dan ular</v>
      </c>
      <c r="S37" s="32" t="str">
        <f>IFERROR(__xludf.DUMMYFUNCTION("""COMPUTED_VALUE"""),"Menghasilkan klorofil")</f>
        <v>Menghasilkan klorofil</v>
      </c>
      <c r="T37" s="32" t="str">
        <f>IFERROR(__xludf.DUMMYFUNCTION("""COMPUTED_VALUE"""),"Kelinci")</f>
        <v>Kelinci</v>
      </c>
      <c r="U37" s="32">
        <f>IFERROR(__xludf.DUMMYFUNCTION("""COMPUTED_VALUE"""),-64.0)</f>
        <v>-64</v>
      </c>
      <c r="V37" s="32" t="str">
        <f>IFERROR(__xludf.DUMMYFUNCTION("""COMPUTED_VALUE"""),"3/4")</f>
        <v>3/4</v>
      </c>
      <c r="W37" s="32" t="str">
        <f>IFERROR(__xludf.DUMMYFUNCTION("""COMPUTED_VALUE"""),"1.800 meter")</f>
        <v>1.800 meter</v>
      </c>
      <c r="X37" s="32" t="str">
        <f>IFERROR(__xludf.DUMMYFUNCTION("""COMPUTED_VALUE"""),"22 cm")</f>
        <v>22 cm</v>
      </c>
      <c r="Y37" s="32">
        <f>IFERROR(__xludf.DUMMYFUNCTION("""COMPUTED_VALUE"""),200.0)</f>
        <v>200</v>
      </c>
      <c r="Z37" s="28">
        <f t="shared" si="1"/>
        <v>1</v>
      </c>
      <c r="AA37" s="28">
        <f t="shared" si="2"/>
        <v>1</v>
      </c>
      <c r="AB37" s="28">
        <f t="shared" si="3"/>
        <v>0</v>
      </c>
      <c r="AC37" s="28">
        <f t="shared" si="4"/>
        <v>0</v>
      </c>
      <c r="AD37" s="28">
        <f t="shared" si="5"/>
        <v>1</v>
      </c>
      <c r="AE37" s="29">
        <f t="shared" si="6"/>
        <v>3</v>
      </c>
      <c r="AF37" s="28">
        <f t="shared" si="7"/>
        <v>1</v>
      </c>
      <c r="AG37" s="28">
        <f t="shared" si="8"/>
        <v>1</v>
      </c>
      <c r="AH37" s="28">
        <f t="shared" si="9"/>
        <v>1</v>
      </c>
      <c r="AI37" s="28">
        <f t="shared" si="10"/>
        <v>1</v>
      </c>
      <c r="AJ37" s="28">
        <f t="shared" si="11"/>
        <v>1</v>
      </c>
      <c r="AK37" s="29">
        <f t="shared" si="12"/>
        <v>5</v>
      </c>
      <c r="AL37" s="28">
        <f t="shared" si="13"/>
        <v>1</v>
      </c>
      <c r="AM37" s="28">
        <f t="shared" si="14"/>
        <v>1</v>
      </c>
      <c r="AN37" s="28">
        <f t="shared" si="15"/>
        <v>1</v>
      </c>
      <c r="AO37" s="28">
        <f t="shared" si="16"/>
        <v>1</v>
      </c>
      <c r="AP37" s="28">
        <f t="shared" si="17"/>
        <v>1</v>
      </c>
      <c r="AQ37" s="29">
        <f t="shared" si="18"/>
        <v>5</v>
      </c>
      <c r="AR37" s="28">
        <f t="shared" si="19"/>
        <v>1</v>
      </c>
      <c r="AS37" s="28">
        <f t="shared" si="20"/>
        <v>1</v>
      </c>
      <c r="AT37" s="28">
        <f t="shared" si="21"/>
        <v>1</v>
      </c>
      <c r="AU37" s="28">
        <f t="shared" si="22"/>
        <v>1</v>
      </c>
      <c r="AV37" s="28">
        <f t="shared" si="23"/>
        <v>0</v>
      </c>
      <c r="AW37" s="29">
        <f t="shared" si="24"/>
        <v>4</v>
      </c>
      <c r="AX37" s="22"/>
      <c r="AY37" s="26">
        <f t="shared" si="25"/>
        <v>3</v>
      </c>
      <c r="AZ37" s="26">
        <f t="shared" si="26"/>
        <v>5</v>
      </c>
      <c r="BA37" s="26">
        <f t="shared" si="27"/>
        <v>5</v>
      </c>
      <c r="BB37" s="26">
        <f t="shared" si="28"/>
        <v>4</v>
      </c>
      <c r="BC37" s="30">
        <f t="shared" si="29"/>
        <v>85</v>
      </c>
    </row>
    <row r="38">
      <c r="A38" s="31">
        <f>IFERROR(__xludf.DUMMYFUNCTION("""COMPUTED_VALUE"""),45928.3747416088)</f>
        <v>45928.37474</v>
      </c>
      <c r="B38" s="32" t="str">
        <f>IFERROR(__xludf.DUMMYFUNCTION("""COMPUTED_VALUE"""),"Maryam Al-Kayyisah ")</f>
        <v>Maryam Al-Kayyisah </v>
      </c>
      <c r="C38" s="27" t="str">
        <f>IFERROR(__xludf.DUMMYFUNCTION("""COMPUTED_VALUE"""),"D250019")</f>
        <v>D250019</v>
      </c>
      <c r="D38" s="27" t="str">
        <f>IFERROR(__xludf.DUMMYFUNCTION("""COMPUTED_VALUE"""),"MTs Putri")</f>
        <v>MTs Putri</v>
      </c>
      <c r="E38" s="27" t="str">
        <f>IFERROR(__xludf.DUMMYFUNCTION("""COMPUTED_VALUE"""),"Ya")</f>
        <v>Ya</v>
      </c>
      <c r="F38" s="32" t="str">
        <f>IFERROR(__xludf.DUMMYFUNCTION("""COMPUTED_VALUE"""),"B. Aku bersaksi bahwa tidak ada tuhan yang berhak di sembah kecuali Allah")</f>
        <v>B. Aku bersaksi bahwa tidak ada tuhan yang berhak di sembah kecuali Allah</v>
      </c>
      <c r="G38" s="32">
        <f>IFERROR(__xludf.DUMMYFUNCTION("""COMPUTED_VALUE"""),6.0)</f>
        <v>6</v>
      </c>
      <c r="H38" s="32" t="str">
        <f>IFERROR(__xludf.DUMMYFUNCTION("""COMPUTED_VALUE"""),"1 Syawwal")</f>
        <v>1 Syawwal</v>
      </c>
      <c r="I38" s="32" t="str">
        <f>IFERROR(__xludf.DUMMYFUNCTION("""COMPUTED_VALUE"""),"Al 'Alaq")</f>
        <v>Al 'Alaq</v>
      </c>
      <c r="J38" s="32" t="str">
        <f>IFERROR(__xludf.DUMMYFUNCTION("""COMPUTED_VALUE"""),"Ali Bin Abi Thalib")</f>
        <v>Ali Bin Abi Thalib</v>
      </c>
      <c r="K38" s="32" t="str">
        <f>IFERROR(__xludf.DUMMYFUNCTION("""COMPUTED_VALUE"""),"malas")</f>
        <v>malas</v>
      </c>
      <c r="L38" s="32" t="str">
        <f>IFERROR(__xludf.DUMMYFUNCTION("""COMPUTED_VALUE"""),"dan")</f>
        <v>dan</v>
      </c>
      <c r="M38" s="32" t="str">
        <f>IFERROR(__xludf.DUMMYFUNCTION("""COMPUTED_VALUE"""),"Hafsah mengatakan bahwa ia ingin belajar di pesantren.")</f>
        <v>Hafsah mengatakan bahwa ia ingin belajar di pesantren.</v>
      </c>
      <c r="N38" s="32" t="str">
        <f>IFERROR(__xludf.DUMMYFUNCTION("""COMPUTED_VALUE"""),"Kalimat 1")</f>
        <v>Kalimat 1</v>
      </c>
      <c r="O38" s="32" t="str">
        <f>IFERROR(__xludf.DUMMYFUNCTION("""COMPUTED_VALUE"""),"kehidupan")</f>
        <v>kehidupan</v>
      </c>
      <c r="P38" s="32" t="str">
        <f>IFERROR(__xludf.DUMMYFUNCTION("""COMPUTED_VALUE"""),"Parasitisme")</f>
        <v>Parasitisme</v>
      </c>
      <c r="Q38" s="32" t="str">
        <f>IFERROR(__xludf.DUMMYFUNCTION("""COMPUTED_VALUE"""),"Angin")</f>
        <v>Angin</v>
      </c>
      <c r="R38" s="32" t="str">
        <f>IFERROR(__xludf.DUMMYFUNCTION("""COMPUTED_VALUE"""),"pipit dan burung hantu")</f>
        <v>pipit dan burung hantu</v>
      </c>
      <c r="S38" s="32" t="str">
        <f>IFERROR(__xludf.DUMMYFUNCTION("""COMPUTED_VALUE"""),"Memiliki stomata")</f>
        <v>Memiliki stomata</v>
      </c>
      <c r="T38" s="32" t="str">
        <f>IFERROR(__xludf.DUMMYFUNCTION("""COMPUTED_VALUE"""),"Kelinci")</f>
        <v>Kelinci</v>
      </c>
      <c r="U38" s="32">
        <f>IFERROR(__xludf.DUMMYFUNCTION("""COMPUTED_VALUE"""),64.0)</f>
        <v>64</v>
      </c>
      <c r="V38" s="32" t="str">
        <f>IFERROR(__xludf.DUMMYFUNCTION("""COMPUTED_VALUE"""),"3/4")</f>
        <v>3/4</v>
      </c>
      <c r="W38" s="32" t="str">
        <f>IFERROR(__xludf.DUMMYFUNCTION("""COMPUTED_VALUE"""),"1.800 meter")</f>
        <v>1.800 meter</v>
      </c>
      <c r="X38" s="32" t="str">
        <f>IFERROR(__xludf.DUMMYFUNCTION("""COMPUTED_VALUE"""),"22 cm")</f>
        <v>22 cm</v>
      </c>
      <c r="Y38" s="32">
        <f>IFERROR(__xludf.DUMMYFUNCTION("""COMPUTED_VALUE"""),200.0)</f>
        <v>200</v>
      </c>
      <c r="Z38" s="28">
        <f t="shared" si="1"/>
        <v>1</v>
      </c>
      <c r="AA38" s="28">
        <f t="shared" si="2"/>
        <v>1</v>
      </c>
      <c r="AB38" s="28">
        <f t="shared" si="3"/>
        <v>1</v>
      </c>
      <c r="AC38" s="28">
        <f t="shared" si="4"/>
        <v>1</v>
      </c>
      <c r="AD38" s="28">
        <f t="shared" si="5"/>
        <v>1</v>
      </c>
      <c r="AE38" s="29">
        <f t="shared" si="6"/>
        <v>5</v>
      </c>
      <c r="AF38" s="28">
        <f t="shared" si="7"/>
        <v>0</v>
      </c>
      <c r="AG38" s="28">
        <f t="shared" si="8"/>
        <v>1</v>
      </c>
      <c r="AH38" s="28">
        <f t="shared" si="9"/>
        <v>1</v>
      </c>
      <c r="AI38" s="28">
        <f t="shared" si="10"/>
        <v>1</v>
      </c>
      <c r="AJ38" s="28">
        <f t="shared" si="11"/>
        <v>0</v>
      </c>
      <c r="AK38" s="29">
        <f t="shared" si="12"/>
        <v>3</v>
      </c>
      <c r="AL38" s="28">
        <f t="shared" si="13"/>
        <v>1</v>
      </c>
      <c r="AM38" s="28">
        <f t="shared" si="14"/>
        <v>1</v>
      </c>
      <c r="AN38" s="28">
        <f t="shared" si="15"/>
        <v>0</v>
      </c>
      <c r="AO38" s="28">
        <f t="shared" si="16"/>
        <v>0</v>
      </c>
      <c r="AP38" s="28">
        <f t="shared" si="17"/>
        <v>1</v>
      </c>
      <c r="AQ38" s="29">
        <f t="shared" si="18"/>
        <v>3</v>
      </c>
      <c r="AR38" s="28">
        <f t="shared" si="19"/>
        <v>0</v>
      </c>
      <c r="AS38" s="28">
        <f t="shared" si="20"/>
        <v>1</v>
      </c>
      <c r="AT38" s="28">
        <f t="shared" si="21"/>
        <v>1</v>
      </c>
      <c r="AU38" s="28">
        <f t="shared" si="22"/>
        <v>1</v>
      </c>
      <c r="AV38" s="28">
        <f t="shared" si="23"/>
        <v>0</v>
      </c>
      <c r="AW38" s="29">
        <f t="shared" si="24"/>
        <v>3</v>
      </c>
      <c r="AX38" s="22"/>
      <c r="AY38" s="26">
        <f t="shared" si="25"/>
        <v>5</v>
      </c>
      <c r="AZ38" s="26">
        <f t="shared" si="26"/>
        <v>3</v>
      </c>
      <c r="BA38" s="26">
        <f t="shared" si="27"/>
        <v>3</v>
      </c>
      <c r="BB38" s="26">
        <f t="shared" si="28"/>
        <v>3</v>
      </c>
      <c r="BC38" s="30">
        <f t="shared" si="29"/>
        <v>70</v>
      </c>
    </row>
    <row r="39">
      <c r="A39" s="31">
        <f>IFERROR(__xludf.DUMMYFUNCTION("""COMPUTED_VALUE"""),45928.432599479165)</f>
        <v>45928.4326</v>
      </c>
      <c r="B39" s="32" t="str">
        <f>IFERROR(__xludf.DUMMYFUNCTION("""COMPUTED_VALUE"""),"Qaesyara Siti Zafna Fitriyadi")</f>
        <v>Qaesyara Siti Zafna Fitriyadi</v>
      </c>
      <c r="C39" s="27" t="str">
        <f>IFERROR(__xludf.DUMMYFUNCTION("""COMPUTED_VALUE"""),"D250017")</f>
        <v>D250017</v>
      </c>
      <c r="D39" s="27" t="str">
        <f>IFERROR(__xludf.DUMMYFUNCTION("""COMPUTED_VALUE"""),"MTs Putri")</f>
        <v>MTs Putri</v>
      </c>
      <c r="E39" s="27" t="str">
        <f>IFERROR(__xludf.DUMMYFUNCTION("""COMPUTED_VALUE"""),"Ya")</f>
        <v>Ya</v>
      </c>
      <c r="F39" s="32" t="str">
        <f>IFERROR(__xludf.DUMMYFUNCTION("""COMPUTED_VALUE"""),"B. Aku bersaksi bahwa tidak ada tuhan yang berhak di sembah kecuali Allah")</f>
        <v>B. Aku bersaksi bahwa tidak ada tuhan yang berhak di sembah kecuali Allah</v>
      </c>
      <c r="G39" s="32">
        <f>IFERROR(__xludf.DUMMYFUNCTION("""COMPUTED_VALUE"""),6.0)</f>
        <v>6</v>
      </c>
      <c r="H39" s="32" t="str">
        <f>IFERROR(__xludf.DUMMYFUNCTION("""COMPUTED_VALUE"""),"1 Syawwal")</f>
        <v>1 Syawwal</v>
      </c>
      <c r="I39" s="32" t="str">
        <f>IFERROR(__xludf.DUMMYFUNCTION("""COMPUTED_VALUE"""),"Al 'Alaq")</f>
        <v>Al 'Alaq</v>
      </c>
      <c r="J39" s="32" t="str">
        <f>IFERROR(__xludf.DUMMYFUNCTION("""COMPUTED_VALUE"""),"Ali Bin Abi Thalib")</f>
        <v>Ali Bin Abi Thalib</v>
      </c>
      <c r="K39" s="32" t="str">
        <f>IFERROR(__xludf.DUMMYFUNCTION("""COMPUTED_VALUE"""),"giat")</f>
        <v>giat</v>
      </c>
      <c r="L39" s="32" t="str">
        <f>IFERROR(__xludf.DUMMYFUNCTION("""COMPUTED_VALUE"""),"dan")</f>
        <v>dan</v>
      </c>
      <c r="M39" s="32" t="str">
        <f>IFERROR(__xludf.DUMMYFUNCTION("""COMPUTED_VALUE"""),"Hafsah mengatakan bahwa aku ingin belajar di pesantren.")</f>
        <v>Hafsah mengatakan bahwa aku ingin belajar di pesantren.</v>
      </c>
      <c r="N39" s="32" t="str">
        <f>IFERROR(__xludf.DUMMYFUNCTION("""COMPUTED_VALUE"""),"Kalimat 1")</f>
        <v>Kalimat 1</v>
      </c>
      <c r="O39" s="32" t="str">
        <f>IFERROR(__xludf.DUMMYFUNCTION("""COMPUTED_VALUE"""),"cahaya")</f>
        <v>cahaya</v>
      </c>
      <c r="P39" s="32" t="str">
        <f>IFERROR(__xludf.DUMMYFUNCTION("""COMPUTED_VALUE"""),"Parasitisme")</f>
        <v>Parasitisme</v>
      </c>
      <c r="Q39" s="32" t="str">
        <f>IFERROR(__xludf.DUMMYFUNCTION("""COMPUTED_VALUE"""),"Angin")</f>
        <v>Angin</v>
      </c>
      <c r="R39" s="32" t="str">
        <f>IFERROR(__xludf.DUMMYFUNCTION("""COMPUTED_VALUE"""),"belalang dan ular")</f>
        <v>belalang dan ular</v>
      </c>
      <c r="S39" s="32" t="str">
        <f>IFERROR(__xludf.DUMMYFUNCTION("""COMPUTED_VALUE"""),"Menghasilkan klorofil")</f>
        <v>Menghasilkan klorofil</v>
      </c>
      <c r="T39" s="32" t="str">
        <f>IFERROR(__xludf.DUMMYFUNCTION("""COMPUTED_VALUE"""),"Kelinci")</f>
        <v>Kelinci</v>
      </c>
      <c r="U39" s="32">
        <f>IFERROR(__xludf.DUMMYFUNCTION("""COMPUTED_VALUE"""),-64.0)</f>
        <v>-64</v>
      </c>
      <c r="V39" s="32" t="str">
        <f>IFERROR(__xludf.DUMMYFUNCTION("""COMPUTED_VALUE"""),"3/4")</f>
        <v>3/4</v>
      </c>
      <c r="W39" s="32" t="str">
        <f>IFERROR(__xludf.DUMMYFUNCTION("""COMPUTED_VALUE"""),"1.800 meter")</f>
        <v>1.800 meter</v>
      </c>
      <c r="X39" s="32" t="str">
        <f>IFERROR(__xludf.DUMMYFUNCTION("""COMPUTED_VALUE"""),"28 cm")</f>
        <v>28 cm</v>
      </c>
      <c r="Y39" s="32">
        <f>IFERROR(__xludf.DUMMYFUNCTION("""COMPUTED_VALUE"""),200.0)</f>
        <v>200</v>
      </c>
      <c r="Z39" s="28">
        <f t="shared" si="1"/>
        <v>1</v>
      </c>
      <c r="AA39" s="28">
        <f t="shared" si="2"/>
        <v>1</v>
      </c>
      <c r="AB39" s="28">
        <f t="shared" si="3"/>
        <v>1</v>
      </c>
      <c r="AC39" s="28">
        <f t="shared" si="4"/>
        <v>1</v>
      </c>
      <c r="AD39" s="28">
        <f t="shared" si="5"/>
        <v>1</v>
      </c>
      <c r="AE39" s="29">
        <f t="shared" si="6"/>
        <v>5</v>
      </c>
      <c r="AF39" s="28">
        <f t="shared" si="7"/>
        <v>1</v>
      </c>
      <c r="AG39" s="28">
        <f t="shared" si="8"/>
        <v>1</v>
      </c>
      <c r="AH39" s="28">
        <f t="shared" si="9"/>
        <v>0</v>
      </c>
      <c r="AI39" s="28">
        <f t="shared" si="10"/>
        <v>1</v>
      </c>
      <c r="AJ39" s="28">
        <f t="shared" si="11"/>
        <v>1</v>
      </c>
      <c r="AK39" s="29">
        <f t="shared" si="12"/>
        <v>4</v>
      </c>
      <c r="AL39" s="28">
        <f t="shared" si="13"/>
        <v>1</v>
      </c>
      <c r="AM39" s="28">
        <f t="shared" si="14"/>
        <v>1</v>
      </c>
      <c r="AN39" s="28">
        <f t="shared" si="15"/>
        <v>1</v>
      </c>
      <c r="AO39" s="28">
        <f t="shared" si="16"/>
        <v>1</v>
      </c>
      <c r="AP39" s="28">
        <f t="shared" si="17"/>
        <v>1</v>
      </c>
      <c r="AQ39" s="29">
        <f t="shared" si="18"/>
        <v>5</v>
      </c>
      <c r="AR39" s="28">
        <f t="shared" si="19"/>
        <v>1</v>
      </c>
      <c r="AS39" s="28">
        <f t="shared" si="20"/>
        <v>1</v>
      </c>
      <c r="AT39" s="28">
        <f t="shared" si="21"/>
        <v>1</v>
      </c>
      <c r="AU39" s="28">
        <f t="shared" si="22"/>
        <v>0</v>
      </c>
      <c r="AV39" s="28">
        <f t="shared" si="23"/>
        <v>0</v>
      </c>
      <c r="AW39" s="29">
        <f t="shared" si="24"/>
        <v>3</v>
      </c>
      <c r="AX39" s="22"/>
      <c r="AY39" s="26">
        <f t="shared" si="25"/>
        <v>5</v>
      </c>
      <c r="AZ39" s="26">
        <f t="shared" si="26"/>
        <v>4</v>
      </c>
      <c r="BA39" s="26">
        <f t="shared" si="27"/>
        <v>5</v>
      </c>
      <c r="BB39" s="26">
        <f t="shared" si="28"/>
        <v>3</v>
      </c>
      <c r="BC39" s="30">
        <f t="shared" si="29"/>
        <v>85</v>
      </c>
    </row>
    <row r="40">
      <c r="A40" s="31">
        <f>IFERROR(__xludf.DUMMYFUNCTION("""COMPUTED_VALUE"""),45929.593738993055)</f>
        <v>45929.59374</v>
      </c>
      <c r="B40" s="32" t="str">
        <f>IFERROR(__xludf.DUMMYFUNCTION("""COMPUTED_VALUE"""),"Sulthan Faqih Al Hadziq")</f>
        <v>Sulthan Faqih Al Hadziq</v>
      </c>
      <c r="C40" s="27" t="str">
        <f>IFERROR(__xludf.DUMMYFUNCTION("""COMPUTED_VALUE"""),"A250046")</f>
        <v>A250046</v>
      </c>
      <c r="D40" s="27" t="str">
        <f>IFERROR(__xludf.DUMMYFUNCTION("""COMPUTED_VALUE"""),"MTs Putra")</f>
        <v>MTs Putra</v>
      </c>
      <c r="E40" s="27" t="str">
        <f>IFERROR(__xludf.DUMMYFUNCTION("""COMPUTED_VALUE"""),"Ya")</f>
        <v>Ya</v>
      </c>
      <c r="F40" s="32" t="str">
        <f>IFERROR(__xludf.DUMMYFUNCTION("""COMPUTED_VALUE"""),"B. Aku bersaksi bahwa tidak ada tuhan yang berhak di sembah kecuali Allah")</f>
        <v>B. Aku bersaksi bahwa tidak ada tuhan yang berhak di sembah kecuali Allah</v>
      </c>
      <c r="G40" s="32">
        <f>IFERROR(__xludf.DUMMYFUNCTION("""COMPUTED_VALUE"""),6.0)</f>
        <v>6</v>
      </c>
      <c r="H40" s="32" t="str">
        <f>IFERROR(__xludf.DUMMYFUNCTION("""COMPUTED_VALUE"""),"1 Syawwal")</f>
        <v>1 Syawwal</v>
      </c>
      <c r="I40" s="32" t="str">
        <f>IFERROR(__xludf.DUMMYFUNCTION("""COMPUTED_VALUE"""),"Al 'Alaq")</f>
        <v>Al 'Alaq</v>
      </c>
      <c r="J40" s="32" t="str">
        <f>IFERROR(__xludf.DUMMYFUNCTION("""COMPUTED_VALUE"""),"Ali Bin Abi Thalib")</f>
        <v>Ali Bin Abi Thalib</v>
      </c>
      <c r="K40" s="32" t="str">
        <f>IFERROR(__xludf.DUMMYFUNCTION("""COMPUTED_VALUE"""),"giat")</f>
        <v>giat</v>
      </c>
      <c r="L40" s="32" t="str">
        <f>IFERROR(__xludf.DUMMYFUNCTION("""COMPUTED_VALUE"""),"dan")</f>
        <v>dan</v>
      </c>
      <c r="M40" s="32" t="str">
        <f>IFERROR(__xludf.DUMMYFUNCTION("""COMPUTED_VALUE"""),"Hafsah mengatakan bahwa ia ingin belajar di pesantren.")</f>
        <v>Hafsah mengatakan bahwa ia ingin belajar di pesantren.</v>
      </c>
      <c r="N40" s="32" t="str">
        <f>IFERROR(__xludf.DUMMYFUNCTION("""COMPUTED_VALUE"""),"Kalimat 1")</f>
        <v>Kalimat 1</v>
      </c>
      <c r="O40" s="32" t="str">
        <f>IFERROR(__xludf.DUMMYFUNCTION("""COMPUTED_VALUE"""),"cahaya")</f>
        <v>cahaya</v>
      </c>
      <c r="P40" s="32" t="str">
        <f>IFERROR(__xludf.DUMMYFUNCTION("""COMPUTED_VALUE"""),"Komensalisme")</f>
        <v>Komensalisme</v>
      </c>
      <c r="Q40" s="32" t="str">
        <f>IFERROR(__xludf.DUMMYFUNCTION("""COMPUTED_VALUE"""),"Angin")</f>
        <v>Angin</v>
      </c>
      <c r="R40" s="32" t="str">
        <f>IFERROR(__xludf.DUMMYFUNCTION("""COMPUTED_VALUE"""),"belalang dan ular")</f>
        <v>belalang dan ular</v>
      </c>
      <c r="S40" s="32" t="str">
        <f>IFERROR(__xludf.DUMMYFUNCTION("""COMPUTED_VALUE"""),"Menghasilkan klorofil")</f>
        <v>Menghasilkan klorofil</v>
      </c>
      <c r="T40" s="32" t="str">
        <f>IFERROR(__xludf.DUMMYFUNCTION("""COMPUTED_VALUE"""),"Kelinci")</f>
        <v>Kelinci</v>
      </c>
      <c r="U40" s="32">
        <f>IFERROR(__xludf.DUMMYFUNCTION("""COMPUTED_VALUE"""),-64.0)</f>
        <v>-64</v>
      </c>
      <c r="V40" s="32" t="str">
        <f>IFERROR(__xludf.DUMMYFUNCTION("""COMPUTED_VALUE"""),"3/4")</f>
        <v>3/4</v>
      </c>
      <c r="W40" s="32" t="str">
        <f>IFERROR(__xludf.DUMMYFUNCTION("""COMPUTED_VALUE"""),"1.800 meter")</f>
        <v>1.800 meter</v>
      </c>
      <c r="X40" s="32" t="str">
        <f>IFERROR(__xludf.DUMMYFUNCTION("""COMPUTED_VALUE"""),"22 cm")</f>
        <v>22 cm</v>
      </c>
      <c r="Y40" s="32">
        <f>IFERROR(__xludf.DUMMYFUNCTION("""COMPUTED_VALUE"""),200.0)</f>
        <v>200</v>
      </c>
      <c r="Z40" s="28">
        <f t="shared" si="1"/>
        <v>1</v>
      </c>
      <c r="AA40" s="28">
        <f t="shared" si="2"/>
        <v>1</v>
      </c>
      <c r="AB40" s="28">
        <f t="shared" si="3"/>
        <v>1</v>
      </c>
      <c r="AC40" s="28">
        <f t="shared" si="4"/>
        <v>1</v>
      </c>
      <c r="AD40" s="28">
        <f t="shared" si="5"/>
        <v>1</v>
      </c>
      <c r="AE40" s="29">
        <f t="shared" si="6"/>
        <v>5</v>
      </c>
      <c r="AF40" s="28">
        <f t="shared" si="7"/>
        <v>1</v>
      </c>
      <c r="AG40" s="28">
        <f t="shared" si="8"/>
        <v>1</v>
      </c>
      <c r="AH40" s="28">
        <f t="shared" si="9"/>
        <v>1</v>
      </c>
      <c r="AI40" s="28">
        <f t="shared" si="10"/>
        <v>1</v>
      </c>
      <c r="AJ40" s="28">
        <f t="shared" si="11"/>
        <v>1</v>
      </c>
      <c r="AK40" s="29">
        <f t="shared" si="12"/>
        <v>5</v>
      </c>
      <c r="AL40" s="28">
        <f t="shared" si="13"/>
        <v>0</v>
      </c>
      <c r="AM40" s="28">
        <f t="shared" si="14"/>
        <v>1</v>
      </c>
      <c r="AN40" s="28">
        <f t="shared" si="15"/>
        <v>1</v>
      </c>
      <c r="AO40" s="28">
        <f t="shared" si="16"/>
        <v>1</v>
      </c>
      <c r="AP40" s="28">
        <f t="shared" si="17"/>
        <v>1</v>
      </c>
      <c r="AQ40" s="29">
        <f t="shared" si="18"/>
        <v>4</v>
      </c>
      <c r="AR40" s="28">
        <f t="shared" si="19"/>
        <v>1</v>
      </c>
      <c r="AS40" s="28">
        <f t="shared" si="20"/>
        <v>1</v>
      </c>
      <c r="AT40" s="28">
        <f t="shared" si="21"/>
        <v>1</v>
      </c>
      <c r="AU40" s="28">
        <f t="shared" si="22"/>
        <v>1</v>
      </c>
      <c r="AV40" s="28">
        <f t="shared" si="23"/>
        <v>0</v>
      </c>
      <c r="AW40" s="29">
        <f t="shared" si="24"/>
        <v>4</v>
      </c>
      <c r="AX40" s="22"/>
      <c r="AY40" s="26">
        <f t="shared" si="25"/>
        <v>5</v>
      </c>
      <c r="AZ40" s="26">
        <f t="shared" si="26"/>
        <v>5</v>
      </c>
      <c r="BA40" s="26">
        <f t="shared" si="27"/>
        <v>4</v>
      </c>
      <c r="BB40" s="26">
        <f t="shared" si="28"/>
        <v>4</v>
      </c>
      <c r="BC40" s="30">
        <f t="shared" si="29"/>
        <v>90</v>
      </c>
    </row>
    <row r="41">
      <c r="A41" s="31">
        <f>IFERROR(__xludf.DUMMYFUNCTION("""COMPUTED_VALUE"""),45929.59682369213)</f>
        <v>45929.59682</v>
      </c>
      <c r="B41" s="32" t="str">
        <f>IFERROR(__xludf.DUMMYFUNCTION("""COMPUTED_VALUE"""),"Muhammad Arkan")</f>
        <v>Muhammad Arkan</v>
      </c>
      <c r="C41" s="27" t="str">
        <f>IFERROR(__xludf.DUMMYFUNCTION("""COMPUTED_VALUE"""),"A250037")</f>
        <v>A250037</v>
      </c>
      <c r="D41" s="27" t="str">
        <f>IFERROR(__xludf.DUMMYFUNCTION("""COMPUTED_VALUE"""),"MTs Putra")</f>
        <v>MTs Putra</v>
      </c>
      <c r="E41" s="27" t="str">
        <f>IFERROR(__xludf.DUMMYFUNCTION("""COMPUTED_VALUE"""),"Ya")</f>
        <v>Ya</v>
      </c>
      <c r="F41" s="32" t="str">
        <f>IFERROR(__xludf.DUMMYFUNCTION("""COMPUTED_VALUE"""),"B. Aku bersaksi bahwa tidak ada tuhan yang berhak di sembah kecuali Allah")</f>
        <v>B. Aku bersaksi bahwa tidak ada tuhan yang berhak di sembah kecuali Allah</v>
      </c>
      <c r="G41" s="32">
        <f>IFERROR(__xludf.DUMMYFUNCTION("""COMPUTED_VALUE"""),6.0)</f>
        <v>6</v>
      </c>
      <c r="H41" s="32" t="str">
        <f>IFERROR(__xludf.DUMMYFUNCTION("""COMPUTED_VALUE"""),"1 Syawwal")</f>
        <v>1 Syawwal</v>
      </c>
      <c r="I41" s="32" t="str">
        <f>IFERROR(__xludf.DUMMYFUNCTION("""COMPUTED_VALUE"""),"Al 'Alaq")</f>
        <v>Al 'Alaq</v>
      </c>
      <c r="J41" s="32" t="str">
        <f>IFERROR(__xludf.DUMMYFUNCTION("""COMPUTED_VALUE"""),"Ali Bin Abi Thalib")</f>
        <v>Ali Bin Abi Thalib</v>
      </c>
      <c r="K41" s="32" t="str">
        <f>IFERROR(__xludf.DUMMYFUNCTION("""COMPUTED_VALUE"""),"giat")</f>
        <v>giat</v>
      </c>
      <c r="L41" s="32" t="str">
        <f>IFERROR(__xludf.DUMMYFUNCTION("""COMPUTED_VALUE"""),"dan")</f>
        <v>dan</v>
      </c>
      <c r="M41" s="32" t="str">
        <f>IFERROR(__xludf.DUMMYFUNCTION("""COMPUTED_VALUE"""),"Hafsah mengatakan bahwa ia ingin belajar di pesantren.")</f>
        <v>Hafsah mengatakan bahwa ia ingin belajar di pesantren.</v>
      </c>
      <c r="N41" s="32" t="str">
        <f>IFERROR(__xludf.DUMMYFUNCTION("""COMPUTED_VALUE"""),"Kalimat 1")</f>
        <v>Kalimat 1</v>
      </c>
      <c r="O41" s="32" t="str">
        <f>IFERROR(__xludf.DUMMYFUNCTION("""COMPUTED_VALUE"""),"cahaya")</f>
        <v>cahaya</v>
      </c>
      <c r="P41" s="32" t="str">
        <f>IFERROR(__xludf.DUMMYFUNCTION("""COMPUTED_VALUE"""),"Parasitisme")</f>
        <v>Parasitisme</v>
      </c>
      <c r="Q41" s="32" t="str">
        <f>IFERROR(__xludf.DUMMYFUNCTION("""COMPUTED_VALUE"""),"Angin")</f>
        <v>Angin</v>
      </c>
      <c r="R41" s="32" t="str">
        <f>IFERROR(__xludf.DUMMYFUNCTION("""COMPUTED_VALUE"""),"belalang dan ular")</f>
        <v>belalang dan ular</v>
      </c>
      <c r="S41" s="32" t="str">
        <f>IFERROR(__xludf.DUMMYFUNCTION("""COMPUTED_VALUE"""),"Menghasilkan klorofil")</f>
        <v>Menghasilkan klorofil</v>
      </c>
      <c r="T41" s="32" t="str">
        <f>IFERROR(__xludf.DUMMYFUNCTION("""COMPUTED_VALUE"""),"Kelinci")</f>
        <v>Kelinci</v>
      </c>
      <c r="U41" s="32">
        <f>IFERROR(__xludf.DUMMYFUNCTION("""COMPUTED_VALUE"""),-64.0)</f>
        <v>-64</v>
      </c>
      <c r="V41" s="32" t="str">
        <f>IFERROR(__xludf.DUMMYFUNCTION("""COMPUTED_VALUE"""),"3/4")</f>
        <v>3/4</v>
      </c>
      <c r="W41" s="32" t="str">
        <f>IFERROR(__xludf.DUMMYFUNCTION("""COMPUTED_VALUE"""),"1.800 meter")</f>
        <v>1.800 meter</v>
      </c>
      <c r="X41" s="32" t="str">
        <f>IFERROR(__xludf.DUMMYFUNCTION("""COMPUTED_VALUE"""),"22 cm")</f>
        <v>22 cm</v>
      </c>
      <c r="Y41" s="32">
        <f>IFERROR(__xludf.DUMMYFUNCTION("""COMPUTED_VALUE"""),200.0)</f>
        <v>200</v>
      </c>
      <c r="Z41" s="28">
        <f t="shared" si="1"/>
        <v>1</v>
      </c>
      <c r="AA41" s="28">
        <f t="shared" si="2"/>
        <v>1</v>
      </c>
      <c r="AB41" s="28">
        <f t="shared" si="3"/>
        <v>1</v>
      </c>
      <c r="AC41" s="28">
        <f t="shared" si="4"/>
        <v>1</v>
      </c>
      <c r="AD41" s="28">
        <f t="shared" si="5"/>
        <v>1</v>
      </c>
      <c r="AE41" s="29">
        <f t="shared" si="6"/>
        <v>5</v>
      </c>
      <c r="AF41" s="28">
        <f t="shared" si="7"/>
        <v>1</v>
      </c>
      <c r="AG41" s="28">
        <f t="shared" si="8"/>
        <v>1</v>
      </c>
      <c r="AH41" s="28">
        <f t="shared" si="9"/>
        <v>1</v>
      </c>
      <c r="AI41" s="28">
        <f t="shared" si="10"/>
        <v>1</v>
      </c>
      <c r="AJ41" s="28">
        <f t="shared" si="11"/>
        <v>1</v>
      </c>
      <c r="AK41" s="29">
        <f t="shared" si="12"/>
        <v>5</v>
      </c>
      <c r="AL41" s="28">
        <f t="shared" si="13"/>
        <v>1</v>
      </c>
      <c r="AM41" s="28">
        <f t="shared" si="14"/>
        <v>1</v>
      </c>
      <c r="AN41" s="28">
        <f t="shared" si="15"/>
        <v>1</v>
      </c>
      <c r="AO41" s="28">
        <f t="shared" si="16"/>
        <v>1</v>
      </c>
      <c r="AP41" s="28">
        <f t="shared" si="17"/>
        <v>1</v>
      </c>
      <c r="AQ41" s="29">
        <f t="shared" si="18"/>
        <v>5</v>
      </c>
      <c r="AR41" s="28">
        <f t="shared" si="19"/>
        <v>1</v>
      </c>
      <c r="AS41" s="28">
        <f t="shared" si="20"/>
        <v>1</v>
      </c>
      <c r="AT41" s="28">
        <f t="shared" si="21"/>
        <v>1</v>
      </c>
      <c r="AU41" s="28">
        <f t="shared" si="22"/>
        <v>1</v>
      </c>
      <c r="AV41" s="28">
        <f t="shared" si="23"/>
        <v>0</v>
      </c>
      <c r="AW41" s="29">
        <f t="shared" si="24"/>
        <v>4</v>
      </c>
      <c r="AX41" s="22"/>
      <c r="AY41" s="26">
        <f t="shared" si="25"/>
        <v>5</v>
      </c>
      <c r="AZ41" s="26">
        <f t="shared" si="26"/>
        <v>5</v>
      </c>
      <c r="BA41" s="26">
        <f t="shared" si="27"/>
        <v>5</v>
      </c>
      <c r="BB41" s="26">
        <f t="shared" si="28"/>
        <v>4</v>
      </c>
      <c r="BC41" s="30">
        <f t="shared" si="29"/>
        <v>95</v>
      </c>
    </row>
    <row r="42">
      <c r="A42" s="31">
        <f>IFERROR(__xludf.DUMMYFUNCTION("""COMPUTED_VALUE"""),45929.66977409722)</f>
        <v>45929.66977</v>
      </c>
      <c r="B42" s="32" t="str">
        <f>IFERROR(__xludf.DUMMYFUNCTION("""COMPUTED_VALUE"""),"Wahid Ahmad Nugraha")</f>
        <v>Wahid Ahmad Nugraha</v>
      </c>
      <c r="C42" s="27" t="str">
        <f>IFERROR(__xludf.DUMMYFUNCTION("""COMPUTED_VALUE"""),"A250043")</f>
        <v>A250043</v>
      </c>
      <c r="D42" s="27" t="str">
        <f>IFERROR(__xludf.DUMMYFUNCTION("""COMPUTED_VALUE"""),"MTs Putra")</f>
        <v>MTs Putra</v>
      </c>
      <c r="E42" s="27" t="str">
        <f>IFERROR(__xludf.DUMMYFUNCTION("""COMPUTED_VALUE"""),"Ya")</f>
        <v>Ya</v>
      </c>
      <c r="F42" s="32" t="str">
        <f>IFERROR(__xludf.DUMMYFUNCTION("""COMPUTED_VALUE"""),"A. Aku bersaksi bahwa Muhammad adalah utusan Allah")</f>
        <v>A. Aku bersaksi bahwa Muhammad adalah utusan Allah</v>
      </c>
      <c r="G42" s="32">
        <f>IFERROR(__xludf.DUMMYFUNCTION("""COMPUTED_VALUE"""),6.0)</f>
        <v>6</v>
      </c>
      <c r="H42" s="32" t="str">
        <f>IFERROR(__xludf.DUMMYFUNCTION("""COMPUTED_VALUE"""),"1 Syawwal")</f>
        <v>1 Syawwal</v>
      </c>
      <c r="I42" s="32" t="str">
        <f>IFERROR(__xludf.DUMMYFUNCTION("""COMPUTED_VALUE"""),"Al 'Alaq")</f>
        <v>Al 'Alaq</v>
      </c>
      <c r="J42" s="32" t="str">
        <f>IFERROR(__xludf.DUMMYFUNCTION("""COMPUTED_VALUE"""),"Abu Bakar Ash Shiddiiq")</f>
        <v>Abu Bakar Ash Shiddiiq</v>
      </c>
      <c r="K42" s="32" t="str">
        <f>IFERROR(__xludf.DUMMYFUNCTION("""COMPUTED_VALUE"""),"malas")</f>
        <v>malas</v>
      </c>
      <c r="L42" s="32" t="str">
        <f>IFERROR(__xludf.DUMMYFUNCTION("""COMPUTED_VALUE"""),"dan")</f>
        <v>dan</v>
      </c>
      <c r="M42" s="32" t="str">
        <f>IFERROR(__xludf.DUMMYFUNCTION("""COMPUTED_VALUE"""),"Hafsah mengatakan bahwa aku ingin belajar di pesantren.")</f>
        <v>Hafsah mengatakan bahwa aku ingin belajar di pesantren.</v>
      </c>
      <c r="N42" s="32" t="str">
        <f>IFERROR(__xludf.DUMMYFUNCTION("""COMPUTED_VALUE"""),"Kalimat 2")</f>
        <v>Kalimat 2</v>
      </c>
      <c r="O42" s="32" t="str">
        <f>IFERROR(__xludf.DUMMYFUNCTION("""COMPUTED_VALUE"""),"cahaya")</f>
        <v>cahaya</v>
      </c>
      <c r="P42" s="32" t="str">
        <f>IFERROR(__xludf.DUMMYFUNCTION("""COMPUTED_VALUE"""),"Mutualisme")</f>
        <v>Mutualisme</v>
      </c>
      <c r="Q42" s="32" t="str">
        <f>IFERROR(__xludf.DUMMYFUNCTION("""COMPUTED_VALUE"""),"Angin")</f>
        <v>Angin</v>
      </c>
      <c r="R42" s="32" t="str">
        <f>IFERROR(__xludf.DUMMYFUNCTION("""COMPUTED_VALUE"""),"belalang dan ular")</f>
        <v>belalang dan ular</v>
      </c>
      <c r="S42" s="32" t="str">
        <f>IFERROR(__xludf.DUMMYFUNCTION("""COMPUTED_VALUE"""),"Menghasilkan klorofil")</f>
        <v>Menghasilkan klorofil</v>
      </c>
      <c r="T42" s="32" t="str">
        <f>IFERROR(__xludf.DUMMYFUNCTION("""COMPUTED_VALUE"""),"Kelinci")</f>
        <v>Kelinci</v>
      </c>
      <c r="U42" s="32">
        <f>IFERROR(__xludf.DUMMYFUNCTION("""COMPUTED_VALUE"""),-64.0)</f>
        <v>-64</v>
      </c>
      <c r="V42" s="32" t="str">
        <f>IFERROR(__xludf.DUMMYFUNCTION("""COMPUTED_VALUE"""),"4/3")</f>
        <v>4/3</v>
      </c>
      <c r="W42" s="32" t="str">
        <f>IFERROR(__xludf.DUMMYFUNCTION("""COMPUTED_VALUE"""),"1.800 meter")</f>
        <v>1.800 meter</v>
      </c>
      <c r="X42" s="32" t="str">
        <f>IFERROR(__xludf.DUMMYFUNCTION("""COMPUTED_VALUE"""),"28 cm")</f>
        <v>28 cm</v>
      </c>
      <c r="Y42" s="32">
        <f>IFERROR(__xludf.DUMMYFUNCTION("""COMPUTED_VALUE"""),200.0)</f>
        <v>200</v>
      </c>
      <c r="Z42" s="28">
        <f t="shared" si="1"/>
        <v>0</v>
      </c>
      <c r="AA42" s="28">
        <f t="shared" si="2"/>
        <v>1</v>
      </c>
      <c r="AB42" s="28">
        <f t="shared" si="3"/>
        <v>1</v>
      </c>
      <c r="AC42" s="28">
        <f t="shared" si="4"/>
        <v>1</v>
      </c>
      <c r="AD42" s="28">
        <f t="shared" si="5"/>
        <v>0</v>
      </c>
      <c r="AE42" s="29">
        <f t="shared" si="6"/>
        <v>3</v>
      </c>
      <c r="AF42" s="28">
        <f t="shared" si="7"/>
        <v>0</v>
      </c>
      <c r="AG42" s="28">
        <f t="shared" si="8"/>
        <v>1</v>
      </c>
      <c r="AH42" s="28">
        <f t="shared" si="9"/>
        <v>0</v>
      </c>
      <c r="AI42" s="28">
        <f t="shared" si="10"/>
        <v>0</v>
      </c>
      <c r="AJ42" s="28">
        <f t="shared" si="11"/>
        <v>1</v>
      </c>
      <c r="AK42" s="29">
        <f t="shared" si="12"/>
        <v>2</v>
      </c>
      <c r="AL42" s="28">
        <f t="shared" si="13"/>
        <v>0</v>
      </c>
      <c r="AM42" s="28">
        <f t="shared" si="14"/>
        <v>1</v>
      </c>
      <c r="AN42" s="28">
        <f t="shared" si="15"/>
        <v>1</v>
      </c>
      <c r="AO42" s="28">
        <f t="shared" si="16"/>
        <v>1</v>
      </c>
      <c r="AP42" s="28">
        <f t="shared" si="17"/>
        <v>1</v>
      </c>
      <c r="AQ42" s="29">
        <f t="shared" si="18"/>
        <v>4</v>
      </c>
      <c r="AR42" s="28">
        <f t="shared" si="19"/>
        <v>1</v>
      </c>
      <c r="AS42" s="28">
        <f t="shared" si="20"/>
        <v>0</v>
      </c>
      <c r="AT42" s="28">
        <f t="shared" si="21"/>
        <v>1</v>
      </c>
      <c r="AU42" s="28">
        <f t="shared" si="22"/>
        <v>0</v>
      </c>
      <c r="AV42" s="28">
        <f t="shared" si="23"/>
        <v>0</v>
      </c>
      <c r="AW42" s="29">
        <f t="shared" si="24"/>
        <v>2</v>
      </c>
      <c r="AX42" s="22"/>
      <c r="AY42" s="26">
        <f t="shared" si="25"/>
        <v>3</v>
      </c>
      <c r="AZ42" s="26">
        <f t="shared" si="26"/>
        <v>2</v>
      </c>
      <c r="BA42" s="26">
        <f t="shared" si="27"/>
        <v>4</v>
      </c>
      <c r="BB42" s="26">
        <f t="shared" si="28"/>
        <v>2</v>
      </c>
      <c r="BC42" s="30">
        <f t="shared" si="29"/>
        <v>55</v>
      </c>
    </row>
    <row r="43">
      <c r="A43" s="31">
        <f>IFERROR(__xludf.DUMMYFUNCTION("""COMPUTED_VALUE"""),45930.66878435185)</f>
        <v>45930.66878</v>
      </c>
      <c r="B43" s="32" t="str">
        <f>IFERROR(__xludf.DUMMYFUNCTION("""COMPUTED_VALUE"""),"Hamzah Aqil")</f>
        <v>Hamzah Aqil</v>
      </c>
      <c r="C43" s="27" t="str">
        <f>IFERROR(__xludf.DUMMYFUNCTION("""COMPUTED_VALUE"""),"A250057")</f>
        <v>A250057</v>
      </c>
      <c r="D43" s="27" t="str">
        <f>IFERROR(__xludf.DUMMYFUNCTION("""COMPUTED_VALUE"""),"MTs Putra")</f>
        <v>MTs Putra</v>
      </c>
      <c r="E43" s="27" t="str">
        <f>IFERROR(__xludf.DUMMYFUNCTION("""COMPUTED_VALUE"""),"Ya")</f>
        <v>Ya</v>
      </c>
      <c r="F43" s="36" t="str">
        <f>IFERROR(__xludf.DUMMYFUNCTION("""COMPUTED_VALUE"""),"B. Aku bersaksi bahwa tidak ada tuhan yang berhak di sembah kecuali Allah")</f>
        <v>B. Aku bersaksi bahwa tidak ada tuhan yang berhak di sembah kecuali Allah</v>
      </c>
      <c r="G43" s="36">
        <f>IFERROR(__xludf.DUMMYFUNCTION("""COMPUTED_VALUE"""),6.0)</f>
        <v>6</v>
      </c>
      <c r="H43" s="36" t="str">
        <f>IFERROR(__xludf.DUMMYFUNCTION("""COMPUTED_VALUE"""),"1 Syawwal")</f>
        <v>1 Syawwal</v>
      </c>
      <c r="I43" s="36" t="str">
        <f>IFERROR(__xludf.DUMMYFUNCTION("""COMPUTED_VALUE"""),"Al 'Alaq")</f>
        <v>Al 'Alaq</v>
      </c>
      <c r="J43" s="36" t="str">
        <f>IFERROR(__xludf.DUMMYFUNCTION("""COMPUTED_VALUE"""),"Ali Bin Abi Thalib")</f>
        <v>Ali Bin Abi Thalib</v>
      </c>
      <c r="K43" s="36" t="str">
        <f>IFERROR(__xludf.DUMMYFUNCTION("""COMPUTED_VALUE"""),"giat")</f>
        <v>giat</v>
      </c>
      <c r="L43" s="36" t="str">
        <f>IFERROR(__xludf.DUMMYFUNCTION("""COMPUTED_VALUE"""),"dan")</f>
        <v>dan</v>
      </c>
      <c r="M43" s="36" t="str">
        <f>IFERROR(__xludf.DUMMYFUNCTION("""COMPUTED_VALUE"""),"Hafsah mengatakan bahwa ia ingin belajar di pesantren.")</f>
        <v>Hafsah mengatakan bahwa ia ingin belajar di pesantren.</v>
      </c>
      <c r="N43" s="36" t="str">
        <f>IFERROR(__xludf.DUMMYFUNCTION("""COMPUTED_VALUE"""),"Kalimat 2")</f>
        <v>Kalimat 2</v>
      </c>
      <c r="O43" s="36" t="str">
        <f>IFERROR(__xludf.DUMMYFUNCTION("""COMPUTED_VALUE"""),"cahaya")</f>
        <v>cahaya</v>
      </c>
      <c r="P43" s="36" t="str">
        <f>IFERROR(__xludf.DUMMYFUNCTION("""COMPUTED_VALUE"""),"Mutualisme")</f>
        <v>Mutualisme</v>
      </c>
      <c r="Q43" s="36" t="str">
        <f>IFERROR(__xludf.DUMMYFUNCTION("""COMPUTED_VALUE"""),"Angin")</f>
        <v>Angin</v>
      </c>
      <c r="R43" s="36" t="str">
        <f>IFERROR(__xludf.DUMMYFUNCTION("""COMPUTED_VALUE"""),"belalang dan ular")</f>
        <v>belalang dan ular</v>
      </c>
      <c r="S43" s="36" t="str">
        <f>IFERROR(__xludf.DUMMYFUNCTION("""COMPUTED_VALUE"""),"Menghasilkan klorofil")</f>
        <v>Menghasilkan klorofil</v>
      </c>
      <c r="T43" s="36" t="str">
        <f>IFERROR(__xludf.DUMMYFUNCTION("""COMPUTED_VALUE"""),"Kadal")</f>
        <v>Kadal</v>
      </c>
      <c r="U43" s="36">
        <f>IFERROR(__xludf.DUMMYFUNCTION("""COMPUTED_VALUE"""),-64.0)</f>
        <v>-64</v>
      </c>
      <c r="V43" s="36">
        <f>IFERROR(__xludf.DUMMYFUNCTION("""COMPUTED_VALUE"""),1.0)</f>
        <v>1</v>
      </c>
      <c r="W43" s="36" t="str">
        <f>IFERROR(__xludf.DUMMYFUNCTION("""COMPUTED_VALUE"""),"1.250 meter")</f>
        <v>1.250 meter</v>
      </c>
      <c r="X43" s="36" t="str">
        <f>IFERROR(__xludf.DUMMYFUNCTION("""COMPUTED_VALUE"""),"28 cm")</f>
        <v>28 cm</v>
      </c>
      <c r="Y43" s="37">
        <f>IFERROR(__xludf.DUMMYFUNCTION("""COMPUTED_VALUE"""),1000.0)</f>
        <v>1000</v>
      </c>
      <c r="Z43" s="28">
        <f t="shared" si="1"/>
        <v>1</v>
      </c>
      <c r="AA43" s="28">
        <f t="shared" si="2"/>
        <v>1</v>
      </c>
      <c r="AB43" s="28">
        <f t="shared" si="3"/>
        <v>1</v>
      </c>
      <c r="AC43" s="28">
        <f t="shared" si="4"/>
        <v>1</v>
      </c>
      <c r="AD43" s="28">
        <f t="shared" si="5"/>
        <v>1</v>
      </c>
      <c r="AE43" s="29">
        <f t="shared" si="6"/>
        <v>5</v>
      </c>
      <c r="AF43" s="28">
        <f t="shared" si="7"/>
        <v>1</v>
      </c>
      <c r="AG43" s="28">
        <f t="shared" si="8"/>
        <v>1</v>
      </c>
      <c r="AH43" s="28">
        <f t="shared" si="9"/>
        <v>1</v>
      </c>
      <c r="AI43" s="28">
        <f t="shared" si="10"/>
        <v>0</v>
      </c>
      <c r="AJ43" s="28">
        <f t="shared" si="11"/>
        <v>1</v>
      </c>
      <c r="AK43" s="29">
        <f t="shared" si="12"/>
        <v>4</v>
      </c>
      <c r="AL43" s="28">
        <f t="shared" si="13"/>
        <v>0</v>
      </c>
      <c r="AM43" s="28">
        <f t="shared" si="14"/>
        <v>1</v>
      </c>
      <c r="AN43" s="28">
        <f t="shared" si="15"/>
        <v>1</v>
      </c>
      <c r="AO43" s="28">
        <f t="shared" si="16"/>
        <v>1</v>
      </c>
      <c r="AP43" s="28">
        <f t="shared" si="17"/>
        <v>0</v>
      </c>
      <c r="AQ43" s="29">
        <f t="shared" si="18"/>
        <v>3</v>
      </c>
      <c r="AR43" s="28">
        <f t="shared" si="19"/>
        <v>1</v>
      </c>
      <c r="AS43" s="28">
        <f t="shared" si="20"/>
        <v>0</v>
      </c>
      <c r="AT43" s="28">
        <f t="shared" si="21"/>
        <v>0</v>
      </c>
      <c r="AU43" s="28">
        <f t="shared" si="22"/>
        <v>0</v>
      </c>
      <c r="AV43" s="28">
        <f t="shared" si="23"/>
        <v>0</v>
      </c>
      <c r="AW43" s="29">
        <f t="shared" si="24"/>
        <v>1</v>
      </c>
      <c r="AX43" s="22"/>
      <c r="AY43" s="26">
        <f t="shared" si="25"/>
        <v>5</v>
      </c>
      <c r="AZ43" s="26">
        <f t="shared" si="26"/>
        <v>4</v>
      </c>
      <c r="BA43" s="26">
        <f t="shared" si="27"/>
        <v>3</v>
      </c>
      <c r="BB43" s="26">
        <f t="shared" si="28"/>
        <v>1</v>
      </c>
      <c r="BC43" s="30">
        <f t="shared" si="29"/>
        <v>65</v>
      </c>
    </row>
    <row r="44">
      <c r="A44" s="31">
        <f>IFERROR(__xludf.DUMMYFUNCTION("""COMPUTED_VALUE"""),45930.692451435185)</f>
        <v>45930.69245</v>
      </c>
      <c r="B44" s="32" t="str">
        <f>IFERROR(__xludf.DUMMYFUNCTION("""COMPUTED_VALUE"""),"Siti Fatimah Azzahra ")</f>
        <v>Siti Fatimah Azzahra </v>
      </c>
      <c r="C44" s="27" t="str">
        <f>IFERROR(__xludf.DUMMYFUNCTION("""COMPUTED_VALUE"""),"D250010")</f>
        <v>D250010</v>
      </c>
      <c r="D44" s="27" t="str">
        <f>IFERROR(__xludf.DUMMYFUNCTION("""COMPUTED_VALUE"""),"MTs Putri")</f>
        <v>MTs Putri</v>
      </c>
      <c r="E44" s="27" t="str">
        <f>IFERROR(__xludf.DUMMYFUNCTION("""COMPUTED_VALUE"""),"Ya")</f>
        <v>Ya</v>
      </c>
      <c r="F44" s="32" t="str">
        <f>IFERROR(__xludf.DUMMYFUNCTION("""COMPUTED_VALUE"""),"B. Aku bersaksi bahwa tidak ada tuhan yang berhak di sembah kecuali Allah")</f>
        <v>B. Aku bersaksi bahwa tidak ada tuhan yang berhak di sembah kecuali Allah</v>
      </c>
      <c r="G44" s="32">
        <f>IFERROR(__xludf.DUMMYFUNCTION("""COMPUTED_VALUE"""),6.0)</f>
        <v>6</v>
      </c>
      <c r="H44" s="32" t="str">
        <f>IFERROR(__xludf.DUMMYFUNCTION("""COMPUTED_VALUE"""),"1 Syawwal")</f>
        <v>1 Syawwal</v>
      </c>
      <c r="I44" s="32" t="str">
        <f>IFERROR(__xludf.DUMMYFUNCTION("""COMPUTED_VALUE"""),"Al 'Alaq")</f>
        <v>Al 'Alaq</v>
      </c>
      <c r="J44" s="32" t="str">
        <f>IFERROR(__xludf.DUMMYFUNCTION("""COMPUTED_VALUE"""),"Ali Bin Abi Thalib")</f>
        <v>Ali Bin Abi Thalib</v>
      </c>
      <c r="K44" s="32" t="str">
        <f>IFERROR(__xludf.DUMMYFUNCTION("""COMPUTED_VALUE"""),"giat")</f>
        <v>giat</v>
      </c>
      <c r="L44" s="32" t="str">
        <f>IFERROR(__xludf.DUMMYFUNCTION("""COMPUTED_VALUE"""),"dan")</f>
        <v>dan</v>
      </c>
      <c r="M44" s="32" t="str">
        <f>IFERROR(__xludf.DUMMYFUNCTION("""COMPUTED_VALUE"""),"Hafsah mengatakan bahwa ia ingin belajar di pesantren.")</f>
        <v>Hafsah mengatakan bahwa ia ingin belajar di pesantren.</v>
      </c>
      <c r="N44" s="32" t="str">
        <f>IFERROR(__xludf.DUMMYFUNCTION("""COMPUTED_VALUE"""),"Kalimat 1")</f>
        <v>Kalimat 1</v>
      </c>
      <c r="O44" s="32" t="str">
        <f>IFERROR(__xludf.DUMMYFUNCTION("""COMPUTED_VALUE"""),"tata surya")</f>
        <v>tata surya</v>
      </c>
      <c r="P44" s="32" t="str">
        <f>IFERROR(__xludf.DUMMYFUNCTION("""COMPUTED_VALUE"""),"Parasitisme")</f>
        <v>Parasitisme</v>
      </c>
      <c r="Q44" s="32" t="str">
        <f>IFERROR(__xludf.DUMMYFUNCTION("""COMPUTED_VALUE"""),"Angin")</f>
        <v>Angin</v>
      </c>
      <c r="R44" s="32" t="str">
        <f>IFERROR(__xludf.DUMMYFUNCTION("""COMPUTED_VALUE"""),"belalang dan ular")</f>
        <v>belalang dan ular</v>
      </c>
      <c r="S44" s="32" t="str">
        <f>IFERROR(__xludf.DUMMYFUNCTION("""COMPUTED_VALUE"""),"Menghasilkan klorofil")</f>
        <v>Menghasilkan klorofil</v>
      </c>
      <c r="T44" s="32" t="str">
        <f>IFERROR(__xludf.DUMMYFUNCTION("""COMPUTED_VALUE"""),"Kelinci")</f>
        <v>Kelinci</v>
      </c>
      <c r="U44" s="32">
        <f>IFERROR(__xludf.DUMMYFUNCTION("""COMPUTED_VALUE"""),-64.0)</f>
        <v>-64</v>
      </c>
      <c r="V44" s="32" t="str">
        <f>IFERROR(__xludf.DUMMYFUNCTION("""COMPUTED_VALUE"""),"3/4")</f>
        <v>3/4</v>
      </c>
      <c r="W44" s="32" t="str">
        <f>IFERROR(__xludf.DUMMYFUNCTION("""COMPUTED_VALUE"""),"1.800 meter")</f>
        <v>1.800 meter</v>
      </c>
      <c r="X44" s="32" t="str">
        <f>IFERROR(__xludf.DUMMYFUNCTION("""COMPUTED_VALUE"""),"22 cm")</f>
        <v>22 cm</v>
      </c>
      <c r="Y44" s="32">
        <f>IFERROR(__xludf.DUMMYFUNCTION("""COMPUTED_VALUE"""),400.0)</f>
        <v>400</v>
      </c>
      <c r="Z44" s="28">
        <f t="shared" si="1"/>
        <v>1</v>
      </c>
      <c r="AA44" s="28">
        <f t="shared" si="2"/>
        <v>1</v>
      </c>
      <c r="AB44" s="28">
        <f t="shared" si="3"/>
        <v>1</v>
      </c>
      <c r="AC44" s="28">
        <f t="shared" si="4"/>
        <v>1</v>
      </c>
      <c r="AD44" s="28">
        <f t="shared" si="5"/>
        <v>1</v>
      </c>
      <c r="AE44" s="29">
        <f t="shared" si="6"/>
        <v>5</v>
      </c>
      <c r="AF44" s="28">
        <f t="shared" si="7"/>
        <v>1</v>
      </c>
      <c r="AG44" s="28">
        <f t="shared" si="8"/>
        <v>1</v>
      </c>
      <c r="AH44" s="28">
        <f t="shared" si="9"/>
        <v>1</v>
      </c>
      <c r="AI44" s="28">
        <f t="shared" si="10"/>
        <v>1</v>
      </c>
      <c r="AJ44" s="28">
        <f t="shared" si="11"/>
        <v>0</v>
      </c>
      <c r="AK44" s="29">
        <f t="shared" si="12"/>
        <v>4</v>
      </c>
      <c r="AL44" s="28">
        <f t="shared" si="13"/>
        <v>1</v>
      </c>
      <c r="AM44" s="28">
        <f t="shared" si="14"/>
        <v>1</v>
      </c>
      <c r="AN44" s="28">
        <f t="shared" si="15"/>
        <v>1</v>
      </c>
      <c r="AO44" s="28">
        <f t="shared" si="16"/>
        <v>1</v>
      </c>
      <c r="AP44" s="28">
        <f t="shared" si="17"/>
        <v>1</v>
      </c>
      <c r="AQ44" s="29">
        <f t="shared" si="18"/>
        <v>5</v>
      </c>
      <c r="AR44" s="28">
        <f t="shared" si="19"/>
        <v>1</v>
      </c>
      <c r="AS44" s="28">
        <f t="shared" si="20"/>
        <v>1</v>
      </c>
      <c r="AT44" s="28">
        <f t="shared" si="21"/>
        <v>1</v>
      </c>
      <c r="AU44" s="28">
        <f t="shared" si="22"/>
        <v>1</v>
      </c>
      <c r="AV44" s="28">
        <f t="shared" si="23"/>
        <v>0</v>
      </c>
      <c r="AW44" s="29">
        <f t="shared" si="24"/>
        <v>4</v>
      </c>
      <c r="AX44" s="22"/>
      <c r="AY44" s="26">
        <f t="shared" si="25"/>
        <v>5</v>
      </c>
      <c r="AZ44" s="26">
        <f t="shared" si="26"/>
        <v>4</v>
      </c>
      <c r="BA44" s="26">
        <f t="shared" si="27"/>
        <v>5</v>
      </c>
      <c r="BB44" s="26">
        <f t="shared" si="28"/>
        <v>4</v>
      </c>
      <c r="BC44" s="30">
        <f t="shared" si="29"/>
        <v>90</v>
      </c>
    </row>
    <row r="45">
      <c r="A45" s="31">
        <f>IFERROR(__xludf.DUMMYFUNCTION("""COMPUTED_VALUE"""),45931.294393495366)</f>
        <v>45931.29439</v>
      </c>
      <c r="B45" s="32" t="str">
        <f>IFERROR(__xludf.DUMMYFUNCTION("""COMPUTED_VALUE"""),"Ulfia Nurfauziah ")</f>
        <v>Ulfia Nurfauziah </v>
      </c>
      <c r="C45" s="27" t="str">
        <f>IFERROR(__xludf.DUMMYFUNCTION("""COMPUTED_VALUE"""),"D250027")</f>
        <v>D250027</v>
      </c>
      <c r="D45" s="27" t="str">
        <f>IFERROR(__xludf.DUMMYFUNCTION("""COMPUTED_VALUE"""),"MTs Putri")</f>
        <v>MTs Putri</v>
      </c>
      <c r="E45" s="27" t="str">
        <f>IFERROR(__xludf.DUMMYFUNCTION("""COMPUTED_VALUE"""),"Ya")</f>
        <v>Ya</v>
      </c>
      <c r="F45" s="32" t="str">
        <f>IFERROR(__xludf.DUMMYFUNCTION("""COMPUTED_VALUE"""),"B. Aku bersaksi bahwa tidak ada tuhan yang berhak di sembah kecuali Allah")</f>
        <v>B. Aku bersaksi bahwa tidak ada tuhan yang berhak di sembah kecuali Allah</v>
      </c>
      <c r="G45" s="32">
        <f>IFERROR(__xludf.DUMMYFUNCTION("""COMPUTED_VALUE"""),6.0)</f>
        <v>6</v>
      </c>
      <c r="H45" s="32" t="str">
        <f>IFERROR(__xludf.DUMMYFUNCTION("""COMPUTED_VALUE"""),"1 Syawwal")</f>
        <v>1 Syawwal</v>
      </c>
      <c r="I45" s="32" t="str">
        <f>IFERROR(__xludf.DUMMYFUNCTION("""COMPUTED_VALUE"""),"Al 'Alaq")</f>
        <v>Al 'Alaq</v>
      </c>
      <c r="J45" s="32" t="str">
        <f>IFERROR(__xludf.DUMMYFUNCTION("""COMPUTED_VALUE"""),"Ali Bin Abi Thalib")</f>
        <v>Ali Bin Abi Thalib</v>
      </c>
      <c r="K45" s="32" t="str">
        <f>IFERROR(__xludf.DUMMYFUNCTION("""COMPUTED_VALUE"""),"giat")</f>
        <v>giat</v>
      </c>
      <c r="L45" s="32" t="str">
        <f>IFERROR(__xludf.DUMMYFUNCTION("""COMPUTED_VALUE"""),"dan")</f>
        <v>dan</v>
      </c>
      <c r="M45" s="32" t="str">
        <f>IFERROR(__xludf.DUMMYFUNCTION("""COMPUTED_VALUE"""),"Hafsah berkata aku ingin belajar di pesantren.")</f>
        <v>Hafsah berkata aku ingin belajar di pesantren.</v>
      </c>
      <c r="N45" s="32" t="str">
        <f>IFERROR(__xludf.DUMMYFUNCTION("""COMPUTED_VALUE"""),"Kalimat 1")</f>
        <v>Kalimat 1</v>
      </c>
      <c r="O45" s="32" t="str">
        <f>IFERROR(__xludf.DUMMYFUNCTION("""COMPUTED_VALUE"""),"kehidupan")</f>
        <v>kehidupan</v>
      </c>
      <c r="P45" s="32" t="str">
        <f>IFERROR(__xludf.DUMMYFUNCTION("""COMPUTED_VALUE"""),"Mutualisme")</f>
        <v>Mutualisme</v>
      </c>
      <c r="Q45" s="32" t="str">
        <f>IFERROR(__xludf.DUMMYFUNCTION("""COMPUTED_VALUE"""),"Angin")</f>
        <v>Angin</v>
      </c>
      <c r="R45" s="32" t="str">
        <f>IFERROR(__xludf.DUMMYFUNCTION("""COMPUTED_VALUE"""),"ulat dan kelinci")</f>
        <v>ulat dan kelinci</v>
      </c>
      <c r="S45" s="32" t="str">
        <f>IFERROR(__xludf.DUMMYFUNCTION("""COMPUTED_VALUE"""),"Menghasilkan klorofil")</f>
        <v>Menghasilkan klorofil</v>
      </c>
      <c r="T45" s="32" t="str">
        <f>IFERROR(__xludf.DUMMYFUNCTION("""COMPUTED_VALUE"""),"Kadal")</f>
        <v>Kadal</v>
      </c>
      <c r="U45" s="32">
        <f>IFERROR(__xludf.DUMMYFUNCTION("""COMPUTED_VALUE"""),56.0)</f>
        <v>56</v>
      </c>
      <c r="V45" s="32" t="str">
        <f>IFERROR(__xludf.DUMMYFUNCTION("""COMPUTED_VALUE"""),"3/4")</f>
        <v>3/4</v>
      </c>
      <c r="W45" s="32" t="str">
        <f>IFERROR(__xludf.DUMMYFUNCTION("""COMPUTED_VALUE"""),"1.575 meter")</f>
        <v>1.575 meter</v>
      </c>
      <c r="X45" s="32" t="str">
        <f>IFERROR(__xludf.DUMMYFUNCTION("""COMPUTED_VALUE"""),"11 cm")</f>
        <v>11 cm</v>
      </c>
      <c r="Y45" s="33">
        <f>IFERROR(__xludf.DUMMYFUNCTION("""COMPUTED_VALUE"""),1000.0)</f>
        <v>1000</v>
      </c>
      <c r="Z45" s="28">
        <f t="shared" si="1"/>
        <v>1</v>
      </c>
      <c r="AA45" s="28">
        <f t="shared" si="2"/>
        <v>1</v>
      </c>
      <c r="AB45" s="28">
        <f t="shared" si="3"/>
        <v>1</v>
      </c>
      <c r="AC45" s="28">
        <f t="shared" si="4"/>
        <v>1</v>
      </c>
      <c r="AD45" s="28">
        <f t="shared" si="5"/>
        <v>1</v>
      </c>
      <c r="AE45" s="29">
        <f t="shared" si="6"/>
        <v>5</v>
      </c>
      <c r="AF45" s="28">
        <f t="shared" si="7"/>
        <v>1</v>
      </c>
      <c r="AG45" s="28">
        <f t="shared" si="8"/>
        <v>1</v>
      </c>
      <c r="AH45" s="28">
        <f t="shared" si="9"/>
        <v>0</v>
      </c>
      <c r="AI45" s="28">
        <f t="shared" si="10"/>
        <v>1</v>
      </c>
      <c r="AJ45" s="28">
        <f t="shared" si="11"/>
        <v>0</v>
      </c>
      <c r="AK45" s="29">
        <f t="shared" si="12"/>
        <v>3</v>
      </c>
      <c r="AL45" s="28">
        <f t="shared" si="13"/>
        <v>0</v>
      </c>
      <c r="AM45" s="28">
        <f t="shared" si="14"/>
        <v>1</v>
      </c>
      <c r="AN45" s="28">
        <f t="shared" si="15"/>
        <v>0</v>
      </c>
      <c r="AO45" s="28">
        <f t="shared" si="16"/>
        <v>1</v>
      </c>
      <c r="AP45" s="28">
        <f t="shared" si="17"/>
        <v>0</v>
      </c>
      <c r="AQ45" s="29">
        <f t="shared" si="18"/>
        <v>2</v>
      </c>
      <c r="AR45" s="28">
        <f t="shared" si="19"/>
        <v>0</v>
      </c>
      <c r="AS45" s="28">
        <f t="shared" si="20"/>
        <v>1</v>
      </c>
      <c r="AT45" s="28">
        <f t="shared" si="21"/>
        <v>0</v>
      </c>
      <c r="AU45" s="28">
        <f t="shared" si="22"/>
        <v>0</v>
      </c>
      <c r="AV45" s="28">
        <f t="shared" si="23"/>
        <v>0</v>
      </c>
      <c r="AW45" s="29">
        <f t="shared" si="24"/>
        <v>1</v>
      </c>
      <c r="AX45" s="22"/>
      <c r="AY45" s="26">
        <f t="shared" si="25"/>
        <v>5</v>
      </c>
      <c r="AZ45" s="26">
        <f t="shared" si="26"/>
        <v>3</v>
      </c>
      <c r="BA45" s="26">
        <f t="shared" si="27"/>
        <v>2</v>
      </c>
      <c r="BB45" s="26">
        <f t="shared" si="28"/>
        <v>1</v>
      </c>
      <c r="BC45" s="30">
        <f t="shared" si="29"/>
        <v>55</v>
      </c>
    </row>
    <row r="46">
      <c r="A46" s="31">
        <f>IFERROR(__xludf.DUMMYFUNCTION("""COMPUTED_VALUE"""),45932.35396521991)</f>
        <v>45932.35397</v>
      </c>
      <c r="B46" s="32" t="str">
        <f>IFERROR(__xludf.DUMMYFUNCTION("""COMPUTED_VALUE"""),"Satria Ibrahim Tamaoki")</f>
        <v>Satria Ibrahim Tamaoki</v>
      </c>
      <c r="C46" s="27" t="str">
        <f>IFERROR(__xludf.DUMMYFUNCTION("""COMPUTED_VALUE"""),"A250072")</f>
        <v>A250072</v>
      </c>
      <c r="D46" s="27" t="str">
        <f>IFERROR(__xludf.DUMMYFUNCTION("""COMPUTED_VALUE"""),"MTs Putra")</f>
        <v>MTs Putra</v>
      </c>
      <c r="E46" s="27" t="str">
        <f>IFERROR(__xludf.DUMMYFUNCTION("""COMPUTED_VALUE"""),"Ya")</f>
        <v>Ya</v>
      </c>
      <c r="F46" s="32" t="str">
        <f>IFERROR(__xludf.DUMMYFUNCTION("""COMPUTED_VALUE"""),"B. Aku bersaksi bahwa tidak ada tuhan yang berhak di sembah kecuali Allah")</f>
        <v>B. Aku bersaksi bahwa tidak ada tuhan yang berhak di sembah kecuali Allah</v>
      </c>
      <c r="G46" s="32">
        <f>IFERROR(__xludf.DUMMYFUNCTION("""COMPUTED_VALUE"""),6.0)</f>
        <v>6</v>
      </c>
      <c r="H46" s="32" t="str">
        <f>IFERROR(__xludf.DUMMYFUNCTION("""COMPUTED_VALUE"""),"1 Syawwal")</f>
        <v>1 Syawwal</v>
      </c>
      <c r="I46" s="32" t="str">
        <f>IFERROR(__xludf.DUMMYFUNCTION("""COMPUTED_VALUE"""),"Al 'Alaq")</f>
        <v>Al 'Alaq</v>
      </c>
      <c r="J46" s="32" t="str">
        <f>IFERROR(__xludf.DUMMYFUNCTION("""COMPUTED_VALUE"""),"Ali Bin Abi Thalib")</f>
        <v>Ali Bin Abi Thalib</v>
      </c>
      <c r="K46" s="32" t="str">
        <f>IFERROR(__xludf.DUMMYFUNCTION("""COMPUTED_VALUE"""),"giat")</f>
        <v>giat</v>
      </c>
      <c r="L46" s="32" t="str">
        <f>IFERROR(__xludf.DUMMYFUNCTION("""COMPUTED_VALUE"""),"dan")</f>
        <v>dan</v>
      </c>
      <c r="M46" s="32" t="str">
        <f>IFERROR(__xludf.DUMMYFUNCTION("""COMPUTED_VALUE"""),"Hafsah mengatakan bahwa ia ingin belajar di pesantren.")</f>
        <v>Hafsah mengatakan bahwa ia ingin belajar di pesantren.</v>
      </c>
      <c r="N46" s="32" t="str">
        <f>IFERROR(__xludf.DUMMYFUNCTION("""COMPUTED_VALUE"""),"Kalimat 1")</f>
        <v>Kalimat 1</v>
      </c>
      <c r="O46" s="32" t="str">
        <f>IFERROR(__xludf.DUMMYFUNCTION("""COMPUTED_VALUE"""),"cahaya")</f>
        <v>cahaya</v>
      </c>
      <c r="P46" s="32" t="str">
        <f>IFERROR(__xludf.DUMMYFUNCTION("""COMPUTED_VALUE"""),"Parasitisme")</f>
        <v>Parasitisme</v>
      </c>
      <c r="Q46" s="32" t="str">
        <f>IFERROR(__xludf.DUMMYFUNCTION("""COMPUTED_VALUE"""),"Angin")</f>
        <v>Angin</v>
      </c>
      <c r="R46" s="32" t="str">
        <f>IFERROR(__xludf.DUMMYFUNCTION("""COMPUTED_VALUE"""),"belalang dan ular")</f>
        <v>belalang dan ular</v>
      </c>
      <c r="S46" s="32" t="str">
        <f>IFERROR(__xludf.DUMMYFUNCTION("""COMPUTED_VALUE"""),"Menghasilkan klorofil")</f>
        <v>Menghasilkan klorofil</v>
      </c>
      <c r="T46" s="32" t="str">
        <f>IFERROR(__xludf.DUMMYFUNCTION("""COMPUTED_VALUE"""),"Kelinci")</f>
        <v>Kelinci</v>
      </c>
      <c r="U46" s="32">
        <f>IFERROR(__xludf.DUMMYFUNCTION("""COMPUTED_VALUE"""),56.0)</f>
        <v>56</v>
      </c>
      <c r="V46" s="32" t="str">
        <f>IFERROR(__xludf.DUMMYFUNCTION("""COMPUTED_VALUE"""),"3/4")</f>
        <v>3/4</v>
      </c>
      <c r="W46" s="32" t="str">
        <f>IFERROR(__xludf.DUMMYFUNCTION("""COMPUTED_VALUE"""),"1.800 meter")</f>
        <v>1.800 meter</v>
      </c>
      <c r="X46" s="32" t="str">
        <f>IFERROR(__xludf.DUMMYFUNCTION("""COMPUTED_VALUE"""),"22 cm")</f>
        <v>22 cm</v>
      </c>
      <c r="Y46" s="32">
        <f>IFERROR(__xludf.DUMMYFUNCTION("""COMPUTED_VALUE"""),200.0)</f>
        <v>200</v>
      </c>
      <c r="Z46" s="28">
        <f t="shared" si="1"/>
        <v>1</v>
      </c>
      <c r="AA46" s="28">
        <f t="shared" si="2"/>
        <v>1</v>
      </c>
      <c r="AB46" s="28">
        <f t="shared" si="3"/>
        <v>1</v>
      </c>
      <c r="AC46" s="28">
        <f t="shared" si="4"/>
        <v>1</v>
      </c>
      <c r="AD46" s="28">
        <f t="shared" si="5"/>
        <v>1</v>
      </c>
      <c r="AE46" s="29">
        <f t="shared" si="6"/>
        <v>5</v>
      </c>
      <c r="AF46" s="28">
        <f t="shared" si="7"/>
        <v>1</v>
      </c>
      <c r="AG46" s="28">
        <f t="shared" si="8"/>
        <v>1</v>
      </c>
      <c r="AH46" s="28">
        <f t="shared" si="9"/>
        <v>1</v>
      </c>
      <c r="AI46" s="28">
        <f t="shared" si="10"/>
        <v>1</v>
      </c>
      <c r="AJ46" s="28">
        <f t="shared" si="11"/>
        <v>1</v>
      </c>
      <c r="AK46" s="29">
        <f t="shared" si="12"/>
        <v>5</v>
      </c>
      <c r="AL46" s="28">
        <f t="shared" si="13"/>
        <v>1</v>
      </c>
      <c r="AM46" s="28">
        <f t="shared" si="14"/>
        <v>1</v>
      </c>
      <c r="AN46" s="28">
        <f t="shared" si="15"/>
        <v>1</v>
      </c>
      <c r="AO46" s="28">
        <f t="shared" si="16"/>
        <v>1</v>
      </c>
      <c r="AP46" s="28">
        <f t="shared" si="17"/>
        <v>1</v>
      </c>
      <c r="AQ46" s="29">
        <f t="shared" si="18"/>
        <v>5</v>
      </c>
      <c r="AR46" s="28">
        <f t="shared" si="19"/>
        <v>0</v>
      </c>
      <c r="AS46" s="28">
        <f t="shared" si="20"/>
        <v>1</v>
      </c>
      <c r="AT46" s="28">
        <f t="shared" si="21"/>
        <v>1</v>
      </c>
      <c r="AU46" s="28">
        <f t="shared" si="22"/>
        <v>1</v>
      </c>
      <c r="AV46" s="28">
        <f t="shared" si="23"/>
        <v>0</v>
      </c>
      <c r="AW46" s="29">
        <f t="shared" si="24"/>
        <v>3</v>
      </c>
      <c r="AX46" s="22"/>
      <c r="AY46" s="26">
        <f t="shared" si="25"/>
        <v>5</v>
      </c>
      <c r="AZ46" s="26">
        <f t="shared" si="26"/>
        <v>5</v>
      </c>
      <c r="BA46" s="26">
        <f t="shared" si="27"/>
        <v>5</v>
      </c>
      <c r="BB46" s="26">
        <f t="shared" si="28"/>
        <v>3</v>
      </c>
      <c r="BC46" s="30">
        <f t="shared" si="29"/>
        <v>90</v>
      </c>
    </row>
    <row r="47">
      <c r="A47" s="31">
        <f>IFERROR(__xludf.DUMMYFUNCTION("""COMPUTED_VALUE"""),45933.663170949076)</f>
        <v>45933.66317</v>
      </c>
      <c r="B47" s="32" t="str">
        <f>IFERROR(__xludf.DUMMYFUNCTION("""COMPUTED_VALUE"""),"Artka hasbina azhuary")</f>
        <v>Artka hasbina azhuary</v>
      </c>
      <c r="C47" s="27" t="str">
        <f>IFERROR(__xludf.DUMMYFUNCTION("""COMPUTED_VALUE"""),"A250032")</f>
        <v>A250032</v>
      </c>
      <c r="D47" s="27" t="str">
        <f>IFERROR(__xludf.DUMMYFUNCTION("""COMPUTED_VALUE"""),"MTs Putra")</f>
        <v>MTs Putra</v>
      </c>
      <c r="E47" s="27" t="str">
        <f>IFERROR(__xludf.DUMMYFUNCTION("""COMPUTED_VALUE"""),"Ya")</f>
        <v>Ya</v>
      </c>
      <c r="F47" s="32" t="str">
        <f>IFERROR(__xludf.DUMMYFUNCTION("""COMPUTED_VALUE"""),"B. Aku bersaksi bahwa tidak ada tuhan yang berhak di sembah kecuali Allah")</f>
        <v>B. Aku bersaksi bahwa tidak ada tuhan yang berhak di sembah kecuali Allah</v>
      </c>
      <c r="G47" s="32">
        <f>IFERROR(__xludf.DUMMYFUNCTION("""COMPUTED_VALUE"""),6.0)</f>
        <v>6</v>
      </c>
      <c r="H47" s="32" t="str">
        <f>IFERROR(__xludf.DUMMYFUNCTION("""COMPUTED_VALUE"""),"1 Syawwal")</f>
        <v>1 Syawwal</v>
      </c>
      <c r="I47" s="32" t="str">
        <f>IFERROR(__xludf.DUMMYFUNCTION("""COMPUTED_VALUE"""),"Al 'Alaq")</f>
        <v>Al 'Alaq</v>
      </c>
      <c r="J47" s="32" t="str">
        <f>IFERROR(__xludf.DUMMYFUNCTION("""COMPUTED_VALUE"""),"Utsman Bin Affan")</f>
        <v>Utsman Bin Affan</v>
      </c>
      <c r="K47" s="32" t="str">
        <f>IFERROR(__xludf.DUMMYFUNCTION("""COMPUTED_VALUE"""),"giat")</f>
        <v>giat</v>
      </c>
      <c r="L47" s="32" t="str">
        <f>IFERROR(__xludf.DUMMYFUNCTION("""COMPUTED_VALUE"""),"dan")</f>
        <v>dan</v>
      </c>
      <c r="M47" s="32" t="str">
        <f>IFERROR(__xludf.DUMMYFUNCTION("""COMPUTED_VALUE"""),"Hafsah berkata aku ingin belajar di pesantren.")</f>
        <v>Hafsah berkata aku ingin belajar di pesantren.</v>
      </c>
      <c r="N47" s="32" t="str">
        <f>IFERROR(__xludf.DUMMYFUNCTION("""COMPUTED_VALUE"""),"Kalimat 1")</f>
        <v>Kalimat 1</v>
      </c>
      <c r="O47" s="32" t="str">
        <f>IFERROR(__xludf.DUMMYFUNCTION("""COMPUTED_VALUE"""),"cahaya")</f>
        <v>cahaya</v>
      </c>
      <c r="P47" s="32" t="str">
        <f>IFERROR(__xludf.DUMMYFUNCTION("""COMPUTED_VALUE"""),"Mutualisme")</f>
        <v>Mutualisme</v>
      </c>
      <c r="Q47" s="32" t="str">
        <f>IFERROR(__xludf.DUMMYFUNCTION("""COMPUTED_VALUE"""),"Angin")</f>
        <v>Angin</v>
      </c>
      <c r="R47" s="32" t="str">
        <f>IFERROR(__xludf.DUMMYFUNCTION("""COMPUTED_VALUE"""),"burung ketilang dan ulat")</f>
        <v>burung ketilang dan ulat</v>
      </c>
      <c r="S47" s="32" t="str">
        <f>IFERROR(__xludf.DUMMYFUNCTION("""COMPUTED_VALUE"""),"Menghasilkan klorofil")</f>
        <v>Menghasilkan klorofil</v>
      </c>
      <c r="T47" s="32" t="str">
        <f>IFERROR(__xludf.DUMMYFUNCTION("""COMPUTED_VALUE"""),"Kelinci")</f>
        <v>Kelinci</v>
      </c>
      <c r="U47" s="32">
        <f>IFERROR(__xludf.DUMMYFUNCTION("""COMPUTED_VALUE"""),56.0)</f>
        <v>56</v>
      </c>
      <c r="V47" s="32">
        <f>IFERROR(__xludf.DUMMYFUNCTION("""COMPUTED_VALUE"""),1.0)</f>
        <v>1</v>
      </c>
      <c r="W47" s="32" t="str">
        <f>IFERROR(__xludf.DUMMYFUNCTION("""COMPUTED_VALUE"""),"1.250 meter")</f>
        <v>1.250 meter</v>
      </c>
      <c r="X47" s="32" t="str">
        <f>IFERROR(__xludf.DUMMYFUNCTION("""COMPUTED_VALUE"""),"28 cm")</f>
        <v>28 cm</v>
      </c>
      <c r="Y47" s="32">
        <f>IFERROR(__xludf.DUMMYFUNCTION("""COMPUTED_VALUE"""),200.0)</f>
        <v>200</v>
      </c>
      <c r="Z47" s="28">
        <f t="shared" si="1"/>
        <v>1</v>
      </c>
      <c r="AA47" s="28">
        <f t="shared" si="2"/>
        <v>1</v>
      </c>
      <c r="AB47" s="28">
        <f t="shared" si="3"/>
        <v>1</v>
      </c>
      <c r="AC47" s="28">
        <f t="shared" si="4"/>
        <v>1</v>
      </c>
      <c r="AD47" s="28">
        <f t="shared" si="5"/>
        <v>0</v>
      </c>
      <c r="AE47" s="29">
        <f t="shared" si="6"/>
        <v>4</v>
      </c>
      <c r="AF47" s="28">
        <f t="shared" si="7"/>
        <v>1</v>
      </c>
      <c r="AG47" s="28">
        <f t="shared" si="8"/>
        <v>1</v>
      </c>
      <c r="AH47" s="28">
        <f t="shared" si="9"/>
        <v>0</v>
      </c>
      <c r="AI47" s="28">
        <f t="shared" si="10"/>
        <v>1</v>
      </c>
      <c r="AJ47" s="28">
        <f t="shared" si="11"/>
        <v>1</v>
      </c>
      <c r="AK47" s="29">
        <f t="shared" si="12"/>
        <v>4</v>
      </c>
      <c r="AL47" s="28">
        <f t="shared" si="13"/>
        <v>0</v>
      </c>
      <c r="AM47" s="28">
        <f t="shared" si="14"/>
        <v>1</v>
      </c>
      <c r="AN47" s="28">
        <f t="shared" si="15"/>
        <v>0</v>
      </c>
      <c r="AO47" s="28">
        <f t="shared" si="16"/>
        <v>1</v>
      </c>
      <c r="AP47" s="28">
        <f t="shared" si="17"/>
        <v>1</v>
      </c>
      <c r="AQ47" s="29">
        <f t="shared" si="18"/>
        <v>3</v>
      </c>
      <c r="AR47" s="28">
        <f t="shared" si="19"/>
        <v>0</v>
      </c>
      <c r="AS47" s="28">
        <f t="shared" si="20"/>
        <v>0</v>
      </c>
      <c r="AT47" s="28">
        <f t="shared" si="21"/>
        <v>0</v>
      </c>
      <c r="AU47" s="28">
        <f t="shared" si="22"/>
        <v>0</v>
      </c>
      <c r="AV47" s="28">
        <f t="shared" si="23"/>
        <v>0</v>
      </c>
      <c r="AW47" s="29">
        <f t="shared" si="24"/>
        <v>0</v>
      </c>
      <c r="AX47" s="22"/>
      <c r="AY47" s="26">
        <f t="shared" si="25"/>
        <v>4</v>
      </c>
      <c r="AZ47" s="26">
        <f t="shared" si="26"/>
        <v>4</v>
      </c>
      <c r="BA47" s="26">
        <f t="shared" si="27"/>
        <v>3</v>
      </c>
      <c r="BB47" s="26">
        <f t="shared" si="28"/>
        <v>0</v>
      </c>
      <c r="BC47" s="30">
        <f t="shared" si="29"/>
        <v>55</v>
      </c>
    </row>
    <row r="48">
      <c r="A48" s="31">
        <f>IFERROR(__xludf.DUMMYFUNCTION("""COMPUTED_VALUE"""),45934.40190480324)</f>
        <v>45934.4019</v>
      </c>
      <c r="B48" s="32" t="str">
        <f>IFERROR(__xludf.DUMMYFUNCTION("""COMPUTED_VALUE"""),"Muhammad Rahihan Alfawwaz")</f>
        <v>Muhammad Rahihan Alfawwaz</v>
      </c>
      <c r="C48" s="27" t="str">
        <f>IFERROR(__xludf.DUMMYFUNCTION("""COMPUTED_VALUE"""),"A250005")</f>
        <v>A250005</v>
      </c>
      <c r="D48" s="27" t="str">
        <f>IFERROR(__xludf.DUMMYFUNCTION("""COMPUTED_VALUE"""),"MTs Putra")</f>
        <v>MTs Putra</v>
      </c>
      <c r="E48" s="27" t="str">
        <f>IFERROR(__xludf.DUMMYFUNCTION("""COMPUTED_VALUE"""),"Ya")</f>
        <v>Ya</v>
      </c>
      <c r="F48" s="32" t="str">
        <f>IFERROR(__xludf.DUMMYFUNCTION("""COMPUTED_VALUE"""),"B. Aku bersaksi bahwa tidak ada tuhan yang berhak di sembah kecuali Allah")</f>
        <v>B. Aku bersaksi bahwa tidak ada tuhan yang berhak di sembah kecuali Allah</v>
      </c>
      <c r="G48" s="32">
        <f>IFERROR(__xludf.DUMMYFUNCTION("""COMPUTED_VALUE"""),6.0)</f>
        <v>6</v>
      </c>
      <c r="H48" s="32" t="str">
        <f>IFERROR(__xludf.DUMMYFUNCTION("""COMPUTED_VALUE"""),"1 Syawwal")</f>
        <v>1 Syawwal</v>
      </c>
      <c r="I48" s="32" t="str">
        <f>IFERROR(__xludf.DUMMYFUNCTION("""COMPUTED_VALUE"""),"Al 'Alaq")</f>
        <v>Al 'Alaq</v>
      </c>
      <c r="J48" s="32" t="str">
        <f>IFERROR(__xludf.DUMMYFUNCTION("""COMPUTED_VALUE"""),"Ali Bin Abi Thalib")</f>
        <v>Ali Bin Abi Thalib</v>
      </c>
      <c r="K48" s="32" t="str">
        <f>IFERROR(__xludf.DUMMYFUNCTION("""COMPUTED_VALUE"""),"giat")</f>
        <v>giat</v>
      </c>
      <c r="L48" s="32" t="str">
        <f>IFERROR(__xludf.DUMMYFUNCTION("""COMPUTED_VALUE"""),"dan")</f>
        <v>dan</v>
      </c>
      <c r="M48" s="32" t="str">
        <f>IFERROR(__xludf.DUMMYFUNCTION("""COMPUTED_VALUE"""),"Hafsah mengatakan bahwa ia ingin belajar di pesantren.")</f>
        <v>Hafsah mengatakan bahwa ia ingin belajar di pesantren.</v>
      </c>
      <c r="N48" s="32" t="str">
        <f>IFERROR(__xludf.DUMMYFUNCTION("""COMPUTED_VALUE"""),"Kalimat 1")</f>
        <v>Kalimat 1</v>
      </c>
      <c r="O48" s="32" t="str">
        <f>IFERROR(__xludf.DUMMYFUNCTION("""COMPUTED_VALUE"""),"cahaya")</f>
        <v>cahaya</v>
      </c>
      <c r="P48" s="32" t="str">
        <f>IFERROR(__xludf.DUMMYFUNCTION("""COMPUTED_VALUE"""),"Parasitisme")</f>
        <v>Parasitisme</v>
      </c>
      <c r="Q48" s="32" t="str">
        <f>IFERROR(__xludf.DUMMYFUNCTION("""COMPUTED_VALUE"""),"Angin")</f>
        <v>Angin</v>
      </c>
      <c r="R48" s="32" t="str">
        <f>IFERROR(__xludf.DUMMYFUNCTION("""COMPUTED_VALUE"""),"belalang dan ular")</f>
        <v>belalang dan ular</v>
      </c>
      <c r="S48" s="32" t="str">
        <f>IFERROR(__xludf.DUMMYFUNCTION("""COMPUTED_VALUE"""),"Menghasilkan klorofil")</f>
        <v>Menghasilkan klorofil</v>
      </c>
      <c r="T48" s="32" t="str">
        <f>IFERROR(__xludf.DUMMYFUNCTION("""COMPUTED_VALUE"""),"Kelinci")</f>
        <v>Kelinci</v>
      </c>
      <c r="U48" s="32">
        <f>IFERROR(__xludf.DUMMYFUNCTION("""COMPUTED_VALUE"""),-64.0)</f>
        <v>-64</v>
      </c>
      <c r="V48" s="32" t="str">
        <f>IFERROR(__xludf.DUMMYFUNCTION("""COMPUTED_VALUE"""),"3/4")</f>
        <v>3/4</v>
      </c>
      <c r="W48" s="32" t="str">
        <f>IFERROR(__xludf.DUMMYFUNCTION("""COMPUTED_VALUE"""),"1.800 meter")</f>
        <v>1.800 meter</v>
      </c>
      <c r="X48" s="32" t="str">
        <f>IFERROR(__xludf.DUMMYFUNCTION("""COMPUTED_VALUE"""),"22 cm")</f>
        <v>22 cm</v>
      </c>
      <c r="Y48" s="32">
        <f>IFERROR(__xludf.DUMMYFUNCTION("""COMPUTED_VALUE"""),200.0)</f>
        <v>200</v>
      </c>
      <c r="Z48" s="28">
        <f t="shared" si="1"/>
        <v>1</v>
      </c>
      <c r="AA48" s="28">
        <f t="shared" si="2"/>
        <v>1</v>
      </c>
      <c r="AB48" s="28">
        <f t="shared" si="3"/>
        <v>1</v>
      </c>
      <c r="AC48" s="28">
        <f t="shared" si="4"/>
        <v>1</v>
      </c>
      <c r="AD48" s="28">
        <f t="shared" si="5"/>
        <v>1</v>
      </c>
      <c r="AE48" s="29">
        <f t="shared" si="6"/>
        <v>5</v>
      </c>
      <c r="AF48" s="28">
        <f t="shared" si="7"/>
        <v>1</v>
      </c>
      <c r="AG48" s="28">
        <f t="shared" si="8"/>
        <v>1</v>
      </c>
      <c r="AH48" s="28">
        <f t="shared" si="9"/>
        <v>1</v>
      </c>
      <c r="AI48" s="28">
        <f t="shared" si="10"/>
        <v>1</v>
      </c>
      <c r="AJ48" s="28">
        <f t="shared" si="11"/>
        <v>1</v>
      </c>
      <c r="AK48" s="29">
        <f t="shared" si="12"/>
        <v>5</v>
      </c>
      <c r="AL48" s="28">
        <f t="shared" si="13"/>
        <v>1</v>
      </c>
      <c r="AM48" s="28">
        <f t="shared" si="14"/>
        <v>1</v>
      </c>
      <c r="AN48" s="28">
        <f t="shared" si="15"/>
        <v>1</v>
      </c>
      <c r="AO48" s="28">
        <f t="shared" si="16"/>
        <v>1</v>
      </c>
      <c r="AP48" s="28">
        <f t="shared" si="17"/>
        <v>1</v>
      </c>
      <c r="AQ48" s="29">
        <f t="shared" si="18"/>
        <v>5</v>
      </c>
      <c r="AR48" s="28">
        <f t="shared" si="19"/>
        <v>1</v>
      </c>
      <c r="AS48" s="28">
        <f t="shared" si="20"/>
        <v>1</v>
      </c>
      <c r="AT48" s="28">
        <f t="shared" si="21"/>
        <v>1</v>
      </c>
      <c r="AU48" s="28">
        <f t="shared" si="22"/>
        <v>1</v>
      </c>
      <c r="AV48" s="28">
        <f t="shared" si="23"/>
        <v>0</v>
      </c>
      <c r="AW48" s="29">
        <f t="shared" si="24"/>
        <v>4</v>
      </c>
      <c r="AX48" s="22"/>
      <c r="AY48" s="26">
        <f t="shared" si="25"/>
        <v>5</v>
      </c>
      <c r="AZ48" s="26">
        <f t="shared" si="26"/>
        <v>5</v>
      </c>
      <c r="BA48" s="26">
        <f t="shared" si="27"/>
        <v>5</v>
      </c>
      <c r="BB48" s="26">
        <f t="shared" si="28"/>
        <v>4</v>
      </c>
      <c r="BC48" s="30">
        <f t="shared" si="29"/>
        <v>95</v>
      </c>
    </row>
    <row r="49">
      <c r="A49" s="31">
        <f>IFERROR(__xludf.DUMMYFUNCTION("""COMPUTED_VALUE"""),45934.48915652778)</f>
        <v>45934.48916</v>
      </c>
      <c r="B49" s="32" t="str">
        <f>IFERROR(__xludf.DUMMYFUNCTION("""COMPUTED_VALUE"""),"SULTHON ABRISAM KARIM")</f>
        <v>SULTHON ABRISAM KARIM</v>
      </c>
      <c r="C49" s="27" t="str">
        <f>IFERROR(__xludf.DUMMYFUNCTION("""COMPUTED_VALUE"""),"A250041")</f>
        <v>A250041</v>
      </c>
      <c r="D49" s="27" t="str">
        <f>IFERROR(__xludf.DUMMYFUNCTION("""COMPUTED_VALUE"""),"MTs Putra")</f>
        <v>MTs Putra</v>
      </c>
      <c r="E49" s="27" t="str">
        <f>IFERROR(__xludf.DUMMYFUNCTION("""COMPUTED_VALUE"""),"Ya")</f>
        <v>Ya</v>
      </c>
      <c r="F49" s="32" t="str">
        <f>IFERROR(__xludf.DUMMYFUNCTION("""COMPUTED_VALUE"""),"B. Aku bersaksi bahwa tidak ada tuhan yang berhak di sembah kecuali Allah")</f>
        <v>B. Aku bersaksi bahwa tidak ada tuhan yang berhak di sembah kecuali Allah</v>
      </c>
      <c r="G49" s="32">
        <f>IFERROR(__xludf.DUMMYFUNCTION("""COMPUTED_VALUE"""),6.0)</f>
        <v>6</v>
      </c>
      <c r="H49" s="32" t="str">
        <f>IFERROR(__xludf.DUMMYFUNCTION("""COMPUTED_VALUE"""),"1 Syawwal")</f>
        <v>1 Syawwal</v>
      </c>
      <c r="I49" s="32" t="str">
        <f>IFERROR(__xludf.DUMMYFUNCTION("""COMPUTED_VALUE"""),"Al 'Alaq")</f>
        <v>Al 'Alaq</v>
      </c>
      <c r="J49" s="32" t="str">
        <f>IFERROR(__xludf.DUMMYFUNCTION("""COMPUTED_VALUE"""),"Ali Bin Abi Thalib")</f>
        <v>Ali Bin Abi Thalib</v>
      </c>
      <c r="K49" s="32" t="str">
        <f>IFERROR(__xludf.DUMMYFUNCTION("""COMPUTED_VALUE"""),"giat")</f>
        <v>giat</v>
      </c>
      <c r="L49" s="32" t="str">
        <f>IFERROR(__xludf.DUMMYFUNCTION("""COMPUTED_VALUE"""),"dan")</f>
        <v>dan</v>
      </c>
      <c r="M49" s="32" t="str">
        <f>IFERROR(__xludf.DUMMYFUNCTION("""COMPUTED_VALUE"""),"Hafsah mengatakan bahwa ia ingin belajar di pesantren.")</f>
        <v>Hafsah mengatakan bahwa ia ingin belajar di pesantren.</v>
      </c>
      <c r="N49" s="32" t="str">
        <f>IFERROR(__xludf.DUMMYFUNCTION("""COMPUTED_VALUE"""),"Kalimat 2")</f>
        <v>Kalimat 2</v>
      </c>
      <c r="O49" s="32" t="str">
        <f>IFERROR(__xludf.DUMMYFUNCTION("""COMPUTED_VALUE"""),"cahaya")</f>
        <v>cahaya</v>
      </c>
      <c r="P49" s="32" t="str">
        <f>IFERROR(__xludf.DUMMYFUNCTION("""COMPUTED_VALUE"""),"Parasitisme")</f>
        <v>Parasitisme</v>
      </c>
      <c r="Q49" s="32" t="str">
        <f>IFERROR(__xludf.DUMMYFUNCTION("""COMPUTED_VALUE"""),"Angin")</f>
        <v>Angin</v>
      </c>
      <c r="R49" s="32" t="str">
        <f>IFERROR(__xludf.DUMMYFUNCTION("""COMPUTED_VALUE"""),"belalang dan ular")</f>
        <v>belalang dan ular</v>
      </c>
      <c r="S49" s="32" t="str">
        <f>IFERROR(__xludf.DUMMYFUNCTION("""COMPUTED_VALUE"""),"Menghasilkan klorofil")</f>
        <v>Menghasilkan klorofil</v>
      </c>
      <c r="T49" s="32" t="str">
        <f>IFERROR(__xludf.DUMMYFUNCTION("""COMPUTED_VALUE"""),"Kelinci")</f>
        <v>Kelinci</v>
      </c>
      <c r="U49" s="32">
        <f>IFERROR(__xludf.DUMMYFUNCTION("""COMPUTED_VALUE"""),-64.0)</f>
        <v>-64</v>
      </c>
      <c r="V49" s="32" t="str">
        <f>IFERROR(__xludf.DUMMYFUNCTION("""COMPUTED_VALUE"""),"3/4")</f>
        <v>3/4</v>
      </c>
      <c r="W49" s="32" t="str">
        <f>IFERROR(__xludf.DUMMYFUNCTION("""COMPUTED_VALUE"""),"1.800 meter")</f>
        <v>1.800 meter</v>
      </c>
      <c r="X49" s="32" t="str">
        <f>IFERROR(__xludf.DUMMYFUNCTION("""COMPUTED_VALUE"""),"22 cm")</f>
        <v>22 cm</v>
      </c>
      <c r="Y49" s="32">
        <f>IFERROR(__xludf.DUMMYFUNCTION("""COMPUTED_VALUE"""),200.0)</f>
        <v>200</v>
      </c>
      <c r="Z49" s="28">
        <f t="shared" si="1"/>
        <v>1</v>
      </c>
      <c r="AA49" s="28">
        <f t="shared" si="2"/>
        <v>1</v>
      </c>
      <c r="AB49" s="28">
        <f t="shared" si="3"/>
        <v>1</v>
      </c>
      <c r="AC49" s="28">
        <f t="shared" si="4"/>
        <v>1</v>
      </c>
      <c r="AD49" s="28">
        <f t="shared" si="5"/>
        <v>1</v>
      </c>
      <c r="AE49" s="29">
        <f t="shared" si="6"/>
        <v>5</v>
      </c>
      <c r="AF49" s="28">
        <f t="shared" si="7"/>
        <v>1</v>
      </c>
      <c r="AG49" s="28">
        <f t="shared" si="8"/>
        <v>1</v>
      </c>
      <c r="AH49" s="28">
        <f t="shared" si="9"/>
        <v>1</v>
      </c>
      <c r="AI49" s="28">
        <f t="shared" si="10"/>
        <v>0</v>
      </c>
      <c r="AJ49" s="28">
        <f t="shared" si="11"/>
        <v>1</v>
      </c>
      <c r="AK49" s="29">
        <f t="shared" si="12"/>
        <v>4</v>
      </c>
      <c r="AL49" s="28">
        <f t="shared" si="13"/>
        <v>1</v>
      </c>
      <c r="AM49" s="28">
        <f t="shared" si="14"/>
        <v>1</v>
      </c>
      <c r="AN49" s="28">
        <f t="shared" si="15"/>
        <v>1</v>
      </c>
      <c r="AO49" s="28">
        <f t="shared" si="16"/>
        <v>1</v>
      </c>
      <c r="AP49" s="28">
        <f t="shared" si="17"/>
        <v>1</v>
      </c>
      <c r="AQ49" s="29">
        <f t="shared" si="18"/>
        <v>5</v>
      </c>
      <c r="AR49" s="28">
        <f t="shared" si="19"/>
        <v>1</v>
      </c>
      <c r="AS49" s="28">
        <f t="shared" si="20"/>
        <v>1</v>
      </c>
      <c r="AT49" s="28">
        <f t="shared" si="21"/>
        <v>1</v>
      </c>
      <c r="AU49" s="28">
        <f t="shared" si="22"/>
        <v>1</v>
      </c>
      <c r="AV49" s="28">
        <f t="shared" si="23"/>
        <v>0</v>
      </c>
      <c r="AW49" s="29">
        <f t="shared" si="24"/>
        <v>4</v>
      </c>
      <c r="AX49" s="22"/>
      <c r="AY49" s="26">
        <f t="shared" si="25"/>
        <v>5</v>
      </c>
      <c r="AZ49" s="26">
        <f t="shared" si="26"/>
        <v>4</v>
      </c>
      <c r="BA49" s="26">
        <f t="shared" si="27"/>
        <v>5</v>
      </c>
      <c r="BB49" s="26">
        <f t="shared" si="28"/>
        <v>4</v>
      </c>
      <c r="BC49" s="30">
        <f t="shared" si="29"/>
        <v>90</v>
      </c>
    </row>
    <row r="50">
      <c r="A50" s="31">
        <f>IFERROR(__xludf.DUMMYFUNCTION("""COMPUTED_VALUE"""),45934.49095590277)</f>
        <v>45934.49096</v>
      </c>
      <c r="B50" s="32" t="str">
        <f>IFERROR(__xludf.DUMMYFUNCTION("""COMPUTED_VALUE"""),"Riyadi wirawan")</f>
        <v>Riyadi wirawan</v>
      </c>
      <c r="C50" s="27" t="str">
        <f>IFERROR(__xludf.DUMMYFUNCTION("""COMPUTED_VALUE"""),"A250040")</f>
        <v>A250040</v>
      </c>
      <c r="D50" s="27" t="str">
        <f>IFERROR(__xludf.DUMMYFUNCTION("""COMPUTED_VALUE"""),"MTs Putra")</f>
        <v>MTs Putra</v>
      </c>
      <c r="E50" s="27" t="str">
        <f>IFERROR(__xludf.DUMMYFUNCTION("""COMPUTED_VALUE"""),"Ya")</f>
        <v>Ya</v>
      </c>
      <c r="F50" s="32" t="str">
        <f>IFERROR(__xludf.DUMMYFUNCTION("""COMPUTED_VALUE"""),"B. Aku bersaksi bahwa tidak ada tuhan yang berhak di sembah kecuali Allah")</f>
        <v>B. Aku bersaksi bahwa tidak ada tuhan yang berhak di sembah kecuali Allah</v>
      </c>
      <c r="G50" s="32">
        <f>IFERROR(__xludf.DUMMYFUNCTION("""COMPUTED_VALUE"""),6.0)</f>
        <v>6</v>
      </c>
      <c r="H50" s="32" t="str">
        <f>IFERROR(__xludf.DUMMYFUNCTION("""COMPUTED_VALUE"""),"1 Syawwal")</f>
        <v>1 Syawwal</v>
      </c>
      <c r="I50" s="32" t="str">
        <f>IFERROR(__xludf.DUMMYFUNCTION("""COMPUTED_VALUE"""),"Al 'Alaq")</f>
        <v>Al 'Alaq</v>
      </c>
      <c r="J50" s="32" t="str">
        <f>IFERROR(__xludf.DUMMYFUNCTION("""COMPUTED_VALUE"""),"Umar Bin Khattab")</f>
        <v>Umar Bin Khattab</v>
      </c>
      <c r="K50" s="32" t="str">
        <f>IFERROR(__xludf.DUMMYFUNCTION("""COMPUTED_VALUE"""),"giat")</f>
        <v>giat</v>
      </c>
      <c r="L50" s="32" t="str">
        <f>IFERROR(__xludf.DUMMYFUNCTION("""COMPUTED_VALUE"""),"dan")</f>
        <v>dan</v>
      </c>
      <c r="M50" s="32" t="str">
        <f>IFERROR(__xludf.DUMMYFUNCTION("""COMPUTED_VALUE"""),"Aku berkata Hafsah ingin belajar di pesantren.")</f>
        <v>Aku berkata Hafsah ingin belajar di pesantren.</v>
      </c>
      <c r="N50" s="32" t="str">
        <f>IFERROR(__xludf.DUMMYFUNCTION("""COMPUTED_VALUE"""),"Kalimat 1")</f>
        <v>Kalimat 1</v>
      </c>
      <c r="O50" s="32" t="str">
        <f>IFERROR(__xludf.DUMMYFUNCTION("""COMPUTED_VALUE"""),"cahaya")</f>
        <v>cahaya</v>
      </c>
      <c r="P50" s="32" t="str">
        <f>IFERROR(__xludf.DUMMYFUNCTION("""COMPUTED_VALUE"""),"Parasitisme")</f>
        <v>Parasitisme</v>
      </c>
      <c r="Q50" s="32" t="str">
        <f>IFERROR(__xludf.DUMMYFUNCTION("""COMPUTED_VALUE"""),"Angin")</f>
        <v>Angin</v>
      </c>
      <c r="R50" s="32" t="str">
        <f>IFERROR(__xludf.DUMMYFUNCTION("""COMPUTED_VALUE"""),"belalang dan ular")</f>
        <v>belalang dan ular</v>
      </c>
      <c r="S50" s="32" t="str">
        <f>IFERROR(__xludf.DUMMYFUNCTION("""COMPUTED_VALUE"""),"Menghasilkan klorofil")</f>
        <v>Menghasilkan klorofil</v>
      </c>
      <c r="T50" s="32" t="str">
        <f>IFERROR(__xludf.DUMMYFUNCTION("""COMPUTED_VALUE"""),"Kelinci")</f>
        <v>Kelinci</v>
      </c>
      <c r="U50" s="32">
        <f>IFERROR(__xludf.DUMMYFUNCTION("""COMPUTED_VALUE"""),64.0)</f>
        <v>64</v>
      </c>
      <c r="V50" s="32" t="str">
        <f>IFERROR(__xludf.DUMMYFUNCTION("""COMPUTED_VALUE"""),"3/8")</f>
        <v>3/8</v>
      </c>
      <c r="W50" s="32" t="str">
        <f>IFERROR(__xludf.DUMMYFUNCTION("""COMPUTED_VALUE"""),"1.800 meter")</f>
        <v>1.800 meter</v>
      </c>
      <c r="X50" s="32" t="str">
        <f>IFERROR(__xludf.DUMMYFUNCTION("""COMPUTED_VALUE"""),"22 cm")</f>
        <v>22 cm</v>
      </c>
      <c r="Y50" s="32">
        <f>IFERROR(__xludf.DUMMYFUNCTION("""COMPUTED_VALUE"""),200.0)</f>
        <v>200</v>
      </c>
      <c r="Z50" s="28">
        <f t="shared" si="1"/>
        <v>1</v>
      </c>
      <c r="AA50" s="28">
        <f t="shared" si="2"/>
        <v>1</v>
      </c>
      <c r="AB50" s="28">
        <f t="shared" si="3"/>
        <v>1</v>
      </c>
      <c r="AC50" s="28">
        <f t="shared" si="4"/>
        <v>1</v>
      </c>
      <c r="AD50" s="28">
        <f t="shared" si="5"/>
        <v>0</v>
      </c>
      <c r="AE50" s="29">
        <f t="shared" si="6"/>
        <v>4</v>
      </c>
      <c r="AF50" s="28">
        <f t="shared" si="7"/>
        <v>1</v>
      </c>
      <c r="AG50" s="28">
        <f t="shared" si="8"/>
        <v>1</v>
      </c>
      <c r="AH50" s="28">
        <f t="shared" si="9"/>
        <v>0</v>
      </c>
      <c r="AI50" s="28">
        <f t="shared" si="10"/>
        <v>1</v>
      </c>
      <c r="AJ50" s="28">
        <f t="shared" si="11"/>
        <v>1</v>
      </c>
      <c r="AK50" s="29">
        <f t="shared" si="12"/>
        <v>4</v>
      </c>
      <c r="AL50" s="28">
        <f t="shared" si="13"/>
        <v>1</v>
      </c>
      <c r="AM50" s="28">
        <f t="shared" si="14"/>
        <v>1</v>
      </c>
      <c r="AN50" s="28">
        <f t="shared" si="15"/>
        <v>1</v>
      </c>
      <c r="AO50" s="28">
        <f t="shared" si="16"/>
        <v>1</v>
      </c>
      <c r="AP50" s="28">
        <f t="shared" si="17"/>
        <v>1</v>
      </c>
      <c r="AQ50" s="29">
        <f t="shared" si="18"/>
        <v>5</v>
      </c>
      <c r="AR50" s="28">
        <f t="shared" si="19"/>
        <v>0</v>
      </c>
      <c r="AS50" s="28">
        <f t="shared" si="20"/>
        <v>0</v>
      </c>
      <c r="AT50" s="28">
        <f t="shared" si="21"/>
        <v>1</v>
      </c>
      <c r="AU50" s="28">
        <f t="shared" si="22"/>
        <v>1</v>
      </c>
      <c r="AV50" s="28">
        <f t="shared" si="23"/>
        <v>0</v>
      </c>
      <c r="AW50" s="29">
        <f t="shared" si="24"/>
        <v>2</v>
      </c>
      <c r="AX50" s="22"/>
      <c r="AY50" s="26">
        <f t="shared" si="25"/>
        <v>4</v>
      </c>
      <c r="AZ50" s="26">
        <f t="shared" si="26"/>
        <v>4</v>
      </c>
      <c r="BA50" s="26">
        <f t="shared" si="27"/>
        <v>5</v>
      </c>
      <c r="BB50" s="26">
        <f t="shared" si="28"/>
        <v>2</v>
      </c>
      <c r="BC50" s="30">
        <f t="shared" si="29"/>
        <v>75</v>
      </c>
    </row>
    <row r="51">
      <c r="A51" s="31">
        <f>IFERROR(__xludf.DUMMYFUNCTION("""COMPUTED_VALUE"""),45934.49596584491)</f>
        <v>45934.49597</v>
      </c>
      <c r="B51" s="32" t="str">
        <f>IFERROR(__xludf.DUMMYFUNCTION("""COMPUTED_VALUE"""),"ARRAYYAN ABDUR RASHID")</f>
        <v>ARRAYYAN ABDUR RASHID</v>
      </c>
      <c r="C51" s="27" t="str">
        <f>IFERROR(__xludf.DUMMYFUNCTION("""COMPUTED_VALUE"""),"A250015")</f>
        <v>A250015</v>
      </c>
      <c r="D51" s="27" t="str">
        <f>IFERROR(__xludf.DUMMYFUNCTION("""COMPUTED_VALUE"""),"MTs Putra")</f>
        <v>MTs Putra</v>
      </c>
      <c r="E51" s="27" t="str">
        <f>IFERROR(__xludf.DUMMYFUNCTION("""COMPUTED_VALUE"""),"Ya")</f>
        <v>Ya</v>
      </c>
      <c r="F51" s="32" t="str">
        <f>IFERROR(__xludf.DUMMYFUNCTION("""COMPUTED_VALUE"""),"B. Aku bersaksi bahwa tidak ada tuhan yang berhak di sembah kecuali Allah")</f>
        <v>B. Aku bersaksi bahwa tidak ada tuhan yang berhak di sembah kecuali Allah</v>
      </c>
      <c r="G51" s="32">
        <f>IFERROR(__xludf.DUMMYFUNCTION("""COMPUTED_VALUE"""),6.0)</f>
        <v>6</v>
      </c>
      <c r="H51" s="32" t="str">
        <f>IFERROR(__xludf.DUMMYFUNCTION("""COMPUTED_VALUE"""),"1 Syawwal")</f>
        <v>1 Syawwal</v>
      </c>
      <c r="I51" s="32" t="str">
        <f>IFERROR(__xludf.DUMMYFUNCTION("""COMPUTED_VALUE"""),"Al 'Alaq")</f>
        <v>Al 'Alaq</v>
      </c>
      <c r="J51" s="32" t="str">
        <f>IFERROR(__xludf.DUMMYFUNCTION("""COMPUTED_VALUE"""),"Ali Bin Abi Thalib")</f>
        <v>Ali Bin Abi Thalib</v>
      </c>
      <c r="K51" s="32" t="str">
        <f>IFERROR(__xludf.DUMMYFUNCTION("""COMPUTED_VALUE"""),"giat")</f>
        <v>giat</v>
      </c>
      <c r="L51" s="32" t="str">
        <f>IFERROR(__xludf.DUMMYFUNCTION("""COMPUTED_VALUE"""),"dan")</f>
        <v>dan</v>
      </c>
      <c r="M51" s="32" t="str">
        <f>IFERROR(__xludf.DUMMYFUNCTION("""COMPUTED_VALUE"""),"Hafsah mengatakan bahwa aku ingin belajar di pesantren.")</f>
        <v>Hafsah mengatakan bahwa aku ingin belajar di pesantren.</v>
      </c>
      <c r="N51" s="32" t="str">
        <f>IFERROR(__xludf.DUMMYFUNCTION("""COMPUTED_VALUE"""),"Kalimat 2")</f>
        <v>Kalimat 2</v>
      </c>
      <c r="O51" s="32" t="str">
        <f>IFERROR(__xludf.DUMMYFUNCTION("""COMPUTED_VALUE"""),"kehidupan")</f>
        <v>kehidupan</v>
      </c>
      <c r="P51" s="32" t="str">
        <f>IFERROR(__xludf.DUMMYFUNCTION("""COMPUTED_VALUE"""),"Parasitisme")</f>
        <v>Parasitisme</v>
      </c>
      <c r="Q51" s="32" t="str">
        <f>IFERROR(__xludf.DUMMYFUNCTION("""COMPUTED_VALUE"""),"Angin")</f>
        <v>Angin</v>
      </c>
      <c r="R51" s="32" t="str">
        <f>IFERROR(__xludf.DUMMYFUNCTION("""COMPUTED_VALUE"""),"belalang dan ular")</f>
        <v>belalang dan ular</v>
      </c>
      <c r="S51" s="32" t="str">
        <f>IFERROR(__xludf.DUMMYFUNCTION("""COMPUTED_VALUE"""),"Menghasilkan klorofil")</f>
        <v>Menghasilkan klorofil</v>
      </c>
      <c r="T51" s="32" t="str">
        <f>IFERROR(__xludf.DUMMYFUNCTION("""COMPUTED_VALUE"""),"Kelinci")</f>
        <v>Kelinci</v>
      </c>
      <c r="U51" s="32">
        <f>IFERROR(__xludf.DUMMYFUNCTION("""COMPUTED_VALUE"""),-64.0)</f>
        <v>-64</v>
      </c>
      <c r="V51" s="32" t="str">
        <f>IFERROR(__xludf.DUMMYFUNCTION("""COMPUTED_VALUE"""),"3/4")</f>
        <v>3/4</v>
      </c>
      <c r="W51" s="32" t="str">
        <f>IFERROR(__xludf.DUMMYFUNCTION("""COMPUTED_VALUE"""),"1.800 meter")</f>
        <v>1.800 meter</v>
      </c>
      <c r="X51" s="32" t="str">
        <f>IFERROR(__xludf.DUMMYFUNCTION("""COMPUTED_VALUE"""),"22 cm")</f>
        <v>22 cm</v>
      </c>
      <c r="Y51" s="32">
        <f>IFERROR(__xludf.DUMMYFUNCTION("""COMPUTED_VALUE"""),200.0)</f>
        <v>200</v>
      </c>
      <c r="Z51" s="28">
        <f t="shared" si="1"/>
        <v>1</v>
      </c>
      <c r="AA51" s="28">
        <f t="shared" si="2"/>
        <v>1</v>
      </c>
      <c r="AB51" s="28">
        <f t="shared" si="3"/>
        <v>1</v>
      </c>
      <c r="AC51" s="28">
        <f t="shared" si="4"/>
        <v>1</v>
      </c>
      <c r="AD51" s="28">
        <f t="shared" si="5"/>
        <v>1</v>
      </c>
      <c r="AE51" s="29">
        <f t="shared" si="6"/>
        <v>5</v>
      </c>
      <c r="AF51" s="28">
        <f t="shared" si="7"/>
        <v>1</v>
      </c>
      <c r="AG51" s="28">
        <f t="shared" si="8"/>
        <v>1</v>
      </c>
      <c r="AH51" s="28">
        <f t="shared" si="9"/>
        <v>0</v>
      </c>
      <c r="AI51" s="28">
        <f t="shared" si="10"/>
        <v>0</v>
      </c>
      <c r="AJ51" s="28">
        <f t="shared" si="11"/>
        <v>0</v>
      </c>
      <c r="AK51" s="29">
        <f t="shared" si="12"/>
        <v>2</v>
      </c>
      <c r="AL51" s="28">
        <f t="shared" si="13"/>
        <v>1</v>
      </c>
      <c r="AM51" s="28">
        <f t="shared" si="14"/>
        <v>1</v>
      </c>
      <c r="AN51" s="28">
        <f t="shared" si="15"/>
        <v>1</v>
      </c>
      <c r="AO51" s="28">
        <f t="shared" si="16"/>
        <v>1</v>
      </c>
      <c r="AP51" s="28">
        <f t="shared" si="17"/>
        <v>1</v>
      </c>
      <c r="AQ51" s="29">
        <f t="shared" si="18"/>
        <v>5</v>
      </c>
      <c r="AR51" s="28">
        <f t="shared" si="19"/>
        <v>1</v>
      </c>
      <c r="AS51" s="28">
        <f t="shared" si="20"/>
        <v>1</v>
      </c>
      <c r="AT51" s="28">
        <f t="shared" si="21"/>
        <v>1</v>
      </c>
      <c r="AU51" s="28">
        <f t="shared" si="22"/>
        <v>1</v>
      </c>
      <c r="AV51" s="28">
        <f t="shared" si="23"/>
        <v>0</v>
      </c>
      <c r="AW51" s="29">
        <f t="shared" si="24"/>
        <v>4</v>
      </c>
      <c r="AX51" s="22"/>
      <c r="AY51" s="26">
        <f t="shared" si="25"/>
        <v>5</v>
      </c>
      <c r="AZ51" s="26">
        <f t="shared" si="26"/>
        <v>2</v>
      </c>
      <c r="BA51" s="26">
        <f t="shared" si="27"/>
        <v>5</v>
      </c>
      <c r="BB51" s="26">
        <f t="shared" si="28"/>
        <v>4</v>
      </c>
      <c r="BC51" s="30">
        <f t="shared" si="29"/>
        <v>80</v>
      </c>
    </row>
    <row r="52">
      <c r="A52" s="31">
        <f>IFERROR(__xludf.DUMMYFUNCTION("""COMPUTED_VALUE"""),45935.36969398148)</f>
        <v>45935.36969</v>
      </c>
      <c r="B52" s="32" t="str">
        <f>IFERROR(__xludf.DUMMYFUNCTION("""COMPUTED_VALUE"""),"Yahya Azka Ya'sub ")</f>
        <v>Yahya Azka Ya'sub </v>
      </c>
      <c r="C52" s="27" t="str">
        <f>IFERROR(__xludf.DUMMYFUNCTION("""COMPUTED_VALUE"""),"A250058")</f>
        <v>A250058</v>
      </c>
      <c r="D52" s="27" t="str">
        <f>IFERROR(__xludf.DUMMYFUNCTION("""COMPUTED_VALUE"""),"MTs Putra")</f>
        <v>MTs Putra</v>
      </c>
      <c r="E52" s="27" t="str">
        <f>IFERROR(__xludf.DUMMYFUNCTION("""COMPUTED_VALUE"""),"Ya")</f>
        <v>Ya</v>
      </c>
      <c r="F52" s="32" t="str">
        <f>IFERROR(__xludf.DUMMYFUNCTION("""COMPUTED_VALUE"""),"B. Aku bersaksi bahwa tidak ada tuhan yang berhak di sembah kecuali Allah")</f>
        <v>B. Aku bersaksi bahwa tidak ada tuhan yang berhak di sembah kecuali Allah</v>
      </c>
      <c r="G52" s="32">
        <f>IFERROR(__xludf.DUMMYFUNCTION("""COMPUTED_VALUE"""),6.0)</f>
        <v>6</v>
      </c>
      <c r="H52" s="32" t="str">
        <f>IFERROR(__xludf.DUMMYFUNCTION("""COMPUTED_VALUE"""),"1 Syawwal")</f>
        <v>1 Syawwal</v>
      </c>
      <c r="I52" s="32" t="str">
        <f>IFERROR(__xludf.DUMMYFUNCTION("""COMPUTED_VALUE"""),"Al 'Alaq")</f>
        <v>Al 'Alaq</v>
      </c>
      <c r="J52" s="32" t="str">
        <f>IFERROR(__xludf.DUMMYFUNCTION("""COMPUTED_VALUE"""),"Abu Bakar Ash Shiddiiq")</f>
        <v>Abu Bakar Ash Shiddiiq</v>
      </c>
      <c r="K52" s="32" t="str">
        <f>IFERROR(__xludf.DUMMYFUNCTION("""COMPUTED_VALUE"""),"giat")</f>
        <v>giat</v>
      </c>
      <c r="L52" s="32" t="str">
        <f>IFERROR(__xludf.DUMMYFUNCTION("""COMPUTED_VALUE"""),"dan")</f>
        <v>dan</v>
      </c>
      <c r="M52" s="32" t="str">
        <f>IFERROR(__xludf.DUMMYFUNCTION("""COMPUTED_VALUE"""),"Hafsah mengatakan bahwa ia ingin belajar di pesantren.")</f>
        <v>Hafsah mengatakan bahwa ia ingin belajar di pesantren.</v>
      </c>
      <c r="N52" s="32" t="str">
        <f>IFERROR(__xludf.DUMMYFUNCTION("""COMPUTED_VALUE"""),"Kalimat 2")</f>
        <v>Kalimat 2</v>
      </c>
      <c r="O52" s="32" t="str">
        <f>IFERROR(__xludf.DUMMYFUNCTION("""COMPUTED_VALUE"""),"kehidupan")</f>
        <v>kehidupan</v>
      </c>
      <c r="P52" s="32" t="str">
        <f>IFERROR(__xludf.DUMMYFUNCTION("""COMPUTED_VALUE"""),"Parasitisme")</f>
        <v>Parasitisme</v>
      </c>
      <c r="Q52" s="32" t="str">
        <f>IFERROR(__xludf.DUMMYFUNCTION("""COMPUTED_VALUE"""),"Angin")</f>
        <v>Angin</v>
      </c>
      <c r="R52" s="32" t="str">
        <f>IFERROR(__xludf.DUMMYFUNCTION("""COMPUTED_VALUE"""),"belalang dan ular")</f>
        <v>belalang dan ular</v>
      </c>
      <c r="S52" s="32" t="str">
        <f>IFERROR(__xludf.DUMMYFUNCTION("""COMPUTED_VALUE"""),"Memiliki stomata")</f>
        <v>Memiliki stomata</v>
      </c>
      <c r="T52" s="32" t="str">
        <f>IFERROR(__xludf.DUMMYFUNCTION("""COMPUTED_VALUE"""),"Kelinci")</f>
        <v>Kelinci</v>
      </c>
      <c r="U52" s="32">
        <f>IFERROR(__xludf.DUMMYFUNCTION("""COMPUTED_VALUE"""),-64.0)</f>
        <v>-64</v>
      </c>
      <c r="V52" s="32" t="str">
        <f>IFERROR(__xludf.DUMMYFUNCTION("""COMPUTED_VALUE"""),"3/4")</f>
        <v>3/4</v>
      </c>
      <c r="W52" s="32" t="str">
        <f>IFERROR(__xludf.DUMMYFUNCTION("""COMPUTED_VALUE"""),"1.800 meter")</f>
        <v>1.800 meter</v>
      </c>
      <c r="X52" s="32" t="str">
        <f>IFERROR(__xludf.DUMMYFUNCTION("""COMPUTED_VALUE"""),"28 cm")</f>
        <v>28 cm</v>
      </c>
      <c r="Y52" s="32">
        <f>IFERROR(__xludf.DUMMYFUNCTION("""COMPUTED_VALUE"""),200.0)</f>
        <v>200</v>
      </c>
      <c r="Z52" s="28">
        <f t="shared" si="1"/>
        <v>1</v>
      </c>
      <c r="AA52" s="28">
        <f t="shared" si="2"/>
        <v>1</v>
      </c>
      <c r="AB52" s="28">
        <f t="shared" si="3"/>
        <v>1</v>
      </c>
      <c r="AC52" s="28">
        <f t="shared" si="4"/>
        <v>1</v>
      </c>
      <c r="AD52" s="28">
        <f t="shared" si="5"/>
        <v>0</v>
      </c>
      <c r="AE52" s="29">
        <f t="shared" si="6"/>
        <v>4</v>
      </c>
      <c r="AF52" s="28">
        <f t="shared" si="7"/>
        <v>1</v>
      </c>
      <c r="AG52" s="28">
        <f t="shared" si="8"/>
        <v>1</v>
      </c>
      <c r="AH52" s="28">
        <f t="shared" si="9"/>
        <v>1</v>
      </c>
      <c r="AI52" s="28">
        <f t="shared" si="10"/>
        <v>0</v>
      </c>
      <c r="AJ52" s="28">
        <f t="shared" si="11"/>
        <v>0</v>
      </c>
      <c r="AK52" s="29">
        <f t="shared" si="12"/>
        <v>3</v>
      </c>
      <c r="AL52" s="28">
        <f t="shared" si="13"/>
        <v>1</v>
      </c>
      <c r="AM52" s="28">
        <f t="shared" si="14"/>
        <v>1</v>
      </c>
      <c r="AN52" s="28">
        <f t="shared" si="15"/>
        <v>1</v>
      </c>
      <c r="AO52" s="28">
        <f t="shared" si="16"/>
        <v>0</v>
      </c>
      <c r="AP52" s="28">
        <f t="shared" si="17"/>
        <v>1</v>
      </c>
      <c r="AQ52" s="29">
        <f t="shared" si="18"/>
        <v>4</v>
      </c>
      <c r="AR52" s="28">
        <f t="shared" si="19"/>
        <v>1</v>
      </c>
      <c r="AS52" s="28">
        <f t="shared" si="20"/>
        <v>1</v>
      </c>
      <c r="AT52" s="28">
        <f t="shared" si="21"/>
        <v>1</v>
      </c>
      <c r="AU52" s="28">
        <f t="shared" si="22"/>
        <v>0</v>
      </c>
      <c r="AV52" s="28">
        <f t="shared" si="23"/>
        <v>0</v>
      </c>
      <c r="AW52" s="29">
        <f t="shared" si="24"/>
        <v>3</v>
      </c>
      <c r="AX52" s="22"/>
      <c r="AY52" s="26">
        <f t="shared" si="25"/>
        <v>4</v>
      </c>
      <c r="AZ52" s="26">
        <f t="shared" si="26"/>
        <v>3</v>
      </c>
      <c r="BA52" s="26">
        <f t="shared" si="27"/>
        <v>4</v>
      </c>
      <c r="BB52" s="26">
        <f t="shared" si="28"/>
        <v>3</v>
      </c>
      <c r="BC52" s="30">
        <f t="shared" si="29"/>
        <v>70</v>
      </c>
    </row>
    <row r="53">
      <c r="A53" s="31">
        <f>IFERROR(__xludf.DUMMYFUNCTION("""COMPUTED_VALUE"""),45935.43269405093)</f>
        <v>45935.43269</v>
      </c>
      <c r="B53" s="32" t="str">
        <f>IFERROR(__xludf.DUMMYFUNCTION("""COMPUTED_VALUE"""),"m Azzam al hafizh")</f>
        <v>m Azzam al hafizh</v>
      </c>
      <c r="C53" s="27" t="str">
        <f>IFERROR(__xludf.DUMMYFUNCTION("""COMPUTED_VALUE"""),"A250076")</f>
        <v>A250076</v>
      </c>
      <c r="D53" s="27" t="str">
        <f>IFERROR(__xludf.DUMMYFUNCTION("""COMPUTED_VALUE"""),"MTs Putra")</f>
        <v>MTs Putra</v>
      </c>
      <c r="E53" s="27" t="str">
        <f>IFERROR(__xludf.DUMMYFUNCTION("""COMPUTED_VALUE"""),"Ya")</f>
        <v>Ya</v>
      </c>
      <c r="F53" s="32" t="str">
        <f>IFERROR(__xludf.DUMMYFUNCTION("""COMPUTED_VALUE"""),"A. Aku bersaksi bahwa Muhammad adalah utusan Allah")</f>
        <v>A. Aku bersaksi bahwa Muhammad adalah utusan Allah</v>
      </c>
      <c r="G53" s="32">
        <f>IFERROR(__xludf.DUMMYFUNCTION("""COMPUTED_VALUE"""),6.0)</f>
        <v>6</v>
      </c>
      <c r="H53" s="32" t="str">
        <f>IFERROR(__xludf.DUMMYFUNCTION("""COMPUTED_VALUE"""),"1 Syawwal")</f>
        <v>1 Syawwal</v>
      </c>
      <c r="I53" s="32" t="str">
        <f>IFERROR(__xludf.DUMMYFUNCTION("""COMPUTED_VALUE"""),"Al 'Alaq")</f>
        <v>Al 'Alaq</v>
      </c>
      <c r="J53" s="32" t="str">
        <f>IFERROR(__xludf.DUMMYFUNCTION("""COMPUTED_VALUE"""),"Abu Bakar Ash Shiddiiq")</f>
        <v>Abu Bakar Ash Shiddiiq</v>
      </c>
      <c r="K53" s="32" t="str">
        <f>IFERROR(__xludf.DUMMYFUNCTION("""COMPUTED_VALUE"""),"giat")</f>
        <v>giat</v>
      </c>
      <c r="L53" s="32" t="str">
        <f>IFERROR(__xludf.DUMMYFUNCTION("""COMPUTED_VALUE"""),"dan")</f>
        <v>dan</v>
      </c>
      <c r="M53" s="32" t="str">
        <f>IFERROR(__xludf.DUMMYFUNCTION("""COMPUTED_VALUE"""),"Hafsah mengatakan bahwa ia ingin belajar di pesantren.")</f>
        <v>Hafsah mengatakan bahwa ia ingin belajar di pesantren.</v>
      </c>
      <c r="N53" s="32" t="str">
        <f>IFERROR(__xludf.DUMMYFUNCTION("""COMPUTED_VALUE"""),"Kalimat 2")</f>
        <v>Kalimat 2</v>
      </c>
      <c r="O53" s="32" t="str">
        <f>IFERROR(__xludf.DUMMYFUNCTION("""COMPUTED_VALUE"""),"perubahan")</f>
        <v>perubahan</v>
      </c>
      <c r="P53" s="32" t="str">
        <f>IFERROR(__xludf.DUMMYFUNCTION("""COMPUTED_VALUE"""),"Parasitisme")</f>
        <v>Parasitisme</v>
      </c>
      <c r="Q53" s="32" t="str">
        <f>IFERROR(__xludf.DUMMYFUNCTION("""COMPUTED_VALUE"""),"Angin")</f>
        <v>Angin</v>
      </c>
      <c r="R53" s="32" t="str">
        <f>IFERROR(__xludf.DUMMYFUNCTION("""COMPUTED_VALUE"""),"belalang dan ular")</f>
        <v>belalang dan ular</v>
      </c>
      <c r="S53" s="32" t="str">
        <f>IFERROR(__xludf.DUMMYFUNCTION("""COMPUTED_VALUE"""),"Adanya pertulangan daun")</f>
        <v>Adanya pertulangan daun</v>
      </c>
      <c r="T53" s="32" t="str">
        <f>IFERROR(__xludf.DUMMYFUNCTION("""COMPUTED_VALUE"""),"Kadal")</f>
        <v>Kadal</v>
      </c>
      <c r="U53" s="32">
        <f>IFERROR(__xludf.DUMMYFUNCTION("""COMPUTED_VALUE"""),-64.0)</f>
        <v>-64</v>
      </c>
      <c r="V53" s="32" t="str">
        <f>IFERROR(__xludf.DUMMYFUNCTION("""COMPUTED_VALUE"""),"3/4")</f>
        <v>3/4</v>
      </c>
      <c r="W53" s="32" t="str">
        <f>IFERROR(__xludf.DUMMYFUNCTION("""COMPUTED_VALUE"""),"1.800 meter")</f>
        <v>1.800 meter</v>
      </c>
      <c r="X53" s="32" t="str">
        <f>IFERROR(__xludf.DUMMYFUNCTION("""COMPUTED_VALUE"""),"22 cm")</f>
        <v>22 cm</v>
      </c>
      <c r="Y53" s="32">
        <f>IFERROR(__xludf.DUMMYFUNCTION("""COMPUTED_VALUE"""),200.0)</f>
        <v>200</v>
      </c>
      <c r="Z53" s="28">
        <f t="shared" si="1"/>
        <v>0</v>
      </c>
      <c r="AA53" s="28">
        <f t="shared" si="2"/>
        <v>1</v>
      </c>
      <c r="AB53" s="28">
        <f t="shared" si="3"/>
        <v>1</v>
      </c>
      <c r="AC53" s="28">
        <f t="shared" si="4"/>
        <v>1</v>
      </c>
      <c r="AD53" s="28">
        <f t="shared" si="5"/>
        <v>0</v>
      </c>
      <c r="AE53" s="29">
        <f t="shared" si="6"/>
        <v>3</v>
      </c>
      <c r="AF53" s="28">
        <f t="shared" si="7"/>
        <v>1</v>
      </c>
      <c r="AG53" s="28">
        <f t="shared" si="8"/>
        <v>1</v>
      </c>
      <c r="AH53" s="28">
        <f t="shared" si="9"/>
        <v>1</v>
      </c>
      <c r="AI53" s="28">
        <f t="shared" si="10"/>
        <v>0</v>
      </c>
      <c r="AJ53" s="28">
        <f t="shared" si="11"/>
        <v>0</v>
      </c>
      <c r="AK53" s="29">
        <f t="shared" si="12"/>
        <v>3</v>
      </c>
      <c r="AL53" s="28">
        <f t="shared" si="13"/>
        <v>1</v>
      </c>
      <c r="AM53" s="28">
        <f t="shared" si="14"/>
        <v>1</v>
      </c>
      <c r="AN53" s="28">
        <f t="shared" si="15"/>
        <v>1</v>
      </c>
      <c r="AO53" s="28">
        <f t="shared" si="16"/>
        <v>0</v>
      </c>
      <c r="AP53" s="28">
        <f t="shared" si="17"/>
        <v>0</v>
      </c>
      <c r="AQ53" s="29">
        <f t="shared" si="18"/>
        <v>3</v>
      </c>
      <c r="AR53" s="28">
        <f t="shared" si="19"/>
        <v>1</v>
      </c>
      <c r="AS53" s="28">
        <f t="shared" si="20"/>
        <v>1</v>
      </c>
      <c r="AT53" s="28">
        <f t="shared" si="21"/>
        <v>1</v>
      </c>
      <c r="AU53" s="28">
        <f t="shared" si="22"/>
        <v>1</v>
      </c>
      <c r="AV53" s="28">
        <f t="shared" si="23"/>
        <v>0</v>
      </c>
      <c r="AW53" s="29">
        <f t="shared" si="24"/>
        <v>4</v>
      </c>
      <c r="AX53" s="22"/>
      <c r="AY53" s="26">
        <f t="shared" si="25"/>
        <v>3</v>
      </c>
      <c r="AZ53" s="26">
        <f t="shared" si="26"/>
        <v>3</v>
      </c>
      <c r="BA53" s="26">
        <f t="shared" si="27"/>
        <v>3</v>
      </c>
      <c r="BB53" s="26">
        <f t="shared" si="28"/>
        <v>4</v>
      </c>
      <c r="BC53" s="30">
        <f t="shared" si="29"/>
        <v>65</v>
      </c>
    </row>
    <row r="54">
      <c r="A54" s="31">
        <f>IFERROR(__xludf.DUMMYFUNCTION("""COMPUTED_VALUE"""),45935.43587234954)</f>
        <v>45935.43587</v>
      </c>
      <c r="B54" s="32" t="str">
        <f>IFERROR(__xludf.DUMMYFUNCTION("""COMPUTED_VALUE"""),"RUWAIFI")</f>
        <v>RUWAIFI</v>
      </c>
      <c r="C54" s="27" t="str">
        <f>IFERROR(__xludf.DUMMYFUNCTION("""COMPUTED_VALUE"""),"A250071")</f>
        <v>A250071</v>
      </c>
      <c r="D54" s="27" t="str">
        <f>IFERROR(__xludf.DUMMYFUNCTION("""COMPUTED_VALUE"""),"MTs Putra")</f>
        <v>MTs Putra</v>
      </c>
      <c r="E54" s="27" t="str">
        <f>IFERROR(__xludf.DUMMYFUNCTION("""COMPUTED_VALUE"""),"Ya")</f>
        <v>Ya</v>
      </c>
      <c r="F54" s="32" t="str">
        <f>IFERROR(__xludf.DUMMYFUNCTION("""COMPUTED_VALUE"""),"B. Aku bersaksi bahwa tidak ada tuhan yang berhak di sembah kecuali Allah")</f>
        <v>B. Aku bersaksi bahwa tidak ada tuhan yang berhak di sembah kecuali Allah</v>
      </c>
      <c r="G54" s="32">
        <f>IFERROR(__xludf.DUMMYFUNCTION("""COMPUTED_VALUE"""),5.0)</f>
        <v>5</v>
      </c>
      <c r="H54" s="32" t="str">
        <f>IFERROR(__xludf.DUMMYFUNCTION("""COMPUTED_VALUE"""),"3 Syawwal")</f>
        <v>3 Syawwal</v>
      </c>
      <c r="I54" s="32" t="str">
        <f>IFERROR(__xludf.DUMMYFUNCTION("""COMPUTED_VALUE"""),"Al 'Alaq")</f>
        <v>Al 'Alaq</v>
      </c>
      <c r="J54" s="32" t="str">
        <f>IFERROR(__xludf.DUMMYFUNCTION("""COMPUTED_VALUE"""),"Utsman Bin Affan")</f>
        <v>Utsman Bin Affan</v>
      </c>
      <c r="K54" s="32" t="str">
        <f>IFERROR(__xludf.DUMMYFUNCTION("""COMPUTED_VALUE"""),"giat")</f>
        <v>giat</v>
      </c>
      <c r="L54" s="32" t="str">
        <f>IFERROR(__xludf.DUMMYFUNCTION("""COMPUTED_VALUE"""),"dan")</f>
        <v>dan</v>
      </c>
      <c r="M54" s="32" t="str">
        <f>IFERROR(__xludf.DUMMYFUNCTION("""COMPUTED_VALUE"""),"Hafsah mengatakan bahwa ia ingin belajar di pesantren.")</f>
        <v>Hafsah mengatakan bahwa ia ingin belajar di pesantren.</v>
      </c>
      <c r="N54" s="32" t="str">
        <f>IFERROR(__xludf.DUMMYFUNCTION("""COMPUTED_VALUE"""),"Kalimat 4")</f>
        <v>Kalimat 4</v>
      </c>
      <c r="O54" s="32" t="str">
        <f>IFERROR(__xludf.DUMMYFUNCTION("""COMPUTED_VALUE"""),"cahaya")</f>
        <v>cahaya</v>
      </c>
      <c r="P54" s="32" t="str">
        <f>IFERROR(__xludf.DUMMYFUNCTION("""COMPUTED_VALUE"""),"Mutualisme")</f>
        <v>Mutualisme</v>
      </c>
      <c r="Q54" s="32" t="str">
        <f>IFERROR(__xludf.DUMMYFUNCTION("""COMPUTED_VALUE"""),"Angin")</f>
        <v>Angin</v>
      </c>
      <c r="R54" s="32" t="str">
        <f>IFERROR(__xludf.DUMMYFUNCTION("""COMPUTED_VALUE"""),"belalang dan ular")</f>
        <v>belalang dan ular</v>
      </c>
      <c r="S54" s="32" t="str">
        <f>IFERROR(__xludf.DUMMYFUNCTION("""COMPUTED_VALUE"""),"Menghasilkan klorofil")</f>
        <v>Menghasilkan klorofil</v>
      </c>
      <c r="T54" s="32" t="str">
        <f>IFERROR(__xludf.DUMMYFUNCTION("""COMPUTED_VALUE"""),"Kelinci")</f>
        <v>Kelinci</v>
      </c>
      <c r="U54" s="32">
        <f>IFERROR(__xludf.DUMMYFUNCTION("""COMPUTED_VALUE"""),56.0)</f>
        <v>56</v>
      </c>
      <c r="V54" s="32" t="str">
        <f>IFERROR(__xludf.DUMMYFUNCTION("""COMPUTED_VALUE"""),"4/3")</f>
        <v>4/3</v>
      </c>
      <c r="W54" s="32" t="str">
        <f>IFERROR(__xludf.DUMMYFUNCTION("""COMPUTED_VALUE"""),"1.575 meter")</f>
        <v>1.575 meter</v>
      </c>
      <c r="X54" s="32" t="str">
        <f>IFERROR(__xludf.DUMMYFUNCTION("""COMPUTED_VALUE"""),"22 cm")</f>
        <v>22 cm</v>
      </c>
      <c r="Y54" s="32">
        <f>IFERROR(__xludf.DUMMYFUNCTION("""COMPUTED_VALUE"""),200.0)</f>
        <v>200</v>
      </c>
      <c r="Z54" s="28">
        <f t="shared" si="1"/>
        <v>1</v>
      </c>
      <c r="AA54" s="28">
        <f t="shared" si="2"/>
        <v>0</v>
      </c>
      <c r="AB54" s="28">
        <f t="shared" si="3"/>
        <v>0</v>
      </c>
      <c r="AC54" s="28">
        <f t="shared" si="4"/>
        <v>1</v>
      </c>
      <c r="AD54" s="28">
        <f t="shared" si="5"/>
        <v>0</v>
      </c>
      <c r="AE54" s="29">
        <f t="shared" si="6"/>
        <v>2</v>
      </c>
      <c r="AF54" s="28">
        <f t="shared" si="7"/>
        <v>1</v>
      </c>
      <c r="AG54" s="28">
        <f t="shared" si="8"/>
        <v>1</v>
      </c>
      <c r="AH54" s="28">
        <f t="shared" si="9"/>
        <v>1</v>
      </c>
      <c r="AI54" s="28">
        <f t="shared" si="10"/>
        <v>0</v>
      </c>
      <c r="AJ54" s="28">
        <f t="shared" si="11"/>
        <v>1</v>
      </c>
      <c r="AK54" s="29">
        <f t="shared" si="12"/>
        <v>4</v>
      </c>
      <c r="AL54" s="28">
        <f t="shared" si="13"/>
        <v>0</v>
      </c>
      <c r="AM54" s="28">
        <f t="shared" si="14"/>
        <v>1</v>
      </c>
      <c r="AN54" s="28">
        <f t="shared" si="15"/>
        <v>1</v>
      </c>
      <c r="AO54" s="28">
        <f t="shared" si="16"/>
        <v>1</v>
      </c>
      <c r="AP54" s="28">
        <f t="shared" si="17"/>
        <v>1</v>
      </c>
      <c r="AQ54" s="29">
        <f t="shared" si="18"/>
        <v>4</v>
      </c>
      <c r="AR54" s="28">
        <f t="shared" si="19"/>
        <v>0</v>
      </c>
      <c r="AS54" s="28">
        <f t="shared" si="20"/>
        <v>0</v>
      </c>
      <c r="AT54" s="28">
        <f t="shared" si="21"/>
        <v>0</v>
      </c>
      <c r="AU54" s="28">
        <f t="shared" si="22"/>
        <v>1</v>
      </c>
      <c r="AV54" s="28">
        <f t="shared" si="23"/>
        <v>0</v>
      </c>
      <c r="AW54" s="29">
        <f t="shared" si="24"/>
        <v>1</v>
      </c>
      <c r="AX54" s="22"/>
      <c r="AY54" s="26">
        <f t="shared" si="25"/>
        <v>2</v>
      </c>
      <c r="AZ54" s="26">
        <f t="shared" si="26"/>
        <v>4</v>
      </c>
      <c r="BA54" s="26">
        <f t="shared" si="27"/>
        <v>4</v>
      </c>
      <c r="BB54" s="26">
        <f t="shared" si="28"/>
        <v>1</v>
      </c>
      <c r="BC54" s="30">
        <f t="shared" si="29"/>
        <v>55</v>
      </c>
    </row>
    <row r="55">
      <c r="A55" s="31">
        <f>IFERROR(__xludf.DUMMYFUNCTION("""COMPUTED_VALUE"""),45935.47857949074)</f>
        <v>45935.47858</v>
      </c>
      <c r="B55" s="32" t="str">
        <f>IFERROR(__xludf.DUMMYFUNCTION("""COMPUTED_VALUE"""),"Fatih kenzie dzulian anado")</f>
        <v>Fatih kenzie dzulian anado</v>
      </c>
      <c r="C55" s="27" t="str">
        <f>IFERROR(__xludf.DUMMYFUNCTION("""COMPUTED_VALUE"""),"A250019")</f>
        <v>A250019</v>
      </c>
      <c r="D55" s="27" t="str">
        <f>IFERROR(__xludf.DUMMYFUNCTION("""COMPUTED_VALUE"""),"MTs Putra")</f>
        <v>MTs Putra</v>
      </c>
      <c r="E55" s="27" t="str">
        <f>IFERROR(__xludf.DUMMYFUNCTION("""COMPUTED_VALUE"""),"Ya")</f>
        <v>Ya</v>
      </c>
      <c r="F55" s="32" t="str">
        <f>IFERROR(__xludf.DUMMYFUNCTION("""COMPUTED_VALUE"""),"B. Aku bersaksi bahwa tidak ada tuhan yang berhak di sembah kecuali Allah")</f>
        <v>B. Aku bersaksi bahwa tidak ada tuhan yang berhak di sembah kecuali Allah</v>
      </c>
      <c r="G55" s="32">
        <f>IFERROR(__xludf.DUMMYFUNCTION("""COMPUTED_VALUE"""),6.0)</f>
        <v>6</v>
      </c>
      <c r="H55" s="32" t="str">
        <f>IFERROR(__xludf.DUMMYFUNCTION("""COMPUTED_VALUE"""),"1 Syawwal")</f>
        <v>1 Syawwal</v>
      </c>
      <c r="I55" s="32" t="str">
        <f>IFERROR(__xludf.DUMMYFUNCTION("""COMPUTED_VALUE"""),"Al 'Alaq")</f>
        <v>Al 'Alaq</v>
      </c>
      <c r="J55" s="32" t="str">
        <f>IFERROR(__xludf.DUMMYFUNCTION("""COMPUTED_VALUE"""),"Ali Bin Abi Thalib")</f>
        <v>Ali Bin Abi Thalib</v>
      </c>
      <c r="K55" s="32" t="str">
        <f>IFERROR(__xludf.DUMMYFUNCTION("""COMPUTED_VALUE"""),"giat")</f>
        <v>giat</v>
      </c>
      <c r="L55" s="32" t="str">
        <f>IFERROR(__xludf.DUMMYFUNCTION("""COMPUTED_VALUE"""),"dan")</f>
        <v>dan</v>
      </c>
      <c r="M55" s="32" t="str">
        <f>IFERROR(__xludf.DUMMYFUNCTION("""COMPUTED_VALUE"""),"Hafsah mengatakan bahwa ia ingin belajar di pesantren.")</f>
        <v>Hafsah mengatakan bahwa ia ingin belajar di pesantren.</v>
      </c>
      <c r="N55" s="32" t="str">
        <f>IFERROR(__xludf.DUMMYFUNCTION("""COMPUTED_VALUE"""),"Kalimat 2")</f>
        <v>Kalimat 2</v>
      </c>
      <c r="O55" s="32" t="str">
        <f>IFERROR(__xludf.DUMMYFUNCTION("""COMPUTED_VALUE"""),"kehidupan")</f>
        <v>kehidupan</v>
      </c>
      <c r="P55" s="32" t="str">
        <f>IFERROR(__xludf.DUMMYFUNCTION("""COMPUTED_VALUE"""),"Parasitisme")</f>
        <v>Parasitisme</v>
      </c>
      <c r="Q55" s="32" t="str">
        <f>IFERROR(__xludf.DUMMYFUNCTION("""COMPUTED_VALUE"""),"Angin")</f>
        <v>Angin</v>
      </c>
      <c r="R55" s="32" t="str">
        <f>IFERROR(__xludf.DUMMYFUNCTION("""COMPUTED_VALUE"""),"belalang dan ular")</f>
        <v>belalang dan ular</v>
      </c>
      <c r="S55" s="32" t="str">
        <f>IFERROR(__xludf.DUMMYFUNCTION("""COMPUTED_VALUE"""),"Menghasilkan klorofil")</f>
        <v>Menghasilkan klorofil</v>
      </c>
      <c r="T55" s="32" t="str">
        <f>IFERROR(__xludf.DUMMYFUNCTION("""COMPUTED_VALUE"""),"Kelinci")</f>
        <v>Kelinci</v>
      </c>
      <c r="U55" s="32">
        <f>IFERROR(__xludf.DUMMYFUNCTION("""COMPUTED_VALUE"""),-64.0)</f>
        <v>-64</v>
      </c>
      <c r="V55" s="32" t="str">
        <f>IFERROR(__xludf.DUMMYFUNCTION("""COMPUTED_VALUE"""),"3/4")</f>
        <v>3/4</v>
      </c>
      <c r="W55" s="32" t="str">
        <f>IFERROR(__xludf.DUMMYFUNCTION("""COMPUTED_VALUE"""),"1.800 meter")</f>
        <v>1.800 meter</v>
      </c>
      <c r="X55" s="32" t="str">
        <f>IFERROR(__xludf.DUMMYFUNCTION("""COMPUTED_VALUE"""),"28 cm")</f>
        <v>28 cm</v>
      </c>
      <c r="Y55" s="32">
        <f>IFERROR(__xludf.DUMMYFUNCTION("""COMPUTED_VALUE"""),200.0)</f>
        <v>200</v>
      </c>
      <c r="Z55" s="28">
        <f t="shared" si="1"/>
        <v>1</v>
      </c>
      <c r="AA55" s="28">
        <f t="shared" si="2"/>
        <v>1</v>
      </c>
      <c r="AB55" s="28">
        <f t="shared" si="3"/>
        <v>1</v>
      </c>
      <c r="AC55" s="28">
        <f t="shared" si="4"/>
        <v>1</v>
      </c>
      <c r="AD55" s="28">
        <f t="shared" si="5"/>
        <v>1</v>
      </c>
      <c r="AE55" s="29">
        <f t="shared" si="6"/>
        <v>5</v>
      </c>
      <c r="AF55" s="28">
        <f t="shared" si="7"/>
        <v>1</v>
      </c>
      <c r="AG55" s="28">
        <f t="shared" si="8"/>
        <v>1</v>
      </c>
      <c r="AH55" s="28">
        <f t="shared" si="9"/>
        <v>1</v>
      </c>
      <c r="AI55" s="28">
        <f t="shared" si="10"/>
        <v>0</v>
      </c>
      <c r="AJ55" s="28">
        <f t="shared" si="11"/>
        <v>0</v>
      </c>
      <c r="AK55" s="29">
        <f t="shared" si="12"/>
        <v>3</v>
      </c>
      <c r="AL55" s="28">
        <f t="shared" si="13"/>
        <v>1</v>
      </c>
      <c r="AM55" s="28">
        <f t="shared" si="14"/>
        <v>1</v>
      </c>
      <c r="AN55" s="28">
        <f t="shared" si="15"/>
        <v>1</v>
      </c>
      <c r="AO55" s="28">
        <f t="shared" si="16"/>
        <v>1</v>
      </c>
      <c r="AP55" s="28">
        <f t="shared" si="17"/>
        <v>1</v>
      </c>
      <c r="AQ55" s="29">
        <f t="shared" si="18"/>
        <v>5</v>
      </c>
      <c r="AR55" s="28">
        <f t="shared" si="19"/>
        <v>1</v>
      </c>
      <c r="AS55" s="28">
        <f t="shared" si="20"/>
        <v>1</v>
      </c>
      <c r="AT55" s="28">
        <f t="shared" si="21"/>
        <v>1</v>
      </c>
      <c r="AU55" s="28">
        <f t="shared" si="22"/>
        <v>0</v>
      </c>
      <c r="AV55" s="28">
        <f t="shared" si="23"/>
        <v>0</v>
      </c>
      <c r="AW55" s="29">
        <f t="shared" si="24"/>
        <v>3</v>
      </c>
      <c r="AX55" s="22"/>
      <c r="AY55" s="26">
        <f t="shared" si="25"/>
        <v>5</v>
      </c>
      <c r="AZ55" s="26">
        <f t="shared" si="26"/>
        <v>3</v>
      </c>
      <c r="BA55" s="26">
        <f t="shared" si="27"/>
        <v>5</v>
      </c>
      <c r="BB55" s="26">
        <f t="shared" si="28"/>
        <v>3</v>
      </c>
      <c r="BC55" s="30">
        <f t="shared" si="29"/>
        <v>80</v>
      </c>
    </row>
    <row r="56">
      <c r="A56" s="31">
        <f>IFERROR(__xludf.DUMMYFUNCTION("""COMPUTED_VALUE"""),45935.48912708333)</f>
        <v>45935.48913</v>
      </c>
      <c r="B56" s="32" t="str">
        <f>IFERROR(__xludf.DUMMYFUNCTION("""COMPUTED_VALUE"""),"Hanifah azahra putri")</f>
        <v>Hanifah azahra putri</v>
      </c>
      <c r="C56" s="27" t="str">
        <f>IFERROR(__xludf.DUMMYFUNCTION("""COMPUTED_VALUE"""),"D250022")</f>
        <v>D250022</v>
      </c>
      <c r="D56" s="27" t="str">
        <f>IFERROR(__xludf.DUMMYFUNCTION("""COMPUTED_VALUE"""),"MTs Putri")</f>
        <v>MTs Putri</v>
      </c>
      <c r="E56" s="27" t="str">
        <f>IFERROR(__xludf.DUMMYFUNCTION("""COMPUTED_VALUE"""),"Ya")</f>
        <v>Ya</v>
      </c>
      <c r="F56" s="32" t="str">
        <f>IFERROR(__xludf.DUMMYFUNCTION("""COMPUTED_VALUE"""),"B. Aku bersaksi bahwa tidak ada tuhan yang berhak di sembah kecuali Allah")</f>
        <v>B. Aku bersaksi bahwa tidak ada tuhan yang berhak di sembah kecuali Allah</v>
      </c>
      <c r="G56" s="32">
        <f>IFERROR(__xludf.DUMMYFUNCTION("""COMPUTED_VALUE"""),6.0)</f>
        <v>6</v>
      </c>
      <c r="H56" s="32" t="str">
        <f>IFERROR(__xludf.DUMMYFUNCTION("""COMPUTED_VALUE"""),"1 Syawwal")</f>
        <v>1 Syawwal</v>
      </c>
      <c r="I56" s="32" t="str">
        <f>IFERROR(__xludf.DUMMYFUNCTION("""COMPUTED_VALUE"""),"Al 'Alaq")</f>
        <v>Al 'Alaq</v>
      </c>
      <c r="J56" s="32" t="str">
        <f>IFERROR(__xludf.DUMMYFUNCTION("""COMPUTED_VALUE"""),"Ali Bin Abi Thalib")</f>
        <v>Ali Bin Abi Thalib</v>
      </c>
      <c r="K56" s="32" t="str">
        <f>IFERROR(__xludf.DUMMYFUNCTION("""COMPUTED_VALUE"""),"giat")</f>
        <v>giat</v>
      </c>
      <c r="L56" s="32" t="str">
        <f>IFERROR(__xludf.DUMMYFUNCTION("""COMPUTED_VALUE"""),"dan")</f>
        <v>dan</v>
      </c>
      <c r="M56" s="32" t="str">
        <f>IFERROR(__xludf.DUMMYFUNCTION("""COMPUTED_VALUE"""),"Hafsah mengatakan bahwa aku ingin belajar di pesantren.")</f>
        <v>Hafsah mengatakan bahwa aku ingin belajar di pesantren.</v>
      </c>
      <c r="N56" s="32" t="str">
        <f>IFERROR(__xludf.DUMMYFUNCTION("""COMPUTED_VALUE"""),"Kalimat 1")</f>
        <v>Kalimat 1</v>
      </c>
      <c r="O56" s="32" t="str">
        <f>IFERROR(__xludf.DUMMYFUNCTION("""COMPUTED_VALUE"""),"cahaya")</f>
        <v>cahaya</v>
      </c>
      <c r="P56" s="32" t="str">
        <f>IFERROR(__xludf.DUMMYFUNCTION("""COMPUTED_VALUE"""),"Parasitisme")</f>
        <v>Parasitisme</v>
      </c>
      <c r="Q56" s="32" t="str">
        <f>IFERROR(__xludf.DUMMYFUNCTION("""COMPUTED_VALUE"""),"Angin")</f>
        <v>Angin</v>
      </c>
      <c r="R56" s="32" t="str">
        <f>IFERROR(__xludf.DUMMYFUNCTION("""COMPUTED_VALUE"""),"burung ketilang dan ulat")</f>
        <v>burung ketilang dan ulat</v>
      </c>
      <c r="S56" s="32" t="str">
        <f>IFERROR(__xludf.DUMMYFUNCTION("""COMPUTED_VALUE"""),"Menghasilkan klorofil")</f>
        <v>Menghasilkan klorofil</v>
      </c>
      <c r="T56" s="32" t="str">
        <f>IFERROR(__xludf.DUMMYFUNCTION("""COMPUTED_VALUE"""),"Kelinci")</f>
        <v>Kelinci</v>
      </c>
      <c r="U56" s="32">
        <f>IFERROR(__xludf.DUMMYFUNCTION("""COMPUTED_VALUE"""),-64.0)</f>
        <v>-64</v>
      </c>
      <c r="V56" s="32" t="str">
        <f>IFERROR(__xludf.DUMMYFUNCTION("""COMPUTED_VALUE"""),"3/4")</f>
        <v>3/4</v>
      </c>
      <c r="W56" s="32" t="str">
        <f>IFERROR(__xludf.DUMMYFUNCTION("""COMPUTED_VALUE"""),"1.800 meter")</f>
        <v>1.800 meter</v>
      </c>
      <c r="X56" s="32" t="str">
        <f>IFERROR(__xludf.DUMMYFUNCTION("""COMPUTED_VALUE"""),"28 cm")</f>
        <v>28 cm</v>
      </c>
      <c r="Y56" s="32">
        <f>IFERROR(__xludf.DUMMYFUNCTION("""COMPUTED_VALUE"""),200.0)</f>
        <v>200</v>
      </c>
      <c r="Z56" s="28">
        <f t="shared" si="1"/>
        <v>1</v>
      </c>
      <c r="AA56" s="28">
        <f t="shared" si="2"/>
        <v>1</v>
      </c>
      <c r="AB56" s="28">
        <f t="shared" si="3"/>
        <v>1</v>
      </c>
      <c r="AC56" s="28">
        <f t="shared" si="4"/>
        <v>1</v>
      </c>
      <c r="AD56" s="28">
        <f t="shared" si="5"/>
        <v>1</v>
      </c>
      <c r="AE56" s="29">
        <f t="shared" si="6"/>
        <v>5</v>
      </c>
      <c r="AF56" s="28">
        <f t="shared" si="7"/>
        <v>1</v>
      </c>
      <c r="AG56" s="28">
        <f t="shared" si="8"/>
        <v>1</v>
      </c>
      <c r="AH56" s="28">
        <f t="shared" si="9"/>
        <v>0</v>
      </c>
      <c r="AI56" s="28">
        <f t="shared" si="10"/>
        <v>1</v>
      </c>
      <c r="AJ56" s="28">
        <f t="shared" si="11"/>
        <v>1</v>
      </c>
      <c r="AK56" s="29">
        <f t="shared" si="12"/>
        <v>4</v>
      </c>
      <c r="AL56" s="28">
        <f t="shared" si="13"/>
        <v>1</v>
      </c>
      <c r="AM56" s="28">
        <f t="shared" si="14"/>
        <v>1</v>
      </c>
      <c r="AN56" s="28">
        <f t="shared" si="15"/>
        <v>0</v>
      </c>
      <c r="AO56" s="28">
        <f t="shared" si="16"/>
        <v>1</v>
      </c>
      <c r="AP56" s="28">
        <f t="shared" si="17"/>
        <v>1</v>
      </c>
      <c r="AQ56" s="29">
        <f t="shared" si="18"/>
        <v>4</v>
      </c>
      <c r="AR56" s="28">
        <f t="shared" si="19"/>
        <v>1</v>
      </c>
      <c r="AS56" s="28">
        <f t="shared" si="20"/>
        <v>1</v>
      </c>
      <c r="AT56" s="28">
        <f t="shared" si="21"/>
        <v>1</v>
      </c>
      <c r="AU56" s="28">
        <f t="shared" si="22"/>
        <v>0</v>
      </c>
      <c r="AV56" s="28">
        <f t="shared" si="23"/>
        <v>0</v>
      </c>
      <c r="AW56" s="29">
        <f t="shared" si="24"/>
        <v>3</v>
      </c>
      <c r="AX56" s="22"/>
      <c r="AY56" s="26">
        <f t="shared" si="25"/>
        <v>5</v>
      </c>
      <c r="AZ56" s="26">
        <f t="shared" si="26"/>
        <v>4</v>
      </c>
      <c r="BA56" s="26">
        <f t="shared" si="27"/>
        <v>4</v>
      </c>
      <c r="BB56" s="26">
        <f t="shared" si="28"/>
        <v>3</v>
      </c>
      <c r="BC56" s="30">
        <f t="shared" si="29"/>
        <v>80</v>
      </c>
    </row>
    <row r="57">
      <c r="A57" s="31">
        <f>IFERROR(__xludf.DUMMYFUNCTION("""COMPUTED_VALUE"""),45935.79961864583)</f>
        <v>45935.79962</v>
      </c>
      <c r="B57" s="32" t="str">
        <f>IFERROR(__xludf.DUMMYFUNCTION("""COMPUTED_VALUE"""),"Granada Khansa El Qibtiya")</f>
        <v>Granada Khansa El Qibtiya</v>
      </c>
      <c r="C57" s="27" t="str">
        <f>IFERROR(__xludf.DUMMYFUNCTION("""COMPUTED_VALUE"""),"D250026")</f>
        <v>D250026</v>
      </c>
      <c r="D57" s="27" t="str">
        <f>IFERROR(__xludf.DUMMYFUNCTION("""COMPUTED_VALUE"""),"MTs Putri")</f>
        <v>MTs Putri</v>
      </c>
      <c r="E57" s="27" t="str">
        <f>IFERROR(__xludf.DUMMYFUNCTION("""COMPUTED_VALUE"""),"Ya")</f>
        <v>Ya</v>
      </c>
      <c r="F57" s="32" t="str">
        <f>IFERROR(__xludf.DUMMYFUNCTION("""COMPUTED_VALUE"""),"B. Aku bersaksi bahwa tidak ada tuhan yang berhak di sembah kecuali Allah")</f>
        <v>B. Aku bersaksi bahwa tidak ada tuhan yang berhak di sembah kecuali Allah</v>
      </c>
      <c r="G57" s="32">
        <f>IFERROR(__xludf.DUMMYFUNCTION("""COMPUTED_VALUE"""),6.0)</f>
        <v>6</v>
      </c>
      <c r="H57" s="32" t="str">
        <f>IFERROR(__xludf.DUMMYFUNCTION("""COMPUTED_VALUE"""),"1 Syawwal")</f>
        <v>1 Syawwal</v>
      </c>
      <c r="I57" s="32" t="str">
        <f>IFERROR(__xludf.DUMMYFUNCTION("""COMPUTED_VALUE"""),"Al 'Alaq")</f>
        <v>Al 'Alaq</v>
      </c>
      <c r="J57" s="32" t="str">
        <f>IFERROR(__xludf.DUMMYFUNCTION("""COMPUTED_VALUE"""),"Ali Bin Abi Thalib")</f>
        <v>Ali Bin Abi Thalib</v>
      </c>
      <c r="K57" s="32" t="str">
        <f>IFERROR(__xludf.DUMMYFUNCTION("""COMPUTED_VALUE"""),"giat")</f>
        <v>giat</v>
      </c>
      <c r="L57" s="32" t="str">
        <f>IFERROR(__xludf.DUMMYFUNCTION("""COMPUTED_VALUE"""),"dan")</f>
        <v>dan</v>
      </c>
      <c r="M57" s="32" t="str">
        <f>IFERROR(__xludf.DUMMYFUNCTION("""COMPUTED_VALUE"""),"Hafsah mengatakan bahwa ia ingin belajar di pesantren.")</f>
        <v>Hafsah mengatakan bahwa ia ingin belajar di pesantren.</v>
      </c>
      <c r="N57" s="32" t="str">
        <f>IFERROR(__xludf.DUMMYFUNCTION("""COMPUTED_VALUE"""),"Kalimat 1")</f>
        <v>Kalimat 1</v>
      </c>
      <c r="O57" s="32" t="str">
        <f>IFERROR(__xludf.DUMMYFUNCTION("""COMPUTED_VALUE"""),"cahaya")</f>
        <v>cahaya</v>
      </c>
      <c r="P57" s="32" t="str">
        <f>IFERROR(__xludf.DUMMYFUNCTION("""COMPUTED_VALUE"""),"Parasitisme")</f>
        <v>Parasitisme</v>
      </c>
      <c r="Q57" s="32" t="str">
        <f>IFERROR(__xludf.DUMMYFUNCTION("""COMPUTED_VALUE"""),"Angin")</f>
        <v>Angin</v>
      </c>
      <c r="R57" s="32" t="str">
        <f>IFERROR(__xludf.DUMMYFUNCTION("""COMPUTED_VALUE"""),"belalang dan ular")</f>
        <v>belalang dan ular</v>
      </c>
      <c r="S57" s="32" t="str">
        <f>IFERROR(__xludf.DUMMYFUNCTION("""COMPUTED_VALUE"""),"Menghasilkan klorofil")</f>
        <v>Menghasilkan klorofil</v>
      </c>
      <c r="T57" s="32" t="str">
        <f>IFERROR(__xludf.DUMMYFUNCTION("""COMPUTED_VALUE"""),"Kelinci")</f>
        <v>Kelinci</v>
      </c>
      <c r="U57" s="32">
        <f>IFERROR(__xludf.DUMMYFUNCTION("""COMPUTED_VALUE"""),-64.0)</f>
        <v>-64</v>
      </c>
      <c r="V57" s="32" t="str">
        <f>IFERROR(__xludf.DUMMYFUNCTION("""COMPUTED_VALUE"""),"3/4")</f>
        <v>3/4</v>
      </c>
      <c r="W57" s="32" t="str">
        <f>IFERROR(__xludf.DUMMYFUNCTION("""COMPUTED_VALUE"""),"1.800 meter")</f>
        <v>1.800 meter</v>
      </c>
      <c r="X57" s="32" t="str">
        <f>IFERROR(__xludf.DUMMYFUNCTION("""COMPUTED_VALUE"""),"22 cm")</f>
        <v>22 cm</v>
      </c>
      <c r="Y57" s="32">
        <f>IFERROR(__xludf.DUMMYFUNCTION("""COMPUTED_VALUE"""),200.0)</f>
        <v>200</v>
      </c>
      <c r="Z57" s="28">
        <f t="shared" si="1"/>
        <v>1</v>
      </c>
      <c r="AA57" s="28">
        <f t="shared" si="2"/>
        <v>1</v>
      </c>
      <c r="AB57" s="28">
        <f t="shared" si="3"/>
        <v>1</v>
      </c>
      <c r="AC57" s="28">
        <f t="shared" si="4"/>
        <v>1</v>
      </c>
      <c r="AD57" s="28">
        <f t="shared" si="5"/>
        <v>1</v>
      </c>
      <c r="AE57" s="29">
        <f t="shared" si="6"/>
        <v>5</v>
      </c>
      <c r="AF57" s="28">
        <f t="shared" si="7"/>
        <v>1</v>
      </c>
      <c r="AG57" s="28">
        <f t="shared" si="8"/>
        <v>1</v>
      </c>
      <c r="AH57" s="28">
        <f t="shared" si="9"/>
        <v>1</v>
      </c>
      <c r="AI57" s="28">
        <f t="shared" si="10"/>
        <v>1</v>
      </c>
      <c r="AJ57" s="28">
        <f t="shared" si="11"/>
        <v>1</v>
      </c>
      <c r="AK57" s="29">
        <f t="shared" si="12"/>
        <v>5</v>
      </c>
      <c r="AL57" s="28">
        <f t="shared" si="13"/>
        <v>1</v>
      </c>
      <c r="AM57" s="28">
        <f t="shared" si="14"/>
        <v>1</v>
      </c>
      <c r="AN57" s="28">
        <f t="shared" si="15"/>
        <v>1</v>
      </c>
      <c r="AO57" s="28">
        <f t="shared" si="16"/>
        <v>1</v>
      </c>
      <c r="AP57" s="28">
        <f t="shared" si="17"/>
        <v>1</v>
      </c>
      <c r="AQ57" s="29">
        <f t="shared" si="18"/>
        <v>5</v>
      </c>
      <c r="AR57" s="28">
        <f t="shared" si="19"/>
        <v>1</v>
      </c>
      <c r="AS57" s="28">
        <f t="shared" si="20"/>
        <v>1</v>
      </c>
      <c r="AT57" s="28">
        <f t="shared" si="21"/>
        <v>1</v>
      </c>
      <c r="AU57" s="28">
        <f t="shared" si="22"/>
        <v>1</v>
      </c>
      <c r="AV57" s="28">
        <f t="shared" si="23"/>
        <v>0</v>
      </c>
      <c r="AW57" s="29">
        <f t="shared" si="24"/>
        <v>4</v>
      </c>
      <c r="AX57" s="22"/>
      <c r="AY57" s="26">
        <f t="shared" si="25"/>
        <v>5</v>
      </c>
      <c r="AZ57" s="26">
        <f t="shared" si="26"/>
        <v>5</v>
      </c>
      <c r="BA57" s="26">
        <f t="shared" si="27"/>
        <v>5</v>
      </c>
      <c r="BB57" s="26">
        <f t="shared" si="28"/>
        <v>4</v>
      </c>
      <c r="BC57" s="30">
        <f t="shared" si="29"/>
        <v>95</v>
      </c>
    </row>
    <row r="58">
      <c r="A58" s="31">
        <f>IFERROR(__xludf.DUMMYFUNCTION("""COMPUTED_VALUE"""),45936.676189756945)</f>
        <v>45936.67619</v>
      </c>
      <c r="B58" s="32" t="str">
        <f>IFERROR(__xludf.DUMMYFUNCTION("""COMPUTED_VALUE"""),"Suhail Aiman")</f>
        <v>Suhail Aiman</v>
      </c>
      <c r="C58" s="27" t="str">
        <f>IFERROR(__xludf.DUMMYFUNCTION("""COMPUTED_VALUE"""),"A250045")</f>
        <v>A250045</v>
      </c>
      <c r="D58" s="27" t="str">
        <f>IFERROR(__xludf.DUMMYFUNCTION("""COMPUTED_VALUE"""),"MTs Putra")</f>
        <v>MTs Putra</v>
      </c>
      <c r="E58" s="27" t="str">
        <f>IFERROR(__xludf.DUMMYFUNCTION("""COMPUTED_VALUE"""),"Ya")</f>
        <v>Ya</v>
      </c>
      <c r="F58" s="32" t="str">
        <f>IFERROR(__xludf.DUMMYFUNCTION("""COMPUTED_VALUE"""),"B. Aku bersaksi bahwa tidak ada tuhan yang berhak di sembah kecuali Allah")</f>
        <v>B. Aku bersaksi bahwa tidak ada tuhan yang berhak di sembah kecuali Allah</v>
      </c>
      <c r="G58" s="32">
        <f>IFERROR(__xludf.DUMMYFUNCTION("""COMPUTED_VALUE"""),6.0)</f>
        <v>6</v>
      </c>
      <c r="H58" s="32" t="str">
        <f>IFERROR(__xludf.DUMMYFUNCTION("""COMPUTED_VALUE"""),"1 Syawwal")</f>
        <v>1 Syawwal</v>
      </c>
      <c r="I58" s="32" t="str">
        <f>IFERROR(__xludf.DUMMYFUNCTION("""COMPUTED_VALUE"""),"Al 'Alaq")</f>
        <v>Al 'Alaq</v>
      </c>
      <c r="J58" s="32" t="str">
        <f>IFERROR(__xludf.DUMMYFUNCTION("""COMPUTED_VALUE"""),"Ali Bin Abi Thalib")</f>
        <v>Ali Bin Abi Thalib</v>
      </c>
      <c r="K58" s="32" t="str">
        <f>IFERROR(__xludf.DUMMYFUNCTION("""COMPUTED_VALUE"""),"giat")</f>
        <v>giat</v>
      </c>
      <c r="L58" s="32" t="str">
        <f>IFERROR(__xludf.DUMMYFUNCTION("""COMPUTED_VALUE"""),"dan")</f>
        <v>dan</v>
      </c>
      <c r="M58" s="32" t="str">
        <f>IFERROR(__xludf.DUMMYFUNCTION("""COMPUTED_VALUE"""),"Hafsah mengatakan bahwa ia ingin belajar di pesantren.")</f>
        <v>Hafsah mengatakan bahwa ia ingin belajar di pesantren.</v>
      </c>
      <c r="N58" s="32" t="str">
        <f>IFERROR(__xludf.DUMMYFUNCTION("""COMPUTED_VALUE"""),"Kalimat 1")</f>
        <v>Kalimat 1</v>
      </c>
      <c r="O58" s="32" t="str">
        <f>IFERROR(__xludf.DUMMYFUNCTION("""COMPUTED_VALUE"""),"cahaya")</f>
        <v>cahaya</v>
      </c>
      <c r="P58" s="32" t="str">
        <f>IFERROR(__xludf.DUMMYFUNCTION("""COMPUTED_VALUE"""),"Parasitisme")</f>
        <v>Parasitisme</v>
      </c>
      <c r="Q58" s="32" t="str">
        <f>IFERROR(__xludf.DUMMYFUNCTION("""COMPUTED_VALUE"""),"Angin")</f>
        <v>Angin</v>
      </c>
      <c r="R58" s="32" t="str">
        <f>IFERROR(__xludf.DUMMYFUNCTION("""COMPUTED_VALUE"""),"belalang dan ular")</f>
        <v>belalang dan ular</v>
      </c>
      <c r="S58" s="32" t="str">
        <f>IFERROR(__xludf.DUMMYFUNCTION("""COMPUTED_VALUE"""),"Menghasilkan klorofil")</f>
        <v>Menghasilkan klorofil</v>
      </c>
      <c r="T58" s="32" t="str">
        <f>IFERROR(__xludf.DUMMYFUNCTION("""COMPUTED_VALUE"""),"Kadal")</f>
        <v>Kadal</v>
      </c>
      <c r="U58" s="32">
        <f>IFERROR(__xludf.DUMMYFUNCTION("""COMPUTED_VALUE"""),-64.0)</f>
        <v>-64</v>
      </c>
      <c r="V58" s="32" t="str">
        <f>IFERROR(__xludf.DUMMYFUNCTION("""COMPUTED_VALUE"""),"3/4")</f>
        <v>3/4</v>
      </c>
      <c r="W58" s="32" t="str">
        <f>IFERROR(__xludf.DUMMYFUNCTION("""COMPUTED_VALUE"""),"1.800 meter")</f>
        <v>1.800 meter</v>
      </c>
      <c r="X58" s="32" t="str">
        <f>IFERROR(__xludf.DUMMYFUNCTION("""COMPUTED_VALUE"""),"22 cm")</f>
        <v>22 cm</v>
      </c>
      <c r="Y58" s="32">
        <f>IFERROR(__xludf.DUMMYFUNCTION("""COMPUTED_VALUE"""),200.0)</f>
        <v>200</v>
      </c>
      <c r="Z58" s="28">
        <f t="shared" si="1"/>
        <v>1</v>
      </c>
      <c r="AA58" s="28">
        <f t="shared" si="2"/>
        <v>1</v>
      </c>
      <c r="AB58" s="28">
        <f t="shared" si="3"/>
        <v>1</v>
      </c>
      <c r="AC58" s="28">
        <f t="shared" si="4"/>
        <v>1</v>
      </c>
      <c r="AD58" s="28">
        <f t="shared" si="5"/>
        <v>1</v>
      </c>
      <c r="AE58" s="29">
        <f t="shared" si="6"/>
        <v>5</v>
      </c>
      <c r="AF58" s="28">
        <f t="shared" si="7"/>
        <v>1</v>
      </c>
      <c r="AG58" s="28">
        <f t="shared" si="8"/>
        <v>1</v>
      </c>
      <c r="AH58" s="28">
        <f t="shared" si="9"/>
        <v>1</v>
      </c>
      <c r="AI58" s="28">
        <f t="shared" si="10"/>
        <v>1</v>
      </c>
      <c r="AJ58" s="28">
        <f t="shared" si="11"/>
        <v>1</v>
      </c>
      <c r="AK58" s="29">
        <f t="shared" si="12"/>
        <v>5</v>
      </c>
      <c r="AL58" s="28">
        <f t="shared" si="13"/>
        <v>1</v>
      </c>
      <c r="AM58" s="28">
        <f t="shared" si="14"/>
        <v>1</v>
      </c>
      <c r="AN58" s="28">
        <f t="shared" si="15"/>
        <v>1</v>
      </c>
      <c r="AO58" s="28">
        <f t="shared" si="16"/>
        <v>1</v>
      </c>
      <c r="AP58" s="28">
        <f t="shared" si="17"/>
        <v>0</v>
      </c>
      <c r="AQ58" s="29">
        <f t="shared" si="18"/>
        <v>4</v>
      </c>
      <c r="AR58" s="28">
        <f t="shared" si="19"/>
        <v>1</v>
      </c>
      <c r="AS58" s="28">
        <f t="shared" si="20"/>
        <v>1</v>
      </c>
      <c r="AT58" s="28">
        <f t="shared" si="21"/>
        <v>1</v>
      </c>
      <c r="AU58" s="28">
        <f t="shared" si="22"/>
        <v>1</v>
      </c>
      <c r="AV58" s="28">
        <f t="shared" si="23"/>
        <v>0</v>
      </c>
      <c r="AW58" s="29">
        <f t="shared" si="24"/>
        <v>4</v>
      </c>
      <c r="AX58" s="22"/>
      <c r="AY58" s="26">
        <f t="shared" si="25"/>
        <v>5</v>
      </c>
      <c r="AZ58" s="26">
        <f t="shared" si="26"/>
        <v>5</v>
      </c>
      <c r="BA58" s="26">
        <f t="shared" si="27"/>
        <v>4</v>
      </c>
      <c r="BB58" s="26">
        <f t="shared" si="28"/>
        <v>4</v>
      </c>
      <c r="BC58" s="30">
        <f t="shared" si="29"/>
        <v>90</v>
      </c>
    </row>
    <row r="59">
      <c r="A59" s="31">
        <f>IFERROR(__xludf.DUMMYFUNCTION("""COMPUTED_VALUE"""),45939.510710347226)</f>
        <v>45939.51071</v>
      </c>
      <c r="B59" s="32" t="str">
        <f>IFERROR(__xludf.DUMMYFUNCTION("""COMPUTED_VALUE"""),"Malka Firdaus Syarif ")</f>
        <v>Malka Firdaus Syarif </v>
      </c>
      <c r="C59" s="27" t="str">
        <f>IFERROR(__xludf.DUMMYFUNCTION("""COMPUTED_VALUE"""),"A250021")</f>
        <v>A250021</v>
      </c>
      <c r="D59" s="27" t="str">
        <f>IFERROR(__xludf.DUMMYFUNCTION("""COMPUTED_VALUE"""),"MTs Putra")</f>
        <v>MTs Putra</v>
      </c>
      <c r="E59" s="27" t="str">
        <f>IFERROR(__xludf.DUMMYFUNCTION("""COMPUTED_VALUE"""),"Ya")</f>
        <v>Ya</v>
      </c>
      <c r="F59" s="32" t="str">
        <f>IFERROR(__xludf.DUMMYFUNCTION("""COMPUTED_VALUE"""),"B. Aku bersaksi bahwa tidak ada tuhan yang berhak di sembah kecuali Allah")</f>
        <v>B. Aku bersaksi bahwa tidak ada tuhan yang berhak di sembah kecuali Allah</v>
      </c>
      <c r="G59" s="32">
        <f>IFERROR(__xludf.DUMMYFUNCTION("""COMPUTED_VALUE"""),6.0)</f>
        <v>6</v>
      </c>
      <c r="H59" s="32" t="str">
        <f>IFERROR(__xludf.DUMMYFUNCTION("""COMPUTED_VALUE"""),"1 Syawwal")</f>
        <v>1 Syawwal</v>
      </c>
      <c r="I59" s="32" t="str">
        <f>IFERROR(__xludf.DUMMYFUNCTION("""COMPUTED_VALUE"""),"Al 'Alaq")</f>
        <v>Al 'Alaq</v>
      </c>
      <c r="J59" s="32" t="str">
        <f>IFERROR(__xludf.DUMMYFUNCTION("""COMPUTED_VALUE"""),"Abu Bakar Ash Shiddiiq")</f>
        <v>Abu Bakar Ash Shiddiiq</v>
      </c>
      <c r="K59" s="32" t="str">
        <f>IFERROR(__xludf.DUMMYFUNCTION("""COMPUTED_VALUE"""),"giat")</f>
        <v>giat</v>
      </c>
      <c r="L59" s="32" t="str">
        <f>IFERROR(__xludf.DUMMYFUNCTION("""COMPUTED_VALUE"""),"dan")</f>
        <v>dan</v>
      </c>
      <c r="M59" s="32" t="str">
        <f>IFERROR(__xludf.DUMMYFUNCTION("""COMPUTED_VALUE"""),"Hafsah mengatakan bahwa aku ingin belajar di pesantren.")</f>
        <v>Hafsah mengatakan bahwa aku ingin belajar di pesantren.</v>
      </c>
      <c r="N59" s="32" t="str">
        <f>IFERROR(__xludf.DUMMYFUNCTION("""COMPUTED_VALUE"""),"Kalimat 1")</f>
        <v>Kalimat 1</v>
      </c>
      <c r="O59" s="32" t="str">
        <f>IFERROR(__xludf.DUMMYFUNCTION("""COMPUTED_VALUE"""),"cahaya")</f>
        <v>cahaya</v>
      </c>
      <c r="P59" s="32" t="str">
        <f>IFERROR(__xludf.DUMMYFUNCTION("""COMPUTED_VALUE"""),"Parasitisme")</f>
        <v>Parasitisme</v>
      </c>
      <c r="Q59" s="32" t="str">
        <f>IFERROR(__xludf.DUMMYFUNCTION("""COMPUTED_VALUE"""),"Angin")</f>
        <v>Angin</v>
      </c>
      <c r="R59" s="32" t="str">
        <f>IFERROR(__xludf.DUMMYFUNCTION("""COMPUTED_VALUE"""),"burung ketilang dan ulat")</f>
        <v>burung ketilang dan ulat</v>
      </c>
      <c r="S59" s="32" t="str">
        <f>IFERROR(__xludf.DUMMYFUNCTION("""COMPUTED_VALUE"""),"Memiliki stomata")</f>
        <v>Memiliki stomata</v>
      </c>
      <c r="T59" s="32" t="str">
        <f>IFERROR(__xludf.DUMMYFUNCTION("""COMPUTED_VALUE"""),"Kadal")</f>
        <v>Kadal</v>
      </c>
      <c r="U59" s="32">
        <f>IFERROR(__xludf.DUMMYFUNCTION("""COMPUTED_VALUE"""),-64.0)</f>
        <v>-64</v>
      </c>
      <c r="V59" s="32">
        <f>IFERROR(__xludf.DUMMYFUNCTION("""COMPUTED_VALUE"""),1.0)</f>
        <v>1</v>
      </c>
      <c r="W59" s="32" t="str">
        <f>IFERROR(__xludf.DUMMYFUNCTION("""COMPUTED_VALUE"""),"1.800 meter")</f>
        <v>1.800 meter</v>
      </c>
      <c r="X59" s="32" t="str">
        <f>IFERROR(__xludf.DUMMYFUNCTION("""COMPUTED_VALUE"""),"22 cm")</f>
        <v>22 cm</v>
      </c>
      <c r="Y59" s="32">
        <f>IFERROR(__xludf.DUMMYFUNCTION("""COMPUTED_VALUE"""),200.0)</f>
        <v>200</v>
      </c>
      <c r="Z59" s="28">
        <f t="shared" si="1"/>
        <v>1</v>
      </c>
      <c r="AA59" s="28">
        <f t="shared" si="2"/>
        <v>1</v>
      </c>
      <c r="AB59" s="28">
        <f t="shared" si="3"/>
        <v>1</v>
      </c>
      <c r="AC59" s="28">
        <f t="shared" si="4"/>
        <v>1</v>
      </c>
      <c r="AD59" s="28">
        <f t="shared" si="5"/>
        <v>0</v>
      </c>
      <c r="AE59" s="29">
        <f t="shared" si="6"/>
        <v>4</v>
      </c>
      <c r="AF59" s="28">
        <f t="shared" si="7"/>
        <v>1</v>
      </c>
      <c r="AG59" s="28">
        <f t="shared" si="8"/>
        <v>1</v>
      </c>
      <c r="AH59" s="28">
        <f t="shared" si="9"/>
        <v>0</v>
      </c>
      <c r="AI59" s="28">
        <f t="shared" si="10"/>
        <v>1</v>
      </c>
      <c r="AJ59" s="28">
        <f t="shared" si="11"/>
        <v>1</v>
      </c>
      <c r="AK59" s="29">
        <f t="shared" si="12"/>
        <v>4</v>
      </c>
      <c r="AL59" s="28">
        <f t="shared" si="13"/>
        <v>1</v>
      </c>
      <c r="AM59" s="28">
        <f t="shared" si="14"/>
        <v>1</v>
      </c>
      <c r="AN59" s="28">
        <f t="shared" si="15"/>
        <v>0</v>
      </c>
      <c r="AO59" s="28">
        <f t="shared" si="16"/>
        <v>0</v>
      </c>
      <c r="AP59" s="28">
        <f t="shared" si="17"/>
        <v>0</v>
      </c>
      <c r="AQ59" s="29">
        <f t="shared" si="18"/>
        <v>2</v>
      </c>
      <c r="AR59" s="28">
        <f t="shared" si="19"/>
        <v>1</v>
      </c>
      <c r="AS59" s="28">
        <f t="shared" si="20"/>
        <v>0</v>
      </c>
      <c r="AT59" s="28">
        <f t="shared" si="21"/>
        <v>1</v>
      </c>
      <c r="AU59" s="28">
        <f t="shared" si="22"/>
        <v>1</v>
      </c>
      <c r="AV59" s="28">
        <f t="shared" si="23"/>
        <v>0</v>
      </c>
      <c r="AW59" s="29">
        <f t="shared" si="24"/>
        <v>3</v>
      </c>
      <c r="AX59" s="22"/>
      <c r="AY59" s="26">
        <f t="shared" si="25"/>
        <v>4</v>
      </c>
      <c r="AZ59" s="26">
        <f t="shared" si="26"/>
        <v>4</v>
      </c>
      <c r="BA59" s="26">
        <f t="shared" si="27"/>
        <v>2</v>
      </c>
      <c r="BB59" s="26">
        <f t="shared" si="28"/>
        <v>3</v>
      </c>
      <c r="BC59" s="30">
        <f t="shared" si="29"/>
        <v>65</v>
      </c>
    </row>
    <row r="60">
      <c r="A60" s="31">
        <f>IFERROR(__xludf.DUMMYFUNCTION("""COMPUTED_VALUE"""),45939.64196545139)</f>
        <v>45939.64197</v>
      </c>
      <c r="B60" s="32" t="str">
        <f>IFERROR(__xludf.DUMMYFUNCTION("""COMPUTED_VALUE"""),"Muhammad Hamudi Alfariji")</f>
        <v>Muhammad Hamudi Alfariji</v>
      </c>
      <c r="C60" s="27" t="str">
        <f>IFERROR(__xludf.DUMMYFUNCTION("""COMPUTED_VALUE"""),"A250062")</f>
        <v>A250062</v>
      </c>
      <c r="D60" s="27" t="str">
        <f>IFERROR(__xludf.DUMMYFUNCTION("""COMPUTED_VALUE"""),"MTs Putra")</f>
        <v>MTs Putra</v>
      </c>
      <c r="E60" s="27" t="str">
        <f>IFERROR(__xludf.DUMMYFUNCTION("""COMPUTED_VALUE"""),"Ya")</f>
        <v>Ya</v>
      </c>
      <c r="F60" s="32" t="str">
        <f>IFERROR(__xludf.DUMMYFUNCTION("""COMPUTED_VALUE"""),"B. Aku bersaksi bahwa tidak ada tuhan yang berhak di sembah kecuali Allah")</f>
        <v>B. Aku bersaksi bahwa tidak ada tuhan yang berhak di sembah kecuali Allah</v>
      </c>
      <c r="G60" s="32">
        <f>IFERROR(__xludf.DUMMYFUNCTION("""COMPUTED_VALUE"""),6.0)</f>
        <v>6</v>
      </c>
      <c r="H60" s="32" t="str">
        <f>IFERROR(__xludf.DUMMYFUNCTION("""COMPUTED_VALUE"""),"1 Syawwal")</f>
        <v>1 Syawwal</v>
      </c>
      <c r="I60" s="32" t="str">
        <f>IFERROR(__xludf.DUMMYFUNCTION("""COMPUTED_VALUE"""),"Al 'Alaq")</f>
        <v>Al 'Alaq</v>
      </c>
      <c r="J60" s="32" t="str">
        <f>IFERROR(__xludf.DUMMYFUNCTION("""COMPUTED_VALUE"""),"Ali Bin Abi Thalib")</f>
        <v>Ali Bin Abi Thalib</v>
      </c>
      <c r="K60" s="32" t="str">
        <f>IFERROR(__xludf.DUMMYFUNCTION("""COMPUTED_VALUE"""),"giat")</f>
        <v>giat</v>
      </c>
      <c r="L60" s="32" t="str">
        <f>IFERROR(__xludf.DUMMYFUNCTION("""COMPUTED_VALUE"""),"dan")</f>
        <v>dan</v>
      </c>
      <c r="M60" s="32" t="str">
        <f>IFERROR(__xludf.DUMMYFUNCTION("""COMPUTED_VALUE"""),"Aku berkata Hafsah ingin belajar di pesantren.")</f>
        <v>Aku berkata Hafsah ingin belajar di pesantren.</v>
      </c>
      <c r="N60" s="32" t="str">
        <f>IFERROR(__xludf.DUMMYFUNCTION("""COMPUTED_VALUE"""),"Kalimat 1")</f>
        <v>Kalimat 1</v>
      </c>
      <c r="O60" s="32" t="str">
        <f>IFERROR(__xludf.DUMMYFUNCTION("""COMPUTED_VALUE"""),"cahaya")</f>
        <v>cahaya</v>
      </c>
      <c r="P60" s="32" t="str">
        <f>IFERROR(__xludf.DUMMYFUNCTION("""COMPUTED_VALUE"""),"Mutualisme")</f>
        <v>Mutualisme</v>
      </c>
      <c r="Q60" s="32" t="str">
        <f>IFERROR(__xludf.DUMMYFUNCTION("""COMPUTED_VALUE"""),"Angin")</f>
        <v>Angin</v>
      </c>
      <c r="R60" s="32" t="str">
        <f>IFERROR(__xludf.DUMMYFUNCTION("""COMPUTED_VALUE"""),"belalang dan ular")</f>
        <v>belalang dan ular</v>
      </c>
      <c r="S60" s="32" t="str">
        <f>IFERROR(__xludf.DUMMYFUNCTION("""COMPUTED_VALUE"""),"Adanya pertulangan daun")</f>
        <v>Adanya pertulangan daun</v>
      </c>
      <c r="T60" s="32" t="str">
        <f>IFERROR(__xludf.DUMMYFUNCTION("""COMPUTED_VALUE"""),"Buaya")</f>
        <v>Buaya</v>
      </c>
      <c r="U60" s="32">
        <f>IFERROR(__xludf.DUMMYFUNCTION("""COMPUTED_VALUE"""),56.0)</f>
        <v>56</v>
      </c>
      <c r="V60" s="32" t="str">
        <f>IFERROR(__xludf.DUMMYFUNCTION("""COMPUTED_VALUE"""),"4/3")</f>
        <v>4/3</v>
      </c>
      <c r="W60" s="32" t="str">
        <f>IFERROR(__xludf.DUMMYFUNCTION("""COMPUTED_VALUE"""),"1.575 meter")</f>
        <v>1.575 meter</v>
      </c>
      <c r="X60" s="32" t="str">
        <f>IFERROR(__xludf.DUMMYFUNCTION("""COMPUTED_VALUE"""),"28 cm")</f>
        <v>28 cm</v>
      </c>
      <c r="Y60" s="32">
        <f>IFERROR(__xludf.DUMMYFUNCTION("""COMPUTED_VALUE"""),600.0)</f>
        <v>600</v>
      </c>
      <c r="Z60" s="28">
        <f t="shared" si="1"/>
        <v>1</v>
      </c>
      <c r="AA60" s="28">
        <f t="shared" si="2"/>
        <v>1</v>
      </c>
      <c r="AB60" s="28">
        <f t="shared" si="3"/>
        <v>1</v>
      </c>
      <c r="AC60" s="28">
        <f t="shared" si="4"/>
        <v>1</v>
      </c>
      <c r="AD60" s="28">
        <f t="shared" si="5"/>
        <v>1</v>
      </c>
      <c r="AE60" s="29">
        <f t="shared" si="6"/>
        <v>5</v>
      </c>
      <c r="AF60" s="28">
        <f t="shared" si="7"/>
        <v>1</v>
      </c>
      <c r="AG60" s="28">
        <f t="shared" si="8"/>
        <v>1</v>
      </c>
      <c r="AH60" s="28">
        <f t="shared" si="9"/>
        <v>0</v>
      </c>
      <c r="AI60" s="28">
        <f t="shared" si="10"/>
        <v>1</v>
      </c>
      <c r="AJ60" s="28">
        <f t="shared" si="11"/>
        <v>1</v>
      </c>
      <c r="AK60" s="29">
        <f t="shared" si="12"/>
        <v>4</v>
      </c>
      <c r="AL60" s="28">
        <f t="shared" si="13"/>
        <v>0</v>
      </c>
      <c r="AM60" s="28">
        <f t="shared" si="14"/>
        <v>1</v>
      </c>
      <c r="AN60" s="28">
        <f t="shared" si="15"/>
        <v>1</v>
      </c>
      <c r="AO60" s="28">
        <f t="shared" si="16"/>
        <v>0</v>
      </c>
      <c r="AP60" s="28">
        <f t="shared" si="17"/>
        <v>0</v>
      </c>
      <c r="AQ60" s="29">
        <f t="shared" si="18"/>
        <v>2</v>
      </c>
      <c r="AR60" s="28">
        <f t="shared" si="19"/>
        <v>0</v>
      </c>
      <c r="AS60" s="28">
        <f t="shared" si="20"/>
        <v>0</v>
      </c>
      <c r="AT60" s="28">
        <f t="shared" si="21"/>
        <v>0</v>
      </c>
      <c r="AU60" s="28">
        <f t="shared" si="22"/>
        <v>0</v>
      </c>
      <c r="AV60" s="28">
        <f t="shared" si="23"/>
        <v>0</v>
      </c>
      <c r="AW60" s="29">
        <f t="shared" si="24"/>
        <v>0</v>
      </c>
      <c r="AX60" s="22"/>
      <c r="AY60" s="26">
        <f t="shared" si="25"/>
        <v>5</v>
      </c>
      <c r="AZ60" s="26">
        <f t="shared" si="26"/>
        <v>4</v>
      </c>
      <c r="BA60" s="26">
        <f t="shared" si="27"/>
        <v>2</v>
      </c>
      <c r="BB60" s="26">
        <f t="shared" si="28"/>
        <v>0</v>
      </c>
      <c r="BC60" s="30">
        <f t="shared" si="29"/>
        <v>55</v>
      </c>
    </row>
    <row r="61">
      <c r="A61" s="31">
        <f>IFERROR(__xludf.DUMMYFUNCTION("""COMPUTED_VALUE"""),45941.39974842593)</f>
        <v>45941.39975</v>
      </c>
      <c r="B61" s="32" t="str">
        <f>IFERROR(__xludf.DUMMYFUNCTION("""COMPUTED_VALUE"""),"Umar fawwaz")</f>
        <v>Umar fawwaz</v>
      </c>
      <c r="C61" s="27" t="str">
        <f>IFERROR(__xludf.DUMMYFUNCTION("""COMPUTED_VALUE"""),"A250002")</f>
        <v>A250002</v>
      </c>
      <c r="D61" s="27" t="str">
        <f>IFERROR(__xludf.DUMMYFUNCTION("""COMPUTED_VALUE"""),"MTs Putra")</f>
        <v>MTs Putra</v>
      </c>
      <c r="E61" s="27" t="str">
        <f>IFERROR(__xludf.DUMMYFUNCTION("""COMPUTED_VALUE"""),"Ya")</f>
        <v>Ya</v>
      </c>
      <c r="F61" s="32" t="str">
        <f>IFERROR(__xludf.DUMMYFUNCTION("""COMPUTED_VALUE"""),"B. Aku bersaksi bahwa tidak ada tuhan yang berhak di sembah kecuali Allah")</f>
        <v>B. Aku bersaksi bahwa tidak ada tuhan yang berhak di sembah kecuali Allah</v>
      </c>
      <c r="G61" s="32">
        <f>IFERROR(__xludf.DUMMYFUNCTION("""COMPUTED_VALUE"""),6.0)</f>
        <v>6</v>
      </c>
      <c r="H61" s="32" t="str">
        <f>IFERROR(__xludf.DUMMYFUNCTION("""COMPUTED_VALUE"""),"1 Syawwal")</f>
        <v>1 Syawwal</v>
      </c>
      <c r="I61" s="32" t="str">
        <f>IFERROR(__xludf.DUMMYFUNCTION("""COMPUTED_VALUE"""),"Al 'Alaq")</f>
        <v>Al 'Alaq</v>
      </c>
      <c r="J61" s="32" t="str">
        <f>IFERROR(__xludf.DUMMYFUNCTION("""COMPUTED_VALUE"""),"Ali Bin Abi Thalib")</f>
        <v>Ali Bin Abi Thalib</v>
      </c>
      <c r="K61" s="32" t="str">
        <f>IFERROR(__xludf.DUMMYFUNCTION("""COMPUTED_VALUE"""),"giat")</f>
        <v>giat</v>
      </c>
      <c r="L61" s="32" t="str">
        <f>IFERROR(__xludf.DUMMYFUNCTION("""COMPUTED_VALUE"""),"dan")</f>
        <v>dan</v>
      </c>
      <c r="M61" s="32" t="str">
        <f>IFERROR(__xludf.DUMMYFUNCTION("""COMPUTED_VALUE"""),"Aku berkata Hafsah ingin belajar di pesantren.")</f>
        <v>Aku berkata Hafsah ingin belajar di pesantren.</v>
      </c>
      <c r="N61" s="32" t="str">
        <f>IFERROR(__xludf.DUMMYFUNCTION("""COMPUTED_VALUE"""),"Kalimat 1")</f>
        <v>Kalimat 1</v>
      </c>
      <c r="O61" s="32" t="str">
        <f>IFERROR(__xludf.DUMMYFUNCTION("""COMPUTED_VALUE"""),"cahaya")</f>
        <v>cahaya</v>
      </c>
      <c r="P61" s="32" t="str">
        <f>IFERROR(__xludf.DUMMYFUNCTION("""COMPUTED_VALUE"""),"Parasitisme")</f>
        <v>Parasitisme</v>
      </c>
      <c r="Q61" s="32" t="str">
        <f>IFERROR(__xludf.DUMMYFUNCTION("""COMPUTED_VALUE"""),"Angin")</f>
        <v>Angin</v>
      </c>
      <c r="R61" s="32" t="str">
        <f>IFERROR(__xludf.DUMMYFUNCTION("""COMPUTED_VALUE"""),"belalang dan ular")</f>
        <v>belalang dan ular</v>
      </c>
      <c r="S61" s="32" t="str">
        <f>IFERROR(__xludf.DUMMYFUNCTION("""COMPUTED_VALUE"""),"Menghasilkan klorofil")</f>
        <v>Menghasilkan klorofil</v>
      </c>
      <c r="T61" s="32" t="str">
        <f>IFERROR(__xludf.DUMMYFUNCTION("""COMPUTED_VALUE"""),"Kelinci")</f>
        <v>Kelinci</v>
      </c>
      <c r="U61" s="32">
        <f>IFERROR(__xludf.DUMMYFUNCTION("""COMPUTED_VALUE"""),-64.0)</f>
        <v>-64</v>
      </c>
      <c r="V61" s="32" t="str">
        <f>IFERROR(__xludf.DUMMYFUNCTION("""COMPUTED_VALUE"""),"3/4")</f>
        <v>3/4</v>
      </c>
      <c r="W61" s="32" t="str">
        <f>IFERROR(__xludf.DUMMYFUNCTION("""COMPUTED_VALUE"""),"1.800 meter")</f>
        <v>1.800 meter</v>
      </c>
      <c r="X61" s="32" t="str">
        <f>IFERROR(__xludf.DUMMYFUNCTION("""COMPUTED_VALUE"""),"22 cm")</f>
        <v>22 cm</v>
      </c>
      <c r="Y61" s="32">
        <f>IFERROR(__xludf.DUMMYFUNCTION("""COMPUTED_VALUE"""),200.0)</f>
        <v>200</v>
      </c>
      <c r="Z61" s="28">
        <f t="shared" si="1"/>
        <v>1</v>
      </c>
      <c r="AA61" s="28">
        <f t="shared" si="2"/>
        <v>1</v>
      </c>
      <c r="AB61" s="28">
        <f t="shared" si="3"/>
        <v>1</v>
      </c>
      <c r="AC61" s="28">
        <f t="shared" si="4"/>
        <v>1</v>
      </c>
      <c r="AD61" s="28">
        <f t="shared" si="5"/>
        <v>1</v>
      </c>
      <c r="AE61" s="29">
        <f t="shared" si="6"/>
        <v>5</v>
      </c>
      <c r="AF61" s="28">
        <f t="shared" si="7"/>
        <v>1</v>
      </c>
      <c r="AG61" s="28">
        <f t="shared" si="8"/>
        <v>1</v>
      </c>
      <c r="AH61" s="28">
        <f t="shared" si="9"/>
        <v>0</v>
      </c>
      <c r="AI61" s="28">
        <f t="shared" si="10"/>
        <v>1</v>
      </c>
      <c r="AJ61" s="28">
        <f t="shared" si="11"/>
        <v>1</v>
      </c>
      <c r="AK61" s="29">
        <f t="shared" si="12"/>
        <v>4</v>
      </c>
      <c r="AL61" s="28">
        <f t="shared" si="13"/>
        <v>1</v>
      </c>
      <c r="AM61" s="28">
        <f t="shared" si="14"/>
        <v>1</v>
      </c>
      <c r="AN61" s="28">
        <f t="shared" si="15"/>
        <v>1</v>
      </c>
      <c r="AO61" s="28">
        <f t="shared" si="16"/>
        <v>1</v>
      </c>
      <c r="AP61" s="28">
        <f t="shared" si="17"/>
        <v>1</v>
      </c>
      <c r="AQ61" s="29">
        <f t="shared" si="18"/>
        <v>5</v>
      </c>
      <c r="AR61" s="28">
        <f t="shared" si="19"/>
        <v>1</v>
      </c>
      <c r="AS61" s="28">
        <f t="shared" si="20"/>
        <v>1</v>
      </c>
      <c r="AT61" s="28">
        <f t="shared" si="21"/>
        <v>1</v>
      </c>
      <c r="AU61" s="28">
        <f t="shared" si="22"/>
        <v>1</v>
      </c>
      <c r="AV61" s="28">
        <f t="shared" si="23"/>
        <v>0</v>
      </c>
      <c r="AW61" s="29">
        <f t="shared" si="24"/>
        <v>4</v>
      </c>
      <c r="AX61" s="22"/>
      <c r="AY61" s="26">
        <f t="shared" si="25"/>
        <v>5</v>
      </c>
      <c r="AZ61" s="26">
        <f t="shared" si="26"/>
        <v>4</v>
      </c>
      <c r="BA61" s="26">
        <f t="shared" si="27"/>
        <v>5</v>
      </c>
      <c r="BB61" s="26">
        <f t="shared" si="28"/>
        <v>4</v>
      </c>
      <c r="BC61" s="30">
        <f t="shared" si="29"/>
        <v>90</v>
      </c>
    </row>
    <row r="62">
      <c r="A62" s="31">
        <f>IFERROR(__xludf.DUMMYFUNCTION("""COMPUTED_VALUE"""),45941.413325312504)</f>
        <v>45941.41333</v>
      </c>
      <c r="B62" s="32" t="str">
        <f>IFERROR(__xludf.DUMMYFUNCTION("""COMPUTED_VALUE"""),"Umar")</f>
        <v>Umar</v>
      </c>
      <c r="C62" s="27" t="str">
        <f>IFERROR(__xludf.DUMMYFUNCTION("""COMPUTED_VALUE"""),"A250027")</f>
        <v>A250027</v>
      </c>
      <c r="D62" s="27" t="str">
        <f>IFERROR(__xludf.DUMMYFUNCTION("""COMPUTED_VALUE"""),"MTs Putra")</f>
        <v>MTs Putra</v>
      </c>
      <c r="E62" s="27" t="str">
        <f>IFERROR(__xludf.DUMMYFUNCTION("""COMPUTED_VALUE"""),"Ya")</f>
        <v>Ya</v>
      </c>
      <c r="F62" s="32" t="str">
        <f>IFERROR(__xludf.DUMMYFUNCTION("""COMPUTED_VALUE"""),"B. Aku bersaksi bahwa tidak ada tuhan yang berhak di sembah kecuali Allah")</f>
        <v>B. Aku bersaksi bahwa tidak ada tuhan yang berhak di sembah kecuali Allah</v>
      </c>
      <c r="G62" s="32">
        <f>IFERROR(__xludf.DUMMYFUNCTION("""COMPUTED_VALUE"""),6.0)</f>
        <v>6</v>
      </c>
      <c r="H62" s="32" t="str">
        <f>IFERROR(__xludf.DUMMYFUNCTION("""COMPUTED_VALUE"""),"1 Syawwal")</f>
        <v>1 Syawwal</v>
      </c>
      <c r="I62" s="32" t="str">
        <f>IFERROR(__xludf.DUMMYFUNCTION("""COMPUTED_VALUE"""),"Al 'Alaq")</f>
        <v>Al 'Alaq</v>
      </c>
      <c r="J62" s="32" t="str">
        <f>IFERROR(__xludf.DUMMYFUNCTION("""COMPUTED_VALUE"""),"Ali Bin Abi Thalib")</f>
        <v>Ali Bin Abi Thalib</v>
      </c>
      <c r="K62" s="32" t="str">
        <f>IFERROR(__xludf.DUMMYFUNCTION("""COMPUTED_VALUE"""),"giat")</f>
        <v>giat</v>
      </c>
      <c r="L62" s="32" t="str">
        <f>IFERROR(__xludf.DUMMYFUNCTION("""COMPUTED_VALUE"""),"dan")</f>
        <v>dan</v>
      </c>
      <c r="M62" s="32" t="str">
        <f>IFERROR(__xludf.DUMMYFUNCTION("""COMPUTED_VALUE"""),"Hafsah mengatakan bahwa aku ingin belajar di pesantren.")</f>
        <v>Hafsah mengatakan bahwa aku ingin belajar di pesantren.</v>
      </c>
      <c r="N62" s="32" t="str">
        <f>IFERROR(__xludf.DUMMYFUNCTION("""COMPUTED_VALUE"""),"Kalimat 1")</f>
        <v>Kalimat 1</v>
      </c>
      <c r="O62" s="32" t="str">
        <f>IFERROR(__xludf.DUMMYFUNCTION("""COMPUTED_VALUE"""),"cahaya")</f>
        <v>cahaya</v>
      </c>
      <c r="P62" s="32" t="str">
        <f>IFERROR(__xludf.DUMMYFUNCTION("""COMPUTED_VALUE"""),"Parasitisme")</f>
        <v>Parasitisme</v>
      </c>
      <c r="Q62" s="32" t="str">
        <f>IFERROR(__xludf.DUMMYFUNCTION("""COMPUTED_VALUE"""),"Angin")</f>
        <v>Angin</v>
      </c>
      <c r="R62" s="32" t="str">
        <f>IFERROR(__xludf.DUMMYFUNCTION("""COMPUTED_VALUE"""),"belalang dan ular")</f>
        <v>belalang dan ular</v>
      </c>
      <c r="S62" s="32" t="str">
        <f>IFERROR(__xludf.DUMMYFUNCTION("""COMPUTED_VALUE"""),"Daun yang pipih dan lebar")</f>
        <v>Daun yang pipih dan lebar</v>
      </c>
      <c r="T62" s="32" t="str">
        <f>IFERROR(__xludf.DUMMYFUNCTION("""COMPUTED_VALUE"""),"Kelinci")</f>
        <v>Kelinci</v>
      </c>
      <c r="U62" s="32">
        <f>IFERROR(__xludf.DUMMYFUNCTION("""COMPUTED_VALUE"""),-64.0)</f>
        <v>-64</v>
      </c>
      <c r="V62" s="32" t="str">
        <f>IFERROR(__xludf.DUMMYFUNCTION("""COMPUTED_VALUE"""),"3/4")</f>
        <v>3/4</v>
      </c>
      <c r="W62" s="32" t="str">
        <f>IFERROR(__xludf.DUMMYFUNCTION("""COMPUTED_VALUE"""),"1.800 meter")</f>
        <v>1.800 meter</v>
      </c>
      <c r="X62" s="32" t="str">
        <f>IFERROR(__xludf.DUMMYFUNCTION("""COMPUTED_VALUE"""),"22 cm")</f>
        <v>22 cm</v>
      </c>
      <c r="Y62" s="32">
        <f>IFERROR(__xludf.DUMMYFUNCTION("""COMPUTED_VALUE"""),200.0)</f>
        <v>200</v>
      </c>
      <c r="Z62" s="28">
        <f t="shared" si="1"/>
        <v>1</v>
      </c>
      <c r="AA62" s="28">
        <f t="shared" si="2"/>
        <v>1</v>
      </c>
      <c r="AB62" s="28">
        <f t="shared" si="3"/>
        <v>1</v>
      </c>
      <c r="AC62" s="28">
        <f t="shared" si="4"/>
        <v>1</v>
      </c>
      <c r="AD62" s="28">
        <f t="shared" si="5"/>
        <v>1</v>
      </c>
      <c r="AE62" s="29">
        <f t="shared" si="6"/>
        <v>5</v>
      </c>
      <c r="AF62" s="28">
        <f t="shared" si="7"/>
        <v>1</v>
      </c>
      <c r="AG62" s="28">
        <f t="shared" si="8"/>
        <v>1</v>
      </c>
      <c r="AH62" s="28">
        <f t="shared" si="9"/>
        <v>0</v>
      </c>
      <c r="AI62" s="28">
        <f t="shared" si="10"/>
        <v>1</v>
      </c>
      <c r="AJ62" s="28">
        <f t="shared" si="11"/>
        <v>1</v>
      </c>
      <c r="AK62" s="29">
        <f t="shared" si="12"/>
        <v>4</v>
      </c>
      <c r="AL62" s="28">
        <f t="shared" si="13"/>
        <v>1</v>
      </c>
      <c r="AM62" s="28">
        <f t="shared" si="14"/>
        <v>1</v>
      </c>
      <c r="AN62" s="28">
        <f t="shared" si="15"/>
        <v>1</v>
      </c>
      <c r="AO62" s="28">
        <f t="shared" si="16"/>
        <v>0</v>
      </c>
      <c r="AP62" s="28">
        <f t="shared" si="17"/>
        <v>1</v>
      </c>
      <c r="AQ62" s="29">
        <f t="shared" si="18"/>
        <v>4</v>
      </c>
      <c r="AR62" s="28">
        <f t="shared" si="19"/>
        <v>1</v>
      </c>
      <c r="AS62" s="28">
        <f t="shared" si="20"/>
        <v>1</v>
      </c>
      <c r="AT62" s="28">
        <f t="shared" si="21"/>
        <v>1</v>
      </c>
      <c r="AU62" s="28">
        <f t="shared" si="22"/>
        <v>1</v>
      </c>
      <c r="AV62" s="28">
        <f t="shared" si="23"/>
        <v>0</v>
      </c>
      <c r="AW62" s="29">
        <f t="shared" si="24"/>
        <v>4</v>
      </c>
      <c r="AX62" s="22"/>
      <c r="AY62" s="26">
        <f t="shared" si="25"/>
        <v>5</v>
      </c>
      <c r="AZ62" s="26">
        <f t="shared" si="26"/>
        <v>4</v>
      </c>
      <c r="BA62" s="26">
        <f t="shared" si="27"/>
        <v>4</v>
      </c>
      <c r="BB62" s="26">
        <f t="shared" si="28"/>
        <v>4</v>
      </c>
      <c r="BC62" s="30">
        <f t="shared" si="29"/>
        <v>85</v>
      </c>
    </row>
    <row r="63">
      <c r="A63" s="31">
        <f>IFERROR(__xludf.DUMMYFUNCTION("""COMPUTED_VALUE"""),45941.447821423615)</f>
        <v>45941.44782</v>
      </c>
      <c r="B63" s="32" t="str">
        <f>IFERROR(__xludf.DUMMYFUNCTION("""COMPUTED_VALUE"""),"Qisya Rahma Kamila ")</f>
        <v>Qisya Rahma Kamila </v>
      </c>
      <c r="C63" s="27" t="str">
        <f>IFERROR(__xludf.DUMMYFUNCTION("""COMPUTED_VALUE"""),"D250001")</f>
        <v>D250001</v>
      </c>
      <c r="D63" s="27" t="str">
        <f>IFERROR(__xludf.DUMMYFUNCTION("""COMPUTED_VALUE"""),"MTs Putri")</f>
        <v>MTs Putri</v>
      </c>
      <c r="E63" s="27" t="str">
        <f>IFERROR(__xludf.DUMMYFUNCTION("""COMPUTED_VALUE"""),"Ya")</f>
        <v>Ya</v>
      </c>
      <c r="F63" s="32" t="str">
        <f>IFERROR(__xludf.DUMMYFUNCTION("""COMPUTED_VALUE"""),"B. Aku bersaksi bahwa tidak ada tuhan yang berhak di sembah kecuali Allah")</f>
        <v>B. Aku bersaksi bahwa tidak ada tuhan yang berhak di sembah kecuali Allah</v>
      </c>
      <c r="G63" s="32">
        <f>IFERROR(__xludf.DUMMYFUNCTION("""COMPUTED_VALUE"""),6.0)</f>
        <v>6</v>
      </c>
      <c r="H63" s="32" t="str">
        <f>IFERROR(__xludf.DUMMYFUNCTION("""COMPUTED_VALUE"""),"1 Syawwal")</f>
        <v>1 Syawwal</v>
      </c>
      <c r="I63" s="32" t="str">
        <f>IFERROR(__xludf.DUMMYFUNCTION("""COMPUTED_VALUE"""),"Al 'Alaq")</f>
        <v>Al 'Alaq</v>
      </c>
      <c r="J63" s="32" t="str">
        <f>IFERROR(__xludf.DUMMYFUNCTION("""COMPUTED_VALUE"""),"Utsman Bin Affan")</f>
        <v>Utsman Bin Affan</v>
      </c>
      <c r="K63" s="32" t="str">
        <f>IFERROR(__xludf.DUMMYFUNCTION("""COMPUTED_VALUE"""),"giat")</f>
        <v>giat</v>
      </c>
      <c r="L63" s="32" t="str">
        <f>IFERROR(__xludf.DUMMYFUNCTION("""COMPUTED_VALUE"""),"dan")</f>
        <v>dan</v>
      </c>
      <c r="M63" s="32" t="str">
        <f>IFERROR(__xludf.DUMMYFUNCTION("""COMPUTED_VALUE"""),"Hafsah mengatakan bahwa ia ingin belajar di pesantren.")</f>
        <v>Hafsah mengatakan bahwa ia ingin belajar di pesantren.</v>
      </c>
      <c r="N63" s="32" t="str">
        <f>IFERROR(__xludf.DUMMYFUNCTION("""COMPUTED_VALUE"""),"Kalimat 1")</f>
        <v>Kalimat 1</v>
      </c>
      <c r="O63" s="32" t="str">
        <f>IFERROR(__xludf.DUMMYFUNCTION("""COMPUTED_VALUE"""),"kehidupan")</f>
        <v>kehidupan</v>
      </c>
      <c r="P63" s="32" t="str">
        <f>IFERROR(__xludf.DUMMYFUNCTION("""COMPUTED_VALUE"""),"Parasitisme")</f>
        <v>Parasitisme</v>
      </c>
      <c r="Q63" s="32" t="str">
        <f>IFERROR(__xludf.DUMMYFUNCTION("""COMPUTED_VALUE"""),"Angin")</f>
        <v>Angin</v>
      </c>
      <c r="R63" s="32" t="str">
        <f>IFERROR(__xludf.DUMMYFUNCTION("""COMPUTED_VALUE"""),"belalang dan ular")</f>
        <v>belalang dan ular</v>
      </c>
      <c r="S63" s="32" t="str">
        <f>IFERROR(__xludf.DUMMYFUNCTION("""COMPUTED_VALUE"""),"Daun yang pipih dan lebar")</f>
        <v>Daun yang pipih dan lebar</v>
      </c>
      <c r="T63" s="32" t="str">
        <f>IFERROR(__xludf.DUMMYFUNCTION("""COMPUTED_VALUE"""),"Kelinci")</f>
        <v>Kelinci</v>
      </c>
      <c r="U63" s="32">
        <f>IFERROR(__xludf.DUMMYFUNCTION("""COMPUTED_VALUE"""),-64.0)</f>
        <v>-64</v>
      </c>
      <c r="V63" s="32" t="str">
        <f>IFERROR(__xludf.DUMMYFUNCTION("""COMPUTED_VALUE"""),"3/4")</f>
        <v>3/4</v>
      </c>
      <c r="W63" s="32" t="str">
        <f>IFERROR(__xludf.DUMMYFUNCTION("""COMPUTED_VALUE"""),"1.800 meter")</f>
        <v>1.800 meter</v>
      </c>
      <c r="X63" s="32" t="str">
        <f>IFERROR(__xludf.DUMMYFUNCTION("""COMPUTED_VALUE"""),"22 cm")</f>
        <v>22 cm</v>
      </c>
      <c r="Y63" s="32">
        <f>IFERROR(__xludf.DUMMYFUNCTION("""COMPUTED_VALUE"""),200.0)</f>
        <v>200</v>
      </c>
      <c r="Z63" s="28">
        <f t="shared" si="1"/>
        <v>1</v>
      </c>
      <c r="AA63" s="28">
        <f t="shared" si="2"/>
        <v>1</v>
      </c>
      <c r="AB63" s="28">
        <f t="shared" si="3"/>
        <v>1</v>
      </c>
      <c r="AC63" s="28">
        <f t="shared" si="4"/>
        <v>1</v>
      </c>
      <c r="AD63" s="28">
        <f t="shared" si="5"/>
        <v>0</v>
      </c>
      <c r="AE63" s="29">
        <f t="shared" si="6"/>
        <v>4</v>
      </c>
      <c r="AF63" s="28">
        <f t="shared" si="7"/>
        <v>1</v>
      </c>
      <c r="AG63" s="28">
        <f t="shared" si="8"/>
        <v>1</v>
      </c>
      <c r="AH63" s="28">
        <f t="shared" si="9"/>
        <v>1</v>
      </c>
      <c r="AI63" s="28">
        <f t="shared" si="10"/>
        <v>1</v>
      </c>
      <c r="AJ63" s="28">
        <f t="shared" si="11"/>
        <v>0</v>
      </c>
      <c r="AK63" s="29">
        <f t="shared" si="12"/>
        <v>4</v>
      </c>
      <c r="AL63" s="28">
        <f t="shared" si="13"/>
        <v>1</v>
      </c>
      <c r="AM63" s="28">
        <f t="shared" si="14"/>
        <v>1</v>
      </c>
      <c r="AN63" s="28">
        <f t="shared" si="15"/>
        <v>1</v>
      </c>
      <c r="AO63" s="28">
        <f t="shared" si="16"/>
        <v>0</v>
      </c>
      <c r="AP63" s="28">
        <f t="shared" si="17"/>
        <v>1</v>
      </c>
      <c r="AQ63" s="29">
        <f t="shared" si="18"/>
        <v>4</v>
      </c>
      <c r="AR63" s="28">
        <f t="shared" si="19"/>
        <v>1</v>
      </c>
      <c r="AS63" s="28">
        <f t="shared" si="20"/>
        <v>1</v>
      </c>
      <c r="AT63" s="28">
        <f t="shared" si="21"/>
        <v>1</v>
      </c>
      <c r="AU63" s="28">
        <f t="shared" si="22"/>
        <v>1</v>
      </c>
      <c r="AV63" s="28">
        <f t="shared" si="23"/>
        <v>0</v>
      </c>
      <c r="AW63" s="29">
        <f t="shared" si="24"/>
        <v>4</v>
      </c>
      <c r="AX63" s="22"/>
      <c r="AY63" s="26">
        <f t="shared" si="25"/>
        <v>4</v>
      </c>
      <c r="AZ63" s="26">
        <f t="shared" si="26"/>
        <v>4</v>
      </c>
      <c r="BA63" s="26">
        <f t="shared" si="27"/>
        <v>4</v>
      </c>
      <c r="BB63" s="26">
        <f t="shared" si="28"/>
        <v>4</v>
      </c>
      <c r="BC63" s="30">
        <f t="shared" si="29"/>
        <v>80</v>
      </c>
    </row>
    <row r="64">
      <c r="A64" s="31">
        <f>IFERROR(__xludf.DUMMYFUNCTION("""COMPUTED_VALUE"""),45941.45808657407)</f>
        <v>45941.45809</v>
      </c>
      <c r="B64" s="32" t="str">
        <f>IFERROR(__xludf.DUMMYFUNCTION("""COMPUTED_VALUE"""),"FATAN IHYA AS-SUNNAH")</f>
        <v>FATAN IHYA AS-SUNNAH</v>
      </c>
      <c r="C64" s="27" t="str">
        <f>IFERROR(__xludf.DUMMYFUNCTION("""COMPUTED_VALUE"""),"A250031")</f>
        <v>A250031</v>
      </c>
      <c r="D64" s="27" t="str">
        <f>IFERROR(__xludf.DUMMYFUNCTION("""COMPUTED_VALUE"""),"MTs Putra")</f>
        <v>MTs Putra</v>
      </c>
      <c r="E64" s="27" t="str">
        <f>IFERROR(__xludf.DUMMYFUNCTION("""COMPUTED_VALUE"""),"Ya")</f>
        <v>Ya</v>
      </c>
      <c r="F64" s="32" t="str">
        <f>IFERROR(__xludf.DUMMYFUNCTION("""COMPUTED_VALUE"""),"A. Aku bersaksi bahwa Muhammad adalah utusan Allah")</f>
        <v>A. Aku bersaksi bahwa Muhammad adalah utusan Allah</v>
      </c>
      <c r="G64" s="32">
        <f>IFERROR(__xludf.DUMMYFUNCTION("""COMPUTED_VALUE"""),6.0)</f>
        <v>6</v>
      </c>
      <c r="H64" s="32" t="str">
        <f>IFERROR(__xludf.DUMMYFUNCTION("""COMPUTED_VALUE"""),"1 Syawwal")</f>
        <v>1 Syawwal</v>
      </c>
      <c r="I64" s="32" t="str">
        <f>IFERROR(__xludf.DUMMYFUNCTION("""COMPUTED_VALUE"""),"Al 'Alaq")</f>
        <v>Al 'Alaq</v>
      </c>
      <c r="J64" s="32" t="str">
        <f>IFERROR(__xludf.DUMMYFUNCTION("""COMPUTED_VALUE"""),"Ali Bin Abi Thalib")</f>
        <v>Ali Bin Abi Thalib</v>
      </c>
      <c r="K64" s="32" t="str">
        <f>IFERROR(__xludf.DUMMYFUNCTION("""COMPUTED_VALUE"""),"giat")</f>
        <v>giat</v>
      </c>
      <c r="L64" s="32" t="str">
        <f>IFERROR(__xludf.DUMMYFUNCTION("""COMPUTED_VALUE"""),"dan")</f>
        <v>dan</v>
      </c>
      <c r="M64" s="32" t="str">
        <f>IFERROR(__xludf.DUMMYFUNCTION("""COMPUTED_VALUE"""),"Hafsah mengatakan bahwa ia ingin belajar di pesantren.")</f>
        <v>Hafsah mengatakan bahwa ia ingin belajar di pesantren.</v>
      </c>
      <c r="N64" s="32" t="str">
        <f>IFERROR(__xludf.DUMMYFUNCTION("""COMPUTED_VALUE"""),"Kalimat 1")</f>
        <v>Kalimat 1</v>
      </c>
      <c r="O64" s="32" t="str">
        <f>IFERROR(__xludf.DUMMYFUNCTION("""COMPUTED_VALUE"""),"cahaya")</f>
        <v>cahaya</v>
      </c>
      <c r="P64" s="32" t="str">
        <f>IFERROR(__xludf.DUMMYFUNCTION("""COMPUTED_VALUE"""),"Mutualisme")</f>
        <v>Mutualisme</v>
      </c>
      <c r="Q64" s="32" t="str">
        <f>IFERROR(__xludf.DUMMYFUNCTION("""COMPUTED_VALUE"""),"Angin")</f>
        <v>Angin</v>
      </c>
      <c r="R64" s="32" t="str">
        <f>IFERROR(__xludf.DUMMYFUNCTION("""COMPUTED_VALUE"""),"belalang dan ular")</f>
        <v>belalang dan ular</v>
      </c>
      <c r="S64" s="32" t="str">
        <f>IFERROR(__xludf.DUMMYFUNCTION("""COMPUTED_VALUE"""),"Daun yang pipih dan lebar")</f>
        <v>Daun yang pipih dan lebar</v>
      </c>
      <c r="T64" s="32" t="str">
        <f>IFERROR(__xludf.DUMMYFUNCTION("""COMPUTED_VALUE"""),"Kadal")</f>
        <v>Kadal</v>
      </c>
      <c r="U64" s="32">
        <f>IFERROR(__xludf.DUMMYFUNCTION("""COMPUTED_VALUE"""),64.0)</f>
        <v>64</v>
      </c>
      <c r="V64" s="32" t="str">
        <f>IFERROR(__xludf.DUMMYFUNCTION("""COMPUTED_VALUE"""),"3/8")</f>
        <v>3/8</v>
      </c>
      <c r="W64" s="32" t="str">
        <f>IFERROR(__xludf.DUMMYFUNCTION("""COMPUTED_VALUE"""),"1.250 meter")</f>
        <v>1.250 meter</v>
      </c>
      <c r="X64" s="32" t="str">
        <f>IFERROR(__xludf.DUMMYFUNCTION("""COMPUTED_VALUE"""),"28 cm")</f>
        <v>28 cm</v>
      </c>
      <c r="Y64" s="32">
        <f>IFERROR(__xludf.DUMMYFUNCTION("""COMPUTED_VALUE"""),200.0)</f>
        <v>200</v>
      </c>
      <c r="Z64" s="28">
        <f t="shared" si="1"/>
        <v>0</v>
      </c>
      <c r="AA64" s="28">
        <f t="shared" si="2"/>
        <v>1</v>
      </c>
      <c r="AB64" s="28">
        <f t="shared" si="3"/>
        <v>1</v>
      </c>
      <c r="AC64" s="28">
        <f t="shared" si="4"/>
        <v>1</v>
      </c>
      <c r="AD64" s="28">
        <f t="shared" si="5"/>
        <v>1</v>
      </c>
      <c r="AE64" s="29">
        <f t="shared" si="6"/>
        <v>4</v>
      </c>
      <c r="AF64" s="28">
        <f t="shared" si="7"/>
        <v>1</v>
      </c>
      <c r="AG64" s="28">
        <f t="shared" si="8"/>
        <v>1</v>
      </c>
      <c r="AH64" s="28">
        <f t="shared" si="9"/>
        <v>1</v>
      </c>
      <c r="AI64" s="28">
        <f t="shared" si="10"/>
        <v>1</v>
      </c>
      <c r="AJ64" s="28">
        <f t="shared" si="11"/>
        <v>1</v>
      </c>
      <c r="AK64" s="29">
        <f t="shared" si="12"/>
        <v>5</v>
      </c>
      <c r="AL64" s="28">
        <f t="shared" si="13"/>
        <v>0</v>
      </c>
      <c r="AM64" s="28">
        <f t="shared" si="14"/>
        <v>1</v>
      </c>
      <c r="AN64" s="28">
        <f t="shared" si="15"/>
        <v>1</v>
      </c>
      <c r="AO64" s="28">
        <f t="shared" si="16"/>
        <v>0</v>
      </c>
      <c r="AP64" s="28">
        <f t="shared" si="17"/>
        <v>0</v>
      </c>
      <c r="AQ64" s="29">
        <f t="shared" si="18"/>
        <v>2</v>
      </c>
      <c r="AR64" s="28">
        <f t="shared" si="19"/>
        <v>0</v>
      </c>
      <c r="AS64" s="28">
        <f t="shared" si="20"/>
        <v>0</v>
      </c>
      <c r="AT64" s="28">
        <f t="shared" si="21"/>
        <v>0</v>
      </c>
      <c r="AU64" s="28">
        <f t="shared" si="22"/>
        <v>0</v>
      </c>
      <c r="AV64" s="28">
        <f t="shared" si="23"/>
        <v>0</v>
      </c>
      <c r="AW64" s="29">
        <f t="shared" si="24"/>
        <v>0</v>
      </c>
      <c r="AX64" s="22"/>
      <c r="AY64" s="26">
        <f t="shared" si="25"/>
        <v>4</v>
      </c>
      <c r="AZ64" s="26">
        <f t="shared" si="26"/>
        <v>5</v>
      </c>
      <c r="BA64" s="26">
        <f t="shared" si="27"/>
        <v>2</v>
      </c>
      <c r="BB64" s="26">
        <f t="shared" si="28"/>
        <v>0</v>
      </c>
      <c r="BC64" s="30">
        <f t="shared" si="29"/>
        <v>55</v>
      </c>
    </row>
    <row r="65">
      <c r="A65" s="31">
        <f>IFERROR(__xludf.DUMMYFUNCTION("""COMPUTED_VALUE"""),45941.46980722222)</f>
        <v>45941.46981</v>
      </c>
      <c r="B65" s="32" t="str">
        <f>IFERROR(__xludf.DUMMYFUNCTION("""COMPUTED_VALUE"""),"AZKA KHAIRUL ICHSAN HASUGIAN")</f>
        <v>AZKA KHAIRUL ICHSAN HASUGIAN</v>
      </c>
      <c r="C65" s="27" t="str">
        <f>IFERROR(__xludf.DUMMYFUNCTION("""COMPUTED_VALUE"""),"A250033")</f>
        <v>A250033</v>
      </c>
      <c r="D65" s="27" t="str">
        <f>IFERROR(__xludf.DUMMYFUNCTION("""COMPUTED_VALUE"""),"MTs Putra")</f>
        <v>MTs Putra</v>
      </c>
      <c r="E65" s="27" t="str">
        <f>IFERROR(__xludf.DUMMYFUNCTION("""COMPUTED_VALUE"""),"Ya")</f>
        <v>Ya</v>
      </c>
      <c r="F65" s="32" t="str">
        <f>IFERROR(__xludf.DUMMYFUNCTION("""COMPUTED_VALUE"""),"B. Aku bersaksi bahwa tidak ada tuhan yang berhak di sembah kecuali Allah")</f>
        <v>B. Aku bersaksi bahwa tidak ada tuhan yang berhak di sembah kecuali Allah</v>
      </c>
      <c r="G65" s="32">
        <f>IFERROR(__xludf.DUMMYFUNCTION("""COMPUTED_VALUE"""),6.0)</f>
        <v>6</v>
      </c>
      <c r="H65" s="32" t="str">
        <f>IFERROR(__xludf.DUMMYFUNCTION("""COMPUTED_VALUE"""),"1 Syawwal")</f>
        <v>1 Syawwal</v>
      </c>
      <c r="I65" s="32" t="str">
        <f>IFERROR(__xludf.DUMMYFUNCTION("""COMPUTED_VALUE"""),"Al 'Alaq")</f>
        <v>Al 'Alaq</v>
      </c>
      <c r="J65" s="32" t="str">
        <f>IFERROR(__xludf.DUMMYFUNCTION("""COMPUTED_VALUE"""),"Ali Bin Abi Thalib")</f>
        <v>Ali Bin Abi Thalib</v>
      </c>
      <c r="K65" s="32" t="str">
        <f>IFERROR(__xludf.DUMMYFUNCTION("""COMPUTED_VALUE"""),"giat")</f>
        <v>giat</v>
      </c>
      <c r="L65" s="32" t="str">
        <f>IFERROR(__xludf.DUMMYFUNCTION("""COMPUTED_VALUE"""),"dan")</f>
        <v>dan</v>
      </c>
      <c r="M65" s="32" t="str">
        <f>IFERROR(__xludf.DUMMYFUNCTION("""COMPUTED_VALUE"""),"Aku berkata Hafsah ingin belajar di pesantren.")</f>
        <v>Aku berkata Hafsah ingin belajar di pesantren.</v>
      </c>
      <c r="N65" s="32" t="str">
        <f>IFERROR(__xludf.DUMMYFUNCTION("""COMPUTED_VALUE"""),"Kalimat 1")</f>
        <v>Kalimat 1</v>
      </c>
      <c r="O65" s="32" t="str">
        <f>IFERROR(__xludf.DUMMYFUNCTION("""COMPUTED_VALUE"""),"cahaya")</f>
        <v>cahaya</v>
      </c>
      <c r="P65" s="32" t="str">
        <f>IFERROR(__xludf.DUMMYFUNCTION("""COMPUTED_VALUE"""),"Parasitisme")</f>
        <v>Parasitisme</v>
      </c>
      <c r="Q65" s="32" t="str">
        <f>IFERROR(__xludf.DUMMYFUNCTION("""COMPUTED_VALUE"""),"Angin")</f>
        <v>Angin</v>
      </c>
      <c r="R65" s="32" t="str">
        <f>IFERROR(__xludf.DUMMYFUNCTION("""COMPUTED_VALUE"""),"belalang dan ular")</f>
        <v>belalang dan ular</v>
      </c>
      <c r="S65" s="32" t="str">
        <f>IFERROR(__xludf.DUMMYFUNCTION("""COMPUTED_VALUE"""),"Menghasilkan klorofil")</f>
        <v>Menghasilkan klorofil</v>
      </c>
      <c r="T65" s="32" t="str">
        <f>IFERROR(__xludf.DUMMYFUNCTION("""COMPUTED_VALUE"""),"Buaya")</f>
        <v>Buaya</v>
      </c>
      <c r="U65" s="32">
        <f>IFERROR(__xludf.DUMMYFUNCTION("""COMPUTED_VALUE"""),-64.0)</f>
        <v>-64</v>
      </c>
      <c r="V65" s="32" t="str">
        <f>IFERROR(__xludf.DUMMYFUNCTION("""COMPUTED_VALUE"""),"3/4")</f>
        <v>3/4</v>
      </c>
      <c r="W65" s="32" t="str">
        <f>IFERROR(__xludf.DUMMYFUNCTION("""COMPUTED_VALUE"""),"1.800 meter")</f>
        <v>1.800 meter</v>
      </c>
      <c r="X65" s="32" t="str">
        <f>IFERROR(__xludf.DUMMYFUNCTION("""COMPUTED_VALUE"""),"22 cm")</f>
        <v>22 cm</v>
      </c>
      <c r="Y65" s="32">
        <f>IFERROR(__xludf.DUMMYFUNCTION("""COMPUTED_VALUE"""),200.0)</f>
        <v>200</v>
      </c>
      <c r="Z65" s="28">
        <f t="shared" si="1"/>
        <v>1</v>
      </c>
      <c r="AA65" s="28">
        <f t="shared" si="2"/>
        <v>1</v>
      </c>
      <c r="AB65" s="28">
        <f t="shared" si="3"/>
        <v>1</v>
      </c>
      <c r="AC65" s="28">
        <f t="shared" si="4"/>
        <v>1</v>
      </c>
      <c r="AD65" s="28">
        <f t="shared" si="5"/>
        <v>1</v>
      </c>
      <c r="AE65" s="29">
        <f t="shared" si="6"/>
        <v>5</v>
      </c>
      <c r="AF65" s="28">
        <f t="shared" si="7"/>
        <v>1</v>
      </c>
      <c r="AG65" s="28">
        <f t="shared" si="8"/>
        <v>1</v>
      </c>
      <c r="AH65" s="28">
        <f t="shared" si="9"/>
        <v>0</v>
      </c>
      <c r="AI65" s="28">
        <f t="shared" si="10"/>
        <v>1</v>
      </c>
      <c r="AJ65" s="28">
        <f t="shared" si="11"/>
        <v>1</v>
      </c>
      <c r="AK65" s="29">
        <f t="shared" si="12"/>
        <v>4</v>
      </c>
      <c r="AL65" s="28">
        <f t="shared" si="13"/>
        <v>1</v>
      </c>
      <c r="AM65" s="28">
        <f t="shared" si="14"/>
        <v>1</v>
      </c>
      <c r="AN65" s="28">
        <f t="shared" si="15"/>
        <v>1</v>
      </c>
      <c r="AO65" s="28">
        <f t="shared" si="16"/>
        <v>1</v>
      </c>
      <c r="AP65" s="28">
        <f t="shared" si="17"/>
        <v>0</v>
      </c>
      <c r="AQ65" s="29">
        <f t="shared" si="18"/>
        <v>4</v>
      </c>
      <c r="AR65" s="28">
        <f t="shared" si="19"/>
        <v>1</v>
      </c>
      <c r="AS65" s="28">
        <f t="shared" si="20"/>
        <v>1</v>
      </c>
      <c r="AT65" s="28">
        <f t="shared" si="21"/>
        <v>1</v>
      </c>
      <c r="AU65" s="28">
        <f t="shared" si="22"/>
        <v>1</v>
      </c>
      <c r="AV65" s="28">
        <f t="shared" si="23"/>
        <v>0</v>
      </c>
      <c r="AW65" s="29">
        <f t="shared" si="24"/>
        <v>4</v>
      </c>
      <c r="AX65" s="22"/>
      <c r="AY65" s="26">
        <f t="shared" si="25"/>
        <v>5</v>
      </c>
      <c r="AZ65" s="26">
        <f t="shared" si="26"/>
        <v>4</v>
      </c>
      <c r="BA65" s="26">
        <f t="shared" si="27"/>
        <v>4</v>
      </c>
      <c r="BB65" s="26">
        <f t="shared" si="28"/>
        <v>4</v>
      </c>
      <c r="BC65" s="30">
        <f t="shared" si="29"/>
        <v>85</v>
      </c>
    </row>
    <row r="66">
      <c r="A66" s="38">
        <f>IFERROR(__xludf.DUMMYFUNCTION("""COMPUTED_VALUE"""),45941.48462548611)</f>
        <v>45941.48463</v>
      </c>
      <c r="B66" s="39" t="str">
        <f>IFERROR(__xludf.DUMMYFUNCTION("""COMPUTED_VALUE"""),"Akhdan Azkiya Mahdy")</f>
        <v>Akhdan Azkiya Mahdy</v>
      </c>
      <c r="C66" s="40" t="str">
        <f>IFERROR(__xludf.DUMMYFUNCTION("""COMPUTED_VALUE"""),"A250017")</f>
        <v>A250017</v>
      </c>
      <c r="D66" s="39" t="str">
        <f>IFERROR(__xludf.DUMMYFUNCTION("""COMPUTED_VALUE"""),"MTs Putra")</f>
        <v>MTs Putra</v>
      </c>
      <c r="E66" s="39" t="str">
        <f>IFERROR(__xludf.DUMMYFUNCTION("""COMPUTED_VALUE"""),"Ya")</f>
        <v>Ya</v>
      </c>
      <c r="F66" s="39" t="str">
        <f>IFERROR(__xludf.DUMMYFUNCTION("""COMPUTED_VALUE"""),"B. Aku bersaksi bahwa tidak ada tuhan yang berhak di sembah kecuali Allah")</f>
        <v>B. Aku bersaksi bahwa tidak ada tuhan yang berhak di sembah kecuali Allah</v>
      </c>
      <c r="G66" s="41">
        <f>IFERROR(__xludf.DUMMYFUNCTION("""COMPUTED_VALUE"""),6.0)</f>
        <v>6</v>
      </c>
      <c r="H66" s="39" t="str">
        <f>IFERROR(__xludf.DUMMYFUNCTION("""COMPUTED_VALUE"""),"1 Syawwal")</f>
        <v>1 Syawwal</v>
      </c>
      <c r="I66" s="39" t="str">
        <f>IFERROR(__xludf.DUMMYFUNCTION("""COMPUTED_VALUE"""),"Al 'Alaq")</f>
        <v>Al 'Alaq</v>
      </c>
      <c r="J66" s="39" t="str">
        <f>IFERROR(__xludf.DUMMYFUNCTION("""COMPUTED_VALUE"""),"Ali Bin Abi Thalib")</f>
        <v>Ali Bin Abi Thalib</v>
      </c>
      <c r="K66" s="39" t="str">
        <f>IFERROR(__xludf.DUMMYFUNCTION("""COMPUTED_VALUE"""),"giat")</f>
        <v>giat</v>
      </c>
      <c r="L66" s="39" t="str">
        <f>IFERROR(__xludf.DUMMYFUNCTION("""COMPUTED_VALUE"""),"dan")</f>
        <v>dan</v>
      </c>
      <c r="M66" s="39" t="str">
        <f>IFERROR(__xludf.DUMMYFUNCTION("""COMPUTED_VALUE"""),"Hafsah mengatakan bahwa ia ingin belajar di pesantren.")</f>
        <v>Hafsah mengatakan bahwa ia ingin belajar di pesantren.</v>
      </c>
      <c r="N66" s="39" t="str">
        <f>IFERROR(__xludf.DUMMYFUNCTION("""COMPUTED_VALUE"""),"Kalimat 1")</f>
        <v>Kalimat 1</v>
      </c>
      <c r="O66" s="39" t="str">
        <f>IFERROR(__xludf.DUMMYFUNCTION("""COMPUTED_VALUE"""),"cahaya")</f>
        <v>cahaya</v>
      </c>
      <c r="P66" s="39" t="str">
        <f>IFERROR(__xludf.DUMMYFUNCTION("""COMPUTED_VALUE"""),"Parasitisme")</f>
        <v>Parasitisme</v>
      </c>
      <c r="Q66" s="39" t="str">
        <f>IFERROR(__xludf.DUMMYFUNCTION("""COMPUTED_VALUE"""),"Angin")</f>
        <v>Angin</v>
      </c>
      <c r="R66" s="39" t="str">
        <f>IFERROR(__xludf.DUMMYFUNCTION("""COMPUTED_VALUE"""),"belalang dan ular")</f>
        <v>belalang dan ular</v>
      </c>
      <c r="S66" s="39" t="str">
        <f>IFERROR(__xludf.DUMMYFUNCTION("""COMPUTED_VALUE"""),"Menghasilkan klorofil")</f>
        <v>Menghasilkan klorofil</v>
      </c>
      <c r="T66" s="39" t="str">
        <f>IFERROR(__xludf.DUMMYFUNCTION("""COMPUTED_VALUE"""),"Kelinci")</f>
        <v>Kelinci</v>
      </c>
      <c r="U66" s="41">
        <f>IFERROR(__xludf.DUMMYFUNCTION("""COMPUTED_VALUE"""),-64.0)</f>
        <v>-64</v>
      </c>
      <c r="V66" s="39" t="str">
        <f>IFERROR(__xludf.DUMMYFUNCTION("""COMPUTED_VALUE"""),"4/3")</f>
        <v>4/3</v>
      </c>
      <c r="W66" s="39" t="str">
        <f>IFERROR(__xludf.DUMMYFUNCTION("""COMPUTED_VALUE"""),"1.800 meter")</f>
        <v>1.800 meter</v>
      </c>
      <c r="X66" s="39" t="str">
        <f>IFERROR(__xludf.DUMMYFUNCTION("""COMPUTED_VALUE"""),"22 cm")</f>
        <v>22 cm</v>
      </c>
      <c r="Y66" s="41">
        <f>IFERROR(__xludf.DUMMYFUNCTION("""COMPUTED_VALUE"""),200.0)</f>
        <v>200</v>
      </c>
      <c r="Z66" s="28">
        <f t="shared" si="1"/>
        <v>1</v>
      </c>
      <c r="AA66" s="28">
        <f t="shared" si="2"/>
        <v>1</v>
      </c>
      <c r="AB66" s="28">
        <f t="shared" si="3"/>
        <v>1</v>
      </c>
      <c r="AC66" s="28">
        <f t="shared" si="4"/>
        <v>1</v>
      </c>
      <c r="AD66" s="28">
        <f t="shared" si="5"/>
        <v>1</v>
      </c>
      <c r="AE66" s="29">
        <f t="shared" si="6"/>
        <v>5</v>
      </c>
      <c r="AF66" s="28">
        <f t="shared" si="7"/>
        <v>1</v>
      </c>
      <c r="AG66" s="28">
        <f t="shared" si="8"/>
        <v>1</v>
      </c>
      <c r="AH66" s="28">
        <f t="shared" si="9"/>
        <v>1</v>
      </c>
      <c r="AI66" s="28">
        <f t="shared" si="10"/>
        <v>1</v>
      </c>
      <c r="AJ66" s="28">
        <f t="shared" si="11"/>
        <v>1</v>
      </c>
      <c r="AK66" s="29">
        <f t="shared" si="12"/>
        <v>5</v>
      </c>
      <c r="AL66" s="28">
        <f t="shared" si="13"/>
        <v>1</v>
      </c>
      <c r="AM66" s="28">
        <f t="shared" si="14"/>
        <v>1</v>
      </c>
      <c r="AN66" s="28">
        <f t="shared" si="15"/>
        <v>1</v>
      </c>
      <c r="AO66" s="28">
        <f t="shared" si="16"/>
        <v>1</v>
      </c>
      <c r="AP66" s="28">
        <f t="shared" si="17"/>
        <v>1</v>
      </c>
      <c r="AQ66" s="29">
        <f t="shared" si="18"/>
        <v>5</v>
      </c>
      <c r="AR66" s="28">
        <f t="shared" si="19"/>
        <v>1</v>
      </c>
      <c r="AS66" s="28">
        <f t="shared" si="20"/>
        <v>0</v>
      </c>
      <c r="AT66" s="28">
        <f t="shared" si="21"/>
        <v>1</v>
      </c>
      <c r="AU66" s="28">
        <f t="shared" si="22"/>
        <v>1</v>
      </c>
      <c r="AV66" s="28">
        <f t="shared" si="23"/>
        <v>0</v>
      </c>
      <c r="AW66" s="29">
        <f t="shared" si="24"/>
        <v>3</v>
      </c>
      <c r="AX66" s="22"/>
      <c r="AY66" s="26">
        <f t="shared" si="25"/>
        <v>5</v>
      </c>
      <c r="AZ66" s="26">
        <f t="shared" si="26"/>
        <v>5</v>
      </c>
      <c r="BA66" s="26">
        <f t="shared" si="27"/>
        <v>5</v>
      </c>
      <c r="BB66" s="26">
        <f t="shared" si="28"/>
        <v>3</v>
      </c>
      <c r="BC66" s="30">
        <f t="shared" si="29"/>
        <v>90</v>
      </c>
    </row>
    <row r="67">
      <c r="A67" s="31">
        <f>IFERROR(__xludf.DUMMYFUNCTION("""COMPUTED_VALUE"""),45941.60806569444)</f>
        <v>45941.60807</v>
      </c>
      <c r="B67" s="32" t="str">
        <f>IFERROR(__xludf.DUMMYFUNCTION("""COMPUTED_VALUE"""),"Muhammad Nizar")</f>
        <v>Muhammad Nizar</v>
      </c>
      <c r="C67" s="27" t="str">
        <f>IFERROR(__xludf.DUMMYFUNCTION("""COMPUTED_VALUE"""),"A250061")</f>
        <v>A250061</v>
      </c>
      <c r="D67" s="27" t="str">
        <f>IFERROR(__xludf.DUMMYFUNCTION("""COMPUTED_VALUE"""),"MTs Putra")</f>
        <v>MTs Putra</v>
      </c>
      <c r="E67" s="27" t="str">
        <f>IFERROR(__xludf.DUMMYFUNCTION("""COMPUTED_VALUE"""),"Ya")</f>
        <v>Ya</v>
      </c>
      <c r="F67" s="32" t="str">
        <f>IFERROR(__xludf.DUMMYFUNCTION("""COMPUTED_VALUE"""),"B. Aku bersaksi bahwa tidak ada tuhan yang berhak di sembah kecuali Allah")</f>
        <v>B. Aku bersaksi bahwa tidak ada tuhan yang berhak di sembah kecuali Allah</v>
      </c>
      <c r="G67" s="32">
        <f>IFERROR(__xludf.DUMMYFUNCTION("""COMPUTED_VALUE"""),6.0)</f>
        <v>6</v>
      </c>
      <c r="H67" s="32" t="str">
        <f>IFERROR(__xludf.DUMMYFUNCTION("""COMPUTED_VALUE"""),"1 Syawwal")</f>
        <v>1 Syawwal</v>
      </c>
      <c r="I67" s="32" t="str">
        <f>IFERROR(__xludf.DUMMYFUNCTION("""COMPUTED_VALUE"""),"Al 'Alaq")</f>
        <v>Al 'Alaq</v>
      </c>
      <c r="J67" s="32" t="str">
        <f>IFERROR(__xludf.DUMMYFUNCTION("""COMPUTED_VALUE"""),"Utsman Bin Affan")</f>
        <v>Utsman Bin Affan</v>
      </c>
      <c r="K67" s="32" t="str">
        <f>IFERROR(__xludf.DUMMYFUNCTION("""COMPUTED_VALUE"""),"malas")</f>
        <v>malas</v>
      </c>
      <c r="L67" s="32" t="str">
        <f>IFERROR(__xludf.DUMMYFUNCTION("""COMPUTED_VALUE"""),"dan")</f>
        <v>dan</v>
      </c>
      <c r="M67" s="32" t="str">
        <f>IFERROR(__xludf.DUMMYFUNCTION("""COMPUTED_VALUE"""),"Hafsah mengatakan bahwa aku ingin belajar di pesantren.")</f>
        <v>Hafsah mengatakan bahwa aku ingin belajar di pesantren.</v>
      </c>
      <c r="N67" s="32" t="str">
        <f>IFERROR(__xludf.DUMMYFUNCTION("""COMPUTED_VALUE"""),"Kalimat 2")</f>
        <v>Kalimat 2</v>
      </c>
      <c r="O67" s="32" t="str">
        <f>IFERROR(__xludf.DUMMYFUNCTION("""COMPUTED_VALUE"""),"cahaya")</f>
        <v>cahaya</v>
      </c>
      <c r="P67" s="32" t="str">
        <f>IFERROR(__xludf.DUMMYFUNCTION("""COMPUTED_VALUE"""),"Parasitisme")</f>
        <v>Parasitisme</v>
      </c>
      <c r="Q67" s="32" t="str">
        <f>IFERROR(__xludf.DUMMYFUNCTION("""COMPUTED_VALUE"""),"Angin")</f>
        <v>Angin</v>
      </c>
      <c r="R67" s="32" t="str">
        <f>IFERROR(__xludf.DUMMYFUNCTION("""COMPUTED_VALUE"""),"belalang dan ular")</f>
        <v>belalang dan ular</v>
      </c>
      <c r="S67" s="32" t="str">
        <f>IFERROR(__xludf.DUMMYFUNCTION("""COMPUTED_VALUE"""),"Menghasilkan klorofil")</f>
        <v>Menghasilkan klorofil</v>
      </c>
      <c r="T67" s="32" t="str">
        <f>IFERROR(__xludf.DUMMYFUNCTION("""COMPUTED_VALUE"""),"Kelinci")</f>
        <v>Kelinci</v>
      </c>
      <c r="U67" s="32">
        <f>IFERROR(__xludf.DUMMYFUNCTION("""COMPUTED_VALUE"""),56.0)</f>
        <v>56</v>
      </c>
      <c r="V67" s="32" t="str">
        <f>IFERROR(__xludf.DUMMYFUNCTION("""COMPUTED_VALUE"""),"3/8")</f>
        <v>3/8</v>
      </c>
      <c r="W67" s="32" t="str">
        <f>IFERROR(__xludf.DUMMYFUNCTION("""COMPUTED_VALUE"""),"1.800 meter")</f>
        <v>1.800 meter</v>
      </c>
      <c r="X67" s="32" t="str">
        <f>IFERROR(__xludf.DUMMYFUNCTION("""COMPUTED_VALUE"""),"28 cm")</f>
        <v>28 cm</v>
      </c>
      <c r="Y67" s="32">
        <f>IFERROR(__xludf.DUMMYFUNCTION("""COMPUTED_VALUE"""),200.0)</f>
        <v>200</v>
      </c>
      <c r="Z67" s="28">
        <f t="shared" si="1"/>
        <v>1</v>
      </c>
      <c r="AA67" s="28">
        <f t="shared" si="2"/>
        <v>1</v>
      </c>
      <c r="AB67" s="28">
        <f t="shared" si="3"/>
        <v>1</v>
      </c>
      <c r="AC67" s="28">
        <f t="shared" si="4"/>
        <v>1</v>
      </c>
      <c r="AD67" s="28">
        <f t="shared" si="5"/>
        <v>0</v>
      </c>
      <c r="AE67" s="29">
        <f t="shared" si="6"/>
        <v>4</v>
      </c>
      <c r="AF67" s="28">
        <f t="shared" si="7"/>
        <v>0</v>
      </c>
      <c r="AG67" s="28">
        <f t="shared" si="8"/>
        <v>1</v>
      </c>
      <c r="AH67" s="28">
        <f t="shared" si="9"/>
        <v>0</v>
      </c>
      <c r="AI67" s="28">
        <f t="shared" si="10"/>
        <v>0</v>
      </c>
      <c r="AJ67" s="28">
        <f t="shared" si="11"/>
        <v>1</v>
      </c>
      <c r="AK67" s="29">
        <f t="shared" si="12"/>
        <v>2</v>
      </c>
      <c r="AL67" s="28">
        <f t="shared" si="13"/>
        <v>1</v>
      </c>
      <c r="AM67" s="28">
        <f t="shared" si="14"/>
        <v>1</v>
      </c>
      <c r="AN67" s="28">
        <f t="shared" si="15"/>
        <v>1</v>
      </c>
      <c r="AO67" s="28">
        <f t="shared" si="16"/>
        <v>1</v>
      </c>
      <c r="AP67" s="28">
        <f t="shared" si="17"/>
        <v>1</v>
      </c>
      <c r="AQ67" s="29">
        <f t="shared" si="18"/>
        <v>5</v>
      </c>
      <c r="AR67" s="28">
        <f t="shared" si="19"/>
        <v>0</v>
      </c>
      <c r="AS67" s="28">
        <f t="shared" si="20"/>
        <v>0</v>
      </c>
      <c r="AT67" s="28">
        <f t="shared" si="21"/>
        <v>1</v>
      </c>
      <c r="AU67" s="28">
        <f t="shared" si="22"/>
        <v>0</v>
      </c>
      <c r="AV67" s="28">
        <f t="shared" si="23"/>
        <v>0</v>
      </c>
      <c r="AW67" s="29">
        <f t="shared" si="24"/>
        <v>1</v>
      </c>
      <c r="AX67" s="22"/>
      <c r="AY67" s="26">
        <f t="shared" si="25"/>
        <v>4</v>
      </c>
      <c r="AZ67" s="26">
        <f t="shared" si="26"/>
        <v>2</v>
      </c>
      <c r="BA67" s="26">
        <f t="shared" si="27"/>
        <v>5</v>
      </c>
      <c r="BB67" s="26">
        <f t="shared" si="28"/>
        <v>1</v>
      </c>
      <c r="BC67" s="30">
        <f t="shared" si="29"/>
        <v>60</v>
      </c>
    </row>
    <row r="68">
      <c r="A68" s="31">
        <f>IFERROR(__xludf.DUMMYFUNCTION("""COMPUTED_VALUE"""),45941.68709416667)</f>
        <v>45941.68709</v>
      </c>
      <c r="B68" s="32" t="str">
        <f>IFERROR(__xludf.DUMMYFUNCTION("""COMPUTED_VALUE"""),"ANASTASYA PUTRI")</f>
        <v>ANASTASYA PUTRI</v>
      </c>
      <c r="C68" s="27" t="str">
        <f>IFERROR(__xludf.DUMMYFUNCTION("""COMPUTED_VALUE"""),"D250012")</f>
        <v>D250012</v>
      </c>
      <c r="D68" s="27" t="str">
        <f>IFERROR(__xludf.DUMMYFUNCTION("""COMPUTED_VALUE"""),"MTs Putri")</f>
        <v>MTs Putri</v>
      </c>
      <c r="E68" s="27" t="str">
        <f>IFERROR(__xludf.DUMMYFUNCTION("""COMPUTED_VALUE"""),"Ya")</f>
        <v>Ya</v>
      </c>
      <c r="F68" s="32" t="str">
        <f>IFERROR(__xludf.DUMMYFUNCTION("""COMPUTED_VALUE"""),"B. Aku bersaksi bahwa tidak ada tuhan yang berhak di sembah kecuali Allah")</f>
        <v>B. Aku bersaksi bahwa tidak ada tuhan yang berhak di sembah kecuali Allah</v>
      </c>
      <c r="G68" s="32">
        <f>IFERROR(__xludf.DUMMYFUNCTION("""COMPUTED_VALUE"""),6.0)</f>
        <v>6</v>
      </c>
      <c r="H68" s="32" t="str">
        <f>IFERROR(__xludf.DUMMYFUNCTION("""COMPUTED_VALUE"""),"1 Syawwal")</f>
        <v>1 Syawwal</v>
      </c>
      <c r="I68" s="32" t="str">
        <f>IFERROR(__xludf.DUMMYFUNCTION("""COMPUTED_VALUE"""),"Al 'Alaq")</f>
        <v>Al 'Alaq</v>
      </c>
      <c r="J68" s="32" t="str">
        <f>IFERROR(__xludf.DUMMYFUNCTION("""COMPUTED_VALUE"""),"Ali Bin Abi Thalib")</f>
        <v>Ali Bin Abi Thalib</v>
      </c>
      <c r="K68" s="32" t="str">
        <f>IFERROR(__xludf.DUMMYFUNCTION("""COMPUTED_VALUE"""),"malas")</f>
        <v>malas</v>
      </c>
      <c r="L68" s="32" t="str">
        <f>IFERROR(__xludf.DUMMYFUNCTION("""COMPUTED_VALUE"""),"dan")</f>
        <v>dan</v>
      </c>
      <c r="M68" s="32" t="str">
        <f>IFERROR(__xludf.DUMMYFUNCTION("""COMPUTED_VALUE"""),"Hafsah mengatakan bahwa ia ingin belajar di pesantren.")</f>
        <v>Hafsah mengatakan bahwa ia ingin belajar di pesantren.</v>
      </c>
      <c r="N68" s="32" t="str">
        <f>IFERROR(__xludf.DUMMYFUNCTION("""COMPUTED_VALUE"""),"Kalimat 1")</f>
        <v>Kalimat 1</v>
      </c>
      <c r="O68" s="32" t="str">
        <f>IFERROR(__xludf.DUMMYFUNCTION("""COMPUTED_VALUE"""),"cahaya")</f>
        <v>cahaya</v>
      </c>
      <c r="P68" s="32" t="str">
        <f>IFERROR(__xludf.DUMMYFUNCTION("""COMPUTED_VALUE"""),"Parasitisme")</f>
        <v>Parasitisme</v>
      </c>
      <c r="Q68" s="32" t="str">
        <f>IFERROR(__xludf.DUMMYFUNCTION("""COMPUTED_VALUE"""),"Manusia")</f>
        <v>Manusia</v>
      </c>
      <c r="R68" s="32" t="str">
        <f>IFERROR(__xludf.DUMMYFUNCTION("""COMPUTED_VALUE"""),"burung ketilang dan ulat")</f>
        <v>burung ketilang dan ulat</v>
      </c>
      <c r="S68" s="32" t="str">
        <f>IFERROR(__xludf.DUMMYFUNCTION("""COMPUTED_VALUE"""),"Menghasilkan klorofil")</f>
        <v>Menghasilkan klorofil</v>
      </c>
      <c r="T68" s="32" t="str">
        <f>IFERROR(__xludf.DUMMYFUNCTION("""COMPUTED_VALUE"""),"Kelinci")</f>
        <v>Kelinci</v>
      </c>
      <c r="U68" s="32">
        <f>IFERROR(__xludf.DUMMYFUNCTION("""COMPUTED_VALUE"""),64.0)</f>
        <v>64</v>
      </c>
      <c r="V68" s="32" t="str">
        <f>IFERROR(__xludf.DUMMYFUNCTION("""COMPUTED_VALUE"""),"4/3")</f>
        <v>4/3</v>
      </c>
      <c r="W68" s="32" t="str">
        <f>IFERROR(__xludf.DUMMYFUNCTION("""COMPUTED_VALUE"""),"2.100 meter")</f>
        <v>2.100 meter</v>
      </c>
      <c r="X68" s="32" t="str">
        <f>IFERROR(__xludf.DUMMYFUNCTION("""COMPUTED_VALUE"""),"11 cm")</f>
        <v>11 cm</v>
      </c>
      <c r="Y68" s="32">
        <f>IFERROR(__xludf.DUMMYFUNCTION("""COMPUTED_VALUE"""),200.0)</f>
        <v>200</v>
      </c>
      <c r="Z68" s="28">
        <f t="shared" si="1"/>
        <v>1</v>
      </c>
      <c r="AA68" s="28">
        <f t="shared" si="2"/>
        <v>1</v>
      </c>
      <c r="AB68" s="28">
        <f t="shared" si="3"/>
        <v>1</v>
      </c>
      <c r="AC68" s="28">
        <f t="shared" si="4"/>
        <v>1</v>
      </c>
      <c r="AD68" s="28">
        <f t="shared" si="5"/>
        <v>1</v>
      </c>
      <c r="AE68" s="29">
        <f t="shared" si="6"/>
        <v>5</v>
      </c>
      <c r="AF68" s="28">
        <f t="shared" si="7"/>
        <v>0</v>
      </c>
      <c r="AG68" s="28">
        <f t="shared" si="8"/>
        <v>1</v>
      </c>
      <c r="AH68" s="28">
        <f t="shared" si="9"/>
        <v>1</v>
      </c>
      <c r="AI68" s="28">
        <f t="shared" si="10"/>
        <v>1</v>
      </c>
      <c r="AJ68" s="28">
        <f t="shared" si="11"/>
        <v>1</v>
      </c>
      <c r="AK68" s="29">
        <f t="shared" si="12"/>
        <v>4</v>
      </c>
      <c r="AL68" s="28">
        <f t="shared" si="13"/>
        <v>1</v>
      </c>
      <c r="AM68" s="28">
        <f t="shared" si="14"/>
        <v>0</v>
      </c>
      <c r="AN68" s="28">
        <f t="shared" si="15"/>
        <v>0</v>
      </c>
      <c r="AO68" s="28">
        <f t="shared" si="16"/>
        <v>1</v>
      </c>
      <c r="AP68" s="28">
        <f t="shared" si="17"/>
        <v>1</v>
      </c>
      <c r="AQ68" s="29">
        <f t="shared" si="18"/>
        <v>3</v>
      </c>
      <c r="AR68" s="28">
        <f t="shared" si="19"/>
        <v>0</v>
      </c>
      <c r="AS68" s="28">
        <f t="shared" si="20"/>
        <v>0</v>
      </c>
      <c r="AT68" s="28">
        <f t="shared" si="21"/>
        <v>0</v>
      </c>
      <c r="AU68" s="28">
        <f t="shared" si="22"/>
        <v>0</v>
      </c>
      <c r="AV68" s="28">
        <f t="shared" si="23"/>
        <v>0</v>
      </c>
      <c r="AW68" s="29">
        <f t="shared" si="24"/>
        <v>0</v>
      </c>
      <c r="AX68" s="22"/>
      <c r="AY68" s="26">
        <f t="shared" si="25"/>
        <v>5</v>
      </c>
      <c r="AZ68" s="26">
        <f t="shared" si="26"/>
        <v>4</v>
      </c>
      <c r="BA68" s="26">
        <f t="shared" si="27"/>
        <v>3</v>
      </c>
      <c r="BB68" s="26">
        <f t="shared" si="28"/>
        <v>0</v>
      </c>
      <c r="BC68" s="30">
        <f t="shared" si="29"/>
        <v>60</v>
      </c>
    </row>
    <row r="69">
      <c r="A69" s="31">
        <f>IFERROR(__xludf.DUMMYFUNCTION("""COMPUTED_VALUE"""),45946.88195002315)</f>
        <v>45946.88195</v>
      </c>
      <c r="B69" s="32" t="str">
        <f>IFERROR(__xludf.DUMMYFUNCTION("""COMPUTED_VALUE"""),"Rizkia Aulia Az zahra ")</f>
        <v>Rizkia Aulia Az zahra </v>
      </c>
      <c r="C69" s="27" t="str">
        <f>IFERROR(__xludf.DUMMYFUNCTION("""COMPUTED_VALUE"""),"D250013")</f>
        <v>D250013</v>
      </c>
      <c r="D69" s="27" t="str">
        <f>IFERROR(__xludf.DUMMYFUNCTION("""COMPUTED_VALUE"""),"MTs Putri")</f>
        <v>MTs Putri</v>
      </c>
      <c r="E69" s="27" t="str">
        <f>IFERROR(__xludf.DUMMYFUNCTION("""COMPUTED_VALUE"""),"Ya")</f>
        <v>Ya</v>
      </c>
      <c r="F69" s="32" t="str">
        <f>IFERROR(__xludf.DUMMYFUNCTION("""COMPUTED_VALUE"""),"B. Aku bersaksi bahwa tidak ada tuhan yang berhak di sembah kecuali Allah")</f>
        <v>B. Aku bersaksi bahwa tidak ada tuhan yang berhak di sembah kecuali Allah</v>
      </c>
      <c r="G69" s="32">
        <f>IFERROR(__xludf.DUMMYFUNCTION("""COMPUTED_VALUE"""),6.0)</f>
        <v>6</v>
      </c>
      <c r="H69" s="32" t="str">
        <f>IFERROR(__xludf.DUMMYFUNCTION("""COMPUTED_VALUE"""),"1 Syawwal")</f>
        <v>1 Syawwal</v>
      </c>
      <c r="I69" s="32" t="str">
        <f>IFERROR(__xludf.DUMMYFUNCTION("""COMPUTED_VALUE"""),"Al 'Alaq")</f>
        <v>Al 'Alaq</v>
      </c>
      <c r="J69" s="32" t="str">
        <f>IFERROR(__xludf.DUMMYFUNCTION("""COMPUTED_VALUE"""),"Ali Bin Abi Thalib")</f>
        <v>Ali Bin Abi Thalib</v>
      </c>
      <c r="K69" s="32" t="str">
        <f>IFERROR(__xludf.DUMMYFUNCTION("""COMPUTED_VALUE"""),"giat")</f>
        <v>giat</v>
      </c>
      <c r="L69" s="32" t="str">
        <f>IFERROR(__xludf.DUMMYFUNCTION("""COMPUTED_VALUE"""),"dan")</f>
        <v>dan</v>
      </c>
      <c r="M69" s="32" t="str">
        <f>IFERROR(__xludf.DUMMYFUNCTION("""COMPUTED_VALUE"""),"Hafsah mengatakan bahwa ia ingin belajar di pesantren.")</f>
        <v>Hafsah mengatakan bahwa ia ingin belajar di pesantren.</v>
      </c>
      <c r="N69" s="32" t="str">
        <f>IFERROR(__xludf.DUMMYFUNCTION("""COMPUTED_VALUE"""),"Kalimat 3")</f>
        <v>Kalimat 3</v>
      </c>
      <c r="O69" s="32" t="str">
        <f>IFERROR(__xludf.DUMMYFUNCTION("""COMPUTED_VALUE"""),"cahaya")</f>
        <v>cahaya</v>
      </c>
      <c r="P69" s="32" t="str">
        <f>IFERROR(__xludf.DUMMYFUNCTION("""COMPUTED_VALUE"""),"Parasitisme")</f>
        <v>Parasitisme</v>
      </c>
      <c r="Q69" s="32" t="str">
        <f>IFERROR(__xludf.DUMMYFUNCTION("""COMPUTED_VALUE"""),"Angin")</f>
        <v>Angin</v>
      </c>
      <c r="R69" s="32" t="str">
        <f>IFERROR(__xludf.DUMMYFUNCTION("""COMPUTED_VALUE"""),"belalang dan ular")</f>
        <v>belalang dan ular</v>
      </c>
      <c r="S69" s="32" t="str">
        <f>IFERROR(__xludf.DUMMYFUNCTION("""COMPUTED_VALUE"""),"Menghasilkan klorofil")</f>
        <v>Menghasilkan klorofil</v>
      </c>
      <c r="T69" s="32" t="str">
        <f>IFERROR(__xludf.DUMMYFUNCTION("""COMPUTED_VALUE"""),"Kelinci")</f>
        <v>Kelinci</v>
      </c>
      <c r="U69" s="32">
        <f>IFERROR(__xludf.DUMMYFUNCTION("""COMPUTED_VALUE"""),-64.0)</f>
        <v>-64</v>
      </c>
      <c r="V69" s="32" t="str">
        <f>IFERROR(__xludf.DUMMYFUNCTION("""COMPUTED_VALUE"""),"3/4")</f>
        <v>3/4</v>
      </c>
      <c r="W69" s="32" t="str">
        <f>IFERROR(__xludf.DUMMYFUNCTION("""COMPUTED_VALUE"""),"1.800 meter")</f>
        <v>1.800 meter</v>
      </c>
      <c r="X69" s="32" t="str">
        <f>IFERROR(__xludf.DUMMYFUNCTION("""COMPUTED_VALUE"""),"22 cm")</f>
        <v>22 cm</v>
      </c>
      <c r="Y69" s="32">
        <f>IFERROR(__xludf.DUMMYFUNCTION("""COMPUTED_VALUE"""),600.0)</f>
        <v>600</v>
      </c>
      <c r="Z69" s="28">
        <f t="shared" si="1"/>
        <v>1</v>
      </c>
      <c r="AA69" s="28">
        <f t="shared" si="2"/>
        <v>1</v>
      </c>
      <c r="AB69" s="28">
        <f t="shared" si="3"/>
        <v>1</v>
      </c>
      <c r="AC69" s="28">
        <f t="shared" si="4"/>
        <v>1</v>
      </c>
      <c r="AD69" s="28">
        <f t="shared" si="5"/>
        <v>1</v>
      </c>
      <c r="AE69" s="29">
        <f t="shared" si="6"/>
        <v>5</v>
      </c>
      <c r="AF69" s="28">
        <f t="shared" si="7"/>
        <v>1</v>
      </c>
      <c r="AG69" s="28">
        <f t="shared" si="8"/>
        <v>1</v>
      </c>
      <c r="AH69" s="28">
        <f t="shared" si="9"/>
        <v>1</v>
      </c>
      <c r="AI69" s="28">
        <f t="shared" si="10"/>
        <v>0</v>
      </c>
      <c r="AJ69" s="28">
        <f t="shared" si="11"/>
        <v>1</v>
      </c>
      <c r="AK69" s="29">
        <f t="shared" si="12"/>
        <v>4</v>
      </c>
      <c r="AL69" s="28">
        <f t="shared" si="13"/>
        <v>1</v>
      </c>
      <c r="AM69" s="28">
        <f t="shared" si="14"/>
        <v>1</v>
      </c>
      <c r="AN69" s="28">
        <f t="shared" si="15"/>
        <v>1</v>
      </c>
      <c r="AO69" s="28">
        <f t="shared" si="16"/>
        <v>1</v>
      </c>
      <c r="AP69" s="28">
        <f t="shared" si="17"/>
        <v>1</v>
      </c>
      <c r="AQ69" s="29">
        <f t="shared" si="18"/>
        <v>5</v>
      </c>
      <c r="AR69" s="28">
        <f t="shared" si="19"/>
        <v>1</v>
      </c>
      <c r="AS69" s="28">
        <f t="shared" si="20"/>
        <v>1</v>
      </c>
      <c r="AT69" s="28">
        <f t="shared" si="21"/>
        <v>1</v>
      </c>
      <c r="AU69" s="28">
        <f t="shared" si="22"/>
        <v>1</v>
      </c>
      <c r="AV69" s="28">
        <f t="shared" si="23"/>
        <v>0</v>
      </c>
      <c r="AW69" s="29">
        <f t="shared" si="24"/>
        <v>4</v>
      </c>
      <c r="AX69" s="22"/>
      <c r="AY69" s="26">
        <f t="shared" si="25"/>
        <v>5</v>
      </c>
      <c r="AZ69" s="26">
        <f t="shared" si="26"/>
        <v>4</v>
      </c>
      <c r="BA69" s="26">
        <f t="shared" si="27"/>
        <v>5</v>
      </c>
      <c r="BB69" s="26">
        <f t="shared" si="28"/>
        <v>4</v>
      </c>
      <c r="BC69" s="30">
        <f t="shared" si="29"/>
        <v>90</v>
      </c>
    </row>
    <row r="70">
      <c r="A70" s="31">
        <f>IFERROR(__xludf.DUMMYFUNCTION("""COMPUTED_VALUE"""),45948.60513476851)</f>
        <v>45948.60513</v>
      </c>
      <c r="B70" s="32" t="str">
        <f>IFERROR(__xludf.DUMMYFUNCTION("""COMPUTED_VALUE"""),"Khalid muhammad affiq")</f>
        <v>Khalid muhammad affiq</v>
      </c>
      <c r="C70" s="27" t="str">
        <f>IFERROR(__xludf.DUMMYFUNCTION("""COMPUTED_VALUE"""),"A250051")</f>
        <v>A250051</v>
      </c>
      <c r="D70" s="27" t="str">
        <f>IFERROR(__xludf.DUMMYFUNCTION("""COMPUTED_VALUE"""),"MTs Putra")</f>
        <v>MTs Putra</v>
      </c>
      <c r="E70" s="27" t="str">
        <f>IFERROR(__xludf.DUMMYFUNCTION("""COMPUTED_VALUE"""),"Ya")</f>
        <v>Ya</v>
      </c>
      <c r="F70" s="32" t="str">
        <f>IFERROR(__xludf.DUMMYFUNCTION("""COMPUTED_VALUE"""),"B. Aku bersaksi bahwa tidak ada tuhan yang berhak di sembah kecuali Allah")</f>
        <v>B. Aku bersaksi bahwa tidak ada tuhan yang berhak di sembah kecuali Allah</v>
      </c>
      <c r="G70" s="32">
        <f>IFERROR(__xludf.DUMMYFUNCTION("""COMPUTED_VALUE"""),6.0)</f>
        <v>6</v>
      </c>
      <c r="H70" s="32" t="str">
        <f>IFERROR(__xludf.DUMMYFUNCTION("""COMPUTED_VALUE"""),"1 Syawwal")</f>
        <v>1 Syawwal</v>
      </c>
      <c r="I70" s="32" t="str">
        <f>IFERROR(__xludf.DUMMYFUNCTION("""COMPUTED_VALUE"""),"Al 'Alaq")</f>
        <v>Al 'Alaq</v>
      </c>
      <c r="J70" s="32" t="str">
        <f>IFERROR(__xludf.DUMMYFUNCTION("""COMPUTED_VALUE"""),"Ali Bin Abi Thalib")</f>
        <v>Ali Bin Abi Thalib</v>
      </c>
      <c r="K70" s="32" t="str">
        <f>IFERROR(__xludf.DUMMYFUNCTION("""COMPUTED_VALUE"""),"giat")</f>
        <v>giat</v>
      </c>
      <c r="L70" s="32" t="str">
        <f>IFERROR(__xludf.DUMMYFUNCTION("""COMPUTED_VALUE"""),"dan")</f>
        <v>dan</v>
      </c>
      <c r="M70" s="32" t="str">
        <f>IFERROR(__xludf.DUMMYFUNCTION("""COMPUTED_VALUE"""),"Hafsah mengatakan bahwa ia ingin belajar di pesantren.")</f>
        <v>Hafsah mengatakan bahwa ia ingin belajar di pesantren.</v>
      </c>
      <c r="N70" s="32" t="str">
        <f>IFERROR(__xludf.DUMMYFUNCTION("""COMPUTED_VALUE"""),"Kalimat 3")</f>
        <v>Kalimat 3</v>
      </c>
      <c r="O70" s="32" t="str">
        <f>IFERROR(__xludf.DUMMYFUNCTION("""COMPUTED_VALUE"""),"cahaya")</f>
        <v>cahaya</v>
      </c>
      <c r="P70" s="32" t="str">
        <f>IFERROR(__xludf.DUMMYFUNCTION("""COMPUTED_VALUE"""),"Parasitisme")</f>
        <v>Parasitisme</v>
      </c>
      <c r="Q70" s="32" t="str">
        <f>IFERROR(__xludf.DUMMYFUNCTION("""COMPUTED_VALUE"""),"Angin")</f>
        <v>Angin</v>
      </c>
      <c r="R70" s="32" t="str">
        <f>IFERROR(__xludf.DUMMYFUNCTION("""COMPUTED_VALUE"""),"belalang dan ular")</f>
        <v>belalang dan ular</v>
      </c>
      <c r="S70" s="32" t="str">
        <f>IFERROR(__xludf.DUMMYFUNCTION("""COMPUTED_VALUE"""),"Menghasilkan klorofil")</f>
        <v>Menghasilkan klorofil</v>
      </c>
      <c r="T70" s="32" t="str">
        <f>IFERROR(__xludf.DUMMYFUNCTION("""COMPUTED_VALUE"""),"Kelinci")</f>
        <v>Kelinci</v>
      </c>
      <c r="U70" s="32">
        <f>IFERROR(__xludf.DUMMYFUNCTION("""COMPUTED_VALUE"""),64.0)</f>
        <v>64</v>
      </c>
      <c r="V70" s="32" t="str">
        <f>IFERROR(__xludf.DUMMYFUNCTION("""COMPUTED_VALUE"""),"3/8")</f>
        <v>3/8</v>
      </c>
      <c r="W70" s="32" t="str">
        <f>IFERROR(__xludf.DUMMYFUNCTION("""COMPUTED_VALUE"""),"1.800 meter")</f>
        <v>1.800 meter</v>
      </c>
      <c r="X70" s="32" t="str">
        <f>IFERROR(__xludf.DUMMYFUNCTION("""COMPUTED_VALUE"""),"28 cm")</f>
        <v>28 cm</v>
      </c>
      <c r="Y70" s="32">
        <f>IFERROR(__xludf.DUMMYFUNCTION("""COMPUTED_VALUE"""),200.0)</f>
        <v>200</v>
      </c>
      <c r="Z70" s="28">
        <f t="shared" si="1"/>
        <v>1</v>
      </c>
      <c r="AA70" s="28">
        <f t="shared" si="2"/>
        <v>1</v>
      </c>
      <c r="AB70" s="28">
        <f t="shared" si="3"/>
        <v>1</v>
      </c>
      <c r="AC70" s="28">
        <f t="shared" si="4"/>
        <v>1</v>
      </c>
      <c r="AD70" s="28">
        <f t="shared" si="5"/>
        <v>1</v>
      </c>
      <c r="AE70" s="29">
        <f t="shared" si="6"/>
        <v>5</v>
      </c>
      <c r="AF70" s="28">
        <f t="shared" si="7"/>
        <v>1</v>
      </c>
      <c r="AG70" s="28">
        <f t="shared" si="8"/>
        <v>1</v>
      </c>
      <c r="AH70" s="28">
        <f t="shared" si="9"/>
        <v>1</v>
      </c>
      <c r="AI70" s="28">
        <f t="shared" si="10"/>
        <v>0</v>
      </c>
      <c r="AJ70" s="28">
        <f t="shared" si="11"/>
        <v>1</v>
      </c>
      <c r="AK70" s="29">
        <f t="shared" si="12"/>
        <v>4</v>
      </c>
      <c r="AL70" s="28">
        <f t="shared" si="13"/>
        <v>1</v>
      </c>
      <c r="AM70" s="28">
        <f t="shared" si="14"/>
        <v>1</v>
      </c>
      <c r="AN70" s="28">
        <f t="shared" si="15"/>
        <v>1</v>
      </c>
      <c r="AO70" s="28">
        <f t="shared" si="16"/>
        <v>1</v>
      </c>
      <c r="AP70" s="28">
        <f t="shared" si="17"/>
        <v>1</v>
      </c>
      <c r="AQ70" s="29">
        <f t="shared" si="18"/>
        <v>5</v>
      </c>
      <c r="AR70" s="28">
        <f t="shared" si="19"/>
        <v>0</v>
      </c>
      <c r="AS70" s="28">
        <f t="shared" si="20"/>
        <v>0</v>
      </c>
      <c r="AT70" s="28">
        <f t="shared" si="21"/>
        <v>1</v>
      </c>
      <c r="AU70" s="28">
        <f t="shared" si="22"/>
        <v>0</v>
      </c>
      <c r="AV70" s="28">
        <f t="shared" si="23"/>
        <v>0</v>
      </c>
      <c r="AW70" s="29">
        <f t="shared" si="24"/>
        <v>1</v>
      </c>
      <c r="AX70" s="22"/>
      <c r="AY70" s="26">
        <f t="shared" si="25"/>
        <v>5</v>
      </c>
      <c r="AZ70" s="26">
        <f t="shared" si="26"/>
        <v>4</v>
      </c>
      <c r="BA70" s="26">
        <f t="shared" si="27"/>
        <v>5</v>
      </c>
      <c r="BB70" s="26">
        <f t="shared" si="28"/>
        <v>1</v>
      </c>
      <c r="BC70" s="30">
        <f t="shared" si="29"/>
        <v>75</v>
      </c>
    </row>
    <row r="71">
      <c r="A71" s="31">
        <f>IFERROR(__xludf.DUMMYFUNCTION("""COMPUTED_VALUE"""),45949.43881651621)</f>
        <v>45949.43882</v>
      </c>
      <c r="B71" s="32" t="str">
        <f>IFERROR(__xludf.DUMMYFUNCTION("""COMPUTED_VALUE"""),"umar syahid")</f>
        <v>umar syahid</v>
      </c>
      <c r="C71" s="27" t="str">
        <f>IFERROR(__xludf.DUMMYFUNCTION("""COMPUTED_VALUE"""),"A250078")</f>
        <v>A250078</v>
      </c>
      <c r="D71" s="27" t="str">
        <f>IFERROR(__xludf.DUMMYFUNCTION("""COMPUTED_VALUE"""),"MTs Putra")</f>
        <v>MTs Putra</v>
      </c>
      <c r="E71" s="27" t="str">
        <f>IFERROR(__xludf.DUMMYFUNCTION("""COMPUTED_VALUE"""),"Ya")</f>
        <v>Ya</v>
      </c>
      <c r="F71" s="32" t="str">
        <f>IFERROR(__xludf.DUMMYFUNCTION("""COMPUTED_VALUE"""),"B. Aku bersaksi bahwa tidak ada tuhan yang berhak di sembah kecuali Allah")</f>
        <v>B. Aku bersaksi bahwa tidak ada tuhan yang berhak di sembah kecuali Allah</v>
      </c>
      <c r="G71" s="32">
        <f>IFERROR(__xludf.DUMMYFUNCTION("""COMPUTED_VALUE"""),6.0)</f>
        <v>6</v>
      </c>
      <c r="H71" s="32" t="str">
        <f>IFERROR(__xludf.DUMMYFUNCTION("""COMPUTED_VALUE"""),"1 Syawwal")</f>
        <v>1 Syawwal</v>
      </c>
      <c r="I71" s="32" t="str">
        <f>IFERROR(__xludf.DUMMYFUNCTION("""COMPUTED_VALUE"""),"Al Fatihah")</f>
        <v>Al Fatihah</v>
      </c>
      <c r="J71" s="32" t="str">
        <f>IFERROR(__xludf.DUMMYFUNCTION("""COMPUTED_VALUE"""),"Ali Bin Abi Thalib")</f>
        <v>Ali Bin Abi Thalib</v>
      </c>
      <c r="K71" s="32" t="str">
        <f>IFERROR(__xludf.DUMMYFUNCTION("""COMPUTED_VALUE"""),"giat")</f>
        <v>giat</v>
      </c>
      <c r="L71" s="32" t="str">
        <f>IFERROR(__xludf.DUMMYFUNCTION("""COMPUTED_VALUE"""),"dan")</f>
        <v>dan</v>
      </c>
      <c r="M71" s="32" t="str">
        <f>IFERROR(__xludf.DUMMYFUNCTION("""COMPUTED_VALUE"""),"Hafsah mengatakan bahwa ia ingin belajar di pesantren.")</f>
        <v>Hafsah mengatakan bahwa ia ingin belajar di pesantren.</v>
      </c>
      <c r="N71" s="32" t="str">
        <f>IFERROR(__xludf.DUMMYFUNCTION("""COMPUTED_VALUE"""),"Kalimat 1")</f>
        <v>Kalimat 1</v>
      </c>
      <c r="O71" s="32" t="str">
        <f>IFERROR(__xludf.DUMMYFUNCTION("""COMPUTED_VALUE"""),"cahaya")</f>
        <v>cahaya</v>
      </c>
      <c r="P71" s="32" t="str">
        <f>IFERROR(__xludf.DUMMYFUNCTION("""COMPUTED_VALUE"""),"Mutualisme")</f>
        <v>Mutualisme</v>
      </c>
      <c r="Q71" s="32" t="str">
        <f>IFERROR(__xludf.DUMMYFUNCTION("""COMPUTED_VALUE"""),"Angin")</f>
        <v>Angin</v>
      </c>
      <c r="R71" s="32" t="str">
        <f>IFERROR(__xludf.DUMMYFUNCTION("""COMPUTED_VALUE"""),"burung ketilang dan ulat")</f>
        <v>burung ketilang dan ulat</v>
      </c>
      <c r="S71" s="32" t="str">
        <f>IFERROR(__xludf.DUMMYFUNCTION("""COMPUTED_VALUE"""),"Menghasilkan klorofil")</f>
        <v>Menghasilkan klorofil</v>
      </c>
      <c r="T71" s="32" t="str">
        <f>IFERROR(__xludf.DUMMYFUNCTION("""COMPUTED_VALUE"""),"Kelinci")</f>
        <v>Kelinci</v>
      </c>
      <c r="U71" s="32">
        <f>IFERROR(__xludf.DUMMYFUNCTION("""COMPUTED_VALUE"""),-64.0)</f>
        <v>-64</v>
      </c>
      <c r="V71" s="32" t="str">
        <f>IFERROR(__xludf.DUMMYFUNCTION("""COMPUTED_VALUE"""),"3/4")</f>
        <v>3/4</v>
      </c>
      <c r="W71" s="32" t="str">
        <f>IFERROR(__xludf.DUMMYFUNCTION("""COMPUTED_VALUE"""),"1.800 meter")</f>
        <v>1.800 meter</v>
      </c>
      <c r="X71" s="32" t="str">
        <f>IFERROR(__xludf.DUMMYFUNCTION("""COMPUTED_VALUE"""),"28 cm")</f>
        <v>28 cm</v>
      </c>
      <c r="Y71" s="32">
        <f>IFERROR(__xludf.DUMMYFUNCTION("""COMPUTED_VALUE"""),200.0)</f>
        <v>200</v>
      </c>
      <c r="Z71" s="28">
        <f t="shared" si="1"/>
        <v>1</v>
      </c>
      <c r="AA71" s="28">
        <f t="shared" si="2"/>
        <v>1</v>
      </c>
      <c r="AB71" s="28">
        <f t="shared" si="3"/>
        <v>1</v>
      </c>
      <c r="AC71" s="28">
        <f t="shared" si="4"/>
        <v>0</v>
      </c>
      <c r="AD71" s="28">
        <f t="shared" si="5"/>
        <v>1</v>
      </c>
      <c r="AE71" s="29">
        <f t="shared" si="6"/>
        <v>4</v>
      </c>
      <c r="AF71" s="28">
        <f t="shared" si="7"/>
        <v>1</v>
      </c>
      <c r="AG71" s="28">
        <f t="shared" si="8"/>
        <v>1</v>
      </c>
      <c r="AH71" s="28">
        <f t="shared" si="9"/>
        <v>1</v>
      </c>
      <c r="AI71" s="28">
        <f t="shared" si="10"/>
        <v>1</v>
      </c>
      <c r="AJ71" s="28">
        <f t="shared" si="11"/>
        <v>1</v>
      </c>
      <c r="AK71" s="29">
        <f t="shared" si="12"/>
        <v>5</v>
      </c>
      <c r="AL71" s="28">
        <f t="shared" si="13"/>
        <v>0</v>
      </c>
      <c r="AM71" s="28">
        <f t="shared" si="14"/>
        <v>1</v>
      </c>
      <c r="AN71" s="28">
        <f t="shared" si="15"/>
        <v>0</v>
      </c>
      <c r="AO71" s="28">
        <f t="shared" si="16"/>
        <v>1</v>
      </c>
      <c r="AP71" s="28">
        <f t="shared" si="17"/>
        <v>1</v>
      </c>
      <c r="AQ71" s="29">
        <f t="shared" si="18"/>
        <v>3</v>
      </c>
      <c r="AR71" s="28">
        <f t="shared" si="19"/>
        <v>1</v>
      </c>
      <c r="AS71" s="28">
        <f t="shared" si="20"/>
        <v>1</v>
      </c>
      <c r="AT71" s="28">
        <f t="shared" si="21"/>
        <v>1</v>
      </c>
      <c r="AU71" s="28">
        <f t="shared" si="22"/>
        <v>0</v>
      </c>
      <c r="AV71" s="28">
        <f t="shared" si="23"/>
        <v>0</v>
      </c>
      <c r="AW71" s="29">
        <f t="shared" si="24"/>
        <v>3</v>
      </c>
      <c r="AX71" s="22"/>
      <c r="AY71" s="26">
        <f t="shared" si="25"/>
        <v>4</v>
      </c>
      <c r="AZ71" s="26">
        <f t="shared" si="26"/>
        <v>5</v>
      </c>
      <c r="BA71" s="26">
        <f t="shared" si="27"/>
        <v>3</v>
      </c>
      <c r="BB71" s="26">
        <f t="shared" si="28"/>
        <v>3</v>
      </c>
      <c r="BC71" s="30">
        <f t="shared" si="29"/>
        <v>75</v>
      </c>
    </row>
    <row r="72">
      <c r="A72" s="31">
        <f>IFERROR(__xludf.DUMMYFUNCTION("""COMPUTED_VALUE"""),45953.482913113425)</f>
        <v>45953.48291</v>
      </c>
      <c r="B72" s="32" t="str">
        <f>IFERROR(__xludf.DUMMYFUNCTION("""COMPUTED_VALUE"""),"Eshan Kazim")</f>
        <v>Eshan Kazim</v>
      </c>
      <c r="C72" s="27" t="str">
        <f>IFERROR(__xludf.DUMMYFUNCTION("""COMPUTED_VALUE"""),"A250074")</f>
        <v>A250074</v>
      </c>
      <c r="D72" s="27" t="str">
        <f>IFERROR(__xludf.DUMMYFUNCTION("""COMPUTED_VALUE"""),"MTs Putra")</f>
        <v>MTs Putra</v>
      </c>
      <c r="E72" s="27" t="str">
        <f>IFERROR(__xludf.DUMMYFUNCTION("""COMPUTED_VALUE"""),"Ya")</f>
        <v>Ya</v>
      </c>
      <c r="F72" s="32" t="str">
        <f>IFERROR(__xludf.DUMMYFUNCTION("""COMPUTED_VALUE"""),"B. Aku bersaksi bahwa tidak ada tuhan yang berhak di sembah kecuali Allah")</f>
        <v>B. Aku bersaksi bahwa tidak ada tuhan yang berhak di sembah kecuali Allah</v>
      </c>
      <c r="G72" s="32">
        <f>IFERROR(__xludf.DUMMYFUNCTION("""COMPUTED_VALUE"""),6.0)</f>
        <v>6</v>
      </c>
      <c r="H72" s="32" t="str">
        <f>IFERROR(__xludf.DUMMYFUNCTION("""COMPUTED_VALUE"""),"1 Syawwal")</f>
        <v>1 Syawwal</v>
      </c>
      <c r="I72" s="32" t="str">
        <f>IFERROR(__xludf.DUMMYFUNCTION("""COMPUTED_VALUE"""),"Al 'Alaq")</f>
        <v>Al 'Alaq</v>
      </c>
      <c r="J72" s="32" t="str">
        <f>IFERROR(__xludf.DUMMYFUNCTION("""COMPUTED_VALUE"""),"Ali Bin Abi Thalib")</f>
        <v>Ali Bin Abi Thalib</v>
      </c>
      <c r="K72" s="32" t="str">
        <f>IFERROR(__xludf.DUMMYFUNCTION("""COMPUTED_VALUE"""),"giat")</f>
        <v>giat</v>
      </c>
      <c r="L72" s="32" t="str">
        <f>IFERROR(__xludf.DUMMYFUNCTION("""COMPUTED_VALUE"""),"dan")</f>
        <v>dan</v>
      </c>
      <c r="M72" s="32" t="str">
        <f>IFERROR(__xludf.DUMMYFUNCTION("""COMPUTED_VALUE"""),"Hafsah mengatakan bahwa ia ingin belajar di pesantren.")</f>
        <v>Hafsah mengatakan bahwa ia ingin belajar di pesantren.</v>
      </c>
      <c r="N72" s="32" t="str">
        <f>IFERROR(__xludf.DUMMYFUNCTION("""COMPUTED_VALUE"""),"Kalimat 1")</f>
        <v>Kalimat 1</v>
      </c>
      <c r="O72" s="32" t="str">
        <f>IFERROR(__xludf.DUMMYFUNCTION("""COMPUTED_VALUE"""),"cahaya")</f>
        <v>cahaya</v>
      </c>
      <c r="P72" s="32" t="str">
        <f>IFERROR(__xludf.DUMMYFUNCTION("""COMPUTED_VALUE"""),"Parasitisme")</f>
        <v>Parasitisme</v>
      </c>
      <c r="Q72" s="32" t="str">
        <f>IFERROR(__xludf.DUMMYFUNCTION("""COMPUTED_VALUE"""),"Angin")</f>
        <v>Angin</v>
      </c>
      <c r="R72" s="32" t="str">
        <f>IFERROR(__xludf.DUMMYFUNCTION("""COMPUTED_VALUE"""),"belalang dan ular")</f>
        <v>belalang dan ular</v>
      </c>
      <c r="S72" s="32" t="str">
        <f>IFERROR(__xludf.DUMMYFUNCTION("""COMPUTED_VALUE"""),"Menghasilkan klorofil")</f>
        <v>Menghasilkan klorofil</v>
      </c>
      <c r="T72" s="32" t="str">
        <f>IFERROR(__xludf.DUMMYFUNCTION("""COMPUTED_VALUE"""),"Kelinci")</f>
        <v>Kelinci</v>
      </c>
      <c r="U72" s="32">
        <f>IFERROR(__xludf.DUMMYFUNCTION("""COMPUTED_VALUE"""),-64.0)</f>
        <v>-64</v>
      </c>
      <c r="V72" s="32" t="str">
        <f>IFERROR(__xludf.DUMMYFUNCTION("""COMPUTED_VALUE"""),"3/4")</f>
        <v>3/4</v>
      </c>
      <c r="W72" s="32" t="str">
        <f>IFERROR(__xludf.DUMMYFUNCTION("""COMPUTED_VALUE"""),"1.800 meter")</f>
        <v>1.800 meter</v>
      </c>
      <c r="X72" s="32" t="str">
        <f>IFERROR(__xludf.DUMMYFUNCTION("""COMPUTED_VALUE"""),"22 cm")</f>
        <v>22 cm</v>
      </c>
      <c r="Y72" s="32">
        <f>IFERROR(__xludf.DUMMYFUNCTION("""COMPUTED_VALUE"""),200.0)</f>
        <v>200</v>
      </c>
      <c r="Z72" s="28">
        <f t="shared" si="1"/>
        <v>1</v>
      </c>
      <c r="AA72" s="28">
        <f t="shared" si="2"/>
        <v>1</v>
      </c>
      <c r="AB72" s="28">
        <f t="shared" si="3"/>
        <v>1</v>
      </c>
      <c r="AC72" s="28">
        <f t="shared" si="4"/>
        <v>1</v>
      </c>
      <c r="AD72" s="28">
        <f t="shared" si="5"/>
        <v>1</v>
      </c>
      <c r="AE72" s="29">
        <f t="shared" si="6"/>
        <v>5</v>
      </c>
      <c r="AF72" s="28">
        <f t="shared" si="7"/>
        <v>1</v>
      </c>
      <c r="AG72" s="28">
        <f t="shared" si="8"/>
        <v>1</v>
      </c>
      <c r="AH72" s="28">
        <f t="shared" si="9"/>
        <v>1</v>
      </c>
      <c r="AI72" s="28">
        <f t="shared" si="10"/>
        <v>1</v>
      </c>
      <c r="AJ72" s="28">
        <f t="shared" si="11"/>
        <v>1</v>
      </c>
      <c r="AK72" s="29">
        <f t="shared" si="12"/>
        <v>5</v>
      </c>
      <c r="AL72" s="28">
        <f t="shared" si="13"/>
        <v>1</v>
      </c>
      <c r="AM72" s="28">
        <f t="shared" si="14"/>
        <v>1</v>
      </c>
      <c r="AN72" s="28">
        <f t="shared" si="15"/>
        <v>1</v>
      </c>
      <c r="AO72" s="28">
        <f t="shared" si="16"/>
        <v>1</v>
      </c>
      <c r="AP72" s="28">
        <f t="shared" si="17"/>
        <v>1</v>
      </c>
      <c r="AQ72" s="29">
        <f t="shared" si="18"/>
        <v>5</v>
      </c>
      <c r="AR72" s="28">
        <f t="shared" si="19"/>
        <v>1</v>
      </c>
      <c r="AS72" s="28">
        <f t="shared" si="20"/>
        <v>1</v>
      </c>
      <c r="AT72" s="28">
        <f t="shared" si="21"/>
        <v>1</v>
      </c>
      <c r="AU72" s="28">
        <f t="shared" si="22"/>
        <v>1</v>
      </c>
      <c r="AV72" s="28">
        <f t="shared" si="23"/>
        <v>0</v>
      </c>
      <c r="AW72" s="29">
        <f t="shared" si="24"/>
        <v>4</v>
      </c>
      <c r="AX72" s="22"/>
      <c r="AY72" s="26">
        <f t="shared" si="25"/>
        <v>5</v>
      </c>
      <c r="AZ72" s="26">
        <f t="shared" si="26"/>
        <v>5</v>
      </c>
      <c r="BA72" s="26">
        <f t="shared" si="27"/>
        <v>5</v>
      </c>
      <c r="BB72" s="26">
        <f t="shared" si="28"/>
        <v>4</v>
      </c>
      <c r="BC72" s="30">
        <f t="shared" si="29"/>
        <v>95</v>
      </c>
    </row>
    <row r="73">
      <c r="A73" s="31">
        <f>IFERROR(__xludf.DUMMYFUNCTION("""COMPUTED_VALUE"""),45955.45663270833)</f>
        <v>45955.45663</v>
      </c>
      <c r="B73" s="32" t="str">
        <f>IFERROR(__xludf.DUMMYFUNCTION("""COMPUTED_VALUE"""),"MUHAMMAD NADHIF RAISYAUQI")</f>
        <v>MUHAMMAD NADHIF RAISYAUQI</v>
      </c>
      <c r="C73" s="27" t="str">
        <f>IFERROR(__xludf.DUMMYFUNCTION("""COMPUTED_VALUE"""),"A250075")</f>
        <v>A250075</v>
      </c>
      <c r="D73" s="27" t="str">
        <f>IFERROR(__xludf.DUMMYFUNCTION("""COMPUTED_VALUE"""),"MTs Putra")</f>
        <v>MTs Putra</v>
      </c>
      <c r="E73" s="27" t="str">
        <f>IFERROR(__xludf.DUMMYFUNCTION("""COMPUTED_VALUE"""),"Ya")</f>
        <v>Ya</v>
      </c>
      <c r="F73" s="32" t="str">
        <f>IFERROR(__xludf.DUMMYFUNCTION("""COMPUTED_VALUE"""),"B. Aku bersaksi bahwa tidak ada tuhan yang berhak di sembah kecuali Allah")</f>
        <v>B. Aku bersaksi bahwa tidak ada tuhan yang berhak di sembah kecuali Allah</v>
      </c>
      <c r="G73" s="32">
        <f>IFERROR(__xludf.DUMMYFUNCTION("""COMPUTED_VALUE"""),6.0)</f>
        <v>6</v>
      </c>
      <c r="H73" s="32" t="str">
        <f>IFERROR(__xludf.DUMMYFUNCTION("""COMPUTED_VALUE"""),"1 Syawwal")</f>
        <v>1 Syawwal</v>
      </c>
      <c r="I73" s="32" t="str">
        <f>IFERROR(__xludf.DUMMYFUNCTION("""COMPUTED_VALUE"""),"Al 'Alaq")</f>
        <v>Al 'Alaq</v>
      </c>
      <c r="J73" s="32" t="str">
        <f>IFERROR(__xludf.DUMMYFUNCTION("""COMPUTED_VALUE"""),"Ali Bin Abi Thalib")</f>
        <v>Ali Bin Abi Thalib</v>
      </c>
      <c r="K73" s="32" t="str">
        <f>IFERROR(__xludf.DUMMYFUNCTION("""COMPUTED_VALUE"""),"giat")</f>
        <v>giat</v>
      </c>
      <c r="L73" s="32" t="str">
        <f>IFERROR(__xludf.DUMMYFUNCTION("""COMPUTED_VALUE"""),"dan")</f>
        <v>dan</v>
      </c>
      <c r="M73" s="32" t="str">
        <f>IFERROR(__xludf.DUMMYFUNCTION("""COMPUTED_VALUE"""),"Hafsah mengatakan bahwa ia ingin belajar di pesantren.")</f>
        <v>Hafsah mengatakan bahwa ia ingin belajar di pesantren.</v>
      </c>
      <c r="N73" s="32" t="str">
        <f>IFERROR(__xludf.DUMMYFUNCTION("""COMPUTED_VALUE"""),"Kalimat 1")</f>
        <v>Kalimat 1</v>
      </c>
      <c r="O73" s="32" t="str">
        <f>IFERROR(__xludf.DUMMYFUNCTION("""COMPUTED_VALUE"""),"cahaya")</f>
        <v>cahaya</v>
      </c>
      <c r="P73" s="32" t="str">
        <f>IFERROR(__xludf.DUMMYFUNCTION("""COMPUTED_VALUE"""),"Parasitisme")</f>
        <v>Parasitisme</v>
      </c>
      <c r="Q73" s="32" t="str">
        <f>IFERROR(__xludf.DUMMYFUNCTION("""COMPUTED_VALUE"""),"Angin")</f>
        <v>Angin</v>
      </c>
      <c r="R73" s="32" t="str">
        <f>IFERROR(__xludf.DUMMYFUNCTION("""COMPUTED_VALUE"""),"belalang dan ular")</f>
        <v>belalang dan ular</v>
      </c>
      <c r="S73" s="32" t="str">
        <f>IFERROR(__xludf.DUMMYFUNCTION("""COMPUTED_VALUE"""),"Menghasilkan klorofil")</f>
        <v>Menghasilkan klorofil</v>
      </c>
      <c r="T73" s="32" t="str">
        <f>IFERROR(__xludf.DUMMYFUNCTION("""COMPUTED_VALUE"""),"Kelinci")</f>
        <v>Kelinci</v>
      </c>
      <c r="U73" s="32">
        <f>IFERROR(__xludf.DUMMYFUNCTION("""COMPUTED_VALUE"""),-64.0)</f>
        <v>-64</v>
      </c>
      <c r="V73" s="32" t="str">
        <f>IFERROR(__xludf.DUMMYFUNCTION("""COMPUTED_VALUE"""),"3/4")</f>
        <v>3/4</v>
      </c>
      <c r="W73" s="32" t="str">
        <f>IFERROR(__xludf.DUMMYFUNCTION("""COMPUTED_VALUE"""),"1.800 meter")</f>
        <v>1.800 meter</v>
      </c>
      <c r="X73" s="32" t="str">
        <f>IFERROR(__xludf.DUMMYFUNCTION("""COMPUTED_VALUE"""),"28 cm")</f>
        <v>28 cm</v>
      </c>
      <c r="Y73" s="32">
        <f>IFERROR(__xludf.DUMMYFUNCTION("""COMPUTED_VALUE"""),200.0)</f>
        <v>200</v>
      </c>
      <c r="Z73" s="28">
        <f t="shared" si="1"/>
        <v>1</v>
      </c>
      <c r="AA73" s="28">
        <f t="shared" si="2"/>
        <v>1</v>
      </c>
      <c r="AB73" s="28">
        <f t="shared" si="3"/>
        <v>1</v>
      </c>
      <c r="AC73" s="28">
        <f t="shared" si="4"/>
        <v>1</v>
      </c>
      <c r="AD73" s="28">
        <f t="shared" si="5"/>
        <v>1</v>
      </c>
      <c r="AE73" s="29">
        <f t="shared" si="6"/>
        <v>5</v>
      </c>
      <c r="AF73" s="28">
        <f t="shared" si="7"/>
        <v>1</v>
      </c>
      <c r="AG73" s="28">
        <f t="shared" si="8"/>
        <v>1</v>
      </c>
      <c r="AH73" s="28">
        <f t="shared" si="9"/>
        <v>1</v>
      </c>
      <c r="AI73" s="28">
        <f t="shared" si="10"/>
        <v>1</v>
      </c>
      <c r="AJ73" s="28">
        <f t="shared" si="11"/>
        <v>1</v>
      </c>
      <c r="AK73" s="29">
        <f t="shared" si="12"/>
        <v>5</v>
      </c>
      <c r="AL73" s="28">
        <f t="shared" si="13"/>
        <v>1</v>
      </c>
      <c r="AM73" s="28">
        <f t="shared" si="14"/>
        <v>1</v>
      </c>
      <c r="AN73" s="28">
        <f t="shared" si="15"/>
        <v>1</v>
      </c>
      <c r="AO73" s="28">
        <f t="shared" si="16"/>
        <v>1</v>
      </c>
      <c r="AP73" s="28">
        <f t="shared" si="17"/>
        <v>1</v>
      </c>
      <c r="AQ73" s="29">
        <f t="shared" si="18"/>
        <v>5</v>
      </c>
      <c r="AR73" s="28">
        <f t="shared" si="19"/>
        <v>1</v>
      </c>
      <c r="AS73" s="28">
        <f t="shared" si="20"/>
        <v>1</v>
      </c>
      <c r="AT73" s="28">
        <f t="shared" si="21"/>
        <v>1</v>
      </c>
      <c r="AU73" s="28">
        <f t="shared" si="22"/>
        <v>0</v>
      </c>
      <c r="AV73" s="28">
        <f t="shared" si="23"/>
        <v>0</v>
      </c>
      <c r="AW73" s="29">
        <f t="shared" si="24"/>
        <v>3</v>
      </c>
      <c r="AX73" s="22"/>
      <c r="AY73" s="26">
        <f t="shared" si="25"/>
        <v>5</v>
      </c>
      <c r="AZ73" s="26">
        <f t="shared" si="26"/>
        <v>5</v>
      </c>
      <c r="BA73" s="26">
        <f t="shared" si="27"/>
        <v>5</v>
      </c>
      <c r="BB73" s="26">
        <f t="shared" si="28"/>
        <v>3</v>
      </c>
      <c r="BC73" s="30">
        <f t="shared" si="29"/>
        <v>90</v>
      </c>
    </row>
    <row r="74">
      <c r="A74" s="31">
        <f>IFERROR(__xludf.DUMMYFUNCTION("""COMPUTED_VALUE"""),45956.50240262732)</f>
        <v>45956.5024</v>
      </c>
      <c r="B74" s="32" t="str">
        <f>IFERROR(__xludf.DUMMYFUNCTION("""COMPUTED_VALUE"""),"Alfarizy Fauzan Wijaya ")</f>
        <v>Alfarizy Fauzan Wijaya </v>
      </c>
      <c r="C74" s="27" t="str">
        <f>IFERROR(__xludf.DUMMYFUNCTION("""COMPUTED_VALUE"""),"A250068")</f>
        <v>A250068</v>
      </c>
      <c r="D74" s="27" t="str">
        <f>IFERROR(__xludf.DUMMYFUNCTION("""COMPUTED_VALUE"""),"MTs Putra")</f>
        <v>MTs Putra</v>
      </c>
      <c r="E74" s="27" t="str">
        <f>IFERROR(__xludf.DUMMYFUNCTION("""COMPUTED_VALUE"""),"Ya")</f>
        <v>Ya</v>
      </c>
      <c r="F74" s="32" t="str">
        <f>IFERROR(__xludf.DUMMYFUNCTION("""COMPUTED_VALUE"""),"B. Aku bersaksi bahwa tidak ada tuhan yang berhak di sembah kecuali Allah")</f>
        <v>B. Aku bersaksi bahwa tidak ada tuhan yang berhak di sembah kecuali Allah</v>
      </c>
      <c r="G74" s="32">
        <f>IFERROR(__xludf.DUMMYFUNCTION("""COMPUTED_VALUE"""),6.0)</f>
        <v>6</v>
      </c>
      <c r="H74" s="32" t="str">
        <f>IFERROR(__xludf.DUMMYFUNCTION("""COMPUTED_VALUE"""),"1 Syawwal")</f>
        <v>1 Syawwal</v>
      </c>
      <c r="I74" s="32" t="str">
        <f>IFERROR(__xludf.DUMMYFUNCTION("""COMPUTED_VALUE"""),"Al 'Alaq")</f>
        <v>Al 'Alaq</v>
      </c>
      <c r="J74" s="32" t="str">
        <f>IFERROR(__xludf.DUMMYFUNCTION("""COMPUTED_VALUE"""),"Ali Bin Abi Thalib")</f>
        <v>Ali Bin Abi Thalib</v>
      </c>
      <c r="K74" s="32" t="str">
        <f>IFERROR(__xludf.DUMMYFUNCTION("""COMPUTED_VALUE"""),"giat")</f>
        <v>giat</v>
      </c>
      <c r="L74" s="32" t="str">
        <f>IFERROR(__xludf.DUMMYFUNCTION("""COMPUTED_VALUE"""),"dan")</f>
        <v>dan</v>
      </c>
      <c r="M74" s="32" t="str">
        <f>IFERROR(__xludf.DUMMYFUNCTION("""COMPUTED_VALUE"""),"Aku berkata Hafsah ingin belajar di pesantren.")</f>
        <v>Aku berkata Hafsah ingin belajar di pesantren.</v>
      </c>
      <c r="N74" s="32" t="str">
        <f>IFERROR(__xludf.DUMMYFUNCTION("""COMPUTED_VALUE"""),"Kalimat 1")</f>
        <v>Kalimat 1</v>
      </c>
      <c r="O74" s="32" t="str">
        <f>IFERROR(__xludf.DUMMYFUNCTION("""COMPUTED_VALUE"""),"cahaya")</f>
        <v>cahaya</v>
      </c>
      <c r="P74" s="32" t="str">
        <f>IFERROR(__xludf.DUMMYFUNCTION("""COMPUTED_VALUE"""),"Parasitisme")</f>
        <v>Parasitisme</v>
      </c>
      <c r="Q74" s="32" t="str">
        <f>IFERROR(__xludf.DUMMYFUNCTION("""COMPUTED_VALUE"""),"Angin")</f>
        <v>Angin</v>
      </c>
      <c r="R74" s="32" t="str">
        <f>IFERROR(__xludf.DUMMYFUNCTION("""COMPUTED_VALUE"""),"belalang dan ular")</f>
        <v>belalang dan ular</v>
      </c>
      <c r="S74" s="32" t="str">
        <f>IFERROR(__xludf.DUMMYFUNCTION("""COMPUTED_VALUE"""),"Daun yang pipih dan lebar")</f>
        <v>Daun yang pipih dan lebar</v>
      </c>
      <c r="T74" s="32" t="str">
        <f>IFERROR(__xludf.DUMMYFUNCTION("""COMPUTED_VALUE"""),"Kelinci")</f>
        <v>Kelinci</v>
      </c>
      <c r="U74" s="32">
        <f>IFERROR(__xludf.DUMMYFUNCTION("""COMPUTED_VALUE"""),-64.0)</f>
        <v>-64</v>
      </c>
      <c r="V74" s="32" t="str">
        <f>IFERROR(__xludf.DUMMYFUNCTION("""COMPUTED_VALUE"""),"3/4")</f>
        <v>3/4</v>
      </c>
      <c r="W74" s="32" t="str">
        <f>IFERROR(__xludf.DUMMYFUNCTION("""COMPUTED_VALUE"""),"1.800 meter")</f>
        <v>1.800 meter</v>
      </c>
      <c r="X74" s="32" t="str">
        <f>IFERROR(__xludf.DUMMYFUNCTION("""COMPUTED_VALUE"""),"22 cm")</f>
        <v>22 cm</v>
      </c>
      <c r="Y74" s="32">
        <f>IFERROR(__xludf.DUMMYFUNCTION("""COMPUTED_VALUE"""),200.0)</f>
        <v>200</v>
      </c>
      <c r="Z74" s="28">
        <f t="shared" si="1"/>
        <v>1</v>
      </c>
      <c r="AA74" s="28">
        <f t="shared" si="2"/>
        <v>1</v>
      </c>
      <c r="AB74" s="28">
        <f t="shared" si="3"/>
        <v>1</v>
      </c>
      <c r="AC74" s="28">
        <f t="shared" si="4"/>
        <v>1</v>
      </c>
      <c r="AD74" s="28">
        <f t="shared" si="5"/>
        <v>1</v>
      </c>
      <c r="AE74" s="29">
        <f t="shared" si="6"/>
        <v>5</v>
      </c>
      <c r="AF74" s="28">
        <f t="shared" si="7"/>
        <v>1</v>
      </c>
      <c r="AG74" s="28">
        <f t="shared" si="8"/>
        <v>1</v>
      </c>
      <c r="AH74" s="28">
        <f t="shared" si="9"/>
        <v>0</v>
      </c>
      <c r="AI74" s="28">
        <f t="shared" si="10"/>
        <v>1</v>
      </c>
      <c r="AJ74" s="28">
        <f t="shared" si="11"/>
        <v>1</v>
      </c>
      <c r="AK74" s="29">
        <f t="shared" si="12"/>
        <v>4</v>
      </c>
      <c r="AL74" s="28">
        <f t="shared" si="13"/>
        <v>1</v>
      </c>
      <c r="AM74" s="28">
        <f t="shared" si="14"/>
        <v>1</v>
      </c>
      <c r="AN74" s="28">
        <f t="shared" si="15"/>
        <v>1</v>
      </c>
      <c r="AO74" s="28">
        <f t="shared" si="16"/>
        <v>0</v>
      </c>
      <c r="AP74" s="28">
        <f t="shared" si="17"/>
        <v>1</v>
      </c>
      <c r="AQ74" s="29">
        <f t="shared" si="18"/>
        <v>4</v>
      </c>
      <c r="AR74" s="28">
        <f t="shared" si="19"/>
        <v>1</v>
      </c>
      <c r="AS74" s="28">
        <f t="shared" si="20"/>
        <v>1</v>
      </c>
      <c r="AT74" s="28">
        <f t="shared" si="21"/>
        <v>1</v>
      </c>
      <c r="AU74" s="28">
        <f t="shared" si="22"/>
        <v>1</v>
      </c>
      <c r="AV74" s="28">
        <f t="shared" si="23"/>
        <v>0</v>
      </c>
      <c r="AW74" s="29">
        <f t="shared" si="24"/>
        <v>4</v>
      </c>
      <c r="AX74" s="22"/>
      <c r="AY74" s="26">
        <f t="shared" si="25"/>
        <v>5</v>
      </c>
      <c r="AZ74" s="26">
        <f t="shared" si="26"/>
        <v>4</v>
      </c>
      <c r="BA74" s="26">
        <f t="shared" si="27"/>
        <v>4</v>
      </c>
      <c r="BB74" s="26">
        <f t="shared" si="28"/>
        <v>4</v>
      </c>
      <c r="BC74" s="30">
        <f t="shared" si="29"/>
        <v>85</v>
      </c>
    </row>
    <row r="75">
      <c r="A75" s="31">
        <f>IFERROR(__xludf.DUMMYFUNCTION("""COMPUTED_VALUE"""),45961.55273899305)</f>
        <v>45961.55274</v>
      </c>
      <c r="B75" s="32" t="str">
        <f>IFERROR(__xludf.DUMMYFUNCTION("""COMPUTED_VALUE"""),"Fathi Fahlevi Fahmi")</f>
        <v>Fathi Fahlevi Fahmi</v>
      </c>
      <c r="C75" s="27" t="str">
        <f>IFERROR(__xludf.DUMMYFUNCTION("""COMPUTED_VALUE"""),"A250011")</f>
        <v>A250011</v>
      </c>
      <c r="D75" s="27" t="str">
        <f>IFERROR(__xludf.DUMMYFUNCTION("""COMPUTED_VALUE"""),"MTs Putra")</f>
        <v>MTs Putra</v>
      </c>
      <c r="E75" s="27" t="str">
        <f>IFERROR(__xludf.DUMMYFUNCTION("""COMPUTED_VALUE"""),"Ya")</f>
        <v>Ya</v>
      </c>
      <c r="F75" s="32" t="str">
        <f>IFERROR(__xludf.DUMMYFUNCTION("""COMPUTED_VALUE"""),"B. Aku bersaksi bahwa tidak ada tuhan yang berhak di sembah kecuali Allah")</f>
        <v>B. Aku bersaksi bahwa tidak ada tuhan yang berhak di sembah kecuali Allah</v>
      </c>
      <c r="G75" s="32">
        <f>IFERROR(__xludf.DUMMYFUNCTION("""COMPUTED_VALUE"""),6.0)</f>
        <v>6</v>
      </c>
      <c r="H75" s="32" t="str">
        <f>IFERROR(__xludf.DUMMYFUNCTION("""COMPUTED_VALUE"""),"1 Syawwal")</f>
        <v>1 Syawwal</v>
      </c>
      <c r="I75" s="32" t="str">
        <f>IFERROR(__xludf.DUMMYFUNCTION("""COMPUTED_VALUE"""),"Al 'Alaq")</f>
        <v>Al 'Alaq</v>
      </c>
      <c r="J75" s="32" t="str">
        <f>IFERROR(__xludf.DUMMYFUNCTION("""COMPUTED_VALUE"""),"Ali Bin Abi Thalib")</f>
        <v>Ali Bin Abi Thalib</v>
      </c>
      <c r="K75" s="32" t="str">
        <f>IFERROR(__xludf.DUMMYFUNCTION("""COMPUTED_VALUE"""),"giat")</f>
        <v>giat</v>
      </c>
      <c r="L75" s="32" t="str">
        <f>IFERROR(__xludf.DUMMYFUNCTION("""COMPUTED_VALUE"""),"dan")</f>
        <v>dan</v>
      </c>
      <c r="M75" s="32" t="str">
        <f>IFERROR(__xludf.DUMMYFUNCTION("""COMPUTED_VALUE"""),"Hafsah mengatakan bahwa ia ingin belajar di pesantren.")</f>
        <v>Hafsah mengatakan bahwa ia ingin belajar di pesantren.</v>
      </c>
      <c r="N75" s="32" t="str">
        <f>IFERROR(__xludf.DUMMYFUNCTION("""COMPUTED_VALUE"""),"Kalimat 1")</f>
        <v>Kalimat 1</v>
      </c>
      <c r="O75" s="32" t="str">
        <f>IFERROR(__xludf.DUMMYFUNCTION("""COMPUTED_VALUE"""),"cahaya")</f>
        <v>cahaya</v>
      </c>
      <c r="P75" s="32" t="str">
        <f>IFERROR(__xludf.DUMMYFUNCTION("""COMPUTED_VALUE"""),"Parasitisme")</f>
        <v>Parasitisme</v>
      </c>
      <c r="Q75" s="32" t="str">
        <f>IFERROR(__xludf.DUMMYFUNCTION("""COMPUTED_VALUE"""),"Angin")</f>
        <v>Angin</v>
      </c>
      <c r="R75" s="32" t="str">
        <f>IFERROR(__xludf.DUMMYFUNCTION("""COMPUTED_VALUE"""),"belalang dan ular")</f>
        <v>belalang dan ular</v>
      </c>
      <c r="S75" s="32" t="str">
        <f>IFERROR(__xludf.DUMMYFUNCTION("""COMPUTED_VALUE"""),"Memiliki stomata")</f>
        <v>Memiliki stomata</v>
      </c>
      <c r="T75" s="32" t="str">
        <f>IFERROR(__xludf.DUMMYFUNCTION("""COMPUTED_VALUE"""),"Kelinci")</f>
        <v>Kelinci</v>
      </c>
      <c r="U75" s="32">
        <f>IFERROR(__xludf.DUMMYFUNCTION("""COMPUTED_VALUE"""),-64.0)</f>
        <v>-64</v>
      </c>
      <c r="V75" s="32" t="str">
        <f>IFERROR(__xludf.DUMMYFUNCTION("""COMPUTED_VALUE"""),"4/3")</f>
        <v>4/3</v>
      </c>
      <c r="W75" s="32" t="str">
        <f>IFERROR(__xludf.DUMMYFUNCTION("""COMPUTED_VALUE"""),"1.800 meter")</f>
        <v>1.800 meter</v>
      </c>
      <c r="X75" s="32" t="str">
        <f>IFERROR(__xludf.DUMMYFUNCTION("""COMPUTED_VALUE"""),"28 cm")</f>
        <v>28 cm</v>
      </c>
      <c r="Y75" s="32">
        <f>IFERROR(__xludf.DUMMYFUNCTION("""COMPUTED_VALUE"""),200.0)</f>
        <v>200</v>
      </c>
      <c r="Z75" s="28">
        <f t="shared" si="1"/>
        <v>1</v>
      </c>
      <c r="AA75" s="28">
        <f t="shared" si="2"/>
        <v>1</v>
      </c>
      <c r="AB75" s="28">
        <f t="shared" si="3"/>
        <v>1</v>
      </c>
      <c r="AC75" s="28">
        <f t="shared" si="4"/>
        <v>1</v>
      </c>
      <c r="AD75" s="28">
        <f t="shared" si="5"/>
        <v>1</v>
      </c>
      <c r="AE75" s="29">
        <f t="shared" si="6"/>
        <v>5</v>
      </c>
      <c r="AF75" s="28">
        <f t="shared" si="7"/>
        <v>1</v>
      </c>
      <c r="AG75" s="28">
        <f t="shared" si="8"/>
        <v>1</v>
      </c>
      <c r="AH75" s="28">
        <f t="shared" si="9"/>
        <v>1</v>
      </c>
      <c r="AI75" s="28">
        <f t="shared" si="10"/>
        <v>1</v>
      </c>
      <c r="AJ75" s="28">
        <f t="shared" si="11"/>
        <v>1</v>
      </c>
      <c r="AK75" s="29">
        <f t="shared" si="12"/>
        <v>5</v>
      </c>
      <c r="AL75" s="28">
        <f t="shared" si="13"/>
        <v>1</v>
      </c>
      <c r="AM75" s="28">
        <f t="shared" si="14"/>
        <v>1</v>
      </c>
      <c r="AN75" s="28">
        <f t="shared" si="15"/>
        <v>1</v>
      </c>
      <c r="AO75" s="28">
        <f t="shared" si="16"/>
        <v>0</v>
      </c>
      <c r="AP75" s="28">
        <f t="shared" si="17"/>
        <v>1</v>
      </c>
      <c r="AQ75" s="29">
        <f t="shared" si="18"/>
        <v>4</v>
      </c>
      <c r="AR75" s="28">
        <f t="shared" si="19"/>
        <v>1</v>
      </c>
      <c r="AS75" s="28">
        <f t="shared" si="20"/>
        <v>0</v>
      </c>
      <c r="AT75" s="28">
        <f t="shared" si="21"/>
        <v>1</v>
      </c>
      <c r="AU75" s="28">
        <f t="shared" si="22"/>
        <v>0</v>
      </c>
      <c r="AV75" s="28">
        <f t="shared" si="23"/>
        <v>0</v>
      </c>
      <c r="AW75" s="29">
        <f t="shared" si="24"/>
        <v>2</v>
      </c>
      <c r="AX75" s="22"/>
      <c r="AY75" s="26">
        <f t="shared" si="25"/>
        <v>5</v>
      </c>
      <c r="AZ75" s="26">
        <f t="shared" si="26"/>
        <v>5</v>
      </c>
      <c r="BA75" s="26">
        <f t="shared" si="27"/>
        <v>4</v>
      </c>
      <c r="BB75" s="26">
        <f t="shared" si="28"/>
        <v>2</v>
      </c>
      <c r="BC75" s="30">
        <f t="shared" si="29"/>
        <v>80</v>
      </c>
    </row>
    <row r="76">
      <c r="A76" s="31">
        <f>IFERROR(__xludf.DUMMYFUNCTION("""COMPUTED_VALUE"""),45961.80815577546)</f>
        <v>45961.80816</v>
      </c>
      <c r="B76" s="32" t="str">
        <f>IFERROR(__xludf.DUMMYFUNCTION("""COMPUTED_VALUE"""),"Arjuna Permana putra ")</f>
        <v>Arjuna Permana putra </v>
      </c>
      <c r="C76" s="27" t="str">
        <f>IFERROR(__xludf.DUMMYFUNCTION("""COMPUTED_VALUE"""),"A250022")</f>
        <v>A250022</v>
      </c>
      <c r="D76" s="27" t="str">
        <f>IFERROR(__xludf.DUMMYFUNCTION("""COMPUTED_VALUE"""),"MTs Putra")</f>
        <v>MTs Putra</v>
      </c>
      <c r="E76" s="27" t="str">
        <f>IFERROR(__xludf.DUMMYFUNCTION("""COMPUTED_VALUE"""),"Ya")</f>
        <v>Ya</v>
      </c>
      <c r="F76" s="32" t="str">
        <f>IFERROR(__xludf.DUMMYFUNCTION("""COMPUTED_VALUE"""),"B. Aku bersaksi bahwa tidak ada tuhan yang berhak di sembah kecuali Allah")</f>
        <v>B. Aku bersaksi bahwa tidak ada tuhan yang berhak di sembah kecuali Allah</v>
      </c>
      <c r="G76" s="32">
        <f>IFERROR(__xludf.DUMMYFUNCTION("""COMPUTED_VALUE"""),6.0)</f>
        <v>6</v>
      </c>
      <c r="H76" s="32" t="str">
        <f>IFERROR(__xludf.DUMMYFUNCTION("""COMPUTED_VALUE"""),"1 Syawwal")</f>
        <v>1 Syawwal</v>
      </c>
      <c r="I76" s="32" t="str">
        <f>IFERROR(__xludf.DUMMYFUNCTION("""COMPUTED_VALUE"""),"Al 'Alaq")</f>
        <v>Al 'Alaq</v>
      </c>
      <c r="J76" s="32" t="str">
        <f>IFERROR(__xludf.DUMMYFUNCTION("""COMPUTED_VALUE"""),"Ali Bin Abi Thalib")</f>
        <v>Ali Bin Abi Thalib</v>
      </c>
      <c r="K76" s="32" t="str">
        <f>IFERROR(__xludf.DUMMYFUNCTION("""COMPUTED_VALUE"""),"giat")</f>
        <v>giat</v>
      </c>
      <c r="L76" s="32" t="str">
        <f>IFERROR(__xludf.DUMMYFUNCTION("""COMPUTED_VALUE"""),"dan")</f>
        <v>dan</v>
      </c>
      <c r="M76" s="32" t="str">
        <f>IFERROR(__xludf.DUMMYFUNCTION("""COMPUTED_VALUE"""),"Hafsah mengatakan bahwa ia ingin belajar di pesantren.")</f>
        <v>Hafsah mengatakan bahwa ia ingin belajar di pesantren.</v>
      </c>
      <c r="N76" s="32" t="str">
        <f>IFERROR(__xludf.DUMMYFUNCTION("""COMPUTED_VALUE"""),"Kalimat 1")</f>
        <v>Kalimat 1</v>
      </c>
      <c r="O76" s="32" t="str">
        <f>IFERROR(__xludf.DUMMYFUNCTION("""COMPUTED_VALUE"""),"cahaya")</f>
        <v>cahaya</v>
      </c>
      <c r="P76" s="32" t="str">
        <f>IFERROR(__xludf.DUMMYFUNCTION("""COMPUTED_VALUE"""),"Mutualisme")</f>
        <v>Mutualisme</v>
      </c>
      <c r="Q76" s="32" t="str">
        <f>IFERROR(__xludf.DUMMYFUNCTION("""COMPUTED_VALUE"""),"Angin")</f>
        <v>Angin</v>
      </c>
      <c r="R76" s="32" t="str">
        <f>IFERROR(__xludf.DUMMYFUNCTION("""COMPUTED_VALUE"""),"belalang dan ular")</f>
        <v>belalang dan ular</v>
      </c>
      <c r="S76" s="32" t="str">
        <f>IFERROR(__xludf.DUMMYFUNCTION("""COMPUTED_VALUE"""),"Menghasilkan klorofil")</f>
        <v>Menghasilkan klorofil</v>
      </c>
      <c r="T76" s="32" t="str">
        <f>IFERROR(__xludf.DUMMYFUNCTION("""COMPUTED_VALUE"""),"Kelinci")</f>
        <v>Kelinci</v>
      </c>
      <c r="U76" s="32">
        <f>IFERROR(__xludf.DUMMYFUNCTION("""COMPUTED_VALUE"""),-64.0)</f>
        <v>-64</v>
      </c>
      <c r="V76" s="32" t="str">
        <f>IFERROR(__xludf.DUMMYFUNCTION("""COMPUTED_VALUE"""),"3/4")</f>
        <v>3/4</v>
      </c>
      <c r="W76" s="32" t="str">
        <f>IFERROR(__xludf.DUMMYFUNCTION("""COMPUTED_VALUE"""),"1.800 meter")</f>
        <v>1.800 meter</v>
      </c>
      <c r="X76" s="32" t="str">
        <f>IFERROR(__xludf.DUMMYFUNCTION("""COMPUTED_VALUE"""),"22 cm")</f>
        <v>22 cm</v>
      </c>
      <c r="Y76" s="32">
        <f>IFERROR(__xludf.DUMMYFUNCTION("""COMPUTED_VALUE"""),600.0)</f>
        <v>600</v>
      </c>
      <c r="Z76" s="28">
        <f t="shared" si="1"/>
        <v>1</v>
      </c>
      <c r="AA76" s="28">
        <f t="shared" si="2"/>
        <v>1</v>
      </c>
      <c r="AB76" s="28">
        <f t="shared" si="3"/>
        <v>1</v>
      </c>
      <c r="AC76" s="28">
        <f t="shared" si="4"/>
        <v>1</v>
      </c>
      <c r="AD76" s="28">
        <f t="shared" si="5"/>
        <v>1</v>
      </c>
      <c r="AE76" s="29">
        <f t="shared" si="6"/>
        <v>5</v>
      </c>
      <c r="AF76" s="28">
        <f t="shared" si="7"/>
        <v>1</v>
      </c>
      <c r="AG76" s="28">
        <f t="shared" si="8"/>
        <v>1</v>
      </c>
      <c r="AH76" s="28">
        <f t="shared" si="9"/>
        <v>1</v>
      </c>
      <c r="AI76" s="28">
        <f t="shared" si="10"/>
        <v>1</v>
      </c>
      <c r="AJ76" s="28">
        <f t="shared" si="11"/>
        <v>1</v>
      </c>
      <c r="AK76" s="29">
        <f t="shared" si="12"/>
        <v>5</v>
      </c>
      <c r="AL76" s="28">
        <f t="shared" si="13"/>
        <v>0</v>
      </c>
      <c r="AM76" s="28">
        <f t="shared" si="14"/>
        <v>1</v>
      </c>
      <c r="AN76" s="28">
        <f t="shared" si="15"/>
        <v>1</v>
      </c>
      <c r="AO76" s="28">
        <f t="shared" si="16"/>
        <v>1</v>
      </c>
      <c r="AP76" s="28">
        <f t="shared" si="17"/>
        <v>1</v>
      </c>
      <c r="AQ76" s="29">
        <f t="shared" si="18"/>
        <v>4</v>
      </c>
      <c r="AR76" s="28">
        <f t="shared" si="19"/>
        <v>1</v>
      </c>
      <c r="AS76" s="28">
        <f t="shared" si="20"/>
        <v>1</v>
      </c>
      <c r="AT76" s="28">
        <f t="shared" si="21"/>
        <v>1</v>
      </c>
      <c r="AU76" s="28">
        <f t="shared" si="22"/>
        <v>1</v>
      </c>
      <c r="AV76" s="28">
        <f t="shared" si="23"/>
        <v>0</v>
      </c>
      <c r="AW76" s="29">
        <f t="shared" si="24"/>
        <v>4</v>
      </c>
      <c r="AX76" s="22"/>
      <c r="AY76" s="26">
        <f t="shared" si="25"/>
        <v>5</v>
      </c>
      <c r="AZ76" s="26">
        <f t="shared" si="26"/>
        <v>5</v>
      </c>
      <c r="BA76" s="26">
        <f t="shared" si="27"/>
        <v>4</v>
      </c>
      <c r="BB76" s="26">
        <f t="shared" si="28"/>
        <v>4</v>
      </c>
      <c r="BC76" s="30">
        <f t="shared" si="29"/>
        <v>90</v>
      </c>
    </row>
    <row r="77">
      <c r="A77" s="31">
        <f>IFERROR(__xludf.DUMMYFUNCTION("""COMPUTED_VALUE"""),45961.82557994213)</f>
        <v>45961.82558</v>
      </c>
      <c r="B77" s="32" t="str">
        <f>IFERROR(__xludf.DUMMYFUNCTION("""COMPUTED_VALUE"""),"Syahira Zahratul Islam ")</f>
        <v>Syahira Zahratul Islam </v>
      </c>
      <c r="C77" s="27" t="str">
        <f>IFERROR(__xludf.DUMMYFUNCTION("""COMPUTED_VALUE"""),"D250018")</f>
        <v>D250018</v>
      </c>
      <c r="D77" s="27" t="str">
        <f>IFERROR(__xludf.DUMMYFUNCTION("""COMPUTED_VALUE"""),"MTs Putri")</f>
        <v>MTs Putri</v>
      </c>
      <c r="E77" s="27" t="str">
        <f>IFERROR(__xludf.DUMMYFUNCTION("""COMPUTED_VALUE"""),"Ya")</f>
        <v>Ya</v>
      </c>
      <c r="F77" s="32" t="str">
        <f>IFERROR(__xludf.DUMMYFUNCTION("""COMPUTED_VALUE"""),"B. Aku bersaksi bahwa tidak ada tuhan yang berhak di sembah kecuali Allah")</f>
        <v>B. Aku bersaksi bahwa tidak ada tuhan yang berhak di sembah kecuali Allah</v>
      </c>
      <c r="G77" s="32">
        <f>IFERROR(__xludf.DUMMYFUNCTION("""COMPUTED_VALUE"""),6.0)</f>
        <v>6</v>
      </c>
      <c r="H77" s="32" t="str">
        <f>IFERROR(__xludf.DUMMYFUNCTION("""COMPUTED_VALUE"""),"1 Syawwal")</f>
        <v>1 Syawwal</v>
      </c>
      <c r="I77" s="32" t="str">
        <f>IFERROR(__xludf.DUMMYFUNCTION("""COMPUTED_VALUE"""),"Al 'Alaq")</f>
        <v>Al 'Alaq</v>
      </c>
      <c r="J77" s="32" t="str">
        <f>IFERROR(__xludf.DUMMYFUNCTION("""COMPUTED_VALUE"""),"Ali Bin Abi Thalib")</f>
        <v>Ali Bin Abi Thalib</v>
      </c>
      <c r="K77" s="32" t="str">
        <f>IFERROR(__xludf.DUMMYFUNCTION("""COMPUTED_VALUE"""),"giat")</f>
        <v>giat</v>
      </c>
      <c r="L77" s="32" t="str">
        <f>IFERROR(__xludf.DUMMYFUNCTION("""COMPUTED_VALUE"""),"dan")</f>
        <v>dan</v>
      </c>
      <c r="M77" s="32" t="str">
        <f>IFERROR(__xludf.DUMMYFUNCTION("""COMPUTED_VALUE"""),"Hafsah mengatakan bahwa ia ingin belajar di pesantren.")</f>
        <v>Hafsah mengatakan bahwa ia ingin belajar di pesantren.</v>
      </c>
      <c r="N77" s="32" t="str">
        <f>IFERROR(__xludf.DUMMYFUNCTION("""COMPUTED_VALUE"""),"Kalimat 1")</f>
        <v>Kalimat 1</v>
      </c>
      <c r="O77" s="32" t="str">
        <f>IFERROR(__xludf.DUMMYFUNCTION("""COMPUTED_VALUE"""),"cahaya")</f>
        <v>cahaya</v>
      </c>
      <c r="P77" s="32" t="str">
        <f>IFERROR(__xludf.DUMMYFUNCTION("""COMPUTED_VALUE"""),"Parasitisme")</f>
        <v>Parasitisme</v>
      </c>
      <c r="Q77" s="32" t="str">
        <f>IFERROR(__xludf.DUMMYFUNCTION("""COMPUTED_VALUE"""),"Angin")</f>
        <v>Angin</v>
      </c>
      <c r="R77" s="32" t="str">
        <f>IFERROR(__xludf.DUMMYFUNCTION("""COMPUTED_VALUE"""),"belalang dan ular")</f>
        <v>belalang dan ular</v>
      </c>
      <c r="S77" s="32" t="str">
        <f>IFERROR(__xludf.DUMMYFUNCTION("""COMPUTED_VALUE"""),"Menghasilkan klorofil")</f>
        <v>Menghasilkan klorofil</v>
      </c>
      <c r="T77" s="32" t="str">
        <f>IFERROR(__xludf.DUMMYFUNCTION("""COMPUTED_VALUE"""),"Kelinci")</f>
        <v>Kelinci</v>
      </c>
      <c r="U77" s="32">
        <f>IFERROR(__xludf.DUMMYFUNCTION("""COMPUTED_VALUE"""),-64.0)</f>
        <v>-64</v>
      </c>
      <c r="V77" s="32" t="str">
        <f>IFERROR(__xludf.DUMMYFUNCTION("""COMPUTED_VALUE"""),"3/4")</f>
        <v>3/4</v>
      </c>
      <c r="W77" s="32" t="str">
        <f>IFERROR(__xludf.DUMMYFUNCTION("""COMPUTED_VALUE"""),"1.800 meter")</f>
        <v>1.800 meter</v>
      </c>
      <c r="X77" s="32" t="str">
        <f>IFERROR(__xludf.DUMMYFUNCTION("""COMPUTED_VALUE"""),"28 cm")</f>
        <v>28 cm</v>
      </c>
      <c r="Y77" s="32">
        <f>IFERROR(__xludf.DUMMYFUNCTION("""COMPUTED_VALUE"""),200.0)</f>
        <v>200</v>
      </c>
      <c r="Z77" s="28">
        <f t="shared" si="1"/>
        <v>1</v>
      </c>
      <c r="AA77" s="28">
        <f t="shared" si="2"/>
        <v>1</v>
      </c>
      <c r="AB77" s="28">
        <f t="shared" si="3"/>
        <v>1</v>
      </c>
      <c r="AC77" s="28">
        <f t="shared" si="4"/>
        <v>1</v>
      </c>
      <c r="AD77" s="28">
        <f t="shared" si="5"/>
        <v>1</v>
      </c>
      <c r="AE77" s="29">
        <f t="shared" si="6"/>
        <v>5</v>
      </c>
      <c r="AF77" s="28">
        <f t="shared" si="7"/>
        <v>1</v>
      </c>
      <c r="AG77" s="28">
        <f t="shared" si="8"/>
        <v>1</v>
      </c>
      <c r="AH77" s="28">
        <f t="shared" si="9"/>
        <v>1</v>
      </c>
      <c r="AI77" s="28">
        <f t="shared" si="10"/>
        <v>1</v>
      </c>
      <c r="AJ77" s="28">
        <f t="shared" si="11"/>
        <v>1</v>
      </c>
      <c r="AK77" s="29">
        <f t="shared" si="12"/>
        <v>5</v>
      </c>
      <c r="AL77" s="28">
        <f t="shared" si="13"/>
        <v>1</v>
      </c>
      <c r="AM77" s="28">
        <f t="shared" si="14"/>
        <v>1</v>
      </c>
      <c r="AN77" s="28">
        <f t="shared" si="15"/>
        <v>1</v>
      </c>
      <c r="AO77" s="28">
        <f t="shared" si="16"/>
        <v>1</v>
      </c>
      <c r="AP77" s="28">
        <f t="shared" si="17"/>
        <v>1</v>
      </c>
      <c r="AQ77" s="29">
        <f t="shared" si="18"/>
        <v>5</v>
      </c>
      <c r="AR77" s="28">
        <f t="shared" si="19"/>
        <v>1</v>
      </c>
      <c r="AS77" s="28">
        <f t="shared" si="20"/>
        <v>1</v>
      </c>
      <c r="AT77" s="28">
        <f t="shared" si="21"/>
        <v>1</v>
      </c>
      <c r="AU77" s="28">
        <f t="shared" si="22"/>
        <v>0</v>
      </c>
      <c r="AV77" s="28">
        <f t="shared" si="23"/>
        <v>0</v>
      </c>
      <c r="AW77" s="29">
        <f t="shared" si="24"/>
        <v>3</v>
      </c>
      <c r="AX77" s="22"/>
      <c r="AY77" s="26">
        <f t="shared" si="25"/>
        <v>5</v>
      </c>
      <c r="AZ77" s="26">
        <f t="shared" si="26"/>
        <v>5</v>
      </c>
      <c r="BA77" s="26">
        <f t="shared" si="27"/>
        <v>5</v>
      </c>
      <c r="BB77" s="26">
        <f t="shared" si="28"/>
        <v>3</v>
      </c>
      <c r="BC77" s="30">
        <f t="shared" si="29"/>
        <v>90</v>
      </c>
    </row>
    <row r="78">
      <c r="A78" s="31">
        <f>IFERROR(__xludf.DUMMYFUNCTION("""COMPUTED_VALUE"""),45961.84400710648)</f>
        <v>45961.84401</v>
      </c>
      <c r="B78" s="32" t="str">
        <f>IFERROR(__xludf.DUMMYFUNCTION("""COMPUTED_VALUE"""),"Alika Aisyah Putri ")</f>
        <v>Alika Aisyah Putri </v>
      </c>
      <c r="C78" s="27" t="str">
        <f>IFERROR(__xludf.DUMMYFUNCTION("""COMPUTED_VALUE"""),"D250021")</f>
        <v>D250021</v>
      </c>
      <c r="D78" s="27" t="str">
        <f>IFERROR(__xludf.DUMMYFUNCTION("""COMPUTED_VALUE"""),"MTs Putri")</f>
        <v>MTs Putri</v>
      </c>
      <c r="E78" s="27" t="str">
        <f>IFERROR(__xludf.DUMMYFUNCTION("""COMPUTED_VALUE"""),"Ya")</f>
        <v>Ya</v>
      </c>
      <c r="F78" s="32" t="str">
        <f>IFERROR(__xludf.DUMMYFUNCTION("""COMPUTED_VALUE"""),"B. Aku bersaksi bahwa tidak ada tuhan yang berhak di sembah kecuali Allah")</f>
        <v>B. Aku bersaksi bahwa tidak ada tuhan yang berhak di sembah kecuali Allah</v>
      </c>
      <c r="G78" s="32">
        <f>IFERROR(__xludf.DUMMYFUNCTION("""COMPUTED_VALUE"""),6.0)</f>
        <v>6</v>
      </c>
      <c r="H78" s="32" t="str">
        <f>IFERROR(__xludf.DUMMYFUNCTION("""COMPUTED_VALUE"""),"1 Syawwal")</f>
        <v>1 Syawwal</v>
      </c>
      <c r="I78" s="32" t="str">
        <f>IFERROR(__xludf.DUMMYFUNCTION("""COMPUTED_VALUE"""),"Al Maidah")</f>
        <v>Al Maidah</v>
      </c>
      <c r="J78" s="32" t="str">
        <f>IFERROR(__xludf.DUMMYFUNCTION("""COMPUTED_VALUE"""),"Ali Bin Abi Thalib")</f>
        <v>Ali Bin Abi Thalib</v>
      </c>
      <c r="K78" s="32" t="str">
        <f>IFERROR(__xludf.DUMMYFUNCTION("""COMPUTED_VALUE"""),"giat")</f>
        <v>giat</v>
      </c>
      <c r="L78" s="32" t="str">
        <f>IFERROR(__xludf.DUMMYFUNCTION("""COMPUTED_VALUE"""),"dan")</f>
        <v>dan</v>
      </c>
      <c r="M78" s="32" t="str">
        <f>IFERROR(__xludf.DUMMYFUNCTION("""COMPUTED_VALUE"""),"Hafsah mengatakan bahwa ia ingin belajar di pesantren.")</f>
        <v>Hafsah mengatakan bahwa ia ingin belajar di pesantren.</v>
      </c>
      <c r="N78" s="32" t="str">
        <f>IFERROR(__xludf.DUMMYFUNCTION("""COMPUTED_VALUE"""),"Kalimat 1")</f>
        <v>Kalimat 1</v>
      </c>
      <c r="O78" s="32" t="str">
        <f>IFERROR(__xludf.DUMMYFUNCTION("""COMPUTED_VALUE"""),"cahaya")</f>
        <v>cahaya</v>
      </c>
      <c r="P78" s="32" t="str">
        <f>IFERROR(__xludf.DUMMYFUNCTION("""COMPUTED_VALUE"""),"Parasitisme")</f>
        <v>Parasitisme</v>
      </c>
      <c r="Q78" s="32" t="str">
        <f>IFERROR(__xludf.DUMMYFUNCTION("""COMPUTED_VALUE"""),"Angin")</f>
        <v>Angin</v>
      </c>
      <c r="R78" s="32" t="str">
        <f>IFERROR(__xludf.DUMMYFUNCTION("""COMPUTED_VALUE"""),"belalang dan ular")</f>
        <v>belalang dan ular</v>
      </c>
      <c r="S78" s="32" t="str">
        <f>IFERROR(__xludf.DUMMYFUNCTION("""COMPUTED_VALUE"""),"Memiliki stomata")</f>
        <v>Memiliki stomata</v>
      </c>
      <c r="T78" s="32" t="str">
        <f>IFERROR(__xludf.DUMMYFUNCTION("""COMPUTED_VALUE"""),"Kelinci")</f>
        <v>Kelinci</v>
      </c>
      <c r="U78" s="32">
        <f>IFERROR(__xludf.DUMMYFUNCTION("""COMPUTED_VALUE"""),-64.0)</f>
        <v>-64</v>
      </c>
      <c r="V78" s="32">
        <f>IFERROR(__xludf.DUMMYFUNCTION("""COMPUTED_VALUE"""),1.0)</f>
        <v>1</v>
      </c>
      <c r="W78" s="32" t="str">
        <f>IFERROR(__xludf.DUMMYFUNCTION("""COMPUTED_VALUE"""),"1.800 meter")</f>
        <v>1.800 meter</v>
      </c>
      <c r="X78" s="32" t="str">
        <f>IFERROR(__xludf.DUMMYFUNCTION("""COMPUTED_VALUE"""),"28 cm")</f>
        <v>28 cm</v>
      </c>
      <c r="Y78" s="32">
        <f>IFERROR(__xludf.DUMMYFUNCTION("""COMPUTED_VALUE"""),200.0)</f>
        <v>200</v>
      </c>
      <c r="Z78" s="28">
        <f t="shared" si="1"/>
        <v>1</v>
      </c>
      <c r="AA78" s="28">
        <f t="shared" si="2"/>
        <v>1</v>
      </c>
      <c r="AB78" s="28">
        <f t="shared" si="3"/>
        <v>1</v>
      </c>
      <c r="AC78" s="28">
        <f t="shared" si="4"/>
        <v>0</v>
      </c>
      <c r="AD78" s="28">
        <f t="shared" si="5"/>
        <v>1</v>
      </c>
      <c r="AE78" s="29">
        <f t="shared" si="6"/>
        <v>4</v>
      </c>
      <c r="AF78" s="28">
        <f t="shared" si="7"/>
        <v>1</v>
      </c>
      <c r="AG78" s="28">
        <f t="shared" si="8"/>
        <v>1</v>
      </c>
      <c r="AH78" s="28">
        <f t="shared" si="9"/>
        <v>1</v>
      </c>
      <c r="AI78" s="28">
        <f t="shared" si="10"/>
        <v>1</v>
      </c>
      <c r="AJ78" s="28">
        <f t="shared" si="11"/>
        <v>1</v>
      </c>
      <c r="AK78" s="29">
        <f t="shared" si="12"/>
        <v>5</v>
      </c>
      <c r="AL78" s="28">
        <f t="shared" si="13"/>
        <v>1</v>
      </c>
      <c r="AM78" s="28">
        <f t="shared" si="14"/>
        <v>1</v>
      </c>
      <c r="AN78" s="28">
        <f t="shared" si="15"/>
        <v>1</v>
      </c>
      <c r="AO78" s="28">
        <f t="shared" si="16"/>
        <v>0</v>
      </c>
      <c r="AP78" s="28">
        <f t="shared" si="17"/>
        <v>1</v>
      </c>
      <c r="AQ78" s="29">
        <f t="shared" si="18"/>
        <v>4</v>
      </c>
      <c r="AR78" s="28">
        <f t="shared" si="19"/>
        <v>1</v>
      </c>
      <c r="AS78" s="28">
        <f t="shared" si="20"/>
        <v>0</v>
      </c>
      <c r="AT78" s="28">
        <f t="shared" si="21"/>
        <v>1</v>
      </c>
      <c r="AU78" s="28">
        <f t="shared" si="22"/>
        <v>0</v>
      </c>
      <c r="AV78" s="28">
        <f t="shared" si="23"/>
        <v>0</v>
      </c>
      <c r="AW78" s="29">
        <f t="shared" si="24"/>
        <v>2</v>
      </c>
      <c r="AX78" s="22"/>
      <c r="AY78" s="26">
        <f t="shared" si="25"/>
        <v>4</v>
      </c>
      <c r="AZ78" s="26">
        <f t="shared" si="26"/>
        <v>5</v>
      </c>
      <c r="BA78" s="26">
        <f t="shared" si="27"/>
        <v>4</v>
      </c>
      <c r="BB78" s="26">
        <f t="shared" si="28"/>
        <v>2</v>
      </c>
      <c r="BC78" s="30">
        <f t="shared" si="29"/>
        <v>75</v>
      </c>
    </row>
    <row r="79">
      <c r="A79" s="31">
        <f>IFERROR(__xludf.DUMMYFUNCTION("""COMPUTED_VALUE"""),45962.43665120371)</f>
        <v>45962.43665</v>
      </c>
      <c r="B79" s="32" t="str">
        <f>IFERROR(__xludf.DUMMYFUNCTION("""COMPUTED_VALUE"""),"Abdurrahman")</f>
        <v>Abdurrahman</v>
      </c>
      <c r="C79" s="27" t="str">
        <f>IFERROR(__xludf.DUMMYFUNCTION("""COMPUTED_VALUE"""),"A250077")</f>
        <v>A250077</v>
      </c>
      <c r="D79" s="27" t="str">
        <f>IFERROR(__xludf.DUMMYFUNCTION("""COMPUTED_VALUE"""),"MTs Putra")</f>
        <v>MTs Putra</v>
      </c>
      <c r="E79" s="27" t="str">
        <f>IFERROR(__xludf.DUMMYFUNCTION("""COMPUTED_VALUE"""),"Ya")</f>
        <v>Ya</v>
      </c>
      <c r="F79" s="32" t="str">
        <f>IFERROR(__xludf.DUMMYFUNCTION("""COMPUTED_VALUE"""),"B. Aku bersaksi bahwa tidak ada tuhan yang berhak di sembah kecuali Allah")</f>
        <v>B. Aku bersaksi bahwa tidak ada tuhan yang berhak di sembah kecuali Allah</v>
      </c>
      <c r="G79" s="32">
        <f>IFERROR(__xludf.DUMMYFUNCTION("""COMPUTED_VALUE"""),6.0)</f>
        <v>6</v>
      </c>
      <c r="H79" s="32" t="str">
        <f>IFERROR(__xludf.DUMMYFUNCTION("""COMPUTED_VALUE"""),"1 Syawwal")</f>
        <v>1 Syawwal</v>
      </c>
      <c r="I79" s="32" t="str">
        <f>IFERROR(__xludf.DUMMYFUNCTION("""COMPUTED_VALUE"""),"Al 'Alaq")</f>
        <v>Al 'Alaq</v>
      </c>
      <c r="J79" s="32" t="str">
        <f>IFERROR(__xludf.DUMMYFUNCTION("""COMPUTED_VALUE"""),"Ali Bin Abi Thalib")</f>
        <v>Ali Bin Abi Thalib</v>
      </c>
      <c r="K79" s="32" t="str">
        <f>IFERROR(__xludf.DUMMYFUNCTION("""COMPUTED_VALUE"""),"giat")</f>
        <v>giat</v>
      </c>
      <c r="L79" s="32" t="str">
        <f>IFERROR(__xludf.DUMMYFUNCTION("""COMPUTED_VALUE"""),"dan")</f>
        <v>dan</v>
      </c>
      <c r="M79" s="32" t="str">
        <f>IFERROR(__xludf.DUMMYFUNCTION("""COMPUTED_VALUE"""),"Hafsah mengatakan bahwa ia ingin belajar di pesantren.")</f>
        <v>Hafsah mengatakan bahwa ia ingin belajar di pesantren.</v>
      </c>
      <c r="N79" s="32" t="str">
        <f>IFERROR(__xludf.DUMMYFUNCTION("""COMPUTED_VALUE"""),"Kalimat 1")</f>
        <v>Kalimat 1</v>
      </c>
      <c r="O79" s="32" t="str">
        <f>IFERROR(__xludf.DUMMYFUNCTION("""COMPUTED_VALUE"""),"cahaya")</f>
        <v>cahaya</v>
      </c>
      <c r="P79" s="32" t="str">
        <f>IFERROR(__xludf.DUMMYFUNCTION("""COMPUTED_VALUE"""),"Parasitisme")</f>
        <v>Parasitisme</v>
      </c>
      <c r="Q79" s="32" t="str">
        <f>IFERROR(__xludf.DUMMYFUNCTION("""COMPUTED_VALUE"""),"Angin")</f>
        <v>Angin</v>
      </c>
      <c r="R79" s="32" t="str">
        <f>IFERROR(__xludf.DUMMYFUNCTION("""COMPUTED_VALUE"""),"belalang dan ular")</f>
        <v>belalang dan ular</v>
      </c>
      <c r="S79" s="32" t="str">
        <f>IFERROR(__xludf.DUMMYFUNCTION("""COMPUTED_VALUE"""),"Menghasilkan klorofil")</f>
        <v>Menghasilkan klorofil</v>
      </c>
      <c r="T79" s="32" t="str">
        <f>IFERROR(__xludf.DUMMYFUNCTION("""COMPUTED_VALUE"""),"Kelinci")</f>
        <v>Kelinci</v>
      </c>
      <c r="U79" s="32">
        <f>IFERROR(__xludf.DUMMYFUNCTION("""COMPUTED_VALUE"""),64.0)</f>
        <v>64</v>
      </c>
      <c r="V79" s="32" t="str">
        <f>IFERROR(__xludf.DUMMYFUNCTION("""COMPUTED_VALUE"""),"3/4")</f>
        <v>3/4</v>
      </c>
      <c r="W79" s="32" t="str">
        <f>IFERROR(__xludf.DUMMYFUNCTION("""COMPUTED_VALUE"""),"1.800 meter")</f>
        <v>1.800 meter</v>
      </c>
      <c r="X79" s="32" t="str">
        <f>IFERROR(__xludf.DUMMYFUNCTION("""COMPUTED_VALUE"""),"28 cm")</f>
        <v>28 cm</v>
      </c>
      <c r="Y79" s="32">
        <f>IFERROR(__xludf.DUMMYFUNCTION("""COMPUTED_VALUE"""),200.0)</f>
        <v>200</v>
      </c>
      <c r="Z79" s="28">
        <f t="shared" si="1"/>
        <v>1</v>
      </c>
      <c r="AA79" s="28">
        <f t="shared" si="2"/>
        <v>1</v>
      </c>
      <c r="AB79" s="28">
        <f t="shared" si="3"/>
        <v>1</v>
      </c>
      <c r="AC79" s="28">
        <f t="shared" si="4"/>
        <v>1</v>
      </c>
      <c r="AD79" s="28">
        <f t="shared" si="5"/>
        <v>1</v>
      </c>
      <c r="AE79" s="29">
        <f t="shared" si="6"/>
        <v>5</v>
      </c>
      <c r="AF79" s="28">
        <f t="shared" si="7"/>
        <v>1</v>
      </c>
      <c r="AG79" s="28">
        <f t="shared" si="8"/>
        <v>1</v>
      </c>
      <c r="AH79" s="28">
        <f t="shared" si="9"/>
        <v>1</v>
      </c>
      <c r="AI79" s="28">
        <f t="shared" si="10"/>
        <v>1</v>
      </c>
      <c r="AJ79" s="28">
        <f t="shared" si="11"/>
        <v>1</v>
      </c>
      <c r="AK79" s="29">
        <f t="shared" si="12"/>
        <v>5</v>
      </c>
      <c r="AL79" s="28">
        <f t="shared" si="13"/>
        <v>1</v>
      </c>
      <c r="AM79" s="28">
        <f t="shared" si="14"/>
        <v>1</v>
      </c>
      <c r="AN79" s="28">
        <f t="shared" si="15"/>
        <v>1</v>
      </c>
      <c r="AO79" s="28">
        <f t="shared" si="16"/>
        <v>1</v>
      </c>
      <c r="AP79" s="28">
        <f t="shared" si="17"/>
        <v>1</v>
      </c>
      <c r="AQ79" s="29">
        <f t="shared" si="18"/>
        <v>5</v>
      </c>
      <c r="AR79" s="28">
        <f t="shared" si="19"/>
        <v>0</v>
      </c>
      <c r="AS79" s="28">
        <f t="shared" si="20"/>
        <v>1</v>
      </c>
      <c r="AT79" s="28">
        <f t="shared" si="21"/>
        <v>1</v>
      </c>
      <c r="AU79" s="28">
        <f t="shared" si="22"/>
        <v>0</v>
      </c>
      <c r="AV79" s="28">
        <f t="shared" si="23"/>
        <v>0</v>
      </c>
      <c r="AW79" s="29">
        <f t="shared" si="24"/>
        <v>2</v>
      </c>
      <c r="AX79" s="22"/>
      <c r="AY79" s="26">
        <f t="shared" si="25"/>
        <v>5</v>
      </c>
      <c r="AZ79" s="26">
        <f t="shared" si="26"/>
        <v>5</v>
      </c>
      <c r="BA79" s="26">
        <f t="shared" si="27"/>
        <v>5</v>
      </c>
      <c r="BB79" s="26">
        <f t="shared" si="28"/>
        <v>2</v>
      </c>
      <c r="BC79" s="30">
        <f t="shared" si="29"/>
        <v>85</v>
      </c>
    </row>
    <row r="80">
      <c r="A80" s="31">
        <f>IFERROR(__xludf.DUMMYFUNCTION("""COMPUTED_VALUE"""),45962.68984457176)</f>
        <v>45962.68984</v>
      </c>
      <c r="B80" s="32" t="str">
        <f>IFERROR(__xludf.DUMMYFUNCTION("""COMPUTED_VALUE"""),"Ahmad kamaludin")</f>
        <v>Ahmad kamaludin</v>
      </c>
      <c r="C80" s="27" t="str">
        <f>IFERROR(__xludf.DUMMYFUNCTION("""COMPUTED_VALUE"""),"A250030")</f>
        <v>A250030</v>
      </c>
      <c r="D80" s="27" t="str">
        <f>IFERROR(__xludf.DUMMYFUNCTION("""COMPUTED_VALUE"""),"MTs Putra")</f>
        <v>MTs Putra</v>
      </c>
      <c r="E80" s="27" t="str">
        <f>IFERROR(__xludf.DUMMYFUNCTION("""COMPUTED_VALUE"""),"Ya")</f>
        <v>Ya</v>
      </c>
      <c r="F80" s="32" t="str">
        <f>IFERROR(__xludf.DUMMYFUNCTION("""COMPUTED_VALUE"""),"B. Aku bersaksi bahwa tidak ada tuhan yang berhak di sembah kecuali Allah")</f>
        <v>B. Aku bersaksi bahwa tidak ada tuhan yang berhak di sembah kecuali Allah</v>
      </c>
      <c r="G80" s="32">
        <f>IFERROR(__xludf.DUMMYFUNCTION("""COMPUTED_VALUE"""),6.0)</f>
        <v>6</v>
      </c>
      <c r="H80" s="32" t="str">
        <f>IFERROR(__xludf.DUMMYFUNCTION("""COMPUTED_VALUE"""),"1 Syawwal")</f>
        <v>1 Syawwal</v>
      </c>
      <c r="I80" s="32" t="str">
        <f>IFERROR(__xludf.DUMMYFUNCTION("""COMPUTED_VALUE"""),"Al 'Alaq")</f>
        <v>Al 'Alaq</v>
      </c>
      <c r="J80" s="32" t="str">
        <f>IFERROR(__xludf.DUMMYFUNCTION("""COMPUTED_VALUE"""),"Ali Bin Abi Thalib")</f>
        <v>Ali Bin Abi Thalib</v>
      </c>
      <c r="K80" s="32" t="str">
        <f>IFERROR(__xludf.DUMMYFUNCTION("""COMPUTED_VALUE"""),"malas")</f>
        <v>malas</v>
      </c>
      <c r="L80" s="32" t="str">
        <f>IFERROR(__xludf.DUMMYFUNCTION("""COMPUTED_VALUE"""),"dan")</f>
        <v>dan</v>
      </c>
      <c r="M80" s="32" t="str">
        <f>IFERROR(__xludf.DUMMYFUNCTION("""COMPUTED_VALUE"""),"Hafsah mengatakan bahwa ia ingin belajar di pesantren.")</f>
        <v>Hafsah mengatakan bahwa ia ingin belajar di pesantren.</v>
      </c>
      <c r="N80" s="32" t="str">
        <f>IFERROR(__xludf.DUMMYFUNCTION("""COMPUTED_VALUE"""),"Kalimat 1")</f>
        <v>Kalimat 1</v>
      </c>
      <c r="O80" s="32" t="str">
        <f>IFERROR(__xludf.DUMMYFUNCTION("""COMPUTED_VALUE"""),"kehidupan")</f>
        <v>kehidupan</v>
      </c>
      <c r="P80" s="32" t="str">
        <f>IFERROR(__xludf.DUMMYFUNCTION("""COMPUTED_VALUE"""),"Parasitisme")</f>
        <v>Parasitisme</v>
      </c>
      <c r="Q80" s="32" t="str">
        <f>IFERROR(__xludf.DUMMYFUNCTION("""COMPUTED_VALUE"""),"Angin")</f>
        <v>Angin</v>
      </c>
      <c r="R80" s="32" t="str">
        <f>IFERROR(__xludf.DUMMYFUNCTION("""COMPUTED_VALUE"""),"belalang dan ular")</f>
        <v>belalang dan ular</v>
      </c>
      <c r="S80" s="32" t="str">
        <f>IFERROR(__xludf.DUMMYFUNCTION("""COMPUTED_VALUE"""),"Daun yang pipih dan lebar")</f>
        <v>Daun yang pipih dan lebar</v>
      </c>
      <c r="T80" s="32" t="str">
        <f>IFERROR(__xludf.DUMMYFUNCTION("""COMPUTED_VALUE"""),"Kelinci")</f>
        <v>Kelinci</v>
      </c>
      <c r="U80" s="32">
        <f>IFERROR(__xludf.DUMMYFUNCTION("""COMPUTED_VALUE"""),-64.0)</f>
        <v>-64</v>
      </c>
      <c r="V80" s="32">
        <f>IFERROR(__xludf.DUMMYFUNCTION("""COMPUTED_VALUE"""),1.0)</f>
        <v>1</v>
      </c>
      <c r="W80" s="32" t="str">
        <f>IFERROR(__xludf.DUMMYFUNCTION("""COMPUTED_VALUE"""),"1.800 meter")</f>
        <v>1.800 meter</v>
      </c>
      <c r="X80" s="32" t="str">
        <f>IFERROR(__xludf.DUMMYFUNCTION("""COMPUTED_VALUE"""),"22 cm")</f>
        <v>22 cm</v>
      </c>
      <c r="Y80" s="32">
        <f>IFERROR(__xludf.DUMMYFUNCTION("""COMPUTED_VALUE"""),200.0)</f>
        <v>200</v>
      </c>
      <c r="Z80" s="28">
        <f t="shared" si="1"/>
        <v>1</v>
      </c>
      <c r="AA80" s="28">
        <f t="shared" si="2"/>
        <v>1</v>
      </c>
      <c r="AB80" s="28">
        <f t="shared" si="3"/>
        <v>1</v>
      </c>
      <c r="AC80" s="28">
        <f t="shared" si="4"/>
        <v>1</v>
      </c>
      <c r="AD80" s="28">
        <f t="shared" si="5"/>
        <v>1</v>
      </c>
      <c r="AE80" s="29">
        <f t="shared" si="6"/>
        <v>5</v>
      </c>
      <c r="AF80" s="28">
        <f t="shared" si="7"/>
        <v>0</v>
      </c>
      <c r="AG80" s="28">
        <f t="shared" si="8"/>
        <v>1</v>
      </c>
      <c r="AH80" s="28">
        <f t="shared" si="9"/>
        <v>1</v>
      </c>
      <c r="AI80" s="28">
        <f t="shared" si="10"/>
        <v>1</v>
      </c>
      <c r="AJ80" s="28">
        <f t="shared" si="11"/>
        <v>0</v>
      </c>
      <c r="AK80" s="29">
        <f t="shared" si="12"/>
        <v>3</v>
      </c>
      <c r="AL80" s="28">
        <f t="shared" si="13"/>
        <v>1</v>
      </c>
      <c r="AM80" s="28">
        <f t="shared" si="14"/>
        <v>1</v>
      </c>
      <c r="AN80" s="28">
        <f t="shared" si="15"/>
        <v>1</v>
      </c>
      <c r="AO80" s="28">
        <f t="shared" si="16"/>
        <v>0</v>
      </c>
      <c r="AP80" s="28">
        <f t="shared" si="17"/>
        <v>1</v>
      </c>
      <c r="AQ80" s="29">
        <f t="shared" si="18"/>
        <v>4</v>
      </c>
      <c r="AR80" s="28">
        <f t="shared" si="19"/>
        <v>1</v>
      </c>
      <c r="AS80" s="28">
        <f t="shared" si="20"/>
        <v>0</v>
      </c>
      <c r="AT80" s="28">
        <f t="shared" si="21"/>
        <v>1</v>
      </c>
      <c r="AU80" s="28">
        <f t="shared" si="22"/>
        <v>1</v>
      </c>
      <c r="AV80" s="28">
        <f t="shared" si="23"/>
        <v>0</v>
      </c>
      <c r="AW80" s="29">
        <f t="shared" si="24"/>
        <v>3</v>
      </c>
      <c r="AX80" s="22"/>
      <c r="AY80" s="26">
        <f t="shared" si="25"/>
        <v>5</v>
      </c>
      <c r="AZ80" s="26">
        <f t="shared" si="26"/>
        <v>3</v>
      </c>
      <c r="BA80" s="26">
        <f t="shared" si="27"/>
        <v>4</v>
      </c>
      <c r="BB80" s="26">
        <f t="shared" si="28"/>
        <v>3</v>
      </c>
      <c r="BC80" s="30">
        <f t="shared" si="29"/>
        <v>75</v>
      </c>
    </row>
    <row r="81">
      <c r="A81" s="31">
        <f>IFERROR(__xludf.DUMMYFUNCTION("""COMPUTED_VALUE"""),45964.77705233796)</f>
        <v>45964.77705</v>
      </c>
      <c r="B81" s="32" t="str">
        <f>IFERROR(__xludf.DUMMYFUNCTION("""COMPUTED_VALUE"""),"adlin ar rihaily ")</f>
        <v>adlin ar rihaily </v>
      </c>
      <c r="C81" s="27" t="str">
        <f>IFERROR(__xludf.DUMMYFUNCTION("""COMPUTED_VALUE"""),"D250020")</f>
        <v>D250020</v>
      </c>
      <c r="D81" s="27" t="str">
        <f>IFERROR(__xludf.DUMMYFUNCTION("""COMPUTED_VALUE"""),"MTs Putri")</f>
        <v>MTs Putri</v>
      </c>
      <c r="E81" s="27" t="str">
        <f>IFERROR(__xludf.DUMMYFUNCTION("""COMPUTED_VALUE"""),"Ya")</f>
        <v>Ya</v>
      </c>
      <c r="F81" s="32" t="str">
        <f>IFERROR(__xludf.DUMMYFUNCTION("""COMPUTED_VALUE"""),"B. Aku bersaksi bahwa tidak ada tuhan yang berhak di sembah kecuali Allah")</f>
        <v>B. Aku bersaksi bahwa tidak ada tuhan yang berhak di sembah kecuali Allah</v>
      </c>
      <c r="G81" s="32">
        <f>IFERROR(__xludf.DUMMYFUNCTION("""COMPUTED_VALUE"""),6.0)</f>
        <v>6</v>
      </c>
      <c r="H81" s="32" t="str">
        <f>IFERROR(__xludf.DUMMYFUNCTION("""COMPUTED_VALUE"""),"1 Syawwal")</f>
        <v>1 Syawwal</v>
      </c>
      <c r="I81" s="32" t="str">
        <f>IFERROR(__xludf.DUMMYFUNCTION("""COMPUTED_VALUE"""),"Al 'Alaq")</f>
        <v>Al 'Alaq</v>
      </c>
      <c r="J81" s="32" t="str">
        <f>IFERROR(__xludf.DUMMYFUNCTION("""COMPUTED_VALUE"""),"Ali Bin Abi Thalib")</f>
        <v>Ali Bin Abi Thalib</v>
      </c>
      <c r="K81" s="32" t="str">
        <f>IFERROR(__xludf.DUMMYFUNCTION("""COMPUTED_VALUE"""),"giat")</f>
        <v>giat</v>
      </c>
      <c r="L81" s="32" t="str">
        <f>IFERROR(__xludf.DUMMYFUNCTION("""COMPUTED_VALUE"""),"dan")</f>
        <v>dan</v>
      </c>
      <c r="M81" s="32" t="str">
        <f>IFERROR(__xludf.DUMMYFUNCTION("""COMPUTED_VALUE"""),"Hafsah mengatakan bahwa ia ingin belajar di pesantren.")</f>
        <v>Hafsah mengatakan bahwa ia ingin belajar di pesantren.</v>
      </c>
      <c r="N81" s="32" t="str">
        <f>IFERROR(__xludf.DUMMYFUNCTION("""COMPUTED_VALUE"""),"Kalimat 1")</f>
        <v>Kalimat 1</v>
      </c>
      <c r="O81" s="32" t="str">
        <f>IFERROR(__xludf.DUMMYFUNCTION("""COMPUTED_VALUE"""),"kehidupan")</f>
        <v>kehidupan</v>
      </c>
      <c r="P81" s="32" t="str">
        <f>IFERROR(__xludf.DUMMYFUNCTION("""COMPUTED_VALUE"""),"Parasitisme")</f>
        <v>Parasitisme</v>
      </c>
      <c r="Q81" s="32" t="str">
        <f>IFERROR(__xludf.DUMMYFUNCTION("""COMPUTED_VALUE"""),"Angin")</f>
        <v>Angin</v>
      </c>
      <c r="R81" s="32" t="str">
        <f>IFERROR(__xludf.DUMMYFUNCTION("""COMPUTED_VALUE"""),"ulat dan kelinci")</f>
        <v>ulat dan kelinci</v>
      </c>
      <c r="S81" s="32" t="str">
        <f>IFERROR(__xludf.DUMMYFUNCTION("""COMPUTED_VALUE"""),"Menghasilkan klorofil")</f>
        <v>Menghasilkan klorofil</v>
      </c>
      <c r="T81" s="32" t="str">
        <f>IFERROR(__xludf.DUMMYFUNCTION("""COMPUTED_VALUE"""),"Kelinci")</f>
        <v>Kelinci</v>
      </c>
      <c r="U81" s="32">
        <f>IFERROR(__xludf.DUMMYFUNCTION("""COMPUTED_VALUE"""),-64.0)</f>
        <v>-64</v>
      </c>
      <c r="V81" s="32" t="str">
        <f>IFERROR(__xludf.DUMMYFUNCTION("""COMPUTED_VALUE"""),"3/4")</f>
        <v>3/4</v>
      </c>
      <c r="W81" s="32" t="str">
        <f>IFERROR(__xludf.DUMMYFUNCTION("""COMPUTED_VALUE"""),"1.800 meter")</f>
        <v>1.800 meter</v>
      </c>
      <c r="X81" s="32" t="str">
        <f>IFERROR(__xludf.DUMMYFUNCTION("""COMPUTED_VALUE"""),"22 cm")</f>
        <v>22 cm</v>
      </c>
      <c r="Y81" s="32">
        <f>IFERROR(__xludf.DUMMYFUNCTION("""COMPUTED_VALUE"""),200.0)</f>
        <v>200</v>
      </c>
      <c r="Z81" s="28">
        <f t="shared" si="1"/>
        <v>1</v>
      </c>
      <c r="AA81" s="28">
        <f t="shared" si="2"/>
        <v>1</v>
      </c>
      <c r="AB81" s="28">
        <f t="shared" si="3"/>
        <v>1</v>
      </c>
      <c r="AC81" s="28">
        <f t="shared" si="4"/>
        <v>1</v>
      </c>
      <c r="AD81" s="28">
        <f t="shared" si="5"/>
        <v>1</v>
      </c>
      <c r="AE81" s="29">
        <f t="shared" si="6"/>
        <v>5</v>
      </c>
      <c r="AF81" s="28">
        <f t="shared" si="7"/>
        <v>1</v>
      </c>
      <c r="AG81" s="28">
        <f t="shared" si="8"/>
        <v>1</v>
      </c>
      <c r="AH81" s="28">
        <f t="shared" si="9"/>
        <v>1</v>
      </c>
      <c r="AI81" s="28">
        <f t="shared" si="10"/>
        <v>1</v>
      </c>
      <c r="AJ81" s="28">
        <f t="shared" si="11"/>
        <v>0</v>
      </c>
      <c r="AK81" s="29">
        <f t="shared" si="12"/>
        <v>4</v>
      </c>
      <c r="AL81" s="28">
        <f t="shared" si="13"/>
        <v>1</v>
      </c>
      <c r="AM81" s="28">
        <f t="shared" si="14"/>
        <v>1</v>
      </c>
      <c r="AN81" s="28">
        <f t="shared" si="15"/>
        <v>0</v>
      </c>
      <c r="AO81" s="28">
        <f t="shared" si="16"/>
        <v>1</v>
      </c>
      <c r="AP81" s="28">
        <f t="shared" si="17"/>
        <v>1</v>
      </c>
      <c r="AQ81" s="29">
        <f t="shared" si="18"/>
        <v>4</v>
      </c>
      <c r="AR81" s="28">
        <f t="shared" si="19"/>
        <v>1</v>
      </c>
      <c r="AS81" s="28">
        <f t="shared" si="20"/>
        <v>1</v>
      </c>
      <c r="AT81" s="28">
        <f t="shared" si="21"/>
        <v>1</v>
      </c>
      <c r="AU81" s="28">
        <f t="shared" si="22"/>
        <v>1</v>
      </c>
      <c r="AV81" s="28">
        <f t="shared" si="23"/>
        <v>0</v>
      </c>
      <c r="AW81" s="29">
        <f t="shared" si="24"/>
        <v>4</v>
      </c>
      <c r="AX81" s="22"/>
      <c r="AY81" s="26">
        <f t="shared" si="25"/>
        <v>5</v>
      </c>
      <c r="AZ81" s="26">
        <f t="shared" si="26"/>
        <v>4</v>
      </c>
      <c r="BA81" s="26">
        <f t="shared" si="27"/>
        <v>4</v>
      </c>
      <c r="BB81" s="26">
        <f t="shared" si="28"/>
        <v>4</v>
      </c>
      <c r="BC81" s="30">
        <f t="shared" si="29"/>
        <v>85</v>
      </c>
    </row>
    <row r="82">
      <c r="A82" s="31">
        <f>IFERROR(__xludf.DUMMYFUNCTION("""COMPUTED_VALUE"""),45966.58974466435)</f>
        <v>45966.58974</v>
      </c>
      <c r="B82" s="32" t="str">
        <f>IFERROR(__xludf.DUMMYFUNCTION("""COMPUTED_VALUE"""),"Khotibul syafiiq")</f>
        <v>Khotibul syafiiq</v>
      </c>
      <c r="C82" s="27" t="str">
        <f>IFERROR(__xludf.DUMMYFUNCTION("""COMPUTED_VALUE"""),"A250036")</f>
        <v>A250036</v>
      </c>
      <c r="D82" s="27" t="str">
        <f>IFERROR(__xludf.DUMMYFUNCTION("""COMPUTED_VALUE"""),"MTs Putra")</f>
        <v>MTs Putra</v>
      </c>
      <c r="E82" s="27" t="str">
        <f>IFERROR(__xludf.DUMMYFUNCTION("""COMPUTED_VALUE"""),"Ya")</f>
        <v>Ya</v>
      </c>
      <c r="F82" s="32" t="str">
        <f>IFERROR(__xludf.DUMMYFUNCTION("""COMPUTED_VALUE"""),"B. Aku bersaksi bahwa tidak ada tuhan yang berhak di sembah kecuali Allah")</f>
        <v>B. Aku bersaksi bahwa tidak ada tuhan yang berhak di sembah kecuali Allah</v>
      </c>
      <c r="G82" s="32">
        <f>IFERROR(__xludf.DUMMYFUNCTION("""COMPUTED_VALUE"""),6.0)</f>
        <v>6</v>
      </c>
      <c r="H82" s="32" t="str">
        <f>IFERROR(__xludf.DUMMYFUNCTION("""COMPUTED_VALUE"""),"1 Syawwal")</f>
        <v>1 Syawwal</v>
      </c>
      <c r="I82" s="32" t="str">
        <f>IFERROR(__xludf.DUMMYFUNCTION("""COMPUTED_VALUE"""),"Al 'Alaq")</f>
        <v>Al 'Alaq</v>
      </c>
      <c r="J82" s="32" t="str">
        <f>IFERROR(__xludf.DUMMYFUNCTION("""COMPUTED_VALUE"""),"Ali Bin Abi Thalib")</f>
        <v>Ali Bin Abi Thalib</v>
      </c>
      <c r="K82" s="32" t="str">
        <f>IFERROR(__xludf.DUMMYFUNCTION("""COMPUTED_VALUE"""),"giat")</f>
        <v>giat</v>
      </c>
      <c r="L82" s="32" t="str">
        <f>IFERROR(__xludf.DUMMYFUNCTION("""COMPUTED_VALUE"""),"dan")</f>
        <v>dan</v>
      </c>
      <c r="M82" s="32" t="str">
        <f>IFERROR(__xludf.DUMMYFUNCTION("""COMPUTED_VALUE"""),"Hafsah mengatakan bahwa ia ingin belajar di pesantren.")</f>
        <v>Hafsah mengatakan bahwa ia ingin belajar di pesantren.</v>
      </c>
      <c r="N82" s="32" t="str">
        <f>IFERROR(__xludf.DUMMYFUNCTION("""COMPUTED_VALUE"""),"Kalimat 1")</f>
        <v>Kalimat 1</v>
      </c>
      <c r="O82" s="32" t="str">
        <f>IFERROR(__xludf.DUMMYFUNCTION("""COMPUTED_VALUE"""),"kehidupan")</f>
        <v>kehidupan</v>
      </c>
      <c r="P82" s="32" t="str">
        <f>IFERROR(__xludf.DUMMYFUNCTION("""COMPUTED_VALUE"""),"Parasitisme")</f>
        <v>Parasitisme</v>
      </c>
      <c r="Q82" s="32" t="str">
        <f>IFERROR(__xludf.DUMMYFUNCTION("""COMPUTED_VALUE"""),"Angin")</f>
        <v>Angin</v>
      </c>
      <c r="R82" s="32" t="str">
        <f>IFERROR(__xludf.DUMMYFUNCTION("""COMPUTED_VALUE"""),"pipit dan burung hantu")</f>
        <v>pipit dan burung hantu</v>
      </c>
      <c r="S82" s="32" t="str">
        <f>IFERROR(__xludf.DUMMYFUNCTION("""COMPUTED_VALUE"""),"Daun yang pipih dan lebar")</f>
        <v>Daun yang pipih dan lebar</v>
      </c>
      <c r="T82" s="32" t="str">
        <f>IFERROR(__xludf.DUMMYFUNCTION("""COMPUTED_VALUE"""),"Kelinci")</f>
        <v>Kelinci</v>
      </c>
      <c r="U82" s="32">
        <f>IFERROR(__xludf.DUMMYFUNCTION("""COMPUTED_VALUE"""),-64.0)</f>
        <v>-64</v>
      </c>
      <c r="V82" s="32" t="str">
        <f>IFERROR(__xludf.DUMMYFUNCTION("""COMPUTED_VALUE"""),"4/3")</f>
        <v>4/3</v>
      </c>
      <c r="W82" s="32" t="str">
        <f>IFERROR(__xludf.DUMMYFUNCTION("""COMPUTED_VALUE"""),"1.800 meter")</f>
        <v>1.800 meter</v>
      </c>
      <c r="X82" s="32" t="str">
        <f>IFERROR(__xludf.DUMMYFUNCTION("""COMPUTED_VALUE"""),"22 cm")</f>
        <v>22 cm</v>
      </c>
      <c r="Y82" s="32">
        <f>IFERROR(__xludf.DUMMYFUNCTION("""COMPUTED_VALUE"""),200.0)</f>
        <v>200</v>
      </c>
      <c r="Z82" s="28">
        <f t="shared" si="1"/>
        <v>1</v>
      </c>
      <c r="AA82" s="28">
        <f t="shared" si="2"/>
        <v>1</v>
      </c>
      <c r="AB82" s="28">
        <f t="shared" si="3"/>
        <v>1</v>
      </c>
      <c r="AC82" s="28">
        <f t="shared" si="4"/>
        <v>1</v>
      </c>
      <c r="AD82" s="28">
        <f t="shared" si="5"/>
        <v>1</v>
      </c>
      <c r="AE82" s="29">
        <f t="shared" si="6"/>
        <v>5</v>
      </c>
      <c r="AF82" s="28">
        <f t="shared" si="7"/>
        <v>1</v>
      </c>
      <c r="AG82" s="28">
        <f t="shared" si="8"/>
        <v>1</v>
      </c>
      <c r="AH82" s="28">
        <f t="shared" si="9"/>
        <v>1</v>
      </c>
      <c r="AI82" s="28">
        <f t="shared" si="10"/>
        <v>1</v>
      </c>
      <c r="AJ82" s="28">
        <f t="shared" si="11"/>
        <v>0</v>
      </c>
      <c r="AK82" s="29">
        <f t="shared" si="12"/>
        <v>4</v>
      </c>
      <c r="AL82" s="28">
        <f t="shared" si="13"/>
        <v>1</v>
      </c>
      <c r="AM82" s="28">
        <f t="shared" si="14"/>
        <v>1</v>
      </c>
      <c r="AN82" s="28">
        <f t="shared" si="15"/>
        <v>0</v>
      </c>
      <c r="AO82" s="28">
        <f t="shared" si="16"/>
        <v>0</v>
      </c>
      <c r="AP82" s="28">
        <f t="shared" si="17"/>
        <v>1</v>
      </c>
      <c r="AQ82" s="29">
        <f t="shared" si="18"/>
        <v>3</v>
      </c>
      <c r="AR82" s="28">
        <f t="shared" si="19"/>
        <v>1</v>
      </c>
      <c r="AS82" s="28">
        <f t="shared" si="20"/>
        <v>0</v>
      </c>
      <c r="AT82" s="28">
        <f t="shared" si="21"/>
        <v>1</v>
      </c>
      <c r="AU82" s="28">
        <f t="shared" si="22"/>
        <v>1</v>
      </c>
      <c r="AV82" s="28">
        <f t="shared" si="23"/>
        <v>0</v>
      </c>
      <c r="AW82" s="29">
        <f t="shared" si="24"/>
        <v>3</v>
      </c>
      <c r="AX82" s="22"/>
      <c r="AY82" s="26">
        <f t="shared" si="25"/>
        <v>5</v>
      </c>
      <c r="AZ82" s="26">
        <f t="shared" si="26"/>
        <v>4</v>
      </c>
      <c r="BA82" s="26">
        <f t="shared" si="27"/>
        <v>3</v>
      </c>
      <c r="BB82" s="26">
        <f t="shared" si="28"/>
        <v>3</v>
      </c>
      <c r="BC82" s="30">
        <f t="shared" si="29"/>
        <v>75</v>
      </c>
    </row>
    <row r="83">
      <c r="A83" s="31">
        <f>IFERROR(__xludf.DUMMYFUNCTION("""COMPUTED_VALUE"""),45967.8494434375)</f>
        <v>45967.84944</v>
      </c>
      <c r="B83" s="32" t="str">
        <f>IFERROR(__xludf.DUMMYFUNCTION("""COMPUTED_VALUE"""),"Syabil Al fachrizzi")</f>
        <v>Syabil Al fachrizzi</v>
      </c>
      <c r="C83" s="27" t="str">
        <f>IFERROR(__xludf.DUMMYFUNCTION("""COMPUTED_VALUE"""),"A250047")</f>
        <v>A250047</v>
      </c>
      <c r="D83" s="27" t="str">
        <f>IFERROR(__xludf.DUMMYFUNCTION("""COMPUTED_VALUE"""),"MTs Putra")</f>
        <v>MTs Putra</v>
      </c>
      <c r="E83" s="27" t="str">
        <f>IFERROR(__xludf.DUMMYFUNCTION("""COMPUTED_VALUE"""),"Ya")</f>
        <v>Ya</v>
      </c>
      <c r="F83" s="32" t="str">
        <f>IFERROR(__xludf.DUMMYFUNCTION("""COMPUTED_VALUE"""),"B. Aku bersaksi bahwa tidak ada tuhan yang berhak di sembah kecuali Allah")</f>
        <v>B. Aku bersaksi bahwa tidak ada tuhan yang berhak di sembah kecuali Allah</v>
      </c>
      <c r="G83" s="32">
        <f>IFERROR(__xludf.DUMMYFUNCTION("""COMPUTED_VALUE"""),6.0)</f>
        <v>6</v>
      </c>
      <c r="H83" s="32" t="str">
        <f>IFERROR(__xludf.DUMMYFUNCTION("""COMPUTED_VALUE"""),"1 Syawwal")</f>
        <v>1 Syawwal</v>
      </c>
      <c r="I83" s="32" t="str">
        <f>IFERROR(__xludf.DUMMYFUNCTION("""COMPUTED_VALUE"""),"Al 'Alaq")</f>
        <v>Al 'Alaq</v>
      </c>
      <c r="J83" s="32" t="str">
        <f>IFERROR(__xludf.DUMMYFUNCTION("""COMPUTED_VALUE"""),"Ali Bin Abi Thalib")</f>
        <v>Ali Bin Abi Thalib</v>
      </c>
      <c r="K83" s="32" t="str">
        <f>IFERROR(__xludf.DUMMYFUNCTION("""COMPUTED_VALUE"""),"giat")</f>
        <v>giat</v>
      </c>
      <c r="L83" s="32" t="str">
        <f>IFERROR(__xludf.DUMMYFUNCTION("""COMPUTED_VALUE"""),"dan")</f>
        <v>dan</v>
      </c>
      <c r="M83" s="32" t="str">
        <f>IFERROR(__xludf.DUMMYFUNCTION("""COMPUTED_VALUE"""),"Hafsah mengatakan bahwa ia ingin belajar di pesantren.")</f>
        <v>Hafsah mengatakan bahwa ia ingin belajar di pesantren.</v>
      </c>
      <c r="N83" s="32" t="str">
        <f>IFERROR(__xludf.DUMMYFUNCTION("""COMPUTED_VALUE"""),"Kalimat 1")</f>
        <v>Kalimat 1</v>
      </c>
      <c r="O83" s="32" t="str">
        <f>IFERROR(__xludf.DUMMYFUNCTION("""COMPUTED_VALUE"""),"cahaya")</f>
        <v>cahaya</v>
      </c>
      <c r="P83" s="32" t="str">
        <f>IFERROR(__xludf.DUMMYFUNCTION("""COMPUTED_VALUE"""),"Parasitisme")</f>
        <v>Parasitisme</v>
      </c>
      <c r="Q83" s="32" t="str">
        <f>IFERROR(__xludf.DUMMYFUNCTION("""COMPUTED_VALUE"""),"Angin")</f>
        <v>Angin</v>
      </c>
      <c r="R83" s="32" t="str">
        <f>IFERROR(__xludf.DUMMYFUNCTION("""COMPUTED_VALUE"""),"belalang dan ular")</f>
        <v>belalang dan ular</v>
      </c>
      <c r="S83" s="32" t="str">
        <f>IFERROR(__xludf.DUMMYFUNCTION("""COMPUTED_VALUE"""),"Memiliki stomata")</f>
        <v>Memiliki stomata</v>
      </c>
      <c r="T83" s="32" t="str">
        <f>IFERROR(__xludf.DUMMYFUNCTION("""COMPUTED_VALUE"""),"Kelinci")</f>
        <v>Kelinci</v>
      </c>
      <c r="U83" s="32">
        <f>IFERROR(__xludf.DUMMYFUNCTION("""COMPUTED_VALUE"""),-64.0)</f>
        <v>-64</v>
      </c>
      <c r="V83" s="32" t="str">
        <f>IFERROR(__xludf.DUMMYFUNCTION("""COMPUTED_VALUE"""),"3/4")</f>
        <v>3/4</v>
      </c>
      <c r="W83" s="32" t="str">
        <f>IFERROR(__xludf.DUMMYFUNCTION("""COMPUTED_VALUE"""),"1.800 meter")</f>
        <v>1.800 meter</v>
      </c>
      <c r="X83" s="32" t="str">
        <f>IFERROR(__xludf.DUMMYFUNCTION("""COMPUTED_VALUE"""),"28 cm")</f>
        <v>28 cm</v>
      </c>
      <c r="Y83" s="32">
        <f>IFERROR(__xludf.DUMMYFUNCTION("""COMPUTED_VALUE"""),200.0)</f>
        <v>200</v>
      </c>
      <c r="Z83" s="28">
        <f t="shared" si="1"/>
        <v>1</v>
      </c>
      <c r="AA83" s="28">
        <f t="shared" si="2"/>
        <v>1</v>
      </c>
      <c r="AB83" s="28">
        <f t="shared" si="3"/>
        <v>1</v>
      </c>
      <c r="AC83" s="28">
        <f t="shared" si="4"/>
        <v>1</v>
      </c>
      <c r="AD83" s="28">
        <f t="shared" si="5"/>
        <v>1</v>
      </c>
      <c r="AE83" s="29">
        <f t="shared" si="6"/>
        <v>5</v>
      </c>
      <c r="AF83" s="28">
        <f t="shared" si="7"/>
        <v>1</v>
      </c>
      <c r="AG83" s="28">
        <f t="shared" si="8"/>
        <v>1</v>
      </c>
      <c r="AH83" s="28">
        <f t="shared" si="9"/>
        <v>1</v>
      </c>
      <c r="AI83" s="28">
        <f t="shared" si="10"/>
        <v>1</v>
      </c>
      <c r="AJ83" s="28">
        <f t="shared" si="11"/>
        <v>1</v>
      </c>
      <c r="AK83" s="29">
        <f t="shared" si="12"/>
        <v>5</v>
      </c>
      <c r="AL83" s="28">
        <f t="shared" si="13"/>
        <v>1</v>
      </c>
      <c r="AM83" s="28">
        <f t="shared" si="14"/>
        <v>1</v>
      </c>
      <c r="AN83" s="28">
        <f t="shared" si="15"/>
        <v>1</v>
      </c>
      <c r="AO83" s="28">
        <f t="shared" si="16"/>
        <v>0</v>
      </c>
      <c r="AP83" s="28">
        <f t="shared" si="17"/>
        <v>1</v>
      </c>
      <c r="AQ83" s="29">
        <f t="shared" si="18"/>
        <v>4</v>
      </c>
      <c r="AR83" s="28">
        <f t="shared" si="19"/>
        <v>1</v>
      </c>
      <c r="AS83" s="28">
        <f t="shared" si="20"/>
        <v>1</v>
      </c>
      <c r="AT83" s="28">
        <f t="shared" si="21"/>
        <v>1</v>
      </c>
      <c r="AU83" s="28">
        <f t="shared" si="22"/>
        <v>0</v>
      </c>
      <c r="AV83" s="28">
        <f t="shared" si="23"/>
        <v>0</v>
      </c>
      <c r="AW83" s="29">
        <f t="shared" si="24"/>
        <v>3</v>
      </c>
      <c r="AX83" s="22"/>
      <c r="AY83" s="26">
        <f t="shared" si="25"/>
        <v>5</v>
      </c>
      <c r="AZ83" s="26">
        <f t="shared" si="26"/>
        <v>5</v>
      </c>
      <c r="BA83" s="26">
        <f t="shared" si="27"/>
        <v>4</v>
      </c>
      <c r="BB83" s="26">
        <f t="shared" si="28"/>
        <v>3</v>
      </c>
      <c r="BC83" s="30">
        <f t="shared" si="29"/>
        <v>85</v>
      </c>
    </row>
    <row r="84">
      <c r="A84" s="31">
        <f>IFERROR(__xludf.DUMMYFUNCTION("""COMPUTED_VALUE"""),45968.634509270836)</f>
        <v>45968.63451</v>
      </c>
      <c r="B84" s="32" t="str">
        <f>IFERROR(__xludf.DUMMYFUNCTION("""COMPUTED_VALUE"""),"M Nadhif R")</f>
        <v>M Nadhif R</v>
      </c>
      <c r="C84" s="27" t="str">
        <f>IFERROR(__xludf.DUMMYFUNCTION("""COMPUTED_VALUE"""),"A 250075")</f>
        <v>A 250075</v>
      </c>
      <c r="D84" s="27" t="str">
        <f>IFERROR(__xludf.DUMMYFUNCTION("""COMPUTED_VALUE"""),"MTs Putra")</f>
        <v>MTs Putra</v>
      </c>
      <c r="E84" s="27" t="str">
        <f>IFERROR(__xludf.DUMMYFUNCTION("""COMPUTED_VALUE"""),"Ya")</f>
        <v>Ya</v>
      </c>
      <c r="F84" s="32" t="str">
        <f>IFERROR(__xludf.DUMMYFUNCTION("""COMPUTED_VALUE"""),"B. Aku bersaksi bahwa tidak ada tuhan yang berhak di sembah kecuali Allah")</f>
        <v>B. Aku bersaksi bahwa tidak ada tuhan yang berhak di sembah kecuali Allah</v>
      </c>
      <c r="G84" s="32">
        <f>IFERROR(__xludf.DUMMYFUNCTION("""COMPUTED_VALUE"""),6.0)</f>
        <v>6</v>
      </c>
      <c r="H84" s="32" t="str">
        <f>IFERROR(__xludf.DUMMYFUNCTION("""COMPUTED_VALUE"""),"1 Syawwal")</f>
        <v>1 Syawwal</v>
      </c>
      <c r="I84" s="32" t="str">
        <f>IFERROR(__xludf.DUMMYFUNCTION("""COMPUTED_VALUE"""),"Al 'Alaq")</f>
        <v>Al 'Alaq</v>
      </c>
      <c r="J84" s="32" t="str">
        <f>IFERROR(__xludf.DUMMYFUNCTION("""COMPUTED_VALUE"""),"Ali Bin Abi Thalib")</f>
        <v>Ali Bin Abi Thalib</v>
      </c>
      <c r="K84" s="32" t="str">
        <f>IFERROR(__xludf.DUMMYFUNCTION("""COMPUTED_VALUE"""),"giat")</f>
        <v>giat</v>
      </c>
      <c r="L84" s="32" t="str">
        <f>IFERROR(__xludf.DUMMYFUNCTION("""COMPUTED_VALUE"""),"dan")</f>
        <v>dan</v>
      </c>
      <c r="M84" s="32" t="str">
        <f>IFERROR(__xludf.DUMMYFUNCTION("""COMPUTED_VALUE"""),"Hafsah mengatakan bahwa ia ingin belajar di pesantren.")</f>
        <v>Hafsah mengatakan bahwa ia ingin belajar di pesantren.</v>
      </c>
      <c r="N84" s="32" t="str">
        <f>IFERROR(__xludf.DUMMYFUNCTION("""COMPUTED_VALUE"""),"Kalimat 1")</f>
        <v>Kalimat 1</v>
      </c>
      <c r="O84" s="32" t="str">
        <f>IFERROR(__xludf.DUMMYFUNCTION("""COMPUTED_VALUE"""),"cahaya")</f>
        <v>cahaya</v>
      </c>
      <c r="P84" s="32" t="str">
        <f>IFERROR(__xludf.DUMMYFUNCTION("""COMPUTED_VALUE"""),"Parasitisme")</f>
        <v>Parasitisme</v>
      </c>
      <c r="Q84" s="32" t="str">
        <f>IFERROR(__xludf.DUMMYFUNCTION("""COMPUTED_VALUE"""),"Angin")</f>
        <v>Angin</v>
      </c>
      <c r="R84" s="32" t="str">
        <f>IFERROR(__xludf.DUMMYFUNCTION("""COMPUTED_VALUE"""),"belalang dan ular")</f>
        <v>belalang dan ular</v>
      </c>
      <c r="S84" s="32" t="str">
        <f>IFERROR(__xludf.DUMMYFUNCTION("""COMPUTED_VALUE"""),"Menghasilkan klorofil")</f>
        <v>Menghasilkan klorofil</v>
      </c>
      <c r="T84" s="32" t="str">
        <f>IFERROR(__xludf.DUMMYFUNCTION("""COMPUTED_VALUE"""),"Kelinci")</f>
        <v>Kelinci</v>
      </c>
      <c r="U84" s="32">
        <f>IFERROR(__xludf.DUMMYFUNCTION("""COMPUTED_VALUE"""),-64.0)</f>
        <v>-64</v>
      </c>
      <c r="V84" s="32" t="str">
        <f>IFERROR(__xludf.DUMMYFUNCTION("""COMPUTED_VALUE"""),"3/4")</f>
        <v>3/4</v>
      </c>
      <c r="W84" s="32" t="str">
        <f>IFERROR(__xludf.DUMMYFUNCTION("""COMPUTED_VALUE"""),"1.800 meter")</f>
        <v>1.800 meter</v>
      </c>
      <c r="X84" s="32" t="str">
        <f>IFERROR(__xludf.DUMMYFUNCTION("""COMPUTED_VALUE"""),"28 cm")</f>
        <v>28 cm</v>
      </c>
      <c r="Y84" s="32">
        <f>IFERROR(__xludf.DUMMYFUNCTION("""COMPUTED_VALUE"""),200.0)</f>
        <v>200</v>
      </c>
      <c r="Z84" s="28">
        <f t="shared" si="1"/>
        <v>1</v>
      </c>
      <c r="AA84" s="28">
        <f t="shared" si="2"/>
        <v>1</v>
      </c>
      <c r="AB84" s="28">
        <f t="shared" si="3"/>
        <v>1</v>
      </c>
      <c r="AC84" s="28">
        <f t="shared" si="4"/>
        <v>1</v>
      </c>
      <c r="AD84" s="28">
        <f t="shared" si="5"/>
        <v>1</v>
      </c>
      <c r="AE84" s="29">
        <f t="shared" si="6"/>
        <v>5</v>
      </c>
      <c r="AF84" s="28">
        <f t="shared" si="7"/>
        <v>1</v>
      </c>
      <c r="AG84" s="28">
        <f t="shared" si="8"/>
        <v>1</v>
      </c>
      <c r="AH84" s="28">
        <f t="shared" si="9"/>
        <v>1</v>
      </c>
      <c r="AI84" s="28">
        <f t="shared" si="10"/>
        <v>1</v>
      </c>
      <c r="AJ84" s="28">
        <f t="shared" si="11"/>
        <v>1</v>
      </c>
      <c r="AK84" s="29">
        <f t="shared" si="12"/>
        <v>5</v>
      </c>
      <c r="AL84" s="28">
        <f t="shared" si="13"/>
        <v>1</v>
      </c>
      <c r="AM84" s="28">
        <f t="shared" si="14"/>
        <v>1</v>
      </c>
      <c r="AN84" s="28">
        <f t="shared" si="15"/>
        <v>1</v>
      </c>
      <c r="AO84" s="28">
        <f t="shared" si="16"/>
        <v>1</v>
      </c>
      <c r="AP84" s="28">
        <f t="shared" si="17"/>
        <v>1</v>
      </c>
      <c r="AQ84" s="29">
        <f t="shared" si="18"/>
        <v>5</v>
      </c>
      <c r="AR84" s="28">
        <f t="shared" si="19"/>
        <v>1</v>
      </c>
      <c r="AS84" s="28">
        <f t="shared" si="20"/>
        <v>1</v>
      </c>
      <c r="AT84" s="28">
        <f t="shared" si="21"/>
        <v>1</v>
      </c>
      <c r="AU84" s="28">
        <f t="shared" si="22"/>
        <v>0</v>
      </c>
      <c r="AV84" s="28">
        <f t="shared" si="23"/>
        <v>0</v>
      </c>
      <c r="AW84" s="29">
        <f t="shared" si="24"/>
        <v>3</v>
      </c>
      <c r="AX84" s="22"/>
      <c r="AY84" s="26">
        <f t="shared" si="25"/>
        <v>5</v>
      </c>
      <c r="AZ84" s="26">
        <f t="shared" si="26"/>
        <v>5</v>
      </c>
      <c r="BA84" s="26">
        <f t="shared" si="27"/>
        <v>5</v>
      </c>
      <c r="BB84" s="26">
        <f t="shared" si="28"/>
        <v>3</v>
      </c>
      <c r="BC84" s="30">
        <f t="shared" si="29"/>
        <v>90</v>
      </c>
    </row>
    <row r="85">
      <c r="A85" s="31">
        <f>IFERROR(__xludf.DUMMYFUNCTION("""COMPUTED_VALUE"""),45970.45324822917)</f>
        <v>45970.45325</v>
      </c>
      <c r="B85" s="32" t="str">
        <f>IFERROR(__xludf.DUMMYFUNCTION("""COMPUTED_VALUE"""),"URWATULWUTSQO")</f>
        <v>URWATULWUTSQO</v>
      </c>
      <c r="C85" s="27" t="str">
        <f>IFERROR(__xludf.DUMMYFUNCTION("""COMPUTED_VALUE"""),"A250082")</f>
        <v>A250082</v>
      </c>
      <c r="D85" s="27" t="str">
        <f>IFERROR(__xludf.DUMMYFUNCTION("""COMPUTED_VALUE"""),"MTs Putra")</f>
        <v>MTs Putra</v>
      </c>
      <c r="E85" s="27" t="str">
        <f>IFERROR(__xludf.DUMMYFUNCTION("""COMPUTED_VALUE"""),"Ya")</f>
        <v>Ya</v>
      </c>
      <c r="F85" s="32" t="str">
        <f>IFERROR(__xludf.DUMMYFUNCTION("""COMPUTED_VALUE"""),"B. Aku bersaksi bahwa tidak ada tuhan yang berhak di sembah kecuali Allah")</f>
        <v>B. Aku bersaksi bahwa tidak ada tuhan yang berhak di sembah kecuali Allah</v>
      </c>
      <c r="G85" s="32">
        <f>IFERROR(__xludf.DUMMYFUNCTION("""COMPUTED_VALUE"""),6.0)</f>
        <v>6</v>
      </c>
      <c r="H85" s="32" t="str">
        <f>IFERROR(__xludf.DUMMYFUNCTION("""COMPUTED_VALUE"""),"1 Syawwal")</f>
        <v>1 Syawwal</v>
      </c>
      <c r="I85" s="32" t="str">
        <f>IFERROR(__xludf.DUMMYFUNCTION("""COMPUTED_VALUE"""),"Al 'Alaq")</f>
        <v>Al 'Alaq</v>
      </c>
      <c r="J85" s="32" t="str">
        <f>IFERROR(__xludf.DUMMYFUNCTION("""COMPUTED_VALUE"""),"Ali Bin Abi Thalib")</f>
        <v>Ali Bin Abi Thalib</v>
      </c>
      <c r="K85" s="32" t="str">
        <f>IFERROR(__xludf.DUMMYFUNCTION("""COMPUTED_VALUE"""),"giat")</f>
        <v>giat</v>
      </c>
      <c r="L85" s="32" t="str">
        <f>IFERROR(__xludf.DUMMYFUNCTION("""COMPUTED_VALUE"""),"dan")</f>
        <v>dan</v>
      </c>
      <c r="M85" s="32" t="str">
        <f>IFERROR(__xludf.DUMMYFUNCTION("""COMPUTED_VALUE"""),"Hafsah mengatakan bahwa ia ingin belajar di pesantren.")</f>
        <v>Hafsah mengatakan bahwa ia ingin belajar di pesantren.</v>
      </c>
      <c r="N85" s="32" t="str">
        <f>IFERROR(__xludf.DUMMYFUNCTION("""COMPUTED_VALUE"""),"Kalimat 1")</f>
        <v>Kalimat 1</v>
      </c>
      <c r="O85" s="32" t="str">
        <f>IFERROR(__xludf.DUMMYFUNCTION("""COMPUTED_VALUE"""),"kehidupan")</f>
        <v>kehidupan</v>
      </c>
      <c r="P85" s="32" t="str">
        <f>IFERROR(__xludf.DUMMYFUNCTION("""COMPUTED_VALUE"""),"Parasitisme")</f>
        <v>Parasitisme</v>
      </c>
      <c r="Q85" s="32" t="str">
        <f>IFERROR(__xludf.DUMMYFUNCTION("""COMPUTED_VALUE"""),"Angin")</f>
        <v>Angin</v>
      </c>
      <c r="R85" s="32" t="str">
        <f>IFERROR(__xludf.DUMMYFUNCTION("""COMPUTED_VALUE"""),"belalang dan ular")</f>
        <v>belalang dan ular</v>
      </c>
      <c r="S85" s="32" t="str">
        <f>IFERROR(__xludf.DUMMYFUNCTION("""COMPUTED_VALUE"""),"Daun yang pipih dan lebar")</f>
        <v>Daun yang pipih dan lebar</v>
      </c>
      <c r="T85" s="32" t="str">
        <f>IFERROR(__xludf.DUMMYFUNCTION("""COMPUTED_VALUE"""),"Kelinci")</f>
        <v>Kelinci</v>
      </c>
      <c r="U85" s="32">
        <f>IFERROR(__xludf.DUMMYFUNCTION("""COMPUTED_VALUE"""),-64.0)</f>
        <v>-64</v>
      </c>
      <c r="V85" s="32" t="str">
        <f>IFERROR(__xludf.DUMMYFUNCTION("""COMPUTED_VALUE"""),"3/4")</f>
        <v>3/4</v>
      </c>
      <c r="W85" s="32" t="str">
        <f>IFERROR(__xludf.DUMMYFUNCTION("""COMPUTED_VALUE"""),"1.800 meter")</f>
        <v>1.800 meter</v>
      </c>
      <c r="X85" s="32" t="str">
        <f>IFERROR(__xludf.DUMMYFUNCTION("""COMPUTED_VALUE"""),"22 cm")</f>
        <v>22 cm</v>
      </c>
      <c r="Y85" s="32">
        <f>IFERROR(__xludf.DUMMYFUNCTION("""COMPUTED_VALUE"""),200.0)</f>
        <v>200</v>
      </c>
      <c r="Z85" s="28">
        <f t="shared" si="1"/>
        <v>1</v>
      </c>
      <c r="AA85" s="28">
        <f t="shared" si="2"/>
        <v>1</v>
      </c>
      <c r="AB85" s="28">
        <f t="shared" si="3"/>
        <v>1</v>
      </c>
      <c r="AC85" s="28">
        <f t="shared" si="4"/>
        <v>1</v>
      </c>
      <c r="AD85" s="28">
        <f t="shared" si="5"/>
        <v>1</v>
      </c>
      <c r="AE85" s="29">
        <f t="shared" si="6"/>
        <v>5</v>
      </c>
      <c r="AF85" s="28">
        <f t="shared" si="7"/>
        <v>1</v>
      </c>
      <c r="AG85" s="28">
        <f t="shared" si="8"/>
        <v>1</v>
      </c>
      <c r="AH85" s="28">
        <f t="shared" si="9"/>
        <v>1</v>
      </c>
      <c r="AI85" s="28">
        <f t="shared" si="10"/>
        <v>1</v>
      </c>
      <c r="AJ85" s="28">
        <f t="shared" si="11"/>
        <v>0</v>
      </c>
      <c r="AK85" s="29">
        <f t="shared" si="12"/>
        <v>4</v>
      </c>
      <c r="AL85" s="28">
        <f t="shared" si="13"/>
        <v>1</v>
      </c>
      <c r="AM85" s="28">
        <f t="shared" si="14"/>
        <v>1</v>
      </c>
      <c r="AN85" s="28">
        <f t="shared" si="15"/>
        <v>1</v>
      </c>
      <c r="AO85" s="28">
        <f t="shared" si="16"/>
        <v>0</v>
      </c>
      <c r="AP85" s="28">
        <f t="shared" si="17"/>
        <v>1</v>
      </c>
      <c r="AQ85" s="29">
        <f t="shared" si="18"/>
        <v>4</v>
      </c>
      <c r="AR85" s="28">
        <f t="shared" si="19"/>
        <v>1</v>
      </c>
      <c r="AS85" s="28">
        <f t="shared" si="20"/>
        <v>1</v>
      </c>
      <c r="AT85" s="28">
        <f t="shared" si="21"/>
        <v>1</v>
      </c>
      <c r="AU85" s="28">
        <f t="shared" si="22"/>
        <v>1</v>
      </c>
      <c r="AV85" s="28">
        <f t="shared" si="23"/>
        <v>0</v>
      </c>
      <c r="AW85" s="29">
        <f t="shared" si="24"/>
        <v>4</v>
      </c>
      <c r="AX85" s="22"/>
      <c r="AY85" s="26">
        <f t="shared" si="25"/>
        <v>5</v>
      </c>
      <c r="AZ85" s="26">
        <f t="shared" si="26"/>
        <v>4</v>
      </c>
      <c r="BA85" s="26">
        <f t="shared" si="27"/>
        <v>4</v>
      </c>
      <c r="BB85" s="26">
        <f t="shared" si="28"/>
        <v>4</v>
      </c>
      <c r="BC85" s="30">
        <f t="shared" si="29"/>
        <v>85</v>
      </c>
    </row>
    <row r="86">
      <c r="A86" s="31">
        <f>IFERROR(__xludf.DUMMYFUNCTION("""COMPUTED_VALUE"""),45970.76753114583)</f>
        <v>45970.76753</v>
      </c>
      <c r="B86" s="32" t="str">
        <f>IFERROR(__xludf.DUMMYFUNCTION("""COMPUTED_VALUE"""),"Aisha Alifa Noor Attarini")</f>
        <v>Aisha Alifa Noor Attarini</v>
      </c>
      <c r="C86" s="27" t="str">
        <f>IFERROR(__xludf.DUMMYFUNCTION("""COMPUTED_VALUE"""),"D250023")</f>
        <v>D250023</v>
      </c>
      <c r="D86" s="27" t="str">
        <f>IFERROR(__xludf.DUMMYFUNCTION("""COMPUTED_VALUE"""),"MTs Putri")</f>
        <v>MTs Putri</v>
      </c>
      <c r="E86" s="27" t="str">
        <f>IFERROR(__xludf.DUMMYFUNCTION("""COMPUTED_VALUE"""),"Ya")</f>
        <v>Ya</v>
      </c>
      <c r="F86" s="32" t="str">
        <f>IFERROR(__xludf.DUMMYFUNCTION("""COMPUTED_VALUE"""),"B. Aku bersaksi bahwa tidak ada tuhan yang berhak di sembah kecuali Allah")</f>
        <v>B. Aku bersaksi bahwa tidak ada tuhan yang berhak di sembah kecuali Allah</v>
      </c>
      <c r="G86" s="32">
        <f>IFERROR(__xludf.DUMMYFUNCTION("""COMPUTED_VALUE"""),5.0)</f>
        <v>5</v>
      </c>
      <c r="H86" s="32" t="str">
        <f>IFERROR(__xludf.DUMMYFUNCTION("""COMPUTED_VALUE"""),"1 Syawwal")</f>
        <v>1 Syawwal</v>
      </c>
      <c r="I86" s="32" t="str">
        <f>IFERROR(__xludf.DUMMYFUNCTION("""COMPUTED_VALUE"""),"Al Maidah")</f>
        <v>Al Maidah</v>
      </c>
      <c r="J86" s="32" t="str">
        <f>IFERROR(__xludf.DUMMYFUNCTION("""COMPUTED_VALUE"""),"Umar Bin Khattab")</f>
        <v>Umar Bin Khattab</v>
      </c>
      <c r="K86" s="32" t="str">
        <f>IFERROR(__xludf.DUMMYFUNCTION("""COMPUTED_VALUE"""),"giat")</f>
        <v>giat</v>
      </c>
      <c r="L86" s="32" t="str">
        <f>IFERROR(__xludf.DUMMYFUNCTION("""COMPUTED_VALUE"""),"dan")</f>
        <v>dan</v>
      </c>
      <c r="M86" s="32" t="str">
        <f>IFERROR(__xludf.DUMMYFUNCTION("""COMPUTED_VALUE"""),"Hafsah mengatakan bahwa aku ingin belajar di pesantren.")</f>
        <v>Hafsah mengatakan bahwa aku ingin belajar di pesantren.</v>
      </c>
      <c r="N86" s="32" t="str">
        <f>IFERROR(__xludf.DUMMYFUNCTION("""COMPUTED_VALUE"""),"Kalimat 2")</f>
        <v>Kalimat 2</v>
      </c>
      <c r="O86" s="32" t="str">
        <f>IFERROR(__xludf.DUMMYFUNCTION("""COMPUTED_VALUE"""),"tata surya")</f>
        <v>tata surya</v>
      </c>
      <c r="P86" s="32" t="str">
        <f>IFERROR(__xludf.DUMMYFUNCTION("""COMPUTED_VALUE"""),"Mutualisme")</f>
        <v>Mutualisme</v>
      </c>
      <c r="Q86" s="32" t="str">
        <f>IFERROR(__xludf.DUMMYFUNCTION("""COMPUTED_VALUE"""),"Angin")</f>
        <v>Angin</v>
      </c>
      <c r="R86" s="32" t="str">
        <f>IFERROR(__xludf.DUMMYFUNCTION("""COMPUTED_VALUE"""),"burung ketilang dan ulat")</f>
        <v>burung ketilang dan ulat</v>
      </c>
      <c r="S86" s="32" t="str">
        <f>IFERROR(__xludf.DUMMYFUNCTION("""COMPUTED_VALUE"""),"Menghasilkan klorofil")</f>
        <v>Menghasilkan klorofil</v>
      </c>
      <c r="T86" s="32" t="str">
        <f>IFERROR(__xludf.DUMMYFUNCTION("""COMPUTED_VALUE"""),"Buaya")</f>
        <v>Buaya</v>
      </c>
      <c r="U86" s="32">
        <f>IFERROR(__xludf.DUMMYFUNCTION("""COMPUTED_VALUE"""),56.0)</f>
        <v>56</v>
      </c>
      <c r="V86" s="32" t="str">
        <f>IFERROR(__xludf.DUMMYFUNCTION("""COMPUTED_VALUE"""),"3/8")</f>
        <v>3/8</v>
      </c>
      <c r="W86" s="32" t="str">
        <f>IFERROR(__xludf.DUMMYFUNCTION("""COMPUTED_VALUE"""),"1.575 meter")</f>
        <v>1.575 meter</v>
      </c>
      <c r="X86" s="32" t="str">
        <f>IFERROR(__xludf.DUMMYFUNCTION("""COMPUTED_VALUE"""),"28 cm")</f>
        <v>28 cm</v>
      </c>
      <c r="Y86" s="33">
        <f>IFERROR(__xludf.DUMMYFUNCTION("""COMPUTED_VALUE"""),1000.0)</f>
        <v>1000</v>
      </c>
      <c r="Z86" s="28">
        <f t="shared" si="1"/>
        <v>1</v>
      </c>
      <c r="AA86" s="28">
        <f t="shared" si="2"/>
        <v>0</v>
      </c>
      <c r="AB86" s="28">
        <f t="shared" si="3"/>
        <v>1</v>
      </c>
      <c r="AC86" s="28">
        <f t="shared" si="4"/>
        <v>0</v>
      </c>
      <c r="AD86" s="28">
        <f t="shared" si="5"/>
        <v>0</v>
      </c>
      <c r="AE86" s="29">
        <f t="shared" si="6"/>
        <v>2</v>
      </c>
      <c r="AF86" s="28">
        <f t="shared" si="7"/>
        <v>1</v>
      </c>
      <c r="AG86" s="28">
        <f t="shared" si="8"/>
        <v>1</v>
      </c>
      <c r="AH86" s="28">
        <f t="shared" si="9"/>
        <v>0</v>
      </c>
      <c r="AI86" s="28">
        <f t="shared" si="10"/>
        <v>0</v>
      </c>
      <c r="AJ86" s="28">
        <f t="shared" si="11"/>
        <v>0</v>
      </c>
      <c r="AK86" s="29">
        <f t="shared" si="12"/>
        <v>2</v>
      </c>
      <c r="AL86" s="28">
        <f t="shared" si="13"/>
        <v>0</v>
      </c>
      <c r="AM86" s="28">
        <f t="shared" si="14"/>
        <v>1</v>
      </c>
      <c r="AN86" s="28">
        <f t="shared" si="15"/>
        <v>0</v>
      </c>
      <c r="AO86" s="28">
        <f t="shared" si="16"/>
        <v>1</v>
      </c>
      <c r="AP86" s="28">
        <f t="shared" si="17"/>
        <v>0</v>
      </c>
      <c r="AQ86" s="29">
        <f t="shared" si="18"/>
        <v>2</v>
      </c>
      <c r="AR86" s="28">
        <f t="shared" si="19"/>
        <v>0</v>
      </c>
      <c r="AS86" s="28">
        <f t="shared" si="20"/>
        <v>0</v>
      </c>
      <c r="AT86" s="28">
        <f t="shared" si="21"/>
        <v>0</v>
      </c>
      <c r="AU86" s="28">
        <f t="shared" si="22"/>
        <v>0</v>
      </c>
      <c r="AV86" s="28">
        <f t="shared" si="23"/>
        <v>0</v>
      </c>
      <c r="AW86" s="29">
        <f t="shared" si="24"/>
        <v>0</v>
      </c>
      <c r="AX86" s="22"/>
      <c r="AY86" s="26">
        <f t="shared" si="25"/>
        <v>2</v>
      </c>
      <c r="AZ86" s="26">
        <f t="shared" si="26"/>
        <v>2</v>
      </c>
      <c r="BA86" s="26">
        <f t="shared" si="27"/>
        <v>2</v>
      </c>
      <c r="BB86" s="26">
        <f t="shared" si="28"/>
        <v>0</v>
      </c>
      <c r="BC86" s="30">
        <f t="shared" si="29"/>
        <v>30</v>
      </c>
    </row>
    <row r="87">
      <c r="A87" s="31">
        <f>IFERROR(__xludf.DUMMYFUNCTION("""COMPUTED_VALUE"""),45971.72140559027)</f>
        <v>45971.72141</v>
      </c>
      <c r="B87" s="32" t="str">
        <f>IFERROR(__xludf.DUMMYFUNCTION("""COMPUTED_VALUE"""),"Rifqi Fathurrohman")</f>
        <v>Rifqi Fathurrohman</v>
      </c>
      <c r="C87" s="27" t="str">
        <f>IFERROR(__xludf.DUMMYFUNCTION("""COMPUTED_VALUE"""),"A250084")</f>
        <v>A250084</v>
      </c>
      <c r="D87" s="27" t="str">
        <f>IFERROR(__xludf.DUMMYFUNCTION("""COMPUTED_VALUE"""),"MTs Putra")</f>
        <v>MTs Putra</v>
      </c>
      <c r="E87" s="27" t="str">
        <f>IFERROR(__xludf.DUMMYFUNCTION("""COMPUTED_VALUE"""),"Ya")</f>
        <v>Ya</v>
      </c>
      <c r="F87" s="32" t="str">
        <f>IFERROR(__xludf.DUMMYFUNCTION("""COMPUTED_VALUE"""),"B. Aku bersaksi bahwa tidak ada tuhan yang berhak di sembah kecuali Allah")</f>
        <v>B. Aku bersaksi bahwa tidak ada tuhan yang berhak di sembah kecuali Allah</v>
      </c>
      <c r="G87" s="32">
        <f>IFERROR(__xludf.DUMMYFUNCTION("""COMPUTED_VALUE"""),6.0)</f>
        <v>6</v>
      </c>
      <c r="H87" s="32" t="str">
        <f>IFERROR(__xludf.DUMMYFUNCTION("""COMPUTED_VALUE"""),"1 Syawwal")</f>
        <v>1 Syawwal</v>
      </c>
      <c r="I87" s="32" t="str">
        <f>IFERROR(__xludf.DUMMYFUNCTION("""COMPUTED_VALUE"""),"Al 'Alaq")</f>
        <v>Al 'Alaq</v>
      </c>
      <c r="J87" s="32" t="str">
        <f>IFERROR(__xludf.DUMMYFUNCTION("""COMPUTED_VALUE"""),"Ali Bin Abi Thalib")</f>
        <v>Ali Bin Abi Thalib</v>
      </c>
      <c r="K87" s="32" t="str">
        <f>IFERROR(__xludf.DUMMYFUNCTION("""COMPUTED_VALUE"""),"giat")</f>
        <v>giat</v>
      </c>
      <c r="L87" s="32" t="str">
        <f>IFERROR(__xludf.DUMMYFUNCTION("""COMPUTED_VALUE"""),"dan")</f>
        <v>dan</v>
      </c>
      <c r="M87" s="32" t="str">
        <f>IFERROR(__xludf.DUMMYFUNCTION("""COMPUTED_VALUE"""),"Hafsah mengatakan bahwa ia ingin belajar di pesantren.")</f>
        <v>Hafsah mengatakan bahwa ia ingin belajar di pesantren.</v>
      </c>
      <c r="N87" s="32" t="str">
        <f>IFERROR(__xludf.DUMMYFUNCTION("""COMPUTED_VALUE"""),"Kalimat 1")</f>
        <v>Kalimat 1</v>
      </c>
      <c r="O87" s="32" t="str">
        <f>IFERROR(__xludf.DUMMYFUNCTION("""COMPUTED_VALUE"""),"cahaya")</f>
        <v>cahaya</v>
      </c>
      <c r="P87" s="32" t="str">
        <f>IFERROR(__xludf.DUMMYFUNCTION("""COMPUTED_VALUE"""),"Mutualisme")</f>
        <v>Mutualisme</v>
      </c>
      <c r="Q87" s="32" t="str">
        <f>IFERROR(__xludf.DUMMYFUNCTION("""COMPUTED_VALUE"""),"Angin")</f>
        <v>Angin</v>
      </c>
      <c r="R87" s="32" t="str">
        <f>IFERROR(__xludf.DUMMYFUNCTION("""COMPUTED_VALUE"""),"belalang dan ular")</f>
        <v>belalang dan ular</v>
      </c>
      <c r="S87" s="32" t="str">
        <f>IFERROR(__xludf.DUMMYFUNCTION("""COMPUTED_VALUE"""),"Menghasilkan klorofil")</f>
        <v>Menghasilkan klorofil</v>
      </c>
      <c r="T87" s="32" t="str">
        <f>IFERROR(__xludf.DUMMYFUNCTION("""COMPUTED_VALUE"""),"Kelinci")</f>
        <v>Kelinci</v>
      </c>
      <c r="U87" s="32">
        <f>IFERROR(__xludf.DUMMYFUNCTION("""COMPUTED_VALUE"""),64.0)</f>
        <v>64</v>
      </c>
      <c r="V87" s="32" t="str">
        <f>IFERROR(__xludf.DUMMYFUNCTION("""COMPUTED_VALUE"""),"3/4")</f>
        <v>3/4</v>
      </c>
      <c r="W87" s="32" t="str">
        <f>IFERROR(__xludf.DUMMYFUNCTION("""COMPUTED_VALUE"""),"1.800 meter")</f>
        <v>1.800 meter</v>
      </c>
      <c r="X87" s="32" t="str">
        <f>IFERROR(__xludf.DUMMYFUNCTION("""COMPUTED_VALUE"""),"22 cm")</f>
        <v>22 cm</v>
      </c>
      <c r="Y87" s="32">
        <f>IFERROR(__xludf.DUMMYFUNCTION("""COMPUTED_VALUE"""),200.0)</f>
        <v>200</v>
      </c>
      <c r="Z87" s="28">
        <f t="shared" si="1"/>
        <v>1</v>
      </c>
      <c r="AA87" s="28">
        <f t="shared" si="2"/>
        <v>1</v>
      </c>
      <c r="AB87" s="28">
        <f t="shared" si="3"/>
        <v>1</v>
      </c>
      <c r="AC87" s="28">
        <f t="shared" si="4"/>
        <v>1</v>
      </c>
      <c r="AD87" s="28">
        <f t="shared" si="5"/>
        <v>1</v>
      </c>
      <c r="AE87" s="29">
        <f t="shared" si="6"/>
        <v>5</v>
      </c>
      <c r="AF87" s="28">
        <f t="shared" si="7"/>
        <v>1</v>
      </c>
      <c r="AG87" s="28">
        <f t="shared" si="8"/>
        <v>1</v>
      </c>
      <c r="AH87" s="28">
        <f t="shared" si="9"/>
        <v>1</v>
      </c>
      <c r="AI87" s="28">
        <f t="shared" si="10"/>
        <v>1</v>
      </c>
      <c r="AJ87" s="28">
        <f t="shared" si="11"/>
        <v>1</v>
      </c>
      <c r="AK87" s="29">
        <f t="shared" si="12"/>
        <v>5</v>
      </c>
      <c r="AL87" s="28">
        <f t="shared" si="13"/>
        <v>0</v>
      </c>
      <c r="AM87" s="28">
        <f t="shared" si="14"/>
        <v>1</v>
      </c>
      <c r="AN87" s="28">
        <f t="shared" si="15"/>
        <v>1</v>
      </c>
      <c r="AO87" s="28">
        <f t="shared" si="16"/>
        <v>1</v>
      </c>
      <c r="AP87" s="28">
        <f t="shared" si="17"/>
        <v>1</v>
      </c>
      <c r="AQ87" s="29">
        <f t="shared" si="18"/>
        <v>4</v>
      </c>
      <c r="AR87" s="28">
        <f t="shared" si="19"/>
        <v>0</v>
      </c>
      <c r="AS87" s="28">
        <f t="shared" si="20"/>
        <v>1</v>
      </c>
      <c r="AT87" s="28">
        <f t="shared" si="21"/>
        <v>1</v>
      </c>
      <c r="AU87" s="28">
        <f t="shared" si="22"/>
        <v>1</v>
      </c>
      <c r="AV87" s="28">
        <f t="shared" si="23"/>
        <v>0</v>
      </c>
      <c r="AW87" s="29">
        <f t="shared" si="24"/>
        <v>3</v>
      </c>
      <c r="AX87" s="22"/>
      <c r="AY87" s="26">
        <f t="shared" si="25"/>
        <v>5</v>
      </c>
      <c r="AZ87" s="26">
        <f t="shared" si="26"/>
        <v>5</v>
      </c>
      <c r="BA87" s="26">
        <f t="shared" si="27"/>
        <v>4</v>
      </c>
      <c r="BB87" s="26">
        <f t="shared" si="28"/>
        <v>3</v>
      </c>
      <c r="BC87" s="30">
        <f t="shared" si="29"/>
        <v>85</v>
      </c>
    </row>
    <row r="88">
      <c r="A88" s="31">
        <f>IFERROR(__xludf.DUMMYFUNCTION("""COMPUTED_VALUE"""),45971.851750243055)</f>
        <v>45971.85175</v>
      </c>
      <c r="B88" s="32" t="str">
        <f>IFERROR(__xludf.DUMMYFUNCTION("""COMPUTED_VALUE"""),"Zihan Muzainah Zein ")</f>
        <v>Zihan Muzainah Zein </v>
      </c>
      <c r="C88" s="27" t="str">
        <f>IFERROR(__xludf.DUMMYFUNCTION("""COMPUTED_VALUE"""),"D250031")</f>
        <v>D250031</v>
      </c>
      <c r="D88" s="27" t="str">
        <f>IFERROR(__xludf.DUMMYFUNCTION("""COMPUTED_VALUE"""),"MTs Putri")</f>
        <v>MTs Putri</v>
      </c>
      <c r="E88" s="27" t="str">
        <f>IFERROR(__xludf.DUMMYFUNCTION("""COMPUTED_VALUE"""),"Ya")</f>
        <v>Ya</v>
      </c>
      <c r="F88" s="32" t="str">
        <f>IFERROR(__xludf.DUMMYFUNCTION("""COMPUTED_VALUE"""),"B. Aku bersaksi bahwa tidak ada tuhan yang berhak di sembah kecuali Allah")</f>
        <v>B. Aku bersaksi bahwa tidak ada tuhan yang berhak di sembah kecuali Allah</v>
      </c>
      <c r="G88" s="32">
        <f>IFERROR(__xludf.DUMMYFUNCTION("""COMPUTED_VALUE"""),6.0)</f>
        <v>6</v>
      </c>
      <c r="H88" s="32" t="str">
        <f>IFERROR(__xludf.DUMMYFUNCTION("""COMPUTED_VALUE"""),"1 Syawwal")</f>
        <v>1 Syawwal</v>
      </c>
      <c r="I88" s="32" t="str">
        <f>IFERROR(__xludf.DUMMYFUNCTION("""COMPUTED_VALUE"""),"Al 'Alaq")</f>
        <v>Al 'Alaq</v>
      </c>
      <c r="J88" s="32" t="str">
        <f>IFERROR(__xludf.DUMMYFUNCTION("""COMPUTED_VALUE"""),"Ali Bin Abi Thalib")</f>
        <v>Ali Bin Abi Thalib</v>
      </c>
      <c r="K88" s="32" t="str">
        <f>IFERROR(__xludf.DUMMYFUNCTION("""COMPUTED_VALUE"""),"giat")</f>
        <v>giat</v>
      </c>
      <c r="L88" s="32" t="str">
        <f>IFERROR(__xludf.DUMMYFUNCTION("""COMPUTED_VALUE"""),"dan")</f>
        <v>dan</v>
      </c>
      <c r="M88" s="32" t="str">
        <f>IFERROR(__xludf.DUMMYFUNCTION("""COMPUTED_VALUE"""),"Hafsah mengatakan bahwa ia ingin belajar di pesantren.")</f>
        <v>Hafsah mengatakan bahwa ia ingin belajar di pesantren.</v>
      </c>
      <c r="N88" s="32" t="str">
        <f>IFERROR(__xludf.DUMMYFUNCTION("""COMPUTED_VALUE"""),"Kalimat 1")</f>
        <v>Kalimat 1</v>
      </c>
      <c r="O88" s="32" t="str">
        <f>IFERROR(__xludf.DUMMYFUNCTION("""COMPUTED_VALUE"""),"cahaya")</f>
        <v>cahaya</v>
      </c>
      <c r="P88" s="32" t="str">
        <f>IFERROR(__xludf.DUMMYFUNCTION("""COMPUTED_VALUE"""),"Parasitisme")</f>
        <v>Parasitisme</v>
      </c>
      <c r="Q88" s="32" t="str">
        <f>IFERROR(__xludf.DUMMYFUNCTION("""COMPUTED_VALUE"""),"Angin")</f>
        <v>Angin</v>
      </c>
      <c r="R88" s="32" t="str">
        <f>IFERROR(__xludf.DUMMYFUNCTION("""COMPUTED_VALUE"""),"belalang dan ular")</f>
        <v>belalang dan ular</v>
      </c>
      <c r="S88" s="32" t="str">
        <f>IFERROR(__xludf.DUMMYFUNCTION("""COMPUTED_VALUE"""),"Menghasilkan klorofil")</f>
        <v>Menghasilkan klorofil</v>
      </c>
      <c r="T88" s="32" t="str">
        <f>IFERROR(__xludf.DUMMYFUNCTION("""COMPUTED_VALUE"""),"Buaya")</f>
        <v>Buaya</v>
      </c>
      <c r="U88" s="32">
        <f>IFERROR(__xludf.DUMMYFUNCTION("""COMPUTED_VALUE"""),56.0)</f>
        <v>56</v>
      </c>
      <c r="V88" s="32" t="str">
        <f>IFERROR(__xludf.DUMMYFUNCTION("""COMPUTED_VALUE"""),"3/4")</f>
        <v>3/4</v>
      </c>
      <c r="W88" s="32" t="str">
        <f>IFERROR(__xludf.DUMMYFUNCTION("""COMPUTED_VALUE"""),"1.800 meter")</f>
        <v>1.800 meter</v>
      </c>
      <c r="X88" s="32" t="str">
        <f>IFERROR(__xludf.DUMMYFUNCTION("""COMPUTED_VALUE"""),"22 cm")</f>
        <v>22 cm</v>
      </c>
      <c r="Y88" s="32">
        <f>IFERROR(__xludf.DUMMYFUNCTION("""COMPUTED_VALUE"""),200.0)</f>
        <v>200</v>
      </c>
      <c r="Z88" s="28">
        <f t="shared" si="1"/>
        <v>1</v>
      </c>
      <c r="AA88" s="28">
        <f t="shared" si="2"/>
        <v>1</v>
      </c>
      <c r="AB88" s="28">
        <f t="shared" si="3"/>
        <v>1</v>
      </c>
      <c r="AC88" s="28">
        <f t="shared" si="4"/>
        <v>1</v>
      </c>
      <c r="AD88" s="28">
        <f t="shared" si="5"/>
        <v>1</v>
      </c>
      <c r="AE88" s="29">
        <f t="shared" si="6"/>
        <v>5</v>
      </c>
      <c r="AF88" s="28">
        <f t="shared" si="7"/>
        <v>1</v>
      </c>
      <c r="AG88" s="28">
        <f t="shared" si="8"/>
        <v>1</v>
      </c>
      <c r="AH88" s="28">
        <f t="shared" si="9"/>
        <v>1</v>
      </c>
      <c r="AI88" s="28">
        <f t="shared" si="10"/>
        <v>1</v>
      </c>
      <c r="AJ88" s="28">
        <f t="shared" si="11"/>
        <v>1</v>
      </c>
      <c r="AK88" s="29">
        <f t="shared" si="12"/>
        <v>5</v>
      </c>
      <c r="AL88" s="28">
        <f t="shared" si="13"/>
        <v>1</v>
      </c>
      <c r="AM88" s="28">
        <f t="shared" si="14"/>
        <v>1</v>
      </c>
      <c r="AN88" s="28">
        <f t="shared" si="15"/>
        <v>1</v>
      </c>
      <c r="AO88" s="28">
        <f t="shared" si="16"/>
        <v>1</v>
      </c>
      <c r="AP88" s="28">
        <f t="shared" si="17"/>
        <v>0</v>
      </c>
      <c r="AQ88" s="29">
        <f t="shared" si="18"/>
        <v>4</v>
      </c>
      <c r="AR88" s="28">
        <f t="shared" si="19"/>
        <v>0</v>
      </c>
      <c r="AS88" s="28">
        <f t="shared" si="20"/>
        <v>1</v>
      </c>
      <c r="AT88" s="28">
        <f t="shared" si="21"/>
        <v>1</v>
      </c>
      <c r="AU88" s="28">
        <f t="shared" si="22"/>
        <v>1</v>
      </c>
      <c r="AV88" s="28">
        <f t="shared" si="23"/>
        <v>0</v>
      </c>
      <c r="AW88" s="29">
        <f t="shared" si="24"/>
        <v>3</v>
      </c>
      <c r="AX88" s="22"/>
      <c r="AY88" s="26">
        <f t="shared" si="25"/>
        <v>5</v>
      </c>
      <c r="AZ88" s="26">
        <f t="shared" si="26"/>
        <v>5</v>
      </c>
      <c r="BA88" s="26">
        <f t="shared" si="27"/>
        <v>4</v>
      </c>
      <c r="BB88" s="26">
        <f t="shared" si="28"/>
        <v>3</v>
      </c>
      <c r="BC88" s="30">
        <f t="shared" si="29"/>
        <v>85</v>
      </c>
    </row>
    <row r="89">
      <c r="A89" s="31">
        <f>IFERROR(__xludf.DUMMYFUNCTION("""COMPUTED_VALUE"""),45972.72501908564)</f>
        <v>45972.72502</v>
      </c>
      <c r="B89" s="32" t="str">
        <f>IFERROR(__xludf.DUMMYFUNCTION("""COMPUTED_VALUE"""),"Muhammad Syauqi Abdul Haq ")</f>
        <v>Muhammad Syauqi Abdul Haq </v>
      </c>
      <c r="C89" s="27" t="str">
        <f>IFERROR(__xludf.DUMMYFUNCTION("""COMPUTED_VALUE"""),"A250069")</f>
        <v>A250069</v>
      </c>
      <c r="D89" s="27" t="str">
        <f>IFERROR(__xludf.DUMMYFUNCTION("""COMPUTED_VALUE"""),"MTs Putra")</f>
        <v>MTs Putra</v>
      </c>
      <c r="E89" s="27" t="str">
        <f>IFERROR(__xludf.DUMMYFUNCTION("""COMPUTED_VALUE"""),"Ya")</f>
        <v>Ya</v>
      </c>
      <c r="F89" s="32" t="str">
        <f>IFERROR(__xludf.DUMMYFUNCTION("""COMPUTED_VALUE"""),"B. Aku bersaksi bahwa tidak ada tuhan yang berhak di sembah kecuali Allah")</f>
        <v>B. Aku bersaksi bahwa tidak ada tuhan yang berhak di sembah kecuali Allah</v>
      </c>
      <c r="G89" s="32">
        <f>IFERROR(__xludf.DUMMYFUNCTION("""COMPUTED_VALUE"""),6.0)</f>
        <v>6</v>
      </c>
      <c r="H89" s="32" t="str">
        <f>IFERROR(__xludf.DUMMYFUNCTION("""COMPUTED_VALUE"""),"1 Syawwal")</f>
        <v>1 Syawwal</v>
      </c>
      <c r="I89" s="32" t="str">
        <f>IFERROR(__xludf.DUMMYFUNCTION("""COMPUTED_VALUE"""),"Al 'Alaq")</f>
        <v>Al 'Alaq</v>
      </c>
      <c r="J89" s="32" t="str">
        <f>IFERROR(__xludf.DUMMYFUNCTION("""COMPUTED_VALUE"""),"Ali Bin Abi Thalib")</f>
        <v>Ali Bin Abi Thalib</v>
      </c>
      <c r="K89" s="32" t="str">
        <f>IFERROR(__xludf.DUMMYFUNCTION("""COMPUTED_VALUE"""),"giat")</f>
        <v>giat</v>
      </c>
      <c r="L89" s="32" t="str">
        <f>IFERROR(__xludf.DUMMYFUNCTION("""COMPUTED_VALUE"""),"dan")</f>
        <v>dan</v>
      </c>
      <c r="M89" s="32" t="str">
        <f>IFERROR(__xludf.DUMMYFUNCTION("""COMPUTED_VALUE"""),"Hafsah mengatakan bahwa ia ingin belajar di pesantren.")</f>
        <v>Hafsah mengatakan bahwa ia ingin belajar di pesantren.</v>
      </c>
      <c r="N89" s="32" t="str">
        <f>IFERROR(__xludf.DUMMYFUNCTION("""COMPUTED_VALUE"""),"Kalimat 1")</f>
        <v>Kalimat 1</v>
      </c>
      <c r="O89" s="32" t="str">
        <f>IFERROR(__xludf.DUMMYFUNCTION("""COMPUTED_VALUE"""),"cahaya")</f>
        <v>cahaya</v>
      </c>
      <c r="P89" s="32" t="str">
        <f>IFERROR(__xludf.DUMMYFUNCTION("""COMPUTED_VALUE"""),"Parasitisme")</f>
        <v>Parasitisme</v>
      </c>
      <c r="Q89" s="32" t="str">
        <f>IFERROR(__xludf.DUMMYFUNCTION("""COMPUTED_VALUE"""),"Angin")</f>
        <v>Angin</v>
      </c>
      <c r="R89" s="32" t="str">
        <f>IFERROR(__xludf.DUMMYFUNCTION("""COMPUTED_VALUE"""),"ulat dan kelinci")</f>
        <v>ulat dan kelinci</v>
      </c>
      <c r="S89" s="32" t="str">
        <f>IFERROR(__xludf.DUMMYFUNCTION("""COMPUTED_VALUE"""),"Menghasilkan klorofil")</f>
        <v>Menghasilkan klorofil</v>
      </c>
      <c r="T89" s="32" t="str">
        <f>IFERROR(__xludf.DUMMYFUNCTION("""COMPUTED_VALUE"""),"Kelinci")</f>
        <v>Kelinci</v>
      </c>
      <c r="U89" s="32">
        <f>IFERROR(__xludf.DUMMYFUNCTION("""COMPUTED_VALUE"""),56.0)</f>
        <v>56</v>
      </c>
      <c r="V89" s="32" t="str">
        <f>IFERROR(__xludf.DUMMYFUNCTION("""COMPUTED_VALUE"""),"3/4")</f>
        <v>3/4</v>
      </c>
      <c r="W89" s="32" t="str">
        <f>IFERROR(__xludf.DUMMYFUNCTION("""COMPUTED_VALUE"""),"1.800 meter")</f>
        <v>1.800 meter</v>
      </c>
      <c r="X89" s="32" t="str">
        <f>IFERROR(__xludf.DUMMYFUNCTION("""COMPUTED_VALUE"""),"22 cm")</f>
        <v>22 cm</v>
      </c>
      <c r="Y89" s="32">
        <f>IFERROR(__xludf.DUMMYFUNCTION("""COMPUTED_VALUE"""),200.0)</f>
        <v>200</v>
      </c>
      <c r="Z89" s="28">
        <f t="shared" si="1"/>
        <v>1</v>
      </c>
      <c r="AA89" s="28">
        <f t="shared" si="2"/>
        <v>1</v>
      </c>
      <c r="AB89" s="28">
        <f t="shared" si="3"/>
        <v>1</v>
      </c>
      <c r="AC89" s="28">
        <f t="shared" si="4"/>
        <v>1</v>
      </c>
      <c r="AD89" s="28">
        <f t="shared" si="5"/>
        <v>1</v>
      </c>
      <c r="AE89" s="29">
        <f t="shared" si="6"/>
        <v>5</v>
      </c>
      <c r="AF89" s="28">
        <f t="shared" si="7"/>
        <v>1</v>
      </c>
      <c r="AG89" s="28">
        <f t="shared" si="8"/>
        <v>1</v>
      </c>
      <c r="AH89" s="28">
        <f t="shared" si="9"/>
        <v>1</v>
      </c>
      <c r="AI89" s="28">
        <f t="shared" si="10"/>
        <v>1</v>
      </c>
      <c r="AJ89" s="28">
        <f t="shared" si="11"/>
        <v>1</v>
      </c>
      <c r="AK89" s="29">
        <f t="shared" si="12"/>
        <v>5</v>
      </c>
      <c r="AL89" s="28">
        <f t="shared" si="13"/>
        <v>1</v>
      </c>
      <c r="AM89" s="28">
        <f t="shared" si="14"/>
        <v>1</v>
      </c>
      <c r="AN89" s="28">
        <f t="shared" si="15"/>
        <v>0</v>
      </c>
      <c r="AO89" s="28">
        <f t="shared" si="16"/>
        <v>1</v>
      </c>
      <c r="AP89" s="28">
        <f t="shared" si="17"/>
        <v>1</v>
      </c>
      <c r="AQ89" s="29">
        <f t="shared" si="18"/>
        <v>4</v>
      </c>
      <c r="AR89" s="28">
        <f t="shared" si="19"/>
        <v>0</v>
      </c>
      <c r="AS89" s="28">
        <f t="shared" si="20"/>
        <v>1</v>
      </c>
      <c r="AT89" s="28">
        <f t="shared" si="21"/>
        <v>1</v>
      </c>
      <c r="AU89" s="28">
        <f t="shared" si="22"/>
        <v>1</v>
      </c>
      <c r="AV89" s="28">
        <f t="shared" si="23"/>
        <v>0</v>
      </c>
      <c r="AW89" s="29">
        <f t="shared" si="24"/>
        <v>3</v>
      </c>
      <c r="AX89" s="22"/>
      <c r="AY89" s="26">
        <f t="shared" si="25"/>
        <v>5</v>
      </c>
      <c r="AZ89" s="26">
        <f t="shared" si="26"/>
        <v>5</v>
      </c>
      <c r="BA89" s="26">
        <f t="shared" si="27"/>
        <v>4</v>
      </c>
      <c r="BB89" s="26">
        <f t="shared" si="28"/>
        <v>3</v>
      </c>
      <c r="BC89" s="30">
        <f t="shared" si="29"/>
        <v>85</v>
      </c>
    </row>
    <row r="90">
      <c r="A90" s="31">
        <f>IFERROR(__xludf.DUMMYFUNCTION("""COMPUTED_VALUE"""),45972.87480290509)</f>
        <v>45972.8748</v>
      </c>
      <c r="B90" s="32" t="str">
        <f>IFERROR(__xludf.DUMMYFUNCTION("""COMPUTED_VALUE"""),"Faruq Ahmad Asy-Syorbuni")</f>
        <v>Faruq Ahmad Asy-Syorbuni</v>
      </c>
      <c r="C90" s="27" t="str">
        <f>IFERROR(__xludf.DUMMYFUNCTION("""COMPUTED_VALUE"""),"A250026")</f>
        <v>A250026</v>
      </c>
      <c r="D90" s="27" t="str">
        <f>IFERROR(__xludf.DUMMYFUNCTION("""COMPUTED_VALUE"""),"MTs Putra")</f>
        <v>MTs Putra</v>
      </c>
      <c r="E90" s="27" t="str">
        <f>IFERROR(__xludf.DUMMYFUNCTION("""COMPUTED_VALUE"""),"Ya")</f>
        <v>Ya</v>
      </c>
      <c r="F90" s="32" t="str">
        <f>IFERROR(__xludf.DUMMYFUNCTION("""COMPUTED_VALUE"""),"B. Aku bersaksi bahwa tidak ada tuhan yang berhak di sembah kecuali Allah")</f>
        <v>B. Aku bersaksi bahwa tidak ada tuhan yang berhak di sembah kecuali Allah</v>
      </c>
      <c r="G90" s="32">
        <f>IFERROR(__xludf.DUMMYFUNCTION("""COMPUTED_VALUE"""),6.0)</f>
        <v>6</v>
      </c>
      <c r="H90" s="32" t="str">
        <f>IFERROR(__xludf.DUMMYFUNCTION("""COMPUTED_VALUE"""),"3 Syawwal")</f>
        <v>3 Syawwal</v>
      </c>
      <c r="I90" s="32" t="str">
        <f>IFERROR(__xludf.DUMMYFUNCTION("""COMPUTED_VALUE"""),"Al 'Alaq")</f>
        <v>Al 'Alaq</v>
      </c>
      <c r="J90" s="32" t="str">
        <f>IFERROR(__xludf.DUMMYFUNCTION("""COMPUTED_VALUE"""),"Ali Bin Abi Thalib")</f>
        <v>Ali Bin Abi Thalib</v>
      </c>
      <c r="K90" s="32" t="str">
        <f>IFERROR(__xludf.DUMMYFUNCTION("""COMPUTED_VALUE"""),"giat")</f>
        <v>giat</v>
      </c>
      <c r="L90" s="32" t="str">
        <f>IFERROR(__xludf.DUMMYFUNCTION("""COMPUTED_VALUE"""),"dan")</f>
        <v>dan</v>
      </c>
      <c r="M90" s="32" t="str">
        <f>IFERROR(__xludf.DUMMYFUNCTION("""COMPUTED_VALUE"""),"Hafsah mengatakan bahwa ia ingin belajar di pesantren.")</f>
        <v>Hafsah mengatakan bahwa ia ingin belajar di pesantren.</v>
      </c>
      <c r="N90" s="32" t="str">
        <f>IFERROR(__xludf.DUMMYFUNCTION("""COMPUTED_VALUE"""),"Kalimat 2")</f>
        <v>Kalimat 2</v>
      </c>
      <c r="O90" s="32" t="str">
        <f>IFERROR(__xludf.DUMMYFUNCTION("""COMPUTED_VALUE"""),"cahaya")</f>
        <v>cahaya</v>
      </c>
      <c r="P90" s="32" t="str">
        <f>IFERROR(__xludf.DUMMYFUNCTION("""COMPUTED_VALUE"""),"Mutualisme")</f>
        <v>Mutualisme</v>
      </c>
      <c r="Q90" s="32" t="str">
        <f>IFERROR(__xludf.DUMMYFUNCTION("""COMPUTED_VALUE"""),"Angin")</f>
        <v>Angin</v>
      </c>
      <c r="R90" s="32" t="str">
        <f>IFERROR(__xludf.DUMMYFUNCTION("""COMPUTED_VALUE"""),"belalang dan ular")</f>
        <v>belalang dan ular</v>
      </c>
      <c r="S90" s="32" t="str">
        <f>IFERROR(__xludf.DUMMYFUNCTION("""COMPUTED_VALUE"""),"Menghasilkan klorofil")</f>
        <v>Menghasilkan klorofil</v>
      </c>
      <c r="T90" s="32" t="str">
        <f>IFERROR(__xludf.DUMMYFUNCTION("""COMPUTED_VALUE"""),"Kelinci")</f>
        <v>Kelinci</v>
      </c>
      <c r="U90" s="32">
        <f>IFERROR(__xludf.DUMMYFUNCTION("""COMPUTED_VALUE"""),-56.0)</f>
        <v>-56</v>
      </c>
      <c r="V90" s="32" t="str">
        <f>IFERROR(__xludf.DUMMYFUNCTION("""COMPUTED_VALUE"""),"4/3")</f>
        <v>4/3</v>
      </c>
      <c r="W90" s="32" t="str">
        <f>IFERROR(__xludf.DUMMYFUNCTION("""COMPUTED_VALUE"""),"1.575 meter")</f>
        <v>1.575 meter</v>
      </c>
      <c r="X90" s="32" t="str">
        <f>IFERROR(__xludf.DUMMYFUNCTION("""COMPUTED_VALUE"""),"22 cm")</f>
        <v>22 cm</v>
      </c>
      <c r="Y90" s="32">
        <f>IFERROR(__xludf.DUMMYFUNCTION("""COMPUTED_VALUE"""),200.0)</f>
        <v>200</v>
      </c>
      <c r="Z90" s="28">
        <f t="shared" si="1"/>
        <v>1</v>
      </c>
      <c r="AA90" s="28">
        <f t="shared" si="2"/>
        <v>1</v>
      </c>
      <c r="AB90" s="28">
        <f t="shared" si="3"/>
        <v>0</v>
      </c>
      <c r="AC90" s="28">
        <f t="shared" si="4"/>
        <v>1</v>
      </c>
      <c r="AD90" s="28">
        <f t="shared" si="5"/>
        <v>1</v>
      </c>
      <c r="AE90" s="29">
        <f t="shared" si="6"/>
        <v>4</v>
      </c>
      <c r="AF90" s="28">
        <f t="shared" si="7"/>
        <v>1</v>
      </c>
      <c r="AG90" s="28">
        <f t="shared" si="8"/>
        <v>1</v>
      </c>
      <c r="AH90" s="28">
        <f t="shared" si="9"/>
        <v>1</v>
      </c>
      <c r="AI90" s="28">
        <f t="shared" si="10"/>
        <v>0</v>
      </c>
      <c r="AJ90" s="28">
        <f t="shared" si="11"/>
        <v>1</v>
      </c>
      <c r="AK90" s="29">
        <f t="shared" si="12"/>
        <v>4</v>
      </c>
      <c r="AL90" s="28">
        <f t="shared" si="13"/>
        <v>0</v>
      </c>
      <c r="AM90" s="28">
        <f t="shared" si="14"/>
        <v>1</v>
      </c>
      <c r="AN90" s="28">
        <f t="shared" si="15"/>
        <v>1</v>
      </c>
      <c r="AO90" s="28">
        <f t="shared" si="16"/>
        <v>1</v>
      </c>
      <c r="AP90" s="28">
        <f t="shared" si="17"/>
        <v>1</v>
      </c>
      <c r="AQ90" s="29">
        <f t="shared" si="18"/>
        <v>4</v>
      </c>
      <c r="AR90" s="28">
        <f t="shared" si="19"/>
        <v>0</v>
      </c>
      <c r="AS90" s="28">
        <f t="shared" si="20"/>
        <v>0</v>
      </c>
      <c r="AT90" s="28">
        <f t="shared" si="21"/>
        <v>0</v>
      </c>
      <c r="AU90" s="28">
        <f t="shared" si="22"/>
        <v>1</v>
      </c>
      <c r="AV90" s="28">
        <f t="shared" si="23"/>
        <v>0</v>
      </c>
      <c r="AW90" s="29">
        <f t="shared" si="24"/>
        <v>1</v>
      </c>
      <c r="AX90" s="22"/>
      <c r="AY90" s="26">
        <f t="shared" si="25"/>
        <v>4</v>
      </c>
      <c r="AZ90" s="26">
        <f t="shared" si="26"/>
        <v>4</v>
      </c>
      <c r="BA90" s="26">
        <f t="shared" si="27"/>
        <v>4</v>
      </c>
      <c r="BB90" s="26">
        <f t="shared" si="28"/>
        <v>1</v>
      </c>
      <c r="BC90" s="30">
        <f t="shared" si="29"/>
        <v>65</v>
      </c>
    </row>
    <row r="91">
      <c r="A91" s="31">
        <f>IFERROR(__xludf.DUMMYFUNCTION("""COMPUTED_VALUE"""),45973.74566537037)</f>
        <v>45973.74567</v>
      </c>
      <c r="B91" s="32" t="str">
        <f>IFERROR(__xludf.DUMMYFUNCTION("""COMPUTED_VALUE"""),"Rayyan Muzaffar Firdaus")</f>
        <v>Rayyan Muzaffar Firdaus</v>
      </c>
      <c r="C91" s="27" t="str">
        <f>IFERROR(__xludf.DUMMYFUNCTION("""COMPUTED_VALUE"""),"A250039")</f>
        <v>A250039</v>
      </c>
      <c r="D91" s="27" t="str">
        <f>IFERROR(__xludf.DUMMYFUNCTION("""COMPUTED_VALUE"""),"MTs Putra")</f>
        <v>MTs Putra</v>
      </c>
      <c r="E91" s="27" t="str">
        <f>IFERROR(__xludf.DUMMYFUNCTION("""COMPUTED_VALUE"""),"Ya")</f>
        <v>Ya</v>
      </c>
      <c r="F91" s="32" t="str">
        <f>IFERROR(__xludf.DUMMYFUNCTION("""COMPUTED_VALUE"""),"B. Aku bersaksi bahwa tidak ada tuhan yang berhak di sembah kecuali Allah")</f>
        <v>B. Aku bersaksi bahwa tidak ada tuhan yang berhak di sembah kecuali Allah</v>
      </c>
      <c r="G91" s="32">
        <f>IFERROR(__xludf.DUMMYFUNCTION("""COMPUTED_VALUE"""),6.0)</f>
        <v>6</v>
      </c>
      <c r="H91" s="32" t="str">
        <f>IFERROR(__xludf.DUMMYFUNCTION("""COMPUTED_VALUE"""),"1 Syawwal")</f>
        <v>1 Syawwal</v>
      </c>
      <c r="I91" s="32" t="str">
        <f>IFERROR(__xludf.DUMMYFUNCTION("""COMPUTED_VALUE"""),"Al 'Alaq")</f>
        <v>Al 'Alaq</v>
      </c>
      <c r="J91" s="32" t="str">
        <f>IFERROR(__xludf.DUMMYFUNCTION("""COMPUTED_VALUE"""),"Utsman Bin Affan")</f>
        <v>Utsman Bin Affan</v>
      </c>
      <c r="K91" s="32" t="str">
        <f>IFERROR(__xludf.DUMMYFUNCTION("""COMPUTED_VALUE"""),"malas")</f>
        <v>malas</v>
      </c>
      <c r="L91" s="32" t="str">
        <f>IFERROR(__xludf.DUMMYFUNCTION("""COMPUTED_VALUE"""),"dan")</f>
        <v>dan</v>
      </c>
      <c r="M91" s="32" t="str">
        <f>IFERROR(__xludf.DUMMYFUNCTION("""COMPUTED_VALUE"""),"Hafsah mengatakan bahwa ia ingin belajar di pesantren.")</f>
        <v>Hafsah mengatakan bahwa ia ingin belajar di pesantren.</v>
      </c>
      <c r="N91" s="32" t="str">
        <f>IFERROR(__xludf.DUMMYFUNCTION("""COMPUTED_VALUE"""),"Kalimat 1")</f>
        <v>Kalimat 1</v>
      </c>
      <c r="O91" s="32" t="str">
        <f>IFERROR(__xludf.DUMMYFUNCTION("""COMPUTED_VALUE"""),"cahaya")</f>
        <v>cahaya</v>
      </c>
      <c r="P91" s="32" t="str">
        <f>IFERROR(__xludf.DUMMYFUNCTION("""COMPUTED_VALUE"""),"Parasitisme")</f>
        <v>Parasitisme</v>
      </c>
      <c r="Q91" s="32" t="str">
        <f>IFERROR(__xludf.DUMMYFUNCTION("""COMPUTED_VALUE"""),"Angin")</f>
        <v>Angin</v>
      </c>
      <c r="R91" s="32" t="str">
        <f>IFERROR(__xludf.DUMMYFUNCTION("""COMPUTED_VALUE"""),"burung ketilang dan ulat")</f>
        <v>burung ketilang dan ulat</v>
      </c>
      <c r="S91" s="32" t="str">
        <f>IFERROR(__xludf.DUMMYFUNCTION("""COMPUTED_VALUE"""),"Menghasilkan klorofil")</f>
        <v>Menghasilkan klorofil</v>
      </c>
      <c r="T91" s="32" t="str">
        <f>IFERROR(__xludf.DUMMYFUNCTION("""COMPUTED_VALUE"""),"Kelinci")</f>
        <v>Kelinci</v>
      </c>
      <c r="U91" s="32">
        <f>IFERROR(__xludf.DUMMYFUNCTION("""COMPUTED_VALUE"""),-64.0)</f>
        <v>-64</v>
      </c>
      <c r="V91" s="32">
        <f>IFERROR(__xludf.DUMMYFUNCTION("""COMPUTED_VALUE"""),1.0)</f>
        <v>1</v>
      </c>
      <c r="W91" s="32" t="str">
        <f>IFERROR(__xludf.DUMMYFUNCTION("""COMPUTED_VALUE"""),"1.800 meter")</f>
        <v>1.800 meter</v>
      </c>
      <c r="X91" s="32" t="str">
        <f>IFERROR(__xludf.DUMMYFUNCTION("""COMPUTED_VALUE"""),"28 cm")</f>
        <v>28 cm</v>
      </c>
      <c r="Y91" s="32">
        <f>IFERROR(__xludf.DUMMYFUNCTION("""COMPUTED_VALUE"""),200.0)</f>
        <v>200</v>
      </c>
      <c r="Z91" s="28">
        <f t="shared" si="1"/>
        <v>1</v>
      </c>
      <c r="AA91" s="28">
        <f t="shared" si="2"/>
        <v>1</v>
      </c>
      <c r="AB91" s="28">
        <f t="shared" si="3"/>
        <v>1</v>
      </c>
      <c r="AC91" s="28">
        <f t="shared" si="4"/>
        <v>1</v>
      </c>
      <c r="AD91" s="28">
        <f t="shared" si="5"/>
        <v>0</v>
      </c>
      <c r="AE91" s="29">
        <f t="shared" si="6"/>
        <v>4</v>
      </c>
      <c r="AF91" s="28">
        <f t="shared" si="7"/>
        <v>0</v>
      </c>
      <c r="AG91" s="28">
        <f t="shared" si="8"/>
        <v>1</v>
      </c>
      <c r="AH91" s="28">
        <f t="shared" si="9"/>
        <v>1</v>
      </c>
      <c r="AI91" s="28">
        <f t="shared" si="10"/>
        <v>1</v>
      </c>
      <c r="AJ91" s="28">
        <f t="shared" si="11"/>
        <v>1</v>
      </c>
      <c r="AK91" s="29">
        <f t="shared" si="12"/>
        <v>4</v>
      </c>
      <c r="AL91" s="28">
        <f t="shared" si="13"/>
        <v>1</v>
      </c>
      <c r="AM91" s="28">
        <f t="shared" si="14"/>
        <v>1</v>
      </c>
      <c r="AN91" s="28">
        <f t="shared" si="15"/>
        <v>0</v>
      </c>
      <c r="AO91" s="28">
        <f t="shared" si="16"/>
        <v>1</v>
      </c>
      <c r="AP91" s="28">
        <f t="shared" si="17"/>
        <v>1</v>
      </c>
      <c r="AQ91" s="29">
        <f t="shared" si="18"/>
        <v>4</v>
      </c>
      <c r="AR91" s="28">
        <f t="shared" si="19"/>
        <v>1</v>
      </c>
      <c r="AS91" s="28">
        <f t="shared" si="20"/>
        <v>0</v>
      </c>
      <c r="AT91" s="28">
        <f t="shared" si="21"/>
        <v>1</v>
      </c>
      <c r="AU91" s="28">
        <f t="shared" si="22"/>
        <v>0</v>
      </c>
      <c r="AV91" s="28">
        <f t="shared" si="23"/>
        <v>0</v>
      </c>
      <c r="AW91" s="29">
        <f t="shared" si="24"/>
        <v>2</v>
      </c>
      <c r="AX91" s="22"/>
      <c r="AY91" s="26">
        <f t="shared" si="25"/>
        <v>4</v>
      </c>
      <c r="AZ91" s="26">
        <f t="shared" si="26"/>
        <v>4</v>
      </c>
      <c r="BA91" s="26">
        <f t="shared" si="27"/>
        <v>4</v>
      </c>
      <c r="BB91" s="26">
        <f t="shared" si="28"/>
        <v>2</v>
      </c>
      <c r="BC91" s="30">
        <f t="shared" si="29"/>
        <v>70</v>
      </c>
    </row>
    <row r="92">
      <c r="A92" s="31">
        <f>IFERROR(__xludf.DUMMYFUNCTION("""COMPUTED_VALUE"""),45973.8538516088)</f>
        <v>45973.85385</v>
      </c>
      <c r="B92" s="32" t="str">
        <f>IFERROR(__xludf.DUMMYFUNCTION("""COMPUTED_VALUE"""),"Clarisa aqila putri")</f>
        <v>Clarisa aqila putri</v>
      </c>
      <c r="C92" s="27" t="str">
        <f>IFERROR(__xludf.DUMMYFUNCTION("""COMPUTED_VALUE"""),"D250030")</f>
        <v>D250030</v>
      </c>
      <c r="D92" s="27" t="str">
        <f>IFERROR(__xludf.DUMMYFUNCTION("""COMPUTED_VALUE"""),"MTs Putri")</f>
        <v>MTs Putri</v>
      </c>
      <c r="E92" s="27" t="str">
        <f>IFERROR(__xludf.DUMMYFUNCTION("""COMPUTED_VALUE"""),"Ya")</f>
        <v>Ya</v>
      </c>
      <c r="F92" s="32" t="str">
        <f>IFERROR(__xludf.DUMMYFUNCTION("""COMPUTED_VALUE"""),"B. Aku bersaksi bahwa tidak ada tuhan yang berhak di sembah kecuali Allah")</f>
        <v>B. Aku bersaksi bahwa tidak ada tuhan yang berhak di sembah kecuali Allah</v>
      </c>
      <c r="G92" s="32">
        <f>IFERROR(__xludf.DUMMYFUNCTION("""COMPUTED_VALUE"""),6.0)</f>
        <v>6</v>
      </c>
      <c r="H92" s="32" t="str">
        <f>IFERROR(__xludf.DUMMYFUNCTION("""COMPUTED_VALUE"""),"1 Syawwal")</f>
        <v>1 Syawwal</v>
      </c>
      <c r="I92" s="32" t="str">
        <f>IFERROR(__xludf.DUMMYFUNCTION("""COMPUTED_VALUE"""),"Al 'Alaq")</f>
        <v>Al 'Alaq</v>
      </c>
      <c r="J92" s="32" t="str">
        <f>IFERROR(__xludf.DUMMYFUNCTION("""COMPUTED_VALUE"""),"Ali Bin Abi Thalib")</f>
        <v>Ali Bin Abi Thalib</v>
      </c>
      <c r="K92" s="32" t="str">
        <f>IFERROR(__xludf.DUMMYFUNCTION("""COMPUTED_VALUE"""),"malas")</f>
        <v>malas</v>
      </c>
      <c r="L92" s="32" t="str">
        <f>IFERROR(__xludf.DUMMYFUNCTION("""COMPUTED_VALUE"""),"dan")</f>
        <v>dan</v>
      </c>
      <c r="M92" s="32" t="str">
        <f>IFERROR(__xludf.DUMMYFUNCTION("""COMPUTED_VALUE"""),"Hafsah berkata aku ingin belajar di pesantren.")</f>
        <v>Hafsah berkata aku ingin belajar di pesantren.</v>
      </c>
      <c r="N92" s="32" t="str">
        <f>IFERROR(__xludf.DUMMYFUNCTION("""COMPUTED_VALUE"""),"Kalimat 1")</f>
        <v>Kalimat 1</v>
      </c>
      <c r="O92" s="32" t="str">
        <f>IFERROR(__xludf.DUMMYFUNCTION("""COMPUTED_VALUE"""),"tata surya")</f>
        <v>tata surya</v>
      </c>
      <c r="P92" s="32" t="str">
        <f>IFERROR(__xludf.DUMMYFUNCTION("""COMPUTED_VALUE"""),"Parasitisme")</f>
        <v>Parasitisme</v>
      </c>
      <c r="Q92" s="32" t="str">
        <f>IFERROR(__xludf.DUMMYFUNCTION("""COMPUTED_VALUE"""),"Angin")</f>
        <v>Angin</v>
      </c>
      <c r="R92" s="32" t="str">
        <f>IFERROR(__xludf.DUMMYFUNCTION("""COMPUTED_VALUE"""),"belalang dan ular")</f>
        <v>belalang dan ular</v>
      </c>
      <c r="S92" s="32" t="str">
        <f>IFERROR(__xludf.DUMMYFUNCTION("""COMPUTED_VALUE"""),"Daun yang pipih dan lebar")</f>
        <v>Daun yang pipih dan lebar</v>
      </c>
      <c r="T92" s="32" t="str">
        <f>IFERROR(__xludf.DUMMYFUNCTION("""COMPUTED_VALUE"""),"Buaya")</f>
        <v>Buaya</v>
      </c>
      <c r="U92" s="32">
        <f>IFERROR(__xludf.DUMMYFUNCTION("""COMPUTED_VALUE"""),64.0)</f>
        <v>64</v>
      </c>
      <c r="V92" s="32" t="str">
        <f>IFERROR(__xludf.DUMMYFUNCTION("""COMPUTED_VALUE"""),"4/3")</f>
        <v>4/3</v>
      </c>
      <c r="W92" s="32" t="str">
        <f>IFERROR(__xludf.DUMMYFUNCTION("""COMPUTED_VALUE"""),"1.800 meter")</f>
        <v>1.800 meter</v>
      </c>
      <c r="X92" s="32" t="str">
        <f>IFERROR(__xludf.DUMMYFUNCTION("""COMPUTED_VALUE"""),"22 cm")</f>
        <v>22 cm</v>
      </c>
      <c r="Y92" s="32">
        <f>IFERROR(__xludf.DUMMYFUNCTION("""COMPUTED_VALUE"""),200.0)</f>
        <v>200</v>
      </c>
      <c r="Z92" s="28">
        <f t="shared" si="1"/>
        <v>1</v>
      </c>
      <c r="AA92" s="28">
        <f t="shared" si="2"/>
        <v>1</v>
      </c>
      <c r="AB92" s="28">
        <f t="shared" si="3"/>
        <v>1</v>
      </c>
      <c r="AC92" s="28">
        <f t="shared" si="4"/>
        <v>1</v>
      </c>
      <c r="AD92" s="28">
        <f t="shared" si="5"/>
        <v>1</v>
      </c>
      <c r="AE92" s="29">
        <f t="shared" si="6"/>
        <v>5</v>
      </c>
      <c r="AF92" s="28">
        <f t="shared" si="7"/>
        <v>0</v>
      </c>
      <c r="AG92" s="28">
        <f t="shared" si="8"/>
        <v>1</v>
      </c>
      <c r="AH92" s="28">
        <f t="shared" si="9"/>
        <v>0</v>
      </c>
      <c r="AI92" s="28">
        <f t="shared" si="10"/>
        <v>1</v>
      </c>
      <c r="AJ92" s="28">
        <f t="shared" si="11"/>
        <v>0</v>
      </c>
      <c r="AK92" s="29">
        <f t="shared" si="12"/>
        <v>2</v>
      </c>
      <c r="AL92" s="28">
        <f t="shared" si="13"/>
        <v>1</v>
      </c>
      <c r="AM92" s="28">
        <f t="shared" si="14"/>
        <v>1</v>
      </c>
      <c r="AN92" s="28">
        <f t="shared" si="15"/>
        <v>1</v>
      </c>
      <c r="AO92" s="28">
        <f t="shared" si="16"/>
        <v>0</v>
      </c>
      <c r="AP92" s="28">
        <f t="shared" si="17"/>
        <v>0</v>
      </c>
      <c r="AQ92" s="29">
        <f t="shared" si="18"/>
        <v>3</v>
      </c>
      <c r="AR92" s="28">
        <f t="shared" si="19"/>
        <v>0</v>
      </c>
      <c r="AS92" s="28">
        <f t="shared" si="20"/>
        <v>0</v>
      </c>
      <c r="AT92" s="28">
        <f t="shared" si="21"/>
        <v>1</v>
      </c>
      <c r="AU92" s="28">
        <f t="shared" si="22"/>
        <v>1</v>
      </c>
      <c r="AV92" s="28">
        <f t="shared" si="23"/>
        <v>0</v>
      </c>
      <c r="AW92" s="29">
        <f t="shared" si="24"/>
        <v>2</v>
      </c>
      <c r="AX92" s="22"/>
      <c r="AY92" s="26">
        <f t="shared" si="25"/>
        <v>5</v>
      </c>
      <c r="AZ92" s="26">
        <f t="shared" si="26"/>
        <v>2</v>
      </c>
      <c r="BA92" s="26">
        <f t="shared" si="27"/>
        <v>3</v>
      </c>
      <c r="BB92" s="26">
        <f t="shared" si="28"/>
        <v>2</v>
      </c>
      <c r="BC92" s="30">
        <f t="shared" si="29"/>
        <v>60</v>
      </c>
    </row>
    <row r="93">
      <c r="A93" s="31">
        <f>IFERROR(__xludf.DUMMYFUNCTION("""COMPUTED_VALUE"""),45974.79756331019)</f>
        <v>45974.79756</v>
      </c>
      <c r="B93" s="32" t="str">
        <f>IFERROR(__xludf.DUMMYFUNCTION("""COMPUTED_VALUE"""),"Abdurrahman Dihyah Arrobi")</f>
        <v>Abdurrahman Dihyah Arrobi</v>
      </c>
      <c r="C93" s="27" t="str">
        <f>IFERROR(__xludf.DUMMYFUNCTION("""COMPUTED_VALUE"""),"A250056")</f>
        <v>A250056</v>
      </c>
      <c r="D93" s="27" t="str">
        <f>IFERROR(__xludf.DUMMYFUNCTION("""COMPUTED_VALUE"""),"MTs Putra")</f>
        <v>MTs Putra</v>
      </c>
      <c r="E93" s="27" t="str">
        <f>IFERROR(__xludf.DUMMYFUNCTION("""COMPUTED_VALUE"""),"Ya")</f>
        <v>Ya</v>
      </c>
      <c r="F93" s="32" t="str">
        <f>IFERROR(__xludf.DUMMYFUNCTION("""COMPUTED_VALUE"""),"B. Aku bersaksi bahwa tidak ada tuhan yang berhak di sembah kecuali Allah")</f>
        <v>B. Aku bersaksi bahwa tidak ada tuhan yang berhak di sembah kecuali Allah</v>
      </c>
      <c r="G93" s="32">
        <f>IFERROR(__xludf.DUMMYFUNCTION("""COMPUTED_VALUE"""),6.0)</f>
        <v>6</v>
      </c>
      <c r="H93" s="32" t="str">
        <f>IFERROR(__xludf.DUMMYFUNCTION("""COMPUTED_VALUE"""),"1 Syawwal")</f>
        <v>1 Syawwal</v>
      </c>
      <c r="I93" s="32" t="str">
        <f>IFERROR(__xludf.DUMMYFUNCTION("""COMPUTED_VALUE"""),"Al 'Alaq")</f>
        <v>Al 'Alaq</v>
      </c>
      <c r="J93" s="32" t="str">
        <f>IFERROR(__xludf.DUMMYFUNCTION("""COMPUTED_VALUE"""),"Ali Bin Abi Thalib")</f>
        <v>Ali Bin Abi Thalib</v>
      </c>
      <c r="K93" s="32" t="str">
        <f>IFERROR(__xludf.DUMMYFUNCTION("""COMPUTED_VALUE"""),"malas")</f>
        <v>malas</v>
      </c>
      <c r="L93" s="32" t="str">
        <f>IFERROR(__xludf.DUMMYFUNCTION("""COMPUTED_VALUE"""),"dan")</f>
        <v>dan</v>
      </c>
      <c r="M93" s="32" t="str">
        <f>IFERROR(__xludf.DUMMYFUNCTION("""COMPUTED_VALUE"""),"Hafsah berkata aku ingin belajar di pesantren.")</f>
        <v>Hafsah berkata aku ingin belajar di pesantren.</v>
      </c>
      <c r="N93" s="32" t="str">
        <f>IFERROR(__xludf.DUMMYFUNCTION("""COMPUTED_VALUE"""),"Kalimat 1")</f>
        <v>Kalimat 1</v>
      </c>
      <c r="O93" s="32" t="str">
        <f>IFERROR(__xludf.DUMMYFUNCTION("""COMPUTED_VALUE"""),"cahaya")</f>
        <v>cahaya</v>
      </c>
      <c r="P93" s="32" t="str">
        <f>IFERROR(__xludf.DUMMYFUNCTION("""COMPUTED_VALUE"""),"Parasitisme")</f>
        <v>Parasitisme</v>
      </c>
      <c r="Q93" s="32" t="str">
        <f>IFERROR(__xludf.DUMMYFUNCTION("""COMPUTED_VALUE"""),"Angin")</f>
        <v>Angin</v>
      </c>
      <c r="R93" s="32" t="str">
        <f>IFERROR(__xludf.DUMMYFUNCTION("""COMPUTED_VALUE"""),"belalang dan ular")</f>
        <v>belalang dan ular</v>
      </c>
      <c r="S93" s="32" t="str">
        <f>IFERROR(__xludf.DUMMYFUNCTION("""COMPUTED_VALUE"""),"Menghasilkan klorofil")</f>
        <v>Menghasilkan klorofil</v>
      </c>
      <c r="T93" s="32" t="str">
        <f>IFERROR(__xludf.DUMMYFUNCTION("""COMPUTED_VALUE"""),"Buaya")</f>
        <v>Buaya</v>
      </c>
      <c r="U93" s="32">
        <f>IFERROR(__xludf.DUMMYFUNCTION("""COMPUTED_VALUE"""),-64.0)</f>
        <v>-64</v>
      </c>
      <c r="V93" s="32" t="str">
        <f>IFERROR(__xludf.DUMMYFUNCTION("""COMPUTED_VALUE"""),"3/4")</f>
        <v>3/4</v>
      </c>
      <c r="W93" s="32" t="str">
        <f>IFERROR(__xludf.DUMMYFUNCTION("""COMPUTED_VALUE"""),"1.800 meter")</f>
        <v>1.800 meter</v>
      </c>
      <c r="X93" s="32" t="str">
        <f>IFERROR(__xludf.DUMMYFUNCTION("""COMPUTED_VALUE"""),"22 cm")</f>
        <v>22 cm</v>
      </c>
      <c r="Y93" s="33">
        <f>IFERROR(__xludf.DUMMYFUNCTION("""COMPUTED_VALUE"""),1000.0)</f>
        <v>1000</v>
      </c>
      <c r="Z93" s="28">
        <f t="shared" si="1"/>
        <v>1</v>
      </c>
      <c r="AA93" s="28">
        <f t="shared" si="2"/>
        <v>1</v>
      </c>
      <c r="AB93" s="28">
        <f t="shared" si="3"/>
        <v>1</v>
      </c>
      <c r="AC93" s="28">
        <f t="shared" si="4"/>
        <v>1</v>
      </c>
      <c r="AD93" s="28">
        <f t="shared" si="5"/>
        <v>1</v>
      </c>
      <c r="AE93" s="29">
        <f t="shared" si="6"/>
        <v>5</v>
      </c>
      <c r="AF93" s="28">
        <f t="shared" si="7"/>
        <v>0</v>
      </c>
      <c r="AG93" s="28">
        <f t="shared" si="8"/>
        <v>1</v>
      </c>
      <c r="AH93" s="28">
        <f t="shared" si="9"/>
        <v>0</v>
      </c>
      <c r="AI93" s="28">
        <f t="shared" si="10"/>
        <v>1</v>
      </c>
      <c r="AJ93" s="28">
        <f t="shared" si="11"/>
        <v>1</v>
      </c>
      <c r="AK93" s="29">
        <f t="shared" si="12"/>
        <v>3</v>
      </c>
      <c r="AL93" s="28">
        <f t="shared" si="13"/>
        <v>1</v>
      </c>
      <c r="AM93" s="28">
        <f t="shared" si="14"/>
        <v>1</v>
      </c>
      <c r="AN93" s="28">
        <f t="shared" si="15"/>
        <v>1</v>
      </c>
      <c r="AO93" s="28">
        <f t="shared" si="16"/>
        <v>1</v>
      </c>
      <c r="AP93" s="28">
        <f t="shared" si="17"/>
        <v>0</v>
      </c>
      <c r="AQ93" s="29">
        <f t="shared" si="18"/>
        <v>4</v>
      </c>
      <c r="AR93" s="28">
        <f t="shared" si="19"/>
        <v>1</v>
      </c>
      <c r="AS93" s="28">
        <f t="shared" si="20"/>
        <v>1</v>
      </c>
      <c r="AT93" s="28">
        <f t="shared" si="21"/>
        <v>1</v>
      </c>
      <c r="AU93" s="28">
        <f t="shared" si="22"/>
        <v>1</v>
      </c>
      <c r="AV93" s="28">
        <f t="shared" si="23"/>
        <v>0</v>
      </c>
      <c r="AW93" s="29">
        <f t="shared" si="24"/>
        <v>4</v>
      </c>
      <c r="AX93" s="22"/>
      <c r="AY93" s="26">
        <f t="shared" si="25"/>
        <v>5</v>
      </c>
      <c r="AZ93" s="26">
        <f t="shared" si="26"/>
        <v>3</v>
      </c>
      <c r="BA93" s="26">
        <f t="shared" si="27"/>
        <v>4</v>
      </c>
      <c r="BB93" s="26">
        <f t="shared" si="28"/>
        <v>4</v>
      </c>
      <c r="BC93" s="30">
        <f t="shared" si="29"/>
        <v>80</v>
      </c>
    </row>
    <row r="94">
      <c r="A94" s="31">
        <f>IFERROR(__xludf.DUMMYFUNCTION("""COMPUTED_VALUE"""),45974.90143952546)</f>
        <v>45974.90144</v>
      </c>
      <c r="B94" s="32" t="str">
        <f>IFERROR(__xludf.DUMMYFUNCTION("""COMPUTED_VALUE"""),"Aisah")</f>
        <v>Aisah</v>
      </c>
      <c r="C94" s="27" t="str">
        <f>IFERROR(__xludf.DUMMYFUNCTION("""COMPUTED_VALUE"""),"D250032")</f>
        <v>D250032</v>
      </c>
      <c r="D94" s="27" t="str">
        <f>IFERROR(__xludf.DUMMYFUNCTION("""COMPUTED_VALUE"""),"MTs Putri")</f>
        <v>MTs Putri</v>
      </c>
      <c r="E94" s="27" t="str">
        <f>IFERROR(__xludf.DUMMYFUNCTION("""COMPUTED_VALUE"""),"Ya")</f>
        <v>Ya</v>
      </c>
      <c r="F94" s="32" t="str">
        <f>IFERROR(__xludf.DUMMYFUNCTION("""COMPUTED_VALUE"""),"B. Aku bersaksi bahwa tidak ada tuhan yang berhak di sembah kecuali Allah")</f>
        <v>B. Aku bersaksi bahwa tidak ada tuhan yang berhak di sembah kecuali Allah</v>
      </c>
      <c r="G94" s="32">
        <f>IFERROR(__xludf.DUMMYFUNCTION("""COMPUTED_VALUE"""),6.0)</f>
        <v>6</v>
      </c>
      <c r="H94" s="32" t="str">
        <f>IFERROR(__xludf.DUMMYFUNCTION("""COMPUTED_VALUE"""),"1 Syawwal")</f>
        <v>1 Syawwal</v>
      </c>
      <c r="I94" s="32" t="str">
        <f>IFERROR(__xludf.DUMMYFUNCTION("""COMPUTED_VALUE"""),"Al 'Alaq")</f>
        <v>Al 'Alaq</v>
      </c>
      <c r="J94" s="32" t="str">
        <f>IFERROR(__xludf.DUMMYFUNCTION("""COMPUTED_VALUE"""),"Ali Bin Abi Thalib")</f>
        <v>Ali Bin Abi Thalib</v>
      </c>
      <c r="K94" s="32" t="str">
        <f>IFERROR(__xludf.DUMMYFUNCTION("""COMPUTED_VALUE"""),"giat")</f>
        <v>giat</v>
      </c>
      <c r="L94" s="32" t="str">
        <f>IFERROR(__xludf.DUMMYFUNCTION("""COMPUTED_VALUE"""),"dan")</f>
        <v>dan</v>
      </c>
      <c r="M94" s="32" t="str">
        <f>IFERROR(__xludf.DUMMYFUNCTION("""COMPUTED_VALUE"""),"Hafsah berkata aku ingin belajar di pesantren.")</f>
        <v>Hafsah berkata aku ingin belajar di pesantren.</v>
      </c>
      <c r="N94" s="32" t="str">
        <f>IFERROR(__xludf.DUMMYFUNCTION("""COMPUTED_VALUE"""),"Kalimat 2")</f>
        <v>Kalimat 2</v>
      </c>
      <c r="O94" s="32" t="str">
        <f>IFERROR(__xludf.DUMMYFUNCTION("""COMPUTED_VALUE"""),"cahaya")</f>
        <v>cahaya</v>
      </c>
      <c r="P94" s="32" t="str">
        <f>IFERROR(__xludf.DUMMYFUNCTION("""COMPUTED_VALUE"""),"Komensalisme")</f>
        <v>Komensalisme</v>
      </c>
      <c r="Q94" s="32" t="str">
        <f>IFERROR(__xludf.DUMMYFUNCTION("""COMPUTED_VALUE"""),"Angin")</f>
        <v>Angin</v>
      </c>
      <c r="R94" s="32" t="str">
        <f>IFERROR(__xludf.DUMMYFUNCTION("""COMPUTED_VALUE"""),"pipit dan burung hantu")</f>
        <v>pipit dan burung hantu</v>
      </c>
      <c r="S94" s="32" t="str">
        <f>IFERROR(__xludf.DUMMYFUNCTION("""COMPUTED_VALUE"""),"Adanya pertulangan daun")</f>
        <v>Adanya pertulangan daun</v>
      </c>
      <c r="T94" s="32" t="str">
        <f>IFERROR(__xludf.DUMMYFUNCTION("""COMPUTED_VALUE"""),"Buaya")</f>
        <v>Buaya</v>
      </c>
      <c r="U94" s="32">
        <f>IFERROR(__xludf.DUMMYFUNCTION("""COMPUTED_VALUE"""),-64.0)</f>
        <v>-64</v>
      </c>
      <c r="V94" s="32" t="str">
        <f>IFERROR(__xludf.DUMMYFUNCTION("""COMPUTED_VALUE"""),"3/4")</f>
        <v>3/4</v>
      </c>
      <c r="W94" s="32" t="str">
        <f>IFERROR(__xludf.DUMMYFUNCTION("""COMPUTED_VALUE"""),"1.800 meter")</f>
        <v>1.800 meter</v>
      </c>
      <c r="X94" s="32" t="str">
        <f>IFERROR(__xludf.DUMMYFUNCTION("""COMPUTED_VALUE"""),"22 cm")</f>
        <v>22 cm</v>
      </c>
      <c r="Y94" s="33">
        <f>IFERROR(__xludf.DUMMYFUNCTION("""COMPUTED_VALUE"""),1000.0)</f>
        <v>1000</v>
      </c>
      <c r="Z94" s="28">
        <f t="shared" si="1"/>
        <v>1</v>
      </c>
      <c r="AA94" s="28">
        <f t="shared" si="2"/>
        <v>1</v>
      </c>
      <c r="AB94" s="28">
        <f t="shared" si="3"/>
        <v>1</v>
      </c>
      <c r="AC94" s="28">
        <f t="shared" si="4"/>
        <v>1</v>
      </c>
      <c r="AD94" s="28">
        <f t="shared" si="5"/>
        <v>1</v>
      </c>
      <c r="AE94" s="29">
        <f t="shared" si="6"/>
        <v>5</v>
      </c>
      <c r="AF94" s="28">
        <f t="shared" si="7"/>
        <v>1</v>
      </c>
      <c r="AG94" s="28">
        <f t="shared" si="8"/>
        <v>1</v>
      </c>
      <c r="AH94" s="28">
        <f t="shared" si="9"/>
        <v>0</v>
      </c>
      <c r="AI94" s="28">
        <f t="shared" si="10"/>
        <v>0</v>
      </c>
      <c r="AJ94" s="28">
        <f t="shared" si="11"/>
        <v>1</v>
      </c>
      <c r="AK94" s="29">
        <f t="shared" si="12"/>
        <v>3</v>
      </c>
      <c r="AL94" s="28">
        <f t="shared" si="13"/>
        <v>0</v>
      </c>
      <c r="AM94" s="28">
        <f t="shared" si="14"/>
        <v>1</v>
      </c>
      <c r="AN94" s="28">
        <f t="shared" si="15"/>
        <v>0</v>
      </c>
      <c r="AO94" s="28">
        <f t="shared" si="16"/>
        <v>0</v>
      </c>
      <c r="AP94" s="28">
        <f t="shared" si="17"/>
        <v>0</v>
      </c>
      <c r="AQ94" s="29">
        <f t="shared" si="18"/>
        <v>1</v>
      </c>
      <c r="AR94" s="28">
        <f t="shared" si="19"/>
        <v>1</v>
      </c>
      <c r="AS94" s="28">
        <f t="shared" si="20"/>
        <v>1</v>
      </c>
      <c r="AT94" s="28">
        <f t="shared" si="21"/>
        <v>1</v>
      </c>
      <c r="AU94" s="28">
        <f t="shared" si="22"/>
        <v>1</v>
      </c>
      <c r="AV94" s="28">
        <f t="shared" si="23"/>
        <v>0</v>
      </c>
      <c r="AW94" s="29">
        <f t="shared" si="24"/>
        <v>4</v>
      </c>
      <c r="AX94" s="22"/>
      <c r="AY94" s="26">
        <f t="shared" si="25"/>
        <v>5</v>
      </c>
      <c r="AZ94" s="26">
        <f t="shared" si="26"/>
        <v>3</v>
      </c>
      <c r="BA94" s="26">
        <f t="shared" si="27"/>
        <v>1</v>
      </c>
      <c r="BB94" s="26">
        <f t="shared" si="28"/>
        <v>4</v>
      </c>
      <c r="BC94" s="30">
        <f t="shared" si="29"/>
        <v>65</v>
      </c>
    </row>
    <row r="95">
      <c r="A95" s="42">
        <f>IFERROR(__xludf.DUMMYFUNCTION("""COMPUTED_VALUE"""),45975.822416863426)</f>
        <v>45975.82242</v>
      </c>
      <c r="B95" s="43" t="str">
        <f>IFERROR(__xludf.DUMMYFUNCTION("""COMPUTED_VALUE"""),"GEYSa raipan ")</f>
        <v>GEYSa raipan </v>
      </c>
      <c r="C95" s="44" t="str">
        <f>IFERROR(__xludf.DUMMYFUNCTION("""COMPUTED_VALUE"""),"A250083")</f>
        <v>A250083</v>
      </c>
      <c r="D95" s="44" t="str">
        <f>IFERROR(__xludf.DUMMYFUNCTION("""COMPUTED_VALUE"""),"MTs Putri")</f>
        <v>MTs Putri</v>
      </c>
      <c r="E95" s="44" t="str">
        <f>IFERROR(__xludf.DUMMYFUNCTION("""COMPUTED_VALUE"""),"Ya")</f>
        <v>Ya</v>
      </c>
      <c r="F95" s="43" t="str">
        <f>IFERROR(__xludf.DUMMYFUNCTION("""COMPUTED_VALUE"""),"A. Aku bersaksi bahwa Muhammad adalah utusan Allah")</f>
        <v>A. Aku bersaksi bahwa Muhammad adalah utusan Allah</v>
      </c>
      <c r="G95" s="43">
        <f>IFERROR(__xludf.DUMMYFUNCTION("""COMPUTED_VALUE"""),6.0)</f>
        <v>6</v>
      </c>
      <c r="H95" s="43" t="str">
        <f>IFERROR(__xludf.DUMMYFUNCTION("""COMPUTED_VALUE"""),"1 Syawwal")</f>
        <v>1 Syawwal</v>
      </c>
      <c r="I95" s="43" t="str">
        <f>IFERROR(__xludf.DUMMYFUNCTION("""COMPUTED_VALUE"""),"Al Fatihah")</f>
        <v>Al Fatihah</v>
      </c>
      <c r="J95" s="43" t="str">
        <f>IFERROR(__xludf.DUMMYFUNCTION("""COMPUTED_VALUE"""),"Abu Bakar Ash Shiddiiq")</f>
        <v>Abu Bakar Ash Shiddiiq</v>
      </c>
      <c r="K95" s="43" t="str">
        <f>IFERROR(__xludf.DUMMYFUNCTION("""COMPUTED_VALUE"""),"giat")</f>
        <v>giat</v>
      </c>
      <c r="L95" s="43" t="str">
        <f>IFERROR(__xludf.DUMMYFUNCTION("""COMPUTED_VALUE"""),"sedangkan")</f>
        <v>sedangkan</v>
      </c>
      <c r="M95" s="43" t="str">
        <f>IFERROR(__xludf.DUMMYFUNCTION("""COMPUTED_VALUE"""),"Hafsah mengatakan bahwa ia ingin belajar di pesantren.")</f>
        <v>Hafsah mengatakan bahwa ia ingin belajar di pesantren.</v>
      </c>
      <c r="N95" s="43" t="str">
        <f>IFERROR(__xludf.DUMMYFUNCTION("""COMPUTED_VALUE"""),"Kalimat 3")</f>
        <v>Kalimat 3</v>
      </c>
      <c r="O95" s="43" t="str">
        <f>IFERROR(__xludf.DUMMYFUNCTION("""COMPUTED_VALUE"""),"cahaya")</f>
        <v>cahaya</v>
      </c>
      <c r="P95" s="43" t="str">
        <f>IFERROR(__xludf.DUMMYFUNCTION("""COMPUTED_VALUE"""),"Komensalisme")</f>
        <v>Komensalisme</v>
      </c>
      <c r="Q95" s="43" t="str">
        <f>IFERROR(__xludf.DUMMYFUNCTION("""COMPUTED_VALUE"""),"Tumbuhan")</f>
        <v>Tumbuhan</v>
      </c>
      <c r="R95" s="43" t="str">
        <f>IFERROR(__xludf.DUMMYFUNCTION("""COMPUTED_VALUE"""),"ulat dan kelinci")</f>
        <v>ulat dan kelinci</v>
      </c>
      <c r="S95" s="43" t="str">
        <f>IFERROR(__xludf.DUMMYFUNCTION("""COMPUTED_VALUE"""),"Daun yang pipih dan lebar")</f>
        <v>Daun yang pipih dan lebar</v>
      </c>
      <c r="T95" s="43" t="str">
        <f>IFERROR(__xludf.DUMMYFUNCTION("""COMPUTED_VALUE"""),"Kelinci")</f>
        <v>Kelinci</v>
      </c>
      <c r="U95" s="43">
        <f>IFERROR(__xludf.DUMMYFUNCTION("""COMPUTED_VALUE"""),-56.0)</f>
        <v>-56</v>
      </c>
      <c r="V95" s="43" t="str">
        <f>IFERROR(__xludf.DUMMYFUNCTION("""COMPUTED_VALUE"""),"3/8")</f>
        <v>3/8</v>
      </c>
      <c r="W95" s="43" t="str">
        <f>IFERROR(__xludf.DUMMYFUNCTION("""COMPUTED_VALUE"""),"1.575 meter")</f>
        <v>1.575 meter</v>
      </c>
      <c r="X95" s="43" t="str">
        <f>IFERROR(__xludf.DUMMYFUNCTION("""COMPUTED_VALUE"""),"11 cm")</f>
        <v>11 cm</v>
      </c>
      <c r="Y95" s="43">
        <f>IFERROR(__xludf.DUMMYFUNCTION("""COMPUTED_VALUE"""),600.0)</f>
        <v>600</v>
      </c>
      <c r="Z95" s="45">
        <f t="shared" si="1"/>
        <v>0</v>
      </c>
      <c r="AA95" s="45">
        <f t="shared" si="2"/>
        <v>1</v>
      </c>
      <c r="AB95" s="45">
        <f t="shared" si="3"/>
        <v>1</v>
      </c>
      <c r="AC95" s="45">
        <f t="shared" si="4"/>
        <v>0</v>
      </c>
      <c r="AD95" s="45">
        <f t="shared" si="5"/>
        <v>0</v>
      </c>
      <c r="AE95" s="46">
        <f t="shared" si="6"/>
        <v>2</v>
      </c>
      <c r="AF95" s="45">
        <f t="shared" si="7"/>
        <v>1</v>
      </c>
      <c r="AG95" s="45">
        <f t="shared" si="8"/>
        <v>0</v>
      </c>
      <c r="AH95" s="45">
        <f t="shared" si="9"/>
        <v>1</v>
      </c>
      <c r="AI95" s="45">
        <f t="shared" si="10"/>
        <v>0</v>
      </c>
      <c r="AJ95" s="45">
        <f t="shared" si="11"/>
        <v>1</v>
      </c>
      <c r="AK95" s="46">
        <f t="shared" si="12"/>
        <v>3</v>
      </c>
      <c r="AL95" s="45">
        <f t="shared" si="13"/>
        <v>0</v>
      </c>
      <c r="AM95" s="45">
        <f t="shared" si="14"/>
        <v>0</v>
      </c>
      <c r="AN95" s="45">
        <f t="shared" si="15"/>
        <v>0</v>
      </c>
      <c r="AO95" s="45">
        <f t="shared" si="16"/>
        <v>0</v>
      </c>
      <c r="AP95" s="45">
        <f t="shared" si="17"/>
        <v>1</v>
      </c>
      <c r="AQ95" s="46">
        <f t="shared" si="18"/>
        <v>1</v>
      </c>
      <c r="AR95" s="45">
        <f t="shared" si="19"/>
        <v>0</v>
      </c>
      <c r="AS95" s="45">
        <f t="shared" si="20"/>
        <v>0</v>
      </c>
      <c r="AT95" s="45">
        <f t="shared" si="21"/>
        <v>0</v>
      </c>
      <c r="AU95" s="45">
        <f t="shared" si="22"/>
        <v>0</v>
      </c>
      <c r="AV95" s="45">
        <f t="shared" si="23"/>
        <v>0</v>
      </c>
      <c r="AW95" s="46">
        <f t="shared" si="24"/>
        <v>0</v>
      </c>
      <c r="AX95" s="47"/>
      <c r="AY95" s="48">
        <f t="shared" si="25"/>
        <v>2</v>
      </c>
      <c r="AZ95" s="48">
        <f t="shared" si="26"/>
        <v>3</v>
      </c>
      <c r="BA95" s="48">
        <f t="shared" si="27"/>
        <v>1</v>
      </c>
      <c r="BB95" s="48">
        <f t="shared" si="28"/>
        <v>0</v>
      </c>
      <c r="BC95" s="49">
        <f t="shared" si="29"/>
        <v>30</v>
      </c>
    </row>
    <row r="96">
      <c r="A96" s="31">
        <f>IFERROR(__xludf.DUMMYFUNCTION("""COMPUTED_VALUE"""),45978.693310462964)</f>
        <v>45978.69331</v>
      </c>
      <c r="B96" s="32" t="str">
        <f>IFERROR(__xludf.DUMMYFUNCTION("""COMPUTED_VALUE"""),"Ahmad vickhy wijaya ")</f>
        <v>Ahmad vickhy wijaya </v>
      </c>
      <c r="C96" s="27" t="str">
        <f>IFERROR(__xludf.DUMMYFUNCTION("""COMPUTED_VALUE"""),"A250073")</f>
        <v>A250073</v>
      </c>
      <c r="D96" s="27" t="str">
        <f>IFERROR(__xludf.DUMMYFUNCTION("""COMPUTED_VALUE"""),"MTs Putra")</f>
        <v>MTs Putra</v>
      </c>
      <c r="E96" s="27" t="str">
        <f>IFERROR(__xludf.DUMMYFUNCTION("""COMPUTED_VALUE"""),"Ya")</f>
        <v>Ya</v>
      </c>
      <c r="F96" s="32" t="str">
        <f>IFERROR(__xludf.DUMMYFUNCTION("""COMPUTED_VALUE"""),"A. Aku bersaksi bahwa Muhammad adalah utusan Allah")</f>
        <v>A. Aku bersaksi bahwa Muhammad adalah utusan Allah</v>
      </c>
      <c r="G96" s="32">
        <f>IFERROR(__xludf.DUMMYFUNCTION("""COMPUTED_VALUE"""),6.0)</f>
        <v>6</v>
      </c>
      <c r="H96" s="32" t="str">
        <f>IFERROR(__xludf.DUMMYFUNCTION("""COMPUTED_VALUE"""),"2 Syawwal")</f>
        <v>2 Syawwal</v>
      </c>
      <c r="I96" s="32" t="str">
        <f>IFERROR(__xludf.DUMMYFUNCTION("""COMPUTED_VALUE"""),"Al 'Alaq")</f>
        <v>Al 'Alaq</v>
      </c>
      <c r="J96" s="32" t="str">
        <f>IFERROR(__xludf.DUMMYFUNCTION("""COMPUTED_VALUE"""),"Umar Bin Khattab")</f>
        <v>Umar Bin Khattab</v>
      </c>
      <c r="K96" s="32" t="str">
        <f>IFERROR(__xludf.DUMMYFUNCTION("""COMPUTED_VALUE"""),"malas")</f>
        <v>malas</v>
      </c>
      <c r="L96" s="32" t="str">
        <f>IFERROR(__xludf.DUMMYFUNCTION("""COMPUTED_VALUE"""),"dan")</f>
        <v>dan</v>
      </c>
      <c r="M96" s="32" t="str">
        <f>IFERROR(__xludf.DUMMYFUNCTION("""COMPUTED_VALUE"""),"Aku berkata Hafsah ingin belajar di pesantren.")</f>
        <v>Aku berkata Hafsah ingin belajar di pesantren.</v>
      </c>
      <c r="N96" s="32" t="str">
        <f>IFERROR(__xludf.DUMMYFUNCTION("""COMPUTED_VALUE"""),"Kalimat 1")</f>
        <v>Kalimat 1</v>
      </c>
      <c r="O96" s="32" t="str">
        <f>IFERROR(__xludf.DUMMYFUNCTION("""COMPUTED_VALUE"""),"cahaya")</f>
        <v>cahaya</v>
      </c>
      <c r="P96" s="32" t="str">
        <f>IFERROR(__xludf.DUMMYFUNCTION("""COMPUTED_VALUE"""),"Mutualisme")</f>
        <v>Mutualisme</v>
      </c>
      <c r="Q96" s="32" t="str">
        <f>IFERROR(__xludf.DUMMYFUNCTION("""COMPUTED_VALUE"""),"Angin")</f>
        <v>Angin</v>
      </c>
      <c r="R96" s="32" t="str">
        <f>IFERROR(__xludf.DUMMYFUNCTION("""COMPUTED_VALUE"""),"ulat dan kelinci")</f>
        <v>ulat dan kelinci</v>
      </c>
      <c r="S96" s="32" t="str">
        <f>IFERROR(__xludf.DUMMYFUNCTION("""COMPUTED_VALUE"""),"Daun yang pipih dan lebar")</f>
        <v>Daun yang pipih dan lebar</v>
      </c>
      <c r="T96" s="32" t="str">
        <f>IFERROR(__xludf.DUMMYFUNCTION("""COMPUTED_VALUE"""),"Kelinci")</f>
        <v>Kelinci</v>
      </c>
      <c r="U96" s="32">
        <f>IFERROR(__xludf.DUMMYFUNCTION("""COMPUTED_VALUE"""),-56.0)</f>
        <v>-56</v>
      </c>
      <c r="V96" s="32" t="str">
        <f>IFERROR(__xludf.DUMMYFUNCTION("""COMPUTED_VALUE"""),"4/3")</f>
        <v>4/3</v>
      </c>
      <c r="W96" s="32" t="str">
        <f>IFERROR(__xludf.DUMMYFUNCTION("""COMPUTED_VALUE"""),"1.800 meter")</f>
        <v>1.800 meter</v>
      </c>
      <c r="X96" s="32" t="str">
        <f>IFERROR(__xludf.DUMMYFUNCTION("""COMPUTED_VALUE"""),"22 cm")</f>
        <v>22 cm</v>
      </c>
      <c r="Y96" s="32">
        <f>IFERROR(__xludf.DUMMYFUNCTION("""COMPUTED_VALUE"""),400.0)</f>
        <v>400</v>
      </c>
      <c r="Z96" s="28">
        <f t="shared" si="1"/>
        <v>0</v>
      </c>
      <c r="AA96" s="28">
        <f t="shared" si="2"/>
        <v>1</v>
      </c>
      <c r="AB96" s="28">
        <f t="shared" si="3"/>
        <v>0</v>
      </c>
      <c r="AC96" s="28">
        <f t="shared" si="4"/>
        <v>1</v>
      </c>
      <c r="AD96" s="28">
        <f t="shared" si="5"/>
        <v>0</v>
      </c>
      <c r="AE96" s="29">
        <f t="shared" si="6"/>
        <v>2</v>
      </c>
      <c r="AF96" s="28">
        <f t="shared" si="7"/>
        <v>0</v>
      </c>
      <c r="AG96" s="28">
        <f t="shared" si="8"/>
        <v>1</v>
      </c>
      <c r="AH96" s="28">
        <f t="shared" si="9"/>
        <v>0</v>
      </c>
      <c r="AI96" s="28">
        <f t="shared" si="10"/>
        <v>1</v>
      </c>
      <c r="AJ96" s="28">
        <f t="shared" si="11"/>
        <v>1</v>
      </c>
      <c r="AK96" s="29">
        <f t="shared" si="12"/>
        <v>3</v>
      </c>
      <c r="AL96" s="28">
        <f t="shared" si="13"/>
        <v>0</v>
      </c>
      <c r="AM96" s="28">
        <f t="shared" si="14"/>
        <v>1</v>
      </c>
      <c r="AN96" s="28">
        <f t="shared" si="15"/>
        <v>0</v>
      </c>
      <c r="AO96" s="28">
        <f t="shared" si="16"/>
        <v>0</v>
      </c>
      <c r="AP96" s="28">
        <f t="shared" si="17"/>
        <v>1</v>
      </c>
      <c r="AQ96" s="29">
        <f t="shared" si="18"/>
        <v>2</v>
      </c>
      <c r="AR96" s="28">
        <f t="shared" si="19"/>
        <v>0</v>
      </c>
      <c r="AS96" s="28">
        <f t="shared" si="20"/>
        <v>0</v>
      </c>
      <c r="AT96" s="28">
        <f t="shared" si="21"/>
        <v>1</v>
      </c>
      <c r="AU96" s="28">
        <f t="shared" si="22"/>
        <v>1</v>
      </c>
      <c r="AV96" s="28">
        <f t="shared" si="23"/>
        <v>0</v>
      </c>
      <c r="AW96" s="29">
        <f t="shared" si="24"/>
        <v>2</v>
      </c>
      <c r="AX96" s="22"/>
      <c r="AY96" s="26">
        <f t="shared" si="25"/>
        <v>2</v>
      </c>
      <c r="AZ96" s="26">
        <f t="shared" si="26"/>
        <v>3</v>
      </c>
      <c r="BA96" s="26">
        <f t="shared" si="27"/>
        <v>2</v>
      </c>
      <c r="BB96" s="26">
        <f t="shared" si="28"/>
        <v>2</v>
      </c>
      <c r="BC96" s="30">
        <f t="shared" si="29"/>
        <v>45</v>
      </c>
    </row>
    <row r="97">
      <c r="A97" s="31">
        <f>IFERROR(__xludf.DUMMYFUNCTION("""COMPUTED_VALUE"""),45988.848769212964)</f>
        <v>45988.84877</v>
      </c>
      <c r="B97" s="32" t="str">
        <f>IFERROR(__xludf.DUMMYFUNCTION("""COMPUTED_VALUE"""),"Kimora amanda putri")</f>
        <v>Kimora amanda putri</v>
      </c>
      <c r="C97" s="27" t="str">
        <f>IFERROR(__xludf.DUMMYFUNCTION("""COMPUTED_VALUE"""),"D250033")</f>
        <v>D250033</v>
      </c>
      <c r="D97" s="27" t="str">
        <f>IFERROR(__xludf.DUMMYFUNCTION("""COMPUTED_VALUE"""),"MTs Putri")</f>
        <v>MTs Putri</v>
      </c>
      <c r="E97" s="27" t="str">
        <f>IFERROR(__xludf.DUMMYFUNCTION("""COMPUTED_VALUE"""),"Ya")</f>
        <v>Ya</v>
      </c>
      <c r="F97" s="32" t="str">
        <f>IFERROR(__xludf.DUMMYFUNCTION("""COMPUTED_VALUE"""),"A. Aku bersaksi bahwa Muhammad adalah utusan Allah")</f>
        <v>A. Aku bersaksi bahwa Muhammad adalah utusan Allah</v>
      </c>
      <c r="G97" s="32">
        <f>IFERROR(__xludf.DUMMYFUNCTION("""COMPUTED_VALUE"""),6.0)</f>
        <v>6</v>
      </c>
      <c r="H97" s="32" t="str">
        <f>IFERROR(__xludf.DUMMYFUNCTION("""COMPUTED_VALUE"""),"1 Syawwal")</f>
        <v>1 Syawwal</v>
      </c>
      <c r="I97" s="32" t="str">
        <f>IFERROR(__xludf.DUMMYFUNCTION("""COMPUTED_VALUE"""),"Al 'Alaq")</f>
        <v>Al 'Alaq</v>
      </c>
      <c r="J97" s="32" t="str">
        <f>IFERROR(__xludf.DUMMYFUNCTION("""COMPUTED_VALUE"""),"Ali Bin Abi Thalib")</f>
        <v>Ali Bin Abi Thalib</v>
      </c>
      <c r="K97" s="32" t="str">
        <f>IFERROR(__xludf.DUMMYFUNCTION("""COMPUTED_VALUE"""),"giat")</f>
        <v>giat</v>
      </c>
      <c r="L97" s="32" t="str">
        <f>IFERROR(__xludf.DUMMYFUNCTION("""COMPUTED_VALUE"""),"dan")</f>
        <v>dan</v>
      </c>
      <c r="M97" s="32" t="str">
        <f>IFERROR(__xludf.DUMMYFUNCTION("""COMPUTED_VALUE"""),"Hafsah mengatakan bahwa ia ingin belajar di pesantren.")</f>
        <v>Hafsah mengatakan bahwa ia ingin belajar di pesantren.</v>
      </c>
      <c r="N97" s="32" t="str">
        <f>IFERROR(__xludf.DUMMYFUNCTION("""COMPUTED_VALUE"""),"Kalimat 1")</f>
        <v>Kalimat 1</v>
      </c>
      <c r="O97" s="32" t="str">
        <f>IFERROR(__xludf.DUMMYFUNCTION("""COMPUTED_VALUE"""),"cahaya")</f>
        <v>cahaya</v>
      </c>
      <c r="P97" s="32" t="str">
        <f>IFERROR(__xludf.DUMMYFUNCTION("""COMPUTED_VALUE"""),"Mutualisme")</f>
        <v>Mutualisme</v>
      </c>
      <c r="Q97" s="32" t="str">
        <f>IFERROR(__xludf.DUMMYFUNCTION("""COMPUTED_VALUE"""),"Angin")</f>
        <v>Angin</v>
      </c>
      <c r="R97" s="32" t="str">
        <f>IFERROR(__xludf.DUMMYFUNCTION("""COMPUTED_VALUE"""),"belalang dan ular")</f>
        <v>belalang dan ular</v>
      </c>
      <c r="S97" s="32" t="str">
        <f>IFERROR(__xludf.DUMMYFUNCTION("""COMPUTED_VALUE"""),"Menghasilkan klorofil")</f>
        <v>Menghasilkan klorofil</v>
      </c>
      <c r="T97" s="32" t="str">
        <f>IFERROR(__xludf.DUMMYFUNCTION("""COMPUTED_VALUE"""),"Kelinci")</f>
        <v>Kelinci</v>
      </c>
      <c r="U97" s="32">
        <f>IFERROR(__xludf.DUMMYFUNCTION("""COMPUTED_VALUE"""),-56.0)</f>
        <v>-56</v>
      </c>
      <c r="V97" s="32" t="str">
        <f>IFERROR(__xludf.DUMMYFUNCTION("""COMPUTED_VALUE"""),"4/3")</f>
        <v>4/3</v>
      </c>
      <c r="W97" s="32" t="str">
        <f>IFERROR(__xludf.DUMMYFUNCTION("""COMPUTED_VALUE"""),"1.800 meter")</f>
        <v>1.800 meter</v>
      </c>
      <c r="X97" s="32" t="str">
        <f>IFERROR(__xludf.DUMMYFUNCTION("""COMPUTED_VALUE"""),"22 cm")</f>
        <v>22 cm</v>
      </c>
      <c r="Y97" s="33">
        <f>IFERROR(__xludf.DUMMYFUNCTION("""COMPUTED_VALUE"""),1000.0)</f>
        <v>1000</v>
      </c>
      <c r="Z97" s="28">
        <f t="shared" si="1"/>
        <v>0</v>
      </c>
      <c r="AA97" s="28">
        <f t="shared" si="2"/>
        <v>1</v>
      </c>
      <c r="AB97" s="28">
        <f t="shared" si="3"/>
        <v>1</v>
      </c>
      <c r="AC97" s="28">
        <f t="shared" si="4"/>
        <v>1</v>
      </c>
      <c r="AD97" s="28">
        <f t="shared" si="5"/>
        <v>1</v>
      </c>
      <c r="AE97" s="29">
        <f t="shared" si="6"/>
        <v>4</v>
      </c>
      <c r="AF97" s="28">
        <f t="shared" si="7"/>
        <v>1</v>
      </c>
      <c r="AG97" s="28">
        <f t="shared" si="8"/>
        <v>1</v>
      </c>
      <c r="AH97" s="28">
        <f t="shared" si="9"/>
        <v>1</v>
      </c>
      <c r="AI97" s="28">
        <f t="shared" si="10"/>
        <v>1</v>
      </c>
      <c r="AJ97" s="28">
        <f t="shared" si="11"/>
        <v>1</v>
      </c>
      <c r="AK97" s="29">
        <f t="shared" si="12"/>
        <v>5</v>
      </c>
      <c r="AL97" s="28">
        <f t="shared" si="13"/>
        <v>0</v>
      </c>
      <c r="AM97" s="28">
        <f t="shared" si="14"/>
        <v>1</v>
      </c>
      <c r="AN97" s="28">
        <f t="shared" si="15"/>
        <v>1</v>
      </c>
      <c r="AO97" s="28">
        <f t="shared" si="16"/>
        <v>1</v>
      </c>
      <c r="AP97" s="28">
        <f t="shared" si="17"/>
        <v>1</v>
      </c>
      <c r="AQ97" s="29">
        <f t="shared" si="18"/>
        <v>4</v>
      </c>
      <c r="AR97" s="28">
        <f t="shared" si="19"/>
        <v>0</v>
      </c>
      <c r="AS97" s="28">
        <f t="shared" si="20"/>
        <v>0</v>
      </c>
      <c r="AT97" s="28">
        <f t="shared" si="21"/>
        <v>1</v>
      </c>
      <c r="AU97" s="28">
        <f t="shared" si="22"/>
        <v>1</v>
      </c>
      <c r="AV97" s="28">
        <f t="shared" si="23"/>
        <v>0</v>
      </c>
      <c r="AW97" s="29">
        <f t="shared" si="24"/>
        <v>2</v>
      </c>
      <c r="AX97" s="22"/>
      <c r="AY97" s="26">
        <f t="shared" si="25"/>
        <v>4</v>
      </c>
      <c r="AZ97" s="26">
        <f t="shared" si="26"/>
        <v>5</v>
      </c>
      <c r="BA97" s="26">
        <f t="shared" si="27"/>
        <v>4</v>
      </c>
      <c r="BB97" s="26">
        <f t="shared" si="28"/>
        <v>2</v>
      </c>
      <c r="BC97" s="30">
        <f t="shared" si="29"/>
        <v>75</v>
      </c>
    </row>
    <row r="98">
      <c r="A98" s="31">
        <f>IFERROR(__xludf.DUMMYFUNCTION("""COMPUTED_VALUE"""),45991.41121813658)</f>
        <v>45991.41122</v>
      </c>
      <c r="B98" s="32" t="str">
        <f>IFERROR(__xludf.DUMMYFUNCTION("""COMPUTED_VALUE"""),"Aisha Salma Mutmainnah ")</f>
        <v>Aisha Salma Mutmainnah </v>
      </c>
      <c r="C98" s="27" t="str">
        <f>IFERROR(__xludf.DUMMYFUNCTION("""COMPUTED_VALUE"""),"D250034")</f>
        <v>D250034</v>
      </c>
      <c r="D98" s="27" t="str">
        <f>IFERROR(__xludf.DUMMYFUNCTION("""COMPUTED_VALUE"""),"MTs Putri")</f>
        <v>MTs Putri</v>
      </c>
      <c r="E98" s="27" t="str">
        <f>IFERROR(__xludf.DUMMYFUNCTION("""COMPUTED_VALUE"""),"Ya")</f>
        <v>Ya</v>
      </c>
      <c r="F98" s="32" t="str">
        <f>IFERROR(__xludf.DUMMYFUNCTION("""COMPUTED_VALUE"""),"B. Aku bersaksi bahwa tidak ada tuhan yang berhak di sembah kecuali Allah")</f>
        <v>B. Aku bersaksi bahwa tidak ada tuhan yang berhak di sembah kecuali Allah</v>
      </c>
      <c r="G98" s="32">
        <f>IFERROR(__xludf.DUMMYFUNCTION("""COMPUTED_VALUE"""),6.0)</f>
        <v>6</v>
      </c>
      <c r="H98" s="32" t="str">
        <f>IFERROR(__xludf.DUMMYFUNCTION("""COMPUTED_VALUE"""),"1 Syawwal")</f>
        <v>1 Syawwal</v>
      </c>
      <c r="I98" s="32" t="str">
        <f>IFERROR(__xludf.DUMMYFUNCTION("""COMPUTED_VALUE"""),"Al 'Alaq")</f>
        <v>Al 'Alaq</v>
      </c>
      <c r="J98" s="32" t="str">
        <f>IFERROR(__xludf.DUMMYFUNCTION("""COMPUTED_VALUE"""),"Ali Bin Abi Thalib")</f>
        <v>Ali Bin Abi Thalib</v>
      </c>
      <c r="K98" s="32" t="str">
        <f>IFERROR(__xludf.DUMMYFUNCTION("""COMPUTED_VALUE"""),"giat")</f>
        <v>giat</v>
      </c>
      <c r="L98" s="32" t="str">
        <f>IFERROR(__xludf.DUMMYFUNCTION("""COMPUTED_VALUE"""),"dan")</f>
        <v>dan</v>
      </c>
      <c r="M98" s="32" t="str">
        <f>IFERROR(__xludf.DUMMYFUNCTION("""COMPUTED_VALUE"""),"Hafsah mengatakan bahwa ia ingin belajar di pesantren.")</f>
        <v>Hafsah mengatakan bahwa ia ingin belajar di pesantren.</v>
      </c>
      <c r="N98" s="32" t="str">
        <f>IFERROR(__xludf.DUMMYFUNCTION("""COMPUTED_VALUE"""),"Kalimat 1")</f>
        <v>Kalimat 1</v>
      </c>
      <c r="O98" s="32" t="str">
        <f>IFERROR(__xludf.DUMMYFUNCTION("""COMPUTED_VALUE"""),"cahaya")</f>
        <v>cahaya</v>
      </c>
      <c r="P98" s="32" t="str">
        <f>IFERROR(__xludf.DUMMYFUNCTION("""COMPUTED_VALUE"""),"Parasitisme")</f>
        <v>Parasitisme</v>
      </c>
      <c r="Q98" s="32" t="str">
        <f>IFERROR(__xludf.DUMMYFUNCTION("""COMPUTED_VALUE"""),"Angin")</f>
        <v>Angin</v>
      </c>
      <c r="R98" s="32" t="str">
        <f>IFERROR(__xludf.DUMMYFUNCTION("""COMPUTED_VALUE"""),"belalang dan ular")</f>
        <v>belalang dan ular</v>
      </c>
      <c r="S98" s="32" t="str">
        <f>IFERROR(__xludf.DUMMYFUNCTION("""COMPUTED_VALUE"""),"Menghasilkan klorofil")</f>
        <v>Menghasilkan klorofil</v>
      </c>
      <c r="T98" s="32" t="str">
        <f>IFERROR(__xludf.DUMMYFUNCTION("""COMPUTED_VALUE"""),"Kelinci")</f>
        <v>Kelinci</v>
      </c>
      <c r="U98" s="32">
        <f>IFERROR(__xludf.DUMMYFUNCTION("""COMPUTED_VALUE"""),-64.0)</f>
        <v>-64</v>
      </c>
      <c r="V98" s="32" t="str">
        <f>IFERROR(__xludf.DUMMYFUNCTION("""COMPUTED_VALUE"""),"3/4")</f>
        <v>3/4</v>
      </c>
      <c r="W98" s="32" t="str">
        <f>IFERROR(__xludf.DUMMYFUNCTION("""COMPUTED_VALUE"""),"1.800 meter")</f>
        <v>1.800 meter</v>
      </c>
      <c r="X98" s="32" t="str">
        <f>IFERROR(__xludf.DUMMYFUNCTION("""COMPUTED_VALUE"""),"28 cm")</f>
        <v>28 cm</v>
      </c>
      <c r="Y98" s="32">
        <f>IFERROR(__xludf.DUMMYFUNCTION("""COMPUTED_VALUE"""),200.0)</f>
        <v>200</v>
      </c>
      <c r="Z98" s="28">
        <f t="shared" si="1"/>
        <v>1</v>
      </c>
      <c r="AA98" s="28">
        <f t="shared" si="2"/>
        <v>1</v>
      </c>
      <c r="AB98" s="28">
        <f t="shared" si="3"/>
        <v>1</v>
      </c>
      <c r="AC98" s="28">
        <f t="shared" si="4"/>
        <v>1</v>
      </c>
      <c r="AD98" s="28">
        <f t="shared" si="5"/>
        <v>1</v>
      </c>
      <c r="AE98" s="29">
        <f t="shared" si="6"/>
        <v>5</v>
      </c>
      <c r="AF98" s="28">
        <f t="shared" si="7"/>
        <v>1</v>
      </c>
      <c r="AG98" s="28">
        <f t="shared" si="8"/>
        <v>1</v>
      </c>
      <c r="AH98" s="28">
        <f t="shared" si="9"/>
        <v>1</v>
      </c>
      <c r="AI98" s="28">
        <f t="shared" si="10"/>
        <v>1</v>
      </c>
      <c r="AJ98" s="28">
        <f t="shared" si="11"/>
        <v>1</v>
      </c>
      <c r="AK98" s="29">
        <f t="shared" si="12"/>
        <v>5</v>
      </c>
      <c r="AL98" s="28">
        <f t="shared" si="13"/>
        <v>1</v>
      </c>
      <c r="AM98" s="28">
        <f t="shared" si="14"/>
        <v>1</v>
      </c>
      <c r="AN98" s="28">
        <f t="shared" si="15"/>
        <v>1</v>
      </c>
      <c r="AO98" s="28">
        <f t="shared" si="16"/>
        <v>1</v>
      </c>
      <c r="AP98" s="28">
        <f t="shared" si="17"/>
        <v>1</v>
      </c>
      <c r="AQ98" s="29">
        <f t="shared" si="18"/>
        <v>5</v>
      </c>
      <c r="AR98" s="28">
        <f t="shared" si="19"/>
        <v>1</v>
      </c>
      <c r="AS98" s="28">
        <f t="shared" si="20"/>
        <v>1</v>
      </c>
      <c r="AT98" s="28">
        <f t="shared" si="21"/>
        <v>1</v>
      </c>
      <c r="AU98" s="28">
        <f t="shared" si="22"/>
        <v>0</v>
      </c>
      <c r="AV98" s="28">
        <f t="shared" si="23"/>
        <v>0</v>
      </c>
      <c r="AW98" s="29">
        <f t="shared" si="24"/>
        <v>3</v>
      </c>
      <c r="AX98" s="22"/>
      <c r="AY98" s="26">
        <f t="shared" si="25"/>
        <v>5</v>
      </c>
      <c r="AZ98" s="26">
        <f t="shared" si="26"/>
        <v>5</v>
      </c>
      <c r="BA98" s="26">
        <f t="shared" si="27"/>
        <v>5</v>
      </c>
      <c r="BB98" s="26">
        <f t="shared" si="28"/>
        <v>3</v>
      </c>
      <c r="BC98" s="30">
        <f t="shared" si="29"/>
        <v>90</v>
      </c>
    </row>
    <row r="99">
      <c r="A99" s="31">
        <f>IFERROR(__xludf.DUMMYFUNCTION("""COMPUTED_VALUE"""),45991.72365730324)</f>
        <v>45991.72366</v>
      </c>
      <c r="B99" s="32" t="str">
        <f>IFERROR(__xludf.DUMMYFUNCTION("""COMPUTED_VALUE"""),"Naisya Ashadiya Rusi")</f>
        <v>Naisya Ashadiya Rusi</v>
      </c>
      <c r="C99" s="27" t="str">
        <f>IFERROR(__xludf.DUMMYFUNCTION("""COMPUTED_VALUE"""),"D250035")</f>
        <v>D250035</v>
      </c>
      <c r="D99" s="27" t="str">
        <f>IFERROR(__xludf.DUMMYFUNCTION("""COMPUTED_VALUE"""),"MTs Putri")</f>
        <v>MTs Putri</v>
      </c>
      <c r="E99" s="27" t="str">
        <f>IFERROR(__xludf.DUMMYFUNCTION("""COMPUTED_VALUE"""),"Ya")</f>
        <v>Ya</v>
      </c>
      <c r="F99" s="32" t="str">
        <f>IFERROR(__xludf.DUMMYFUNCTION("""COMPUTED_VALUE"""),"A. Aku bersaksi bahwa Muhammad adalah utusan Allah")</f>
        <v>A. Aku bersaksi bahwa Muhammad adalah utusan Allah</v>
      </c>
      <c r="G99" s="32">
        <f>IFERROR(__xludf.DUMMYFUNCTION("""COMPUTED_VALUE"""),6.0)</f>
        <v>6</v>
      </c>
      <c r="H99" s="32" t="str">
        <f>IFERROR(__xludf.DUMMYFUNCTION("""COMPUTED_VALUE"""),"1 Syawwal")</f>
        <v>1 Syawwal</v>
      </c>
      <c r="I99" s="32" t="str">
        <f>IFERROR(__xludf.DUMMYFUNCTION("""COMPUTED_VALUE"""),"Al 'Alaq")</f>
        <v>Al 'Alaq</v>
      </c>
      <c r="J99" s="32" t="str">
        <f>IFERROR(__xludf.DUMMYFUNCTION("""COMPUTED_VALUE"""),"Ali Bin Abi Thalib")</f>
        <v>Ali Bin Abi Thalib</v>
      </c>
      <c r="K99" s="32" t="str">
        <f>IFERROR(__xludf.DUMMYFUNCTION("""COMPUTED_VALUE"""),"giat")</f>
        <v>giat</v>
      </c>
      <c r="L99" s="32" t="str">
        <f>IFERROR(__xludf.DUMMYFUNCTION("""COMPUTED_VALUE"""),"dan")</f>
        <v>dan</v>
      </c>
      <c r="M99" s="32" t="str">
        <f>IFERROR(__xludf.DUMMYFUNCTION("""COMPUTED_VALUE"""),"Hafsah mengatakan bahwa ia ingin belajar di pesantren.")</f>
        <v>Hafsah mengatakan bahwa ia ingin belajar di pesantren.</v>
      </c>
      <c r="N99" s="32" t="str">
        <f>IFERROR(__xludf.DUMMYFUNCTION("""COMPUTED_VALUE"""),"Kalimat 1")</f>
        <v>Kalimat 1</v>
      </c>
      <c r="O99" s="32" t="str">
        <f>IFERROR(__xludf.DUMMYFUNCTION("""COMPUTED_VALUE"""),"cahaya")</f>
        <v>cahaya</v>
      </c>
      <c r="P99" s="32" t="str">
        <f>IFERROR(__xludf.DUMMYFUNCTION("""COMPUTED_VALUE"""),"Parasitisme")</f>
        <v>Parasitisme</v>
      </c>
      <c r="Q99" s="32" t="str">
        <f>IFERROR(__xludf.DUMMYFUNCTION("""COMPUTED_VALUE"""),"Angin")</f>
        <v>Angin</v>
      </c>
      <c r="R99" s="32" t="str">
        <f>IFERROR(__xludf.DUMMYFUNCTION("""COMPUTED_VALUE"""),"belalang dan ular")</f>
        <v>belalang dan ular</v>
      </c>
      <c r="S99" s="32" t="str">
        <f>IFERROR(__xludf.DUMMYFUNCTION("""COMPUTED_VALUE"""),"Memiliki stomata")</f>
        <v>Memiliki stomata</v>
      </c>
      <c r="T99" s="32" t="str">
        <f>IFERROR(__xludf.DUMMYFUNCTION("""COMPUTED_VALUE"""),"Kelinci")</f>
        <v>Kelinci</v>
      </c>
      <c r="U99" s="32">
        <f>IFERROR(__xludf.DUMMYFUNCTION("""COMPUTED_VALUE"""),-64.0)</f>
        <v>-64</v>
      </c>
      <c r="V99" s="32" t="str">
        <f>IFERROR(__xludf.DUMMYFUNCTION("""COMPUTED_VALUE"""),"3/4")</f>
        <v>3/4</v>
      </c>
      <c r="W99" s="32" t="str">
        <f>IFERROR(__xludf.DUMMYFUNCTION("""COMPUTED_VALUE"""),"1.800 meter")</f>
        <v>1.800 meter</v>
      </c>
      <c r="X99" s="32" t="str">
        <f>IFERROR(__xludf.DUMMYFUNCTION("""COMPUTED_VALUE"""),"22 cm")</f>
        <v>22 cm</v>
      </c>
      <c r="Y99" s="32">
        <f>IFERROR(__xludf.DUMMYFUNCTION("""COMPUTED_VALUE"""),200.0)</f>
        <v>200</v>
      </c>
      <c r="Z99" s="28">
        <f t="shared" si="1"/>
        <v>0</v>
      </c>
      <c r="AA99" s="28">
        <f t="shared" si="2"/>
        <v>1</v>
      </c>
      <c r="AB99" s="28">
        <f t="shared" si="3"/>
        <v>1</v>
      </c>
      <c r="AC99" s="28">
        <f t="shared" si="4"/>
        <v>1</v>
      </c>
      <c r="AD99" s="28">
        <f t="shared" si="5"/>
        <v>1</v>
      </c>
      <c r="AE99" s="29">
        <f t="shared" si="6"/>
        <v>4</v>
      </c>
      <c r="AF99" s="28">
        <f t="shared" si="7"/>
        <v>1</v>
      </c>
      <c r="AG99" s="28">
        <f t="shared" si="8"/>
        <v>1</v>
      </c>
      <c r="AH99" s="28">
        <f t="shared" si="9"/>
        <v>1</v>
      </c>
      <c r="AI99" s="28">
        <f t="shared" si="10"/>
        <v>1</v>
      </c>
      <c r="AJ99" s="28">
        <f t="shared" si="11"/>
        <v>1</v>
      </c>
      <c r="AK99" s="29">
        <f t="shared" si="12"/>
        <v>5</v>
      </c>
      <c r="AL99" s="28">
        <f t="shared" si="13"/>
        <v>1</v>
      </c>
      <c r="AM99" s="28">
        <f t="shared" si="14"/>
        <v>1</v>
      </c>
      <c r="AN99" s="28">
        <f t="shared" si="15"/>
        <v>1</v>
      </c>
      <c r="AO99" s="28">
        <f t="shared" si="16"/>
        <v>0</v>
      </c>
      <c r="AP99" s="28">
        <f t="shared" si="17"/>
        <v>1</v>
      </c>
      <c r="AQ99" s="29">
        <f t="shared" si="18"/>
        <v>4</v>
      </c>
      <c r="AR99" s="28">
        <f t="shared" si="19"/>
        <v>1</v>
      </c>
      <c r="AS99" s="28">
        <f t="shared" si="20"/>
        <v>1</v>
      </c>
      <c r="AT99" s="28">
        <f t="shared" si="21"/>
        <v>1</v>
      </c>
      <c r="AU99" s="28">
        <f t="shared" si="22"/>
        <v>1</v>
      </c>
      <c r="AV99" s="28">
        <f t="shared" si="23"/>
        <v>0</v>
      </c>
      <c r="AW99" s="29">
        <f t="shared" si="24"/>
        <v>4</v>
      </c>
      <c r="AX99" s="22"/>
      <c r="AY99" s="26">
        <f t="shared" si="25"/>
        <v>4</v>
      </c>
      <c r="AZ99" s="26">
        <f t="shared" si="26"/>
        <v>5</v>
      </c>
      <c r="BA99" s="26">
        <f t="shared" si="27"/>
        <v>4</v>
      </c>
      <c r="BB99" s="26">
        <f t="shared" si="28"/>
        <v>4</v>
      </c>
      <c r="BC99" s="30">
        <f t="shared" si="29"/>
        <v>85</v>
      </c>
    </row>
    <row r="100">
      <c r="A100" s="31">
        <f>IFERROR(__xludf.DUMMYFUNCTION("""COMPUTED_VALUE"""),46010.795189930555)</f>
        <v>46010.79519</v>
      </c>
      <c r="B100" s="32" t="str">
        <f>IFERROR(__xludf.DUMMYFUNCTION("""COMPUTED_VALUE"""),"Ratu rafifa putri mulyana ")</f>
        <v>Ratu rafifa putri mulyana </v>
      </c>
      <c r="C100" s="27" t="str">
        <f>IFERROR(__xludf.DUMMYFUNCTION("""COMPUTED_VALUE"""),"D250036")</f>
        <v>D250036</v>
      </c>
      <c r="D100" s="27" t="str">
        <f>IFERROR(__xludf.DUMMYFUNCTION("""COMPUTED_VALUE"""),"MTs Putri")</f>
        <v>MTs Putri</v>
      </c>
      <c r="E100" s="27" t="str">
        <f>IFERROR(__xludf.DUMMYFUNCTION("""COMPUTED_VALUE"""),"Ya")</f>
        <v>Ya</v>
      </c>
      <c r="F100" s="32" t="str">
        <f>IFERROR(__xludf.DUMMYFUNCTION("""COMPUTED_VALUE"""),"B. Aku bersaksi bahwa tidak ada tuhan yang berhak di sembah kecuali Allah")</f>
        <v>B. Aku bersaksi bahwa tidak ada tuhan yang berhak di sembah kecuali Allah</v>
      </c>
      <c r="G100" s="32">
        <f>IFERROR(__xludf.DUMMYFUNCTION("""COMPUTED_VALUE"""),6.0)</f>
        <v>6</v>
      </c>
      <c r="H100" s="32" t="str">
        <f>IFERROR(__xludf.DUMMYFUNCTION("""COMPUTED_VALUE"""),"1 Syawwal")</f>
        <v>1 Syawwal</v>
      </c>
      <c r="I100" s="32" t="str">
        <f>IFERROR(__xludf.DUMMYFUNCTION("""COMPUTED_VALUE"""),"Al 'Alaq")</f>
        <v>Al 'Alaq</v>
      </c>
      <c r="J100" s="32" t="str">
        <f>IFERROR(__xludf.DUMMYFUNCTION("""COMPUTED_VALUE"""),"Ali Bin Abi Thalib")</f>
        <v>Ali Bin Abi Thalib</v>
      </c>
      <c r="K100" s="32" t="str">
        <f>IFERROR(__xludf.DUMMYFUNCTION("""COMPUTED_VALUE"""),"giat")</f>
        <v>giat</v>
      </c>
      <c r="L100" s="32" t="str">
        <f>IFERROR(__xludf.DUMMYFUNCTION("""COMPUTED_VALUE"""),"dan")</f>
        <v>dan</v>
      </c>
      <c r="M100" s="32" t="str">
        <f>IFERROR(__xludf.DUMMYFUNCTION("""COMPUTED_VALUE"""),"Hafsah mengatakan bahwa ia ingin belajar di pesantren.")</f>
        <v>Hafsah mengatakan bahwa ia ingin belajar di pesantren.</v>
      </c>
      <c r="N100" s="32" t="str">
        <f>IFERROR(__xludf.DUMMYFUNCTION("""COMPUTED_VALUE"""),"Kalimat 2")</f>
        <v>Kalimat 2</v>
      </c>
      <c r="O100" s="32" t="str">
        <f>IFERROR(__xludf.DUMMYFUNCTION("""COMPUTED_VALUE"""),"cahaya")</f>
        <v>cahaya</v>
      </c>
      <c r="P100" s="32" t="str">
        <f>IFERROR(__xludf.DUMMYFUNCTION("""COMPUTED_VALUE"""),"Parasitisme")</f>
        <v>Parasitisme</v>
      </c>
      <c r="Q100" s="32" t="str">
        <f>IFERROR(__xludf.DUMMYFUNCTION("""COMPUTED_VALUE"""),"Angin")</f>
        <v>Angin</v>
      </c>
      <c r="R100" s="32" t="str">
        <f>IFERROR(__xludf.DUMMYFUNCTION("""COMPUTED_VALUE"""),"belalang dan ular")</f>
        <v>belalang dan ular</v>
      </c>
      <c r="S100" s="32" t="str">
        <f>IFERROR(__xludf.DUMMYFUNCTION("""COMPUTED_VALUE"""),"Menghasilkan klorofil")</f>
        <v>Menghasilkan klorofil</v>
      </c>
      <c r="T100" s="32" t="str">
        <f>IFERROR(__xludf.DUMMYFUNCTION("""COMPUTED_VALUE"""),"Kelinci")</f>
        <v>Kelinci</v>
      </c>
      <c r="U100" s="32">
        <f>IFERROR(__xludf.DUMMYFUNCTION("""COMPUTED_VALUE"""),64.0)</f>
        <v>64</v>
      </c>
      <c r="V100" s="32" t="str">
        <f>IFERROR(__xludf.DUMMYFUNCTION("""COMPUTED_VALUE"""),"3/4")</f>
        <v>3/4</v>
      </c>
      <c r="W100" s="32" t="str">
        <f>IFERROR(__xludf.DUMMYFUNCTION("""COMPUTED_VALUE"""),"1.800 meter")</f>
        <v>1.800 meter</v>
      </c>
      <c r="X100" s="32" t="str">
        <f>IFERROR(__xludf.DUMMYFUNCTION("""COMPUTED_VALUE"""),"22 cm")</f>
        <v>22 cm</v>
      </c>
      <c r="Y100" s="33">
        <f>IFERROR(__xludf.DUMMYFUNCTION("""COMPUTED_VALUE"""),1000.0)</f>
        <v>1000</v>
      </c>
      <c r="Z100" s="28">
        <f t="shared" si="1"/>
        <v>1</v>
      </c>
      <c r="AA100" s="28">
        <f t="shared" si="2"/>
        <v>1</v>
      </c>
      <c r="AB100" s="28">
        <f t="shared" si="3"/>
        <v>1</v>
      </c>
      <c r="AC100" s="28">
        <f t="shared" si="4"/>
        <v>1</v>
      </c>
      <c r="AD100" s="28">
        <f t="shared" si="5"/>
        <v>1</v>
      </c>
      <c r="AE100" s="29">
        <f t="shared" si="6"/>
        <v>5</v>
      </c>
      <c r="AF100" s="28">
        <f t="shared" si="7"/>
        <v>1</v>
      </c>
      <c r="AG100" s="28">
        <f t="shared" si="8"/>
        <v>1</v>
      </c>
      <c r="AH100" s="28">
        <f t="shared" si="9"/>
        <v>1</v>
      </c>
      <c r="AI100" s="28">
        <f t="shared" si="10"/>
        <v>0</v>
      </c>
      <c r="AJ100" s="28">
        <f t="shared" si="11"/>
        <v>1</v>
      </c>
      <c r="AK100" s="29">
        <f t="shared" si="12"/>
        <v>4</v>
      </c>
      <c r="AL100" s="28">
        <f t="shared" si="13"/>
        <v>1</v>
      </c>
      <c r="AM100" s="28">
        <f t="shared" si="14"/>
        <v>1</v>
      </c>
      <c r="AN100" s="28">
        <f t="shared" si="15"/>
        <v>1</v>
      </c>
      <c r="AO100" s="28">
        <f t="shared" si="16"/>
        <v>1</v>
      </c>
      <c r="AP100" s="28">
        <f t="shared" si="17"/>
        <v>1</v>
      </c>
      <c r="AQ100" s="29">
        <f t="shared" si="18"/>
        <v>5</v>
      </c>
      <c r="AR100" s="28">
        <f t="shared" si="19"/>
        <v>0</v>
      </c>
      <c r="AS100" s="28">
        <f t="shared" si="20"/>
        <v>1</v>
      </c>
      <c r="AT100" s="28">
        <f t="shared" si="21"/>
        <v>1</v>
      </c>
      <c r="AU100" s="28">
        <f t="shared" si="22"/>
        <v>1</v>
      </c>
      <c r="AV100" s="28">
        <f t="shared" si="23"/>
        <v>0</v>
      </c>
      <c r="AW100" s="29">
        <f t="shared" si="24"/>
        <v>3</v>
      </c>
      <c r="AX100" s="22"/>
      <c r="AY100" s="26">
        <f t="shared" si="25"/>
        <v>5</v>
      </c>
      <c r="AZ100" s="26">
        <f t="shared" si="26"/>
        <v>4</v>
      </c>
      <c r="BA100" s="26">
        <f t="shared" si="27"/>
        <v>5</v>
      </c>
      <c r="BB100" s="26">
        <f t="shared" si="28"/>
        <v>3</v>
      </c>
      <c r="BC100" s="30">
        <f t="shared" si="29"/>
        <v>85</v>
      </c>
    </row>
    <row r="101">
      <c r="A101" s="27"/>
      <c r="B101" s="32"/>
      <c r="C101" s="27"/>
      <c r="D101" s="27"/>
      <c r="E101" s="27"/>
      <c r="F101" s="32"/>
      <c r="G101" s="32"/>
      <c r="H101" s="32"/>
      <c r="I101" s="32"/>
      <c r="J101" s="32"/>
      <c r="K101" s="32"/>
      <c r="L101" s="32"/>
      <c r="M101" s="32"/>
      <c r="N101" s="32"/>
      <c r="O101" s="32"/>
      <c r="P101" s="32"/>
      <c r="Q101" s="32"/>
      <c r="R101" s="32"/>
      <c r="S101" s="32"/>
      <c r="T101" s="32"/>
      <c r="U101" s="32"/>
      <c r="V101" s="32"/>
      <c r="W101" s="32"/>
      <c r="X101" s="32"/>
      <c r="Y101" s="32"/>
      <c r="Z101" s="28">
        <f t="shared" si="1"/>
        <v>0</v>
      </c>
      <c r="AA101" s="28">
        <f t="shared" si="2"/>
        <v>0</v>
      </c>
      <c r="AB101" s="28">
        <f t="shared" si="3"/>
        <v>0</v>
      </c>
      <c r="AC101" s="28">
        <f t="shared" si="4"/>
        <v>0</v>
      </c>
      <c r="AD101" s="28">
        <f t="shared" si="5"/>
        <v>0</v>
      </c>
      <c r="AE101" s="29">
        <f t="shared" si="6"/>
        <v>0</v>
      </c>
      <c r="AF101" s="28">
        <f t="shared" si="7"/>
        <v>0</v>
      </c>
      <c r="AG101" s="28">
        <f t="shared" si="8"/>
        <v>0</v>
      </c>
      <c r="AH101" s="28">
        <f t="shared" si="9"/>
        <v>0</v>
      </c>
      <c r="AI101" s="28">
        <f t="shared" si="10"/>
        <v>0</v>
      </c>
      <c r="AJ101" s="28">
        <f t="shared" si="11"/>
        <v>0</v>
      </c>
      <c r="AK101" s="29">
        <f t="shared" si="12"/>
        <v>0</v>
      </c>
      <c r="AL101" s="28">
        <f t="shared" si="13"/>
        <v>0</v>
      </c>
      <c r="AM101" s="28">
        <f t="shared" si="14"/>
        <v>0</v>
      </c>
      <c r="AN101" s="28">
        <f t="shared" si="15"/>
        <v>0</v>
      </c>
      <c r="AO101" s="28">
        <f t="shared" si="16"/>
        <v>0</v>
      </c>
      <c r="AP101" s="28">
        <f t="shared" si="17"/>
        <v>0</v>
      </c>
      <c r="AQ101" s="29">
        <f t="shared" si="18"/>
        <v>0</v>
      </c>
      <c r="AR101" s="28">
        <f t="shared" si="19"/>
        <v>0</v>
      </c>
      <c r="AS101" s="28">
        <f t="shared" si="20"/>
        <v>0</v>
      </c>
      <c r="AT101" s="28">
        <f t="shared" si="21"/>
        <v>0</v>
      </c>
      <c r="AU101" s="28">
        <f t="shared" si="22"/>
        <v>0</v>
      </c>
      <c r="AV101" s="28">
        <f t="shared" si="23"/>
        <v>0</v>
      </c>
      <c r="AW101" s="29">
        <f t="shared" si="24"/>
        <v>0</v>
      </c>
      <c r="AX101" s="22"/>
      <c r="AY101" s="26">
        <f t="shared" si="25"/>
        <v>0</v>
      </c>
      <c r="AZ101" s="26">
        <f t="shared" si="26"/>
        <v>0</v>
      </c>
      <c r="BA101" s="26">
        <f t="shared" si="27"/>
        <v>0</v>
      </c>
      <c r="BB101" s="26">
        <f t="shared" si="28"/>
        <v>0</v>
      </c>
      <c r="BC101" s="30">
        <f t="shared" si="29"/>
        <v>0</v>
      </c>
    </row>
    <row r="102">
      <c r="A102" s="27"/>
      <c r="B102" s="32"/>
      <c r="C102" s="27"/>
      <c r="D102" s="27"/>
      <c r="E102" s="27"/>
      <c r="F102" s="32"/>
      <c r="G102" s="32"/>
      <c r="H102" s="32"/>
      <c r="I102" s="32"/>
      <c r="J102" s="32"/>
      <c r="K102" s="32"/>
      <c r="L102" s="32"/>
      <c r="M102" s="32"/>
      <c r="N102" s="32"/>
      <c r="O102" s="32"/>
      <c r="P102" s="32"/>
      <c r="Q102" s="32"/>
      <c r="R102" s="32"/>
      <c r="S102" s="32"/>
      <c r="T102" s="32"/>
      <c r="U102" s="32"/>
      <c r="V102" s="32"/>
      <c r="W102" s="32"/>
      <c r="X102" s="32"/>
      <c r="Y102" s="32"/>
      <c r="Z102" s="28">
        <v>0.0</v>
      </c>
      <c r="AA102" s="28">
        <v>0.0</v>
      </c>
      <c r="AB102" s="28">
        <v>0.0</v>
      </c>
      <c r="AC102" s="28">
        <v>0.0</v>
      </c>
      <c r="AD102" s="28">
        <v>0.0</v>
      </c>
      <c r="AE102" s="29">
        <v>0.0</v>
      </c>
      <c r="AF102" s="28">
        <v>0.0</v>
      </c>
      <c r="AG102" s="28">
        <v>0.0</v>
      </c>
      <c r="AH102" s="28">
        <v>0.0</v>
      </c>
      <c r="AI102" s="28">
        <v>0.0</v>
      </c>
      <c r="AJ102" s="28">
        <v>0.0</v>
      </c>
      <c r="AK102" s="29">
        <v>0.0</v>
      </c>
      <c r="AL102" s="28">
        <v>0.0</v>
      </c>
      <c r="AM102" s="28">
        <v>0.0</v>
      </c>
      <c r="AN102" s="28">
        <f t="shared" si="15"/>
        <v>0</v>
      </c>
      <c r="AO102" s="28">
        <v>0.0</v>
      </c>
      <c r="AP102" s="28">
        <v>0.0</v>
      </c>
      <c r="AQ102" s="29">
        <v>0.0</v>
      </c>
      <c r="AR102" s="28">
        <v>0.0</v>
      </c>
      <c r="AS102" s="28">
        <v>0.0</v>
      </c>
      <c r="AT102" s="28">
        <v>0.0</v>
      </c>
      <c r="AU102" s="28">
        <v>0.0</v>
      </c>
      <c r="AV102" s="28">
        <v>0.0</v>
      </c>
      <c r="AW102" s="29">
        <v>0.0</v>
      </c>
      <c r="AX102" s="22"/>
      <c r="AY102" s="26">
        <v>0.0</v>
      </c>
      <c r="AZ102" s="26">
        <v>0.0</v>
      </c>
      <c r="BA102" s="26">
        <v>0.0</v>
      </c>
      <c r="BB102" s="26">
        <v>0.0</v>
      </c>
      <c r="BC102" s="30">
        <v>0.0</v>
      </c>
    </row>
    <row r="103">
      <c r="A103" s="27"/>
      <c r="B103" s="32"/>
      <c r="C103" s="27"/>
      <c r="D103" s="27"/>
      <c r="E103" s="27"/>
      <c r="F103" s="32"/>
      <c r="G103" s="32"/>
      <c r="H103" s="32"/>
      <c r="I103" s="32"/>
      <c r="J103" s="32"/>
      <c r="K103" s="32"/>
      <c r="L103" s="32"/>
      <c r="M103" s="32"/>
      <c r="N103" s="32"/>
      <c r="O103" s="32"/>
      <c r="P103" s="32"/>
      <c r="Q103" s="32"/>
      <c r="R103" s="32"/>
      <c r="S103" s="32"/>
      <c r="T103" s="32"/>
      <c r="U103" s="32"/>
      <c r="V103" s="32"/>
      <c r="W103" s="32"/>
      <c r="X103" s="32"/>
      <c r="Y103" s="32"/>
      <c r="Z103" s="28">
        <v>0.0</v>
      </c>
      <c r="AA103" s="28">
        <v>0.0</v>
      </c>
      <c r="AB103" s="28">
        <v>0.0</v>
      </c>
      <c r="AC103" s="28">
        <v>0.0</v>
      </c>
      <c r="AD103" s="28">
        <v>0.0</v>
      </c>
      <c r="AE103" s="29">
        <v>0.0</v>
      </c>
      <c r="AF103" s="28">
        <v>0.0</v>
      </c>
      <c r="AG103" s="28">
        <v>0.0</v>
      </c>
      <c r="AH103" s="28">
        <v>0.0</v>
      </c>
      <c r="AI103" s="28">
        <v>0.0</v>
      </c>
      <c r="AJ103" s="28">
        <v>0.0</v>
      </c>
      <c r="AK103" s="29">
        <v>0.0</v>
      </c>
      <c r="AL103" s="28">
        <v>0.0</v>
      </c>
      <c r="AM103" s="28">
        <v>0.0</v>
      </c>
      <c r="AN103" s="28">
        <f t="shared" si="15"/>
        <v>0</v>
      </c>
      <c r="AO103" s="28">
        <v>0.0</v>
      </c>
      <c r="AP103" s="28">
        <v>0.0</v>
      </c>
      <c r="AQ103" s="29">
        <v>0.0</v>
      </c>
      <c r="AR103" s="28">
        <v>0.0</v>
      </c>
      <c r="AS103" s="28">
        <v>0.0</v>
      </c>
      <c r="AT103" s="28">
        <v>0.0</v>
      </c>
      <c r="AU103" s="28">
        <v>0.0</v>
      </c>
      <c r="AV103" s="28">
        <v>0.0</v>
      </c>
      <c r="AW103" s="29">
        <v>0.0</v>
      </c>
      <c r="AX103" s="22"/>
      <c r="AY103" s="26">
        <v>0.0</v>
      </c>
      <c r="AZ103" s="26">
        <v>0.0</v>
      </c>
      <c r="BA103" s="26">
        <v>0.0</v>
      </c>
      <c r="BB103" s="26">
        <v>0.0</v>
      </c>
      <c r="BC103" s="30">
        <v>0.0</v>
      </c>
    </row>
    <row r="104">
      <c r="A104" s="27"/>
      <c r="B104" s="32"/>
      <c r="C104" s="27"/>
      <c r="D104" s="27"/>
      <c r="E104" s="27"/>
      <c r="F104" s="32"/>
      <c r="G104" s="32"/>
      <c r="H104" s="32"/>
      <c r="I104" s="32"/>
      <c r="J104" s="32"/>
      <c r="K104" s="32"/>
      <c r="L104" s="32"/>
      <c r="M104" s="32"/>
      <c r="N104" s="32"/>
      <c r="O104" s="32"/>
      <c r="P104" s="32"/>
      <c r="Q104" s="32"/>
      <c r="R104" s="32"/>
      <c r="S104" s="32"/>
      <c r="T104" s="32"/>
      <c r="U104" s="32"/>
      <c r="V104" s="32"/>
      <c r="W104" s="32"/>
      <c r="X104" s="32"/>
      <c r="Y104" s="32"/>
      <c r="Z104" s="28">
        <v>0.0</v>
      </c>
      <c r="AA104" s="28">
        <v>0.0</v>
      </c>
      <c r="AB104" s="28">
        <v>0.0</v>
      </c>
      <c r="AC104" s="28">
        <v>0.0</v>
      </c>
      <c r="AD104" s="28">
        <v>0.0</v>
      </c>
      <c r="AE104" s="29">
        <v>0.0</v>
      </c>
      <c r="AF104" s="28">
        <v>0.0</v>
      </c>
      <c r="AG104" s="28">
        <v>0.0</v>
      </c>
      <c r="AH104" s="28">
        <v>0.0</v>
      </c>
      <c r="AI104" s="28">
        <v>0.0</v>
      </c>
      <c r="AJ104" s="28">
        <v>0.0</v>
      </c>
      <c r="AK104" s="29">
        <v>0.0</v>
      </c>
      <c r="AL104" s="28">
        <v>0.0</v>
      </c>
      <c r="AM104" s="28">
        <v>0.0</v>
      </c>
      <c r="AN104" s="28">
        <f t="shared" si="15"/>
        <v>0</v>
      </c>
      <c r="AO104" s="28">
        <v>0.0</v>
      </c>
      <c r="AP104" s="28">
        <v>0.0</v>
      </c>
      <c r="AQ104" s="29">
        <v>0.0</v>
      </c>
      <c r="AR104" s="28">
        <v>0.0</v>
      </c>
      <c r="AS104" s="28">
        <v>0.0</v>
      </c>
      <c r="AT104" s="28">
        <v>0.0</v>
      </c>
      <c r="AU104" s="28">
        <v>0.0</v>
      </c>
      <c r="AV104" s="28">
        <v>0.0</v>
      </c>
      <c r="AW104" s="29">
        <v>0.0</v>
      </c>
      <c r="AX104" s="22"/>
      <c r="AY104" s="26">
        <v>0.0</v>
      </c>
      <c r="AZ104" s="26">
        <v>0.0</v>
      </c>
      <c r="BA104" s="26">
        <v>0.0</v>
      </c>
      <c r="BB104" s="26">
        <v>0.0</v>
      </c>
      <c r="BC104" s="30">
        <v>0.0</v>
      </c>
    </row>
    <row r="105">
      <c r="A105" s="27"/>
      <c r="B105" s="32"/>
      <c r="C105" s="27"/>
      <c r="D105" s="27"/>
      <c r="E105" s="27"/>
      <c r="F105" s="32"/>
      <c r="G105" s="32"/>
      <c r="H105" s="32"/>
      <c r="I105" s="32"/>
      <c r="J105" s="32"/>
      <c r="K105" s="32"/>
      <c r="L105" s="32"/>
      <c r="M105" s="32"/>
      <c r="N105" s="32"/>
      <c r="O105" s="32"/>
      <c r="P105" s="32"/>
      <c r="Q105" s="32"/>
      <c r="R105" s="32"/>
      <c r="S105" s="32"/>
      <c r="T105" s="32"/>
      <c r="U105" s="32"/>
      <c r="V105" s="32"/>
      <c r="W105" s="32"/>
      <c r="X105" s="32"/>
      <c r="Y105" s="32"/>
      <c r="Z105" s="28">
        <v>0.0</v>
      </c>
      <c r="AA105" s="28">
        <v>0.0</v>
      </c>
      <c r="AB105" s="28">
        <v>0.0</v>
      </c>
      <c r="AC105" s="28">
        <v>0.0</v>
      </c>
      <c r="AD105" s="28">
        <v>0.0</v>
      </c>
      <c r="AE105" s="29">
        <v>0.0</v>
      </c>
      <c r="AF105" s="28">
        <v>0.0</v>
      </c>
      <c r="AG105" s="28">
        <v>0.0</v>
      </c>
      <c r="AH105" s="28">
        <v>0.0</v>
      </c>
      <c r="AI105" s="28">
        <v>0.0</v>
      </c>
      <c r="AJ105" s="28">
        <v>0.0</v>
      </c>
      <c r="AK105" s="29">
        <v>0.0</v>
      </c>
      <c r="AL105" s="28">
        <v>0.0</v>
      </c>
      <c r="AM105" s="28">
        <v>0.0</v>
      </c>
      <c r="AN105" s="28">
        <f t="shared" si="15"/>
        <v>0</v>
      </c>
      <c r="AO105" s="28">
        <v>0.0</v>
      </c>
      <c r="AP105" s="28">
        <v>0.0</v>
      </c>
      <c r="AQ105" s="29">
        <v>0.0</v>
      </c>
      <c r="AR105" s="28">
        <v>0.0</v>
      </c>
      <c r="AS105" s="28">
        <v>0.0</v>
      </c>
      <c r="AT105" s="28">
        <v>0.0</v>
      </c>
      <c r="AU105" s="28">
        <v>0.0</v>
      </c>
      <c r="AV105" s="28">
        <v>0.0</v>
      </c>
      <c r="AW105" s="29">
        <v>0.0</v>
      </c>
      <c r="AX105" s="22"/>
      <c r="AY105" s="26">
        <v>0.0</v>
      </c>
      <c r="AZ105" s="26">
        <v>0.0</v>
      </c>
      <c r="BA105" s="26">
        <v>0.0</v>
      </c>
      <c r="BB105" s="26">
        <v>0.0</v>
      </c>
      <c r="BC105" s="30">
        <v>0.0</v>
      </c>
    </row>
    <row r="106">
      <c r="A106" s="27"/>
      <c r="B106" s="32"/>
      <c r="C106" s="27"/>
      <c r="D106" s="27"/>
      <c r="E106" s="27"/>
      <c r="F106" s="32"/>
      <c r="G106" s="32"/>
      <c r="H106" s="32"/>
      <c r="I106" s="32"/>
      <c r="J106" s="32"/>
      <c r="K106" s="32"/>
      <c r="L106" s="32"/>
      <c r="M106" s="32"/>
      <c r="N106" s="32"/>
      <c r="O106" s="32"/>
      <c r="P106" s="32"/>
      <c r="Q106" s="32"/>
      <c r="R106" s="32"/>
      <c r="S106" s="32"/>
      <c r="T106" s="32"/>
      <c r="U106" s="32"/>
      <c r="V106" s="32"/>
      <c r="W106" s="32"/>
      <c r="X106" s="32"/>
      <c r="Y106" s="32"/>
      <c r="Z106" s="28">
        <v>0.0</v>
      </c>
      <c r="AA106" s="28">
        <v>0.0</v>
      </c>
      <c r="AB106" s="28">
        <v>0.0</v>
      </c>
      <c r="AC106" s="28">
        <v>0.0</v>
      </c>
      <c r="AD106" s="28">
        <v>0.0</v>
      </c>
      <c r="AE106" s="29">
        <v>0.0</v>
      </c>
      <c r="AF106" s="28">
        <v>0.0</v>
      </c>
      <c r="AG106" s="28">
        <v>0.0</v>
      </c>
      <c r="AH106" s="28">
        <v>0.0</v>
      </c>
      <c r="AI106" s="28">
        <v>0.0</v>
      </c>
      <c r="AJ106" s="28">
        <v>0.0</v>
      </c>
      <c r="AK106" s="29">
        <v>0.0</v>
      </c>
      <c r="AL106" s="28">
        <v>0.0</v>
      </c>
      <c r="AM106" s="28">
        <v>0.0</v>
      </c>
      <c r="AN106" s="28">
        <f t="shared" si="15"/>
        <v>0</v>
      </c>
      <c r="AO106" s="28">
        <v>0.0</v>
      </c>
      <c r="AP106" s="28">
        <v>0.0</v>
      </c>
      <c r="AQ106" s="29">
        <v>0.0</v>
      </c>
      <c r="AR106" s="28">
        <v>0.0</v>
      </c>
      <c r="AS106" s="28">
        <v>0.0</v>
      </c>
      <c r="AT106" s="28">
        <v>0.0</v>
      </c>
      <c r="AU106" s="28">
        <v>0.0</v>
      </c>
      <c r="AV106" s="28">
        <v>0.0</v>
      </c>
      <c r="AW106" s="29">
        <v>0.0</v>
      </c>
      <c r="AX106" s="22"/>
      <c r="AY106" s="26">
        <v>0.0</v>
      </c>
      <c r="AZ106" s="26">
        <v>0.0</v>
      </c>
      <c r="BA106" s="26">
        <v>0.0</v>
      </c>
      <c r="BB106" s="26">
        <v>0.0</v>
      </c>
      <c r="BC106" s="30">
        <v>0.0</v>
      </c>
    </row>
    <row r="107">
      <c r="A107" s="27"/>
      <c r="B107" s="32"/>
      <c r="C107" s="27"/>
      <c r="D107" s="27"/>
      <c r="E107" s="27"/>
      <c r="F107" s="32"/>
      <c r="G107" s="32"/>
      <c r="H107" s="32"/>
      <c r="I107" s="32"/>
      <c r="J107" s="32"/>
      <c r="K107" s="32"/>
      <c r="L107" s="32"/>
      <c r="M107" s="32"/>
      <c r="N107" s="32"/>
      <c r="O107" s="32"/>
      <c r="P107" s="32"/>
      <c r="Q107" s="32"/>
      <c r="R107" s="32"/>
      <c r="S107" s="32"/>
      <c r="T107" s="32"/>
      <c r="U107" s="32"/>
      <c r="V107" s="32"/>
      <c r="W107" s="32"/>
      <c r="X107" s="32"/>
      <c r="Y107" s="32"/>
      <c r="Z107" s="28">
        <v>0.0</v>
      </c>
      <c r="AA107" s="28">
        <v>0.0</v>
      </c>
      <c r="AB107" s="28">
        <v>0.0</v>
      </c>
      <c r="AC107" s="28">
        <v>0.0</v>
      </c>
      <c r="AD107" s="28">
        <v>0.0</v>
      </c>
      <c r="AE107" s="29">
        <v>0.0</v>
      </c>
      <c r="AF107" s="28">
        <v>0.0</v>
      </c>
      <c r="AG107" s="28">
        <v>0.0</v>
      </c>
      <c r="AH107" s="28">
        <v>0.0</v>
      </c>
      <c r="AI107" s="28">
        <v>0.0</v>
      </c>
      <c r="AJ107" s="28">
        <v>0.0</v>
      </c>
      <c r="AK107" s="29">
        <v>0.0</v>
      </c>
      <c r="AL107" s="28">
        <v>0.0</v>
      </c>
      <c r="AM107" s="28">
        <v>0.0</v>
      </c>
      <c r="AN107" s="28">
        <f t="shared" si="15"/>
        <v>0</v>
      </c>
      <c r="AO107" s="28">
        <v>0.0</v>
      </c>
      <c r="AP107" s="28">
        <v>0.0</v>
      </c>
      <c r="AQ107" s="29">
        <v>0.0</v>
      </c>
      <c r="AR107" s="28">
        <v>0.0</v>
      </c>
      <c r="AS107" s="28">
        <v>0.0</v>
      </c>
      <c r="AT107" s="28">
        <v>0.0</v>
      </c>
      <c r="AU107" s="28">
        <v>0.0</v>
      </c>
      <c r="AV107" s="28">
        <v>0.0</v>
      </c>
      <c r="AW107" s="29">
        <v>0.0</v>
      </c>
      <c r="AX107" s="22"/>
      <c r="AY107" s="26">
        <v>0.0</v>
      </c>
      <c r="AZ107" s="26">
        <v>0.0</v>
      </c>
      <c r="BA107" s="26">
        <v>0.0</v>
      </c>
      <c r="BB107" s="26">
        <v>0.0</v>
      </c>
      <c r="BC107" s="30">
        <v>0.0</v>
      </c>
    </row>
    <row r="108">
      <c r="A108" s="27"/>
      <c r="B108" s="32"/>
      <c r="C108" s="27"/>
      <c r="D108" s="27"/>
      <c r="E108" s="27"/>
      <c r="F108" s="32"/>
      <c r="G108" s="32"/>
      <c r="H108" s="32"/>
      <c r="I108" s="32"/>
      <c r="J108" s="32"/>
      <c r="K108" s="32"/>
      <c r="L108" s="32"/>
      <c r="M108" s="32"/>
      <c r="N108" s="32"/>
      <c r="O108" s="32"/>
      <c r="P108" s="32"/>
      <c r="Q108" s="32"/>
      <c r="R108" s="32"/>
      <c r="S108" s="32"/>
      <c r="T108" s="32"/>
      <c r="U108" s="32"/>
      <c r="V108" s="32"/>
      <c r="W108" s="32"/>
      <c r="X108" s="32"/>
      <c r="Y108" s="32"/>
      <c r="Z108" s="28">
        <v>0.0</v>
      </c>
      <c r="AA108" s="28">
        <v>0.0</v>
      </c>
      <c r="AB108" s="28">
        <v>0.0</v>
      </c>
      <c r="AC108" s="28">
        <v>0.0</v>
      </c>
      <c r="AD108" s="28">
        <v>0.0</v>
      </c>
      <c r="AE108" s="29">
        <v>0.0</v>
      </c>
      <c r="AF108" s="28">
        <v>0.0</v>
      </c>
      <c r="AG108" s="28">
        <v>0.0</v>
      </c>
      <c r="AH108" s="28">
        <v>0.0</v>
      </c>
      <c r="AI108" s="28">
        <v>0.0</v>
      </c>
      <c r="AJ108" s="28">
        <v>0.0</v>
      </c>
      <c r="AK108" s="29">
        <v>0.0</v>
      </c>
      <c r="AL108" s="28">
        <v>0.0</v>
      </c>
      <c r="AM108" s="28">
        <v>0.0</v>
      </c>
      <c r="AN108" s="28">
        <f t="shared" si="15"/>
        <v>0</v>
      </c>
      <c r="AO108" s="28">
        <v>0.0</v>
      </c>
      <c r="AP108" s="28">
        <v>0.0</v>
      </c>
      <c r="AQ108" s="29">
        <v>0.0</v>
      </c>
      <c r="AR108" s="28">
        <v>0.0</v>
      </c>
      <c r="AS108" s="28">
        <v>0.0</v>
      </c>
      <c r="AT108" s="28">
        <v>0.0</v>
      </c>
      <c r="AU108" s="28">
        <v>0.0</v>
      </c>
      <c r="AV108" s="28">
        <v>0.0</v>
      </c>
      <c r="AW108" s="29">
        <v>0.0</v>
      </c>
      <c r="AX108" s="22"/>
      <c r="AY108" s="26">
        <v>0.0</v>
      </c>
      <c r="AZ108" s="26">
        <v>0.0</v>
      </c>
      <c r="BA108" s="26">
        <v>0.0</v>
      </c>
      <c r="BB108" s="26">
        <v>0.0</v>
      </c>
      <c r="BC108" s="30">
        <v>0.0</v>
      </c>
    </row>
    <row r="109">
      <c r="A109" s="27"/>
      <c r="B109" s="32"/>
      <c r="C109" s="27"/>
      <c r="D109" s="27"/>
      <c r="E109" s="27"/>
      <c r="F109" s="32"/>
      <c r="G109" s="32"/>
      <c r="H109" s="32"/>
      <c r="I109" s="32"/>
      <c r="J109" s="32"/>
      <c r="K109" s="32"/>
      <c r="L109" s="32"/>
      <c r="M109" s="32"/>
      <c r="N109" s="32"/>
      <c r="O109" s="32"/>
      <c r="P109" s="32"/>
      <c r="Q109" s="32"/>
      <c r="R109" s="32"/>
      <c r="S109" s="32"/>
      <c r="T109" s="32"/>
      <c r="U109" s="32"/>
      <c r="V109" s="32"/>
      <c r="W109" s="32"/>
      <c r="X109" s="32"/>
      <c r="Y109" s="32"/>
      <c r="Z109" s="28">
        <v>0.0</v>
      </c>
      <c r="AA109" s="28">
        <v>0.0</v>
      </c>
      <c r="AB109" s="28">
        <v>0.0</v>
      </c>
      <c r="AC109" s="28">
        <v>0.0</v>
      </c>
      <c r="AD109" s="28">
        <v>0.0</v>
      </c>
      <c r="AE109" s="29">
        <v>0.0</v>
      </c>
      <c r="AF109" s="28">
        <v>0.0</v>
      </c>
      <c r="AG109" s="28">
        <v>0.0</v>
      </c>
      <c r="AH109" s="28">
        <v>0.0</v>
      </c>
      <c r="AI109" s="28">
        <v>0.0</v>
      </c>
      <c r="AJ109" s="28">
        <v>0.0</v>
      </c>
      <c r="AK109" s="29">
        <v>0.0</v>
      </c>
      <c r="AL109" s="28">
        <v>0.0</v>
      </c>
      <c r="AM109" s="28">
        <v>0.0</v>
      </c>
      <c r="AN109" s="28">
        <f t="shared" si="15"/>
        <v>0</v>
      </c>
      <c r="AO109" s="28">
        <v>0.0</v>
      </c>
      <c r="AP109" s="28">
        <v>0.0</v>
      </c>
      <c r="AQ109" s="29">
        <v>0.0</v>
      </c>
      <c r="AR109" s="28">
        <v>0.0</v>
      </c>
      <c r="AS109" s="28">
        <v>0.0</v>
      </c>
      <c r="AT109" s="28">
        <v>0.0</v>
      </c>
      <c r="AU109" s="28">
        <v>0.0</v>
      </c>
      <c r="AV109" s="28">
        <v>0.0</v>
      </c>
      <c r="AW109" s="29">
        <v>0.0</v>
      </c>
      <c r="AX109" s="22"/>
      <c r="AY109" s="26">
        <v>0.0</v>
      </c>
      <c r="AZ109" s="26">
        <v>0.0</v>
      </c>
      <c r="BA109" s="26">
        <v>0.0</v>
      </c>
      <c r="BB109" s="26">
        <v>0.0</v>
      </c>
      <c r="BC109" s="30">
        <v>0.0</v>
      </c>
    </row>
    <row r="110">
      <c r="A110" s="27"/>
      <c r="B110" s="32"/>
      <c r="C110" s="27"/>
      <c r="D110" s="27"/>
      <c r="E110" s="27"/>
      <c r="F110" s="32"/>
      <c r="G110" s="32"/>
      <c r="H110" s="32"/>
      <c r="I110" s="32"/>
      <c r="J110" s="32"/>
      <c r="K110" s="32"/>
      <c r="L110" s="32"/>
      <c r="M110" s="32"/>
      <c r="N110" s="32"/>
      <c r="O110" s="32"/>
      <c r="P110" s="32"/>
      <c r="Q110" s="32"/>
      <c r="R110" s="32"/>
      <c r="S110" s="32"/>
      <c r="T110" s="32"/>
      <c r="U110" s="32"/>
      <c r="V110" s="32"/>
      <c r="W110" s="32"/>
      <c r="X110" s="32"/>
      <c r="Y110" s="32"/>
      <c r="Z110" s="28">
        <v>0.0</v>
      </c>
      <c r="AA110" s="28">
        <v>0.0</v>
      </c>
      <c r="AB110" s="28">
        <v>0.0</v>
      </c>
      <c r="AC110" s="28">
        <v>0.0</v>
      </c>
      <c r="AD110" s="28">
        <v>0.0</v>
      </c>
      <c r="AE110" s="29">
        <v>0.0</v>
      </c>
      <c r="AF110" s="28">
        <v>0.0</v>
      </c>
      <c r="AG110" s="28">
        <v>0.0</v>
      </c>
      <c r="AH110" s="28">
        <v>0.0</v>
      </c>
      <c r="AI110" s="28">
        <v>0.0</v>
      </c>
      <c r="AJ110" s="28">
        <v>0.0</v>
      </c>
      <c r="AK110" s="29">
        <v>0.0</v>
      </c>
      <c r="AL110" s="28">
        <v>0.0</v>
      </c>
      <c r="AM110" s="28">
        <v>0.0</v>
      </c>
      <c r="AN110" s="28">
        <f t="shared" si="15"/>
        <v>0</v>
      </c>
      <c r="AO110" s="28">
        <v>0.0</v>
      </c>
      <c r="AP110" s="28">
        <v>0.0</v>
      </c>
      <c r="AQ110" s="29">
        <v>0.0</v>
      </c>
      <c r="AR110" s="28">
        <v>0.0</v>
      </c>
      <c r="AS110" s="28">
        <v>0.0</v>
      </c>
      <c r="AT110" s="28">
        <v>0.0</v>
      </c>
      <c r="AU110" s="28">
        <v>0.0</v>
      </c>
      <c r="AV110" s="28">
        <v>0.0</v>
      </c>
      <c r="AW110" s="29">
        <v>0.0</v>
      </c>
      <c r="AX110" s="22"/>
      <c r="AY110" s="26">
        <v>0.0</v>
      </c>
      <c r="AZ110" s="26">
        <v>0.0</v>
      </c>
      <c r="BA110" s="26">
        <v>0.0</v>
      </c>
      <c r="BB110" s="26">
        <v>0.0</v>
      </c>
      <c r="BC110" s="30">
        <v>0.0</v>
      </c>
    </row>
    <row r="111">
      <c r="A111" s="27"/>
      <c r="B111" s="32"/>
      <c r="C111" s="27"/>
      <c r="D111" s="27"/>
      <c r="E111" s="27"/>
      <c r="F111" s="32"/>
      <c r="G111" s="32"/>
      <c r="H111" s="32"/>
      <c r="I111" s="32"/>
      <c r="J111" s="32"/>
      <c r="K111" s="32"/>
      <c r="L111" s="32"/>
      <c r="M111" s="32"/>
      <c r="N111" s="32"/>
      <c r="O111" s="32"/>
      <c r="P111" s="32"/>
      <c r="Q111" s="32"/>
      <c r="R111" s="32"/>
      <c r="S111" s="32"/>
      <c r="T111" s="32"/>
      <c r="U111" s="32"/>
      <c r="V111" s="32"/>
      <c r="W111" s="32"/>
      <c r="X111" s="32"/>
      <c r="Y111" s="32"/>
      <c r="Z111" s="28">
        <v>0.0</v>
      </c>
      <c r="AA111" s="28">
        <v>0.0</v>
      </c>
      <c r="AB111" s="28">
        <v>0.0</v>
      </c>
      <c r="AC111" s="28">
        <v>0.0</v>
      </c>
      <c r="AD111" s="28">
        <v>0.0</v>
      </c>
      <c r="AE111" s="29">
        <v>0.0</v>
      </c>
      <c r="AF111" s="28">
        <v>0.0</v>
      </c>
      <c r="AG111" s="28">
        <v>0.0</v>
      </c>
      <c r="AH111" s="28">
        <v>0.0</v>
      </c>
      <c r="AI111" s="28">
        <v>0.0</v>
      </c>
      <c r="AJ111" s="28">
        <v>0.0</v>
      </c>
      <c r="AK111" s="29">
        <v>0.0</v>
      </c>
      <c r="AL111" s="28">
        <v>0.0</v>
      </c>
      <c r="AM111" s="28">
        <v>0.0</v>
      </c>
      <c r="AN111" s="28">
        <f t="shared" si="15"/>
        <v>0</v>
      </c>
      <c r="AO111" s="28">
        <v>0.0</v>
      </c>
      <c r="AP111" s="28">
        <v>0.0</v>
      </c>
      <c r="AQ111" s="29">
        <v>0.0</v>
      </c>
      <c r="AR111" s="28">
        <v>0.0</v>
      </c>
      <c r="AS111" s="28">
        <v>0.0</v>
      </c>
      <c r="AT111" s="28">
        <v>0.0</v>
      </c>
      <c r="AU111" s="28">
        <v>0.0</v>
      </c>
      <c r="AV111" s="28">
        <v>0.0</v>
      </c>
      <c r="AW111" s="29">
        <v>0.0</v>
      </c>
      <c r="AX111" s="22"/>
      <c r="AY111" s="26">
        <v>0.0</v>
      </c>
      <c r="AZ111" s="26">
        <v>0.0</v>
      </c>
      <c r="BA111" s="26">
        <v>0.0</v>
      </c>
      <c r="BB111" s="26">
        <v>0.0</v>
      </c>
      <c r="BC111" s="30">
        <v>0.0</v>
      </c>
    </row>
    <row r="112">
      <c r="A112" s="27"/>
      <c r="B112" s="32"/>
      <c r="C112" s="27"/>
      <c r="D112" s="27"/>
      <c r="E112" s="27"/>
      <c r="F112" s="32"/>
      <c r="G112" s="32"/>
      <c r="H112" s="32"/>
      <c r="I112" s="32"/>
      <c r="J112" s="32"/>
      <c r="K112" s="32"/>
      <c r="L112" s="32"/>
      <c r="M112" s="32"/>
      <c r="N112" s="32"/>
      <c r="O112" s="32"/>
      <c r="P112" s="32"/>
      <c r="Q112" s="32"/>
      <c r="R112" s="32"/>
      <c r="S112" s="32"/>
      <c r="T112" s="32"/>
      <c r="U112" s="32"/>
      <c r="V112" s="32"/>
      <c r="W112" s="32"/>
      <c r="X112" s="32"/>
      <c r="Y112" s="32"/>
      <c r="Z112" s="28">
        <v>0.0</v>
      </c>
      <c r="AA112" s="28">
        <v>0.0</v>
      </c>
      <c r="AB112" s="28">
        <v>0.0</v>
      </c>
      <c r="AC112" s="28">
        <v>0.0</v>
      </c>
      <c r="AD112" s="28">
        <v>0.0</v>
      </c>
      <c r="AE112" s="29">
        <v>0.0</v>
      </c>
      <c r="AF112" s="28">
        <v>0.0</v>
      </c>
      <c r="AG112" s="28">
        <v>0.0</v>
      </c>
      <c r="AH112" s="28">
        <v>0.0</v>
      </c>
      <c r="AI112" s="28">
        <v>0.0</v>
      </c>
      <c r="AJ112" s="28">
        <v>0.0</v>
      </c>
      <c r="AK112" s="29">
        <v>0.0</v>
      </c>
      <c r="AL112" s="28">
        <v>0.0</v>
      </c>
      <c r="AM112" s="28">
        <v>0.0</v>
      </c>
      <c r="AN112" s="28">
        <f t="shared" si="15"/>
        <v>0</v>
      </c>
      <c r="AO112" s="28">
        <v>0.0</v>
      </c>
      <c r="AP112" s="28">
        <v>0.0</v>
      </c>
      <c r="AQ112" s="29">
        <v>0.0</v>
      </c>
      <c r="AR112" s="28">
        <v>0.0</v>
      </c>
      <c r="AS112" s="28">
        <v>0.0</v>
      </c>
      <c r="AT112" s="28">
        <v>0.0</v>
      </c>
      <c r="AU112" s="28">
        <v>0.0</v>
      </c>
      <c r="AV112" s="28">
        <v>0.0</v>
      </c>
      <c r="AW112" s="29">
        <v>0.0</v>
      </c>
      <c r="AX112" s="22"/>
      <c r="AY112" s="26">
        <v>0.0</v>
      </c>
      <c r="AZ112" s="26">
        <v>0.0</v>
      </c>
      <c r="BA112" s="26">
        <v>0.0</v>
      </c>
      <c r="BB112" s="26">
        <v>0.0</v>
      </c>
      <c r="BC112" s="30">
        <v>0.0</v>
      </c>
    </row>
    <row r="113">
      <c r="A113" s="7"/>
      <c r="B113" s="7"/>
      <c r="C113" s="50"/>
      <c r="D113" s="7"/>
      <c r="E113" s="7"/>
      <c r="F113" s="7"/>
      <c r="G113" s="7"/>
      <c r="H113" s="7"/>
      <c r="I113" s="7"/>
      <c r="J113" s="7"/>
      <c r="K113" s="7"/>
      <c r="L113" s="7"/>
      <c r="M113" s="7"/>
      <c r="N113" s="7"/>
      <c r="O113" s="7"/>
      <c r="P113" s="7"/>
      <c r="Q113" s="7"/>
      <c r="R113" s="7"/>
      <c r="S113" s="7"/>
      <c r="T113" s="7"/>
      <c r="U113" s="7"/>
      <c r="V113" s="7"/>
      <c r="W113" s="7"/>
      <c r="X113" s="7"/>
      <c r="Y113" s="7"/>
    </row>
    <row r="114">
      <c r="A114" s="7"/>
      <c r="B114" s="7"/>
      <c r="C114" s="50"/>
      <c r="D114" s="7"/>
      <c r="E114" s="7"/>
      <c r="F114" s="7"/>
      <c r="G114" s="7"/>
      <c r="H114" s="7"/>
      <c r="I114" s="7"/>
      <c r="J114" s="7"/>
      <c r="K114" s="7"/>
      <c r="L114" s="7"/>
      <c r="M114" s="7"/>
      <c r="N114" s="7"/>
      <c r="O114" s="7"/>
      <c r="P114" s="7"/>
      <c r="Q114" s="7"/>
      <c r="R114" s="7"/>
      <c r="S114" s="7"/>
      <c r="T114" s="7"/>
      <c r="U114" s="7"/>
      <c r="V114" s="7"/>
      <c r="W114" s="7"/>
      <c r="X114" s="7"/>
      <c r="Y114" s="7"/>
    </row>
    <row r="115">
      <c r="A115" s="7"/>
      <c r="B115" s="7"/>
      <c r="C115" s="50"/>
      <c r="D115" s="7"/>
      <c r="E115" s="7"/>
      <c r="F115" s="7"/>
      <c r="G115" s="7"/>
      <c r="H115" s="7"/>
      <c r="I115" s="7"/>
      <c r="J115" s="7"/>
      <c r="K115" s="7"/>
      <c r="L115" s="7"/>
      <c r="M115" s="7"/>
      <c r="N115" s="7"/>
      <c r="O115" s="7"/>
      <c r="P115" s="7"/>
      <c r="Q115" s="7"/>
      <c r="R115" s="7"/>
      <c r="S115" s="7"/>
      <c r="T115" s="7"/>
      <c r="U115" s="7"/>
      <c r="V115" s="7"/>
      <c r="W115" s="7"/>
      <c r="X115" s="7"/>
      <c r="Y115" s="7"/>
    </row>
    <row r="116">
      <c r="A116" s="7"/>
      <c r="B116" s="7"/>
      <c r="C116" s="50"/>
      <c r="D116" s="7"/>
      <c r="E116" s="7"/>
      <c r="F116" s="7"/>
      <c r="G116" s="7"/>
      <c r="H116" s="7"/>
      <c r="I116" s="7"/>
      <c r="J116" s="7"/>
      <c r="K116" s="7"/>
      <c r="L116" s="7"/>
      <c r="M116" s="7"/>
      <c r="N116" s="7"/>
      <c r="O116" s="7"/>
      <c r="P116" s="7"/>
      <c r="Q116" s="7"/>
      <c r="R116" s="7"/>
      <c r="S116" s="7"/>
      <c r="T116" s="7"/>
      <c r="U116" s="7"/>
      <c r="V116" s="7"/>
      <c r="W116" s="7"/>
      <c r="X116" s="7"/>
      <c r="Y116" s="7"/>
    </row>
    <row r="117">
      <c r="A117" s="7"/>
      <c r="B117" s="7"/>
      <c r="C117" s="50"/>
      <c r="D117" s="7"/>
      <c r="E117" s="7"/>
      <c r="F117" s="7"/>
      <c r="G117" s="7"/>
      <c r="H117" s="7"/>
      <c r="I117" s="7"/>
      <c r="J117" s="7"/>
      <c r="K117" s="7"/>
      <c r="L117" s="7"/>
      <c r="M117" s="7"/>
      <c r="N117" s="7"/>
      <c r="O117" s="7"/>
      <c r="P117" s="7"/>
      <c r="Q117" s="7"/>
      <c r="R117" s="7"/>
      <c r="S117" s="7"/>
      <c r="T117" s="7"/>
      <c r="U117" s="7"/>
      <c r="V117" s="7"/>
      <c r="W117" s="7"/>
      <c r="X117" s="7"/>
      <c r="Y117" s="7"/>
    </row>
    <row r="118">
      <c r="A118" s="7"/>
      <c r="B118" s="7"/>
      <c r="C118" s="50"/>
      <c r="D118" s="7"/>
      <c r="E118" s="7"/>
      <c r="F118" s="7"/>
      <c r="G118" s="7"/>
      <c r="H118" s="7"/>
      <c r="I118" s="7"/>
      <c r="J118" s="7"/>
      <c r="K118" s="7"/>
      <c r="L118" s="7"/>
      <c r="M118" s="7"/>
      <c r="N118" s="7"/>
      <c r="O118" s="7"/>
      <c r="P118" s="7"/>
      <c r="Q118" s="7"/>
      <c r="R118" s="7"/>
      <c r="S118" s="7"/>
      <c r="T118" s="7"/>
      <c r="U118" s="7"/>
      <c r="V118" s="7"/>
      <c r="W118" s="7"/>
      <c r="X118" s="7"/>
      <c r="Y118" s="7"/>
    </row>
    <row r="119">
      <c r="A119" s="7"/>
      <c r="B119" s="7"/>
      <c r="C119" s="50"/>
      <c r="D119" s="7"/>
      <c r="E119" s="7"/>
      <c r="F119" s="7"/>
      <c r="G119" s="7"/>
      <c r="H119" s="7"/>
      <c r="I119" s="7"/>
      <c r="J119" s="7"/>
      <c r="K119" s="7"/>
      <c r="L119" s="7"/>
      <c r="M119" s="7"/>
      <c r="N119" s="7"/>
      <c r="O119" s="7"/>
      <c r="P119" s="7"/>
      <c r="Q119" s="7"/>
      <c r="R119" s="7"/>
      <c r="S119" s="7"/>
      <c r="T119" s="7"/>
      <c r="U119" s="7"/>
      <c r="V119" s="7"/>
      <c r="W119" s="7"/>
      <c r="X119" s="7"/>
      <c r="Y119" s="7"/>
    </row>
    <row r="120">
      <c r="A120" s="7"/>
      <c r="B120" s="7"/>
      <c r="C120" s="50"/>
      <c r="D120" s="7"/>
      <c r="E120" s="7"/>
      <c r="F120" s="7"/>
      <c r="G120" s="7"/>
      <c r="H120" s="7"/>
      <c r="I120" s="7"/>
      <c r="J120" s="7"/>
      <c r="K120" s="7"/>
      <c r="L120" s="7"/>
      <c r="M120" s="7"/>
      <c r="N120" s="7"/>
      <c r="O120" s="7"/>
      <c r="P120" s="7"/>
      <c r="Q120" s="7"/>
      <c r="R120" s="7"/>
      <c r="S120" s="7"/>
      <c r="T120" s="7"/>
      <c r="U120" s="7"/>
      <c r="V120" s="7"/>
      <c r="W120" s="7"/>
      <c r="X120" s="7"/>
      <c r="Y120" s="7"/>
    </row>
    <row r="121">
      <c r="A121" s="7"/>
      <c r="B121" s="7"/>
      <c r="C121" s="50"/>
      <c r="D121" s="7"/>
      <c r="E121" s="7"/>
      <c r="F121" s="7"/>
      <c r="G121" s="7"/>
      <c r="H121" s="7"/>
      <c r="I121" s="7"/>
      <c r="J121" s="7"/>
      <c r="K121" s="7"/>
      <c r="L121" s="7"/>
      <c r="M121" s="7"/>
      <c r="N121" s="7"/>
      <c r="O121" s="7"/>
      <c r="P121" s="7"/>
      <c r="Q121" s="7"/>
      <c r="R121" s="7"/>
      <c r="S121" s="7"/>
      <c r="T121" s="7"/>
      <c r="U121" s="7"/>
      <c r="V121" s="7"/>
      <c r="W121" s="7"/>
      <c r="X121" s="7"/>
      <c r="Y121" s="7"/>
    </row>
    <row r="122">
      <c r="A122" s="7"/>
      <c r="B122" s="7"/>
      <c r="C122" s="50"/>
      <c r="D122" s="7"/>
      <c r="E122" s="7"/>
      <c r="F122" s="7"/>
      <c r="G122" s="7"/>
      <c r="H122" s="7"/>
      <c r="I122" s="7"/>
      <c r="J122" s="7"/>
      <c r="K122" s="7"/>
      <c r="L122" s="7"/>
      <c r="M122" s="7"/>
      <c r="N122" s="7"/>
      <c r="O122" s="7"/>
      <c r="P122" s="7"/>
      <c r="Q122" s="7"/>
      <c r="R122" s="7"/>
      <c r="S122" s="7"/>
      <c r="T122" s="7"/>
      <c r="U122" s="7"/>
      <c r="V122" s="7"/>
      <c r="W122" s="7"/>
      <c r="X122" s="7"/>
      <c r="Y122" s="7"/>
    </row>
    <row r="123">
      <c r="A123" s="7"/>
      <c r="B123" s="7"/>
      <c r="C123" s="50"/>
      <c r="D123" s="7"/>
      <c r="E123" s="7"/>
      <c r="F123" s="7"/>
      <c r="G123" s="7"/>
      <c r="H123" s="7"/>
      <c r="I123" s="7"/>
      <c r="J123" s="7"/>
      <c r="K123" s="7"/>
      <c r="L123" s="7"/>
      <c r="M123" s="7"/>
      <c r="N123" s="7"/>
      <c r="O123" s="7"/>
      <c r="P123" s="7"/>
      <c r="Q123" s="7"/>
      <c r="R123" s="7"/>
      <c r="S123" s="7"/>
      <c r="T123" s="7"/>
      <c r="U123" s="7"/>
      <c r="V123" s="7"/>
      <c r="W123" s="7"/>
      <c r="X123" s="7"/>
      <c r="Y123" s="7"/>
    </row>
    <row r="124">
      <c r="A124" s="7"/>
      <c r="B124" s="7"/>
      <c r="C124" s="50"/>
      <c r="D124" s="7"/>
      <c r="E124" s="7"/>
      <c r="F124" s="7"/>
      <c r="G124" s="7"/>
      <c r="H124" s="7"/>
      <c r="I124" s="7"/>
      <c r="J124" s="7"/>
      <c r="K124" s="7"/>
      <c r="L124" s="7"/>
      <c r="M124" s="7"/>
      <c r="N124" s="7"/>
      <c r="O124" s="7"/>
      <c r="P124" s="7"/>
      <c r="Q124" s="7"/>
      <c r="R124" s="7"/>
      <c r="S124" s="7"/>
      <c r="T124" s="7"/>
      <c r="U124" s="7"/>
      <c r="V124" s="7"/>
      <c r="W124" s="7"/>
      <c r="X124" s="7"/>
      <c r="Y124" s="7"/>
    </row>
    <row r="125">
      <c r="A125" s="7"/>
      <c r="B125" s="7"/>
      <c r="C125" s="50"/>
      <c r="D125" s="7"/>
      <c r="E125" s="7"/>
      <c r="F125" s="7"/>
      <c r="G125" s="7"/>
      <c r="H125" s="7"/>
      <c r="I125" s="7"/>
      <c r="J125" s="7"/>
      <c r="K125" s="7"/>
      <c r="L125" s="7"/>
      <c r="M125" s="7"/>
      <c r="N125" s="7"/>
      <c r="O125" s="7"/>
      <c r="P125" s="7"/>
      <c r="Q125" s="7"/>
      <c r="R125" s="7"/>
      <c r="S125" s="7"/>
      <c r="T125" s="7"/>
      <c r="U125" s="7"/>
      <c r="V125" s="7"/>
      <c r="W125" s="7"/>
      <c r="X125" s="7"/>
      <c r="Y125" s="7"/>
    </row>
    <row r="126">
      <c r="A126" s="7"/>
      <c r="B126" s="7"/>
      <c r="C126" s="50"/>
      <c r="D126" s="7"/>
      <c r="E126" s="7"/>
      <c r="F126" s="7"/>
      <c r="G126" s="7"/>
      <c r="H126" s="7"/>
      <c r="I126" s="7"/>
      <c r="J126" s="7"/>
      <c r="K126" s="7"/>
      <c r="L126" s="7"/>
      <c r="M126" s="7"/>
      <c r="N126" s="7"/>
      <c r="O126" s="7"/>
      <c r="P126" s="7"/>
      <c r="Q126" s="7"/>
      <c r="R126" s="7"/>
      <c r="S126" s="7"/>
      <c r="T126" s="7"/>
      <c r="U126" s="7"/>
      <c r="V126" s="7"/>
      <c r="W126" s="7"/>
      <c r="X126" s="7"/>
      <c r="Y126" s="7"/>
    </row>
    <row r="127">
      <c r="A127" s="7"/>
      <c r="B127" s="7"/>
      <c r="C127" s="50"/>
      <c r="D127" s="7"/>
      <c r="E127" s="7"/>
      <c r="F127" s="7"/>
      <c r="G127" s="7"/>
      <c r="H127" s="7"/>
      <c r="I127" s="7"/>
      <c r="J127" s="7"/>
      <c r="K127" s="7"/>
      <c r="L127" s="7"/>
      <c r="M127" s="7"/>
      <c r="N127" s="7"/>
      <c r="O127" s="7"/>
      <c r="P127" s="7"/>
      <c r="Q127" s="7"/>
      <c r="R127" s="7"/>
      <c r="S127" s="7"/>
      <c r="T127" s="7"/>
      <c r="U127" s="7"/>
      <c r="V127" s="7"/>
      <c r="W127" s="7"/>
      <c r="X127" s="7"/>
      <c r="Y127" s="7"/>
    </row>
    <row r="128">
      <c r="A128" s="7"/>
      <c r="B128" s="7"/>
      <c r="C128" s="50"/>
      <c r="D128" s="7"/>
      <c r="E128" s="7"/>
      <c r="F128" s="7"/>
      <c r="G128" s="7"/>
      <c r="H128" s="7"/>
      <c r="I128" s="7"/>
      <c r="J128" s="7"/>
      <c r="K128" s="7"/>
      <c r="L128" s="7"/>
      <c r="M128" s="7"/>
      <c r="N128" s="7"/>
      <c r="O128" s="7"/>
      <c r="P128" s="7"/>
      <c r="Q128" s="7"/>
      <c r="R128" s="7"/>
      <c r="S128" s="7"/>
      <c r="T128" s="7"/>
      <c r="U128" s="7"/>
      <c r="V128" s="7"/>
      <c r="W128" s="7"/>
      <c r="X128" s="7"/>
      <c r="Y128" s="7"/>
    </row>
    <row r="129">
      <c r="A129" s="7"/>
      <c r="B129" s="7"/>
      <c r="C129" s="50"/>
      <c r="D129" s="7"/>
      <c r="E129" s="7"/>
      <c r="F129" s="7"/>
      <c r="G129" s="7"/>
      <c r="H129" s="7"/>
      <c r="I129" s="7"/>
      <c r="J129" s="7"/>
      <c r="K129" s="7"/>
      <c r="L129" s="7"/>
      <c r="M129" s="7"/>
      <c r="N129" s="7"/>
      <c r="O129" s="7"/>
      <c r="P129" s="7"/>
      <c r="Q129" s="7"/>
      <c r="R129" s="7"/>
      <c r="S129" s="7"/>
      <c r="T129" s="7"/>
      <c r="U129" s="7"/>
      <c r="V129" s="7"/>
      <c r="W129" s="7"/>
      <c r="X129" s="7"/>
      <c r="Y129" s="7"/>
    </row>
    <row r="130">
      <c r="A130" s="7"/>
      <c r="B130" s="7"/>
      <c r="C130" s="50"/>
      <c r="D130" s="7"/>
      <c r="E130" s="7"/>
      <c r="F130" s="7"/>
      <c r="G130" s="7"/>
      <c r="H130" s="7"/>
      <c r="I130" s="7"/>
      <c r="J130" s="7"/>
      <c r="K130" s="7"/>
      <c r="L130" s="7"/>
      <c r="M130" s="7"/>
      <c r="N130" s="7"/>
      <c r="O130" s="7"/>
      <c r="P130" s="7"/>
      <c r="Q130" s="7"/>
      <c r="R130" s="7"/>
      <c r="S130" s="7"/>
      <c r="T130" s="7"/>
      <c r="U130" s="7"/>
      <c r="V130" s="7"/>
      <c r="W130" s="7"/>
      <c r="X130" s="7"/>
      <c r="Y130" s="7"/>
    </row>
    <row r="131">
      <c r="A131" s="7"/>
      <c r="B131" s="7"/>
      <c r="C131" s="50"/>
      <c r="D131" s="7"/>
      <c r="E131" s="7"/>
      <c r="F131" s="7"/>
      <c r="G131" s="7"/>
      <c r="H131" s="7"/>
      <c r="I131" s="7"/>
      <c r="J131" s="7"/>
      <c r="K131" s="7"/>
      <c r="L131" s="7"/>
      <c r="M131" s="7"/>
      <c r="N131" s="7"/>
      <c r="O131" s="7"/>
      <c r="P131" s="7"/>
      <c r="Q131" s="7"/>
      <c r="R131" s="7"/>
      <c r="S131" s="7"/>
      <c r="T131" s="7"/>
      <c r="U131" s="7"/>
      <c r="V131" s="7"/>
      <c r="W131" s="7"/>
      <c r="X131" s="7"/>
      <c r="Y131" s="7"/>
    </row>
    <row r="132">
      <c r="A132" s="7"/>
      <c r="B132" s="7"/>
      <c r="C132" s="50"/>
      <c r="D132" s="7"/>
      <c r="E132" s="7"/>
      <c r="F132" s="7"/>
      <c r="G132" s="7"/>
      <c r="H132" s="7"/>
      <c r="I132" s="7"/>
      <c r="J132" s="7"/>
      <c r="K132" s="7"/>
      <c r="L132" s="7"/>
      <c r="M132" s="7"/>
      <c r="N132" s="7"/>
      <c r="O132" s="7"/>
      <c r="P132" s="7"/>
      <c r="Q132" s="7"/>
      <c r="R132" s="7"/>
      <c r="S132" s="7"/>
      <c r="T132" s="7"/>
      <c r="U132" s="7"/>
      <c r="V132" s="7"/>
      <c r="W132" s="7"/>
      <c r="X132" s="7"/>
      <c r="Y132" s="7"/>
    </row>
    <row r="133">
      <c r="A133" s="7"/>
      <c r="B133" s="7"/>
      <c r="C133" s="50"/>
      <c r="D133" s="7"/>
      <c r="E133" s="7"/>
      <c r="F133" s="7"/>
      <c r="G133" s="7"/>
      <c r="H133" s="7"/>
      <c r="I133" s="7"/>
      <c r="J133" s="7"/>
      <c r="K133" s="7"/>
      <c r="L133" s="7"/>
      <c r="M133" s="7"/>
      <c r="N133" s="7"/>
      <c r="O133" s="7"/>
      <c r="P133" s="7"/>
      <c r="Q133" s="7"/>
      <c r="R133" s="7"/>
      <c r="S133" s="7"/>
      <c r="T133" s="7"/>
      <c r="U133" s="7"/>
      <c r="V133" s="7"/>
      <c r="W133" s="7"/>
      <c r="X133" s="7"/>
      <c r="Y133" s="7"/>
    </row>
    <row r="134">
      <c r="A134" s="7"/>
      <c r="B134" s="7"/>
      <c r="C134" s="50"/>
      <c r="D134" s="7"/>
      <c r="E134" s="7"/>
      <c r="F134" s="7"/>
      <c r="G134" s="7"/>
      <c r="H134" s="7"/>
      <c r="I134" s="7"/>
      <c r="J134" s="7"/>
      <c r="K134" s="7"/>
      <c r="L134" s="7"/>
      <c r="M134" s="7"/>
      <c r="N134" s="7"/>
      <c r="O134" s="7"/>
      <c r="P134" s="7"/>
      <c r="Q134" s="7"/>
      <c r="R134" s="7"/>
      <c r="S134" s="7"/>
      <c r="T134" s="7"/>
      <c r="U134" s="7"/>
      <c r="V134" s="7"/>
      <c r="W134" s="7"/>
      <c r="X134" s="7"/>
      <c r="Y134" s="7"/>
    </row>
    <row r="135">
      <c r="A135" s="7"/>
      <c r="B135" s="7"/>
      <c r="C135" s="50"/>
      <c r="D135" s="7"/>
      <c r="E135" s="7"/>
      <c r="F135" s="7"/>
      <c r="G135" s="7"/>
      <c r="H135" s="7"/>
      <c r="I135" s="7"/>
      <c r="J135" s="7"/>
      <c r="K135" s="7"/>
      <c r="L135" s="7"/>
      <c r="M135" s="7"/>
      <c r="N135" s="7"/>
      <c r="O135" s="7"/>
      <c r="P135" s="7"/>
      <c r="Q135" s="7"/>
      <c r="R135" s="7"/>
      <c r="S135" s="7"/>
      <c r="T135" s="7"/>
      <c r="U135" s="7"/>
      <c r="V135" s="7"/>
      <c r="W135" s="7"/>
      <c r="X135" s="7"/>
      <c r="Y135" s="7"/>
    </row>
    <row r="136">
      <c r="A136" s="7"/>
      <c r="B136" s="7"/>
      <c r="C136" s="50"/>
      <c r="D136" s="7"/>
      <c r="E136" s="7"/>
      <c r="F136" s="7"/>
      <c r="G136" s="7"/>
      <c r="H136" s="7"/>
      <c r="I136" s="7"/>
      <c r="J136" s="7"/>
      <c r="K136" s="7"/>
      <c r="L136" s="7"/>
      <c r="M136" s="7"/>
      <c r="N136" s="7"/>
      <c r="O136" s="7"/>
      <c r="P136" s="7"/>
      <c r="Q136" s="7"/>
      <c r="R136" s="7"/>
      <c r="S136" s="7"/>
      <c r="T136" s="7"/>
      <c r="U136" s="7"/>
      <c r="V136" s="7"/>
      <c r="W136" s="7"/>
      <c r="X136" s="7"/>
      <c r="Y136" s="7"/>
    </row>
    <row r="137">
      <c r="A137" s="7"/>
      <c r="B137" s="7"/>
      <c r="C137" s="50"/>
      <c r="D137" s="7"/>
      <c r="E137" s="7"/>
      <c r="F137" s="7"/>
      <c r="G137" s="7"/>
      <c r="H137" s="7"/>
      <c r="I137" s="7"/>
      <c r="J137" s="7"/>
      <c r="K137" s="7"/>
      <c r="L137" s="7"/>
      <c r="M137" s="7"/>
      <c r="N137" s="7"/>
      <c r="O137" s="7"/>
      <c r="P137" s="7"/>
      <c r="Q137" s="7"/>
      <c r="R137" s="7"/>
      <c r="S137" s="7"/>
      <c r="T137" s="7"/>
      <c r="U137" s="7"/>
      <c r="V137" s="7"/>
      <c r="W137" s="7"/>
      <c r="X137" s="7"/>
      <c r="Y137" s="7"/>
    </row>
    <row r="138">
      <c r="A138" s="7"/>
      <c r="B138" s="7"/>
      <c r="C138" s="50"/>
      <c r="D138" s="7"/>
      <c r="E138" s="7"/>
      <c r="F138" s="7"/>
      <c r="G138" s="7"/>
      <c r="H138" s="7"/>
      <c r="I138" s="7"/>
      <c r="J138" s="7"/>
      <c r="K138" s="7"/>
      <c r="L138" s="7"/>
      <c r="M138" s="7"/>
      <c r="N138" s="7"/>
      <c r="O138" s="7"/>
      <c r="P138" s="7"/>
      <c r="Q138" s="7"/>
      <c r="R138" s="7"/>
      <c r="S138" s="7"/>
      <c r="T138" s="7"/>
      <c r="U138" s="7"/>
      <c r="V138" s="7"/>
      <c r="W138" s="7"/>
      <c r="X138" s="7"/>
      <c r="Y138" s="7"/>
    </row>
    <row r="139">
      <c r="A139" s="7"/>
      <c r="B139" s="7"/>
      <c r="C139" s="50"/>
      <c r="D139" s="7"/>
      <c r="E139" s="7"/>
      <c r="F139" s="7"/>
      <c r="G139" s="7"/>
      <c r="H139" s="7"/>
      <c r="I139" s="7"/>
      <c r="J139" s="7"/>
      <c r="K139" s="7"/>
      <c r="L139" s="7"/>
      <c r="M139" s="7"/>
      <c r="N139" s="7"/>
      <c r="O139" s="7"/>
      <c r="P139" s="7"/>
      <c r="Q139" s="7"/>
      <c r="R139" s="7"/>
      <c r="S139" s="7"/>
      <c r="T139" s="7"/>
      <c r="U139" s="7"/>
      <c r="V139" s="7"/>
      <c r="W139" s="7"/>
      <c r="X139" s="7"/>
      <c r="Y139" s="7"/>
    </row>
    <row r="140">
      <c r="A140" s="7"/>
      <c r="B140" s="7"/>
      <c r="C140" s="50"/>
      <c r="D140" s="7"/>
      <c r="E140" s="7"/>
      <c r="F140" s="7"/>
      <c r="G140" s="7"/>
      <c r="H140" s="7"/>
      <c r="I140" s="7"/>
      <c r="J140" s="7"/>
      <c r="K140" s="7"/>
      <c r="L140" s="7"/>
      <c r="M140" s="7"/>
      <c r="N140" s="7"/>
      <c r="O140" s="7"/>
      <c r="P140" s="7"/>
      <c r="Q140" s="7"/>
      <c r="R140" s="7"/>
      <c r="S140" s="7"/>
      <c r="T140" s="7"/>
      <c r="U140" s="7"/>
      <c r="V140" s="7"/>
      <c r="W140" s="7"/>
      <c r="X140" s="7"/>
      <c r="Y140" s="7"/>
    </row>
    <row r="141">
      <c r="A141" s="7"/>
      <c r="B141" s="7"/>
      <c r="C141" s="50"/>
      <c r="D141" s="7"/>
      <c r="E141" s="7"/>
      <c r="F141" s="7"/>
      <c r="G141" s="7"/>
      <c r="H141" s="7"/>
      <c r="I141" s="7"/>
      <c r="J141" s="7"/>
      <c r="K141" s="7"/>
      <c r="L141" s="7"/>
      <c r="M141" s="7"/>
      <c r="N141" s="7"/>
      <c r="O141" s="7"/>
      <c r="P141" s="7"/>
      <c r="Q141" s="7"/>
      <c r="R141" s="7"/>
      <c r="S141" s="7"/>
      <c r="T141" s="7"/>
      <c r="U141" s="7"/>
      <c r="V141" s="7"/>
      <c r="W141" s="7"/>
      <c r="X141" s="7"/>
      <c r="Y141" s="7"/>
    </row>
    <row r="142">
      <c r="A142" s="7"/>
      <c r="B142" s="7"/>
      <c r="C142" s="50"/>
      <c r="D142" s="7"/>
      <c r="E142" s="7"/>
      <c r="F142" s="7"/>
      <c r="G142" s="7"/>
      <c r="H142" s="7"/>
      <c r="I142" s="7"/>
      <c r="J142" s="7"/>
      <c r="K142" s="7"/>
      <c r="L142" s="7"/>
      <c r="M142" s="7"/>
      <c r="N142" s="7"/>
      <c r="O142" s="7"/>
      <c r="P142" s="7"/>
      <c r="Q142" s="7"/>
      <c r="R142" s="7"/>
      <c r="S142" s="7"/>
      <c r="T142" s="7"/>
      <c r="U142" s="7"/>
      <c r="V142" s="7"/>
      <c r="W142" s="7"/>
      <c r="X142" s="7"/>
      <c r="Y142" s="7"/>
    </row>
    <row r="143">
      <c r="A143" s="7"/>
      <c r="B143" s="7"/>
      <c r="C143" s="50"/>
      <c r="D143" s="7"/>
      <c r="E143" s="7"/>
      <c r="F143" s="7"/>
      <c r="G143" s="7"/>
      <c r="H143" s="7"/>
      <c r="I143" s="7"/>
      <c r="J143" s="7"/>
      <c r="K143" s="7"/>
      <c r="L143" s="7"/>
      <c r="M143" s="7"/>
      <c r="N143" s="7"/>
      <c r="O143" s="7"/>
      <c r="P143" s="7"/>
      <c r="Q143" s="7"/>
      <c r="R143" s="7"/>
      <c r="S143" s="7"/>
      <c r="T143" s="7"/>
      <c r="U143" s="7"/>
      <c r="V143" s="7"/>
      <c r="W143" s="7"/>
      <c r="X143" s="7"/>
      <c r="Y143" s="7"/>
    </row>
    <row r="144">
      <c r="A144" s="7"/>
      <c r="B144" s="7"/>
      <c r="C144" s="50"/>
      <c r="D144" s="7"/>
      <c r="E144" s="7"/>
      <c r="F144" s="7"/>
      <c r="G144" s="7"/>
      <c r="H144" s="7"/>
      <c r="I144" s="7"/>
      <c r="J144" s="7"/>
      <c r="K144" s="7"/>
      <c r="L144" s="7"/>
      <c r="M144" s="7"/>
      <c r="N144" s="7"/>
      <c r="O144" s="7"/>
      <c r="P144" s="7"/>
      <c r="Q144" s="7"/>
      <c r="R144" s="7"/>
      <c r="S144" s="7"/>
      <c r="T144" s="7"/>
      <c r="U144" s="7"/>
      <c r="V144" s="7"/>
      <c r="W144" s="7"/>
      <c r="X144" s="7"/>
      <c r="Y144" s="7"/>
    </row>
    <row r="145">
      <c r="A145" s="7"/>
      <c r="B145" s="7"/>
      <c r="C145" s="50"/>
      <c r="D145" s="7"/>
      <c r="E145" s="7"/>
      <c r="F145" s="7"/>
      <c r="G145" s="7"/>
      <c r="H145" s="7"/>
      <c r="I145" s="7"/>
      <c r="J145" s="7"/>
      <c r="K145" s="7"/>
      <c r="L145" s="7"/>
      <c r="M145" s="7"/>
      <c r="N145" s="7"/>
      <c r="O145" s="7"/>
      <c r="P145" s="7"/>
      <c r="Q145" s="7"/>
      <c r="R145" s="7"/>
      <c r="S145" s="7"/>
      <c r="T145" s="7"/>
      <c r="U145" s="7"/>
      <c r="V145" s="7"/>
      <c r="W145" s="7"/>
      <c r="X145" s="7"/>
      <c r="Y145" s="7"/>
    </row>
    <row r="146">
      <c r="A146" s="7"/>
      <c r="B146" s="7"/>
      <c r="C146" s="50"/>
      <c r="D146" s="7"/>
      <c r="E146" s="7"/>
      <c r="F146" s="7"/>
      <c r="G146" s="7"/>
      <c r="H146" s="7"/>
      <c r="I146" s="7"/>
      <c r="J146" s="7"/>
      <c r="K146" s="7"/>
      <c r="L146" s="7"/>
      <c r="M146" s="7"/>
      <c r="N146" s="7"/>
      <c r="O146" s="7"/>
      <c r="P146" s="7"/>
      <c r="Q146" s="7"/>
      <c r="R146" s="7"/>
      <c r="S146" s="7"/>
      <c r="T146" s="7"/>
      <c r="U146" s="7"/>
      <c r="V146" s="7"/>
      <c r="W146" s="7"/>
      <c r="X146" s="7"/>
      <c r="Y146" s="7"/>
    </row>
    <row r="147">
      <c r="A147" s="7"/>
      <c r="B147" s="7"/>
      <c r="C147" s="50"/>
      <c r="D147" s="7"/>
      <c r="E147" s="7"/>
      <c r="F147" s="7"/>
      <c r="G147" s="7"/>
      <c r="H147" s="7"/>
      <c r="I147" s="7"/>
      <c r="J147" s="7"/>
      <c r="K147" s="7"/>
      <c r="L147" s="7"/>
      <c r="M147" s="7"/>
      <c r="N147" s="7"/>
      <c r="O147" s="7"/>
      <c r="P147" s="7"/>
      <c r="Q147" s="7"/>
      <c r="R147" s="7"/>
      <c r="S147" s="7"/>
      <c r="T147" s="7"/>
      <c r="U147" s="7"/>
      <c r="V147" s="7"/>
      <c r="W147" s="7"/>
      <c r="X147" s="7"/>
      <c r="Y147" s="7"/>
    </row>
    <row r="148">
      <c r="A148" s="7"/>
      <c r="B148" s="7"/>
      <c r="C148" s="50"/>
      <c r="D148" s="7"/>
      <c r="E148" s="7"/>
      <c r="F148" s="7"/>
      <c r="G148" s="7"/>
      <c r="H148" s="7"/>
      <c r="I148" s="7"/>
      <c r="J148" s="7"/>
      <c r="K148" s="7"/>
      <c r="L148" s="7"/>
      <c r="M148" s="7"/>
      <c r="N148" s="7"/>
      <c r="O148" s="7"/>
      <c r="P148" s="7"/>
      <c r="Q148" s="7"/>
      <c r="R148" s="7"/>
      <c r="S148" s="7"/>
      <c r="T148" s="7"/>
      <c r="U148" s="7"/>
      <c r="V148" s="7"/>
      <c r="W148" s="7"/>
      <c r="X148" s="7"/>
      <c r="Y148" s="7"/>
    </row>
    <row r="149">
      <c r="A149" s="7"/>
      <c r="B149" s="7"/>
      <c r="C149" s="50"/>
      <c r="D149" s="7"/>
      <c r="E149" s="7"/>
      <c r="F149" s="7"/>
      <c r="G149" s="7"/>
      <c r="H149" s="7"/>
      <c r="I149" s="7"/>
      <c r="J149" s="7"/>
      <c r="K149" s="7"/>
      <c r="L149" s="7"/>
      <c r="M149" s="7"/>
      <c r="N149" s="7"/>
      <c r="O149" s="7"/>
      <c r="P149" s="7"/>
      <c r="Q149" s="7"/>
      <c r="R149" s="7"/>
      <c r="S149" s="7"/>
      <c r="T149" s="7"/>
      <c r="U149" s="7"/>
      <c r="V149" s="7"/>
      <c r="W149" s="7"/>
      <c r="X149" s="7"/>
      <c r="Y149" s="7"/>
    </row>
    <row r="150">
      <c r="A150" s="7"/>
      <c r="B150" s="7"/>
      <c r="C150" s="50"/>
      <c r="D150" s="7"/>
      <c r="E150" s="7"/>
      <c r="F150" s="7"/>
      <c r="G150" s="7"/>
      <c r="H150" s="7"/>
      <c r="I150" s="7"/>
      <c r="J150" s="7"/>
      <c r="K150" s="7"/>
      <c r="L150" s="7"/>
      <c r="M150" s="7"/>
      <c r="N150" s="7"/>
      <c r="O150" s="7"/>
      <c r="P150" s="7"/>
      <c r="Q150" s="7"/>
      <c r="R150" s="7"/>
      <c r="S150" s="7"/>
      <c r="T150" s="7"/>
      <c r="U150" s="7"/>
      <c r="V150" s="7"/>
      <c r="W150" s="7"/>
      <c r="X150" s="7"/>
      <c r="Y150" s="7"/>
    </row>
    <row r="151">
      <c r="A151" s="7"/>
      <c r="B151" s="7"/>
      <c r="C151" s="50"/>
      <c r="D151" s="7"/>
      <c r="E151" s="7"/>
      <c r="F151" s="7"/>
      <c r="G151" s="7"/>
      <c r="H151" s="7"/>
      <c r="I151" s="7"/>
      <c r="J151" s="7"/>
      <c r="K151" s="7"/>
      <c r="L151" s="7"/>
      <c r="M151" s="7"/>
      <c r="N151" s="7"/>
      <c r="O151" s="7"/>
      <c r="P151" s="7"/>
      <c r="Q151" s="7"/>
      <c r="R151" s="7"/>
      <c r="S151" s="7"/>
      <c r="T151" s="7"/>
      <c r="U151" s="7"/>
      <c r="V151" s="7"/>
      <c r="W151" s="7"/>
      <c r="X151" s="7"/>
      <c r="Y151" s="7"/>
    </row>
    <row r="152">
      <c r="A152" s="7"/>
      <c r="B152" s="7"/>
      <c r="C152" s="50"/>
      <c r="D152" s="7"/>
      <c r="E152" s="7"/>
      <c r="F152" s="7"/>
      <c r="G152" s="7"/>
      <c r="H152" s="7"/>
      <c r="I152" s="7"/>
      <c r="J152" s="7"/>
      <c r="K152" s="7"/>
      <c r="L152" s="7"/>
      <c r="M152" s="7"/>
      <c r="N152" s="7"/>
      <c r="O152" s="7"/>
      <c r="P152" s="7"/>
      <c r="Q152" s="7"/>
      <c r="R152" s="7"/>
      <c r="S152" s="7"/>
      <c r="T152" s="7"/>
      <c r="U152" s="7"/>
      <c r="V152" s="7"/>
      <c r="W152" s="7"/>
      <c r="X152" s="7"/>
      <c r="Y152" s="7"/>
    </row>
    <row r="153">
      <c r="A153" s="7"/>
      <c r="B153" s="7"/>
      <c r="C153" s="50"/>
      <c r="D153" s="7"/>
      <c r="E153" s="7"/>
      <c r="F153" s="7"/>
      <c r="G153" s="7"/>
      <c r="H153" s="7"/>
      <c r="I153" s="7"/>
      <c r="J153" s="7"/>
      <c r="K153" s="7"/>
      <c r="L153" s="7"/>
      <c r="M153" s="7"/>
      <c r="N153" s="7"/>
      <c r="O153" s="7"/>
      <c r="P153" s="7"/>
      <c r="Q153" s="7"/>
      <c r="R153" s="7"/>
      <c r="S153" s="7"/>
      <c r="T153" s="7"/>
      <c r="U153" s="7"/>
      <c r="V153" s="7"/>
      <c r="W153" s="7"/>
      <c r="X153" s="7"/>
      <c r="Y153" s="7"/>
    </row>
    <row r="154">
      <c r="A154" s="7"/>
      <c r="B154" s="7"/>
      <c r="C154" s="50"/>
      <c r="D154" s="7"/>
      <c r="E154" s="7"/>
      <c r="F154" s="7"/>
      <c r="G154" s="7"/>
      <c r="H154" s="7"/>
      <c r="I154" s="7"/>
      <c r="J154" s="7"/>
      <c r="K154" s="7"/>
      <c r="L154" s="7"/>
      <c r="M154" s="7"/>
      <c r="N154" s="7"/>
      <c r="O154" s="7"/>
      <c r="P154" s="7"/>
      <c r="Q154" s="7"/>
      <c r="R154" s="7"/>
      <c r="S154" s="7"/>
      <c r="T154" s="7"/>
      <c r="U154" s="7"/>
      <c r="V154" s="7"/>
      <c r="W154" s="7"/>
      <c r="X154" s="7"/>
      <c r="Y154" s="7"/>
    </row>
    <row r="155">
      <c r="A155" s="7"/>
      <c r="B155" s="7"/>
      <c r="C155" s="50"/>
      <c r="D155" s="7"/>
      <c r="E155" s="7"/>
      <c r="F155" s="7"/>
      <c r="G155" s="7"/>
      <c r="H155" s="7"/>
      <c r="I155" s="7"/>
      <c r="J155" s="7"/>
      <c r="K155" s="7"/>
      <c r="L155" s="7"/>
      <c r="M155" s="7"/>
      <c r="N155" s="7"/>
      <c r="O155" s="7"/>
      <c r="P155" s="7"/>
      <c r="Q155" s="7"/>
      <c r="R155" s="7"/>
      <c r="S155" s="7"/>
      <c r="T155" s="7"/>
      <c r="U155" s="7"/>
      <c r="V155" s="7"/>
      <c r="W155" s="7"/>
      <c r="X155" s="7"/>
      <c r="Y155" s="7"/>
    </row>
    <row r="156">
      <c r="A156" s="7"/>
      <c r="B156" s="7"/>
      <c r="C156" s="50"/>
      <c r="D156" s="7"/>
      <c r="E156" s="7"/>
      <c r="F156" s="7"/>
      <c r="G156" s="7"/>
      <c r="H156" s="7"/>
      <c r="I156" s="7"/>
      <c r="J156" s="7"/>
      <c r="K156" s="7"/>
      <c r="L156" s="7"/>
      <c r="M156" s="7"/>
      <c r="N156" s="7"/>
      <c r="O156" s="7"/>
      <c r="P156" s="7"/>
      <c r="Q156" s="7"/>
      <c r="R156" s="7"/>
      <c r="S156" s="7"/>
      <c r="T156" s="7"/>
      <c r="U156" s="7"/>
      <c r="V156" s="7"/>
      <c r="W156" s="7"/>
      <c r="X156" s="7"/>
      <c r="Y156" s="7"/>
    </row>
    <row r="157">
      <c r="A157" s="7"/>
      <c r="B157" s="7"/>
      <c r="C157" s="50"/>
      <c r="D157" s="7"/>
      <c r="E157" s="7"/>
      <c r="F157" s="7"/>
      <c r="G157" s="7"/>
      <c r="H157" s="7"/>
      <c r="I157" s="7"/>
      <c r="J157" s="7"/>
      <c r="K157" s="7"/>
      <c r="L157" s="7"/>
      <c r="M157" s="7"/>
      <c r="N157" s="7"/>
      <c r="O157" s="7"/>
      <c r="P157" s="7"/>
      <c r="Q157" s="7"/>
      <c r="R157" s="7"/>
      <c r="S157" s="7"/>
      <c r="T157" s="7"/>
      <c r="U157" s="7"/>
      <c r="V157" s="7"/>
      <c r="W157" s="7"/>
      <c r="X157" s="7"/>
      <c r="Y157" s="7"/>
    </row>
    <row r="158">
      <c r="A158" s="7"/>
      <c r="B158" s="7"/>
      <c r="C158" s="50"/>
      <c r="D158" s="7"/>
      <c r="E158" s="7"/>
      <c r="F158" s="7"/>
      <c r="G158" s="7"/>
      <c r="H158" s="7"/>
      <c r="I158" s="7"/>
      <c r="J158" s="7"/>
      <c r="K158" s="7"/>
      <c r="L158" s="7"/>
      <c r="M158" s="7"/>
      <c r="N158" s="7"/>
      <c r="O158" s="7"/>
      <c r="P158" s="7"/>
      <c r="Q158" s="7"/>
      <c r="R158" s="7"/>
      <c r="S158" s="7"/>
      <c r="T158" s="7"/>
      <c r="U158" s="7"/>
      <c r="V158" s="7"/>
      <c r="W158" s="7"/>
      <c r="X158" s="7"/>
      <c r="Y158" s="7"/>
    </row>
    <row r="159">
      <c r="A159" s="7"/>
      <c r="B159" s="7"/>
      <c r="C159" s="50"/>
      <c r="D159" s="7"/>
      <c r="E159" s="7"/>
      <c r="F159" s="7"/>
      <c r="G159" s="7"/>
      <c r="H159" s="7"/>
      <c r="I159" s="7"/>
      <c r="J159" s="7"/>
      <c r="K159" s="7"/>
      <c r="L159" s="7"/>
      <c r="M159" s="7"/>
      <c r="N159" s="7"/>
      <c r="O159" s="7"/>
      <c r="P159" s="7"/>
      <c r="Q159" s="7"/>
      <c r="R159" s="7"/>
      <c r="S159" s="7"/>
      <c r="T159" s="7"/>
      <c r="U159" s="7"/>
      <c r="V159" s="7"/>
      <c r="W159" s="7"/>
      <c r="X159" s="7"/>
      <c r="Y159" s="7"/>
    </row>
    <row r="160">
      <c r="A160" s="7"/>
      <c r="B160" s="7"/>
      <c r="C160" s="50"/>
      <c r="D160" s="7"/>
      <c r="E160" s="7"/>
      <c r="F160" s="7"/>
      <c r="G160" s="7"/>
      <c r="H160" s="7"/>
      <c r="I160" s="7"/>
      <c r="J160" s="7"/>
      <c r="K160" s="7"/>
      <c r="L160" s="7"/>
      <c r="M160" s="7"/>
      <c r="N160" s="7"/>
      <c r="O160" s="7"/>
      <c r="P160" s="7"/>
      <c r="Q160" s="7"/>
      <c r="R160" s="7"/>
      <c r="S160" s="7"/>
      <c r="T160" s="7"/>
      <c r="U160" s="7"/>
      <c r="V160" s="7"/>
      <c r="W160" s="7"/>
      <c r="X160" s="7"/>
      <c r="Y160" s="7"/>
    </row>
    <row r="161">
      <c r="A161" s="7"/>
      <c r="B161" s="7"/>
      <c r="C161" s="50"/>
      <c r="D161" s="7"/>
      <c r="E161" s="7"/>
      <c r="F161" s="7"/>
      <c r="G161" s="7"/>
      <c r="H161" s="7"/>
      <c r="I161" s="7"/>
      <c r="J161" s="7"/>
      <c r="K161" s="7"/>
      <c r="L161" s="7"/>
      <c r="M161" s="7"/>
      <c r="N161" s="7"/>
      <c r="O161" s="7"/>
      <c r="P161" s="7"/>
      <c r="Q161" s="7"/>
      <c r="R161" s="7"/>
      <c r="S161" s="7"/>
      <c r="T161" s="7"/>
      <c r="U161" s="7"/>
      <c r="V161" s="7"/>
      <c r="W161" s="7"/>
      <c r="X161" s="7"/>
      <c r="Y161" s="7"/>
    </row>
    <row r="162">
      <c r="A162" s="7"/>
      <c r="B162" s="7"/>
      <c r="C162" s="50"/>
      <c r="D162" s="7"/>
      <c r="E162" s="7"/>
      <c r="F162" s="7"/>
      <c r="G162" s="7"/>
      <c r="H162" s="7"/>
      <c r="I162" s="7"/>
      <c r="J162" s="7"/>
      <c r="K162" s="7"/>
      <c r="L162" s="7"/>
      <c r="M162" s="7"/>
      <c r="N162" s="7"/>
      <c r="O162" s="7"/>
      <c r="P162" s="7"/>
      <c r="Q162" s="7"/>
      <c r="R162" s="7"/>
      <c r="S162" s="7"/>
      <c r="T162" s="7"/>
      <c r="U162" s="7"/>
      <c r="V162" s="7"/>
      <c r="W162" s="7"/>
      <c r="X162" s="7"/>
      <c r="Y162" s="7"/>
    </row>
    <row r="163">
      <c r="A163" s="7"/>
      <c r="B163" s="7"/>
      <c r="C163" s="50"/>
      <c r="D163" s="7"/>
      <c r="E163" s="7"/>
      <c r="F163" s="7"/>
      <c r="G163" s="7"/>
      <c r="H163" s="7"/>
      <c r="I163" s="7"/>
      <c r="J163" s="7"/>
      <c r="K163" s="7"/>
      <c r="L163" s="7"/>
      <c r="M163" s="7"/>
      <c r="N163" s="7"/>
      <c r="O163" s="7"/>
      <c r="P163" s="7"/>
      <c r="Q163" s="7"/>
      <c r="R163" s="7"/>
      <c r="S163" s="7"/>
      <c r="T163" s="7"/>
      <c r="U163" s="7"/>
      <c r="V163" s="7"/>
      <c r="W163" s="7"/>
      <c r="X163" s="7"/>
      <c r="Y163" s="7"/>
    </row>
    <row r="164">
      <c r="A164" s="7"/>
      <c r="B164" s="7"/>
      <c r="C164" s="50"/>
      <c r="D164" s="7"/>
      <c r="E164" s="7"/>
      <c r="F164" s="7"/>
      <c r="G164" s="7"/>
      <c r="H164" s="7"/>
      <c r="I164" s="7"/>
      <c r="J164" s="7"/>
      <c r="K164" s="7"/>
      <c r="L164" s="7"/>
      <c r="M164" s="7"/>
      <c r="N164" s="7"/>
      <c r="O164" s="7"/>
      <c r="P164" s="7"/>
      <c r="Q164" s="7"/>
      <c r="R164" s="7"/>
      <c r="S164" s="7"/>
      <c r="T164" s="7"/>
      <c r="U164" s="7"/>
      <c r="V164" s="7"/>
      <c r="W164" s="7"/>
      <c r="X164" s="7"/>
      <c r="Y164" s="7"/>
    </row>
    <row r="165">
      <c r="A165" s="7"/>
      <c r="B165" s="7"/>
      <c r="C165" s="50"/>
      <c r="D165" s="7"/>
      <c r="E165" s="7"/>
      <c r="F165" s="7"/>
      <c r="G165" s="7"/>
      <c r="H165" s="7"/>
      <c r="I165" s="7"/>
      <c r="J165" s="7"/>
      <c r="K165" s="7"/>
      <c r="L165" s="7"/>
      <c r="M165" s="7"/>
      <c r="N165" s="7"/>
      <c r="O165" s="7"/>
      <c r="P165" s="7"/>
      <c r="Q165" s="7"/>
      <c r="R165" s="7"/>
      <c r="S165" s="7"/>
      <c r="T165" s="7"/>
      <c r="U165" s="7"/>
      <c r="V165" s="7"/>
      <c r="W165" s="7"/>
      <c r="X165" s="7"/>
      <c r="Y165" s="7"/>
    </row>
    <row r="166">
      <c r="A166" s="7"/>
      <c r="B166" s="7"/>
      <c r="C166" s="50"/>
      <c r="D166" s="7"/>
      <c r="E166" s="7"/>
      <c r="F166" s="7"/>
      <c r="G166" s="7"/>
      <c r="H166" s="7"/>
      <c r="I166" s="7"/>
      <c r="J166" s="7"/>
      <c r="K166" s="7"/>
      <c r="L166" s="7"/>
      <c r="M166" s="7"/>
      <c r="N166" s="7"/>
      <c r="O166" s="7"/>
      <c r="P166" s="7"/>
      <c r="Q166" s="7"/>
      <c r="R166" s="7"/>
      <c r="S166" s="7"/>
      <c r="T166" s="7"/>
      <c r="U166" s="7"/>
      <c r="V166" s="7"/>
      <c r="W166" s="7"/>
      <c r="X166" s="7"/>
      <c r="Y166" s="7"/>
    </row>
    <row r="167">
      <c r="A167" s="7"/>
      <c r="B167" s="7"/>
      <c r="C167" s="50"/>
      <c r="D167" s="7"/>
      <c r="E167" s="7"/>
      <c r="F167" s="7"/>
      <c r="G167" s="7"/>
      <c r="H167" s="7"/>
      <c r="I167" s="7"/>
      <c r="J167" s="7"/>
      <c r="K167" s="7"/>
      <c r="L167" s="7"/>
      <c r="M167" s="7"/>
      <c r="N167" s="7"/>
      <c r="O167" s="7"/>
      <c r="P167" s="7"/>
      <c r="Q167" s="7"/>
      <c r="R167" s="7"/>
      <c r="S167" s="7"/>
      <c r="T167" s="7"/>
      <c r="U167" s="7"/>
      <c r="V167" s="7"/>
      <c r="W167" s="7"/>
      <c r="X167" s="7"/>
      <c r="Y167" s="7"/>
    </row>
    <row r="168">
      <c r="A168" s="7"/>
      <c r="B168" s="7"/>
      <c r="C168" s="50"/>
      <c r="D168" s="7"/>
      <c r="E168" s="7"/>
      <c r="F168" s="7"/>
      <c r="G168" s="7"/>
      <c r="H168" s="7"/>
      <c r="I168" s="7"/>
      <c r="J168" s="7"/>
      <c r="K168" s="7"/>
      <c r="L168" s="7"/>
      <c r="M168" s="7"/>
      <c r="N168" s="7"/>
      <c r="O168" s="7"/>
      <c r="P168" s="7"/>
      <c r="Q168" s="7"/>
      <c r="R168" s="7"/>
      <c r="S168" s="7"/>
      <c r="T168" s="7"/>
      <c r="U168" s="7"/>
      <c r="V168" s="7"/>
      <c r="W168" s="7"/>
      <c r="X168" s="7"/>
      <c r="Y168" s="7"/>
    </row>
    <row r="169">
      <c r="A169" s="7"/>
      <c r="B169" s="7"/>
      <c r="C169" s="50"/>
      <c r="D169" s="7"/>
      <c r="E169" s="7"/>
      <c r="F169" s="7"/>
      <c r="G169" s="7"/>
      <c r="H169" s="7"/>
      <c r="I169" s="7"/>
      <c r="J169" s="7"/>
      <c r="K169" s="7"/>
      <c r="L169" s="7"/>
      <c r="M169" s="7"/>
      <c r="N169" s="7"/>
      <c r="O169" s="7"/>
      <c r="P169" s="7"/>
      <c r="Q169" s="7"/>
      <c r="R169" s="7"/>
      <c r="S169" s="7"/>
      <c r="T169" s="7"/>
      <c r="U169" s="7"/>
      <c r="V169" s="7"/>
      <c r="W169" s="7"/>
      <c r="X169" s="7"/>
      <c r="Y169" s="7"/>
    </row>
    <row r="170">
      <c r="A170" s="7"/>
      <c r="B170" s="7"/>
      <c r="C170" s="50"/>
      <c r="D170" s="7"/>
      <c r="E170" s="7"/>
      <c r="F170" s="7"/>
      <c r="G170" s="7"/>
      <c r="H170" s="7"/>
      <c r="I170" s="7"/>
      <c r="J170" s="7"/>
      <c r="K170" s="7"/>
      <c r="L170" s="7"/>
      <c r="M170" s="7"/>
      <c r="N170" s="7"/>
      <c r="O170" s="7"/>
      <c r="P170" s="7"/>
      <c r="Q170" s="7"/>
      <c r="R170" s="7"/>
      <c r="S170" s="7"/>
      <c r="T170" s="7"/>
      <c r="U170" s="7"/>
      <c r="V170" s="7"/>
      <c r="W170" s="7"/>
      <c r="X170" s="7"/>
      <c r="Y170" s="7"/>
    </row>
    <row r="171">
      <c r="A171" s="7"/>
      <c r="B171" s="7"/>
      <c r="C171" s="50"/>
      <c r="D171" s="7"/>
      <c r="E171" s="7"/>
      <c r="F171" s="7"/>
      <c r="G171" s="7"/>
      <c r="H171" s="7"/>
      <c r="I171" s="7"/>
      <c r="J171" s="7"/>
      <c r="K171" s="7"/>
      <c r="L171" s="7"/>
      <c r="M171" s="7"/>
      <c r="N171" s="7"/>
      <c r="O171" s="7"/>
      <c r="P171" s="7"/>
      <c r="Q171" s="7"/>
      <c r="R171" s="7"/>
      <c r="S171" s="7"/>
      <c r="T171" s="7"/>
      <c r="U171" s="7"/>
      <c r="V171" s="7"/>
      <c r="W171" s="7"/>
      <c r="X171" s="7"/>
      <c r="Y171" s="7"/>
    </row>
    <row r="172">
      <c r="A172" s="7"/>
      <c r="B172" s="7"/>
      <c r="C172" s="50"/>
      <c r="D172" s="7"/>
      <c r="E172" s="7"/>
      <c r="F172" s="7"/>
      <c r="G172" s="7"/>
      <c r="H172" s="7"/>
      <c r="I172" s="7"/>
      <c r="J172" s="7"/>
      <c r="K172" s="7"/>
      <c r="L172" s="7"/>
      <c r="M172" s="7"/>
      <c r="N172" s="7"/>
      <c r="O172" s="7"/>
      <c r="P172" s="7"/>
      <c r="Q172" s="7"/>
      <c r="R172" s="7"/>
      <c r="S172" s="7"/>
      <c r="T172" s="7"/>
      <c r="U172" s="7"/>
      <c r="V172" s="7"/>
      <c r="W172" s="7"/>
      <c r="X172" s="7"/>
      <c r="Y172" s="7"/>
    </row>
    <row r="173">
      <c r="A173" s="7"/>
      <c r="B173" s="7"/>
      <c r="C173" s="50"/>
      <c r="D173" s="7"/>
      <c r="E173" s="7"/>
      <c r="F173" s="7"/>
      <c r="G173" s="7"/>
      <c r="H173" s="7"/>
      <c r="I173" s="7"/>
      <c r="J173" s="7"/>
      <c r="K173" s="7"/>
      <c r="L173" s="7"/>
      <c r="M173" s="7"/>
      <c r="N173" s="7"/>
      <c r="O173" s="7"/>
      <c r="P173" s="7"/>
      <c r="Q173" s="7"/>
      <c r="R173" s="7"/>
      <c r="S173" s="7"/>
      <c r="T173" s="7"/>
      <c r="U173" s="7"/>
      <c r="V173" s="7"/>
      <c r="W173" s="7"/>
      <c r="X173" s="7"/>
      <c r="Y173" s="7"/>
    </row>
    <row r="174">
      <c r="A174" s="7"/>
      <c r="B174" s="7"/>
      <c r="C174" s="50"/>
      <c r="D174" s="7"/>
      <c r="E174" s="7"/>
      <c r="F174" s="7"/>
      <c r="G174" s="7"/>
      <c r="H174" s="7"/>
      <c r="I174" s="7"/>
      <c r="J174" s="7"/>
      <c r="K174" s="7"/>
      <c r="L174" s="7"/>
      <c r="M174" s="7"/>
      <c r="N174" s="7"/>
      <c r="O174" s="7"/>
      <c r="P174" s="7"/>
      <c r="Q174" s="7"/>
      <c r="R174" s="7"/>
      <c r="S174" s="7"/>
      <c r="T174" s="7"/>
      <c r="U174" s="7"/>
      <c r="V174" s="7"/>
      <c r="W174" s="7"/>
      <c r="X174" s="7"/>
      <c r="Y174" s="7"/>
    </row>
    <row r="175">
      <c r="A175" s="7"/>
      <c r="B175" s="7"/>
      <c r="C175" s="50"/>
      <c r="D175" s="7"/>
      <c r="E175" s="7"/>
      <c r="F175" s="7"/>
      <c r="G175" s="7"/>
      <c r="H175" s="7"/>
      <c r="I175" s="7"/>
      <c r="J175" s="7"/>
      <c r="K175" s="7"/>
      <c r="L175" s="7"/>
      <c r="M175" s="7"/>
      <c r="N175" s="7"/>
      <c r="O175" s="7"/>
      <c r="P175" s="7"/>
      <c r="Q175" s="7"/>
      <c r="R175" s="7"/>
      <c r="S175" s="7"/>
      <c r="T175" s="7"/>
      <c r="U175" s="7"/>
      <c r="V175" s="7"/>
      <c r="W175" s="7"/>
      <c r="X175" s="7"/>
      <c r="Y175" s="7"/>
    </row>
    <row r="176">
      <c r="A176" s="7"/>
      <c r="B176" s="7"/>
      <c r="C176" s="50"/>
      <c r="D176" s="7"/>
      <c r="E176" s="7"/>
      <c r="F176" s="7"/>
      <c r="G176" s="7"/>
      <c r="H176" s="7"/>
      <c r="I176" s="7"/>
      <c r="J176" s="7"/>
      <c r="K176" s="7"/>
      <c r="L176" s="7"/>
      <c r="M176" s="7"/>
      <c r="N176" s="7"/>
      <c r="O176" s="7"/>
      <c r="P176" s="7"/>
      <c r="Q176" s="7"/>
      <c r="R176" s="7"/>
      <c r="S176" s="7"/>
      <c r="T176" s="7"/>
      <c r="U176" s="7"/>
      <c r="V176" s="7"/>
      <c r="W176" s="7"/>
      <c r="X176" s="7"/>
      <c r="Y176" s="7"/>
    </row>
    <row r="177">
      <c r="A177" s="7"/>
      <c r="B177" s="7"/>
      <c r="C177" s="50"/>
      <c r="D177" s="7"/>
      <c r="E177" s="7"/>
      <c r="F177" s="7"/>
      <c r="G177" s="7"/>
      <c r="H177" s="7"/>
      <c r="I177" s="7"/>
      <c r="J177" s="7"/>
      <c r="K177" s="7"/>
      <c r="L177" s="7"/>
      <c r="M177" s="7"/>
      <c r="N177" s="7"/>
      <c r="O177" s="7"/>
      <c r="P177" s="7"/>
      <c r="Q177" s="7"/>
      <c r="R177" s="7"/>
      <c r="S177" s="7"/>
      <c r="T177" s="7"/>
      <c r="U177" s="7"/>
      <c r="V177" s="7"/>
      <c r="W177" s="7"/>
      <c r="X177" s="7"/>
      <c r="Y177" s="7"/>
    </row>
    <row r="178">
      <c r="A178" s="7"/>
      <c r="B178" s="7"/>
      <c r="C178" s="50"/>
      <c r="D178" s="7"/>
      <c r="E178" s="7"/>
      <c r="F178" s="7"/>
      <c r="G178" s="7"/>
      <c r="H178" s="7"/>
      <c r="I178" s="7"/>
      <c r="J178" s="7"/>
      <c r="K178" s="7"/>
      <c r="L178" s="7"/>
      <c r="M178" s="7"/>
      <c r="N178" s="7"/>
      <c r="O178" s="7"/>
      <c r="P178" s="7"/>
      <c r="Q178" s="7"/>
      <c r="R178" s="7"/>
      <c r="S178" s="7"/>
      <c r="T178" s="7"/>
      <c r="U178" s="7"/>
      <c r="V178" s="7"/>
      <c r="W178" s="7"/>
      <c r="X178" s="7"/>
      <c r="Y178" s="7"/>
    </row>
    <row r="179">
      <c r="A179" s="7"/>
      <c r="B179" s="7"/>
      <c r="C179" s="50"/>
      <c r="D179" s="7"/>
      <c r="E179" s="7"/>
      <c r="F179" s="7"/>
      <c r="G179" s="7"/>
      <c r="H179" s="7"/>
      <c r="I179" s="7"/>
      <c r="J179" s="7"/>
      <c r="K179" s="7"/>
      <c r="L179" s="7"/>
      <c r="M179" s="7"/>
      <c r="N179" s="7"/>
      <c r="O179" s="7"/>
      <c r="P179" s="7"/>
      <c r="Q179" s="7"/>
      <c r="R179" s="7"/>
      <c r="S179" s="7"/>
      <c r="T179" s="7"/>
      <c r="U179" s="7"/>
      <c r="V179" s="7"/>
      <c r="W179" s="7"/>
      <c r="X179" s="7"/>
      <c r="Y179" s="7"/>
    </row>
    <row r="180">
      <c r="A180" s="7"/>
      <c r="B180" s="7"/>
      <c r="C180" s="50"/>
      <c r="D180" s="7"/>
      <c r="E180" s="7"/>
      <c r="F180" s="7"/>
      <c r="G180" s="7"/>
      <c r="H180" s="7"/>
      <c r="I180" s="7"/>
      <c r="J180" s="7"/>
      <c r="K180" s="7"/>
      <c r="L180" s="7"/>
      <c r="M180" s="7"/>
      <c r="N180" s="7"/>
      <c r="O180" s="7"/>
      <c r="P180" s="7"/>
      <c r="Q180" s="7"/>
      <c r="R180" s="7"/>
      <c r="S180" s="7"/>
      <c r="T180" s="7"/>
      <c r="U180" s="7"/>
      <c r="V180" s="7"/>
      <c r="W180" s="7"/>
      <c r="X180" s="7"/>
      <c r="Y180" s="7"/>
    </row>
    <row r="181">
      <c r="A181" s="7"/>
      <c r="B181" s="7"/>
      <c r="C181" s="50"/>
      <c r="D181" s="7"/>
      <c r="E181" s="7"/>
      <c r="F181" s="7"/>
      <c r="G181" s="7"/>
      <c r="H181" s="7"/>
      <c r="I181" s="7"/>
      <c r="J181" s="7"/>
      <c r="K181" s="7"/>
      <c r="L181" s="7"/>
      <c r="M181" s="7"/>
      <c r="N181" s="7"/>
      <c r="O181" s="7"/>
      <c r="P181" s="7"/>
      <c r="Q181" s="7"/>
      <c r="R181" s="7"/>
      <c r="S181" s="7"/>
      <c r="T181" s="7"/>
      <c r="U181" s="7"/>
      <c r="V181" s="7"/>
      <c r="W181" s="7"/>
      <c r="X181" s="7"/>
      <c r="Y181" s="7"/>
    </row>
    <row r="182">
      <c r="A182" s="7"/>
      <c r="B182" s="7"/>
      <c r="C182" s="50"/>
      <c r="D182" s="7"/>
      <c r="E182" s="7"/>
      <c r="F182" s="7"/>
      <c r="G182" s="7"/>
      <c r="H182" s="7"/>
      <c r="I182" s="7"/>
      <c r="J182" s="7"/>
      <c r="K182" s="7"/>
      <c r="L182" s="7"/>
      <c r="M182" s="7"/>
      <c r="N182" s="7"/>
      <c r="O182" s="7"/>
      <c r="P182" s="7"/>
      <c r="Q182" s="7"/>
      <c r="R182" s="7"/>
      <c r="S182" s="7"/>
      <c r="T182" s="7"/>
      <c r="U182" s="7"/>
      <c r="V182" s="7"/>
      <c r="W182" s="7"/>
      <c r="X182" s="7"/>
      <c r="Y182" s="7"/>
    </row>
    <row r="183">
      <c r="A183" s="7"/>
      <c r="B183" s="7"/>
      <c r="C183" s="50"/>
      <c r="D183" s="7"/>
      <c r="E183" s="7"/>
      <c r="F183" s="7"/>
      <c r="G183" s="7"/>
      <c r="H183" s="7"/>
      <c r="I183" s="7"/>
      <c r="J183" s="7"/>
      <c r="K183" s="7"/>
      <c r="L183" s="7"/>
      <c r="M183" s="7"/>
      <c r="N183" s="7"/>
      <c r="O183" s="7"/>
      <c r="P183" s="7"/>
      <c r="Q183" s="7"/>
      <c r="R183" s="7"/>
      <c r="S183" s="7"/>
      <c r="T183" s="7"/>
      <c r="U183" s="7"/>
      <c r="V183" s="7"/>
      <c r="W183" s="7"/>
      <c r="X183" s="7"/>
      <c r="Y183" s="7"/>
    </row>
    <row r="184">
      <c r="A184" s="7"/>
      <c r="B184" s="7"/>
      <c r="C184" s="50"/>
      <c r="D184" s="7"/>
      <c r="E184" s="7"/>
      <c r="F184" s="7"/>
      <c r="G184" s="7"/>
      <c r="H184" s="7"/>
      <c r="I184" s="7"/>
      <c r="J184" s="7"/>
      <c r="K184" s="7"/>
      <c r="L184" s="7"/>
      <c r="M184" s="7"/>
      <c r="N184" s="7"/>
      <c r="O184" s="7"/>
      <c r="P184" s="7"/>
      <c r="Q184" s="7"/>
      <c r="R184" s="7"/>
      <c r="S184" s="7"/>
      <c r="T184" s="7"/>
      <c r="U184" s="7"/>
      <c r="V184" s="7"/>
      <c r="W184" s="7"/>
      <c r="X184" s="7"/>
      <c r="Y184" s="7"/>
    </row>
    <row r="185">
      <c r="A185" s="7"/>
      <c r="B185" s="7"/>
      <c r="C185" s="50"/>
      <c r="D185" s="7"/>
      <c r="E185" s="7"/>
      <c r="F185" s="7"/>
      <c r="G185" s="7"/>
      <c r="H185" s="7"/>
      <c r="I185" s="7"/>
      <c r="J185" s="7"/>
      <c r="K185" s="7"/>
      <c r="L185" s="7"/>
      <c r="M185" s="7"/>
      <c r="N185" s="7"/>
      <c r="O185" s="7"/>
      <c r="P185" s="7"/>
      <c r="Q185" s="7"/>
      <c r="R185" s="7"/>
      <c r="S185" s="7"/>
      <c r="T185" s="7"/>
      <c r="U185" s="7"/>
      <c r="V185" s="7"/>
      <c r="W185" s="7"/>
      <c r="X185" s="7"/>
      <c r="Y185" s="7"/>
    </row>
    <row r="186">
      <c r="A186" s="7"/>
      <c r="B186" s="7"/>
      <c r="C186" s="50"/>
      <c r="D186" s="7"/>
      <c r="E186" s="7"/>
      <c r="F186" s="7"/>
      <c r="G186" s="7"/>
      <c r="H186" s="7"/>
      <c r="I186" s="7"/>
      <c r="J186" s="7"/>
      <c r="K186" s="7"/>
      <c r="L186" s="7"/>
      <c r="M186" s="7"/>
      <c r="N186" s="7"/>
      <c r="O186" s="7"/>
      <c r="P186" s="7"/>
      <c r="Q186" s="7"/>
      <c r="R186" s="7"/>
      <c r="S186" s="7"/>
      <c r="T186" s="7"/>
      <c r="U186" s="7"/>
      <c r="V186" s="7"/>
      <c r="W186" s="7"/>
      <c r="X186" s="7"/>
      <c r="Y186" s="7"/>
    </row>
    <row r="187">
      <c r="A187" s="7"/>
      <c r="B187" s="7"/>
      <c r="C187" s="50"/>
      <c r="D187" s="7"/>
      <c r="E187" s="7"/>
      <c r="F187" s="7"/>
      <c r="G187" s="7"/>
      <c r="H187" s="7"/>
      <c r="I187" s="7"/>
      <c r="J187" s="7"/>
      <c r="K187" s="7"/>
      <c r="L187" s="7"/>
      <c r="M187" s="7"/>
      <c r="N187" s="7"/>
      <c r="O187" s="7"/>
      <c r="P187" s="7"/>
      <c r="Q187" s="7"/>
      <c r="R187" s="7"/>
      <c r="S187" s="7"/>
      <c r="T187" s="7"/>
      <c r="U187" s="7"/>
      <c r="V187" s="7"/>
      <c r="W187" s="7"/>
      <c r="X187" s="7"/>
      <c r="Y187" s="7"/>
    </row>
    <row r="188">
      <c r="A188" s="7"/>
      <c r="B188" s="7"/>
      <c r="C188" s="50"/>
      <c r="D188" s="7"/>
      <c r="E188" s="7"/>
      <c r="F188" s="7"/>
      <c r="G188" s="7"/>
      <c r="H188" s="7"/>
      <c r="I188" s="7"/>
      <c r="J188" s="7"/>
      <c r="K188" s="7"/>
      <c r="L188" s="7"/>
      <c r="M188" s="7"/>
      <c r="N188" s="7"/>
      <c r="O188" s="7"/>
      <c r="P188" s="7"/>
      <c r="Q188" s="7"/>
      <c r="R188" s="7"/>
      <c r="S188" s="7"/>
      <c r="T188" s="7"/>
      <c r="U188" s="7"/>
      <c r="V188" s="7"/>
      <c r="W188" s="7"/>
      <c r="X188" s="7"/>
      <c r="Y188" s="7"/>
    </row>
    <row r="189">
      <c r="A189" s="7"/>
      <c r="B189" s="7"/>
      <c r="C189" s="50"/>
      <c r="D189" s="7"/>
      <c r="E189" s="7"/>
      <c r="F189" s="7"/>
      <c r="G189" s="7"/>
      <c r="H189" s="7"/>
      <c r="I189" s="7"/>
      <c r="J189" s="7"/>
      <c r="K189" s="7"/>
      <c r="L189" s="7"/>
      <c r="M189" s="7"/>
      <c r="N189" s="7"/>
      <c r="O189" s="7"/>
      <c r="P189" s="7"/>
      <c r="Q189" s="7"/>
      <c r="R189" s="7"/>
      <c r="S189" s="7"/>
      <c r="T189" s="7"/>
      <c r="U189" s="7"/>
      <c r="V189" s="7"/>
      <c r="W189" s="7"/>
      <c r="X189" s="7"/>
      <c r="Y189" s="7"/>
    </row>
    <row r="190">
      <c r="A190" s="7"/>
      <c r="B190" s="7"/>
      <c r="C190" s="50"/>
      <c r="D190" s="7"/>
      <c r="E190" s="7"/>
      <c r="F190" s="7"/>
      <c r="G190" s="7"/>
      <c r="H190" s="7"/>
      <c r="I190" s="7"/>
      <c r="J190" s="7"/>
      <c r="K190" s="7"/>
      <c r="L190" s="7"/>
      <c r="M190" s="7"/>
      <c r="N190" s="7"/>
      <c r="O190" s="7"/>
      <c r="P190" s="7"/>
      <c r="Q190" s="7"/>
      <c r="R190" s="7"/>
      <c r="S190" s="7"/>
      <c r="T190" s="7"/>
      <c r="U190" s="7"/>
      <c r="V190" s="7"/>
      <c r="W190" s="7"/>
      <c r="X190" s="7"/>
      <c r="Y190" s="7"/>
    </row>
    <row r="191">
      <c r="A191" s="7"/>
      <c r="B191" s="7"/>
      <c r="C191" s="50"/>
      <c r="D191" s="7"/>
      <c r="E191" s="7"/>
      <c r="F191" s="7"/>
      <c r="G191" s="7"/>
      <c r="H191" s="7"/>
      <c r="I191" s="7"/>
      <c r="J191" s="7"/>
      <c r="K191" s="7"/>
      <c r="L191" s="7"/>
      <c r="M191" s="7"/>
      <c r="N191" s="7"/>
      <c r="O191" s="7"/>
      <c r="P191" s="7"/>
      <c r="Q191" s="7"/>
      <c r="R191" s="7"/>
      <c r="S191" s="7"/>
      <c r="T191" s="7"/>
      <c r="U191" s="7"/>
      <c r="V191" s="7"/>
      <c r="W191" s="7"/>
      <c r="X191" s="7"/>
      <c r="Y191" s="7"/>
    </row>
    <row r="192">
      <c r="A192" s="7"/>
      <c r="B192" s="7"/>
      <c r="C192" s="50"/>
      <c r="D192" s="7"/>
      <c r="E192" s="7"/>
      <c r="F192" s="7"/>
      <c r="G192" s="7"/>
      <c r="H192" s="7"/>
      <c r="I192" s="7"/>
      <c r="J192" s="7"/>
      <c r="K192" s="7"/>
      <c r="L192" s="7"/>
      <c r="M192" s="7"/>
      <c r="N192" s="7"/>
      <c r="O192" s="7"/>
      <c r="P192" s="7"/>
      <c r="Q192" s="7"/>
      <c r="R192" s="7"/>
      <c r="S192" s="7"/>
      <c r="T192" s="7"/>
      <c r="U192" s="7"/>
      <c r="V192" s="7"/>
      <c r="W192" s="7"/>
      <c r="X192" s="7"/>
      <c r="Y192" s="7"/>
    </row>
    <row r="193">
      <c r="A193" s="7"/>
      <c r="B193" s="7"/>
      <c r="C193" s="50"/>
      <c r="D193" s="7"/>
      <c r="E193" s="7"/>
      <c r="F193" s="7"/>
      <c r="G193" s="7"/>
      <c r="H193" s="7"/>
      <c r="I193" s="7"/>
      <c r="J193" s="7"/>
      <c r="K193" s="7"/>
      <c r="L193" s="7"/>
      <c r="M193" s="7"/>
      <c r="N193" s="7"/>
      <c r="O193" s="7"/>
      <c r="P193" s="7"/>
      <c r="Q193" s="7"/>
      <c r="R193" s="7"/>
      <c r="S193" s="7"/>
      <c r="T193" s="7"/>
      <c r="U193" s="7"/>
      <c r="V193" s="7"/>
      <c r="W193" s="7"/>
      <c r="X193" s="7"/>
      <c r="Y193" s="7"/>
    </row>
    <row r="194">
      <c r="A194" s="7"/>
      <c r="B194" s="7"/>
      <c r="C194" s="50"/>
      <c r="D194" s="7"/>
      <c r="E194" s="7"/>
      <c r="F194" s="7"/>
      <c r="G194" s="7"/>
      <c r="H194" s="7"/>
      <c r="I194" s="7"/>
      <c r="J194" s="7"/>
      <c r="K194" s="7"/>
      <c r="L194" s="7"/>
      <c r="M194" s="7"/>
      <c r="N194" s="7"/>
      <c r="O194" s="7"/>
      <c r="P194" s="7"/>
      <c r="Q194" s="7"/>
      <c r="R194" s="7"/>
      <c r="S194" s="7"/>
      <c r="T194" s="7"/>
      <c r="U194" s="7"/>
      <c r="V194" s="7"/>
      <c r="W194" s="7"/>
      <c r="X194" s="7"/>
      <c r="Y194" s="7"/>
    </row>
    <row r="195">
      <c r="A195" s="7"/>
      <c r="B195" s="7"/>
      <c r="C195" s="50"/>
      <c r="D195" s="7"/>
      <c r="E195" s="7"/>
      <c r="F195" s="7"/>
      <c r="G195" s="7"/>
      <c r="H195" s="7"/>
      <c r="I195" s="7"/>
      <c r="J195" s="7"/>
      <c r="K195" s="7"/>
      <c r="L195" s="7"/>
      <c r="M195" s="7"/>
      <c r="N195" s="7"/>
      <c r="O195" s="7"/>
      <c r="P195" s="7"/>
      <c r="Q195" s="7"/>
      <c r="R195" s="7"/>
      <c r="S195" s="7"/>
      <c r="T195" s="7"/>
      <c r="U195" s="7"/>
      <c r="V195" s="7"/>
      <c r="W195" s="7"/>
      <c r="X195" s="7"/>
      <c r="Y195" s="7"/>
    </row>
    <row r="196">
      <c r="A196" s="7"/>
      <c r="B196" s="7"/>
      <c r="C196" s="50"/>
      <c r="D196" s="7"/>
      <c r="E196" s="7"/>
      <c r="F196" s="7"/>
      <c r="G196" s="7"/>
      <c r="H196" s="7"/>
      <c r="I196" s="7"/>
      <c r="J196" s="7"/>
      <c r="K196" s="7"/>
      <c r="L196" s="7"/>
      <c r="M196" s="7"/>
      <c r="N196" s="7"/>
      <c r="O196" s="7"/>
      <c r="P196" s="7"/>
      <c r="Q196" s="7"/>
      <c r="R196" s="7"/>
      <c r="S196" s="7"/>
      <c r="T196" s="7"/>
      <c r="U196" s="7"/>
      <c r="V196" s="7"/>
      <c r="W196" s="7"/>
      <c r="X196" s="7"/>
      <c r="Y196" s="7"/>
    </row>
    <row r="197">
      <c r="A197" s="7"/>
      <c r="B197" s="7"/>
      <c r="C197" s="50"/>
      <c r="D197" s="7"/>
      <c r="E197" s="7"/>
      <c r="F197" s="7"/>
      <c r="G197" s="7"/>
      <c r="H197" s="7"/>
      <c r="I197" s="7"/>
      <c r="J197" s="7"/>
      <c r="K197" s="7"/>
      <c r="L197" s="7"/>
      <c r="M197" s="7"/>
      <c r="N197" s="7"/>
      <c r="O197" s="7"/>
      <c r="P197" s="7"/>
      <c r="Q197" s="7"/>
      <c r="R197" s="7"/>
      <c r="S197" s="7"/>
      <c r="T197" s="7"/>
      <c r="U197" s="7"/>
      <c r="V197" s="7"/>
      <c r="W197" s="7"/>
      <c r="X197" s="7"/>
      <c r="Y197" s="7"/>
    </row>
    <row r="198">
      <c r="A198" s="7"/>
      <c r="B198" s="7"/>
      <c r="C198" s="50"/>
      <c r="D198" s="7"/>
      <c r="E198" s="7"/>
      <c r="F198" s="7"/>
      <c r="G198" s="7"/>
      <c r="H198" s="7"/>
      <c r="I198" s="7"/>
      <c r="J198" s="7"/>
      <c r="K198" s="7"/>
      <c r="L198" s="7"/>
      <c r="M198" s="7"/>
      <c r="N198" s="7"/>
      <c r="O198" s="7"/>
      <c r="P198" s="7"/>
      <c r="Q198" s="7"/>
      <c r="R198" s="7"/>
      <c r="S198" s="7"/>
      <c r="T198" s="7"/>
      <c r="U198" s="7"/>
      <c r="V198" s="7"/>
      <c r="W198" s="7"/>
      <c r="X198" s="7"/>
      <c r="Y198" s="7"/>
    </row>
    <row r="199">
      <c r="A199" s="7"/>
      <c r="B199" s="7"/>
      <c r="C199" s="50"/>
      <c r="D199" s="7"/>
      <c r="E199" s="7"/>
      <c r="F199" s="7"/>
      <c r="G199" s="7"/>
      <c r="H199" s="7"/>
      <c r="I199" s="7"/>
      <c r="J199" s="7"/>
      <c r="K199" s="7"/>
      <c r="L199" s="7"/>
      <c r="M199" s="7"/>
      <c r="N199" s="7"/>
      <c r="O199" s="7"/>
      <c r="P199" s="7"/>
      <c r="Q199" s="7"/>
      <c r="R199" s="7"/>
      <c r="S199" s="7"/>
      <c r="T199" s="7"/>
      <c r="U199" s="7"/>
      <c r="V199" s="7"/>
      <c r="W199" s="7"/>
      <c r="X199" s="7"/>
      <c r="Y199" s="7"/>
    </row>
    <row r="200">
      <c r="A200" s="7"/>
      <c r="B200" s="7"/>
      <c r="C200" s="50"/>
      <c r="D200" s="7"/>
      <c r="E200" s="7"/>
      <c r="F200" s="7"/>
      <c r="G200" s="7"/>
      <c r="H200" s="7"/>
      <c r="I200" s="7"/>
      <c r="J200" s="7"/>
      <c r="K200" s="7"/>
      <c r="L200" s="7"/>
      <c r="M200" s="7"/>
      <c r="N200" s="7"/>
      <c r="O200" s="7"/>
      <c r="P200" s="7"/>
      <c r="Q200" s="7"/>
      <c r="R200" s="7"/>
      <c r="S200" s="7"/>
      <c r="T200" s="7"/>
      <c r="U200" s="7"/>
      <c r="V200" s="7"/>
      <c r="W200" s="7"/>
      <c r="X200" s="7"/>
      <c r="Y200" s="7"/>
    </row>
    <row r="201">
      <c r="C201" s="50"/>
    </row>
    <row r="202">
      <c r="C202" s="50"/>
    </row>
    <row r="203">
      <c r="C203" s="50"/>
    </row>
    <row r="204">
      <c r="C204" s="50"/>
    </row>
    <row r="205">
      <c r="C205" s="50"/>
    </row>
    <row r="206">
      <c r="C206" s="50"/>
    </row>
    <row r="207">
      <c r="C207" s="50"/>
    </row>
    <row r="208">
      <c r="C208" s="50"/>
    </row>
    <row r="209">
      <c r="C209" s="50"/>
    </row>
    <row r="210">
      <c r="C210" s="50"/>
    </row>
    <row r="211">
      <c r="C211" s="50"/>
    </row>
    <row r="212">
      <c r="C212" s="50"/>
    </row>
    <row r="213">
      <c r="C213" s="50"/>
    </row>
    <row r="214">
      <c r="C214" s="50"/>
    </row>
    <row r="215">
      <c r="C215" s="50"/>
    </row>
    <row r="216">
      <c r="C216" s="50"/>
    </row>
    <row r="217">
      <c r="C217" s="50"/>
    </row>
    <row r="218">
      <c r="C218" s="50"/>
    </row>
    <row r="219">
      <c r="C219" s="50"/>
    </row>
    <row r="220">
      <c r="C220" s="50"/>
    </row>
    <row r="221">
      <c r="C221" s="50"/>
    </row>
    <row r="222">
      <c r="C222" s="50"/>
    </row>
    <row r="223">
      <c r="C223" s="50"/>
    </row>
    <row r="224">
      <c r="C224" s="50"/>
    </row>
    <row r="225">
      <c r="C225" s="50"/>
    </row>
    <row r="226">
      <c r="C226" s="50"/>
    </row>
    <row r="227">
      <c r="C227" s="50"/>
    </row>
    <row r="228">
      <c r="C228" s="50"/>
    </row>
    <row r="229">
      <c r="C229" s="50"/>
    </row>
    <row r="230">
      <c r="C230" s="50"/>
    </row>
    <row r="231">
      <c r="C231" s="50"/>
    </row>
    <row r="232">
      <c r="C232" s="50"/>
    </row>
    <row r="233">
      <c r="C233" s="50"/>
    </row>
    <row r="234">
      <c r="C234" s="50"/>
    </row>
    <row r="235">
      <c r="C235" s="50"/>
    </row>
    <row r="236">
      <c r="C236" s="50"/>
    </row>
    <row r="237">
      <c r="C237" s="50"/>
    </row>
    <row r="238">
      <c r="C238" s="50"/>
    </row>
    <row r="239">
      <c r="C239" s="50"/>
    </row>
    <row r="240">
      <c r="C240" s="50"/>
    </row>
    <row r="241">
      <c r="C241" s="50"/>
    </row>
    <row r="242">
      <c r="C242" s="50"/>
    </row>
    <row r="243">
      <c r="C243" s="50"/>
    </row>
    <row r="244">
      <c r="C244" s="50"/>
    </row>
    <row r="245">
      <c r="C245" s="50"/>
    </row>
    <row r="246">
      <c r="C246" s="50"/>
    </row>
    <row r="247">
      <c r="C247" s="50"/>
    </row>
    <row r="248">
      <c r="C248" s="50"/>
    </row>
    <row r="249">
      <c r="C249" s="50"/>
    </row>
    <row r="250">
      <c r="C250" s="50"/>
    </row>
    <row r="251">
      <c r="C251" s="50"/>
    </row>
    <row r="252">
      <c r="C252" s="50"/>
    </row>
    <row r="253">
      <c r="C253" s="50"/>
    </row>
    <row r="254">
      <c r="C254" s="50"/>
    </row>
    <row r="255">
      <c r="C255" s="50"/>
    </row>
    <row r="256">
      <c r="C256" s="50"/>
    </row>
    <row r="257">
      <c r="C257" s="50"/>
    </row>
    <row r="258">
      <c r="C258" s="50"/>
    </row>
    <row r="259">
      <c r="C259" s="50"/>
    </row>
    <row r="260">
      <c r="C260" s="50"/>
    </row>
    <row r="261">
      <c r="C261" s="50"/>
    </row>
    <row r="262">
      <c r="C262" s="50"/>
    </row>
    <row r="263">
      <c r="C263" s="50"/>
    </row>
    <row r="264">
      <c r="C264" s="50"/>
    </row>
    <row r="265">
      <c r="C265" s="50"/>
    </row>
    <row r="266">
      <c r="C266" s="50"/>
    </row>
    <row r="267">
      <c r="C267" s="50"/>
    </row>
    <row r="268">
      <c r="C268" s="50"/>
    </row>
    <row r="269">
      <c r="C269" s="50"/>
    </row>
    <row r="270">
      <c r="C270" s="50"/>
    </row>
    <row r="271">
      <c r="C271" s="50"/>
    </row>
    <row r="272">
      <c r="C272" s="50"/>
    </row>
    <row r="273">
      <c r="C273" s="50"/>
    </row>
    <row r="274">
      <c r="C274" s="50"/>
    </row>
    <row r="275">
      <c r="C275" s="50"/>
    </row>
    <row r="276">
      <c r="C276" s="50"/>
    </row>
    <row r="277">
      <c r="C277" s="50"/>
    </row>
    <row r="278">
      <c r="C278" s="50"/>
    </row>
    <row r="279">
      <c r="C279" s="50"/>
    </row>
    <row r="280">
      <c r="C280" s="50"/>
    </row>
    <row r="281">
      <c r="C281" s="50"/>
    </row>
    <row r="282">
      <c r="C282" s="50"/>
    </row>
    <row r="283">
      <c r="C283" s="50"/>
    </row>
    <row r="284">
      <c r="C284" s="50"/>
    </row>
    <row r="285">
      <c r="C285" s="50"/>
    </row>
    <row r="286">
      <c r="C286" s="50"/>
    </row>
    <row r="287">
      <c r="C287" s="50"/>
    </row>
    <row r="288">
      <c r="C288" s="50"/>
    </row>
    <row r="289">
      <c r="C289" s="50"/>
    </row>
    <row r="290">
      <c r="C290" s="50"/>
    </row>
    <row r="291">
      <c r="C291" s="50"/>
    </row>
    <row r="292">
      <c r="C292" s="50"/>
    </row>
    <row r="293">
      <c r="C293" s="50"/>
    </row>
    <row r="294">
      <c r="C294" s="50"/>
    </row>
    <row r="295">
      <c r="C295" s="50"/>
    </row>
    <row r="296">
      <c r="C296" s="50"/>
    </row>
    <row r="297">
      <c r="C297" s="50"/>
    </row>
    <row r="298">
      <c r="C298" s="50"/>
    </row>
    <row r="299">
      <c r="C299" s="50"/>
    </row>
    <row r="300">
      <c r="C300" s="50"/>
    </row>
    <row r="301">
      <c r="C301" s="50"/>
    </row>
    <row r="302">
      <c r="C302" s="50"/>
    </row>
    <row r="303">
      <c r="C303" s="50"/>
    </row>
    <row r="304">
      <c r="C304" s="50"/>
    </row>
    <row r="305">
      <c r="C305" s="50"/>
    </row>
    <row r="306">
      <c r="C306" s="50"/>
    </row>
    <row r="307">
      <c r="C307" s="50"/>
    </row>
    <row r="308">
      <c r="C308" s="50"/>
    </row>
    <row r="309">
      <c r="C309" s="50"/>
    </row>
    <row r="310">
      <c r="C310" s="50"/>
    </row>
    <row r="311">
      <c r="C311" s="50"/>
    </row>
    <row r="312">
      <c r="C312" s="50"/>
    </row>
    <row r="313">
      <c r="C313" s="50"/>
    </row>
    <row r="314">
      <c r="C314" s="50"/>
    </row>
    <row r="315">
      <c r="C315" s="50"/>
    </row>
    <row r="316">
      <c r="C316" s="50"/>
    </row>
    <row r="317">
      <c r="C317" s="50"/>
    </row>
    <row r="318">
      <c r="C318" s="50"/>
    </row>
    <row r="319">
      <c r="C319" s="50"/>
    </row>
    <row r="320">
      <c r="C320" s="50"/>
    </row>
    <row r="321">
      <c r="C321" s="50"/>
    </row>
    <row r="322">
      <c r="C322" s="50"/>
    </row>
    <row r="323">
      <c r="C323" s="50"/>
    </row>
    <row r="324">
      <c r="C324" s="50"/>
    </row>
    <row r="325">
      <c r="C325" s="50"/>
    </row>
    <row r="326">
      <c r="C326" s="50"/>
    </row>
    <row r="327">
      <c r="C327" s="50"/>
    </row>
    <row r="328">
      <c r="C328" s="50"/>
    </row>
    <row r="329">
      <c r="C329" s="50"/>
    </row>
    <row r="330">
      <c r="C330" s="50"/>
    </row>
    <row r="331">
      <c r="C331" s="50"/>
    </row>
    <row r="332">
      <c r="C332" s="50"/>
    </row>
    <row r="333">
      <c r="C333" s="50"/>
    </row>
    <row r="334">
      <c r="C334" s="50"/>
    </row>
    <row r="335">
      <c r="C335" s="50"/>
    </row>
    <row r="336">
      <c r="C336" s="50"/>
    </row>
    <row r="337">
      <c r="C337" s="50"/>
    </row>
    <row r="338">
      <c r="C338" s="50"/>
    </row>
    <row r="339">
      <c r="C339" s="50"/>
    </row>
    <row r="340">
      <c r="C340" s="50"/>
    </row>
    <row r="341">
      <c r="C341" s="50"/>
    </row>
    <row r="342">
      <c r="C342" s="50"/>
    </row>
    <row r="343">
      <c r="C343" s="50"/>
    </row>
    <row r="344">
      <c r="C344" s="50"/>
    </row>
    <row r="345">
      <c r="C345" s="50"/>
    </row>
    <row r="346">
      <c r="C346" s="50"/>
    </row>
    <row r="347">
      <c r="C347" s="50"/>
    </row>
    <row r="348">
      <c r="C348" s="50"/>
    </row>
    <row r="349">
      <c r="C349" s="50"/>
    </row>
    <row r="350">
      <c r="C350" s="50"/>
    </row>
    <row r="351">
      <c r="C351" s="50"/>
    </row>
    <row r="352">
      <c r="C352" s="50"/>
    </row>
    <row r="353">
      <c r="C353" s="50"/>
    </row>
    <row r="354">
      <c r="C354" s="50"/>
    </row>
    <row r="355">
      <c r="C355" s="50"/>
    </row>
    <row r="356">
      <c r="C356" s="50"/>
    </row>
    <row r="357">
      <c r="C357" s="50"/>
    </row>
    <row r="358">
      <c r="C358" s="50"/>
    </row>
    <row r="359">
      <c r="C359" s="50"/>
    </row>
    <row r="360">
      <c r="C360" s="50"/>
    </row>
    <row r="361">
      <c r="C361" s="50"/>
    </row>
    <row r="362">
      <c r="C362" s="50"/>
    </row>
    <row r="363">
      <c r="C363" s="50"/>
    </row>
    <row r="364">
      <c r="C364" s="50"/>
    </row>
    <row r="365">
      <c r="C365" s="50"/>
    </row>
    <row r="366">
      <c r="C366" s="50"/>
    </row>
    <row r="367">
      <c r="C367" s="50"/>
    </row>
    <row r="368">
      <c r="C368" s="50"/>
    </row>
    <row r="369">
      <c r="C369" s="50"/>
    </row>
    <row r="370">
      <c r="C370" s="50"/>
    </row>
    <row r="371">
      <c r="C371" s="50"/>
    </row>
    <row r="372">
      <c r="C372" s="50"/>
    </row>
    <row r="373">
      <c r="C373" s="50"/>
    </row>
    <row r="374">
      <c r="C374" s="50"/>
    </row>
    <row r="375">
      <c r="C375" s="50"/>
    </row>
    <row r="376">
      <c r="C376" s="50"/>
    </row>
    <row r="377">
      <c r="C377" s="50"/>
    </row>
    <row r="378">
      <c r="C378" s="50"/>
    </row>
    <row r="379">
      <c r="C379" s="50"/>
    </row>
    <row r="380">
      <c r="C380" s="50"/>
    </row>
    <row r="381">
      <c r="C381" s="50"/>
    </row>
    <row r="382">
      <c r="C382" s="50"/>
    </row>
    <row r="383">
      <c r="C383" s="50"/>
    </row>
    <row r="384">
      <c r="C384" s="50"/>
    </row>
    <row r="385">
      <c r="C385" s="50"/>
    </row>
    <row r="386">
      <c r="C386" s="50"/>
    </row>
    <row r="387">
      <c r="C387" s="50"/>
    </row>
    <row r="388">
      <c r="C388" s="50"/>
    </row>
    <row r="389">
      <c r="C389" s="50"/>
    </row>
    <row r="390">
      <c r="C390" s="50"/>
    </row>
    <row r="391">
      <c r="C391" s="50"/>
    </row>
    <row r="392">
      <c r="C392" s="50"/>
    </row>
    <row r="393">
      <c r="C393" s="50"/>
    </row>
    <row r="394">
      <c r="C394" s="50"/>
    </row>
    <row r="395">
      <c r="C395" s="50"/>
    </row>
    <row r="396">
      <c r="C396" s="50"/>
    </row>
    <row r="397">
      <c r="C397" s="50"/>
    </row>
    <row r="398">
      <c r="C398" s="50"/>
    </row>
    <row r="399">
      <c r="C399" s="50"/>
    </row>
    <row r="400">
      <c r="C400" s="50"/>
    </row>
    <row r="401">
      <c r="C401" s="50"/>
    </row>
    <row r="402">
      <c r="C402" s="50"/>
    </row>
    <row r="403">
      <c r="C403" s="50"/>
    </row>
    <row r="404">
      <c r="C404" s="50"/>
    </row>
    <row r="405">
      <c r="C405" s="50"/>
    </row>
    <row r="406">
      <c r="C406" s="50"/>
    </row>
    <row r="407">
      <c r="C407" s="50"/>
    </row>
    <row r="408">
      <c r="C408" s="50"/>
    </row>
    <row r="409">
      <c r="C409" s="50"/>
    </row>
    <row r="410">
      <c r="C410" s="50"/>
    </row>
    <row r="411">
      <c r="C411" s="50"/>
    </row>
    <row r="412">
      <c r="C412" s="50"/>
    </row>
    <row r="413">
      <c r="C413" s="50"/>
    </row>
    <row r="414">
      <c r="C414" s="50"/>
    </row>
    <row r="415">
      <c r="C415" s="50"/>
    </row>
    <row r="416">
      <c r="C416" s="50"/>
    </row>
    <row r="417">
      <c r="C417" s="50"/>
    </row>
    <row r="418">
      <c r="C418" s="50"/>
    </row>
    <row r="419">
      <c r="C419" s="50"/>
    </row>
    <row r="420">
      <c r="C420" s="50"/>
    </row>
    <row r="421">
      <c r="C421" s="50"/>
    </row>
    <row r="422">
      <c r="C422" s="50"/>
    </row>
    <row r="423">
      <c r="C423" s="50"/>
    </row>
    <row r="424">
      <c r="C424" s="50"/>
    </row>
    <row r="425">
      <c r="C425" s="50"/>
    </row>
    <row r="426">
      <c r="C426" s="50"/>
    </row>
    <row r="427">
      <c r="C427" s="50"/>
    </row>
    <row r="428">
      <c r="C428" s="50"/>
    </row>
    <row r="429">
      <c r="C429" s="50"/>
    </row>
    <row r="430">
      <c r="C430" s="50"/>
    </row>
    <row r="431">
      <c r="C431" s="50"/>
    </row>
    <row r="432">
      <c r="C432" s="50"/>
    </row>
    <row r="433">
      <c r="C433" s="50"/>
    </row>
    <row r="434">
      <c r="C434" s="50"/>
    </row>
    <row r="435">
      <c r="C435" s="50"/>
    </row>
    <row r="436">
      <c r="C436" s="50"/>
    </row>
    <row r="437">
      <c r="C437" s="50"/>
    </row>
    <row r="438">
      <c r="C438" s="50"/>
    </row>
    <row r="439">
      <c r="C439" s="50"/>
    </row>
    <row r="440">
      <c r="C440" s="50"/>
    </row>
    <row r="441">
      <c r="C441" s="50"/>
    </row>
    <row r="442">
      <c r="C442" s="50"/>
    </row>
    <row r="443">
      <c r="C443" s="50"/>
    </row>
    <row r="444">
      <c r="C444" s="50"/>
    </row>
    <row r="445">
      <c r="C445" s="50"/>
    </row>
    <row r="446">
      <c r="C446" s="50"/>
    </row>
    <row r="447">
      <c r="C447" s="50"/>
    </row>
    <row r="448">
      <c r="C448" s="50"/>
    </row>
    <row r="449">
      <c r="C449" s="50"/>
    </row>
    <row r="450">
      <c r="C450" s="50"/>
    </row>
    <row r="451">
      <c r="C451" s="50"/>
    </row>
    <row r="452">
      <c r="C452" s="50"/>
    </row>
    <row r="453">
      <c r="C453" s="50"/>
    </row>
    <row r="454">
      <c r="C454" s="50"/>
    </row>
    <row r="455">
      <c r="C455" s="50"/>
    </row>
    <row r="456">
      <c r="C456" s="50"/>
    </row>
    <row r="457">
      <c r="C457" s="50"/>
    </row>
    <row r="458">
      <c r="C458" s="50"/>
    </row>
    <row r="459">
      <c r="C459" s="50"/>
    </row>
    <row r="460">
      <c r="C460" s="50"/>
    </row>
    <row r="461">
      <c r="C461" s="50"/>
    </row>
    <row r="462">
      <c r="C462" s="50"/>
    </row>
    <row r="463">
      <c r="C463" s="50"/>
    </row>
    <row r="464">
      <c r="C464" s="50"/>
    </row>
    <row r="465">
      <c r="C465" s="50"/>
    </row>
    <row r="466">
      <c r="C466" s="50"/>
    </row>
    <row r="467">
      <c r="C467" s="50"/>
    </row>
    <row r="468">
      <c r="C468" s="50"/>
    </row>
    <row r="469">
      <c r="C469" s="50"/>
    </row>
    <row r="470">
      <c r="C470" s="50"/>
    </row>
    <row r="471">
      <c r="C471" s="50"/>
    </row>
    <row r="472">
      <c r="C472" s="50"/>
    </row>
    <row r="473">
      <c r="C473" s="50"/>
    </row>
    <row r="474">
      <c r="C474" s="50"/>
    </row>
    <row r="475">
      <c r="C475" s="50"/>
    </row>
    <row r="476">
      <c r="C476" s="50"/>
    </row>
    <row r="477">
      <c r="C477" s="50"/>
    </row>
    <row r="478">
      <c r="C478" s="50"/>
    </row>
    <row r="479">
      <c r="C479" s="50"/>
    </row>
    <row r="480">
      <c r="C480" s="50"/>
    </row>
    <row r="481">
      <c r="C481" s="50"/>
    </row>
    <row r="482">
      <c r="C482" s="50"/>
    </row>
    <row r="483">
      <c r="C483" s="50"/>
    </row>
    <row r="484">
      <c r="C484" s="50"/>
    </row>
    <row r="485">
      <c r="C485" s="50"/>
    </row>
    <row r="486">
      <c r="C486" s="50"/>
    </row>
    <row r="487">
      <c r="C487" s="50"/>
    </row>
    <row r="488">
      <c r="C488" s="50"/>
    </row>
    <row r="489">
      <c r="C489" s="50"/>
    </row>
    <row r="490">
      <c r="C490" s="50"/>
    </row>
    <row r="491">
      <c r="C491" s="50"/>
    </row>
    <row r="492">
      <c r="C492" s="50"/>
    </row>
    <row r="493">
      <c r="C493" s="50"/>
    </row>
    <row r="494">
      <c r="C494" s="50"/>
    </row>
    <row r="495">
      <c r="C495" s="50"/>
    </row>
    <row r="496">
      <c r="C496" s="50"/>
    </row>
    <row r="497">
      <c r="C497" s="50"/>
    </row>
    <row r="498">
      <c r="C498" s="50"/>
    </row>
    <row r="499">
      <c r="C499" s="50"/>
    </row>
    <row r="500">
      <c r="C500" s="50"/>
    </row>
    <row r="501">
      <c r="C501" s="50"/>
    </row>
    <row r="502">
      <c r="C502" s="50"/>
    </row>
    <row r="503">
      <c r="C503" s="50"/>
    </row>
    <row r="504">
      <c r="C504" s="50"/>
    </row>
    <row r="505">
      <c r="C505" s="50"/>
    </row>
    <row r="506">
      <c r="C506" s="50"/>
    </row>
    <row r="507">
      <c r="C507" s="50"/>
    </row>
    <row r="508">
      <c r="C508" s="50"/>
    </row>
    <row r="509">
      <c r="C509" s="50"/>
    </row>
    <row r="510">
      <c r="C510" s="50"/>
    </row>
    <row r="511">
      <c r="C511" s="50"/>
    </row>
    <row r="512">
      <c r="C512" s="50"/>
    </row>
    <row r="513">
      <c r="C513" s="50"/>
    </row>
    <row r="514">
      <c r="C514" s="50"/>
    </row>
    <row r="515">
      <c r="C515" s="50"/>
    </row>
    <row r="516">
      <c r="C516" s="50"/>
    </row>
    <row r="517">
      <c r="C517" s="50"/>
    </row>
    <row r="518">
      <c r="C518" s="50"/>
    </row>
    <row r="519">
      <c r="C519" s="50"/>
    </row>
    <row r="520">
      <c r="C520" s="50"/>
    </row>
    <row r="521">
      <c r="C521" s="50"/>
    </row>
    <row r="522">
      <c r="C522" s="50"/>
    </row>
    <row r="523">
      <c r="C523" s="50"/>
    </row>
    <row r="524">
      <c r="C524" s="50"/>
    </row>
    <row r="525">
      <c r="C525" s="50"/>
    </row>
    <row r="526">
      <c r="C526" s="50"/>
    </row>
    <row r="527">
      <c r="C527" s="50"/>
    </row>
    <row r="528">
      <c r="C528" s="50"/>
    </row>
    <row r="529">
      <c r="C529" s="50"/>
    </row>
    <row r="530">
      <c r="C530" s="50"/>
    </row>
    <row r="531">
      <c r="C531" s="50"/>
    </row>
    <row r="532">
      <c r="C532" s="50"/>
    </row>
    <row r="533">
      <c r="C533" s="50"/>
    </row>
    <row r="534">
      <c r="C534" s="50"/>
    </row>
    <row r="535">
      <c r="C535" s="50"/>
    </row>
    <row r="536">
      <c r="C536" s="50"/>
    </row>
    <row r="537">
      <c r="C537" s="50"/>
    </row>
    <row r="538">
      <c r="C538" s="50"/>
    </row>
    <row r="539">
      <c r="C539" s="50"/>
    </row>
    <row r="540">
      <c r="C540" s="50"/>
    </row>
    <row r="541">
      <c r="C541" s="50"/>
    </row>
    <row r="542">
      <c r="C542" s="50"/>
    </row>
    <row r="543">
      <c r="C543" s="50"/>
    </row>
    <row r="544">
      <c r="C544" s="50"/>
    </row>
    <row r="545">
      <c r="C545" s="50"/>
    </row>
    <row r="546">
      <c r="C546" s="50"/>
    </row>
    <row r="547">
      <c r="C547" s="50"/>
    </row>
    <row r="548">
      <c r="C548" s="50"/>
    </row>
    <row r="549">
      <c r="C549" s="50"/>
    </row>
    <row r="550">
      <c r="C550" s="50"/>
    </row>
    <row r="551">
      <c r="C551" s="50"/>
    </row>
    <row r="552">
      <c r="C552" s="50"/>
    </row>
    <row r="553">
      <c r="C553" s="50"/>
    </row>
    <row r="554">
      <c r="C554" s="50"/>
    </row>
    <row r="555">
      <c r="C555" s="50"/>
    </row>
    <row r="556">
      <c r="C556" s="50"/>
    </row>
    <row r="557">
      <c r="C557" s="50"/>
    </row>
    <row r="558">
      <c r="C558" s="50"/>
    </row>
    <row r="559">
      <c r="C559" s="50"/>
    </row>
    <row r="560">
      <c r="C560" s="50"/>
    </row>
    <row r="561">
      <c r="C561" s="50"/>
    </row>
    <row r="562">
      <c r="C562" s="50"/>
    </row>
    <row r="563">
      <c r="C563" s="50"/>
    </row>
    <row r="564">
      <c r="C564" s="50"/>
    </row>
    <row r="565">
      <c r="C565" s="50"/>
    </row>
    <row r="566">
      <c r="C566" s="50"/>
    </row>
    <row r="567">
      <c r="C567" s="50"/>
    </row>
    <row r="568">
      <c r="C568" s="50"/>
    </row>
    <row r="569">
      <c r="C569" s="50"/>
    </row>
    <row r="570">
      <c r="C570" s="50"/>
    </row>
    <row r="571">
      <c r="C571" s="50"/>
    </row>
    <row r="572">
      <c r="C572" s="50"/>
    </row>
    <row r="573">
      <c r="C573" s="50"/>
    </row>
    <row r="574">
      <c r="C574" s="50"/>
    </row>
    <row r="575">
      <c r="C575" s="50"/>
    </row>
    <row r="576">
      <c r="C576" s="50"/>
    </row>
    <row r="577">
      <c r="C577" s="50"/>
    </row>
    <row r="578">
      <c r="C578" s="50"/>
    </row>
    <row r="579">
      <c r="C579" s="50"/>
    </row>
    <row r="580">
      <c r="C580" s="50"/>
    </row>
    <row r="581">
      <c r="C581" s="50"/>
    </row>
    <row r="582">
      <c r="C582" s="50"/>
    </row>
    <row r="583">
      <c r="C583" s="50"/>
    </row>
    <row r="584">
      <c r="C584" s="50"/>
    </row>
    <row r="585">
      <c r="C585" s="50"/>
    </row>
    <row r="586">
      <c r="C586" s="50"/>
    </row>
    <row r="587">
      <c r="C587" s="50"/>
    </row>
    <row r="588">
      <c r="C588" s="50"/>
    </row>
    <row r="589">
      <c r="C589" s="50"/>
    </row>
    <row r="590">
      <c r="C590" s="50"/>
    </row>
    <row r="591">
      <c r="C591" s="50"/>
    </row>
    <row r="592">
      <c r="C592" s="50"/>
    </row>
    <row r="593">
      <c r="C593" s="50"/>
    </row>
    <row r="594">
      <c r="C594" s="50"/>
    </row>
    <row r="595">
      <c r="C595" s="50"/>
    </row>
    <row r="596">
      <c r="C596" s="50"/>
    </row>
    <row r="597">
      <c r="C597" s="50"/>
    </row>
    <row r="598">
      <c r="C598" s="50"/>
    </row>
    <row r="599">
      <c r="C599" s="50"/>
    </row>
    <row r="600">
      <c r="C600" s="50"/>
    </row>
    <row r="601">
      <c r="C601" s="50"/>
    </row>
    <row r="602">
      <c r="C602" s="50"/>
    </row>
    <row r="603">
      <c r="C603" s="50"/>
    </row>
    <row r="604">
      <c r="C604" s="50"/>
    </row>
    <row r="605">
      <c r="C605" s="50"/>
    </row>
    <row r="606">
      <c r="C606" s="50"/>
    </row>
    <row r="607">
      <c r="C607" s="50"/>
    </row>
    <row r="608">
      <c r="C608" s="50"/>
    </row>
    <row r="609">
      <c r="C609" s="50"/>
    </row>
    <row r="610">
      <c r="C610" s="50"/>
    </row>
    <row r="611">
      <c r="C611" s="50"/>
    </row>
    <row r="612">
      <c r="C612" s="50"/>
    </row>
    <row r="613">
      <c r="C613" s="50"/>
    </row>
    <row r="614">
      <c r="C614" s="50"/>
    </row>
    <row r="615">
      <c r="C615" s="50"/>
    </row>
    <row r="616">
      <c r="C616" s="50"/>
    </row>
    <row r="617">
      <c r="C617" s="50"/>
    </row>
    <row r="618">
      <c r="C618" s="50"/>
    </row>
    <row r="619">
      <c r="C619" s="50"/>
    </row>
    <row r="620">
      <c r="C620" s="50"/>
    </row>
    <row r="621">
      <c r="C621" s="50"/>
    </row>
    <row r="622">
      <c r="C622" s="50"/>
    </row>
    <row r="623">
      <c r="C623" s="50"/>
    </row>
    <row r="624">
      <c r="C624" s="50"/>
    </row>
    <row r="625">
      <c r="C625" s="50"/>
    </row>
    <row r="626">
      <c r="C626" s="50"/>
    </row>
    <row r="627">
      <c r="C627" s="50"/>
    </row>
    <row r="628">
      <c r="C628" s="50"/>
    </row>
    <row r="629">
      <c r="C629" s="50"/>
    </row>
    <row r="630">
      <c r="C630" s="50"/>
    </row>
    <row r="631">
      <c r="C631" s="50"/>
    </row>
    <row r="632">
      <c r="C632" s="50"/>
    </row>
    <row r="633">
      <c r="C633" s="50"/>
    </row>
    <row r="634">
      <c r="C634" s="50"/>
    </row>
    <row r="635">
      <c r="C635" s="50"/>
    </row>
    <row r="636">
      <c r="C636" s="50"/>
    </row>
    <row r="637">
      <c r="C637" s="50"/>
    </row>
    <row r="638">
      <c r="C638" s="50"/>
    </row>
    <row r="639">
      <c r="C639" s="50"/>
    </row>
    <row r="640">
      <c r="C640" s="50"/>
    </row>
    <row r="641">
      <c r="C641" s="50"/>
    </row>
    <row r="642">
      <c r="C642" s="50"/>
    </row>
    <row r="643">
      <c r="C643" s="50"/>
    </row>
    <row r="644">
      <c r="C644" s="50"/>
    </row>
    <row r="645">
      <c r="C645" s="50"/>
    </row>
    <row r="646">
      <c r="C646" s="50"/>
    </row>
    <row r="647">
      <c r="C647" s="50"/>
    </row>
    <row r="648">
      <c r="C648" s="50"/>
    </row>
    <row r="649">
      <c r="C649" s="50"/>
    </row>
    <row r="650">
      <c r="C650" s="50"/>
    </row>
    <row r="651">
      <c r="C651" s="50"/>
    </row>
    <row r="652">
      <c r="C652" s="50"/>
    </row>
    <row r="653">
      <c r="C653" s="50"/>
    </row>
    <row r="654">
      <c r="C654" s="50"/>
    </row>
    <row r="655">
      <c r="C655" s="50"/>
    </row>
    <row r="656">
      <c r="C656" s="50"/>
    </row>
    <row r="657">
      <c r="C657" s="50"/>
    </row>
    <row r="658">
      <c r="C658" s="50"/>
    </row>
    <row r="659">
      <c r="C659" s="50"/>
    </row>
    <row r="660">
      <c r="C660" s="50"/>
    </row>
    <row r="661">
      <c r="C661" s="50"/>
    </row>
    <row r="662">
      <c r="C662" s="50"/>
    </row>
    <row r="663">
      <c r="C663" s="50"/>
    </row>
    <row r="664">
      <c r="C664" s="50"/>
    </row>
    <row r="665">
      <c r="C665" s="50"/>
    </row>
    <row r="666">
      <c r="C666" s="50"/>
    </row>
    <row r="667">
      <c r="C667" s="50"/>
    </row>
    <row r="668">
      <c r="C668" s="50"/>
    </row>
    <row r="669">
      <c r="C669" s="50"/>
    </row>
    <row r="670">
      <c r="C670" s="50"/>
    </row>
    <row r="671">
      <c r="C671" s="50"/>
    </row>
    <row r="672">
      <c r="C672" s="50"/>
    </row>
    <row r="673">
      <c r="C673" s="50"/>
    </row>
    <row r="674">
      <c r="C674" s="50"/>
    </row>
    <row r="675">
      <c r="C675" s="50"/>
    </row>
    <row r="676">
      <c r="C676" s="50"/>
    </row>
    <row r="677">
      <c r="C677" s="50"/>
    </row>
    <row r="678">
      <c r="C678" s="50"/>
    </row>
    <row r="679">
      <c r="C679" s="50"/>
    </row>
    <row r="680">
      <c r="C680" s="50"/>
    </row>
    <row r="681">
      <c r="C681" s="50"/>
    </row>
    <row r="682">
      <c r="C682" s="50"/>
    </row>
    <row r="683">
      <c r="C683" s="50"/>
    </row>
    <row r="684">
      <c r="C684" s="50"/>
    </row>
    <row r="685">
      <c r="C685" s="50"/>
    </row>
    <row r="686">
      <c r="C686" s="50"/>
    </row>
    <row r="687">
      <c r="C687" s="50"/>
    </row>
    <row r="688">
      <c r="C688" s="50"/>
    </row>
    <row r="689">
      <c r="C689" s="50"/>
    </row>
    <row r="690">
      <c r="C690" s="50"/>
    </row>
    <row r="691">
      <c r="C691" s="50"/>
    </row>
    <row r="692">
      <c r="C692" s="50"/>
    </row>
    <row r="693">
      <c r="C693" s="50"/>
    </row>
    <row r="694">
      <c r="C694" s="50"/>
    </row>
    <row r="695">
      <c r="C695" s="50"/>
    </row>
    <row r="696">
      <c r="C696" s="50"/>
    </row>
    <row r="697">
      <c r="C697" s="50"/>
    </row>
    <row r="698">
      <c r="C698" s="50"/>
    </row>
    <row r="699">
      <c r="C699" s="50"/>
    </row>
    <row r="700">
      <c r="C700" s="50"/>
    </row>
    <row r="701">
      <c r="C701" s="50"/>
    </row>
    <row r="702">
      <c r="C702" s="50"/>
    </row>
    <row r="703">
      <c r="C703" s="50"/>
    </row>
    <row r="704">
      <c r="C704" s="50"/>
    </row>
    <row r="705">
      <c r="C705" s="50"/>
    </row>
    <row r="706">
      <c r="C706" s="50"/>
    </row>
    <row r="707">
      <c r="C707" s="50"/>
    </row>
    <row r="708">
      <c r="C708" s="50"/>
    </row>
    <row r="709">
      <c r="C709" s="50"/>
    </row>
    <row r="710">
      <c r="C710" s="50"/>
    </row>
    <row r="711">
      <c r="C711" s="50"/>
    </row>
    <row r="712">
      <c r="C712" s="50"/>
    </row>
    <row r="713">
      <c r="C713" s="50"/>
    </row>
    <row r="714">
      <c r="C714" s="50"/>
    </row>
    <row r="715">
      <c r="C715" s="50"/>
    </row>
    <row r="716">
      <c r="C716" s="50"/>
    </row>
    <row r="717">
      <c r="C717" s="50"/>
    </row>
    <row r="718">
      <c r="C718" s="50"/>
    </row>
    <row r="719">
      <c r="C719" s="50"/>
    </row>
    <row r="720">
      <c r="C720" s="50"/>
    </row>
    <row r="721">
      <c r="C721" s="50"/>
    </row>
    <row r="722">
      <c r="C722" s="50"/>
    </row>
    <row r="723">
      <c r="C723" s="50"/>
    </row>
    <row r="724">
      <c r="C724" s="50"/>
    </row>
    <row r="725">
      <c r="C725" s="50"/>
    </row>
    <row r="726">
      <c r="C726" s="50"/>
    </row>
    <row r="727">
      <c r="C727" s="50"/>
    </row>
    <row r="728">
      <c r="C728" s="50"/>
    </row>
    <row r="729">
      <c r="C729" s="50"/>
    </row>
    <row r="730">
      <c r="C730" s="50"/>
    </row>
    <row r="731">
      <c r="C731" s="50"/>
    </row>
    <row r="732">
      <c r="C732" s="50"/>
    </row>
    <row r="733">
      <c r="C733" s="50"/>
    </row>
    <row r="734">
      <c r="C734" s="50"/>
    </row>
    <row r="735">
      <c r="C735" s="50"/>
    </row>
    <row r="736">
      <c r="C736" s="50"/>
    </row>
    <row r="737">
      <c r="C737" s="50"/>
    </row>
    <row r="738">
      <c r="C738" s="50"/>
    </row>
    <row r="739">
      <c r="C739" s="50"/>
    </row>
    <row r="740">
      <c r="C740" s="50"/>
    </row>
    <row r="741">
      <c r="C741" s="50"/>
    </row>
    <row r="742">
      <c r="C742" s="50"/>
    </row>
    <row r="743">
      <c r="C743" s="50"/>
    </row>
    <row r="744">
      <c r="C744" s="50"/>
    </row>
    <row r="745">
      <c r="C745" s="50"/>
    </row>
    <row r="746">
      <c r="C746" s="50"/>
    </row>
    <row r="747">
      <c r="C747" s="50"/>
    </row>
    <row r="748">
      <c r="C748" s="50"/>
    </row>
    <row r="749">
      <c r="C749" s="50"/>
    </row>
    <row r="750">
      <c r="C750" s="50"/>
    </row>
    <row r="751">
      <c r="C751" s="50"/>
    </row>
    <row r="752">
      <c r="C752" s="50"/>
    </row>
    <row r="753">
      <c r="C753" s="50"/>
    </row>
    <row r="754">
      <c r="C754" s="50"/>
    </row>
    <row r="755">
      <c r="C755" s="50"/>
    </row>
    <row r="756">
      <c r="C756" s="50"/>
    </row>
    <row r="757">
      <c r="C757" s="50"/>
    </row>
    <row r="758">
      <c r="C758" s="50"/>
    </row>
    <row r="759">
      <c r="C759" s="50"/>
    </row>
    <row r="760">
      <c r="C760" s="50"/>
    </row>
    <row r="761">
      <c r="C761" s="50"/>
    </row>
    <row r="762">
      <c r="C762" s="50"/>
    </row>
    <row r="763">
      <c r="C763" s="50"/>
    </row>
    <row r="764">
      <c r="C764" s="50"/>
    </row>
    <row r="765">
      <c r="C765" s="50"/>
    </row>
    <row r="766">
      <c r="C766" s="50"/>
    </row>
    <row r="767">
      <c r="C767" s="50"/>
    </row>
    <row r="768">
      <c r="C768" s="50"/>
    </row>
    <row r="769">
      <c r="C769" s="50"/>
    </row>
    <row r="770">
      <c r="C770" s="50"/>
    </row>
    <row r="771">
      <c r="C771" s="50"/>
    </row>
    <row r="772">
      <c r="C772" s="50"/>
    </row>
    <row r="773">
      <c r="C773" s="50"/>
    </row>
    <row r="774">
      <c r="C774" s="50"/>
    </row>
    <row r="775">
      <c r="C775" s="50"/>
    </row>
    <row r="776">
      <c r="C776" s="50"/>
    </row>
    <row r="777">
      <c r="C777" s="50"/>
    </row>
    <row r="778">
      <c r="C778" s="50"/>
    </row>
    <row r="779">
      <c r="C779" s="50"/>
    </row>
    <row r="780">
      <c r="C780" s="50"/>
    </row>
    <row r="781">
      <c r="C781" s="50"/>
    </row>
    <row r="782">
      <c r="C782" s="50"/>
    </row>
    <row r="783">
      <c r="C783" s="50"/>
    </row>
    <row r="784">
      <c r="C784" s="50"/>
    </row>
    <row r="785">
      <c r="C785" s="50"/>
    </row>
    <row r="786">
      <c r="C786" s="50"/>
    </row>
    <row r="787">
      <c r="C787" s="50"/>
    </row>
    <row r="788">
      <c r="C788" s="50"/>
    </row>
    <row r="789">
      <c r="C789" s="50"/>
    </row>
    <row r="790">
      <c r="C790" s="50"/>
    </row>
    <row r="791">
      <c r="C791" s="50"/>
    </row>
    <row r="792">
      <c r="C792" s="50"/>
    </row>
    <row r="793">
      <c r="C793" s="50"/>
    </row>
    <row r="794">
      <c r="C794" s="50"/>
    </row>
    <row r="795">
      <c r="C795" s="50"/>
    </row>
    <row r="796">
      <c r="C796" s="50"/>
    </row>
    <row r="797">
      <c r="C797" s="50"/>
    </row>
    <row r="798">
      <c r="C798" s="50"/>
    </row>
    <row r="799">
      <c r="C799" s="50"/>
    </row>
    <row r="800">
      <c r="C800" s="50"/>
    </row>
    <row r="801">
      <c r="C801" s="50"/>
    </row>
    <row r="802">
      <c r="C802" s="50"/>
    </row>
    <row r="803">
      <c r="C803" s="50"/>
    </row>
    <row r="804">
      <c r="C804" s="50"/>
    </row>
    <row r="805">
      <c r="C805" s="50"/>
    </row>
    <row r="806">
      <c r="C806" s="50"/>
    </row>
    <row r="807">
      <c r="C807" s="50"/>
    </row>
    <row r="808">
      <c r="C808" s="50"/>
    </row>
    <row r="809">
      <c r="C809" s="50"/>
    </row>
    <row r="810">
      <c r="C810" s="50"/>
    </row>
    <row r="811">
      <c r="C811" s="50"/>
    </row>
    <row r="812">
      <c r="C812" s="50"/>
    </row>
    <row r="813">
      <c r="C813" s="50"/>
    </row>
    <row r="814">
      <c r="C814" s="50"/>
    </row>
    <row r="815">
      <c r="C815" s="50"/>
    </row>
    <row r="816">
      <c r="C816" s="50"/>
    </row>
    <row r="817">
      <c r="C817" s="50"/>
    </row>
    <row r="818">
      <c r="C818" s="50"/>
    </row>
    <row r="819">
      <c r="C819" s="50"/>
    </row>
    <row r="820">
      <c r="C820" s="50"/>
    </row>
    <row r="821">
      <c r="C821" s="50"/>
    </row>
    <row r="822">
      <c r="C822" s="50"/>
    </row>
    <row r="823">
      <c r="C823" s="50"/>
    </row>
    <row r="824">
      <c r="C824" s="50"/>
    </row>
    <row r="825">
      <c r="C825" s="50"/>
    </row>
    <row r="826">
      <c r="C826" s="50"/>
    </row>
    <row r="827">
      <c r="C827" s="50"/>
    </row>
    <row r="828">
      <c r="C828" s="50"/>
    </row>
    <row r="829">
      <c r="C829" s="50"/>
    </row>
    <row r="830">
      <c r="C830" s="50"/>
    </row>
    <row r="831">
      <c r="C831" s="50"/>
    </row>
    <row r="832">
      <c r="C832" s="50"/>
    </row>
    <row r="833">
      <c r="C833" s="50"/>
    </row>
    <row r="834">
      <c r="C834" s="50"/>
    </row>
    <row r="835">
      <c r="C835" s="50"/>
    </row>
    <row r="836">
      <c r="C836" s="50"/>
    </row>
    <row r="837">
      <c r="C837" s="50"/>
    </row>
    <row r="838">
      <c r="C838" s="50"/>
    </row>
    <row r="839">
      <c r="C839" s="50"/>
    </row>
    <row r="840">
      <c r="C840" s="50"/>
    </row>
    <row r="841">
      <c r="C841" s="50"/>
    </row>
    <row r="842">
      <c r="C842" s="50"/>
    </row>
    <row r="843">
      <c r="C843" s="50"/>
    </row>
    <row r="844">
      <c r="C844" s="50"/>
    </row>
    <row r="845">
      <c r="C845" s="50"/>
    </row>
    <row r="846">
      <c r="C846" s="50"/>
    </row>
    <row r="847">
      <c r="C847" s="50"/>
    </row>
    <row r="848">
      <c r="C848" s="50"/>
    </row>
    <row r="849">
      <c r="C849" s="50"/>
    </row>
    <row r="850">
      <c r="C850" s="50"/>
    </row>
    <row r="851">
      <c r="C851" s="50"/>
    </row>
    <row r="852">
      <c r="C852" s="50"/>
    </row>
    <row r="853">
      <c r="C853" s="50"/>
    </row>
    <row r="854">
      <c r="C854" s="50"/>
    </row>
    <row r="855">
      <c r="C855" s="50"/>
    </row>
    <row r="856">
      <c r="C856" s="50"/>
    </row>
    <row r="857">
      <c r="C857" s="50"/>
    </row>
    <row r="858">
      <c r="C858" s="50"/>
    </row>
    <row r="859">
      <c r="C859" s="50"/>
    </row>
    <row r="860">
      <c r="C860" s="50"/>
    </row>
    <row r="861">
      <c r="C861" s="50"/>
    </row>
    <row r="862">
      <c r="C862" s="50"/>
    </row>
    <row r="863">
      <c r="C863" s="50"/>
    </row>
    <row r="864">
      <c r="C864" s="50"/>
    </row>
    <row r="865">
      <c r="C865" s="50"/>
    </row>
    <row r="866">
      <c r="C866" s="50"/>
    </row>
    <row r="867">
      <c r="C867" s="50"/>
    </row>
    <row r="868">
      <c r="C868" s="50"/>
    </row>
    <row r="869">
      <c r="C869" s="50"/>
    </row>
    <row r="870">
      <c r="C870" s="50"/>
    </row>
    <row r="871">
      <c r="C871" s="50"/>
    </row>
    <row r="872">
      <c r="C872" s="50"/>
    </row>
    <row r="873">
      <c r="C873" s="50"/>
    </row>
    <row r="874">
      <c r="C874" s="50"/>
    </row>
    <row r="875">
      <c r="C875" s="50"/>
    </row>
    <row r="876">
      <c r="C876" s="50"/>
    </row>
    <row r="877">
      <c r="C877" s="50"/>
    </row>
    <row r="878">
      <c r="C878" s="50"/>
    </row>
    <row r="879">
      <c r="C879" s="50"/>
    </row>
    <row r="880">
      <c r="C880" s="50"/>
    </row>
    <row r="881">
      <c r="C881" s="50"/>
    </row>
    <row r="882">
      <c r="C882" s="50"/>
    </row>
    <row r="883">
      <c r="C883" s="50"/>
    </row>
    <row r="884">
      <c r="C884" s="50"/>
    </row>
    <row r="885">
      <c r="C885" s="50"/>
    </row>
    <row r="886">
      <c r="C886" s="50"/>
    </row>
    <row r="887">
      <c r="C887" s="50"/>
    </row>
    <row r="888">
      <c r="C888" s="50"/>
    </row>
    <row r="889">
      <c r="C889" s="50"/>
    </row>
    <row r="890">
      <c r="C890" s="50"/>
    </row>
    <row r="891">
      <c r="C891" s="50"/>
    </row>
    <row r="892">
      <c r="C892" s="50"/>
    </row>
    <row r="893">
      <c r="C893" s="50"/>
    </row>
    <row r="894">
      <c r="C894" s="50"/>
    </row>
    <row r="895">
      <c r="C895" s="50"/>
    </row>
    <row r="896">
      <c r="C896" s="50"/>
    </row>
    <row r="897">
      <c r="C897" s="50"/>
    </row>
    <row r="898">
      <c r="C898" s="50"/>
    </row>
    <row r="899">
      <c r="C899" s="50"/>
    </row>
    <row r="900">
      <c r="C900" s="50"/>
    </row>
    <row r="901">
      <c r="C901" s="50"/>
    </row>
    <row r="902">
      <c r="C902" s="50"/>
    </row>
    <row r="903">
      <c r="C903" s="50"/>
    </row>
    <row r="904">
      <c r="C904" s="50"/>
    </row>
    <row r="905">
      <c r="C905" s="50"/>
    </row>
    <row r="906">
      <c r="C906" s="50"/>
    </row>
    <row r="907">
      <c r="C907" s="50"/>
    </row>
    <row r="908">
      <c r="C908" s="50"/>
    </row>
    <row r="909">
      <c r="C909" s="50"/>
    </row>
    <row r="910">
      <c r="C910" s="50"/>
    </row>
    <row r="911">
      <c r="C911" s="50"/>
    </row>
    <row r="912">
      <c r="C912" s="50"/>
    </row>
    <row r="913">
      <c r="C913" s="50"/>
    </row>
    <row r="914">
      <c r="C914" s="50"/>
    </row>
    <row r="915">
      <c r="C915" s="50"/>
    </row>
    <row r="916">
      <c r="C916" s="50"/>
    </row>
    <row r="917">
      <c r="C917" s="50"/>
    </row>
    <row r="918">
      <c r="C918" s="50"/>
    </row>
    <row r="919">
      <c r="C919" s="50"/>
    </row>
    <row r="920">
      <c r="C920" s="50"/>
    </row>
    <row r="921">
      <c r="C921" s="50"/>
    </row>
    <row r="922">
      <c r="C922" s="50"/>
    </row>
    <row r="923">
      <c r="C923" s="50"/>
    </row>
    <row r="924">
      <c r="C924" s="50"/>
    </row>
    <row r="925">
      <c r="C925" s="50"/>
    </row>
    <row r="926">
      <c r="C926" s="50"/>
    </row>
    <row r="927">
      <c r="C927" s="50"/>
    </row>
    <row r="928">
      <c r="C928" s="50"/>
    </row>
    <row r="929">
      <c r="C929" s="50"/>
    </row>
    <row r="930">
      <c r="C930" s="50"/>
    </row>
    <row r="931">
      <c r="C931" s="50"/>
    </row>
    <row r="932">
      <c r="C932" s="50"/>
    </row>
    <row r="933">
      <c r="C933" s="50"/>
    </row>
    <row r="934">
      <c r="C934" s="50"/>
    </row>
    <row r="935">
      <c r="C935" s="50"/>
    </row>
    <row r="936">
      <c r="C936" s="50"/>
    </row>
    <row r="937">
      <c r="C937" s="50"/>
    </row>
    <row r="938">
      <c r="C938" s="50"/>
    </row>
    <row r="939">
      <c r="C939" s="50"/>
    </row>
    <row r="940">
      <c r="C940" s="50"/>
    </row>
    <row r="941">
      <c r="C941" s="50"/>
    </row>
    <row r="942">
      <c r="C942" s="50"/>
    </row>
    <row r="943">
      <c r="C943" s="50"/>
    </row>
    <row r="944">
      <c r="C944" s="50"/>
    </row>
    <row r="945">
      <c r="C945" s="50"/>
    </row>
    <row r="946">
      <c r="C946" s="50"/>
    </row>
    <row r="947">
      <c r="C947" s="50"/>
    </row>
    <row r="948">
      <c r="C948" s="50"/>
    </row>
    <row r="949">
      <c r="C949" s="50"/>
    </row>
    <row r="950">
      <c r="C950" s="50"/>
    </row>
    <row r="951">
      <c r="C951" s="50"/>
    </row>
    <row r="952">
      <c r="C952" s="50"/>
    </row>
    <row r="953">
      <c r="C953" s="50"/>
    </row>
    <row r="954">
      <c r="C954" s="50"/>
    </row>
    <row r="955">
      <c r="C955" s="50"/>
    </row>
    <row r="956">
      <c r="C956" s="50"/>
    </row>
    <row r="957">
      <c r="C957" s="50"/>
    </row>
    <row r="958">
      <c r="C958" s="50"/>
    </row>
    <row r="959">
      <c r="C959" s="50"/>
    </row>
    <row r="960">
      <c r="C960" s="50"/>
    </row>
    <row r="961">
      <c r="C961" s="50"/>
    </row>
    <row r="962">
      <c r="C962" s="50"/>
    </row>
    <row r="963">
      <c r="C963" s="50"/>
    </row>
    <row r="964">
      <c r="C964" s="50"/>
    </row>
    <row r="965">
      <c r="C965" s="50"/>
    </row>
    <row r="966">
      <c r="C966" s="50"/>
    </row>
    <row r="967">
      <c r="C967" s="50"/>
    </row>
    <row r="968">
      <c r="C968" s="50"/>
    </row>
    <row r="969">
      <c r="C969" s="50"/>
    </row>
    <row r="970">
      <c r="C970" s="50"/>
    </row>
    <row r="971">
      <c r="C971" s="50"/>
    </row>
    <row r="972">
      <c r="C972" s="50"/>
    </row>
    <row r="973">
      <c r="C973" s="50"/>
    </row>
    <row r="974">
      <c r="C974" s="50"/>
    </row>
    <row r="975">
      <c r="C975" s="50"/>
    </row>
    <row r="976">
      <c r="C976" s="50"/>
    </row>
    <row r="977">
      <c r="C977" s="50"/>
    </row>
    <row r="978">
      <c r="C978" s="50"/>
    </row>
    <row r="979">
      <c r="C979" s="50"/>
    </row>
    <row r="980">
      <c r="C980" s="50"/>
    </row>
    <row r="981">
      <c r="C981" s="50"/>
    </row>
    <row r="982">
      <c r="C982" s="50"/>
    </row>
    <row r="983">
      <c r="C983" s="50"/>
    </row>
    <row r="984">
      <c r="C984" s="50"/>
    </row>
    <row r="985">
      <c r="C985" s="50"/>
    </row>
    <row r="986">
      <c r="C986" s="50"/>
    </row>
    <row r="987">
      <c r="C987" s="50"/>
    </row>
    <row r="988">
      <c r="C988" s="50"/>
    </row>
    <row r="989">
      <c r="C989" s="50"/>
    </row>
    <row r="990">
      <c r="C990" s="50"/>
    </row>
    <row r="991">
      <c r="C991" s="50"/>
    </row>
    <row r="992">
      <c r="C992" s="50"/>
    </row>
    <row r="993">
      <c r="C993" s="50"/>
    </row>
    <row r="994">
      <c r="C994" s="50"/>
    </row>
    <row r="995">
      <c r="C995" s="50"/>
    </row>
    <row r="996">
      <c r="C996" s="50"/>
    </row>
    <row r="997">
      <c r="C997" s="50"/>
    </row>
    <row r="998">
      <c r="C998" s="50"/>
    </row>
    <row r="999">
      <c r="C999" s="50"/>
    </row>
    <row r="1000">
      <c r="C1000" s="50"/>
    </row>
  </sheetData>
  <mergeCells count="4">
    <mergeCell ref="Z1:AE1"/>
    <mergeCell ref="AF1:AK1"/>
    <mergeCell ref="AL1:AQ1"/>
    <mergeCell ref="AR1:AW1"/>
  </mergeCells>
  <conditionalFormatting sqref="BC3:BC112">
    <cfRule type="cellIs" dxfId="0" priority="1" operator="lessThanOrEqual">
      <formula>65</formula>
    </cfRule>
  </conditionalFormatting>
  <conditionalFormatting sqref="BC1:BC1000">
    <cfRule type="cellIs" dxfId="1" priority="2" operator="between">
      <formula>66</formula>
      <formula>69</formula>
    </cfRule>
  </conditionalFormatting>
  <conditionalFormatting sqref="BC1:BC1000">
    <cfRule type="cellIs" dxfId="2" priority="3" operator="between">
      <formula>70</formula>
      <formula>79</formula>
    </cfRule>
  </conditionalFormatting>
  <conditionalFormatting sqref="BC1:BC1000">
    <cfRule type="cellIs" dxfId="3" priority="4" operator="greaterThanOrEqual">
      <formula>80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0.25"/>
    <col customWidth="1" min="2" max="2" width="25.38"/>
    <col customWidth="1" min="6" max="25" width="5.63"/>
    <col customWidth="1" min="26" max="49" width="5.0"/>
    <col customWidth="1" min="50" max="50" width="4.38"/>
    <col customWidth="1" min="51" max="54" width="5.75"/>
  </cols>
  <sheetData>
    <row r="1">
      <c r="A1" s="51"/>
      <c r="B1" s="52"/>
      <c r="C1" s="52"/>
      <c r="D1" s="52"/>
      <c r="E1" s="53"/>
      <c r="F1" s="54" t="s">
        <v>20</v>
      </c>
      <c r="G1" s="20"/>
      <c r="H1" s="20"/>
      <c r="I1" s="20"/>
      <c r="J1" s="20"/>
      <c r="K1" s="20"/>
      <c r="L1" s="20"/>
      <c r="M1" s="20"/>
      <c r="N1" s="20"/>
      <c r="O1" s="20"/>
      <c r="P1" s="20"/>
      <c r="Q1" s="20"/>
      <c r="R1" s="20"/>
      <c r="S1" s="20"/>
      <c r="T1" s="20"/>
      <c r="U1" s="20"/>
      <c r="V1" s="20"/>
      <c r="W1" s="20"/>
      <c r="X1" s="20"/>
      <c r="Y1" s="21"/>
      <c r="Z1" s="55" t="s">
        <v>9</v>
      </c>
      <c r="AA1" s="20"/>
      <c r="AB1" s="20"/>
      <c r="AC1" s="20"/>
      <c r="AD1" s="20"/>
      <c r="AE1" s="21"/>
      <c r="AF1" s="54" t="s">
        <v>10</v>
      </c>
      <c r="AG1" s="20"/>
      <c r="AH1" s="20"/>
      <c r="AI1" s="20"/>
      <c r="AJ1" s="20"/>
      <c r="AK1" s="21"/>
      <c r="AL1" s="54" t="s">
        <v>11</v>
      </c>
      <c r="AM1" s="20"/>
      <c r="AN1" s="20"/>
      <c r="AO1" s="20"/>
      <c r="AP1" s="20"/>
      <c r="AQ1" s="21"/>
      <c r="AR1" s="54" t="s">
        <v>12</v>
      </c>
      <c r="AS1" s="20"/>
      <c r="AT1" s="20"/>
      <c r="AU1" s="20"/>
      <c r="AV1" s="20"/>
      <c r="AW1" s="21"/>
      <c r="AX1" s="56"/>
      <c r="AY1" s="57" t="s">
        <v>9</v>
      </c>
      <c r="AZ1" s="57" t="s">
        <v>18</v>
      </c>
      <c r="BA1" s="57" t="s">
        <v>11</v>
      </c>
      <c r="BB1" s="57" t="s">
        <v>19</v>
      </c>
      <c r="BC1" s="56"/>
    </row>
    <row r="2">
      <c r="A2" s="58" t="s">
        <v>13</v>
      </c>
      <c r="B2" s="59" t="s">
        <v>0</v>
      </c>
      <c r="C2" s="59" t="s">
        <v>15</v>
      </c>
      <c r="D2" s="59" t="s">
        <v>2</v>
      </c>
      <c r="E2" s="59" t="s">
        <v>16</v>
      </c>
      <c r="F2" s="60">
        <v>1.0</v>
      </c>
      <c r="G2" s="61">
        <v>2.0</v>
      </c>
      <c r="H2" s="60">
        <v>3.0</v>
      </c>
      <c r="I2" s="61">
        <v>4.0</v>
      </c>
      <c r="J2" s="60">
        <v>5.0</v>
      </c>
      <c r="K2" s="61">
        <v>6.0</v>
      </c>
      <c r="L2" s="60">
        <v>7.0</v>
      </c>
      <c r="M2" s="61">
        <v>8.0</v>
      </c>
      <c r="N2" s="60">
        <v>9.0</v>
      </c>
      <c r="O2" s="61">
        <v>10.0</v>
      </c>
      <c r="P2" s="60">
        <v>11.0</v>
      </c>
      <c r="Q2" s="61">
        <v>12.0</v>
      </c>
      <c r="R2" s="60">
        <v>13.0</v>
      </c>
      <c r="S2" s="61">
        <v>14.0</v>
      </c>
      <c r="T2" s="60">
        <v>15.0</v>
      </c>
      <c r="U2" s="61">
        <v>16.0</v>
      </c>
      <c r="V2" s="60">
        <v>17.0</v>
      </c>
      <c r="W2" s="61">
        <v>18.0</v>
      </c>
      <c r="X2" s="60">
        <v>19.0</v>
      </c>
      <c r="Y2" s="61">
        <v>20.0</v>
      </c>
      <c r="Z2" s="62">
        <v>1.0</v>
      </c>
      <c r="AA2" s="58">
        <v>2.0</v>
      </c>
      <c r="AB2" s="58">
        <v>3.0</v>
      </c>
      <c r="AC2" s="58">
        <v>4.0</v>
      </c>
      <c r="AD2" s="58">
        <v>5.0</v>
      </c>
      <c r="AE2" s="63" t="s">
        <v>17</v>
      </c>
      <c r="AF2" s="58">
        <v>6.0</v>
      </c>
      <c r="AG2" s="58">
        <v>7.0</v>
      </c>
      <c r="AH2" s="58">
        <v>8.0</v>
      </c>
      <c r="AI2" s="58">
        <v>9.0</v>
      </c>
      <c r="AJ2" s="58">
        <v>10.0</v>
      </c>
      <c r="AK2" s="63" t="s">
        <v>17</v>
      </c>
      <c r="AL2" s="58">
        <v>11.0</v>
      </c>
      <c r="AM2" s="58">
        <v>12.0</v>
      </c>
      <c r="AN2" s="58">
        <v>13.0</v>
      </c>
      <c r="AO2" s="58">
        <v>14.0</v>
      </c>
      <c r="AP2" s="58">
        <v>15.0</v>
      </c>
      <c r="AQ2" s="63" t="s">
        <v>17</v>
      </c>
      <c r="AR2" s="58">
        <v>16.0</v>
      </c>
      <c r="AS2" s="58">
        <v>17.0</v>
      </c>
      <c r="AT2" s="58">
        <v>18.0</v>
      </c>
      <c r="AU2" s="58">
        <v>19.0</v>
      </c>
      <c r="AV2" s="58">
        <v>20.0</v>
      </c>
      <c r="AW2" s="63" t="s">
        <v>17</v>
      </c>
      <c r="AX2" s="56"/>
      <c r="AY2" s="64"/>
      <c r="AZ2" s="64"/>
      <c r="BA2" s="64"/>
      <c r="BB2" s="64"/>
      <c r="BC2" s="56"/>
    </row>
    <row r="3">
      <c r="A3" s="65">
        <f>IFERROR(__xludf.DUMMYFUNCTION("importrange(""https://docs.google.com/spreadsheets/d/1UOaPNQZef7TMB1-uQ1EXHKdJ60mRLLmDz64kt4q7Peg/edit?resourcekey=&amp;gid=138122104#gid=138122104"",""Form Responses 1!A2:Y1000"")"),45918.22051597222)</f>
        <v>45918.22052</v>
      </c>
      <c r="B3" s="39" t="str">
        <f>IFERROR(__xludf.DUMMYFUNCTION("""COMPUTED_VALUE"""),"Syabban ghozy al'fathan ")</f>
        <v>Syabban ghozy al'fathan </v>
      </c>
      <c r="C3" s="39" t="str">
        <f>IFERROR(__xludf.DUMMYFUNCTION("""COMPUTED_VALUE"""),"B250025")</f>
        <v>B250025</v>
      </c>
      <c r="D3" s="39" t="str">
        <f>IFERROR(__xludf.DUMMYFUNCTION("""COMPUTED_VALUE"""),"I'dad Lughawiy Putra")</f>
        <v>I'dad Lughawiy Putra</v>
      </c>
      <c r="E3" s="39" t="str">
        <f>IFERROR(__xludf.DUMMYFUNCTION("""COMPUTED_VALUE"""),"Ya")</f>
        <v>Ya</v>
      </c>
      <c r="F3" s="39" t="str">
        <f>IFERROR(__xludf.DUMMYFUNCTION("""COMPUTED_VALUE"""),"Aku bersaksi bahwa tidak ada tuhan yang berhak di sembah kecuali Allah")</f>
        <v>Aku bersaksi bahwa tidak ada tuhan yang berhak di sembah kecuali Allah</v>
      </c>
      <c r="G3" s="41">
        <f>IFERROR(__xludf.DUMMYFUNCTION("""COMPUTED_VALUE"""),3.0)</f>
        <v>3</v>
      </c>
      <c r="H3" s="39" t="str">
        <f>IFERROR(__xludf.DUMMYFUNCTION("""COMPUTED_VALUE"""),"Siddiiq")</f>
        <v>Siddiiq</v>
      </c>
      <c r="I3" s="39" t="str">
        <f>IFERROR(__xludf.DUMMYFUNCTION("""COMPUTED_VALUE"""),"Di atas Arsy")</f>
        <v>Di atas Arsy</v>
      </c>
      <c r="J3" s="39" t="str">
        <f>IFERROR(__xludf.DUMMYFUNCTION("""COMPUTED_VALUE"""),"Ali Bin Abi Thalib")</f>
        <v>Ali Bin Abi Thalib</v>
      </c>
      <c r="K3" s="39" t="str">
        <f>IFERROR(__xludf.DUMMYFUNCTION("""COMPUTED_VALUE"""),"(1) dan (3)")</f>
        <v>(1) dan (3)</v>
      </c>
      <c r="L3" s="39" t="str">
        <f>IFERROR(__xludf.DUMMYFUNCTION("""COMPUTED_VALUE"""),"Satu pohon yang kita tanam sangat bermanfaat bagi masa depan bumi dan manusia.")</f>
        <v>Satu pohon yang kita tanam sangat bermanfaat bagi masa depan bumi dan manusia.</v>
      </c>
      <c r="M3" s="39" t="str">
        <f>IFERROR(__xludf.DUMMYFUNCTION("""COMPUTED_VALUE"""),"mengaji menyegarkan jiwa")</f>
        <v>mengaji menyegarkan jiwa</v>
      </c>
      <c r="N3" s="3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3" s="39" t="str">
        <f>IFERROR(__xludf.DUMMYFUNCTION("""COMPUTED_VALUE"""),"jalan usaha")</f>
        <v>jalan usaha</v>
      </c>
      <c r="P3" s="39" t="str">
        <f>IFERROR(__xludf.DUMMYFUNCTION("""COMPUTED_VALUE"""),"O2 dan CO2")</f>
        <v>O2 dan CO2</v>
      </c>
      <c r="Q3" s="39" t="str">
        <f>IFERROR(__xludf.DUMMYFUNCTION("""COMPUTED_VALUE"""),"Bergerak")</f>
        <v>Bergerak</v>
      </c>
      <c r="R3" s="39" t="str">
        <f>IFERROR(__xludf.DUMMYFUNCTION("""COMPUTED_VALUE"""),"Uap air")</f>
        <v>Uap air</v>
      </c>
      <c r="S3" s="39" t="str">
        <f>IFERROR(__xludf.DUMMYFUNCTION("""COMPUTED_VALUE"""),"A, B, C, dan D")</f>
        <v>A, B, C, dan D</v>
      </c>
      <c r="T3" s="39" t="str">
        <f>IFERROR(__xludf.DUMMYFUNCTION("""COMPUTED_VALUE"""),"menetralkan racun dan Alat pengangkut")</f>
        <v>menetralkan racun dan Alat pengangkut</v>
      </c>
      <c r="U3" s="41">
        <f>IFERROR(__xludf.DUMMYFUNCTION("""COMPUTED_VALUE"""),100.0)</f>
        <v>100</v>
      </c>
      <c r="V3" s="41">
        <f>IFERROR(__xludf.DUMMYFUNCTION("""COMPUTED_VALUE"""),18.0)</f>
        <v>18</v>
      </c>
      <c r="W3" s="66">
        <f>IFERROR(__xludf.DUMMYFUNCTION("""COMPUTED_VALUE"""),15000.0)</f>
        <v>15000</v>
      </c>
      <c r="X3" s="41">
        <f>IFERROR(__xludf.DUMMYFUNCTION("""COMPUTED_VALUE"""),23.0)</f>
        <v>23</v>
      </c>
      <c r="Y3" s="41">
        <f>IFERROR(__xludf.DUMMYFUNCTION("""COMPUTED_VALUE"""),210.0)</f>
        <v>210</v>
      </c>
      <c r="Z3" s="67">
        <f t="shared" ref="Z3:Z119" si="1">IF(F3="Aku bersaksi bahwa tidak ada tuhan yang berhak di sembah kecuali Allah",1,0)</f>
        <v>1</v>
      </c>
      <c r="AA3" s="67">
        <f t="shared" ref="AA3:AA119" si="2">IF(G3=3,1,0)</f>
        <v>1</v>
      </c>
      <c r="AB3" s="67">
        <f t="shared" ref="AB3:AB119" si="3">IF(H3="Amanah",1,0)</f>
        <v>0</v>
      </c>
      <c r="AC3" s="67">
        <f t="shared" ref="AC3:AC119" si="4">IF(I3="Di atas Arsy",1,0)</f>
        <v>1</v>
      </c>
      <c r="AD3" s="67">
        <f t="shared" ref="AD3:AD119" si="5">IF(J3="Ustman Bin Affan",1,0)</f>
        <v>0</v>
      </c>
      <c r="AE3" s="68">
        <f t="shared" ref="AE3:AE119" si="6">sum(Z3:AD3)</f>
        <v>3</v>
      </c>
      <c r="AF3" s="67">
        <f t="shared" ref="AF3:AF119" si="7">IF(K3="(1) dan (4)",1,0)</f>
        <v>0</v>
      </c>
      <c r="AG3" s="67">
        <f t="shared" ref="AG3:AG119" si="8">IF(L3="Satu pohon yang kita tanam sangat bermanfaat bagi masa depan bumi dan manusia.",1,0)</f>
        <v>1</v>
      </c>
      <c r="AH3" s="67">
        <f t="shared" ref="AH3:AH119" si="9">IF(M3="mengaji seperti jantung",1,0)</f>
        <v>0</v>
      </c>
      <c r="AI3" s="67">
        <f t="shared" ref="AI3:AI119" si="10">IF(N3="suatu kota pada malam hari yang dalam keadaan sepi pascagerimis",1,0)</f>
        <v>0</v>
      </c>
      <c r="AJ3" s="67">
        <f t="shared" ref="AJ3:AJ119" si="11">IF(O3="usaha yang mula-mula sekali",1,0)</f>
        <v>0</v>
      </c>
      <c r="AK3" s="68">
        <f t="shared" ref="AK3:AK119" si="12">sum(AF3:AJ3)</f>
        <v>1</v>
      </c>
      <c r="AL3" s="67">
        <f t="shared" ref="AL3:AL119" si="13">IF(P3="C6H12O6 dan O2",1,0)</f>
        <v>0</v>
      </c>
      <c r="AM3" s="67">
        <f t="shared" ref="AM3:AM119" si="14">IF(Q3="Fotosintesis",1,0)</f>
        <v>0</v>
      </c>
      <c r="AN3" s="67">
        <f t="shared" ref="AN3:AN119" si="15">IF(R3="Uap air",1,0)</f>
        <v>1</v>
      </c>
      <c r="AO3" s="67">
        <f t="shared" ref="AO3:AO119" si="16">IF(S3="A, D, E, dan K",1,0)</f>
        <v>0</v>
      </c>
      <c r="AP3" s="67">
        <f t="shared" ref="AP3:AP119" si="17">IF(T3="Alat pengangkut dan pengatur suhu tubuh",1,0)</f>
        <v>0</v>
      </c>
      <c r="AQ3" s="68">
        <f t="shared" ref="AQ3:AQ119" si="18">sum(AL3:AP3)</f>
        <v>1</v>
      </c>
      <c r="AR3" s="67">
        <f t="shared" ref="AR3:AR119" si="19">IF(U3=85,1,0)</f>
        <v>0</v>
      </c>
      <c r="AS3" s="67">
        <f t="shared" ref="AS3:AS119" si="20">IF(V3=13,1,0)</f>
        <v>0</v>
      </c>
      <c r="AT3" s="67">
        <f t="shared" ref="AT3:AT119" si="21">IF(W3=17000,1,0)</f>
        <v>0</v>
      </c>
      <c r="AU3" s="67">
        <f t="shared" ref="AU3:AU119" si="22">IF(X3=23,1,0)</f>
        <v>1</v>
      </c>
      <c r="AV3" s="67">
        <f t="shared" ref="AV3:AV119" si="23">IF(Y3=210,1,0)</f>
        <v>1</v>
      </c>
      <c r="AW3" s="68">
        <f t="shared" ref="AW3:AW119" si="24">sum(AR3:AV3)</f>
        <v>2</v>
      </c>
      <c r="AX3" s="56"/>
      <c r="AY3" s="67">
        <f t="shared" ref="AY3:AY110" si="25">AE3</f>
        <v>3</v>
      </c>
      <c r="AZ3" s="67">
        <f t="shared" ref="AZ3:AZ110" si="26">AK3</f>
        <v>1</v>
      </c>
      <c r="BA3" s="67">
        <f t="shared" ref="BA3:BA110" si="27">AQ3</f>
        <v>1</v>
      </c>
      <c r="BB3" s="67">
        <f t="shared" ref="BB3:BB110" si="28">AW3</f>
        <v>2</v>
      </c>
      <c r="BC3" s="30">
        <f t="shared" ref="BC3:BC55" si="29">(AY3+AZ3+BA3+BB3)*5</f>
        <v>35</v>
      </c>
    </row>
    <row r="4">
      <c r="A4" s="65">
        <f>IFERROR(__xludf.DUMMYFUNCTION("""COMPUTED_VALUE"""),45920.4286395949)</f>
        <v>45920.42864</v>
      </c>
      <c r="B4" s="69" t="str">
        <f>IFERROR(__xludf.DUMMYFUNCTION("""COMPUTED_VALUE"""),"Azka Ulinnuha")</f>
        <v>Azka Ulinnuha</v>
      </c>
      <c r="C4" s="69" t="str">
        <f>IFERROR(__xludf.DUMMYFUNCTION("""COMPUTED_VALUE"""),"B250009")</f>
        <v>B250009</v>
      </c>
      <c r="D4" s="69" t="str">
        <f>IFERROR(__xludf.DUMMYFUNCTION("""COMPUTED_VALUE"""),"I'dad Lughawiy Putra")</f>
        <v>I'dad Lughawiy Putra</v>
      </c>
      <c r="E4" s="69" t="str">
        <f>IFERROR(__xludf.DUMMYFUNCTION("""COMPUTED_VALUE"""),"Ya")</f>
        <v>Ya</v>
      </c>
      <c r="F4" s="69" t="str">
        <f>IFERROR(__xludf.DUMMYFUNCTION("""COMPUTED_VALUE"""),"Aku bersaksi bahwa tidak ada tuhan yang berhak di sembah kecuali Allah")</f>
        <v>Aku bersaksi bahwa tidak ada tuhan yang berhak di sembah kecuali Allah</v>
      </c>
      <c r="G4" s="69">
        <f>IFERROR(__xludf.DUMMYFUNCTION("""COMPUTED_VALUE"""),4.0)</f>
        <v>4</v>
      </c>
      <c r="H4" s="69" t="str">
        <f>IFERROR(__xludf.DUMMYFUNCTION("""COMPUTED_VALUE"""),"Amanah")</f>
        <v>Amanah</v>
      </c>
      <c r="I4" s="69" t="str">
        <f>IFERROR(__xludf.DUMMYFUNCTION("""COMPUTED_VALUE"""),"Di mana-mana")</f>
        <v>Di mana-mana</v>
      </c>
      <c r="J4" s="69" t="str">
        <f>IFERROR(__xludf.DUMMYFUNCTION("""COMPUTED_VALUE"""),"Ali Bin Abi Thalib")</f>
        <v>Ali Bin Abi Thalib</v>
      </c>
      <c r="K4" s="69" t="str">
        <f>IFERROR(__xludf.DUMMYFUNCTION("""COMPUTED_VALUE"""),"(1) dan (4)")</f>
        <v>(1) dan (4)</v>
      </c>
      <c r="L4" s="69" t="str">
        <f>IFERROR(__xludf.DUMMYFUNCTION("""COMPUTED_VALUE"""),"Satu pohon yang kita tanam sangat bermanfaat bagi masa depan bumi dan manusia.")</f>
        <v>Satu pohon yang kita tanam sangat bermanfaat bagi masa depan bumi dan manusia.</v>
      </c>
      <c r="M4" s="69" t="str">
        <f>IFERROR(__xludf.DUMMYFUNCTION("""COMPUTED_VALUE"""),"mengaji menyegarkan jiwa")</f>
        <v>mengaji menyegarkan jiwa</v>
      </c>
      <c r="N4"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4" s="69" t="str">
        <f>IFERROR(__xludf.DUMMYFUNCTION("""COMPUTED_VALUE"""),"jalan usaha")</f>
        <v>jalan usaha</v>
      </c>
      <c r="P4" s="69" t="str">
        <f>IFERROR(__xludf.DUMMYFUNCTION("""COMPUTED_VALUE"""),"CO2 dan H2O")</f>
        <v>CO2 dan H2O</v>
      </c>
      <c r="Q4" s="69" t="str">
        <f>IFERROR(__xludf.DUMMYFUNCTION("""COMPUTED_VALUE"""),"Bergerak")</f>
        <v>Bergerak</v>
      </c>
      <c r="R4" s="69" t="str">
        <f>IFERROR(__xludf.DUMMYFUNCTION("""COMPUTED_VALUE"""),"Karbon dioksida")</f>
        <v>Karbon dioksida</v>
      </c>
      <c r="S4" s="69" t="str">
        <f>IFERROR(__xludf.DUMMYFUNCTION("""COMPUTED_VALUE"""),"A, C, B, dan E")</f>
        <v>A, C, B, dan E</v>
      </c>
      <c r="T4" s="69" t="str">
        <f>IFERROR(__xludf.DUMMYFUNCTION("""COMPUTED_VALUE"""),"Alat pengangkut dan pengatur suhu tubuh")</f>
        <v>Alat pengangkut dan pengatur suhu tubuh</v>
      </c>
      <c r="U4" s="69">
        <f>IFERROR(__xludf.DUMMYFUNCTION("""COMPUTED_VALUE"""),85.0)</f>
        <v>85</v>
      </c>
      <c r="V4" s="69">
        <f>IFERROR(__xludf.DUMMYFUNCTION("""COMPUTED_VALUE"""),11.0)</f>
        <v>11</v>
      </c>
      <c r="W4" s="70">
        <f>IFERROR(__xludf.DUMMYFUNCTION("""COMPUTED_VALUE"""),17000.0)</f>
        <v>17000</v>
      </c>
      <c r="X4" s="69">
        <f>IFERROR(__xludf.DUMMYFUNCTION("""COMPUTED_VALUE"""),28.0)</f>
        <v>28</v>
      </c>
      <c r="Y4" s="69">
        <f>IFERROR(__xludf.DUMMYFUNCTION("""COMPUTED_VALUE"""),210.0)</f>
        <v>210</v>
      </c>
      <c r="Z4" s="67">
        <f t="shared" si="1"/>
        <v>1</v>
      </c>
      <c r="AA4" s="67">
        <f t="shared" si="2"/>
        <v>0</v>
      </c>
      <c r="AB4" s="67">
        <f t="shared" si="3"/>
        <v>1</v>
      </c>
      <c r="AC4" s="67">
        <f t="shared" si="4"/>
        <v>0</v>
      </c>
      <c r="AD4" s="67">
        <f t="shared" si="5"/>
        <v>0</v>
      </c>
      <c r="AE4" s="68">
        <f t="shared" si="6"/>
        <v>2</v>
      </c>
      <c r="AF4" s="67">
        <f t="shared" si="7"/>
        <v>1</v>
      </c>
      <c r="AG4" s="67">
        <f t="shared" si="8"/>
        <v>1</v>
      </c>
      <c r="AH4" s="67">
        <f t="shared" si="9"/>
        <v>0</v>
      </c>
      <c r="AI4" s="67">
        <f t="shared" si="10"/>
        <v>0</v>
      </c>
      <c r="AJ4" s="67">
        <f t="shared" si="11"/>
        <v>0</v>
      </c>
      <c r="AK4" s="68">
        <f t="shared" si="12"/>
        <v>2</v>
      </c>
      <c r="AL4" s="67">
        <f t="shared" si="13"/>
        <v>0</v>
      </c>
      <c r="AM4" s="67">
        <f t="shared" si="14"/>
        <v>0</v>
      </c>
      <c r="AN4" s="67">
        <f t="shared" si="15"/>
        <v>0</v>
      </c>
      <c r="AO4" s="67">
        <f t="shared" si="16"/>
        <v>0</v>
      </c>
      <c r="AP4" s="67">
        <f t="shared" si="17"/>
        <v>1</v>
      </c>
      <c r="AQ4" s="68">
        <f t="shared" si="18"/>
        <v>1</v>
      </c>
      <c r="AR4" s="67">
        <f t="shared" si="19"/>
        <v>1</v>
      </c>
      <c r="AS4" s="67">
        <f t="shared" si="20"/>
        <v>0</v>
      </c>
      <c r="AT4" s="67">
        <f t="shared" si="21"/>
        <v>1</v>
      </c>
      <c r="AU4" s="67">
        <f t="shared" si="22"/>
        <v>0</v>
      </c>
      <c r="AV4" s="67">
        <f t="shared" si="23"/>
        <v>1</v>
      </c>
      <c r="AW4" s="68">
        <f t="shared" si="24"/>
        <v>3</v>
      </c>
      <c r="AX4" s="56"/>
      <c r="AY4" s="67">
        <f t="shared" si="25"/>
        <v>2</v>
      </c>
      <c r="AZ4" s="67">
        <f t="shared" si="26"/>
        <v>2</v>
      </c>
      <c r="BA4" s="67">
        <f t="shared" si="27"/>
        <v>1</v>
      </c>
      <c r="BB4" s="67">
        <f t="shared" si="28"/>
        <v>3</v>
      </c>
      <c r="BC4" s="30">
        <f t="shared" si="29"/>
        <v>40</v>
      </c>
    </row>
    <row r="5">
      <c r="A5" s="65">
        <f>IFERROR(__xludf.DUMMYFUNCTION("""COMPUTED_VALUE"""),45922.87379637732)</f>
        <v>45922.8738</v>
      </c>
      <c r="B5" s="69" t="str">
        <f>IFERROR(__xludf.DUMMYFUNCTION("""COMPUTED_VALUE"""),"donli caesar norton")</f>
        <v>donli caesar norton</v>
      </c>
      <c r="C5" s="69" t="str">
        <f>IFERROR(__xludf.DUMMYFUNCTION("""COMPUTED_VALUE"""),"B250001")</f>
        <v>B250001</v>
      </c>
      <c r="D5" s="69" t="str">
        <f>IFERROR(__xludf.DUMMYFUNCTION("""COMPUTED_VALUE"""),"I'dad Lughawiy Putra")</f>
        <v>I'dad Lughawiy Putra</v>
      </c>
      <c r="E5" s="69" t="str">
        <f>IFERROR(__xludf.DUMMYFUNCTION("""COMPUTED_VALUE"""),"Ya")</f>
        <v>Ya</v>
      </c>
      <c r="F5" s="69" t="str">
        <f>IFERROR(__xludf.DUMMYFUNCTION("""COMPUTED_VALUE"""),"Aku bersaksi bahwa tidak ada tuhan yang berhak di sembah kecuali Allah")</f>
        <v>Aku bersaksi bahwa tidak ada tuhan yang berhak di sembah kecuali Allah</v>
      </c>
      <c r="G5" s="69">
        <f>IFERROR(__xludf.DUMMYFUNCTION("""COMPUTED_VALUE"""),3.0)</f>
        <v>3</v>
      </c>
      <c r="H5" s="69" t="str">
        <f>IFERROR(__xludf.DUMMYFUNCTION("""COMPUTED_VALUE"""),"Siddiiq")</f>
        <v>Siddiiq</v>
      </c>
      <c r="I5" s="69" t="str">
        <f>IFERROR(__xludf.DUMMYFUNCTION("""COMPUTED_VALUE"""),"Di atas Arsy")</f>
        <v>Di atas Arsy</v>
      </c>
      <c r="J5" s="69" t="str">
        <f>IFERROR(__xludf.DUMMYFUNCTION("""COMPUTED_VALUE"""),"Ali Bin Abi Thalib")</f>
        <v>Ali Bin Abi Thalib</v>
      </c>
      <c r="K5" s="69">
        <f>IFERROR(__xludf.DUMMYFUNCTION("""COMPUTED_VALUE"""),-1.0)</f>
        <v>-1</v>
      </c>
      <c r="L5" s="69" t="str">
        <f>IFERROR(__xludf.DUMMYFUNCTION("""COMPUTED_VALUE"""),"Bumi ini akan indah jika pohon tidak ditebang.")</f>
        <v>Bumi ini akan indah jika pohon tidak ditebang.</v>
      </c>
      <c r="M5" s="69" t="str">
        <f>IFERROR(__xludf.DUMMYFUNCTION("""COMPUTED_VALUE"""),"Opsi 4")</f>
        <v>Opsi 4</v>
      </c>
      <c r="N5"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5" s="69" t="str">
        <f>IFERROR(__xludf.DUMMYFUNCTION("""COMPUTED_VALUE"""),"jalan usaha")</f>
        <v>jalan usaha</v>
      </c>
      <c r="P5" s="69" t="str">
        <f>IFERROR(__xludf.DUMMYFUNCTION("""COMPUTED_VALUE"""),"CO2 dan O2")</f>
        <v>CO2 dan O2</v>
      </c>
      <c r="Q5" s="69" t="str">
        <f>IFERROR(__xludf.DUMMYFUNCTION("""COMPUTED_VALUE"""),"Fotosintesis")</f>
        <v>Fotosintesis</v>
      </c>
      <c r="R5" s="69" t="str">
        <f>IFERROR(__xludf.DUMMYFUNCTION("""COMPUTED_VALUE"""),"Uap air")</f>
        <v>Uap air</v>
      </c>
      <c r="S5" s="69" t="str">
        <f>IFERROR(__xludf.DUMMYFUNCTION("""COMPUTED_VALUE"""),"A, C, B, dan E")</f>
        <v>A, C, B, dan E</v>
      </c>
      <c r="T5" s="69" t="str">
        <f>IFERROR(__xludf.DUMMYFUNCTION("""COMPUTED_VALUE"""),"Alat pengangkut dan pengatur suhu tubuh")</f>
        <v>Alat pengangkut dan pengatur suhu tubuh</v>
      </c>
      <c r="U5" s="69">
        <f>IFERROR(__xludf.DUMMYFUNCTION("""COMPUTED_VALUE"""),85.0)</f>
        <v>85</v>
      </c>
      <c r="V5" s="69">
        <f>IFERROR(__xludf.DUMMYFUNCTION("""COMPUTED_VALUE"""),13.0)</f>
        <v>13</v>
      </c>
      <c r="W5" s="70">
        <f>IFERROR(__xludf.DUMMYFUNCTION("""COMPUTED_VALUE"""),17000.0)</f>
        <v>17000</v>
      </c>
      <c r="X5" s="69">
        <f>IFERROR(__xludf.DUMMYFUNCTION("""COMPUTED_VALUE"""),23.0)</f>
        <v>23</v>
      </c>
      <c r="Y5" s="69">
        <f>IFERROR(__xludf.DUMMYFUNCTION("""COMPUTED_VALUE"""),210.0)</f>
        <v>210</v>
      </c>
      <c r="Z5" s="67">
        <f t="shared" si="1"/>
        <v>1</v>
      </c>
      <c r="AA5" s="67">
        <f t="shared" si="2"/>
        <v>1</v>
      </c>
      <c r="AB5" s="67">
        <f t="shared" si="3"/>
        <v>0</v>
      </c>
      <c r="AC5" s="67">
        <f t="shared" si="4"/>
        <v>1</v>
      </c>
      <c r="AD5" s="67">
        <f t="shared" si="5"/>
        <v>0</v>
      </c>
      <c r="AE5" s="68">
        <f t="shared" si="6"/>
        <v>3</v>
      </c>
      <c r="AF5" s="67">
        <f t="shared" si="7"/>
        <v>0</v>
      </c>
      <c r="AG5" s="67">
        <f t="shared" si="8"/>
        <v>0</v>
      </c>
      <c r="AH5" s="67">
        <f t="shared" si="9"/>
        <v>0</v>
      </c>
      <c r="AI5" s="67">
        <f t="shared" si="10"/>
        <v>0</v>
      </c>
      <c r="AJ5" s="67">
        <f t="shared" si="11"/>
        <v>0</v>
      </c>
      <c r="AK5" s="68">
        <f t="shared" si="12"/>
        <v>0</v>
      </c>
      <c r="AL5" s="67">
        <f t="shared" si="13"/>
        <v>0</v>
      </c>
      <c r="AM5" s="67">
        <f t="shared" si="14"/>
        <v>1</v>
      </c>
      <c r="AN5" s="67">
        <f t="shared" si="15"/>
        <v>1</v>
      </c>
      <c r="AO5" s="67">
        <f t="shared" si="16"/>
        <v>0</v>
      </c>
      <c r="AP5" s="67">
        <f t="shared" si="17"/>
        <v>1</v>
      </c>
      <c r="AQ5" s="68">
        <f t="shared" si="18"/>
        <v>3</v>
      </c>
      <c r="AR5" s="67">
        <f t="shared" si="19"/>
        <v>1</v>
      </c>
      <c r="AS5" s="67">
        <f t="shared" si="20"/>
        <v>1</v>
      </c>
      <c r="AT5" s="67">
        <f t="shared" si="21"/>
        <v>1</v>
      </c>
      <c r="AU5" s="67">
        <f t="shared" si="22"/>
        <v>1</v>
      </c>
      <c r="AV5" s="67">
        <f t="shared" si="23"/>
        <v>1</v>
      </c>
      <c r="AW5" s="68">
        <f t="shared" si="24"/>
        <v>5</v>
      </c>
      <c r="AX5" s="56"/>
      <c r="AY5" s="67">
        <f t="shared" si="25"/>
        <v>3</v>
      </c>
      <c r="AZ5" s="67">
        <f t="shared" si="26"/>
        <v>0</v>
      </c>
      <c r="BA5" s="67">
        <f t="shared" si="27"/>
        <v>3</v>
      </c>
      <c r="BB5" s="67">
        <f t="shared" si="28"/>
        <v>5</v>
      </c>
      <c r="BC5" s="30">
        <f t="shared" si="29"/>
        <v>55</v>
      </c>
    </row>
    <row r="6">
      <c r="A6" s="65">
        <f>IFERROR(__xludf.DUMMYFUNCTION("""COMPUTED_VALUE"""),45925.4634715625)</f>
        <v>45925.46347</v>
      </c>
      <c r="B6" s="69" t="str">
        <f>IFERROR(__xludf.DUMMYFUNCTION("""COMPUTED_VALUE"""),"Ksatria Hudzaifah Al Mizzi")</f>
        <v>Ksatria Hudzaifah Al Mizzi</v>
      </c>
      <c r="C6" s="69" t="str">
        <f>IFERROR(__xludf.DUMMYFUNCTION("""COMPUTED_VALUE"""),"B250010")</f>
        <v>B250010</v>
      </c>
      <c r="D6" s="69" t="str">
        <f>IFERROR(__xludf.DUMMYFUNCTION("""COMPUTED_VALUE"""),"I'dad Lughawiy Putra")</f>
        <v>I'dad Lughawiy Putra</v>
      </c>
      <c r="E6" s="69" t="str">
        <f>IFERROR(__xludf.DUMMYFUNCTION("""COMPUTED_VALUE"""),"Ya")</f>
        <v>Ya</v>
      </c>
      <c r="F6" s="69" t="str">
        <f>IFERROR(__xludf.DUMMYFUNCTION("""COMPUTED_VALUE"""),"Aku bersaksi bahwa tidak ada tuhan yang berhak di sembah kecuali Allah")</f>
        <v>Aku bersaksi bahwa tidak ada tuhan yang berhak di sembah kecuali Allah</v>
      </c>
      <c r="G6" s="69">
        <f>IFERROR(__xludf.DUMMYFUNCTION("""COMPUTED_VALUE"""),3.0)</f>
        <v>3</v>
      </c>
      <c r="H6" s="69" t="str">
        <f>IFERROR(__xludf.DUMMYFUNCTION("""COMPUTED_VALUE"""),"Amanah")</f>
        <v>Amanah</v>
      </c>
      <c r="I6" s="69" t="str">
        <f>IFERROR(__xludf.DUMMYFUNCTION("""COMPUTED_VALUE"""),"Di atas Arsy")</f>
        <v>Di atas Arsy</v>
      </c>
      <c r="J6" s="69" t="str">
        <f>IFERROR(__xludf.DUMMYFUNCTION("""COMPUTED_VALUE"""),"Ustman Bin Affan")</f>
        <v>Ustman Bin Affan</v>
      </c>
      <c r="K6" s="69" t="str">
        <f>IFERROR(__xludf.DUMMYFUNCTION("""COMPUTED_VALUE"""),"(1) dan (4)")</f>
        <v>(1) dan (4)</v>
      </c>
      <c r="L6" s="69" t="str">
        <f>IFERROR(__xludf.DUMMYFUNCTION("""COMPUTED_VALUE"""),"Satu pohon yang kita tanam sangat bermanfaat bagi masa depan bumi dan manusia.")</f>
        <v>Satu pohon yang kita tanam sangat bermanfaat bagi masa depan bumi dan manusia.</v>
      </c>
      <c r="M6" s="69" t="str">
        <f>IFERROR(__xludf.DUMMYFUNCTION("""COMPUTED_VALUE"""),"mengaji seperti jantung")</f>
        <v>mengaji seperti jantung</v>
      </c>
      <c r="N6" s="69" t="str">
        <f>IFERROR(__xludf.DUMMYFUNCTION("""COMPUTED_VALUE"""),"suatu kota pada malam hari yang dalam keadaan sepi pascagerimis")</f>
        <v>suatu kota pada malam hari yang dalam keadaan sepi pascagerimis</v>
      </c>
      <c r="O6" s="69" t="str">
        <f>IFERROR(__xludf.DUMMYFUNCTION("""COMPUTED_VALUE"""),"jalan usaha")</f>
        <v>jalan usaha</v>
      </c>
      <c r="P6" s="69" t="str">
        <f>IFERROR(__xludf.DUMMYFUNCTION("""COMPUTED_VALUE"""),"C6H12O6 dan O2")</f>
        <v>C6H12O6 dan O2</v>
      </c>
      <c r="Q6" s="69" t="str">
        <f>IFERROR(__xludf.DUMMYFUNCTION("""COMPUTED_VALUE"""),"Bergerak")</f>
        <v>Bergerak</v>
      </c>
      <c r="R6" s="69" t="str">
        <f>IFERROR(__xludf.DUMMYFUNCTION("""COMPUTED_VALUE"""),"Uap air")</f>
        <v>Uap air</v>
      </c>
      <c r="S6" s="69" t="str">
        <f>IFERROR(__xludf.DUMMYFUNCTION("""COMPUTED_VALUE"""),"A, D, E, dan K")</f>
        <v>A, D, E, dan K</v>
      </c>
      <c r="T6" s="69" t="str">
        <f>IFERROR(__xludf.DUMMYFUNCTION("""COMPUTED_VALUE"""),"Alat pengangkut dan pengatur suhu tubuh")</f>
        <v>Alat pengangkut dan pengatur suhu tubuh</v>
      </c>
      <c r="U6" s="69">
        <f>IFERROR(__xludf.DUMMYFUNCTION("""COMPUTED_VALUE"""),85.0)</f>
        <v>85</v>
      </c>
      <c r="V6" s="69">
        <f>IFERROR(__xludf.DUMMYFUNCTION("""COMPUTED_VALUE"""),13.0)</f>
        <v>13</v>
      </c>
      <c r="W6" s="70">
        <f>IFERROR(__xludf.DUMMYFUNCTION("""COMPUTED_VALUE"""),17000.0)</f>
        <v>17000</v>
      </c>
      <c r="X6" s="69">
        <f>IFERROR(__xludf.DUMMYFUNCTION("""COMPUTED_VALUE"""),17.0)</f>
        <v>17</v>
      </c>
      <c r="Y6" s="69">
        <f>IFERROR(__xludf.DUMMYFUNCTION("""COMPUTED_VALUE"""),210.0)</f>
        <v>210</v>
      </c>
      <c r="Z6" s="67">
        <f t="shared" si="1"/>
        <v>1</v>
      </c>
      <c r="AA6" s="67">
        <f t="shared" si="2"/>
        <v>1</v>
      </c>
      <c r="AB6" s="67">
        <f t="shared" si="3"/>
        <v>1</v>
      </c>
      <c r="AC6" s="67">
        <f t="shared" si="4"/>
        <v>1</v>
      </c>
      <c r="AD6" s="67">
        <f t="shared" si="5"/>
        <v>1</v>
      </c>
      <c r="AE6" s="68">
        <f t="shared" si="6"/>
        <v>5</v>
      </c>
      <c r="AF6" s="67">
        <f t="shared" si="7"/>
        <v>1</v>
      </c>
      <c r="AG6" s="67">
        <f t="shared" si="8"/>
        <v>1</v>
      </c>
      <c r="AH6" s="67">
        <f t="shared" si="9"/>
        <v>1</v>
      </c>
      <c r="AI6" s="67">
        <f t="shared" si="10"/>
        <v>1</v>
      </c>
      <c r="AJ6" s="67">
        <f t="shared" si="11"/>
        <v>0</v>
      </c>
      <c r="AK6" s="68">
        <f t="shared" si="12"/>
        <v>4</v>
      </c>
      <c r="AL6" s="67">
        <f t="shared" si="13"/>
        <v>1</v>
      </c>
      <c r="AM6" s="67">
        <f t="shared" si="14"/>
        <v>0</v>
      </c>
      <c r="AN6" s="67">
        <f t="shared" si="15"/>
        <v>1</v>
      </c>
      <c r="AO6" s="67">
        <f t="shared" si="16"/>
        <v>1</v>
      </c>
      <c r="AP6" s="67">
        <f t="shared" si="17"/>
        <v>1</v>
      </c>
      <c r="AQ6" s="68">
        <f t="shared" si="18"/>
        <v>4</v>
      </c>
      <c r="AR6" s="67">
        <f t="shared" si="19"/>
        <v>1</v>
      </c>
      <c r="AS6" s="67">
        <f t="shared" si="20"/>
        <v>1</v>
      </c>
      <c r="AT6" s="67">
        <f t="shared" si="21"/>
        <v>1</v>
      </c>
      <c r="AU6" s="67">
        <f t="shared" si="22"/>
        <v>0</v>
      </c>
      <c r="AV6" s="67">
        <f t="shared" si="23"/>
        <v>1</v>
      </c>
      <c r="AW6" s="68">
        <f t="shared" si="24"/>
        <v>4</v>
      </c>
      <c r="AX6" s="56"/>
      <c r="AY6" s="67">
        <f t="shared" si="25"/>
        <v>5</v>
      </c>
      <c r="AZ6" s="67">
        <f t="shared" si="26"/>
        <v>4</v>
      </c>
      <c r="BA6" s="67">
        <f t="shared" si="27"/>
        <v>4</v>
      </c>
      <c r="BB6" s="67">
        <f t="shared" si="28"/>
        <v>4</v>
      </c>
      <c r="BC6" s="30">
        <f t="shared" si="29"/>
        <v>85</v>
      </c>
    </row>
    <row r="7">
      <c r="A7" s="65">
        <f>IFERROR(__xludf.DUMMYFUNCTION("""COMPUTED_VALUE"""),45926.64354085649)</f>
        <v>45926.64354</v>
      </c>
      <c r="B7" s="69" t="str">
        <f>IFERROR(__xludf.DUMMYFUNCTION("""COMPUTED_VALUE"""),"Widya Meilani Zahra")</f>
        <v>Widya Meilani Zahra</v>
      </c>
      <c r="C7" s="69" t="str">
        <f>IFERROR(__xludf.DUMMYFUNCTION("""COMPUTED_VALUE"""),"E250001")</f>
        <v>E250001</v>
      </c>
      <c r="D7" s="69" t="str">
        <f>IFERROR(__xludf.DUMMYFUNCTION("""COMPUTED_VALUE"""),"I'dad Lughawiy Putri")</f>
        <v>I'dad Lughawiy Putri</v>
      </c>
      <c r="E7" s="69" t="str">
        <f>IFERROR(__xludf.DUMMYFUNCTION("""COMPUTED_VALUE"""),"Ya")</f>
        <v>Ya</v>
      </c>
      <c r="F7" s="69" t="str">
        <f>IFERROR(__xludf.DUMMYFUNCTION("""COMPUTED_VALUE"""),"Aku bersaksi bahwa tidak ada tuhan yang berhak di sembah kecuali Allah")</f>
        <v>Aku bersaksi bahwa tidak ada tuhan yang berhak di sembah kecuali Allah</v>
      </c>
      <c r="G7" s="69">
        <f>IFERROR(__xludf.DUMMYFUNCTION("""COMPUTED_VALUE"""),4.0)</f>
        <v>4</v>
      </c>
      <c r="H7" s="69" t="str">
        <f>IFERROR(__xludf.DUMMYFUNCTION("""COMPUTED_VALUE"""),"Amanah")</f>
        <v>Amanah</v>
      </c>
      <c r="I7" s="69" t="str">
        <f>IFERROR(__xludf.DUMMYFUNCTION("""COMPUTED_VALUE"""),"Di mana-mana")</f>
        <v>Di mana-mana</v>
      </c>
      <c r="J7" s="69" t="str">
        <f>IFERROR(__xludf.DUMMYFUNCTION("""COMPUTED_VALUE"""),"Abu Bakar Ash Shiddiq")</f>
        <v>Abu Bakar Ash Shiddiq</v>
      </c>
      <c r="K7" s="69">
        <f>IFERROR(__xludf.DUMMYFUNCTION("""COMPUTED_VALUE"""),-1.0)</f>
        <v>-1</v>
      </c>
      <c r="L7" s="69" t="str">
        <f>IFERROR(__xludf.DUMMYFUNCTION("""COMPUTED_VALUE"""),"Satu pohon yang kita tanam sangat bermanfaat bagi masa depan bumi dan manusia.")</f>
        <v>Satu pohon yang kita tanam sangat bermanfaat bagi masa depan bumi dan manusia.</v>
      </c>
      <c r="M7" s="69" t="str">
        <f>IFERROR(__xludf.DUMMYFUNCTION("""COMPUTED_VALUE"""),"mengaji menyegarkan jiwa")</f>
        <v>mengaji menyegarkan jiwa</v>
      </c>
      <c r="N7" s="69" t="str">
        <f>IFERROR(__xludf.DUMMYFUNCTION("""COMPUTED_VALUE"""),"gambaran suatu kota yang sepi penghuninya karena kota tersebut diguyur hujan lebat")</f>
        <v>gambaran suatu kota yang sepi penghuninya karena kota tersebut diguyur hujan lebat</v>
      </c>
      <c r="O7" s="69" t="str">
        <f>IFERROR(__xludf.DUMMYFUNCTION("""COMPUTED_VALUE"""),"jalan usaha")</f>
        <v>jalan usaha</v>
      </c>
      <c r="P7" s="69" t="str">
        <f>IFERROR(__xludf.DUMMYFUNCTION("""COMPUTED_VALUE"""),"CO2 dan O2")</f>
        <v>CO2 dan O2</v>
      </c>
      <c r="Q7" s="69" t="str">
        <f>IFERROR(__xludf.DUMMYFUNCTION("""COMPUTED_VALUE"""),"Fotosintesis")</f>
        <v>Fotosintesis</v>
      </c>
      <c r="R7" s="69" t="str">
        <f>IFERROR(__xludf.DUMMYFUNCTION("""COMPUTED_VALUE"""),"Uap air")</f>
        <v>Uap air</v>
      </c>
      <c r="S7" s="69" t="str">
        <f>IFERROR(__xludf.DUMMYFUNCTION("""COMPUTED_VALUE"""),"A, C, B, dan E")</f>
        <v>A, C, B, dan E</v>
      </c>
      <c r="T7" s="69" t="str">
        <f>IFERROR(__xludf.DUMMYFUNCTION("""COMPUTED_VALUE"""),"Menentralkan racun dan sumber energi")</f>
        <v>Menentralkan racun dan sumber energi</v>
      </c>
      <c r="U7" s="69">
        <f>IFERROR(__xludf.DUMMYFUNCTION("""COMPUTED_VALUE"""),100.0)</f>
        <v>100</v>
      </c>
      <c r="V7" s="69">
        <f>IFERROR(__xludf.DUMMYFUNCTION("""COMPUTED_VALUE"""),16.0)</f>
        <v>16</v>
      </c>
      <c r="W7" s="70">
        <f>IFERROR(__xludf.DUMMYFUNCTION("""COMPUTED_VALUE"""),17000.0)</f>
        <v>17000</v>
      </c>
      <c r="X7" s="69">
        <f>IFERROR(__xludf.DUMMYFUNCTION("""COMPUTED_VALUE"""),23.0)</f>
        <v>23</v>
      </c>
      <c r="Y7" s="69">
        <f>IFERROR(__xludf.DUMMYFUNCTION("""COMPUTED_VALUE"""),120.0)</f>
        <v>120</v>
      </c>
      <c r="Z7" s="67">
        <f t="shared" si="1"/>
        <v>1</v>
      </c>
      <c r="AA7" s="67">
        <f t="shared" si="2"/>
        <v>0</v>
      </c>
      <c r="AB7" s="67">
        <f t="shared" si="3"/>
        <v>1</v>
      </c>
      <c r="AC7" s="67">
        <f t="shared" si="4"/>
        <v>0</v>
      </c>
      <c r="AD7" s="67">
        <f t="shared" si="5"/>
        <v>0</v>
      </c>
      <c r="AE7" s="68">
        <f t="shared" si="6"/>
        <v>2</v>
      </c>
      <c r="AF7" s="67">
        <f t="shared" si="7"/>
        <v>0</v>
      </c>
      <c r="AG7" s="67">
        <f t="shared" si="8"/>
        <v>1</v>
      </c>
      <c r="AH7" s="67">
        <f t="shared" si="9"/>
        <v>0</v>
      </c>
      <c r="AI7" s="67">
        <f t="shared" si="10"/>
        <v>0</v>
      </c>
      <c r="AJ7" s="67">
        <f t="shared" si="11"/>
        <v>0</v>
      </c>
      <c r="AK7" s="68">
        <f t="shared" si="12"/>
        <v>1</v>
      </c>
      <c r="AL7" s="67">
        <f t="shared" si="13"/>
        <v>0</v>
      </c>
      <c r="AM7" s="67">
        <f t="shared" si="14"/>
        <v>1</v>
      </c>
      <c r="AN7" s="67">
        <f t="shared" si="15"/>
        <v>1</v>
      </c>
      <c r="AO7" s="67">
        <f t="shared" si="16"/>
        <v>0</v>
      </c>
      <c r="AP7" s="67">
        <f t="shared" si="17"/>
        <v>0</v>
      </c>
      <c r="AQ7" s="68">
        <f t="shared" si="18"/>
        <v>2</v>
      </c>
      <c r="AR7" s="67">
        <f t="shared" si="19"/>
        <v>0</v>
      </c>
      <c r="AS7" s="67">
        <f t="shared" si="20"/>
        <v>0</v>
      </c>
      <c r="AT7" s="67">
        <f t="shared" si="21"/>
        <v>1</v>
      </c>
      <c r="AU7" s="67">
        <f t="shared" si="22"/>
        <v>1</v>
      </c>
      <c r="AV7" s="67">
        <f t="shared" si="23"/>
        <v>0</v>
      </c>
      <c r="AW7" s="68">
        <f t="shared" si="24"/>
        <v>2</v>
      </c>
      <c r="AX7" s="56"/>
      <c r="AY7" s="67">
        <f t="shared" si="25"/>
        <v>2</v>
      </c>
      <c r="AZ7" s="67">
        <f t="shared" si="26"/>
        <v>1</v>
      </c>
      <c r="BA7" s="67">
        <f t="shared" si="27"/>
        <v>2</v>
      </c>
      <c r="BB7" s="67">
        <f t="shared" si="28"/>
        <v>2</v>
      </c>
      <c r="BC7" s="30">
        <f t="shared" si="29"/>
        <v>35</v>
      </c>
    </row>
    <row r="8">
      <c r="A8" s="65">
        <f>IFERROR(__xludf.DUMMYFUNCTION("""COMPUTED_VALUE"""),45926.65861679398)</f>
        <v>45926.65862</v>
      </c>
      <c r="B8" s="69" t="str">
        <f>IFERROR(__xludf.DUMMYFUNCTION("""COMPUTED_VALUE"""),"SITI HAFSHOH SHOLIHAH")</f>
        <v>SITI HAFSHOH SHOLIHAH</v>
      </c>
      <c r="C8" s="69" t="str">
        <f>IFERROR(__xludf.DUMMYFUNCTION("""COMPUTED_VALUE"""),"E250005")</f>
        <v>E250005</v>
      </c>
      <c r="D8" s="69" t="str">
        <f>IFERROR(__xludf.DUMMYFUNCTION("""COMPUTED_VALUE"""),"I'dad Lughawiy Putri")</f>
        <v>I'dad Lughawiy Putri</v>
      </c>
      <c r="E8" s="69" t="str">
        <f>IFERROR(__xludf.DUMMYFUNCTION("""COMPUTED_VALUE"""),"Ya")</f>
        <v>Ya</v>
      </c>
      <c r="F8" s="69" t="str">
        <f>IFERROR(__xludf.DUMMYFUNCTION("""COMPUTED_VALUE"""),"Aku bersaksi bahwa tidak ada tuhan yang berhak di sembah kecuali Allah")</f>
        <v>Aku bersaksi bahwa tidak ada tuhan yang berhak di sembah kecuali Allah</v>
      </c>
      <c r="G8" s="69">
        <f>IFERROR(__xludf.DUMMYFUNCTION("""COMPUTED_VALUE"""),6.0)</f>
        <v>6</v>
      </c>
      <c r="H8" s="69" t="str">
        <f>IFERROR(__xludf.DUMMYFUNCTION("""COMPUTED_VALUE"""),"Amanah")</f>
        <v>Amanah</v>
      </c>
      <c r="I8" s="69" t="str">
        <f>IFERROR(__xludf.DUMMYFUNCTION("""COMPUTED_VALUE"""),"Di dalam hati")</f>
        <v>Di dalam hati</v>
      </c>
      <c r="J8" s="69" t="str">
        <f>IFERROR(__xludf.DUMMYFUNCTION("""COMPUTED_VALUE"""),"Ustman Bin Affan")</f>
        <v>Ustman Bin Affan</v>
      </c>
      <c r="K8" s="69">
        <f>IFERROR(__xludf.DUMMYFUNCTION("""COMPUTED_VALUE"""),-2.0)</f>
        <v>-2</v>
      </c>
      <c r="L8" s="69" t="str">
        <f>IFERROR(__xludf.DUMMYFUNCTION("""COMPUTED_VALUE"""),"Satu pohon yang kita tanam sangat bermanfaat bagi masa depan bumi dan manusia.")</f>
        <v>Satu pohon yang kita tanam sangat bermanfaat bagi masa depan bumi dan manusia.</v>
      </c>
      <c r="M8" s="69" t="str">
        <f>IFERROR(__xludf.DUMMYFUNCTION("""COMPUTED_VALUE"""),"mengaji menyegarkan jiwa")</f>
        <v>mengaji menyegarkan jiwa</v>
      </c>
      <c r="N8"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8" s="69" t="str">
        <f>IFERROR(__xludf.DUMMYFUNCTION("""COMPUTED_VALUE"""),"jalan usaha")</f>
        <v>jalan usaha</v>
      </c>
      <c r="P8" s="69" t="str">
        <f>IFERROR(__xludf.DUMMYFUNCTION("""COMPUTED_VALUE"""),"H2O dan O2")</f>
        <v>H2O dan O2</v>
      </c>
      <c r="Q8" s="69" t="str">
        <f>IFERROR(__xludf.DUMMYFUNCTION("""COMPUTED_VALUE"""),"Pernapasan")</f>
        <v>Pernapasan</v>
      </c>
      <c r="R8" s="69" t="str">
        <f>IFERROR(__xludf.DUMMYFUNCTION("""COMPUTED_VALUE"""),"Oksigen")</f>
        <v>Oksigen</v>
      </c>
      <c r="S8" s="69" t="str">
        <f>IFERROR(__xludf.DUMMYFUNCTION("""COMPUTED_VALUE"""),"A, C, B, dan E")</f>
        <v>A, C, B, dan E</v>
      </c>
      <c r="T8" s="69" t="str">
        <f>IFERROR(__xludf.DUMMYFUNCTION("""COMPUTED_VALUE"""),"Pengatur suhu tubuh dan sumber energi")</f>
        <v>Pengatur suhu tubuh dan sumber energi</v>
      </c>
      <c r="U8" s="69">
        <f>IFERROR(__xludf.DUMMYFUNCTION("""COMPUTED_VALUE"""),105.0)</f>
        <v>105</v>
      </c>
      <c r="V8" s="69">
        <f>IFERROR(__xludf.DUMMYFUNCTION("""COMPUTED_VALUE"""),16.0)</f>
        <v>16</v>
      </c>
      <c r="W8" s="70">
        <f>IFERROR(__xludf.DUMMYFUNCTION("""COMPUTED_VALUE"""),16000.0)</f>
        <v>16000</v>
      </c>
      <c r="X8" s="69">
        <f>IFERROR(__xludf.DUMMYFUNCTION("""COMPUTED_VALUE"""),17.0)</f>
        <v>17</v>
      </c>
      <c r="Y8" s="69">
        <f>IFERROR(__xludf.DUMMYFUNCTION("""COMPUTED_VALUE"""),210.0)</f>
        <v>210</v>
      </c>
      <c r="Z8" s="67">
        <f t="shared" si="1"/>
        <v>1</v>
      </c>
      <c r="AA8" s="67">
        <f t="shared" si="2"/>
        <v>0</v>
      </c>
      <c r="AB8" s="67">
        <f t="shared" si="3"/>
        <v>1</v>
      </c>
      <c r="AC8" s="67">
        <f t="shared" si="4"/>
        <v>0</v>
      </c>
      <c r="AD8" s="67">
        <f t="shared" si="5"/>
        <v>1</v>
      </c>
      <c r="AE8" s="68">
        <f t="shared" si="6"/>
        <v>3</v>
      </c>
      <c r="AF8" s="67">
        <f t="shared" si="7"/>
        <v>0</v>
      </c>
      <c r="AG8" s="67">
        <f t="shared" si="8"/>
        <v>1</v>
      </c>
      <c r="AH8" s="67">
        <f t="shared" si="9"/>
        <v>0</v>
      </c>
      <c r="AI8" s="67">
        <f t="shared" si="10"/>
        <v>0</v>
      </c>
      <c r="AJ8" s="67">
        <f t="shared" si="11"/>
        <v>0</v>
      </c>
      <c r="AK8" s="68">
        <f t="shared" si="12"/>
        <v>1</v>
      </c>
      <c r="AL8" s="67">
        <f t="shared" si="13"/>
        <v>0</v>
      </c>
      <c r="AM8" s="67">
        <f t="shared" si="14"/>
        <v>0</v>
      </c>
      <c r="AN8" s="67">
        <f t="shared" si="15"/>
        <v>0</v>
      </c>
      <c r="AO8" s="67">
        <f t="shared" si="16"/>
        <v>0</v>
      </c>
      <c r="AP8" s="67">
        <f t="shared" si="17"/>
        <v>0</v>
      </c>
      <c r="AQ8" s="68">
        <f t="shared" si="18"/>
        <v>0</v>
      </c>
      <c r="AR8" s="67">
        <f t="shared" si="19"/>
        <v>0</v>
      </c>
      <c r="AS8" s="67">
        <f t="shared" si="20"/>
        <v>0</v>
      </c>
      <c r="AT8" s="67">
        <f t="shared" si="21"/>
        <v>0</v>
      </c>
      <c r="AU8" s="67">
        <f t="shared" si="22"/>
        <v>0</v>
      </c>
      <c r="AV8" s="67">
        <f t="shared" si="23"/>
        <v>1</v>
      </c>
      <c r="AW8" s="68">
        <f t="shared" si="24"/>
        <v>1</v>
      </c>
      <c r="AX8" s="56"/>
      <c r="AY8" s="67">
        <f t="shared" si="25"/>
        <v>3</v>
      </c>
      <c r="AZ8" s="67">
        <f t="shared" si="26"/>
        <v>1</v>
      </c>
      <c r="BA8" s="67">
        <f t="shared" si="27"/>
        <v>0</v>
      </c>
      <c r="BB8" s="67">
        <f t="shared" si="28"/>
        <v>1</v>
      </c>
      <c r="BC8" s="30">
        <f t="shared" si="29"/>
        <v>25</v>
      </c>
    </row>
    <row r="9">
      <c r="A9" s="65">
        <f>IFERROR(__xludf.DUMMYFUNCTION("""COMPUTED_VALUE"""),45926.66415709491)</f>
        <v>45926.66416</v>
      </c>
      <c r="B9" s="69" t="str">
        <f>IFERROR(__xludf.DUMMYFUNCTION("""COMPUTED_VALUE"""),"Nadira Salsabila apriliani")</f>
        <v>Nadira Salsabila apriliani</v>
      </c>
      <c r="C9" s="69" t="str">
        <f>IFERROR(__xludf.DUMMYFUNCTION("""COMPUTED_VALUE"""),"E250007")</f>
        <v>E250007</v>
      </c>
      <c r="D9" s="69" t="str">
        <f>IFERROR(__xludf.DUMMYFUNCTION("""COMPUTED_VALUE"""),"I'dad Lughawiy Putri")</f>
        <v>I'dad Lughawiy Putri</v>
      </c>
      <c r="E9" s="69" t="str">
        <f>IFERROR(__xludf.DUMMYFUNCTION("""COMPUTED_VALUE"""),"Ya")</f>
        <v>Ya</v>
      </c>
      <c r="F9" s="69" t="str">
        <f>IFERROR(__xludf.DUMMYFUNCTION("""COMPUTED_VALUE"""),"Aku bersaksi bahwa Muhammad adalah utusan Allah")</f>
        <v>Aku bersaksi bahwa Muhammad adalah utusan Allah</v>
      </c>
      <c r="G9" s="69">
        <f>IFERROR(__xludf.DUMMYFUNCTION("""COMPUTED_VALUE"""),3.0)</f>
        <v>3</v>
      </c>
      <c r="H9" s="69" t="str">
        <f>IFERROR(__xludf.DUMMYFUNCTION("""COMPUTED_VALUE"""),"Amanah")</f>
        <v>Amanah</v>
      </c>
      <c r="I9" s="69" t="str">
        <f>IFERROR(__xludf.DUMMYFUNCTION("""COMPUTED_VALUE"""),"Menyatu dengan hamba")</f>
        <v>Menyatu dengan hamba</v>
      </c>
      <c r="J9" s="69" t="str">
        <f>IFERROR(__xludf.DUMMYFUNCTION("""COMPUTED_VALUE"""),"Ustman Bin Affan")</f>
        <v>Ustman Bin Affan</v>
      </c>
      <c r="K9" s="69" t="str">
        <f>IFERROR(__xludf.DUMMYFUNCTION("""COMPUTED_VALUE"""),"(1) dan (3)")</f>
        <v>(1) dan (3)</v>
      </c>
      <c r="L9" s="69" t="str">
        <f>IFERROR(__xludf.DUMMYFUNCTION("""COMPUTED_VALUE"""),"Mari kita menanam pohon bersama-sama.")</f>
        <v>Mari kita menanam pohon bersama-sama.</v>
      </c>
      <c r="M9" s="69" t="str">
        <f>IFERROR(__xludf.DUMMYFUNCTION("""COMPUTED_VALUE"""),"mengaji seperti jantung")</f>
        <v>mengaji seperti jantung</v>
      </c>
      <c r="N9"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9" s="69" t="str">
        <f>IFERROR(__xludf.DUMMYFUNCTION("""COMPUTED_VALUE"""),"usaha yang dilakukan sendiri")</f>
        <v>usaha yang dilakukan sendiri</v>
      </c>
      <c r="P9" s="69" t="str">
        <f>IFERROR(__xludf.DUMMYFUNCTION("""COMPUTED_VALUE"""),"CO2 dan O2")</f>
        <v>CO2 dan O2</v>
      </c>
      <c r="Q9" s="69" t="str">
        <f>IFERROR(__xludf.DUMMYFUNCTION("""COMPUTED_VALUE"""),"Bergerak")</f>
        <v>Bergerak</v>
      </c>
      <c r="R9" s="69" t="str">
        <f>IFERROR(__xludf.DUMMYFUNCTION("""COMPUTED_VALUE"""),"Oksigen")</f>
        <v>Oksigen</v>
      </c>
      <c r="S9" s="69" t="str">
        <f>IFERROR(__xludf.DUMMYFUNCTION("""COMPUTED_VALUE"""),"A, C, E, dan K")</f>
        <v>A, C, E, dan K</v>
      </c>
      <c r="T9" s="69" t="str">
        <f>IFERROR(__xludf.DUMMYFUNCTION("""COMPUTED_VALUE"""),"Sumber energi dan menetralkan racun")</f>
        <v>Sumber energi dan menetralkan racun</v>
      </c>
      <c r="U9" s="69">
        <f>IFERROR(__xludf.DUMMYFUNCTION("""COMPUTED_VALUE"""),100.0)</f>
        <v>100</v>
      </c>
      <c r="V9" s="69">
        <f>IFERROR(__xludf.DUMMYFUNCTION("""COMPUTED_VALUE"""),11.0)</f>
        <v>11</v>
      </c>
      <c r="W9" s="70">
        <f>IFERROR(__xludf.DUMMYFUNCTION("""COMPUTED_VALUE"""),17000.0)</f>
        <v>17000</v>
      </c>
      <c r="X9" s="69">
        <f>IFERROR(__xludf.DUMMYFUNCTION("""COMPUTED_VALUE"""),39.0)</f>
        <v>39</v>
      </c>
      <c r="Y9" s="69">
        <f>IFERROR(__xludf.DUMMYFUNCTION("""COMPUTED_VALUE"""),190.0)</f>
        <v>190</v>
      </c>
      <c r="Z9" s="67">
        <f t="shared" si="1"/>
        <v>0</v>
      </c>
      <c r="AA9" s="67">
        <f t="shared" si="2"/>
        <v>1</v>
      </c>
      <c r="AB9" s="67">
        <f t="shared" si="3"/>
        <v>1</v>
      </c>
      <c r="AC9" s="67">
        <f t="shared" si="4"/>
        <v>0</v>
      </c>
      <c r="AD9" s="67">
        <f t="shared" si="5"/>
        <v>1</v>
      </c>
      <c r="AE9" s="68">
        <f t="shared" si="6"/>
        <v>3</v>
      </c>
      <c r="AF9" s="67">
        <f t="shared" si="7"/>
        <v>0</v>
      </c>
      <c r="AG9" s="67">
        <f t="shared" si="8"/>
        <v>0</v>
      </c>
      <c r="AH9" s="67">
        <f t="shared" si="9"/>
        <v>1</v>
      </c>
      <c r="AI9" s="67">
        <f t="shared" si="10"/>
        <v>0</v>
      </c>
      <c r="AJ9" s="67">
        <f t="shared" si="11"/>
        <v>0</v>
      </c>
      <c r="AK9" s="68">
        <f t="shared" si="12"/>
        <v>1</v>
      </c>
      <c r="AL9" s="67">
        <f t="shared" si="13"/>
        <v>0</v>
      </c>
      <c r="AM9" s="67">
        <f t="shared" si="14"/>
        <v>0</v>
      </c>
      <c r="AN9" s="67">
        <f t="shared" si="15"/>
        <v>0</v>
      </c>
      <c r="AO9" s="67">
        <f t="shared" si="16"/>
        <v>0</v>
      </c>
      <c r="AP9" s="67">
        <f t="shared" si="17"/>
        <v>0</v>
      </c>
      <c r="AQ9" s="68">
        <f t="shared" si="18"/>
        <v>0</v>
      </c>
      <c r="AR9" s="67">
        <f t="shared" si="19"/>
        <v>0</v>
      </c>
      <c r="AS9" s="67">
        <f t="shared" si="20"/>
        <v>0</v>
      </c>
      <c r="AT9" s="67">
        <f t="shared" si="21"/>
        <v>1</v>
      </c>
      <c r="AU9" s="67">
        <f t="shared" si="22"/>
        <v>0</v>
      </c>
      <c r="AV9" s="67">
        <f t="shared" si="23"/>
        <v>0</v>
      </c>
      <c r="AW9" s="68">
        <f t="shared" si="24"/>
        <v>1</v>
      </c>
      <c r="AX9" s="56"/>
      <c r="AY9" s="67">
        <f t="shared" si="25"/>
        <v>3</v>
      </c>
      <c r="AZ9" s="67">
        <f t="shared" si="26"/>
        <v>1</v>
      </c>
      <c r="BA9" s="67">
        <f t="shared" si="27"/>
        <v>0</v>
      </c>
      <c r="BB9" s="67">
        <f t="shared" si="28"/>
        <v>1</v>
      </c>
      <c r="BC9" s="30">
        <f t="shared" si="29"/>
        <v>25</v>
      </c>
    </row>
    <row r="10">
      <c r="A10" s="65">
        <f>IFERROR(__xludf.DUMMYFUNCTION("""COMPUTED_VALUE"""),45927.79540883102)</f>
        <v>45927.79541</v>
      </c>
      <c r="B10" s="69" t="str">
        <f>IFERROR(__xludf.DUMMYFUNCTION("""COMPUTED_VALUE"""),"HILDA SAHLANNISA ")</f>
        <v>HILDA SAHLANNISA </v>
      </c>
      <c r="C10" s="69" t="str">
        <f>IFERROR(__xludf.DUMMYFUNCTION("""COMPUTED_VALUE"""),"E250002")</f>
        <v>E250002</v>
      </c>
      <c r="D10" s="69" t="str">
        <f>IFERROR(__xludf.DUMMYFUNCTION("""COMPUTED_VALUE"""),"I'dad Lughawiy Putri")</f>
        <v>I'dad Lughawiy Putri</v>
      </c>
      <c r="E10" s="69" t="str">
        <f>IFERROR(__xludf.DUMMYFUNCTION("""COMPUTED_VALUE"""),"Ya")</f>
        <v>Ya</v>
      </c>
      <c r="F10" s="69" t="str">
        <f>IFERROR(__xludf.DUMMYFUNCTION("""COMPUTED_VALUE"""),"Aku bersaksi bahwa tidak ada tuhan yang berhak di sembah kecuali Allah")</f>
        <v>Aku bersaksi bahwa tidak ada tuhan yang berhak di sembah kecuali Allah</v>
      </c>
      <c r="G10" s="69">
        <f>IFERROR(__xludf.DUMMYFUNCTION("""COMPUTED_VALUE"""),3.0)</f>
        <v>3</v>
      </c>
      <c r="H10" s="69" t="str">
        <f>IFERROR(__xludf.DUMMYFUNCTION("""COMPUTED_VALUE"""),"Amanah")</f>
        <v>Amanah</v>
      </c>
      <c r="I10" s="69" t="str">
        <f>IFERROR(__xludf.DUMMYFUNCTION("""COMPUTED_VALUE"""),"Di atas Arsy")</f>
        <v>Di atas Arsy</v>
      </c>
      <c r="J10" s="69" t="str">
        <f>IFERROR(__xludf.DUMMYFUNCTION("""COMPUTED_VALUE"""),"Ustman Bin Affan")</f>
        <v>Ustman Bin Affan</v>
      </c>
      <c r="K10" s="69" t="str">
        <f>IFERROR(__xludf.DUMMYFUNCTION("""COMPUTED_VALUE"""),"(1) dan (4)")</f>
        <v>(1) dan (4)</v>
      </c>
      <c r="L10" s="69" t="str">
        <f>IFERROR(__xludf.DUMMYFUNCTION("""COMPUTED_VALUE"""),"Satu pohon yang kita tanam sangat bermanfaat bagi masa depan bumi dan manusia.")</f>
        <v>Satu pohon yang kita tanam sangat bermanfaat bagi masa depan bumi dan manusia.</v>
      </c>
      <c r="M10" s="69" t="str">
        <f>IFERROR(__xludf.DUMMYFUNCTION("""COMPUTED_VALUE"""),"mengaji seperti jantung")</f>
        <v>mengaji seperti jantung</v>
      </c>
      <c r="N10" s="69" t="str">
        <f>IFERROR(__xludf.DUMMYFUNCTION("""COMPUTED_VALUE"""),"suatu kota pada malam hari yang dalam keadaan sepi pascagerimis")</f>
        <v>suatu kota pada malam hari yang dalam keadaan sepi pascagerimis</v>
      </c>
      <c r="O10" s="69" t="str">
        <f>IFERROR(__xludf.DUMMYFUNCTION("""COMPUTED_VALUE"""),"usaha yang mula-mula sekali")</f>
        <v>usaha yang mula-mula sekali</v>
      </c>
      <c r="P10" s="69" t="str">
        <f>IFERROR(__xludf.DUMMYFUNCTION("""COMPUTED_VALUE"""),"C6H12O6 dan O2")</f>
        <v>C6H12O6 dan O2</v>
      </c>
      <c r="Q10" s="69" t="str">
        <f>IFERROR(__xludf.DUMMYFUNCTION("""COMPUTED_VALUE"""),"Fotosintesis")</f>
        <v>Fotosintesis</v>
      </c>
      <c r="R10" s="69" t="str">
        <f>IFERROR(__xludf.DUMMYFUNCTION("""COMPUTED_VALUE"""),"Uap air")</f>
        <v>Uap air</v>
      </c>
      <c r="S10" s="69" t="str">
        <f>IFERROR(__xludf.DUMMYFUNCTION("""COMPUTED_VALUE"""),"A, D, E, dan K")</f>
        <v>A, D, E, dan K</v>
      </c>
      <c r="T10" s="69" t="str">
        <f>IFERROR(__xludf.DUMMYFUNCTION("""COMPUTED_VALUE"""),"Alat pengangkut dan pengatur suhu tubuh")</f>
        <v>Alat pengangkut dan pengatur suhu tubuh</v>
      </c>
      <c r="U10" s="69">
        <f>IFERROR(__xludf.DUMMYFUNCTION("""COMPUTED_VALUE"""),85.0)</f>
        <v>85</v>
      </c>
      <c r="V10" s="69">
        <f>IFERROR(__xludf.DUMMYFUNCTION("""COMPUTED_VALUE"""),13.0)</f>
        <v>13</v>
      </c>
      <c r="W10" s="70">
        <f>IFERROR(__xludf.DUMMYFUNCTION("""COMPUTED_VALUE"""),17000.0)</f>
        <v>17000</v>
      </c>
      <c r="X10" s="69">
        <f>IFERROR(__xludf.DUMMYFUNCTION("""COMPUTED_VALUE"""),23.0)</f>
        <v>23</v>
      </c>
      <c r="Y10" s="69">
        <f>IFERROR(__xludf.DUMMYFUNCTION("""COMPUTED_VALUE"""),210.0)</f>
        <v>210</v>
      </c>
      <c r="Z10" s="67">
        <f t="shared" si="1"/>
        <v>1</v>
      </c>
      <c r="AA10" s="67">
        <f t="shared" si="2"/>
        <v>1</v>
      </c>
      <c r="AB10" s="67">
        <f t="shared" si="3"/>
        <v>1</v>
      </c>
      <c r="AC10" s="67">
        <f t="shared" si="4"/>
        <v>1</v>
      </c>
      <c r="AD10" s="67">
        <f t="shared" si="5"/>
        <v>1</v>
      </c>
      <c r="AE10" s="68">
        <f t="shared" si="6"/>
        <v>5</v>
      </c>
      <c r="AF10" s="67">
        <f t="shared" si="7"/>
        <v>1</v>
      </c>
      <c r="AG10" s="67">
        <f t="shared" si="8"/>
        <v>1</v>
      </c>
      <c r="AH10" s="67">
        <f t="shared" si="9"/>
        <v>1</v>
      </c>
      <c r="AI10" s="67">
        <f t="shared" si="10"/>
        <v>1</v>
      </c>
      <c r="AJ10" s="67">
        <f t="shared" si="11"/>
        <v>1</v>
      </c>
      <c r="AK10" s="68">
        <f t="shared" si="12"/>
        <v>5</v>
      </c>
      <c r="AL10" s="67">
        <f t="shared" si="13"/>
        <v>1</v>
      </c>
      <c r="AM10" s="67">
        <f t="shared" si="14"/>
        <v>1</v>
      </c>
      <c r="AN10" s="67">
        <f t="shared" si="15"/>
        <v>1</v>
      </c>
      <c r="AO10" s="67">
        <f t="shared" si="16"/>
        <v>1</v>
      </c>
      <c r="AP10" s="67">
        <f t="shared" si="17"/>
        <v>1</v>
      </c>
      <c r="AQ10" s="68">
        <f t="shared" si="18"/>
        <v>5</v>
      </c>
      <c r="AR10" s="67">
        <f t="shared" si="19"/>
        <v>1</v>
      </c>
      <c r="AS10" s="67">
        <f t="shared" si="20"/>
        <v>1</v>
      </c>
      <c r="AT10" s="67">
        <f t="shared" si="21"/>
        <v>1</v>
      </c>
      <c r="AU10" s="67">
        <f t="shared" si="22"/>
        <v>1</v>
      </c>
      <c r="AV10" s="67">
        <f t="shared" si="23"/>
        <v>1</v>
      </c>
      <c r="AW10" s="68">
        <f t="shared" si="24"/>
        <v>5</v>
      </c>
      <c r="AX10" s="56"/>
      <c r="AY10" s="67">
        <f t="shared" si="25"/>
        <v>5</v>
      </c>
      <c r="AZ10" s="67">
        <f t="shared" si="26"/>
        <v>5</v>
      </c>
      <c r="BA10" s="67">
        <f t="shared" si="27"/>
        <v>5</v>
      </c>
      <c r="BB10" s="67">
        <f t="shared" si="28"/>
        <v>5</v>
      </c>
      <c r="BC10" s="30">
        <f t="shared" si="29"/>
        <v>100</v>
      </c>
    </row>
    <row r="11">
      <c r="A11" s="65">
        <f>IFERROR(__xludf.DUMMYFUNCTION("""COMPUTED_VALUE"""),45928.45565337963)</f>
        <v>45928.45565</v>
      </c>
      <c r="B11" s="69" t="str">
        <f>IFERROR(__xludf.DUMMYFUNCTION("""COMPUTED_VALUE"""),"keanu azka wibowo")</f>
        <v>keanu azka wibowo</v>
      </c>
      <c r="C11" s="69" t="str">
        <f>IFERROR(__xludf.DUMMYFUNCTION("""COMPUTED_VALUE"""),"B250021")</f>
        <v>B250021</v>
      </c>
      <c r="D11" s="69" t="str">
        <f>IFERROR(__xludf.DUMMYFUNCTION("""COMPUTED_VALUE"""),"I'dad Lughawiy Putra")</f>
        <v>I'dad Lughawiy Putra</v>
      </c>
      <c r="E11" s="69" t="str">
        <f>IFERROR(__xludf.DUMMYFUNCTION("""COMPUTED_VALUE"""),"Ya")</f>
        <v>Ya</v>
      </c>
      <c r="F11" s="69" t="str">
        <f>IFERROR(__xludf.DUMMYFUNCTION("""COMPUTED_VALUE"""),"Aku bersaksi bahwa tidak ada tuhan yang berhak di sembah kecuali Allah")</f>
        <v>Aku bersaksi bahwa tidak ada tuhan yang berhak di sembah kecuali Allah</v>
      </c>
      <c r="G11" s="69">
        <f>IFERROR(__xludf.DUMMYFUNCTION("""COMPUTED_VALUE"""),3.0)</f>
        <v>3</v>
      </c>
      <c r="H11" s="69" t="str">
        <f>IFERROR(__xludf.DUMMYFUNCTION("""COMPUTED_VALUE"""),"Amanah")</f>
        <v>Amanah</v>
      </c>
      <c r="I11" s="69" t="str">
        <f>IFERROR(__xludf.DUMMYFUNCTION("""COMPUTED_VALUE"""),"Di atas Arsy")</f>
        <v>Di atas Arsy</v>
      </c>
      <c r="J11" s="69" t="str">
        <f>IFERROR(__xludf.DUMMYFUNCTION("""COMPUTED_VALUE"""),"Ustman Bin Affan")</f>
        <v>Ustman Bin Affan</v>
      </c>
      <c r="K11" s="69" t="str">
        <f>IFERROR(__xludf.DUMMYFUNCTION("""COMPUTED_VALUE"""),"(1) dan (4)")</f>
        <v>(1) dan (4)</v>
      </c>
      <c r="L11" s="69" t="str">
        <f>IFERROR(__xludf.DUMMYFUNCTION("""COMPUTED_VALUE"""),"Satu pohon yang kita tanam sangat bermanfaat bagi masa depan bumi dan manusia.")</f>
        <v>Satu pohon yang kita tanam sangat bermanfaat bagi masa depan bumi dan manusia.</v>
      </c>
      <c r="M11" s="69" t="str">
        <f>IFERROR(__xludf.DUMMYFUNCTION("""COMPUTED_VALUE"""),"mengaji seperti jantung")</f>
        <v>mengaji seperti jantung</v>
      </c>
      <c r="N11"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11" s="69" t="str">
        <f>IFERROR(__xludf.DUMMYFUNCTION("""COMPUTED_VALUE"""),"usaha yang mula-mula sekali")</f>
        <v>usaha yang mula-mula sekali</v>
      </c>
      <c r="P11" s="69" t="str">
        <f>IFERROR(__xludf.DUMMYFUNCTION("""COMPUTED_VALUE"""),"C6H12O6 dan O2")</f>
        <v>C6H12O6 dan O2</v>
      </c>
      <c r="Q11" s="69" t="str">
        <f>IFERROR(__xludf.DUMMYFUNCTION("""COMPUTED_VALUE"""),"Fotosintesis")</f>
        <v>Fotosintesis</v>
      </c>
      <c r="R11" s="69" t="str">
        <f>IFERROR(__xludf.DUMMYFUNCTION("""COMPUTED_VALUE"""),"Karbon dioksida")</f>
        <v>Karbon dioksida</v>
      </c>
      <c r="S11" s="69" t="str">
        <f>IFERROR(__xludf.DUMMYFUNCTION("""COMPUTED_VALUE"""),"A, D, E, dan K")</f>
        <v>A, D, E, dan K</v>
      </c>
      <c r="T11" s="69" t="str">
        <f>IFERROR(__xludf.DUMMYFUNCTION("""COMPUTED_VALUE"""),"Alat pengangkut dan pengatur suhu tubuh")</f>
        <v>Alat pengangkut dan pengatur suhu tubuh</v>
      </c>
      <c r="U11" s="69">
        <f>IFERROR(__xludf.DUMMYFUNCTION("""COMPUTED_VALUE"""),100.0)</f>
        <v>100</v>
      </c>
      <c r="V11" s="69">
        <f>IFERROR(__xludf.DUMMYFUNCTION("""COMPUTED_VALUE"""),13.0)</f>
        <v>13</v>
      </c>
      <c r="W11" s="70">
        <f>IFERROR(__xludf.DUMMYFUNCTION("""COMPUTED_VALUE"""),17000.0)</f>
        <v>17000</v>
      </c>
      <c r="X11" s="69">
        <f>IFERROR(__xludf.DUMMYFUNCTION("""COMPUTED_VALUE"""),23.0)</f>
        <v>23</v>
      </c>
      <c r="Y11" s="69">
        <f>IFERROR(__xludf.DUMMYFUNCTION("""COMPUTED_VALUE"""),210.0)</f>
        <v>210</v>
      </c>
      <c r="Z11" s="67">
        <f t="shared" si="1"/>
        <v>1</v>
      </c>
      <c r="AA11" s="67">
        <f t="shared" si="2"/>
        <v>1</v>
      </c>
      <c r="AB11" s="67">
        <f t="shared" si="3"/>
        <v>1</v>
      </c>
      <c r="AC11" s="67">
        <f t="shared" si="4"/>
        <v>1</v>
      </c>
      <c r="AD11" s="67">
        <f t="shared" si="5"/>
        <v>1</v>
      </c>
      <c r="AE11" s="68">
        <f t="shared" si="6"/>
        <v>5</v>
      </c>
      <c r="AF11" s="67">
        <f t="shared" si="7"/>
        <v>1</v>
      </c>
      <c r="AG11" s="67">
        <f t="shared" si="8"/>
        <v>1</v>
      </c>
      <c r="AH11" s="67">
        <f t="shared" si="9"/>
        <v>1</v>
      </c>
      <c r="AI11" s="67">
        <f t="shared" si="10"/>
        <v>0</v>
      </c>
      <c r="AJ11" s="67">
        <f t="shared" si="11"/>
        <v>1</v>
      </c>
      <c r="AK11" s="68">
        <f t="shared" si="12"/>
        <v>4</v>
      </c>
      <c r="AL11" s="67">
        <f t="shared" si="13"/>
        <v>1</v>
      </c>
      <c r="AM11" s="67">
        <f t="shared" si="14"/>
        <v>1</v>
      </c>
      <c r="AN11" s="67">
        <f t="shared" si="15"/>
        <v>0</v>
      </c>
      <c r="AO11" s="67">
        <f t="shared" si="16"/>
        <v>1</v>
      </c>
      <c r="AP11" s="67">
        <f t="shared" si="17"/>
        <v>1</v>
      </c>
      <c r="AQ11" s="68">
        <f t="shared" si="18"/>
        <v>4</v>
      </c>
      <c r="AR11" s="67">
        <f t="shared" si="19"/>
        <v>0</v>
      </c>
      <c r="AS11" s="67">
        <f t="shared" si="20"/>
        <v>1</v>
      </c>
      <c r="AT11" s="67">
        <f t="shared" si="21"/>
        <v>1</v>
      </c>
      <c r="AU11" s="67">
        <f t="shared" si="22"/>
        <v>1</v>
      </c>
      <c r="AV11" s="67">
        <f t="shared" si="23"/>
        <v>1</v>
      </c>
      <c r="AW11" s="68">
        <f t="shared" si="24"/>
        <v>4</v>
      </c>
      <c r="AX11" s="56"/>
      <c r="AY11" s="67">
        <f t="shared" si="25"/>
        <v>5</v>
      </c>
      <c r="AZ11" s="67">
        <f t="shared" si="26"/>
        <v>4</v>
      </c>
      <c r="BA11" s="67">
        <f t="shared" si="27"/>
        <v>4</v>
      </c>
      <c r="BB11" s="67">
        <f t="shared" si="28"/>
        <v>4</v>
      </c>
      <c r="BC11" s="30">
        <f t="shared" si="29"/>
        <v>85</v>
      </c>
    </row>
    <row r="12">
      <c r="A12" s="65">
        <f>IFERROR(__xludf.DUMMYFUNCTION("""COMPUTED_VALUE"""),45929.90363850695)</f>
        <v>45929.90364</v>
      </c>
      <c r="B12" s="69" t="str">
        <f>IFERROR(__xludf.DUMMYFUNCTION("""COMPUTED_VALUE"""),"Rezvan Zhian Agusto")</f>
        <v>Rezvan Zhian Agusto</v>
      </c>
      <c r="C12" s="69" t="str">
        <f>IFERROR(__xludf.DUMMYFUNCTION("""COMPUTED_VALUE"""),"B250006")</f>
        <v>B250006</v>
      </c>
      <c r="D12" s="69" t="str">
        <f>IFERROR(__xludf.DUMMYFUNCTION("""COMPUTED_VALUE"""),"I'dad Lughawiy Putra")</f>
        <v>I'dad Lughawiy Putra</v>
      </c>
      <c r="E12" s="69" t="str">
        <f>IFERROR(__xludf.DUMMYFUNCTION("""COMPUTED_VALUE"""),"Ya")</f>
        <v>Ya</v>
      </c>
      <c r="F12" s="69" t="str">
        <f>IFERROR(__xludf.DUMMYFUNCTION("""COMPUTED_VALUE"""),"Aku bersaksi bahwa Muhammad adalah utusan Allah")</f>
        <v>Aku bersaksi bahwa Muhammad adalah utusan Allah</v>
      </c>
      <c r="G12" s="69">
        <f>IFERROR(__xludf.DUMMYFUNCTION("""COMPUTED_VALUE"""),3.0)</f>
        <v>3</v>
      </c>
      <c r="H12" s="69" t="str">
        <f>IFERROR(__xludf.DUMMYFUNCTION("""COMPUTED_VALUE"""),"Siddiiq")</f>
        <v>Siddiiq</v>
      </c>
      <c r="I12" s="69" t="str">
        <f>IFERROR(__xludf.DUMMYFUNCTION("""COMPUTED_VALUE"""),"Di atas Arsy")</f>
        <v>Di atas Arsy</v>
      </c>
      <c r="J12" s="69" t="str">
        <f>IFERROR(__xludf.DUMMYFUNCTION("""COMPUTED_VALUE"""),"Ustman Bin Affan")</f>
        <v>Ustman Bin Affan</v>
      </c>
      <c r="K12" s="69">
        <f>IFERROR(__xludf.DUMMYFUNCTION("""COMPUTED_VALUE"""),-1.0)</f>
        <v>-1</v>
      </c>
      <c r="L12" s="69" t="str">
        <f>IFERROR(__xludf.DUMMYFUNCTION("""COMPUTED_VALUE"""),"Satu pohon yang kita tanam sangat bermanfaat bagi masa depan bumi dan manusia.")</f>
        <v>Satu pohon yang kita tanam sangat bermanfaat bagi masa depan bumi dan manusia.</v>
      </c>
      <c r="M12" s="69" t="str">
        <f>IFERROR(__xludf.DUMMYFUNCTION("""COMPUTED_VALUE"""),"mengaji menyegarkan jiwa")</f>
        <v>mengaji menyegarkan jiwa</v>
      </c>
      <c r="N12" s="69" t="str">
        <f>IFERROR(__xludf.DUMMYFUNCTION("""COMPUTED_VALUE"""),"suatu kota pada malam hari yang dalam keadaan sepi pascagerimis")</f>
        <v>suatu kota pada malam hari yang dalam keadaan sepi pascagerimis</v>
      </c>
      <c r="O12" s="69" t="str">
        <f>IFERROR(__xludf.DUMMYFUNCTION("""COMPUTED_VALUE"""),"usaha yang mula-mula sekali")</f>
        <v>usaha yang mula-mula sekali</v>
      </c>
      <c r="P12" s="69" t="str">
        <f>IFERROR(__xludf.DUMMYFUNCTION("""COMPUTED_VALUE"""),"CO2 dan O2")</f>
        <v>CO2 dan O2</v>
      </c>
      <c r="Q12" s="69" t="str">
        <f>IFERROR(__xludf.DUMMYFUNCTION("""COMPUTED_VALUE"""),"Fotosintesis")</f>
        <v>Fotosintesis</v>
      </c>
      <c r="R12" s="69" t="str">
        <f>IFERROR(__xludf.DUMMYFUNCTION("""COMPUTED_VALUE"""),"Karbon dioksida")</f>
        <v>Karbon dioksida</v>
      </c>
      <c r="S12" s="69" t="str">
        <f>IFERROR(__xludf.DUMMYFUNCTION("""COMPUTED_VALUE"""),"A, C, E, dan K")</f>
        <v>A, C, E, dan K</v>
      </c>
      <c r="T12" s="69" t="str">
        <f>IFERROR(__xludf.DUMMYFUNCTION("""COMPUTED_VALUE"""),"Menentralkan racun dan sumber energi")</f>
        <v>Menentralkan racun dan sumber energi</v>
      </c>
      <c r="U12" s="69">
        <f>IFERROR(__xludf.DUMMYFUNCTION("""COMPUTED_VALUE"""),85.0)</f>
        <v>85</v>
      </c>
      <c r="V12" s="69">
        <f>IFERROR(__xludf.DUMMYFUNCTION("""COMPUTED_VALUE"""),13.0)</f>
        <v>13</v>
      </c>
      <c r="W12" s="70">
        <f>IFERROR(__xludf.DUMMYFUNCTION("""COMPUTED_VALUE"""),17000.0)</f>
        <v>17000</v>
      </c>
      <c r="X12" s="69">
        <f>IFERROR(__xludf.DUMMYFUNCTION("""COMPUTED_VALUE"""),17.0)</f>
        <v>17</v>
      </c>
      <c r="Y12" s="69">
        <f>IFERROR(__xludf.DUMMYFUNCTION("""COMPUTED_VALUE"""),210.0)</f>
        <v>210</v>
      </c>
      <c r="Z12" s="67">
        <f t="shared" si="1"/>
        <v>0</v>
      </c>
      <c r="AA12" s="67">
        <f t="shared" si="2"/>
        <v>1</v>
      </c>
      <c r="AB12" s="67">
        <f t="shared" si="3"/>
        <v>0</v>
      </c>
      <c r="AC12" s="67">
        <f t="shared" si="4"/>
        <v>1</v>
      </c>
      <c r="AD12" s="67">
        <f t="shared" si="5"/>
        <v>1</v>
      </c>
      <c r="AE12" s="68">
        <f t="shared" si="6"/>
        <v>3</v>
      </c>
      <c r="AF12" s="67">
        <f t="shared" si="7"/>
        <v>0</v>
      </c>
      <c r="AG12" s="67">
        <f t="shared" si="8"/>
        <v>1</v>
      </c>
      <c r="AH12" s="67">
        <f t="shared" si="9"/>
        <v>0</v>
      </c>
      <c r="AI12" s="67">
        <f t="shared" si="10"/>
        <v>1</v>
      </c>
      <c r="AJ12" s="67">
        <f t="shared" si="11"/>
        <v>1</v>
      </c>
      <c r="AK12" s="68">
        <f t="shared" si="12"/>
        <v>3</v>
      </c>
      <c r="AL12" s="67">
        <f t="shared" si="13"/>
        <v>0</v>
      </c>
      <c r="AM12" s="67">
        <f t="shared" si="14"/>
        <v>1</v>
      </c>
      <c r="AN12" s="67">
        <f t="shared" si="15"/>
        <v>0</v>
      </c>
      <c r="AO12" s="67">
        <f t="shared" si="16"/>
        <v>0</v>
      </c>
      <c r="AP12" s="67">
        <f t="shared" si="17"/>
        <v>0</v>
      </c>
      <c r="AQ12" s="68">
        <f t="shared" si="18"/>
        <v>1</v>
      </c>
      <c r="AR12" s="67">
        <f t="shared" si="19"/>
        <v>1</v>
      </c>
      <c r="AS12" s="67">
        <f t="shared" si="20"/>
        <v>1</v>
      </c>
      <c r="AT12" s="67">
        <f t="shared" si="21"/>
        <v>1</v>
      </c>
      <c r="AU12" s="67">
        <f t="shared" si="22"/>
        <v>0</v>
      </c>
      <c r="AV12" s="67">
        <f t="shared" si="23"/>
        <v>1</v>
      </c>
      <c r="AW12" s="68">
        <f t="shared" si="24"/>
        <v>4</v>
      </c>
      <c r="AX12" s="56"/>
      <c r="AY12" s="67">
        <f t="shared" si="25"/>
        <v>3</v>
      </c>
      <c r="AZ12" s="67">
        <f t="shared" si="26"/>
        <v>3</v>
      </c>
      <c r="BA12" s="67">
        <f t="shared" si="27"/>
        <v>1</v>
      </c>
      <c r="BB12" s="67">
        <f t="shared" si="28"/>
        <v>4</v>
      </c>
      <c r="BC12" s="30">
        <f t="shared" si="29"/>
        <v>55</v>
      </c>
    </row>
    <row r="13">
      <c r="A13" s="65">
        <f>IFERROR(__xludf.DUMMYFUNCTION("""COMPUTED_VALUE"""),45931.36590233796)</f>
        <v>45931.3659</v>
      </c>
      <c r="B13" s="69" t="str">
        <f>IFERROR(__xludf.DUMMYFUNCTION("""COMPUTED_VALUE"""),"FAIZ ABDUSSALAM TASLIM BUDIDOYO")</f>
        <v>FAIZ ABDUSSALAM TASLIM BUDIDOYO</v>
      </c>
      <c r="C13" s="69" t="str">
        <f>IFERROR(__xludf.DUMMYFUNCTION("""COMPUTED_VALUE"""),"B250014")</f>
        <v>B250014</v>
      </c>
      <c r="D13" s="69" t="str">
        <f>IFERROR(__xludf.DUMMYFUNCTION("""COMPUTED_VALUE"""),"I'dad Lughawiy Putra")</f>
        <v>I'dad Lughawiy Putra</v>
      </c>
      <c r="E13" s="69" t="str">
        <f>IFERROR(__xludf.DUMMYFUNCTION("""COMPUTED_VALUE"""),"Ya")</f>
        <v>Ya</v>
      </c>
      <c r="F13" s="69" t="str">
        <f>IFERROR(__xludf.DUMMYFUNCTION("""COMPUTED_VALUE"""),"Aku bersaksi bahwa tidak ada tuhan yang berhak di sembah kecuali Allah")</f>
        <v>Aku bersaksi bahwa tidak ada tuhan yang berhak di sembah kecuali Allah</v>
      </c>
      <c r="G13" s="69">
        <f>IFERROR(__xludf.DUMMYFUNCTION("""COMPUTED_VALUE"""),3.0)</f>
        <v>3</v>
      </c>
      <c r="H13" s="69" t="str">
        <f>IFERROR(__xludf.DUMMYFUNCTION("""COMPUTED_VALUE"""),"Al Amiin")</f>
        <v>Al Amiin</v>
      </c>
      <c r="I13" s="69" t="str">
        <f>IFERROR(__xludf.DUMMYFUNCTION("""COMPUTED_VALUE"""),"Di atas Arsy")</f>
        <v>Di atas Arsy</v>
      </c>
      <c r="J13" s="69" t="str">
        <f>IFERROR(__xludf.DUMMYFUNCTION("""COMPUTED_VALUE"""),"Ustman Bin Affan")</f>
        <v>Ustman Bin Affan</v>
      </c>
      <c r="K13" s="69" t="str">
        <f>IFERROR(__xludf.DUMMYFUNCTION("""COMPUTED_VALUE"""),"(1) dan (4)")</f>
        <v>(1) dan (4)</v>
      </c>
      <c r="L13" s="69" t="str">
        <f>IFERROR(__xludf.DUMMYFUNCTION("""COMPUTED_VALUE"""),"Satu pohon yang kita tanam sangat bermanfaat bagi masa depan bumi dan manusia.")</f>
        <v>Satu pohon yang kita tanam sangat bermanfaat bagi masa depan bumi dan manusia.</v>
      </c>
      <c r="M13" s="69" t="str">
        <f>IFERROR(__xludf.DUMMYFUNCTION("""COMPUTED_VALUE"""),"mengaji menyegarkan jiwa")</f>
        <v>mengaji menyegarkan jiwa</v>
      </c>
      <c r="N13" s="69" t="str">
        <f>IFERROR(__xludf.DUMMYFUNCTION("""COMPUTED_VALUE"""),"suatu kota pada malam hari yang dalam keadaan sepi pascagerimis")</f>
        <v>suatu kota pada malam hari yang dalam keadaan sepi pascagerimis</v>
      </c>
      <c r="O13" s="69" t="str">
        <f>IFERROR(__xludf.DUMMYFUNCTION("""COMPUTED_VALUE"""),"jalan usaha")</f>
        <v>jalan usaha</v>
      </c>
      <c r="P13" s="69" t="str">
        <f>IFERROR(__xludf.DUMMYFUNCTION("""COMPUTED_VALUE"""),"O2 dan CO2")</f>
        <v>O2 dan CO2</v>
      </c>
      <c r="Q13" s="69" t="str">
        <f>IFERROR(__xludf.DUMMYFUNCTION("""COMPUTED_VALUE"""),"Bergerak")</f>
        <v>Bergerak</v>
      </c>
      <c r="R13" s="69" t="str">
        <f>IFERROR(__xludf.DUMMYFUNCTION("""COMPUTED_VALUE"""),"Hydrogen")</f>
        <v>Hydrogen</v>
      </c>
      <c r="S13" s="69" t="str">
        <f>IFERROR(__xludf.DUMMYFUNCTION("""COMPUTED_VALUE"""),"A, B,D, dan E")</f>
        <v>A, B,D, dan E</v>
      </c>
      <c r="T13" s="69" t="str">
        <f>IFERROR(__xludf.DUMMYFUNCTION("""COMPUTED_VALUE"""),"menetralkan racun dan Alat pengangkut")</f>
        <v>menetralkan racun dan Alat pengangkut</v>
      </c>
      <c r="U13" s="69">
        <f>IFERROR(__xludf.DUMMYFUNCTION("""COMPUTED_VALUE"""),100.0)</f>
        <v>100</v>
      </c>
      <c r="V13" s="69">
        <f>IFERROR(__xludf.DUMMYFUNCTION("""COMPUTED_VALUE"""),7.0)</f>
        <v>7</v>
      </c>
      <c r="W13" s="70">
        <f>IFERROR(__xludf.DUMMYFUNCTION("""COMPUTED_VALUE"""),16000.0)</f>
        <v>16000</v>
      </c>
      <c r="X13" s="69">
        <f>IFERROR(__xludf.DUMMYFUNCTION("""COMPUTED_VALUE"""),23.0)</f>
        <v>23</v>
      </c>
      <c r="Y13" s="69">
        <f>IFERROR(__xludf.DUMMYFUNCTION("""COMPUTED_VALUE"""),210.0)</f>
        <v>210</v>
      </c>
      <c r="Z13" s="67">
        <f t="shared" si="1"/>
        <v>1</v>
      </c>
      <c r="AA13" s="67">
        <f t="shared" si="2"/>
        <v>1</v>
      </c>
      <c r="AB13" s="67">
        <f t="shared" si="3"/>
        <v>0</v>
      </c>
      <c r="AC13" s="67">
        <f t="shared" si="4"/>
        <v>1</v>
      </c>
      <c r="AD13" s="67">
        <f t="shared" si="5"/>
        <v>1</v>
      </c>
      <c r="AE13" s="68">
        <f t="shared" si="6"/>
        <v>4</v>
      </c>
      <c r="AF13" s="67">
        <f t="shared" si="7"/>
        <v>1</v>
      </c>
      <c r="AG13" s="67">
        <f t="shared" si="8"/>
        <v>1</v>
      </c>
      <c r="AH13" s="67">
        <f t="shared" si="9"/>
        <v>0</v>
      </c>
      <c r="AI13" s="67">
        <f t="shared" si="10"/>
        <v>1</v>
      </c>
      <c r="AJ13" s="67">
        <f t="shared" si="11"/>
        <v>0</v>
      </c>
      <c r="AK13" s="68">
        <f t="shared" si="12"/>
        <v>3</v>
      </c>
      <c r="AL13" s="67">
        <f t="shared" si="13"/>
        <v>0</v>
      </c>
      <c r="AM13" s="67">
        <f t="shared" si="14"/>
        <v>0</v>
      </c>
      <c r="AN13" s="67">
        <f t="shared" si="15"/>
        <v>0</v>
      </c>
      <c r="AO13" s="67">
        <f t="shared" si="16"/>
        <v>0</v>
      </c>
      <c r="AP13" s="67">
        <f t="shared" si="17"/>
        <v>0</v>
      </c>
      <c r="AQ13" s="68">
        <f t="shared" si="18"/>
        <v>0</v>
      </c>
      <c r="AR13" s="67">
        <f t="shared" si="19"/>
        <v>0</v>
      </c>
      <c r="AS13" s="67">
        <f t="shared" si="20"/>
        <v>0</v>
      </c>
      <c r="AT13" s="67">
        <f t="shared" si="21"/>
        <v>0</v>
      </c>
      <c r="AU13" s="67">
        <f t="shared" si="22"/>
        <v>1</v>
      </c>
      <c r="AV13" s="67">
        <f t="shared" si="23"/>
        <v>1</v>
      </c>
      <c r="AW13" s="68">
        <f t="shared" si="24"/>
        <v>2</v>
      </c>
      <c r="AX13" s="56"/>
      <c r="AY13" s="67">
        <f t="shared" si="25"/>
        <v>4</v>
      </c>
      <c r="AZ13" s="67">
        <f t="shared" si="26"/>
        <v>3</v>
      </c>
      <c r="BA13" s="67">
        <f t="shared" si="27"/>
        <v>0</v>
      </c>
      <c r="BB13" s="67">
        <f t="shared" si="28"/>
        <v>2</v>
      </c>
      <c r="BC13" s="30">
        <f t="shared" si="29"/>
        <v>45</v>
      </c>
    </row>
    <row r="14">
      <c r="A14" s="65">
        <f>IFERROR(__xludf.DUMMYFUNCTION("""COMPUTED_VALUE"""),45933.57459388889)</f>
        <v>45933.57459</v>
      </c>
      <c r="B14" s="69" t="str">
        <f>IFERROR(__xludf.DUMMYFUNCTION("""COMPUTED_VALUE"""),"Farhan ibadurrohman ")</f>
        <v>Farhan ibadurrohman </v>
      </c>
      <c r="C14" s="69" t="str">
        <f>IFERROR(__xludf.DUMMYFUNCTION("""COMPUTED_VALUE"""),"B250018")</f>
        <v>B250018</v>
      </c>
      <c r="D14" s="69" t="str">
        <f>IFERROR(__xludf.DUMMYFUNCTION("""COMPUTED_VALUE"""),"I'dad Lughawiy Putra")</f>
        <v>I'dad Lughawiy Putra</v>
      </c>
      <c r="E14" s="69" t="str">
        <f>IFERROR(__xludf.DUMMYFUNCTION("""COMPUTED_VALUE"""),"Ya")</f>
        <v>Ya</v>
      </c>
      <c r="F14" s="69" t="str">
        <f>IFERROR(__xludf.DUMMYFUNCTION("""COMPUTED_VALUE"""),"Aku bersaksi bahwa tidak ada tuhan yang berhak di sembah kecuali Allah")</f>
        <v>Aku bersaksi bahwa tidak ada tuhan yang berhak di sembah kecuali Allah</v>
      </c>
      <c r="G14" s="69">
        <f>IFERROR(__xludf.DUMMYFUNCTION("""COMPUTED_VALUE"""),3.0)</f>
        <v>3</v>
      </c>
      <c r="H14" s="69" t="str">
        <f>IFERROR(__xludf.DUMMYFUNCTION("""COMPUTED_VALUE"""),"Amanah")</f>
        <v>Amanah</v>
      </c>
      <c r="I14" s="69" t="str">
        <f>IFERROR(__xludf.DUMMYFUNCTION("""COMPUTED_VALUE"""),"Di atas Arsy")</f>
        <v>Di atas Arsy</v>
      </c>
      <c r="J14" s="69" t="str">
        <f>IFERROR(__xludf.DUMMYFUNCTION("""COMPUTED_VALUE"""),"Ustman Bin Affan")</f>
        <v>Ustman Bin Affan</v>
      </c>
      <c r="K14" s="69">
        <f>IFERROR(__xludf.DUMMYFUNCTION("""COMPUTED_VALUE"""),-1.0)</f>
        <v>-1</v>
      </c>
      <c r="L14" s="69" t="str">
        <f>IFERROR(__xludf.DUMMYFUNCTION("""COMPUTED_VALUE"""),"Satu pohon yang kita tanam sangat bermanfaat bagi masa depan bumi dan manusia.")</f>
        <v>Satu pohon yang kita tanam sangat bermanfaat bagi masa depan bumi dan manusia.</v>
      </c>
      <c r="M14" s="69" t="str">
        <f>IFERROR(__xludf.DUMMYFUNCTION("""COMPUTED_VALUE"""),"mengaji seperti jantung")</f>
        <v>mengaji seperti jantung</v>
      </c>
      <c r="N14"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14" s="69" t="str">
        <f>IFERROR(__xludf.DUMMYFUNCTION("""COMPUTED_VALUE"""),"usaha yang mula-mula sekali")</f>
        <v>usaha yang mula-mula sekali</v>
      </c>
      <c r="P14" s="69" t="str">
        <f>IFERROR(__xludf.DUMMYFUNCTION("""COMPUTED_VALUE"""),"CO2 dan H2O")</f>
        <v>CO2 dan H2O</v>
      </c>
      <c r="Q14" s="69" t="str">
        <f>IFERROR(__xludf.DUMMYFUNCTION("""COMPUTED_VALUE"""),"Fotosintesis")</f>
        <v>Fotosintesis</v>
      </c>
      <c r="R14" s="69" t="str">
        <f>IFERROR(__xludf.DUMMYFUNCTION("""COMPUTED_VALUE"""),"Oksigen")</f>
        <v>Oksigen</v>
      </c>
      <c r="S14" s="69" t="str">
        <f>IFERROR(__xludf.DUMMYFUNCTION("""COMPUTED_VALUE"""),"A, B, C, dan D")</f>
        <v>A, B, C, dan D</v>
      </c>
      <c r="T14" s="69" t="str">
        <f>IFERROR(__xludf.DUMMYFUNCTION("""COMPUTED_VALUE"""),"Alat pengangkut dan pengatur suhu tubuh")</f>
        <v>Alat pengangkut dan pengatur suhu tubuh</v>
      </c>
      <c r="U14" s="69">
        <f>IFERROR(__xludf.DUMMYFUNCTION("""COMPUTED_VALUE"""),85.0)</f>
        <v>85</v>
      </c>
      <c r="V14" s="69">
        <f>IFERROR(__xludf.DUMMYFUNCTION("""COMPUTED_VALUE"""),13.0)</f>
        <v>13</v>
      </c>
      <c r="W14" s="70">
        <f>IFERROR(__xludf.DUMMYFUNCTION("""COMPUTED_VALUE"""),18000.0)</f>
        <v>18000</v>
      </c>
      <c r="X14" s="69">
        <f>IFERROR(__xludf.DUMMYFUNCTION("""COMPUTED_VALUE"""),23.0)</f>
        <v>23</v>
      </c>
      <c r="Y14" s="69">
        <f>IFERROR(__xludf.DUMMYFUNCTION("""COMPUTED_VALUE"""),210.0)</f>
        <v>210</v>
      </c>
      <c r="Z14" s="67">
        <f t="shared" si="1"/>
        <v>1</v>
      </c>
      <c r="AA14" s="67">
        <f t="shared" si="2"/>
        <v>1</v>
      </c>
      <c r="AB14" s="67">
        <f t="shared" si="3"/>
        <v>1</v>
      </c>
      <c r="AC14" s="67">
        <f t="shared" si="4"/>
        <v>1</v>
      </c>
      <c r="AD14" s="67">
        <f t="shared" si="5"/>
        <v>1</v>
      </c>
      <c r="AE14" s="68">
        <f t="shared" si="6"/>
        <v>5</v>
      </c>
      <c r="AF14" s="67">
        <f t="shared" si="7"/>
        <v>0</v>
      </c>
      <c r="AG14" s="67">
        <f t="shared" si="8"/>
        <v>1</v>
      </c>
      <c r="AH14" s="67">
        <f t="shared" si="9"/>
        <v>1</v>
      </c>
      <c r="AI14" s="67">
        <f t="shared" si="10"/>
        <v>0</v>
      </c>
      <c r="AJ14" s="67">
        <f t="shared" si="11"/>
        <v>1</v>
      </c>
      <c r="AK14" s="68">
        <f t="shared" si="12"/>
        <v>3</v>
      </c>
      <c r="AL14" s="67">
        <f t="shared" si="13"/>
        <v>0</v>
      </c>
      <c r="AM14" s="67">
        <f t="shared" si="14"/>
        <v>1</v>
      </c>
      <c r="AN14" s="67">
        <f t="shared" si="15"/>
        <v>0</v>
      </c>
      <c r="AO14" s="67">
        <f t="shared" si="16"/>
        <v>0</v>
      </c>
      <c r="AP14" s="67">
        <f t="shared" si="17"/>
        <v>1</v>
      </c>
      <c r="AQ14" s="68">
        <f t="shared" si="18"/>
        <v>2</v>
      </c>
      <c r="AR14" s="67">
        <f t="shared" si="19"/>
        <v>1</v>
      </c>
      <c r="AS14" s="67">
        <f t="shared" si="20"/>
        <v>1</v>
      </c>
      <c r="AT14" s="67">
        <f t="shared" si="21"/>
        <v>0</v>
      </c>
      <c r="AU14" s="67">
        <f t="shared" si="22"/>
        <v>1</v>
      </c>
      <c r="AV14" s="67">
        <f t="shared" si="23"/>
        <v>1</v>
      </c>
      <c r="AW14" s="68">
        <f t="shared" si="24"/>
        <v>4</v>
      </c>
      <c r="AX14" s="56"/>
      <c r="AY14" s="67">
        <f t="shared" si="25"/>
        <v>5</v>
      </c>
      <c r="AZ14" s="67">
        <f t="shared" si="26"/>
        <v>3</v>
      </c>
      <c r="BA14" s="67">
        <f t="shared" si="27"/>
        <v>2</v>
      </c>
      <c r="BB14" s="67">
        <f t="shared" si="28"/>
        <v>4</v>
      </c>
      <c r="BC14" s="30">
        <f t="shared" si="29"/>
        <v>70</v>
      </c>
    </row>
    <row r="15">
      <c r="A15" s="65">
        <f>IFERROR(__xludf.DUMMYFUNCTION("""COMPUTED_VALUE"""),45933.5870353125)</f>
        <v>45933.58704</v>
      </c>
      <c r="B15" s="69" t="str">
        <f>IFERROR(__xludf.DUMMYFUNCTION("""COMPUTED_VALUE"""),"Siti Arafah ")</f>
        <v>Siti Arafah </v>
      </c>
      <c r="C15" s="69" t="str">
        <f>IFERROR(__xludf.DUMMYFUNCTION("""COMPUTED_VALUE"""),"E250008")</f>
        <v>E250008</v>
      </c>
      <c r="D15" s="69" t="str">
        <f>IFERROR(__xludf.DUMMYFUNCTION("""COMPUTED_VALUE"""),"I'dad Lughawiy Putri")</f>
        <v>I'dad Lughawiy Putri</v>
      </c>
      <c r="E15" s="69" t="str">
        <f>IFERROR(__xludf.DUMMYFUNCTION("""COMPUTED_VALUE"""),"Ya")</f>
        <v>Ya</v>
      </c>
      <c r="F15" s="69" t="str">
        <f>IFERROR(__xludf.DUMMYFUNCTION("""COMPUTED_VALUE"""),"Aku bersaksi bahwa tidak ada tuhan yang berhak di sembah kecuali Allah")</f>
        <v>Aku bersaksi bahwa tidak ada tuhan yang berhak di sembah kecuali Allah</v>
      </c>
      <c r="G15" s="69">
        <f>IFERROR(__xludf.DUMMYFUNCTION("""COMPUTED_VALUE"""),3.0)</f>
        <v>3</v>
      </c>
      <c r="H15" s="69" t="str">
        <f>IFERROR(__xludf.DUMMYFUNCTION("""COMPUTED_VALUE"""),"Al Amiin")</f>
        <v>Al Amiin</v>
      </c>
      <c r="I15" s="69" t="str">
        <f>IFERROR(__xludf.DUMMYFUNCTION("""COMPUTED_VALUE"""),"Menyatu dengan hamba")</f>
        <v>Menyatu dengan hamba</v>
      </c>
      <c r="J15" s="69" t="str">
        <f>IFERROR(__xludf.DUMMYFUNCTION("""COMPUTED_VALUE"""),"Ustman Bin Affan")</f>
        <v>Ustman Bin Affan</v>
      </c>
      <c r="K15" s="69">
        <f>IFERROR(__xludf.DUMMYFUNCTION("""COMPUTED_VALUE"""),-2.0)</f>
        <v>-2</v>
      </c>
      <c r="L15" s="69" t="str">
        <f>IFERROR(__xludf.DUMMYFUNCTION("""COMPUTED_VALUE"""),"Satu pohon yang kita tanam sangat bermanfaat bagi masa depan bumi dan manusia.")</f>
        <v>Satu pohon yang kita tanam sangat bermanfaat bagi masa depan bumi dan manusia.</v>
      </c>
      <c r="M15" s="69" t="str">
        <f>IFERROR(__xludf.DUMMYFUNCTION("""COMPUTED_VALUE"""),"mengaji menyegarkan jiwa")</f>
        <v>mengaji menyegarkan jiwa</v>
      </c>
      <c r="N15" s="69" t="str">
        <f>IFERROR(__xludf.DUMMYFUNCTION("""COMPUTED_VALUE"""),"suasana malam hari yang sangat sunyi karena sebentar lagi akan turun hujan yang lebat")</f>
        <v>suasana malam hari yang sangat sunyi karena sebentar lagi akan turun hujan yang lebat</v>
      </c>
      <c r="O15" s="69" t="str">
        <f>IFERROR(__xludf.DUMMYFUNCTION("""COMPUTED_VALUE"""),"jalan usaha")</f>
        <v>jalan usaha</v>
      </c>
      <c r="P15" s="69" t="str">
        <f>IFERROR(__xludf.DUMMYFUNCTION("""COMPUTED_VALUE"""),"CO2 dan O2")</f>
        <v>CO2 dan O2</v>
      </c>
      <c r="Q15" s="69" t="str">
        <f>IFERROR(__xludf.DUMMYFUNCTION("""COMPUTED_VALUE"""),"Fotosintesis")</f>
        <v>Fotosintesis</v>
      </c>
      <c r="R15" s="69" t="str">
        <f>IFERROR(__xludf.DUMMYFUNCTION("""COMPUTED_VALUE"""),"Oksigen")</f>
        <v>Oksigen</v>
      </c>
      <c r="S15" s="69" t="str">
        <f>IFERROR(__xludf.DUMMYFUNCTION("""COMPUTED_VALUE"""),"A, D, E, dan K")</f>
        <v>A, D, E, dan K</v>
      </c>
      <c r="T15" s="69" t="str">
        <f>IFERROR(__xludf.DUMMYFUNCTION("""COMPUTED_VALUE"""),"Alat pengangkut dan pengatur suhu tubuh")</f>
        <v>Alat pengangkut dan pengatur suhu tubuh</v>
      </c>
      <c r="U15" s="69">
        <f>IFERROR(__xludf.DUMMYFUNCTION("""COMPUTED_VALUE"""),100.0)</f>
        <v>100</v>
      </c>
      <c r="V15" s="69">
        <f>IFERROR(__xludf.DUMMYFUNCTION("""COMPUTED_VALUE"""),13.0)</f>
        <v>13</v>
      </c>
      <c r="W15" s="70">
        <f>IFERROR(__xludf.DUMMYFUNCTION("""COMPUTED_VALUE"""),17000.0)</f>
        <v>17000</v>
      </c>
      <c r="X15" s="69">
        <f>IFERROR(__xludf.DUMMYFUNCTION("""COMPUTED_VALUE"""),23.0)</f>
        <v>23</v>
      </c>
      <c r="Y15" s="69">
        <f>IFERROR(__xludf.DUMMYFUNCTION("""COMPUTED_VALUE"""),150.0)</f>
        <v>150</v>
      </c>
      <c r="Z15" s="67">
        <f t="shared" si="1"/>
        <v>1</v>
      </c>
      <c r="AA15" s="67">
        <f t="shared" si="2"/>
        <v>1</v>
      </c>
      <c r="AB15" s="67">
        <f t="shared" si="3"/>
        <v>0</v>
      </c>
      <c r="AC15" s="67">
        <f t="shared" si="4"/>
        <v>0</v>
      </c>
      <c r="AD15" s="67">
        <f t="shared" si="5"/>
        <v>1</v>
      </c>
      <c r="AE15" s="68">
        <f t="shared" si="6"/>
        <v>3</v>
      </c>
      <c r="AF15" s="67">
        <f t="shared" si="7"/>
        <v>0</v>
      </c>
      <c r="AG15" s="67">
        <f t="shared" si="8"/>
        <v>1</v>
      </c>
      <c r="AH15" s="67">
        <f t="shared" si="9"/>
        <v>0</v>
      </c>
      <c r="AI15" s="67">
        <f t="shared" si="10"/>
        <v>0</v>
      </c>
      <c r="AJ15" s="67">
        <f t="shared" si="11"/>
        <v>0</v>
      </c>
      <c r="AK15" s="68">
        <f t="shared" si="12"/>
        <v>1</v>
      </c>
      <c r="AL15" s="67">
        <f t="shared" si="13"/>
        <v>0</v>
      </c>
      <c r="AM15" s="67">
        <f t="shared" si="14"/>
        <v>1</v>
      </c>
      <c r="AN15" s="67">
        <f t="shared" si="15"/>
        <v>0</v>
      </c>
      <c r="AO15" s="67">
        <f t="shared" si="16"/>
        <v>1</v>
      </c>
      <c r="AP15" s="67">
        <f t="shared" si="17"/>
        <v>1</v>
      </c>
      <c r="AQ15" s="68">
        <f t="shared" si="18"/>
        <v>3</v>
      </c>
      <c r="AR15" s="67">
        <f t="shared" si="19"/>
        <v>0</v>
      </c>
      <c r="AS15" s="67">
        <f t="shared" si="20"/>
        <v>1</v>
      </c>
      <c r="AT15" s="67">
        <f t="shared" si="21"/>
        <v>1</v>
      </c>
      <c r="AU15" s="67">
        <f t="shared" si="22"/>
        <v>1</v>
      </c>
      <c r="AV15" s="67">
        <f t="shared" si="23"/>
        <v>0</v>
      </c>
      <c r="AW15" s="68">
        <f t="shared" si="24"/>
        <v>3</v>
      </c>
      <c r="AX15" s="56"/>
      <c r="AY15" s="67">
        <f t="shared" si="25"/>
        <v>3</v>
      </c>
      <c r="AZ15" s="67">
        <f t="shared" si="26"/>
        <v>1</v>
      </c>
      <c r="BA15" s="67">
        <f t="shared" si="27"/>
        <v>3</v>
      </c>
      <c r="BB15" s="67">
        <f t="shared" si="28"/>
        <v>3</v>
      </c>
      <c r="BC15" s="30">
        <f t="shared" si="29"/>
        <v>50</v>
      </c>
    </row>
    <row r="16">
      <c r="A16" s="65">
        <f>IFERROR(__xludf.DUMMYFUNCTION("""COMPUTED_VALUE"""),45933.6404658449)</f>
        <v>45933.64047</v>
      </c>
      <c r="B16" s="69" t="str">
        <f>IFERROR(__xludf.DUMMYFUNCTION("""COMPUTED_VALUE"""),"adinda humaira")</f>
        <v>adinda humaira</v>
      </c>
      <c r="C16" s="69" t="str">
        <f>IFERROR(__xludf.DUMMYFUNCTION("""COMPUTED_VALUE"""),"E250004")</f>
        <v>E250004</v>
      </c>
      <c r="D16" s="69" t="str">
        <f>IFERROR(__xludf.DUMMYFUNCTION("""COMPUTED_VALUE"""),"I'dad Lughawiy Putri")</f>
        <v>I'dad Lughawiy Putri</v>
      </c>
      <c r="E16" s="69" t="str">
        <f>IFERROR(__xludf.DUMMYFUNCTION("""COMPUTED_VALUE"""),"Ya")</f>
        <v>Ya</v>
      </c>
      <c r="F16" s="69" t="str">
        <f>IFERROR(__xludf.DUMMYFUNCTION("""COMPUTED_VALUE"""),"Aku bersaksi bahwa tidak ada tuhan yang berhak di sembah kecuali Allah")</f>
        <v>Aku bersaksi bahwa tidak ada tuhan yang berhak di sembah kecuali Allah</v>
      </c>
      <c r="G16" s="69">
        <f>IFERROR(__xludf.DUMMYFUNCTION("""COMPUTED_VALUE"""),3.0)</f>
        <v>3</v>
      </c>
      <c r="H16" s="69" t="str">
        <f>IFERROR(__xludf.DUMMYFUNCTION("""COMPUTED_VALUE"""),"Amanah")</f>
        <v>Amanah</v>
      </c>
      <c r="I16" s="69" t="str">
        <f>IFERROR(__xludf.DUMMYFUNCTION("""COMPUTED_VALUE"""),"Di atas Arsy")</f>
        <v>Di atas Arsy</v>
      </c>
      <c r="J16" s="69" t="str">
        <f>IFERROR(__xludf.DUMMYFUNCTION("""COMPUTED_VALUE"""),"Ustman Bin Affan")</f>
        <v>Ustman Bin Affan</v>
      </c>
      <c r="K16" s="69">
        <f>IFERROR(__xludf.DUMMYFUNCTION("""COMPUTED_VALUE"""),-2.0)</f>
        <v>-2</v>
      </c>
      <c r="L16" s="69" t="str">
        <f>IFERROR(__xludf.DUMMYFUNCTION("""COMPUTED_VALUE"""),"Satu pohon yang kita tanam sangat bermanfaat bagi masa depan bumi dan manusia.")</f>
        <v>Satu pohon yang kita tanam sangat bermanfaat bagi masa depan bumi dan manusia.</v>
      </c>
      <c r="M16" s="69" t="str">
        <f>IFERROR(__xludf.DUMMYFUNCTION("""COMPUTED_VALUE"""),"mengaji seperti jantung")</f>
        <v>mengaji seperti jantung</v>
      </c>
      <c r="N16"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16" s="69" t="str">
        <f>IFERROR(__xludf.DUMMYFUNCTION("""COMPUTED_VALUE"""),"jalan usaha")</f>
        <v>jalan usaha</v>
      </c>
      <c r="P16" s="69" t="str">
        <f>IFERROR(__xludf.DUMMYFUNCTION("""COMPUTED_VALUE"""),"O2 dan CO2")</f>
        <v>O2 dan CO2</v>
      </c>
      <c r="Q16" s="69" t="str">
        <f>IFERROR(__xludf.DUMMYFUNCTION("""COMPUTED_VALUE"""),"Fotosintesis")</f>
        <v>Fotosintesis</v>
      </c>
      <c r="R16" s="69" t="str">
        <f>IFERROR(__xludf.DUMMYFUNCTION("""COMPUTED_VALUE"""),"Karbon dioksida")</f>
        <v>Karbon dioksida</v>
      </c>
      <c r="S16" s="69" t="str">
        <f>IFERROR(__xludf.DUMMYFUNCTION("""COMPUTED_VALUE"""),"A, D, E, dan K")</f>
        <v>A, D, E, dan K</v>
      </c>
      <c r="T16" s="69" t="str">
        <f>IFERROR(__xludf.DUMMYFUNCTION("""COMPUTED_VALUE"""),"Menentralkan racun dan sumber energi")</f>
        <v>Menentralkan racun dan sumber energi</v>
      </c>
      <c r="U16" s="69">
        <f>IFERROR(__xludf.DUMMYFUNCTION("""COMPUTED_VALUE"""),100.0)</f>
        <v>100</v>
      </c>
      <c r="V16" s="69">
        <f>IFERROR(__xludf.DUMMYFUNCTION("""COMPUTED_VALUE"""),13.0)</f>
        <v>13</v>
      </c>
      <c r="W16" s="70">
        <f>IFERROR(__xludf.DUMMYFUNCTION("""COMPUTED_VALUE"""),17000.0)</f>
        <v>17000</v>
      </c>
      <c r="X16" s="69">
        <f>IFERROR(__xludf.DUMMYFUNCTION("""COMPUTED_VALUE"""),23.0)</f>
        <v>23</v>
      </c>
      <c r="Y16" s="69">
        <f>IFERROR(__xludf.DUMMYFUNCTION("""COMPUTED_VALUE"""),210.0)</f>
        <v>210</v>
      </c>
      <c r="Z16" s="67">
        <f t="shared" si="1"/>
        <v>1</v>
      </c>
      <c r="AA16" s="67">
        <f t="shared" si="2"/>
        <v>1</v>
      </c>
      <c r="AB16" s="67">
        <f t="shared" si="3"/>
        <v>1</v>
      </c>
      <c r="AC16" s="67">
        <f t="shared" si="4"/>
        <v>1</v>
      </c>
      <c r="AD16" s="67">
        <f t="shared" si="5"/>
        <v>1</v>
      </c>
      <c r="AE16" s="68">
        <f t="shared" si="6"/>
        <v>5</v>
      </c>
      <c r="AF16" s="67">
        <f t="shared" si="7"/>
        <v>0</v>
      </c>
      <c r="AG16" s="67">
        <f t="shared" si="8"/>
        <v>1</v>
      </c>
      <c r="AH16" s="67">
        <f t="shared" si="9"/>
        <v>1</v>
      </c>
      <c r="AI16" s="67">
        <f t="shared" si="10"/>
        <v>0</v>
      </c>
      <c r="AJ16" s="67">
        <f t="shared" si="11"/>
        <v>0</v>
      </c>
      <c r="AK16" s="68">
        <f t="shared" si="12"/>
        <v>2</v>
      </c>
      <c r="AL16" s="67">
        <f t="shared" si="13"/>
        <v>0</v>
      </c>
      <c r="AM16" s="67">
        <f t="shared" si="14"/>
        <v>1</v>
      </c>
      <c r="AN16" s="67">
        <f t="shared" si="15"/>
        <v>0</v>
      </c>
      <c r="AO16" s="67">
        <f t="shared" si="16"/>
        <v>1</v>
      </c>
      <c r="AP16" s="67">
        <f t="shared" si="17"/>
        <v>0</v>
      </c>
      <c r="AQ16" s="68">
        <f t="shared" si="18"/>
        <v>2</v>
      </c>
      <c r="AR16" s="67">
        <f t="shared" si="19"/>
        <v>0</v>
      </c>
      <c r="AS16" s="67">
        <f t="shared" si="20"/>
        <v>1</v>
      </c>
      <c r="AT16" s="67">
        <f t="shared" si="21"/>
        <v>1</v>
      </c>
      <c r="AU16" s="67">
        <f t="shared" si="22"/>
        <v>1</v>
      </c>
      <c r="AV16" s="67">
        <f t="shared" si="23"/>
        <v>1</v>
      </c>
      <c r="AW16" s="68">
        <f t="shared" si="24"/>
        <v>4</v>
      </c>
      <c r="AX16" s="56"/>
      <c r="AY16" s="67">
        <f t="shared" si="25"/>
        <v>5</v>
      </c>
      <c r="AZ16" s="67">
        <f t="shared" si="26"/>
        <v>2</v>
      </c>
      <c r="BA16" s="67">
        <f t="shared" si="27"/>
        <v>2</v>
      </c>
      <c r="BB16" s="67">
        <f t="shared" si="28"/>
        <v>4</v>
      </c>
      <c r="BC16" s="30">
        <f t="shared" si="29"/>
        <v>65</v>
      </c>
    </row>
    <row r="17">
      <c r="A17" s="65">
        <f>IFERROR(__xludf.DUMMYFUNCTION("""COMPUTED_VALUE"""),45934.40281847223)</f>
        <v>45934.40282</v>
      </c>
      <c r="B17" s="69" t="str">
        <f>IFERROR(__xludf.DUMMYFUNCTION("""COMPUTED_VALUE"""),"Raihan Farzin ")</f>
        <v>Raihan Farzin </v>
      </c>
      <c r="C17" s="69" t="str">
        <f>IFERROR(__xludf.DUMMYFUNCTION("""COMPUTED_VALUE"""),"B250005")</f>
        <v>B250005</v>
      </c>
      <c r="D17" s="69" t="str">
        <f>IFERROR(__xludf.DUMMYFUNCTION("""COMPUTED_VALUE"""),"I'dad Lughawiy Putra")</f>
        <v>I'dad Lughawiy Putra</v>
      </c>
      <c r="E17" s="69" t="str">
        <f>IFERROR(__xludf.DUMMYFUNCTION("""COMPUTED_VALUE"""),"Ya")</f>
        <v>Ya</v>
      </c>
      <c r="F17" s="69" t="str">
        <f>IFERROR(__xludf.DUMMYFUNCTION("""COMPUTED_VALUE"""),"Aku bersaksi bahwa tidak ada tuhan yang berhak di sembah kecuali Allah")</f>
        <v>Aku bersaksi bahwa tidak ada tuhan yang berhak di sembah kecuali Allah</v>
      </c>
      <c r="G17" s="69">
        <f>IFERROR(__xludf.DUMMYFUNCTION("""COMPUTED_VALUE"""),3.0)</f>
        <v>3</v>
      </c>
      <c r="H17" s="69" t="str">
        <f>IFERROR(__xludf.DUMMYFUNCTION("""COMPUTED_VALUE"""),"Amanah")</f>
        <v>Amanah</v>
      </c>
      <c r="I17" s="69" t="str">
        <f>IFERROR(__xludf.DUMMYFUNCTION("""COMPUTED_VALUE"""),"Di atas Arsy")</f>
        <v>Di atas Arsy</v>
      </c>
      <c r="J17" s="69" t="str">
        <f>IFERROR(__xludf.DUMMYFUNCTION("""COMPUTED_VALUE"""),"Ustman Bin Affan")</f>
        <v>Ustman Bin Affan</v>
      </c>
      <c r="K17" s="69" t="str">
        <f>IFERROR(__xludf.DUMMYFUNCTION("""COMPUTED_VALUE"""),"(1) dan (4)")</f>
        <v>(1) dan (4)</v>
      </c>
      <c r="L17" s="69" t="str">
        <f>IFERROR(__xludf.DUMMYFUNCTION("""COMPUTED_VALUE"""),"Satu pohon yang kita tanam sangat bermanfaat bagi masa depan bumi dan manusia.")</f>
        <v>Satu pohon yang kita tanam sangat bermanfaat bagi masa depan bumi dan manusia.</v>
      </c>
      <c r="M17" s="69" t="str">
        <f>IFERROR(__xludf.DUMMYFUNCTION("""COMPUTED_VALUE"""),"mengaji menyegarkan jiwa")</f>
        <v>mengaji menyegarkan jiwa</v>
      </c>
      <c r="N17"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17" s="69" t="str">
        <f>IFERROR(__xludf.DUMMYFUNCTION("""COMPUTED_VALUE"""),"usaha yang dilakukan sendiri")</f>
        <v>usaha yang dilakukan sendiri</v>
      </c>
      <c r="P17" s="69" t="str">
        <f>IFERROR(__xludf.DUMMYFUNCTION("""COMPUTED_VALUE"""),"H2O dan O2")</f>
        <v>H2O dan O2</v>
      </c>
      <c r="Q17" s="69" t="str">
        <f>IFERROR(__xludf.DUMMYFUNCTION("""COMPUTED_VALUE"""),"Reproduksi")</f>
        <v>Reproduksi</v>
      </c>
      <c r="R17" s="69" t="str">
        <f>IFERROR(__xludf.DUMMYFUNCTION("""COMPUTED_VALUE"""),"Nitrogen")</f>
        <v>Nitrogen</v>
      </c>
      <c r="S17" s="69" t="str">
        <f>IFERROR(__xludf.DUMMYFUNCTION("""COMPUTED_VALUE"""),"A, C, E, dan K")</f>
        <v>A, C, E, dan K</v>
      </c>
      <c r="T17" s="69" t="str">
        <f>IFERROR(__xludf.DUMMYFUNCTION("""COMPUTED_VALUE"""),"Pengatur suhu tubuh dan sumber energi")</f>
        <v>Pengatur suhu tubuh dan sumber energi</v>
      </c>
      <c r="U17" s="69">
        <f>IFERROR(__xludf.DUMMYFUNCTION("""COMPUTED_VALUE"""),85.0)</f>
        <v>85</v>
      </c>
      <c r="V17" s="69">
        <f>IFERROR(__xludf.DUMMYFUNCTION("""COMPUTED_VALUE"""),7.0)</f>
        <v>7</v>
      </c>
      <c r="W17" s="70">
        <f>IFERROR(__xludf.DUMMYFUNCTION("""COMPUTED_VALUE"""),17000.0)</f>
        <v>17000</v>
      </c>
      <c r="X17" s="69">
        <f>IFERROR(__xludf.DUMMYFUNCTION("""COMPUTED_VALUE"""),23.0)</f>
        <v>23</v>
      </c>
      <c r="Y17" s="69">
        <f>IFERROR(__xludf.DUMMYFUNCTION("""COMPUTED_VALUE"""),210.0)</f>
        <v>210</v>
      </c>
      <c r="Z17" s="67">
        <f t="shared" si="1"/>
        <v>1</v>
      </c>
      <c r="AA17" s="67">
        <f t="shared" si="2"/>
        <v>1</v>
      </c>
      <c r="AB17" s="67">
        <f t="shared" si="3"/>
        <v>1</v>
      </c>
      <c r="AC17" s="67">
        <f t="shared" si="4"/>
        <v>1</v>
      </c>
      <c r="AD17" s="67">
        <f t="shared" si="5"/>
        <v>1</v>
      </c>
      <c r="AE17" s="68">
        <f t="shared" si="6"/>
        <v>5</v>
      </c>
      <c r="AF17" s="67">
        <f t="shared" si="7"/>
        <v>1</v>
      </c>
      <c r="AG17" s="67">
        <f t="shared" si="8"/>
        <v>1</v>
      </c>
      <c r="AH17" s="67">
        <f t="shared" si="9"/>
        <v>0</v>
      </c>
      <c r="AI17" s="67">
        <f t="shared" si="10"/>
        <v>0</v>
      </c>
      <c r="AJ17" s="67">
        <f t="shared" si="11"/>
        <v>0</v>
      </c>
      <c r="AK17" s="68">
        <f t="shared" si="12"/>
        <v>2</v>
      </c>
      <c r="AL17" s="67">
        <f t="shared" si="13"/>
        <v>0</v>
      </c>
      <c r="AM17" s="67">
        <f t="shared" si="14"/>
        <v>0</v>
      </c>
      <c r="AN17" s="67">
        <f t="shared" si="15"/>
        <v>0</v>
      </c>
      <c r="AO17" s="67">
        <f t="shared" si="16"/>
        <v>0</v>
      </c>
      <c r="AP17" s="67">
        <f t="shared" si="17"/>
        <v>0</v>
      </c>
      <c r="AQ17" s="68">
        <f t="shared" si="18"/>
        <v>0</v>
      </c>
      <c r="AR17" s="67">
        <f t="shared" si="19"/>
        <v>1</v>
      </c>
      <c r="AS17" s="67">
        <f t="shared" si="20"/>
        <v>0</v>
      </c>
      <c r="AT17" s="67">
        <f t="shared" si="21"/>
        <v>1</v>
      </c>
      <c r="AU17" s="67">
        <f t="shared" si="22"/>
        <v>1</v>
      </c>
      <c r="AV17" s="67">
        <f t="shared" si="23"/>
        <v>1</v>
      </c>
      <c r="AW17" s="68">
        <f t="shared" si="24"/>
        <v>4</v>
      </c>
      <c r="AX17" s="56"/>
      <c r="AY17" s="67">
        <f t="shared" si="25"/>
        <v>5</v>
      </c>
      <c r="AZ17" s="67">
        <f t="shared" si="26"/>
        <v>2</v>
      </c>
      <c r="BA17" s="67">
        <f t="shared" si="27"/>
        <v>0</v>
      </c>
      <c r="BB17" s="67">
        <f t="shared" si="28"/>
        <v>4</v>
      </c>
      <c r="BC17" s="30">
        <f t="shared" si="29"/>
        <v>55</v>
      </c>
    </row>
    <row r="18">
      <c r="A18" s="65">
        <f>IFERROR(__xludf.DUMMYFUNCTION("""COMPUTED_VALUE"""),45934.4677065625)</f>
        <v>45934.46771</v>
      </c>
      <c r="B18" s="69" t="str">
        <f>IFERROR(__xludf.DUMMYFUNCTION("""COMPUTED_VALUE"""),"Ihsan Abdul Hakim ")</f>
        <v>Ihsan Abdul Hakim </v>
      </c>
      <c r="C18" s="69" t="str">
        <f>IFERROR(__xludf.DUMMYFUNCTION("""COMPUTED_VALUE"""),"B250003")</f>
        <v>B250003</v>
      </c>
      <c r="D18" s="69" t="str">
        <f>IFERROR(__xludf.DUMMYFUNCTION("""COMPUTED_VALUE"""),"I'dad Lughawiy Putra")</f>
        <v>I'dad Lughawiy Putra</v>
      </c>
      <c r="E18" s="69" t="str">
        <f>IFERROR(__xludf.DUMMYFUNCTION("""COMPUTED_VALUE"""),"Ya")</f>
        <v>Ya</v>
      </c>
      <c r="F18" s="69" t="str">
        <f>IFERROR(__xludf.DUMMYFUNCTION("""COMPUTED_VALUE"""),"Aku bersaksi bahwa tidak ada tuhan yang berhak di sembah kecuali Allah")</f>
        <v>Aku bersaksi bahwa tidak ada tuhan yang berhak di sembah kecuali Allah</v>
      </c>
      <c r="G18" s="69">
        <f>IFERROR(__xludf.DUMMYFUNCTION("""COMPUTED_VALUE"""),3.0)</f>
        <v>3</v>
      </c>
      <c r="H18" s="69" t="str">
        <f>IFERROR(__xludf.DUMMYFUNCTION("""COMPUTED_VALUE"""),"Amanah")</f>
        <v>Amanah</v>
      </c>
      <c r="I18" s="69" t="str">
        <f>IFERROR(__xludf.DUMMYFUNCTION("""COMPUTED_VALUE"""),"Di atas Arsy")</f>
        <v>Di atas Arsy</v>
      </c>
      <c r="J18" s="69" t="str">
        <f>IFERROR(__xludf.DUMMYFUNCTION("""COMPUTED_VALUE"""),"Ustman Bin Affan")</f>
        <v>Ustman Bin Affan</v>
      </c>
      <c r="K18" s="69">
        <f>IFERROR(__xludf.DUMMYFUNCTION("""COMPUTED_VALUE"""),-2.0)</f>
        <v>-2</v>
      </c>
      <c r="L18" s="69" t="str">
        <f>IFERROR(__xludf.DUMMYFUNCTION("""COMPUTED_VALUE"""),"Satu pohon yang kita tanam sangat bermanfaat bagi masa depan bumi dan manusia.")</f>
        <v>Satu pohon yang kita tanam sangat bermanfaat bagi masa depan bumi dan manusia.</v>
      </c>
      <c r="M18" s="69" t="str">
        <f>IFERROR(__xludf.DUMMYFUNCTION("""COMPUTED_VALUE"""),"mengaji menyegarkan jiwa")</f>
        <v>mengaji menyegarkan jiwa</v>
      </c>
      <c r="N18"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18" s="69" t="str">
        <f>IFERROR(__xludf.DUMMYFUNCTION("""COMPUTED_VALUE"""),"usaha yang mula-mula sekali")</f>
        <v>usaha yang mula-mula sekali</v>
      </c>
      <c r="P18" s="69" t="str">
        <f>IFERROR(__xludf.DUMMYFUNCTION("""COMPUTED_VALUE"""),"O2 dan CO2")</f>
        <v>O2 dan CO2</v>
      </c>
      <c r="Q18" s="69" t="str">
        <f>IFERROR(__xludf.DUMMYFUNCTION("""COMPUTED_VALUE"""),"Fotosintesis")</f>
        <v>Fotosintesis</v>
      </c>
      <c r="R18" s="69" t="str">
        <f>IFERROR(__xludf.DUMMYFUNCTION("""COMPUTED_VALUE"""),"Nitrogen")</f>
        <v>Nitrogen</v>
      </c>
      <c r="S18" s="69" t="str">
        <f>IFERROR(__xludf.DUMMYFUNCTION("""COMPUTED_VALUE"""),"A, D, E, dan K")</f>
        <v>A, D, E, dan K</v>
      </c>
      <c r="T18" s="69" t="str">
        <f>IFERROR(__xludf.DUMMYFUNCTION("""COMPUTED_VALUE"""),"Pengatur suhu tubuh dan sumber energi")</f>
        <v>Pengatur suhu tubuh dan sumber energi</v>
      </c>
      <c r="U18" s="69">
        <f>IFERROR(__xludf.DUMMYFUNCTION("""COMPUTED_VALUE"""),85.0)</f>
        <v>85</v>
      </c>
      <c r="V18" s="69">
        <f>IFERROR(__xludf.DUMMYFUNCTION("""COMPUTED_VALUE"""),13.0)</f>
        <v>13</v>
      </c>
      <c r="W18" s="70">
        <f>IFERROR(__xludf.DUMMYFUNCTION("""COMPUTED_VALUE"""),18000.0)</f>
        <v>18000</v>
      </c>
      <c r="X18" s="69">
        <f>IFERROR(__xludf.DUMMYFUNCTION("""COMPUTED_VALUE"""),23.0)</f>
        <v>23</v>
      </c>
      <c r="Y18" s="69">
        <f>IFERROR(__xludf.DUMMYFUNCTION("""COMPUTED_VALUE"""),210.0)</f>
        <v>210</v>
      </c>
      <c r="Z18" s="67">
        <f t="shared" si="1"/>
        <v>1</v>
      </c>
      <c r="AA18" s="67">
        <f t="shared" si="2"/>
        <v>1</v>
      </c>
      <c r="AB18" s="67">
        <f t="shared" si="3"/>
        <v>1</v>
      </c>
      <c r="AC18" s="67">
        <f t="shared" si="4"/>
        <v>1</v>
      </c>
      <c r="AD18" s="67">
        <f t="shared" si="5"/>
        <v>1</v>
      </c>
      <c r="AE18" s="68">
        <f t="shared" si="6"/>
        <v>5</v>
      </c>
      <c r="AF18" s="67">
        <f t="shared" si="7"/>
        <v>0</v>
      </c>
      <c r="AG18" s="67">
        <f t="shared" si="8"/>
        <v>1</v>
      </c>
      <c r="AH18" s="67">
        <f t="shared" si="9"/>
        <v>0</v>
      </c>
      <c r="AI18" s="67">
        <f t="shared" si="10"/>
        <v>0</v>
      </c>
      <c r="AJ18" s="67">
        <f t="shared" si="11"/>
        <v>1</v>
      </c>
      <c r="AK18" s="68">
        <f t="shared" si="12"/>
        <v>2</v>
      </c>
      <c r="AL18" s="67">
        <f t="shared" si="13"/>
        <v>0</v>
      </c>
      <c r="AM18" s="67">
        <f t="shared" si="14"/>
        <v>1</v>
      </c>
      <c r="AN18" s="67">
        <f t="shared" si="15"/>
        <v>0</v>
      </c>
      <c r="AO18" s="67">
        <f t="shared" si="16"/>
        <v>1</v>
      </c>
      <c r="AP18" s="67">
        <f t="shared" si="17"/>
        <v>0</v>
      </c>
      <c r="AQ18" s="68">
        <f t="shared" si="18"/>
        <v>2</v>
      </c>
      <c r="AR18" s="67">
        <f t="shared" si="19"/>
        <v>1</v>
      </c>
      <c r="AS18" s="67">
        <f t="shared" si="20"/>
        <v>1</v>
      </c>
      <c r="AT18" s="67">
        <f t="shared" si="21"/>
        <v>0</v>
      </c>
      <c r="AU18" s="67">
        <f t="shared" si="22"/>
        <v>1</v>
      </c>
      <c r="AV18" s="67">
        <f t="shared" si="23"/>
        <v>1</v>
      </c>
      <c r="AW18" s="68">
        <f t="shared" si="24"/>
        <v>4</v>
      </c>
      <c r="AX18" s="56"/>
      <c r="AY18" s="67">
        <f t="shared" si="25"/>
        <v>5</v>
      </c>
      <c r="AZ18" s="67">
        <f t="shared" si="26"/>
        <v>2</v>
      </c>
      <c r="BA18" s="67">
        <f t="shared" si="27"/>
        <v>2</v>
      </c>
      <c r="BB18" s="67">
        <f t="shared" si="28"/>
        <v>4</v>
      </c>
      <c r="BC18" s="30">
        <f t="shared" si="29"/>
        <v>65</v>
      </c>
    </row>
    <row r="19">
      <c r="A19" s="65">
        <f>IFERROR(__xludf.DUMMYFUNCTION("""COMPUTED_VALUE"""),45935.51236033565)</f>
        <v>45935.51236</v>
      </c>
      <c r="B19" s="69" t="str">
        <f>IFERROR(__xludf.DUMMYFUNCTION("""COMPUTED_VALUE"""),"Hafizh Abdurrahman ")</f>
        <v>Hafizh Abdurrahman </v>
      </c>
      <c r="C19" s="69" t="str">
        <f>IFERROR(__xludf.DUMMYFUNCTION("""COMPUTED_VALUE"""),"B250004")</f>
        <v>B250004</v>
      </c>
      <c r="D19" s="69" t="str">
        <f>IFERROR(__xludf.DUMMYFUNCTION("""COMPUTED_VALUE"""),"I'dad Lughawiy Putra")</f>
        <v>I'dad Lughawiy Putra</v>
      </c>
      <c r="E19" s="69" t="str">
        <f>IFERROR(__xludf.DUMMYFUNCTION("""COMPUTED_VALUE"""),"Ya")</f>
        <v>Ya</v>
      </c>
      <c r="F19" s="69" t="str">
        <f>IFERROR(__xludf.DUMMYFUNCTION("""COMPUTED_VALUE"""),"Aku bersaksi bahwa tidak ada tuhan yang berhak di sembah kecuali Allah")</f>
        <v>Aku bersaksi bahwa tidak ada tuhan yang berhak di sembah kecuali Allah</v>
      </c>
      <c r="G19" s="69">
        <f>IFERROR(__xludf.DUMMYFUNCTION("""COMPUTED_VALUE"""),3.0)</f>
        <v>3</v>
      </c>
      <c r="H19" s="69" t="str">
        <f>IFERROR(__xludf.DUMMYFUNCTION("""COMPUTED_VALUE"""),"Amanah")</f>
        <v>Amanah</v>
      </c>
      <c r="I19" s="69" t="str">
        <f>IFERROR(__xludf.DUMMYFUNCTION("""COMPUTED_VALUE"""),"Di atas Arsy")</f>
        <v>Di atas Arsy</v>
      </c>
      <c r="J19" s="69" t="str">
        <f>IFERROR(__xludf.DUMMYFUNCTION("""COMPUTED_VALUE"""),"Ustman Bin Affan")</f>
        <v>Ustman Bin Affan</v>
      </c>
      <c r="K19" s="69" t="str">
        <f>IFERROR(__xludf.DUMMYFUNCTION("""COMPUTED_VALUE"""),"(1) dan (4)")</f>
        <v>(1) dan (4)</v>
      </c>
      <c r="L19" s="69" t="str">
        <f>IFERROR(__xludf.DUMMYFUNCTION("""COMPUTED_VALUE"""),"Satu pohon yang kita tanam sangat bermanfaat bagi masa depan bumi dan manusia.")</f>
        <v>Satu pohon yang kita tanam sangat bermanfaat bagi masa depan bumi dan manusia.</v>
      </c>
      <c r="M19" s="69" t="str">
        <f>IFERROR(__xludf.DUMMYFUNCTION("""COMPUTED_VALUE"""),"mengaji menyegarkan jiwa")</f>
        <v>mengaji menyegarkan jiwa</v>
      </c>
      <c r="N19" s="69" t="str">
        <f>IFERROR(__xludf.DUMMYFUNCTION("""COMPUTED_VALUE"""),"suasana malam hari yang sangat sunyi karena sebentar lagi akan turun hujan yang lebat")</f>
        <v>suasana malam hari yang sangat sunyi karena sebentar lagi akan turun hujan yang lebat</v>
      </c>
      <c r="O19" s="69" t="str">
        <f>IFERROR(__xludf.DUMMYFUNCTION("""COMPUTED_VALUE"""),"jalan usaha")</f>
        <v>jalan usaha</v>
      </c>
      <c r="P19" s="69" t="str">
        <f>IFERROR(__xludf.DUMMYFUNCTION("""COMPUTED_VALUE"""),"CO2 dan H2O")</f>
        <v>CO2 dan H2O</v>
      </c>
      <c r="Q19" s="69" t="str">
        <f>IFERROR(__xludf.DUMMYFUNCTION("""COMPUTED_VALUE"""),"Fotosintesis")</f>
        <v>Fotosintesis</v>
      </c>
      <c r="R19" s="69" t="str">
        <f>IFERROR(__xludf.DUMMYFUNCTION("""COMPUTED_VALUE"""),"Karbon dioksida")</f>
        <v>Karbon dioksida</v>
      </c>
      <c r="S19" s="69" t="str">
        <f>IFERROR(__xludf.DUMMYFUNCTION("""COMPUTED_VALUE"""),"A, B, C, dan D")</f>
        <v>A, B, C, dan D</v>
      </c>
      <c r="T19" s="69" t="str">
        <f>IFERROR(__xludf.DUMMYFUNCTION("""COMPUTED_VALUE"""),"Pengatur suhu tubuh dan sumber energi")</f>
        <v>Pengatur suhu tubuh dan sumber energi</v>
      </c>
      <c r="U19" s="69">
        <f>IFERROR(__xludf.DUMMYFUNCTION("""COMPUTED_VALUE"""),85.0)</f>
        <v>85</v>
      </c>
      <c r="V19" s="69">
        <f>IFERROR(__xludf.DUMMYFUNCTION("""COMPUTED_VALUE"""),18.0)</f>
        <v>18</v>
      </c>
      <c r="W19" s="70">
        <f>IFERROR(__xludf.DUMMYFUNCTION("""COMPUTED_VALUE"""),15000.0)</f>
        <v>15000</v>
      </c>
      <c r="X19" s="69">
        <f>IFERROR(__xludf.DUMMYFUNCTION("""COMPUTED_VALUE"""),17.0)</f>
        <v>17</v>
      </c>
      <c r="Y19" s="69">
        <f>IFERROR(__xludf.DUMMYFUNCTION("""COMPUTED_VALUE"""),140.0)</f>
        <v>140</v>
      </c>
      <c r="Z19" s="67">
        <f t="shared" si="1"/>
        <v>1</v>
      </c>
      <c r="AA19" s="67">
        <f t="shared" si="2"/>
        <v>1</v>
      </c>
      <c r="AB19" s="67">
        <f t="shared" si="3"/>
        <v>1</v>
      </c>
      <c r="AC19" s="67">
        <f t="shared" si="4"/>
        <v>1</v>
      </c>
      <c r="AD19" s="67">
        <f t="shared" si="5"/>
        <v>1</v>
      </c>
      <c r="AE19" s="68">
        <f t="shared" si="6"/>
        <v>5</v>
      </c>
      <c r="AF19" s="67">
        <f t="shared" si="7"/>
        <v>1</v>
      </c>
      <c r="AG19" s="67">
        <f t="shared" si="8"/>
        <v>1</v>
      </c>
      <c r="AH19" s="67">
        <f t="shared" si="9"/>
        <v>0</v>
      </c>
      <c r="AI19" s="67">
        <f t="shared" si="10"/>
        <v>0</v>
      </c>
      <c r="AJ19" s="67">
        <f t="shared" si="11"/>
        <v>0</v>
      </c>
      <c r="AK19" s="68">
        <f t="shared" si="12"/>
        <v>2</v>
      </c>
      <c r="AL19" s="67">
        <f t="shared" si="13"/>
        <v>0</v>
      </c>
      <c r="AM19" s="67">
        <f t="shared" si="14"/>
        <v>1</v>
      </c>
      <c r="AN19" s="67">
        <f t="shared" si="15"/>
        <v>0</v>
      </c>
      <c r="AO19" s="67">
        <f t="shared" si="16"/>
        <v>0</v>
      </c>
      <c r="AP19" s="67">
        <f t="shared" si="17"/>
        <v>0</v>
      </c>
      <c r="AQ19" s="68">
        <f t="shared" si="18"/>
        <v>1</v>
      </c>
      <c r="AR19" s="67">
        <f t="shared" si="19"/>
        <v>1</v>
      </c>
      <c r="AS19" s="67">
        <f t="shared" si="20"/>
        <v>0</v>
      </c>
      <c r="AT19" s="67">
        <f t="shared" si="21"/>
        <v>0</v>
      </c>
      <c r="AU19" s="67">
        <f t="shared" si="22"/>
        <v>0</v>
      </c>
      <c r="AV19" s="67">
        <f t="shared" si="23"/>
        <v>0</v>
      </c>
      <c r="AW19" s="68">
        <f t="shared" si="24"/>
        <v>1</v>
      </c>
      <c r="AX19" s="56"/>
      <c r="AY19" s="67">
        <f t="shared" si="25"/>
        <v>5</v>
      </c>
      <c r="AZ19" s="67">
        <f t="shared" si="26"/>
        <v>2</v>
      </c>
      <c r="BA19" s="67">
        <f t="shared" si="27"/>
        <v>1</v>
      </c>
      <c r="BB19" s="67">
        <f t="shared" si="28"/>
        <v>1</v>
      </c>
      <c r="BC19" s="30">
        <f t="shared" si="29"/>
        <v>45</v>
      </c>
    </row>
    <row r="20">
      <c r="A20" s="65">
        <f>IFERROR(__xludf.DUMMYFUNCTION("""COMPUTED_VALUE"""),45938.84710267361)</f>
        <v>45938.8471</v>
      </c>
      <c r="B20" s="69" t="str">
        <f>IFERROR(__xludf.DUMMYFUNCTION("""COMPUTED_VALUE"""),"Angga saputra")</f>
        <v>Angga saputra</v>
      </c>
      <c r="C20" s="71" t="str">
        <f>IFERROR(__xludf.DUMMYFUNCTION("""COMPUTED_VALUE"""),"B250017")</f>
        <v>B250017</v>
      </c>
      <c r="D20" s="69" t="str">
        <f>IFERROR(__xludf.DUMMYFUNCTION("""COMPUTED_VALUE"""),"I'dad Lughawiy Putra")</f>
        <v>I'dad Lughawiy Putra</v>
      </c>
      <c r="E20" s="69" t="str">
        <f>IFERROR(__xludf.DUMMYFUNCTION("""COMPUTED_VALUE"""),"Ya")</f>
        <v>Ya</v>
      </c>
      <c r="F20" s="69" t="str">
        <f>IFERROR(__xludf.DUMMYFUNCTION("""COMPUTED_VALUE"""),"Aku bersaksi bahwa Muhammad adalah utusan Allah")</f>
        <v>Aku bersaksi bahwa Muhammad adalah utusan Allah</v>
      </c>
      <c r="G20" s="69">
        <f>IFERROR(__xludf.DUMMYFUNCTION("""COMPUTED_VALUE"""),2.0)</f>
        <v>2</v>
      </c>
      <c r="H20" s="69" t="str">
        <f>IFERROR(__xludf.DUMMYFUNCTION("""COMPUTED_VALUE"""),"Al Amiin")</f>
        <v>Al Amiin</v>
      </c>
      <c r="I20" s="69" t="str">
        <f>IFERROR(__xludf.DUMMYFUNCTION("""COMPUTED_VALUE"""),"Di atas Arsy")</f>
        <v>Di atas Arsy</v>
      </c>
      <c r="J20" s="69" t="str">
        <f>IFERROR(__xludf.DUMMYFUNCTION("""COMPUTED_VALUE"""),"Ali Bin Abi Thalib")</f>
        <v>Ali Bin Abi Thalib</v>
      </c>
      <c r="K20" s="69" t="str">
        <f>IFERROR(__xludf.DUMMYFUNCTION("""COMPUTED_VALUE"""),"(1) dan (4)")</f>
        <v>(1) dan (4)</v>
      </c>
      <c r="L20" s="69" t="str">
        <f>IFERROR(__xludf.DUMMYFUNCTION("""COMPUTED_VALUE"""),"Satu pohon yang kita tanam sangat bermanfaat bagi masa depan bumi dan manusia.")</f>
        <v>Satu pohon yang kita tanam sangat bermanfaat bagi masa depan bumi dan manusia.</v>
      </c>
      <c r="M20" s="69" t="str">
        <f>IFERROR(__xludf.DUMMYFUNCTION("""COMPUTED_VALUE"""),"mengaji menyegarkan jiwa")</f>
        <v>mengaji menyegarkan jiwa</v>
      </c>
      <c r="N20"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20" s="69" t="str">
        <f>IFERROR(__xludf.DUMMYFUNCTION("""COMPUTED_VALUE"""),"jalan usaha")</f>
        <v>jalan usaha</v>
      </c>
      <c r="P20" s="69" t="str">
        <f>IFERROR(__xludf.DUMMYFUNCTION("""COMPUTED_VALUE"""),"C6H12O6 dan O2")</f>
        <v>C6H12O6 dan O2</v>
      </c>
      <c r="Q20" s="69" t="str">
        <f>IFERROR(__xludf.DUMMYFUNCTION("""COMPUTED_VALUE"""),"Mengeluarkan zat sisa")</f>
        <v>Mengeluarkan zat sisa</v>
      </c>
      <c r="R20" s="69" t="str">
        <f>IFERROR(__xludf.DUMMYFUNCTION("""COMPUTED_VALUE"""),"Oksigen")</f>
        <v>Oksigen</v>
      </c>
      <c r="S20" s="69" t="str">
        <f>IFERROR(__xludf.DUMMYFUNCTION("""COMPUTED_VALUE"""),"A, B, C, dan D")</f>
        <v>A, B, C, dan D</v>
      </c>
      <c r="T20" s="69" t="str">
        <f>IFERROR(__xludf.DUMMYFUNCTION("""COMPUTED_VALUE"""),"Sumber energi dan menetralkan racun")</f>
        <v>Sumber energi dan menetralkan racun</v>
      </c>
      <c r="U20" s="69">
        <f>IFERROR(__xludf.DUMMYFUNCTION("""COMPUTED_VALUE"""),105.0)</f>
        <v>105</v>
      </c>
      <c r="V20" s="69">
        <f>IFERROR(__xludf.DUMMYFUNCTION("""COMPUTED_VALUE"""),11.0)</f>
        <v>11</v>
      </c>
      <c r="W20" s="70">
        <f>IFERROR(__xludf.DUMMYFUNCTION("""COMPUTED_VALUE"""),15000.0)</f>
        <v>15000</v>
      </c>
      <c r="X20" s="69">
        <f>IFERROR(__xludf.DUMMYFUNCTION("""COMPUTED_VALUE"""),17.0)</f>
        <v>17</v>
      </c>
      <c r="Y20" s="69">
        <f>IFERROR(__xludf.DUMMYFUNCTION("""COMPUTED_VALUE"""),210.0)</f>
        <v>210</v>
      </c>
      <c r="Z20" s="67">
        <f t="shared" si="1"/>
        <v>0</v>
      </c>
      <c r="AA20" s="67">
        <f t="shared" si="2"/>
        <v>0</v>
      </c>
      <c r="AB20" s="67">
        <f t="shared" si="3"/>
        <v>0</v>
      </c>
      <c r="AC20" s="67">
        <f t="shared" si="4"/>
        <v>1</v>
      </c>
      <c r="AD20" s="67">
        <f t="shared" si="5"/>
        <v>0</v>
      </c>
      <c r="AE20" s="68">
        <f t="shared" si="6"/>
        <v>1</v>
      </c>
      <c r="AF20" s="67">
        <f t="shared" si="7"/>
        <v>1</v>
      </c>
      <c r="AG20" s="67">
        <f t="shared" si="8"/>
        <v>1</v>
      </c>
      <c r="AH20" s="67">
        <f t="shared" si="9"/>
        <v>0</v>
      </c>
      <c r="AI20" s="67">
        <f t="shared" si="10"/>
        <v>0</v>
      </c>
      <c r="AJ20" s="67">
        <f t="shared" si="11"/>
        <v>0</v>
      </c>
      <c r="AK20" s="68">
        <f t="shared" si="12"/>
        <v>2</v>
      </c>
      <c r="AL20" s="67">
        <f t="shared" si="13"/>
        <v>1</v>
      </c>
      <c r="AM20" s="67">
        <f t="shared" si="14"/>
        <v>0</v>
      </c>
      <c r="AN20" s="67">
        <f t="shared" si="15"/>
        <v>0</v>
      </c>
      <c r="AO20" s="67">
        <f t="shared" si="16"/>
        <v>0</v>
      </c>
      <c r="AP20" s="67">
        <f t="shared" si="17"/>
        <v>0</v>
      </c>
      <c r="AQ20" s="68">
        <f t="shared" si="18"/>
        <v>1</v>
      </c>
      <c r="AR20" s="67">
        <f t="shared" si="19"/>
        <v>0</v>
      </c>
      <c r="AS20" s="67">
        <f t="shared" si="20"/>
        <v>0</v>
      </c>
      <c r="AT20" s="67">
        <f t="shared" si="21"/>
        <v>0</v>
      </c>
      <c r="AU20" s="67">
        <f t="shared" si="22"/>
        <v>0</v>
      </c>
      <c r="AV20" s="67">
        <f t="shared" si="23"/>
        <v>1</v>
      </c>
      <c r="AW20" s="68">
        <f t="shared" si="24"/>
        <v>1</v>
      </c>
      <c r="AX20" s="56"/>
      <c r="AY20" s="67">
        <f t="shared" si="25"/>
        <v>1</v>
      </c>
      <c r="AZ20" s="67">
        <f t="shared" si="26"/>
        <v>2</v>
      </c>
      <c r="BA20" s="67">
        <f t="shared" si="27"/>
        <v>1</v>
      </c>
      <c r="BB20" s="67">
        <f t="shared" si="28"/>
        <v>1</v>
      </c>
      <c r="BC20" s="30">
        <f t="shared" si="29"/>
        <v>25</v>
      </c>
    </row>
    <row r="21">
      <c r="A21" s="65">
        <f>IFERROR(__xludf.DUMMYFUNCTION("""COMPUTED_VALUE"""),45941.413501620365)</f>
        <v>45941.4135</v>
      </c>
      <c r="B21" s="69" t="str">
        <f>IFERROR(__xludf.DUMMYFUNCTION("""COMPUTED_VALUE"""),"Ahmad Al Ghifary ")</f>
        <v>Ahmad Al Ghifary </v>
      </c>
      <c r="C21" s="69" t="str">
        <f>IFERROR(__xludf.DUMMYFUNCTION("""COMPUTED_VALUE"""),"B250022 ")</f>
        <v>B250022 </v>
      </c>
      <c r="D21" s="69" t="str">
        <f>IFERROR(__xludf.DUMMYFUNCTION("""COMPUTED_VALUE"""),"I'dad Lughawiy Putra")</f>
        <v>I'dad Lughawiy Putra</v>
      </c>
      <c r="E21" s="69" t="str">
        <f>IFERROR(__xludf.DUMMYFUNCTION("""COMPUTED_VALUE"""),"Ya")</f>
        <v>Ya</v>
      </c>
      <c r="F21" s="69" t="str">
        <f>IFERROR(__xludf.DUMMYFUNCTION("""COMPUTED_VALUE"""),"Aku bersaksi bahwa tidak ada tuhan yang berhak di sembah kecuali Allah")</f>
        <v>Aku bersaksi bahwa tidak ada tuhan yang berhak di sembah kecuali Allah</v>
      </c>
      <c r="G21" s="69">
        <f>IFERROR(__xludf.DUMMYFUNCTION("""COMPUTED_VALUE"""),3.0)</f>
        <v>3</v>
      </c>
      <c r="H21" s="69" t="str">
        <f>IFERROR(__xludf.DUMMYFUNCTION("""COMPUTED_VALUE"""),"Fathanah")</f>
        <v>Fathanah</v>
      </c>
      <c r="I21" s="69" t="str">
        <f>IFERROR(__xludf.DUMMYFUNCTION("""COMPUTED_VALUE"""),"Di atas Arsy")</f>
        <v>Di atas Arsy</v>
      </c>
      <c r="J21" s="69" t="str">
        <f>IFERROR(__xludf.DUMMYFUNCTION("""COMPUTED_VALUE"""),"Umar Bin Khattab")</f>
        <v>Umar Bin Khattab</v>
      </c>
      <c r="K21" s="69" t="str">
        <f>IFERROR(__xludf.DUMMYFUNCTION("""COMPUTED_VALUE"""),"(1) dan (4)")</f>
        <v>(1) dan (4)</v>
      </c>
      <c r="L21" s="69" t="str">
        <f>IFERROR(__xludf.DUMMYFUNCTION("""COMPUTED_VALUE"""),"Satu pohon yang kita tanam sangat bermanfaat bagi masa depan bumi dan manusia.")</f>
        <v>Satu pohon yang kita tanam sangat bermanfaat bagi masa depan bumi dan manusia.</v>
      </c>
      <c r="M21" s="69" t="str">
        <f>IFERROR(__xludf.DUMMYFUNCTION("""COMPUTED_VALUE"""),"Opsi 4")</f>
        <v>Opsi 4</v>
      </c>
      <c r="N21"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21" s="69" t="str">
        <f>IFERROR(__xludf.DUMMYFUNCTION("""COMPUTED_VALUE"""),"jalan usaha")</f>
        <v>jalan usaha</v>
      </c>
      <c r="P21" s="69" t="str">
        <f>IFERROR(__xludf.DUMMYFUNCTION("""COMPUTED_VALUE"""),"CO2 dan O2")</f>
        <v>CO2 dan O2</v>
      </c>
      <c r="Q21" s="69" t="str">
        <f>IFERROR(__xludf.DUMMYFUNCTION("""COMPUTED_VALUE"""),"Fotosintesis")</f>
        <v>Fotosintesis</v>
      </c>
      <c r="R21" s="69" t="str">
        <f>IFERROR(__xludf.DUMMYFUNCTION("""COMPUTED_VALUE"""),"Karbon dioksida")</f>
        <v>Karbon dioksida</v>
      </c>
      <c r="S21" s="69" t="str">
        <f>IFERROR(__xludf.DUMMYFUNCTION("""COMPUTED_VALUE"""),"A, D, E, dan K")</f>
        <v>A, D, E, dan K</v>
      </c>
      <c r="T21" s="69" t="str">
        <f>IFERROR(__xludf.DUMMYFUNCTION("""COMPUTED_VALUE"""),"Sumber energi dan menetralkan racun")</f>
        <v>Sumber energi dan menetralkan racun</v>
      </c>
      <c r="U21" s="69">
        <f>IFERROR(__xludf.DUMMYFUNCTION("""COMPUTED_VALUE"""),85.0)</f>
        <v>85</v>
      </c>
      <c r="V21" s="69">
        <f>IFERROR(__xludf.DUMMYFUNCTION("""COMPUTED_VALUE"""),13.0)</f>
        <v>13</v>
      </c>
      <c r="W21" s="70">
        <f>IFERROR(__xludf.DUMMYFUNCTION("""COMPUTED_VALUE"""),16000.0)</f>
        <v>16000</v>
      </c>
      <c r="X21" s="69">
        <f>IFERROR(__xludf.DUMMYFUNCTION("""COMPUTED_VALUE"""),28.0)</f>
        <v>28</v>
      </c>
      <c r="Y21" s="69">
        <f>IFERROR(__xludf.DUMMYFUNCTION("""COMPUTED_VALUE"""),210.0)</f>
        <v>210</v>
      </c>
      <c r="Z21" s="67">
        <f t="shared" si="1"/>
        <v>1</v>
      </c>
      <c r="AA21" s="67">
        <f t="shared" si="2"/>
        <v>1</v>
      </c>
      <c r="AB21" s="67">
        <f t="shared" si="3"/>
        <v>0</v>
      </c>
      <c r="AC21" s="67">
        <f t="shared" si="4"/>
        <v>1</v>
      </c>
      <c r="AD21" s="67">
        <f t="shared" si="5"/>
        <v>0</v>
      </c>
      <c r="AE21" s="68">
        <f t="shared" si="6"/>
        <v>3</v>
      </c>
      <c r="AF21" s="67">
        <f t="shared" si="7"/>
        <v>1</v>
      </c>
      <c r="AG21" s="67">
        <f t="shared" si="8"/>
        <v>1</v>
      </c>
      <c r="AH21" s="67">
        <f t="shared" si="9"/>
        <v>0</v>
      </c>
      <c r="AI21" s="67">
        <f t="shared" si="10"/>
        <v>0</v>
      </c>
      <c r="AJ21" s="67">
        <f t="shared" si="11"/>
        <v>0</v>
      </c>
      <c r="AK21" s="68">
        <f t="shared" si="12"/>
        <v>2</v>
      </c>
      <c r="AL21" s="67">
        <f t="shared" si="13"/>
        <v>0</v>
      </c>
      <c r="AM21" s="67">
        <f t="shared" si="14"/>
        <v>1</v>
      </c>
      <c r="AN21" s="67">
        <f t="shared" si="15"/>
        <v>0</v>
      </c>
      <c r="AO21" s="67">
        <f t="shared" si="16"/>
        <v>1</v>
      </c>
      <c r="AP21" s="67">
        <f t="shared" si="17"/>
        <v>0</v>
      </c>
      <c r="AQ21" s="68">
        <f t="shared" si="18"/>
        <v>2</v>
      </c>
      <c r="AR21" s="67">
        <f t="shared" si="19"/>
        <v>1</v>
      </c>
      <c r="AS21" s="67">
        <f t="shared" si="20"/>
        <v>1</v>
      </c>
      <c r="AT21" s="67">
        <f t="shared" si="21"/>
        <v>0</v>
      </c>
      <c r="AU21" s="67">
        <f t="shared" si="22"/>
        <v>0</v>
      </c>
      <c r="AV21" s="67">
        <f t="shared" si="23"/>
        <v>1</v>
      </c>
      <c r="AW21" s="68">
        <f t="shared" si="24"/>
        <v>3</v>
      </c>
      <c r="AX21" s="56"/>
      <c r="AY21" s="67">
        <f t="shared" si="25"/>
        <v>3</v>
      </c>
      <c r="AZ21" s="67">
        <f t="shared" si="26"/>
        <v>2</v>
      </c>
      <c r="BA21" s="67">
        <f t="shared" si="27"/>
        <v>2</v>
      </c>
      <c r="BB21" s="67">
        <f t="shared" si="28"/>
        <v>3</v>
      </c>
      <c r="BC21" s="30">
        <f t="shared" si="29"/>
        <v>50</v>
      </c>
    </row>
    <row r="22">
      <c r="A22" s="65">
        <f>IFERROR(__xludf.DUMMYFUNCTION("""COMPUTED_VALUE"""),45941.78491016204)</f>
        <v>45941.78491</v>
      </c>
      <c r="B22" s="69" t="str">
        <f>IFERROR(__xludf.DUMMYFUNCTION("""COMPUTED_VALUE"""),"NISRINA QURROTA AINI")</f>
        <v>NISRINA QURROTA AINI</v>
      </c>
      <c r="C22" s="69" t="str">
        <f>IFERROR(__xludf.DUMMYFUNCTION("""COMPUTED_VALUE"""),"E250003")</f>
        <v>E250003</v>
      </c>
      <c r="D22" s="69" t="str">
        <f>IFERROR(__xludf.DUMMYFUNCTION("""COMPUTED_VALUE"""),"I'dad Lughawiy Putri")</f>
        <v>I'dad Lughawiy Putri</v>
      </c>
      <c r="E22" s="69" t="str">
        <f>IFERROR(__xludf.DUMMYFUNCTION("""COMPUTED_VALUE"""),"Ya")</f>
        <v>Ya</v>
      </c>
      <c r="F22" s="69" t="str">
        <f>IFERROR(__xludf.DUMMYFUNCTION("""COMPUTED_VALUE"""),"Aku bersaksi bahwa tidak ada tuhan yang berhak di sembah kecuali Allah")</f>
        <v>Aku bersaksi bahwa tidak ada tuhan yang berhak di sembah kecuali Allah</v>
      </c>
      <c r="G22" s="69">
        <f>IFERROR(__xludf.DUMMYFUNCTION("""COMPUTED_VALUE"""),4.0)</f>
        <v>4</v>
      </c>
      <c r="H22" s="69" t="str">
        <f>IFERROR(__xludf.DUMMYFUNCTION("""COMPUTED_VALUE"""),"Amanah")</f>
        <v>Amanah</v>
      </c>
      <c r="I22" s="69" t="str">
        <f>IFERROR(__xludf.DUMMYFUNCTION("""COMPUTED_VALUE"""),"Di dalam hati")</f>
        <v>Di dalam hati</v>
      </c>
      <c r="J22" s="69" t="str">
        <f>IFERROR(__xludf.DUMMYFUNCTION("""COMPUTED_VALUE"""),"Ali Bin Abi Thalib")</f>
        <v>Ali Bin Abi Thalib</v>
      </c>
      <c r="K22" s="69">
        <f>IFERROR(__xludf.DUMMYFUNCTION("""COMPUTED_VALUE"""),-1.0)</f>
        <v>-1</v>
      </c>
      <c r="L22" s="69" t="str">
        <f>IFERROR(__xludf.DUMMYFUNCTION("""COMPUTED_VALUE"""),"Satu pohon yang kita tanam sangat bermanfaat bagi masa depan bumi dan manusia.")</f>
        <v>Satu pohon yang kita tanam sangat bermanfaat bagi masa depan bumi dan manusia.</v>
      </c>
      <c r="M22" s="69" t="str">
        <f>IFERROR(__xludf.DUMMYFUNCTION("""COMPUTED_VALUE"""),"mengaji menyegarkan jiwa")</f>
        <v>mengaji menyegarkan jiwa</v>
      </c>
      <c r="N22"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22" s="69" t="str">
        <f>IFERROR(__xludf.DUMMYFUNCTION("""COMPUTED_VALUE"""),"usaha yang dilakukan sendiri")</f>
        <v>usaha yang dilakukan sendiri</v>
      </c>
      <c r="P22" s="69" t="str">
        <f>IFERROR(__xludf.DUMMYFUNCTION("""COMPUTED_VALUE"""),"CO2 dan H2O")</f>
        <v>CO2 dan H2O</v>
      </c>
      <c r="Q22" s="69" t="str">
        <f>IFERROR(__xludf.DUMMYFUNCTION("""COMPUTED_VALUE"""),"Fotosintesis")</f>
        <v>Fotosintesis</v>
      </c>
      <c r="R22" s="69" t="str">
        <f>IFERROR(__xludf.DUMMYFUNCTION("""COMPUTED_VALUE"""),"Karbon dioksida")</f>
        <v>Karbon dioksida</v>
      </c>
      <c r="S22" s="69" t="str">
        <f>IFERROR(__xludf.DUMMYFUNCTION("""COMPUTED_VALUE"""),"A, B,D, dan E")</f>
        <v>A, B,D, dan E</v>
      </c>
      <c r="T22" s="69" t="str">
        <f>IFERROR(__xludf.DUMMYFUNCTION("""COMPUTED_VALUE"""),"Pengatur suhu tubuh dan sumber energi")</f>
        <v>Pengatur suhu tubuh dan sumber energi</v>
      </c>
      <c r="U22" s="69">
        <f>IFERROR(__xludf.DUMMYFUNCTION("""COMPUTED_VALUE"""),100.0)</f>
        <v>100</v>
      </c>
      <c r="V22" s="69">
        <f>IFERROR(__xludf.DUMMYFUNCTION("""COMPUTED_VALUE"""),16.0)</f>
        <v>16</v>
      </c>
      <c r="W22" s="70">
        <f>IFERROR(__xludf.DUMMYFUNCTION("""COMPUTED_VALUE"""),18000.0)</f>
        <v>18000</v>
      </c>
      <c r="X22" s="69">
        <f>IFERROR(__xludf.DUMMYFUNCTION("""COMPUTED_VALUE"""),17.0)</f>
        <v>17</v>
      </c>
      <c r="Y22" s="69">
        <f>IFERROR(__xludf.DUMMYFUNCTION("""COMPUTED_VALUE"""),210.0)</f>
        <v>210</v>
      </c>
      <c r="Z22" s="67">
        <f t="shared" si="1"/>
        <v>1</v>
      </c>
      <c r="AA22" s="67">
        <f t="shared" si="2"/>
        <v>0</v>
      </c>
      <c r="AB22" s="67">
        <f t="shared" si="3"/>
        <v>1</v>
      </c>
      <c r="AC22" s="67">
        <f t="shared" si="4"/>
        <v>0</v>
      </c>
      <c r="AD22" s="67">
        <f t="shared" si="5"/>
        <v>0</v>
      </c>
      <c r="AE22" s="68">
        <f t="shared" si="6"/>
        <v>2</v>
      </c>
      <c r="AF22" s="67">
        <f t="shared" si="7"/>
        <v>0</v>
      </c>
      <c r="AG22" s="67">
        <f t="shared" si="8"/>
        <v>1</v>
      </c>
      <c r="AH22" s="67">
        <f t="shared" si="9"/>
        <v>0</v>
      </c>
      <c r="AI22" s="67">
        <f t="shared" si="10"/>
        <v>0</v>
      </c>
      <c r="AJ22" s="67">
        <f t="shared" si="11"/>
        <v>0</v>
      </c>
      <c r="AK22" s="68">
        <f t="shared" si="12"/>
        <v>1</v>
      </c>
      <c r="AL22" s="67">
        <f t="shared" si="13"/>
        <v>0</v>
      </c>
      <c r="AM22" s="67">
        <f t="shared" si="14"/>
        <v>1</v>
      </c>
      <c r="AN22" s="67">
        <f t="shared" si="15"/>
        <v>0</v>
      </c>
      <c r="AO22" s="67">
        <f t="shared" si="16"/>
        <v>0</v>
      </c>
      <c r="AP22" s="67">
        <f t="shared" si="17"/>
        <v>0</v>
      </c>
      <c r="AQ22" s="68">
        <f t="shared" si="18"/>
        <v>1</v>
      </c>
      <c r="AR22" s="67">
        <f t="shared" si="19"/>
        <v>0</v>
      </c>
      <c r="AS22" s="67">
        <f t="shared" si="20"/>
        <v>0</v>
      </c>
      <c r="AT22" s="67">
        <f t="shared" si="21"/>
        <v>0</v>
      </c>
      <c r="AU22" s="67">
        <f t="shared" si="22"/>
        <v>0</v>
      </c>
      <c r="AV22" s="67">
        <f t="shared" si="23"/>
        <v>1</v>
      </c>
      <c r="AW22" s="68">
        <f t="shared" si="24"/>
        <v>1</v>
      </c>
      <c r="AX22" s="56"/>
      <c r="AY22" s="67">
        <f t="shared" si="25"/>
        <v>2</v>
      </c>
      <c r="AZ22" s="67">
        <f t="shared" si="26"/>
        <v>1</v>
      </c>
      <c r="BA22" s="67">
        <f t="shared" si="27"/>
        <v>1</v>
      </c>
      <c r="BB22" s="67">
        <f t="shared" si="28"/>
        <v>1</v>
      </c>
      <c r="BC22" s="30">
        <f t="shared" si="29"/>
        <v>25</v>
      </c>
    </row>
    <row r="23">
      <c r="A23" s="65">
        <f>IFERROR(__xludf.DUMMYFUNCTION("""COMPUTED_VALUE"""),45942.43541907407)</f>
        <v>45942.43542</v>
      </c>
      <c r="B23" s="69" t="str">
        <f>IFERROR(__xludf.DUMMYFUNCTION("""COMPUTED_VALUE"""),"Abdurrahman hafizh ayyasi")</f>
        <v>Abdurrahman hafizh ayyasi</v>
      </c>
      <c r="C23" s="69" t="str">
        <f>IFERROR(__xludf.DUMMYFUNCTION("""COMPUTED_VALUE"""),"B250013")</f>
        <v>B250013</v>
      </c>
      <c r="D23" s="69" t="str">
        <f>IFERROR(__xludf.DUMMYFUNCTION("""COMPUTED_VALUE"""),"I'dad Lughawiy Putra")</f>
        <v>I'dad Lughawiy Putra</v>
      </c>
      <c r="E23" s="69" t="str">
        <f>IFERROR(__xludf.DUMMYFUNCTION("""COMPUTED_VALUE"""),"Ya")</f>
        <v>Ya</v>
      </c>
      <c r="F23" s="69" t="str">
        <f>IFERROR(__xludf.DUMMYFUNCTION("""COMPUTED_VALUE"""),"Aku bersaksi bahwa tidak ada tuhan yang berhak di sembah kecuali Allah")</f>
        <v>Aku bersaksi bahwa tidak ada tuhan yang berhak di sembah kecuali Allah</v>
      </c>
      <c r="G23" s="69">
        <f>IFERROR(__xludf.DUMMYFUNCTION("""COMPUTED_VALUE"""),3.0)</f>
        <v>3</v>
      </c>
      <c r="H23" s="69" t="str">
        <f>IFERROR(__xludf.DUMMYFUNCTION("""COMPUTED_VALUE"""),"Amanah")</f>
        <v>Amanah</v>
      </c>
      <c r="I23" s="69" t="str">
        <f>IFERROR(__xludf.DUMMYFUNCTION("""COMPUTED_VALUE"""),"Di atas Arsy")</f>
        <v>Di atas Arsy</v>
      </c>
      <c r="J23" s="69" t="str">
        <f>IFERROR(__xludf.DUMMYFUNCTION("""COMPUTED_VALUE"""),"Ustman Bin Affan")</f>
        <v>Ustman Bin Affan</v>
      </c>
      <c r="K23" s="69" t="str">
        <f>IFERROR(__xludf.DUMMYFUNCTION("""COMPUTED_VALUE"""),"(1) dan (4)")</f>
        <v>(1) dan (4)</v>
      </c>
      <c r="L23" s="69" t="str">
        <f>IFERROR(__xludf.DUMMYFUNCTION("""COMPUTED_VALUE"""),"Satu pohon yang kita tanam sangat bermanfaat bagi masa depan bumi dan manusia.")</f>
        <v>Satu pohon yang kita tanam sangat bermanfaat bagi masa depan bumi dan manusia.</v>
      </c>
      <c r="M23" s="69" t="str">
        <f>IFERROR(__xludf.DUMMYFUNCTION("""COMPUTED_VALUE"""),"mengaji menyegarkan jiwa")</f>
        <v>mengaji menyegarkan jiwa</v>
      </c>
      <c r="N23"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23" s="69" t="str">
        <f>IFERROR(__xludf.DUMMYFUNCTION("""COMPUTED_VALUE"""),"usaha yang mula-mula sekali")</f>
        <v>usaha yang mula-mula sekali</v>
      </c>
      <c r="P23" s="69" t="str">
        <f>IFERROR(__xludf.DUMMYFUNCTION("""COMPUTED_VALUE"""),"CO2 dan H2O")</f>
        <v>CO2 dan H2O</v>
      </c>
      <c r="Q23" s="69" t="str">
        <f>IFERROR(__xludf.DUMMYFUNCTION("""COMPUTED_VALUE"""),"Reproduksi")</f>
        <v>Reproduksi</v>
      </c>
      <c r="R23" s="69" t="str">
        <f>IFERROR(__xludf.DUMMYFUNCTION("""COMPUTED_VALUE"""),"Karbon dioksida")</f>
        <v>Karbon dioksida</v>
      </c>
      <c r="S23" s="69" t="str">
        <f>IFERROR(__xludf.DUMMYFUNCTION("""COMPUTED_VALUE"""),"A, B, C, dan D")</f>
        <v>A, B, C, dan D</v>
      </c>
      <c r="T23" s="69" t="str">
        <f>IFERROR(__xludf.DUMMYFUNCTION("""COMPUTED_VALUE"""),"Alat pengangkut dan pengatur suhu tubuh")</f>
        <v>Alat pengangkut dan pengatur suhu tubuh</v>
      </c>
      <c r="U23" s="69">
        <f>IFERROR(__xludf.DUMMYFUNCTION("""COMPUTED_VALUE"""),100.0)</f>
        <v>100</v>
      </c>
      <c r="V23" s="69">
        <f>IFERROR(__xludf.DUMMYFUNCTION("""COMPUTED_VALUE"""),13.0)</f>
        <v>13</v>
      </c>
      <c r="W23" s="70">
        <f>IFERROR(__xludf.DUMMYFUNCTION("""COMPUTED_VALUE"""),18000.0)</f>
        <v>18000</v>
      </c>
      <c r="X23" s="69">
        <f>IFERROR(__xludf.DUMMYFUNCTION("""COMPUTED_VALUE"""),36.0)</f>
        <v>36</v>
      </c>
      <c r="Y23" s="69">
        <f>IFERROR(__xludf.DUMMYFUNCTION("""COMPUTED_VALUE"""),210.0)</f>
        <v>210</v>
      </c>
      <c r="Z23" s="67">
        <f t="shared" si="1"/>
        <v>1</v>
      </c>
      <c r="AA23" s="67">
        <f t="shared" si="2"/>
        <v>1</v>
      </c>
      <c r="AB23" s="67">
        <f t="shared" si="3"/>
        <v>1</v>
      </c>
      <c r="AC23" s="67">
        <f t="shared" si="4"/>
        <v>1</v>
      </c>
      <c r="AD23" s="67">
        <f t="shared" si="5"/>
        <v>1</v>
      </c>
      <c r="AE23" s="68">
        <f t="shared" si="6"/>
        <v>5</v>
      </c>
      <c r="AF23" s="67">
        <f t="shared" si="7"/>
        <v>1</v>
      </c>
      <c r="AG23" s="67">
        <f t="shared" si="8"/>
        <v>1</v>
      </c>
      <c r="AH23" s="67">
        <f t="shared" si="9"/>
        <v>0</v>
      </c>
      <c r="AI23" s="67">
        <f t="shared" si="10"/>
        <v>0</v>
      </c>
      <c r="AJ23" s="67">
        <f t="shared" si="11"/>
        <v>1</v>
      </c>
      <c r="AK23" s="68">
        <f t="shared" si="12"/>
        <v>3</v>
      </c>
      <c r="AL23" s="67">
        <f t="shared" si="13"/>
        <v>0</v>
      </c>
      <c r="AM23" s="67">
        <f t="shared" si="14"/>
        <v>0</v>
      </c>
      <c r="AN23" s="67">
        <f t="shared" si="15"/>
        <v>0</v>
      </c>
      <c r="AO23" s="67">
        <f t="shared" si="16"/>
        <v>0</v>
      </c>
      <c r="AP23" s="67">
        <f t="shared" si="17"/>
        <v>1</v>
      </c>
      <c r="AQ23" s="68">
        <f t="shared" si="18"/>
        <v>1</v>
      </c>
      <c r="AR23" s="67">
        <f t="shared" si="19"/>
        <v>0</v>
      </c>
      <c r="AS23" s="67">
        <f t="shared" si="20"/>
        <v>1</v>
      </c>
      <c r="AT23" s="67">
        <f t="shared" si="21"/>
        <v>0</v>
      </c>
      <c r="AU23" s="67">
        <f t="shared" si="22"/>
        <v>0</v>
      </c>
      <c r="AV23" s="67">
        <f t="shared" si="23"/>
        <v>1</v>
      </c>
      <c r="AW23" s="68">
        <f t="shared" si="24"/>
        <v>2</v>
      </c>
      <c r="AX23" s="56"/>
      <c r="AY23" s="67">
        <f t="shared" si="25"/>
        <v>5</v>
      </c>
      <c r="AZ23" s="67">
        <f t="shared" si="26"/>
        <v>3</v>
      </c>
      <c r="BA23" s="67">
        <f t="shared" si="27"/>
        <v>1</v>
      </c>
      <c r="BB23" s="67">
        <f t="shared" si="28"/>
        <v>2</v>
      </c>
      <c r="BC23" s="30">
        <f t="shared" si="29"/>
        <v>55</v>
      </c>
    </row>
    <row r="24">
      <c r="A24" s="65">
        <f>IFERROR(__xludf.DUMMYFUNCTION("""COMPUTED_VALUE"""),45942.605680520835)</f>
        <v>45942.60568</v>
      </c>
      <c r="B24" s="69" t="str">
        <f>IFERROR(__xludf.DUMMYFUNCTION("""COMPUTED_VALUE"""),"salman alfarizi alamsyah")</f>
        <v>salman alfarizi alamsyah</v>
      </c>
      <c r="C24" s="69" t="str">
        <f>IFERROR(__xludf.DUMMYFUNCTION("""COMPUTED_VALUE"""),"B250012")</f>
        <v>B250012</v>
      </c>
      <c r="D24" s="69" t="str">
        <f>IFERROR(__xludf.DUMMYFUNCTION("""COMPUTED_VALUE"""),"I'dad Lughawiy Putra")</f>
        <v>I'dad Lughawiy Putra</v>
      </c>
      <c r="E24" s="69" t="str">
        <f>IFERROR(__xludf.DUMMYFUNCTION("""COMPUTED_VALUE"""),"Ya")</f>
        <v>Ya</v>
      </c>
      <c r="F24" s="69" t="str">
        <f>IFERROR(__xludf.DUMMYFUNCTION("""COMPUTED_VALUE"""),"Aku bersaksi bahwa tidak ada tuhan yang berhak di sembah kecuali Allah")</f>
        <v>Aku bersaksi bahwa tidak ada tuhan yang berhak di sembah kecuali Allah</v>
      </c>
      <c r="G24" s="69">
        <f>IFERROR(__xludf.DUMMYFUNCTION("""COMPUTED_VALUE"""),4.0)</f>
        <v>4</v>
      </c>
      <c r="H24" s="69" t="str">
        <f>IFERROR(__xludf.DUMMYFUNCTION("""COMPUTED_VALUE"""),"Amanah")</f>
        <v>Amanah</v>
      </c>
      <c r="I24" s="69" t="str">
        <f>IFERROR(__xludf.DUMMYFUNCTION("""COMPUTED_VALUE"""),"Di atas Arsy")</f>
        <v>Di atas Arsy</v>
      </c>
      <c r="J24" s="69" t="str">
        <f>IFERROR(__xludf.DUMMYFUNCTION("""COMPUTED_VALUE"""),"Ustman Bin Affan")</f>
        <v>Ustman Bin Affan</v>
      </c>
      <c r="K24" s="69" t="str">
        <f>IFERROR(__xludf.DUMMYFUNCTION("""COMPUTED_VALUE"""),"(1) dan (4)")</f>
        <v>(1) dan (4)</v>
      </c>
      <c r="L24" s="69" t="str">
        <f>IFERROR(__xludf.DUMMYFUNCTION("""COMPUTED_VALUE"""),"Satu pohon yang kita tanam sangat bermanfaat bagi masa depan bumi dan manusia.")</f>
        <v>Satu pohon yang kita tanam sangat bermanfaat bagi masa depan bumi dan manusia.</v>
      </c>
      <c r="M24" s="69" t="str">
        <f>IFERROR(__xludf.DUMMYFUNCTION("""COMPUTED_VALUE"""),"mengaji seperti jantung")</f>
        <v>mengaji seperti jantung</v>
      </c>
      <c r="N24" s="69" t="str">
        <f>IFERROR(__xludf.DUMMYFUNCTION("""COMPUTED_VALUE"""),"suatu kota pada malam hari yang dalam keadaan sepi pascagerimis")</f>
        <v>suatu kota pada malam hari yang dalam keadaan sepi pascagerimis</v>
      </c>
      <c r="O24" s="69" t="str">
        <f>IFERROR(__xludf.DUMMYFUNCTION("""COMPUTED_VALUE"""),"usaha yang mula-mula sekali")</f>
        <v>usaha yang mula-mula sekali</v>
      </c>
      <c r="P24" s="69" t="str">
        <f>IFERROR(__xludf.DUMMYFUNCTION("""COMPUTED_VALUE"""),"C6H12O6 dan O2")</f>
        <v>C6H12O6 dan O2</v>
      </c>
      <c r="Q24" s="69" t="str">
        <f>IFERROR(__xludf.DUMMYFUNCTION("""COMPUTED_VALUE"""),"Fotosintesis")</f>
        <v>Fotosintesis</v>
      </c>
      <c r="R24" s="69" t="str">
        <f>IFERROR(__xludf.DUMMYFUNCTION("""COMPUTED_VALUE"""),"Karbon dioksida")</f>
        <v>Karbon dioksida</v>
      </c>
      <c r="S24" s="69" t="str">
        <f>IFERROR(__xludf.DUMMYFUNCTION("""COMPUTED_VALUE"""),"A, D, E, dan K")</f>
        <v>A, D, E, dan K</v>
      </c>
      <c r="T24" s="69" t="str">
        <f>IFERROR(__xludf.DUMMYFUNCTION("""COMPUTED_VALUE"""),"Alat pengangkut dan pengatur suhu tubuh")</f>
        <v>Alat pengangkut dan pengatur suhu tubuh</v>
      </c>
      <c r="U24" s="69">
        <f>IFERROR(__xludf.DUMMYFUNCTION("""COMPUTED_VALUE"""),85.0)</f>
        <v>85</v>
      </c>
      <c r="V24" s="69">
        <f>IFERROR(__xludf.DUMMYFUNCTION("""COMPUTED_VALUE"""),13.0)</f>
        <v>13</v>
      </c>
      <c r="W24" s="70">
        <f>IFERROR(__xludf.DUMMYFUNCTION("""COMPUTED_VALUE"""),17000.0)</f>
        <v>17000</v>
      </c>
      <c r="X24" s="69">
        <f>IFERROR(__xludf.DUMMYFUNCTION("""COMPUTED_VALUE"""),23.0)</f>
        <v>23</v>
      </c>
      <c r="Y24" s="69">
        <f>IFERROR(__xludf.DUMMYFUNCTION("""COMPUTED_VALUE"""),210.0)</f>
        <v>210</v>
      </c>
      <c r="Z24" s="67">
        <f t="shared" si="1"/>
        <v>1</v>
      </c>
      <c r="AA24" s="67">
        <f t="shared" si="2"/>
        <v>0</v>
      </c>
      <c r="AB24" s="67">
        <f t="shared" si="3"/>
        <v>1</v>
      </c>
      <c r="AC24" s="67">
        <f t="shared" si="4"/>
        <v>1</v>
      </c>
      <c r="AD24" s="67">
        <f t="shared" si="5"/>
        <v>1</v>
      </c>
      <c r="AE24" s="68">
        <f t="shared" si="6"/>
        <v>4</v>
      </c>
      <c r="AF24" s="67">
        <f t="shared" si="7"/>
        <v>1</v>
      </c>
      <c r="AG24" s="67">
        <f t="shared" si="8"/>
        <v>1</v>
      </c>
      <c r="AH24" s="67">
        <f t="shared" si="9"/>
        <v>1</v>
      </c>
      <c r="AI24" s="67">
        <f t="shared" si="10"/>
        <v>1</v>
      </c>
      <c r="AJ24" s="67">
        <f t="shared" si="11"/>
        <v>1</v>
      </c>
      <c r="AK24" s="68">
        <f t="shared" si="12"/>
        <v>5</v>
      </c>
      <c r="AL24" s="67">
        <f t="shared" si="13"/>
        <v>1</v>
      </c>
      <c r="AM24" s="67">
        <f t="shared" si="14"/>
        <v>1</v>
      </c>
      <c r="AN24" s="67">
        <f t="shared" si="15"/>
        <v>0</v>
      </c>
      <c r="AO24" s="67">
        <f t="shared" si="16"/>
        <v>1</v>
      </c>
      <c r="AP24" s="67">
        <f t="shared" si="17"/>
        <v>1</v>
      </c>
      <c r="AQ24" s="68">
        <f t="shared" si="18"/>
        <v>4</v>
      </c>
      <c r="AR24" s="67">
        <f t="shared" si="19"/>
        <v>1</v>
      </c>
      <c r="AS24" s="67">
        <f t="shared" si="20"/>
        <v>1</v>
      </c>
      <c r="AT24" s="67">
        <f t="shared" si="21"/>
        <v>1</v>
      </c>
      <c r="AU24" s="67">
        <f t="shared" si="22"/>
        <v>1</v>
      </c>
      <c r="AV24" s="67">
        <f t="shared" si="23"/>
        <v>1</v>
      </c>
      <c r="AW24" s="68">
        <f t="shared" si="24"/>
        <v>5</v>
      </c>
      <c r="AX24" s="56"/>
      <c r="AY24" s="67">
        <f t="shared" si="25"/>
        <v>4</v>
      </c>
      <c r="AZ24" s="67">
        <f t="shared" si="26"/>
        <v>5</v>
      </c>
      <c r="BA24" s="67">
        <f t="shared" si="27"/>
        <v>4</v>
      </c>
      <c r="BB24" s="67">
        <f t="shared" si="28"/>
        <v>5</v>
      </c>
      <c r="BC24" s="30">
        <f t="shared" si="29"/>
        <v>90</v>
      </c>
    </row>
    <row r="25">
      <c r="A25" s="65">
        <f>IFERROR(__xludf.DUMMYFUNCTION("""COMPUTED_VALUE"""),45943.62588150463)</f>
        <v>45943.62588</v>
      </c>
      <c r="B25" s="69" t="str">
        <f>IFERROR(__xludf.DUMMYFUNCTION("""COMPUTED_VALUE"""),"Azkia Salsabila")</f>
        <v>Azkia Salsabila</v>
      </c>
      <c r="C25" s="69" t="str">
        <f>IFERROR(__xludf.DUMMYFUNCTION("""COMPUTED_VALUE"""),"E250006")</f>
        <v>E250006</v>
      </c>
      <c r="D25" s="69" t="str">
        <f>IFERROR(__xludf.DUMMYFUNCTION("""COMPUTED_VALUE"""),"I'dad Lughawiy Putri")</f>
        <v>I'dad Lughawiy Putri</v>
      </c>
      <c r="E25" s="69" t="str">
        <f>IFERROR(__xludf.DUMMYFUNCTION("""COMPUTED_VALUE"""),"Ya")</f>
        <v>Ya</v>
      </c>
      <c r="F25" s="69" t="str">
        <f>IFERROR(__xludf.DUMMYFUNCTION("""COMPUTED_VALUE"""),"Aku bersaksi bahwa tidak ada tuhan yang berhak di sembah kecuali Allah")</f>
        <v>Aku bersaksi bahwa tidak ada tuhan yang berhak di sembah kecuali Allah</v>
      </c>
      <c r="G25" s="69">
        <f>IFERROR(__xludf.DUMMYFUNCTION("""COMPUTED_VALUE"""),3.0)</f>
        <v>3</v>
      </c>
      <c r="H25" s="69" t="str">
        <f>IFERROR(__xludf.DUMMYFUNCTION("""COMPUTED_VALUE"""),"Amanah")</f>
        <v>Amanah</v>
      </c>
      <c r="I25" s="69" t="str">
        <f>IFERROR(__xludf.DUMMYFUNCTION("""COMPUTED_VALUE"""),"Di atas Arsy")</f>
        <v>Di atas Arsy</v>
      </c>
      <c r="J25" s="69" t="str">
        <f>IFERROR(__xludf.DUMMYFUNCTION("""COMPUTED_VALUE"""),"Ustman Bin Affan")</f>
        <v>Ustman Bin Affan</v>
      </c>
      <c r="K25" s="69" t="str">
        <f>IFERROR(__xludf.DUMMYFUNCTION("""COMPUTED_VALUE"""),"(1) dan (4)")</f>
        <v>(1) dan (4)</v>
      </c>
      <c r="L25" s="69" t="str">
        <f>IFERROR(__xludf.DUMMYFUNCTION("""COMPUTED_VALUE"""),"Satu pohon yang kita tanam sangat bermanfaat bagi masa depan bumi dan manusia.")</f>
        <v>Satu pohon yang kita tanam sangat bermanfaat bagi masa depan bumi dan manusia.</v>
      </c>
      <c r="M25" s="69" t="str">
        <f>IFERROR(__xludf.DUMMYFUNCTION("""COMPUTED_VALUE"""),"mengaji menyegarkan jiwa")</f>
        <v>mengaji menyegarkan jiwa</v>
      </c>
      <c r="N25"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25" s="69" t="str">
        <f>IFERROR(__xludf.DUMMYFUNCTION("""COMPUTED_VALUE"""),"jalan usaha")</f>
        <v>jalan usaha</v>
      </c>
      <c r="P25" s="69" t="str">
        <f>IFERROR(__xludf.DUMMYFUNCTION("""COMPUTED_VALUE"""),"CO2 dan H2O")</f>
        <v>CO2 dan H2O</v>
      </c>
      <c r="Q25" s="69" t="str">
        <f>IFERROR(__xludf.DUMMYFUNCTION("""COMPUTED_VALUE"""),"Fotosintesis")</f>
        <v>Fotosintesis</v>
      </c>
      <c r="R25" s="69" t="str">
        <f>IFERROR(__xludf.DUMMYFUNCTION("""COMPUTED_VALUE"""),"Uap air")</f>
        <v>Uap air</v>
      </c>
      <c r="S25" s="69" t="str">
        <f>IFERROR(__xludf.DUMMYFUNCTION("""COMPUTED_VALUE"""),"A, C, B, dan E")</f>
        <v>A, C, B, dan E</v>
      </c>
      <c r="T25" s="69" t="str">
        <f>IFERROR(__xludf.DUMMYFUNCTION("""COMPUTED_VALUE"""),"menetralkan racun dan Alat pengangkut")</f>
        <v>menetralkan racun dan Alat pengangkut</v>
      </c>
      <c r="U25" s="69">
        <f>IFERROR(__xludf.DUMMYFUNCTION("""COMPUTED_VALUE"""),100.0)</f>
        <v>100</v>
      </c>
      <c r="V25" s="69">
        <f>IFERROR(__xludf.DUMMYFUNCTION("""COMPUTED_VALUE"""),11.0)</f>
        <v>11</v>
      </c>
      <c r="W25" s="70">
        <f>IFERROR(__xludf.DUMMYFUNCTION("""COMPUTED_VALUE"""),16000.0)</f>
        <v>16000</v>
      </c>
      <c r="X25" s="69">
        <f>IFERROR(__xludf.DUMMYFUNCTION("""COMPUTED_VALUE"""),36.0)</f>
        <v>36</v>
      </c>
      <c r="Y25" s="69">
        <f>IFERROR(__xludf.DUMMYFUNCTION("""COMPUTED_VALUE"""),210.0)</f>
        <v>210</v>
      </c>
      <c r="Z25" s="67">
        <f t="shared" si="1"/>
        <v>1</v>
      </c>
      <c r="AA25" s="67">
        <f t="shared" si="2"/>
        <v>1</v>
      </c>
      <c r="AB25" s="67">
        <f t="shared" si="3"/>
        <v>1</v>
      </c>
      <c r="AC25" s="67">
        <f t="shared" si="4"/>
        <v>1</v>
      </c>
      <c r="AD25" s="67">
        <f t="shared" si="5"/>
        <v>1</v>
      </c>
      <c r="AE25" s="68">
        <f t="shared" si="6"/>
        <v>5</v>
      </c>
      <c r="AF25" s="67">
        <f t="shared" si="7"/>
        <v>1</v>
      </c>
      <c r="AG25" s="67">
        <f t="shared" si="8"/>
        <v>1</v>
      </c>
      <c r="AH25" s="67">
        <f t="shared" si="9"/>
        <v>0</v>
      </c>
      <c r="AI25" s="67">
        <f t="shared" si="10"/>
        <v>0</v>
      </c>
      <c r="AJ25" s="67">
        <f t="shared" si="11"/>
        <v>0</v>
      </c>
      <c r="AK25" s="68">
        <f t="shared" si="12"/>
        <v>2</v>
      </c>
      <c r="AL25" s="67">
        <f t="shared" si="13"/>
        <v>0</v>
      </c>
      <c r="AM25" s="67">
        <f t="shared" si="14"/>
        <v>1</v>
      </c>
      <c r="AN25" s="67">
        <f t="shared" si="15"/>
        <v>1</v>
      </c>
      <c r="AO25" s="67">
        <f t="shared" si="16"/>
        <v>0</v>
      </c>
      <c r="AP25" s="67">
        <f t="shared" si="17"/>
        <v>0</v>
      </c>
      <c r="AQ25" s="68">
        <f t="shared" si="18"/>
        <v>2</v>
      </c>
      <c r="AR25" s="67">
        <f t="shared" si="19"/>
        <v>0</v>
      </c>
      <c r="AS25" s="67">
        <f t="shared" si="20"/>
        <v>0</v>
      </c>
      <c r="AT25" s="67">
        <f t="shared" si="21"/>
        <v>0</v>
      </c>
      <c r="AU25" s="67">
        <f t="shared" si="22"/>
        <v>0</v>
      </c>
      <c r="AV25" s="67">
        <f t="shared" si="23"/>
        <v>1</v>
      </c>
      <c r="AW25" s="68">
        <f t="shared" si="24"/>
        <v>1</v>
      </c>
      <c r="AX25" s="56"/>
      <c r="AY25" s="67">
        <f t="shared" si="25"/>
        <v>5</v>
      </c>
      <c r="AZ25" s="67">
        <f t="shared" si="26"/>
        <v>2</v>
      </c>
      <c r="BA25" s="67">
        <f t="shared" si="27"/>
        <v>2</v>
      </c>
      <c r="BB25" s="67">
        <f t="shared" si="28"/>
        <v>1</v>
      </c>
      <c r="BC25" s="30">
        <f t="shared" si="29"/>
        <v>50</v>
      </c>
    </row>
    <row r="26">
      <c r="A26" s="65">
        <f>IFERROR(__xludf.DUMMYFUNCTION("""COMPUTED_VALUE"""),45947.392301932865)</f>
        <v>45947.3923</v>
      </c>
      <c r="B26" s="69" t="str">
        <f>IFERROR(__xludf.DUMMYFUNCTION("""COMPUTED_VALUE"""),"Ahadan Nazka Harits")</f>
        <v>Ahadan Nazka Harits</v>
      </c>
      <c r="C26" s="69" t="str">
        <f>IFERROR(__xludf.DUMMYFUNCTION("""COMPUTED_VALUE"""),"B250024")</f>
        <v>B250024</v>
      </c>
      <c r="D26" s="69" t="str">
        <f>IFERROR(__xludf.DUMMYFUNCTION("""COMPUTED_VALUE"""),"I'dad Lughawiy Putra")</f>
        <v>I'dad Lughawiy Putra</v>
      </c>
      <c r="E26" s="69" t="str">
        <f>IFERROR(__xludf.DUMMYFUNCTION("""COMPUTED_VALUE"""),"Ya")</f>
        <v>Ya</v>
      </c>
      <c r="F26" s="69" t="str">
        <f>IFERROR(__xludf.DUMMYFUNCTION("""COMPUTED_VALUE"""),"Aku bersaksi bahwa tidak ada tuhan yang berhak di sembah kecuali Allah")</f>
        <v>Aku bersaksi bahwa tidak ada tuhan yang berhak di sembah kecuali Allah</v>
      </c>
      <c r="G26" s="69">
        <f>IFERROR(__xludf.DUMMYFUNCTION("""COMPUTED_VALUE"""),3.0)</f>
        <v>3</v>
      </c>
      <c r="H26" s="69" t="str">
        <f>IFERROR(__xludf.DUMMYFUNCTION("""COMPUTED_VALUE"""),"Amanah")</f>
        <v>Amanah</v>
      </c>
      <c r="I26" s="69" t="str">
        <f>IFERROR(__xludf.DUMMYFUNCTION("""COMPUTED_VALUE"""),"Di atas Arsy")</f>
        <v>Di atas Arsy</v>
      </c>
      <c r="J26" s="69" t="str">
        <f>IFERROR(__xludf.DUMMYFUNCTION("""COMPUTED_VALUE"""),"Ali Bin Abi Thalib")</f>
        <v>Ali Bin Abi Thalib</v>
      </c>
      <c r="K26" s="69" t="str">
        <f>IFERROR(__xludf.DUMMYFUNCTION("""COMPUTED_VALUE"""),"(1) dan (4)")</f>
        <v>(1) dan (4)</v>
      </c>
      <c r="L26" s="69" t="str">
        <f>IFERROR(__xludf.DUMMYFUNCTION("""COMPUTED_VALUE"""),"Satu pohon yang kita tanam sangat bermanfaat bagi masa depan bumi dan manusia.")</f>
        <v>Satu pohon yang kita tanam sangat bermanfaat bagi masa depan bumi dan manusia.</v>
      </c>
      <c r="M26" s="69" t="str">
        <f>IFERROR(__xludf.DUMMYFUNCTION("""COMPUTED_VALUE"""),"mengaji menyegarkan jiwa")</f>
        <v>mengaji menyegarkan jiwa</v>
      </c>
      <c r="N26"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26" s="69" t="str">
        <f>IFERROR(__xludf.DUMMYFUNCTION("""COMPUTED_VALUE"""),"jalan usaha")</f>
        <v>jalan usaha</v>
      </c>
      <c r="P26" s="69" t="str">
        <f>IFERROR(__xludf.DUMMYFUNCTION("""COMPUTED_VALUE"""),"CO2 dan O2")</f>
        <v>CO2 dan O2</v>
      </c>
      <c r="Q26" s="69" t="str">
        <f>IFERROR(__xludf.DUMMYFUNCTION("""COMPUTED_VALUE"""),"Fotosintesis")</f>
        <v>Fotosintesis</v>
      </c>
      <c r="R26" s="69" t="str">
        <f>IFERROR(__xludf.DUMMYFUNCTION("""COMPUTED_VALUE"""),"Uap air")</f>
        <v>Uap air</v>
      </c>
      <c r="S26" s="69" t="str">
        <f>IFERROR(__xludf.DUMMYFUNCTION("""COMPUTED_VALUE"""),"A, D, E, dan K")</f>
        <v>A, D, E, dan K</v>
      </c>
      <c r="T26" s="69" t="str">
        <f>IFERROR(__xludf.DUMMYFUNCTION("""COMPUTED_VALUE"""),"Pengatur suhu tubuh dan sumber energi")</f>
        <v>Pengatur suhu tubuh dan sumber energi</v>
      </c>
      <c r="U26" s="69">
        <f>IFERROR(__xludf.DUMMYFUNCTION("""COMPUTED_VALUE"""),85.0)</f>
        <v>85</v>
      </c>
      <c r="V26" s="69">
        <f>IFERROR(__xludf.DUMMYFUNCTION("""COMPUTED_VALUE"""),13.0)</f>
        <v>13</v>
      </c>
      <c r="W26" s="70">
        <f>IFERROR(__xludf.DUMMYFUNCTION("""COMPUTED_VALUE"""),17000.0)</f>
        <v>17000</v>
      </c>
      <c r="X26" s="69">
        <f>IFERROR(__xludf.DUMMYFUNCTION("""COMPUTED_VALUE"""),28.0)</f>
        <v>28</v>
      </c>
      <c r="Y26" s="69">
        <f>IFERROR(__xludf.DUMMYFUNCTION("""COMPUTED_VALUE"""),140.0)</f>
        <v>140</v>
      </c>
      <c r="Z26" s="67">
        <f t="shared" si="1"/>
        <v>1</v>
      </c>
      <c r="AA26" s="67">
        <f t="shared" si="2"/>
        <v>1</v>
      </c>
      <c r="AB26" s="67">
        <f t="shared" si="3"/>
        <v>1</v>
      </c>
      <c r="AC26" s="67">
        <f t="shared" si="4"/>
        <v>1</v>
      </c>
      <c r="AD26" s="67">
        <f t="shared" si="5"/>
        <v>0</v>
      </c>
      <c r="AE26" s="68">
        <f t="shared" si="6"/>
        <v>4</v>
      </c>
      <c r="AF26" s="67">
        <f t="shared" si="7"/>
        <v>1</v>
      </c>
      <c r="AG26" s="67">
        <f t="shared" si="8"/>
        <v>1</v>
      </c>
      <c r="AH26" s="67">
        <f t="shared" si="9"/>
        <v>0</v>
      </c>
      <c r="AI26" s="67">
        <f t="shared" si="10"/>
        <v>0</v>
      </c>
      <c r="AJ26" s="67">
        <f t="shared" si="11"/>
        <v>0</v>
      </c>
      <c r="AK26" s="68">
        <f t="shared" si="12"/>
        <v>2</v>
      </c>
      <c r="AL26" s="67">
        <f t="shared" si="13"/>
        <v>0</v>
      </c>
      <c r="AM26" s="67">
        <f t="shared" si="14"/>
        <v>1</v>
      </c>
      <c r="AN26" s="67">
        <f t="shared" si="15"/>
        <v>1</v>
      </c>
      <c r="AO26" s="67">
        <f t="shared" si="16"/>
        <v>1</v>
      </c>
      <c r="AP26" s="67">
        <f t="shared" si="17"/>
        <v>0</v>
      </c>
      <c r="AQ26" s="68">
        <f t="shared" si="18"/>
        <v>3</v>
      </c>
      <c r="AR26" s="67">
        <f t="shared" si="19"/>
        <v>1</v>
      </c>
      <c r="AS26" s="67">
        <f t="shared" si="20"/>
        <v>1</v>
      </c>
      <c r="AT26" s="67">
        <f t="shared" si="21"/>
        <v>1</v>
      </c>
      <c r="AU26" s="67">
        <f t="shared" si="22"/>
        <v>0</v>
      </c>
      <c r="AV26" s="67">
        <f t="shared" si="23"/>
        <v>0</v>
      </c>
      <c r="AW26" s="68">
        <f t="shared" si="24"/>
        <v>3</v>
      </c>
      <c r="AX26" s="56"/>
      <c r="AY26" s="67">
        <f t="shared" si="25"/>
        <v>4</v>
      </c>
      <c r="AZ26" s="67">
        <f t="shared" si="26"/>
        <v>2</v>
      </c>
      <c r="BA26" s="67">
        <f t="shared" si="27"/>
        <v>3</v>
      </c>
      <c r="BB26" s="67">
        <f t="shared" si="28"/>
        <v>3</v>
      </c>
      <c r="BC26" s="30">
        <f t="shared" si="29"/>
        <v>60</v>
      </c>
    </row>
    <row r="27">
      <c r="A27" s="65">
        <f>IFERROR(__xludf.DUMMYFUNCTION("""COMPUTED_VALUE"""),45947.73323741899)</f>
        <v>45947.73324</v>
      </c>
      <c r="B27" s="69" t="str">
        <f>IFERROR(__xludf.DUMMYFUNCTION("""COMPUTED_VALUE"""),"Ali Barqi As-Saif")</f>
        <v>Ali Barqi As-Saif</v>
      </c>
      <c r="C27" s="69" t="str">
        <f>IFERROR(__xludf.DUMMYFUNCTION("""COMPUTED_VALUE"""),"B250007")</f>
        <v>B250007</v>
      </c>
      <c r="D27" s="69" t="str">
        <f>IFERROR(__xludf.DUMMYFUNCTION("""COMPUTED_VALUE"""),"I'dad Lughawiy Putra")</f>
        <v>I'dad Lughawiy Putra</v>
      </c>
      <c r="E27" s="69" t="str">
        <f>IFERROR(__xludf.DUMMYFUNCTION("""COMPUTED_VALUE"""),"Ya")</f>
        <v>Ya</v>
      </c>
      <c r="F27" s="69" t="str">
        <f>IFERROR(__xludf.DUMMYFUNCTION("""COMPUTED_VALUE"""),"Aku bersaksi bahwa tidak ada tuhan yang berhak di sembah kecuali Allah")</f>
        <v>Aku bersaksi bahwa tidak ada tuhan yang berhak di sembah kecuali Allah</v>
      </c>
      <c r="G27" s="69">
        <f>IFERROR(__xludf.DUMMYFUNCTION("""COMPUTED_VALUE"""),3.0)</f>
        <v>3</v>
      </c>
      <c r="H27" s="69" t="str">
        <f>IFERROR(__xludf.DUMMYFUNCTION("""COMPUTED_VALUE"""),"Amanah")</f>
        <v>Amanah</v>
      </c>
      <c r="I27" s="69" t="str">
        <f>IFERROR(__xludf.DUMMYFUNCTION("""COMPUTED_VALUE"""),"Di atas Arsy")</f>
        <v>Di atas Arsy</v>
      </c>
      <c r="J27" s="69" t="str">
        <f>IFERROR(__xludf.DUMMYFUNCTION("""COMPUTED_VALUE"""),"Ustman Bin Affan")</f>
        <v>Ustman Bin Affan</v>
      </c>
      <c r="K27" s="69" t="str">
        <f>IFERROR(__xludf.DUMMYFUNCTION("""COMPUTED_VALUE"""),"(1) dan (3)")</f>
        <v>(1) dan (3)</v>
      </c>
      <c r="L27" s="69" t="str">
        <f>IFERROR(__xludf.DUMMYFUNCTION("""COMPUTED_VALUE"""),"Satu pohon yang kita tanam sangat bermanfaat bagi masa depan bumi dan manusia.")</f>
        <v>Satu pohon yang kita tanam sangat bermanfaat bagi masa depan bumi dan manusia.</v>
      </c>
      <c r="M27" s="69" t="str">
        <f>IFERROR(__xludf.DUMMYFUNCTION("""COMPUTED_VALUE"""),"mengaji menyegarkan jiwa")</f>
        <v>mengaji menyegarkan jiwa</v>
      </c>
      <c r="N27"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27" s="69" t="str">
        <f>IFERROR(__xludf.DUMMYFUNCTION("""COMPUTED_VALUE"""),"usaha yang dilakukan sendiri")</f>
        <v>usaha yang dilakukan sendiri</v>
      </c>
      <c r="P27" s="69" t="str">
        <f>IFERROR(__xludf.DUMMYFUNCTION("""COMPUTED_VALUE"""),"CO2 dan H2O")</f>
        <v>CO2 dan H2O</v>
      </c>
      <c r="Q27" s="69" t="str">
        <f>IFERROR(__xludf.DUMMYFUNCTION("""COMPUTED_VALUE"""),"Bergerak")</f>
        <v>Bergerak</v>
      </c>
      <c r="R27" s="69" t="str">
        <f>IFERROR(__xludf.DUMMYFUNCTION("""COMPUTED_VALUE"""),"Karbon dioksida")</f>
        <v>Karbon dioksida</v>
      </c>
      <c r="S27" s="69" t="str">
        <f>IFERROR(__xludf.DUMMYFUNCTION("""COMPUTED_VALUE"""),"A, C, E, dan K")</f>
        <v>A, C, E, dan K</v>
      </c>
      <c r="T27" s="69" t="str">
        <f>IFERROR(__xludf.DUMMYFUNCTION("""COMPUTED_VALUE"""),"Alat pengangkut dan pengatur suhu tubuh")</f>
        <v>Alat pengangkut dan pengatur suhu tubuh</v>
      </c>
      <c r="U27" s="69">
        <f>IFERROR(__xludf.DUMMYFUNCTION("""COMPUTED_VALUE"""),100.0)</f>
        <v>100</v>
      </c>
      <c r="V27" s="69">
        <f>IFERROR(__xludf.DUMMYFUNCTION("""COMPUTED_VALUE"""),7.0)</f>
        <v>7</v>
      </c>
      <c r="W27" s="70">
        <f>IFERROR(__xludf.DUMMYFUNCTION("""COMPUTED_VALUE"""),17000.0)</f>
        <v>17000</v>
      </c>
      <c r="X27" s="69">
        <f>IFERROR(__xludf.DUMMYFUNCTION("""COMPUTED_VALUE"""),28.0)</f>
        <v>28</v>
      </c>
      <c r="Y27" s="69">
        <f>IFERROR(__xludf.DUMMYFUNCTION("""COMPUTED_VALUE"""),210.0)</f>
        <v>210</v>
      </c>
      <c r="Z27" s="67">
        <f t="shared" si="1"/>
        <v>1</v>
      </c>
      <c r="AA27" s="67">
        <f t="shared" si="2"/>
        <v>1</v>
      </c>
      <c r="AB27" s="67">
        <f t="shared" si="3"/>
        <v>1</v>
      </c>
      <c r="AC27" s="67">
        <f t="shared" si="4"/>
        <v>1</v>
      </c>
      <c r="AD27" s="67">
        <f t="shared" si="5"/>
        <v>1</v>
      </c>
      <c r="AE27" s="68">
        <f t="shared" si="6"/>
        <v>5</v>
      </c>
      <c r="AF27" s="67">
        <f t="shared" si="7"/>
        <v>0</v>
      </c>
      <c r="AG27" s="67">
        <f t="shared" si="8"/>
        <v>1</v>
      </c>
      <c r="AH27" s="67">
        <f t="shared" si="9"/>
        <v>0</v>
      </c>
      <c r="AI27" s="67">
        <f t="shared" si="10"/>
        <v>0</v>
      </c>
      <c r="AJ27" s="67">
        <f t="shared" si="11"/>
        <v>0</v>
      </c>
      <c r="AK27" s="68">
        <f t="shared" si="12"/>
        <v>1</v>
      </c>
      <c r="AL27" s="67">
        <f t="shared" si="13"/>
        <v>0</v>
      </c>
      <c r="AM27" s="67">
        <f t="shared" si="14"/>
        <v>0</v>
      </c>
      <c r="AN27" s="67">
        <f t="shared" si="15"/>
        <v>0</v>
      </c>
      <c r="AO27" s="67">
        <f t="shared" si="16"/>
        <v>0</v>
      </c>
      <c r="AP27" s="67">
        <f t="shared" si="17"/>
        <v>1</v>
      </c>
      <c r="AQ27" s="68">
        <f t="shared" si="18"/>
        <v>1</v>
      </c>
      <c r="AR27" s="67">
        <f t="shared" si="19"/>
        <v>0</v>
      </c>
      <c r="AS27" s="67">
        <f t="shared" si="20"/>
        <v>0</v>
      </c>
      <c r="AT27" s="67">
        <f t="shared" si="21"/>
        <v>1</v>
      </c>
      <c r="AU27" s="67">
        <f t="shared" si="22"/>
        <v>0</v>
      </c>
      <c r="AV27" s="67">
        <f t="shared" si="23"/>
        <v>1</v>
      </c>
      <c r="AW27" s="68">
        <f t="shared" si="24"/>
        <v>2</v>
      </c>
      <c r="AX27" s="56"/>
      <c r="AY27" s="67">
        <f t="shared" si="25"/>
        <v>5</v>
      </c>
      <c r="AZ27" s="67">
        <f t="shared" si="26"/>
        <v>1</v>
      </c>
      <c r="BA27" s="67">
        <f t="shared" si="27"/>
        <v>1</v>
      </c>
      <c r="BB27" s="67">
        <f t="shared" si="28"/>
        <v>2</v>
      </c>
      <c r="BC27" s="30">
        <f t="shared" si="29"/>
        <v>45</v>
      </c>
    </row>
    <row r="28">
      <c r="A28" s="65">
        <f>IFERROR(__xludf.DUMMYFUNCTION("""COMPUTED_VALUE"""),45949.62157351852)</f>
        <v>45949.62157</v>
      </c>
      <c r="B28" s="69" t="str">
        <f>IFERROR(__xludf.DUMMYFUNCTION("""COMPUTED_VALUE"""),"FARID")</f>
        <v>FARID</v>
      </c>
      <c r="C28" s="69" t="str">
        <f>IFERROR(__xludf.DUMMYFUNCTION("""COMPUTED_VALUE"""),"B250027")</f>
        <v>B250027</v>
      </c>
      <c r="D28" s="69" t="str">
        <f>IFERROR(__xludf.DUMMYFUNCTION("""COMPUTED_VALUE"""),"I'dad Lughawiy Putra")</f>
        <v>I'dad Lughawiy Putra</v>
      </c>
      <c r="E28" s="69" t="str">
        <f>IFERROR(__xludf.DUMMYFUNCTION("""COMPUTED_VALUE"""),"Ya")</f>
        <v>Ya</v>
      </c>
      <c r="F28" s="69" t="str">
        <f>IFERROR(__xludf.DUMMYFUNCTION("""COMPUTED_VALUE"""),"Aku bersaksi bahwa tidak ada tuhan yang berhak di sembah kecuali Allah")</f>
        <v>Aku bersaksi bahwa tidak ada tuhan yang berhak di sembah kecuali Allah</v>
      </c>
      <c r="G28" s="69">
        <f>IFERROR(__xludf.DUMMYFUNCTION("""COMPUTED_VALUE"""),3.0)</f>
        <v>3</v>
      </c>
      <c r="H28" s="69" t="str">
        <f>IFERROR(__xludf.DUMMYFUNCTION("""COMPUTED_VALUE"""),"Amanah")</f>
        <v>Amanah</v>
      </c>
      <c r="I28" s="69" t="str">
        <f>IFERROR(__xludf.DUMMYFUNCTION("""COMPUTED_VALUE"""),"Di atas Arsy")</f>
        <v>Di atas Arsy</v>
      </c>
      <c r="J28" s="69" t="str">
        <f>IFERROR(__xludf.DUMMYFUNCTION("""COMPUTED_VALUE"""),"Ustman Bin Affan")</f>
        <v>Ustman Bin Affan</v>
      </c>
      <c r="K28" s="69">
        <f>IFERROR(__xludf.DUMMYFUNCTION("""COMPUTED_VALUE"""),-2.0)</f>
        <v>-2</v>
      </c>
      <c r="L28" s="69" t="str">
        <f>IFERROR(__xludf.DUMMYFUNCTION("""COMPUTED_VALUE"""),"Satu pohon yang kita tanam sangat bermanfaat bagi masa depan bumi dan manusia.")</f>
        <v>Satu pohon yang kita tanam sangat bermanfaat bagi masa depan bumi dan manusia.</v>
      </c>
      <c r="M28" s="69" t="str">
        <f>IFERROR(__xludf.DUMMYFUNCTION("""COMPUTED_VALUE"""),"mengaji menyegarkan jiwa")</f>
        <v>mengaji menyegarkan jiwa</v>
      </c>
      <c r="N28"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28" s="69" t="str">
        <f>IFERROR(__xludf.DUMMYFUNCTION("""COMPUTED_VALUE"""),"jalan usaha")</f>
        <v>jalan usaha</v>
      </c>
      <c r="P28" s="69" t="str">
        <f>IFERROR(__xludf.DUMMYFUNCTION("""COMPUTED_VALUE"""),"CO2 dan O2")</f>
        <v>CO2 dan O2</v>
      </c>
      <c r="Q28" s="69" t="str">
        <f>IFERROR(__xludf.DUMMYFUNCTION("""COMPUTED_VALUE"""),"Fotosintesis")</f>
        <v>Fotosintesis</v>
      </c>
      <c r="R28" s="69" t="str">
        <f>IFERROR(__xludf.DUMMYFUNCTION("""COMPUTED_VALUE"""),"Oksigen")</f>
        <v>Oksigen</v>
      </c>
      <c r="S28" s="69" t="str">
        <f>IFERROR(__xludf.DUMMYFUNCTION("""COMPUTED_VALUE"""),"A, B, C, dan D")</f>
        <v>A, B, C, dan D</v>
      </c>
      <c r="T28" s="69" t="str">
        <f>IFERROR(__xludf.DUMMYFUNCTION("""COMPUTED_VALUE"""),"menetralkan racun dan Alat pengangkut")</f>
        <v>menetralkan racun dan Alat pengangkut</v>
      </c>
      <c r="U28" s="69">
        <f>IFERROR(__xludf.DUMMYFUNCTION("""COMPUTED_VALUE"""),100.0)</f>
        <v>100</v>
      </c>
      <c r="V28" s="69">
        <f>IFERROR(__xludf.DUMMYFUNCTION("""COMPUTED_VALUE"""),13.0)</f>
        <v>13</v>
      </c>
      <c r="W28" s="70">
        <f>IFERROR(__xludf.DUMMYFUNCTION("""COMPUTED_VALUE"""),16000.0)</f>
        <v>16000</v>
      </c>
      <c r="X28" s="69">
        <f>IFERROR(__xludf.DUMMYFUNCTION("""COMPUTED_VALUE"""),23.0)</f>
        <v>23</v>
      </c>
      <c r="Y28" s="69">
        <f>IFERROR(__xludf.DUMMYFUNCTION("""COMPUTED_VALUE"""),210.0)</f>
        <v>210</v>
      </c>
      <c r="Z28" s="67">
        <f t="shared" si="1"/>
        <v>1</v>
      </c>
      <c r="AA28" s="67">
        <f t="shared" si="2"/>
        <v>1</v>
      </c>
      <c r="AB28" s="67">
        <f t="shared" si="3"/>
        <v>1</v>
      </c>
      <c r="AC28" s="67">
        <f t="shared" si="4"/>
        <v>1</v>
      </c>
      <c r="AD28" s="67">
        <f t="shared" si="5"/>
        <v>1</v>
      </c>
      <c r="AE28" s="68">
        <f t="shared" si="6"/>
        <v>5</v>
      </c>
      <c r="AF28" s="67">
        <f t="shared" si="7"/>
        <v>0</v>
      </c>
      <c r="AG28" s="67">
        <f t="shared" si="8"/>
        <v>1</v>
      </c>
      <c r="AH28" s="67">
        <f t="shared" si="9"/>
        <v>0</v>
      </c>
      <c r="AI28" s="67">
        <f t="shared" si="10"/>
        <v>0</v>
      </c>
      <c r="AJ28" s="67">
        <f t="shared" si="11"/>
        <v>0</v>
      </c>
      <c r="AK28" s="68">
        <f t="shared" si="12"/>
        <v>1</v>
      </c>
      <c r="AL28" s="67">
        <f t="shared" si="13"/>
        <v>0</v>
      </c>
      <c r="AM28" s="67">
        <f t="shared" si="14"/>
        <v>1</v>
      </c>
      <c r="AN28" s="67">
        <f t="shared" si="15"/>
        <v>0</v>
      </c>
      <c r="AO28" s="67">
        <f t="shared" si="16"/>
        <v>0</v>
      </c>
      <c r="AP28" s="67">
        <f t="shared" si="17"/>
        <v>0</v>
      </c>
      <c r="AQ28" s="68">
        <f t="shared" si="18"/>
        <v>1</v>
      </c>
      <c r="AR28" s="67">
        <f t="shared" si="19"/>
        <v>0</v>
      </c>
      <c r="AS28" s="67">
        <f t="shared" si="20"/>
        <v>1</v>
      </c>
      <c r="AT28" s="67">
        <f t="shared" si="21"/>
        <v>0</v>
      </c>
      <c r="AU28" s="67">
        <f t="shared" si="22"/>
        <v>1</v>
      </c>
      <c r="AV28" s="67">
        <f t="shared" si="23"/>
        <v>1</v>
      </c>
      <c r="AW28" s="68">
        <f t="shared" si="24"/>
        <v>3</v>
      </c>
      <c r="AX28" s="56"/>
      <c r="AY28" s="67">
        <f t="shared" si="25"/>
        <v>5</v>
      </c>
      <c r="AZ28" s="67">
        <f t="shared" si="26"/>
        <v>1</v>
      </c>
      <c r="BA28" s="67">
        <f t="shared" si="27"/>
        <v>1</v>
      </c>
      <c r="BB28" s="67">
        <f t="shared" si="28"/>
        <v>3</v>
      </c>
      <c r="BC28" s="30">
        <f t="shared" si="29"/>
        <v>50</v>
      </c>
    </row>
    <row r="29">
      <c r="A29" s="65">
        <f>IFERROR(__xludf.DUMMYFUNCTION("""COMPUTED_VALUE"""),45950.38701585648)</f>
        <v>45950.38702</v>
      </c>
      <c r="B29" s="69" t="str">
        <f>IFERROR(__xludf.DUMMYFUNCTION("""COMPUTED_VALUE"""),"Muhammad Dafa Athallah")</f>
        <v>Muhammad Dafa Athallah</v>
      </c>
      <c r="C29" s="69" t="str">
        <f>IFERROR(__xludf.DUMMYFUNCTION("""COMPUTED_VALUE"""),"B250023")</f>
        <v>B250023</v>
      </c>
      <c r="D29" s="69" t="str">
        <f>IFERROR(__xludf.DUMMYFUNCTION("""COMPUTED_VALUE"""),"I'dad Lughawiy Putra")</f>
        <v>I'dad Lughawiy Putra</v>
      </c>
      <c r="E29" s="69" t="str">
        <f>IFERROR(__xludf.DUMMYFUNCTION("""COMPUTED_VALUE"""),"Ya")</f>
        <v>Ya</v>
      </c>
      <c r="F29" s="69" t="str">
        <f>IFERROR(__xludf.DUMMYFUNCTION("""COMPUTED_VALUE"""),"Aku bersaksi bahwa tidak ada tuhan yang berhak di sembah kecuali Allah")</f>
        <v>Aku bersaksi bahwa tidak ada tuhan yang berhak di sembah kecuali Allah</v>
      </c>
      <c r="G29" s="69">
        <f>IFERROR(__xludf.DUMMYFUNCTION("""COMPUTED_VALUE"""),3.0)</f>
        <v>3</v>
      </c>
      <c r="H29" s="69" t="str">
        <f>IFERROR(__xludf.DUMMYFUNCTION("""COMPUTED_VALUE"""),"Amanah")</f>
        <v>Amanah</v>
      </c>
      <c r="I29" s="69" t="str">
        <f>IFERROR(__xludf.DUMMYFUNCTION("""COMPUTED_VALUE"""),"Di atas Arsy")</f>
        <v>Di atas Arsy</v>
      </c>
      <c r="J29" s="69" t="str">
        <f>IFERROR(__xludf.DUMMYFUNCTION("""COMPUTED_VALUE"""),"Ustman Bin Affan")</f>
        <v>Ustman Bin Affan</v>
      </c>
      <c r="K29" s="69" t="str">
        <f>IFERROR(__xludf.DUMMYFUNCTION("""COMPUTED_VALUE"""),"(1) dan (3)")</f>
        <v>(1) dan (3)</v>
      </c>
      <c r="L29" s="69" t="str">
        <f>IFERROR(__xludf.DUMMYFUNCTION("""COMPUTED_VALUE"""),"Satu pohon yang kita tanam sangat bermanfaat bagi masa depan bumi dan manusia.")</f>
        <v>Satu pohon yang kita tanam sangat bermanfaat bagi masa depan bumi dan manusia.</v>
      </c>
      <c r="M29" s="69" t="str">
        <f>IFERROR(__xludf.DUMMYFUNCTION("""COMPUTED_VALUE"""),"Opsi 4")</f>
        <v>Opsi 4</v>
      </c>
      <c r="N29" s="69" t="str">
        <f>IFERROR(__xludf.DUMMYFUNCTION("""COMPUTED_VALUE"""),"suatu kota pada malam hari yang dalam keadaan sepi pascagerimis")</f>
        <v>suatu kota pada malam hari yang dalam keadaan sepi pascagerimis</v>
      </c>
      <c r="O29" s="69" t="str">
        <f>IFERROR(__xludf.DUMMYFUNCTION("""COMPUTED_VALUE"""),"usaha yang mula-mula sekali")</f>
        <v>usaha yang mula-mula sekali</v>
      </c>
      <c r="P29" s="69" t="str">
        <f>IFERROR(__xludf.DUMMYFUNCTION("""COMPUTED_VALUE"""),"O2 dan CO2")</f>
        <v>O2 dan CO2</v>
      </c>
      <c r="Q29" s="69" t="str">
        <f>IFERROR(__xludf.DUMMYFUNCTION("""COMPUTED_VALUE"""),"Fotosintesis")</f>
        <v>Fotosintesis</v>
      </c>
      <c r="R29" s="69" t="str">
        <f>IFERROR(__xludf.DUMMYFUNCTION("""COMPUTED_VALUE"""),"Uap air")</f>
        <v>Uap air</v>
      </c>
      <c r="S29" s="69" t="str">
        <f>IFERROR(__xludf.DUMMYFUNCTION("""COMPUTED_VALUE"""),"A, D, E, dan K")</f>
        <v>A, D, E, dan K</v>
      </c>
      <c r="T29" s="69" t="str">
        <f>IFERROR(__xludf.DUMMYFUNCTION("""COMPUTED_VALUE"""),"Alat pengangkut dan pengatur suhu tubuh")</f>
        <v>Alat pengangkut dan pengatur suhu tubuh</v>
      </c>
      <c r="U29" s="69">
        <f>IFERROR(__xludf.DUMMYFUNCTION("""COMPUTED_VALUE"""),85.0)</f>
        <v>85</v>
      </c>
      <c r="V29" s="69">
        <f>IFERROR(__xludf.DUMMYFUNCTION("""COMPUTED_VALUE"""),13.0)</f>
        <v>13</v>
      </c>
      <c r="W29" s="70">
        <f>IFERROR(__xludf.DUMMYFUNCTION("""COMPUTED_VALUE"""),17000.0)</f>
        <v>17000</v>
      </c>
      <c r="X29" s="69">
        <f>IFERROR(__xludf.DUMMYFUNCTION("""COMPUTED_VALUE"""),23.0)</f>
        <v>23</v>
      </c>
      <c r="Y29" s="69">
        <f>IFERROR(__xludf.DUMMYFUNCTION("""COMPUTED_VALUE"""),210.0)</f>
        <v>210</v>
      </c>
      <c r="Z29" s="67">
        <f t="shared" si="1"/>
        <v>1</v>
      </c>
      <c r="AA29" s="67">
        <f t="shared" si="2"/>
        <v>1</v>
      </c>
      <c r="AB29" s="67">
        <f t="shared" si="3"/>
        <v>1</v>
      </c>
      <c r="AC29" s="67">
        <f t="shared" si="4"/>
        <v>1</v>
      </c>
      <c r="AD29" s="67">
        <f t="shared" si="5"/>
        <v>1</v>
      </c>
      <c r="AE29" s="68">
        <f t="shared" si="6"/>
        <v>5</v>
      </c>
      <c r="AF29" s="67">
        <f t="shared" si="7"/>
        <v>0</v>
      </c>
      <c r="AG29" s="67">
        <f t="shared" si="8"/>
        <v>1</v>
      </c>
      <c r="AH29" s="67">
        <f t="shared" si="9"/>
        <v>0</v>
      </c>
      <c r="AI29" s="67">
        <f t="shared" si="10"/>
        <v>1</v>
      </c>
      <c r="AJ29" s="67">
        <f t="shared" si="11"/>
        <v>1</v>
      </c>
      <c r="AK29" s="68">
        <f t="shared" si="12"/>
        <v>3</v>
      </c>
      <c r="AL29" s="67">
        <f t="shared" si="13"/>
        <v>0</v>
      </c>
      <c r="AM29" s="67">
        <f t="shared" si="14"/>
        <v>1</v>
      </c>
      <c r="AN29" s="67">
        <f t="shared" si="15"/>
        <v>1</v>
      </c>
      <c r="AO29" s="67">
        <f t="shared" si="16"/>
        <v>1</v>
      </c>
      <c r="AP29" s="67">
        <f t="shared" si="17"/>
        <v>1</v>
      </c>
      <c r="AQ29" s="68">
        <f t="shared" si="18"/>
        <v>4</v>
      </c>
      <c r="AR29" s="67">
        <f t="shared" si="19"/>
        <v>1</v>
      </c>
      <c r="AS29" s="67">
        <f t="shared" si="20"/>
        <v>1</v>
      </c>
      <c r="AT29" s="67">
        <f t="shared" si="21"/>
        <v>1</v>
      </c>
      <c r="AU29" s="67">
        <f t="shared" si="22"/>
        <v>1</v>
      </c>
      <c r="AV29" s="67">
        <f t="shared" si="23"/>
        <v>1</v>
      </c>
      <c r="AW29" s="68">
        <f t="shared" si="24"/>
        <v>5</v>
      </c>
      <c r="AX29" s="56"/>
      <c r="AY29" s="67">
        <f t="shared" si="25"/>
        <v>5</v>
      </c>
      <c r="AZ29" s="67">
        <f t="shared" si="26"/>
        <v>3</v>
      </c>
      <c r="BA29" s="67">
        <f t="shared" si="27"/>
        <v>4</v>
      </c>
      <c r="BB29" s="67">
        <f t="shared" si="28"/>
        <v>5</v>
      </c>
      <c r="BC29" s="30">
        <f t="shared" si="29"/>
        <v>85</v>
      </c>
    </row>
    <row r="30">
      <c r="A30" s="65">
        <f>IFERROR(__xludf.DUMMYFUNCTION("""COMPUTED_VALUE"""),45955.576391608796)</f>
        <v>45955.57639</v>
      </c>
      <c r="B30" s="69" t="str">
        <f>IFERROR(__xludf.DUMMYFUNCTION("""COMPUTED_VALUE"""),"Najla ulfa")</f>
        <v>Najla ulfa</v>
      </c>
      <c r="C30" s="69" t="str">
        <f>IFERROR(__xludf.DUMMYFUNCTION("""COMPUTED_VALUE"""),"E250009")</f>
        <v>E250009</v>
      </c>
      <c r="D30" s="69" t="str">
        <f>IFERROR(__xludf.DUMMYFUNCTION("""COMPUTED_VALUE"""),"I'dad Lughawiy Putri")</f>
        <v>I'dad Lughawiy Putri</v>
      </c>
      <c r="E30" s="69" t="str">
        <f>IFERROR(__xludf.DUMMYFUNCTION("""COMPUTED_VALUE"""),"Ya")</f>
        <v>Ya</v>
      </c>
      <c r="F30" s="69" t="str">
        <f>IFERROR(__xludf.DUMMYFUNCTION("""COMPUTED_VALUE"""),"Aku bersaksi bahwa tidak ada tuhan yang berhak di sembah kecuali Allah")</f>
        <v>Aku bersaksi bahwa tidak ada tuhan yang berhak di sembah kecuali Allah</v>
      </c>
      <c r="G30" s="69">
        <f>IFERROR(__xludf.DUMMYFUNCTION("""COMPUTED_VALUE"""),3.0)</f>
        <v>3</v>
      </c>
      <c r="H30" s="69" t="str">
        <f>IFERROR(__xludf.DUMMYFUNCTION("""COMPUTED_VALUE"""),"Amanah")</f>
        <v>Amanah</v>
      </c>
      <c r="I30" s="69" t="str">
        <f>IFERROR(__xludf.DUMMYFUNCTION("""COMPUTED_VALUE"""),"Di atas Arsy")</f>
        <v>Di atas Arsy</v>
      </c>
      <c r="J30" s="69" t="str">
        <f>IFERROR(__xludf.DUMMYFUNCTION("""COMPUTED_VALUE"""),"Ustman Bin Affan")</f>
        <v>Ustman Bin Affan</v>
      </c>
      <c r="K30" s="69" t="str">
        <f>IFERROR(__xludf.DUMMYFUNCTION("""COMPUTED_VALUE"""),"(1) dan (4)")</f>
        <v>(1) dan (4)</v>
      </c>
      <c r="L30" s="69" t="str">
        <f>IFERROR(__xludf.DUMMYFUNCTION("""COMPUTED_VALUE"""),"Satu pohon yang kita tanam sangat bermanfaat bagi masa depan bumi dan manusia.")</f>
        <v>Satu pohon yang kita tanam sangat bermanfaat bagi masa depan bumi dan manusia.</v>
      </c>
      <c r="M30" s="69" t="str">
        <f>IFERROR(__xludf.DUMMYFUNCTION("""COMPUTED_VALUE"""),"mengaji menyegarkan jiwa")</f>
        <v>mengaji menyegarkan jiwa</v>
      </c>
      <c r="N30"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30" s="69" t="str">
        <f>IFERROR(__xludf.DUMMYFUNCTION("""COMPUTED_VALUE"""),"usaha yang dilakukan sendiri")</f>
        <v>usaha yang dilakukan sendiri</v>
      </c>
      <c r="P30" s="69" t="str">
        <f>IFERROR(__xludf.DUMMYFUNCTION("""COMPUTED_VALUE"""),"H2O dan O2")</f>
        <v>H2O dan O2</v>
      </c>
      <c r="Q30" s="69" t="str">
        <f>IFERROR(__xludf.DUMMYFUNCTION("""COMPUTED_VALUE"""),"Fotosintesis")</f>
        <v>Fotosintesis</v>
      </c>
      <c r="R30" s="69" t="str">
        <f>IFERROR(__xludf.DUMMYFUNCTION("""COMPUTED_VALUE"""),"Karbon dioksida")</f>
        <v>Karbon dioksida</v>
      </c>
      <c r="S30" s="69" t="str">
        <f>IFERROR(__xludf.DUMMYFUNCTION("""COMPUTED_VALUE"""),"A, B,D, dan E")</f>
        <v>A, B,D, dan E</v>
      </c>
      <c r="T30" s="69" t="str">
        <f>IFERROR(__xludf.DUMMYFUNCTION("""COMPUTED_VALUE"""),"Alat pengangkut dan pengatur suhu tubuh")</f>
        <v>Alat pengangkut dan pengatur suhu tubuh</v>
      </c>
      <c r="U30" s="69">
        <f>IFERROR(__xludf.DUMMYFUNCTION("""COMPUTED_VALUE"""),85.0)</f>
        <v>85</v>
      </c>
      <c r="V30" s="69">
        <f>IFERROR(__xludf.DUMMYFUNCTION("""COMPUTED_VALUE"""),13.0)</f>
        <v>13</v>
      </c>
      <c r="W30" s="70">
        <f>IFERROR(__xludf.DUMMYFUNCTION("""COMPUTED_VALUE"""),17000.0)</f>
        <v>17000</v>
      </c>
      <c r="X30" s="69">
        <f>IFERROR(__xludf.DUMMYFUNCTION("""COMPUTED_VALUE"""),23.0)</f>
        <v>23</v>
      </c>
      <c r="Y30" s="69">
        <f>IFERROR(__xludf.DUMMYFUNCTION("""COMPUTED_VALUE"""),210.0)</f>
        <v>210</v>
      </c>
      <c r="Z30" s="67">
        <f t="shared" si="1"/>
        <v>1</v>
      </c>
      <c r="AA30" s="67">
        <f t="shared" si="2"/>
        <v>1</v>
      </c>
      <c r="AB30" s="67">
        <f t="shared" si="3"/>
        <v>1</v>
      </c>
      <c r="AC30" s="67">
        <f t="shared" si="4"/>
        <v>1</v>
      </c>
      <c r="AD30" s="67">
        <f t="shared" si="5"/>
        <v>1</v>
      </c>
      <c r="AE30" s="68">
        <f t="shared" si="6"/>
        <v>5</v>
      </c>
      <c r="AF30" s="67">
        <f t="shared" si="7"/>
        <v>1</v>
      </c>
      <c r="AG30" s="67">
        <f t="shared" si="8"/>
        <v>1</v>
      </c>
      <c r="AH30" s="67">
        <f t="shared" si="9"/>
        <v>0</v>
      </c>
      <c r="AI30" s="67">
        <f t="shared" si="10"/>
        <v>0</v>
      </c>
      <c r="AJ30" s="67">
        <f t="shared" si="11"/>
        <v>0</v>
      </c>
      <c r="AK30" s="68">
        <f t="shared" si="12"/>
        <v>2</v>
      </c>
      <c r="AL30" s="67">
        <f t="shared" si="13"/>
        <v>0</v>
      </c>
      <c r="AM30" s="67">
        <f t="shared" si="14"/>
        <v>1</v>
      </c>
      <c r="AN30" s="67">
        <f t="shared" si="15"/>
        <v>0</v>
      </c>
      <c r="AO30" s="67">
        <f t="shared" si="16"/>
        <v>0</v>
      </c>
      <c r="AP30" s="67">
        <f t="shared" si="17"/>
        <v>1</v>
      </c>
      <c r="AQ30" s="68">
        <f t="shared" si="18"/>
        <v>2</v>
      </c>
      <c r="AR30" s="67">
        <f t="shared" si="19"/>
        <v>1</v>
      </c>
      <c r="AS30" s="67">
        <f t="shared" si="20"/>
        <v>1</v>
      </c>
      <c r="AT30" s="67">
        <f t="shared" si="21"/>
        <v>1</v>
      </c>
      <c r="AU30" s="67">
        <f t="shared" si="22"/>
        <v>1</v>
      </c>
      <c r="AV30" s="67">
        <f t="shared" si="23"/>
        <v>1</v>
      </c>
      <c r="AW30" s="68">
        <f t="shared" si="24"/>
        <v>5</v>
      </c>
      <c r="AX30" s="56"/>
      <c r="AY30" s="67">
        <f t="shared" si="25"/>
        <v>5</v>
      </c>
      <c r="AZ30" s="67">
        <f t="shared" si="26"/>
        <v>2</v>
      </c>
      <c r="BA30" s="67">
        <f t="shared" si="27"/>
        <v>2</v>
      </c>
      <c r="BB30" s="67">
        <f t="shared" si="28"/>
        <v>5</v>
      </c>
      <c r="BC30" s="30">
        <f t="shared" si="29"/>
        <v>70</v>
      </c>
    </row>
    <row r="31">
      <c r="A31" s="65">
        <f>IFERROR(__xludf.DUMMYFUNCTION("""COMPUTED_VALUE"""),45959.44327888889)</f>
        <v>45959.44328</v>
      </c>
      <c r="B31" s="69" t="str">
        <f>IFERROR(__xludf.DUMMYFUNCTION("""COMPUTED_VALUE"""),"Muhammad risky sapin")</f>
        <v>Muhammad risky sapin</v>
      </c>
      <c r="C31" s="69" t="str">
        <f>IFERROR(__xludf.DUMMYFUNCTION("""COMPUTED_VALUE"""),"B250011")</f>
        <v>B250011</v>
      </c>
      <c r="D31" s="69" t="str">
        <f>IFERROR(__xludf.DUMMYFUNCTION("""COMPUTED_VALUE"""),"I'dad Lughawiy Putra")</f>
        <v>I'dad Lughawiy Putra</v>
      </c>
      <c r="E31" s="69" t="str">
        <f>IFERROR(__xludf.DUMMYFUNCTION("""COMPUTED_VALUE"""),"Ya")</f>
        <v>Ya</v>
      </c>
      <c r="F31" s="69" t="str">
        <f>IFERROR(__xludf.DUMMYFUNCTION("""COMPUTED_VALUE"""),"Aku bersaksi bahwa tidak ada tuhan yang berhak di sembah kecuali Allah")</f>
        <v>Aku bersaksi bahwa tidak ada tuhan yang berhak di sembah kecuali Allah</v>
      </c>
      <c r="G31" s="69">
        <f>IFERROR(__xludf.DUMMYFUNCTION("""COMPUTED_VALUE"""),3.0)</f>
        <v>3</v>
      </c>
      <c r="H31" s="69" t="str">
        <f>IFERROR(__xludf.DUMMYFUNCTION("""COMPUTED_VALUE"""),"Al Amiin")</f>
        <v>Al Amiin</v>
      </c>
      <c r="I31" s="69" t="str">
        <f>IFERROR(__xludf.DUMMYFUNCTION("""COMPUTED_VALUE"""),"Di atas Arsy")</f>
        <v>Di atas Arsy</v>
      </c>
      <c r="J31" s="69" t="str">
        <f>IFERROR(__xludf.DUMMYFUNCTION("""COMPUTED_VALUE"""),"Ali Bin Abi Thalib")</f>
        <v>Ali Bin Abi Thalib</v>
      </c>
      <c r="K31" s="69">
        <f>IFERROR(__xludf.DUMMYFUNCTION("""COMPUTED_VALUE"""),-2.0)</f>
        <v>-2</v>
      </c>
      <c r="L31" s="69" t="str">
        <f>IFERROR(__xludf.DUMMYFUNCTION("""COMPUTED_VALUE"""),"Bumi ini akan indah jika pohon tidak ditebang.")</f>
        <v>Bumi ini akan indah jika pohon tidak ditebang.</v>
      </c>
      <c r="M31" s="69" t="str">
        <f>IFERROR(__xludf.DUMMYFUNCTION("""COMPUTED_VALUE"""),"mengaji seperti jantung")</f>
        <v>mengaji seperti jantung</v>
      </c>
      <c r="N31" s="69" t="str">
        <f>IFERROR(__xludf.DUMMYFUNCTION("""COMPUTED_VALUE"""),"suasana malam hari yang sangat sunyi karena sebentar lagi akan turun hujan yang lebat")</f>
        <v>suasana malam hari yang sangat sunyi karena sebentar lagi akan turun hujan yang lebat</v>
      </c>
      <c r="O31" s="69" t="str">
        <f>IFERROR(__xludf.DUMMYFUNCTION("""COMPUTED_VALUE"""),"jalan usaha")</f>
        <v>jalan usaha</v>
      </c>
      <c r="P31" s="69" t="str">
        <f>IFERROR(__xludf.DUMMYFUNCTION("""COMPUTED_VALUE"""),"C6H12O6 dan O2")</f>
        <v>C6H12O6 dan O2</v>
      </c>
      <c r="Q31" s="69" t="str">
        <f>IFERROR(__xludf.DUMMYFUNCTION("""COMPUTED_VALUE"""),"Fotosintesis")</f>
        <v>Fotosintesis</v>
      </c>
      <c r="R31" s="69" t="str">
        <f>IFERROR(__xludf.DUMMYFUNCTION("""COMPUTED_VALUE"""),"Oksigen")</f>
        <v>Oksigen</v>
      </c>
      <c r="S31" s="69" t="str">
        <f>IFERROR(__xludf.DUMMYFUNCTION("""COMPUTED_VALUE"""),"A, B, C, dan D")</f>
        <v>A, B, C, dan D</v>
      </c>
      <c r="T31" s="69" t="str">
        <f>IFERROR(__xludf.DUMMYFUNCTION("""COMPUTED_VALUE"""),"Pengatur suhu tubuh dan sumber energi")</f>
        <v>Pengatur suhu tubuh dan sumber energi</v>
      </c>
      <c r="U31" s="69">
        <f>IFERROR(__xludf.DUMMYFUNCTION("""COMPUTED_VALUE"""),96.0)</f>
        <v>96</v>
      </c>
      <c r="V31" s="69">
        <f>IFERROR(__xludf.DUMMYFUNCTION("""COMPUTED_VALUE"""),11.0)</f>
        <v>11</v>
      </c>
      <c r="W31" s="70">
        <f>IFERROR(__xludf.DUMMYFUNCTION("""COMPUTED_VALUE"""),16000.0)</f>
        <v>16000</v>
      </c>
      <c r="X31" s="69">
        <f>IFERROR(__xludf.DUMMYFUNCTION("""COMPUTED_VALUE"""),36.0)</f>
        <v>36</v>
      </c>
      <c r="Y31" s="69">
        <f>IFERROR(__xludf.DUMMYFUNCTION("""COMPUTED_VALUE"""),140.0)</f>
        <v>140</v>
      </c>
      <c r="Z31" s="67">
        <f t="shared" si="1"/>
        <v>1</v>
      </c>
      <c r="AA31" s="67">
        <f t="shared" si="2"/>
        <v>1</v>
      </c>
      <c r="AB31" s="67">
        <f t="shared" si="3"/>
        <v>0</v>
      </c>
      <c r="AC31" s="67">
        <f t="shared" si="4"/>
        <v>1</v>
      </c>
      <c r="AD31" s="67">
        <f t="shared" si="5"/>
        <v>0</v>
      </c>
      <c r="AE31" s="68">
        <f t="shared" si="6"/>
        <v>3</v>
      </c>
      <c r="AF31" s="67">
        <f t="shared" si="7"/>
        <v>0</v>
      </c>
      <c r="AG31" s="67">
        <f t="shared" si="8"/>
        <v>0</v>
      </c>
      <c r="AH31" s="67">
        <f t="shared" si="9"/>
        <v>1</v>
      </c>
      <c r="AI31" s="67">
        <f t="shared" si="10"/>
        <v>0</v>
      </c>
      <c r="AJ31" s="67">
        <f t="shared" si="11"/>
        <v>0</v>
      </c>
      <c r="AK31" s="68">
        <f t="shared" si="12"/>
        <v>1</v>
      </c>
      <c r="AL31" s="67">
        <f t="shared" si="13"/>
        <v>1</v>
      </c>
      <c r="AM31" s="67">
        <f t="shared" si="14"/>
        <v>1</v>
      </c>
      <c r="AN31" s="67">
        <f t="shared" si="15"/>
        <v>0</v>
      </c>
      <c r="AO31" s="67">
        <f t="shared" si="16"/>
        <v>0</v>
      </c>
      <c r="AP31" s="67">
        <f t="shared" si="17"/>
        <v>0</v>
      </c>
      <c r="AQ31" s="68">
        <f t="shared" si="18"/>
        <v>2</v>
      </c>
      <c r="AR31" s="67">
        <f t="shared" si="19"/>
        <v>0</v>
      </c>
      <c r="AS31" s="67">
        <f t="shared" si="20"/>
        <v>0</v>
      </c>
      <c r="AT31" s="67">
        <f t="shared" si="21"/>
        <v>0</v>
      </c>
      <c r="AU31" s="67">
        <f t="shared" si="22"/>
        <v>0</v>
      </c>
      <c r="AV31" s="67">
        <f t="shared" si="23"/>
        <v>0</v>
      </c>
      <c r="AW31" s="68">
        <f t="shared" si="24"/>
        <v>0</v>
      </c>
      <c r="AX31" s="56"/>
      <c r="AY31" s="67">
        <f t="shared" si="25"/>
        <v>3</v>
      </c>
      <c r="AZ31" s="67">
        <f t="shared" si="26"/>
        <v>1</v>
      </c>
      <c r="BA31" s="67">
        <f t="shared" si="27"/>
        <v>2</v>
      </c>
      <c r="BB31" s="67">
        <f t="shared" si="28"/>
        <v>0</v>
      </c>
      <c r="BC31" s="30">
        <f t="shared" si="29"/>
        <v>30</v>
      </c>
    </row>
    <row r="32">
      <c r="A32" s="65">
        <f>IFERROR(__xludf.DUMMYFUNCTION("""COMPUTED_VALUE"""),45961.92290642361)</f>
        <v>45961.92291</v>
      </c>
      <c r="B32" s="69" t="str">
        <f>IFERROR(__xludf.DUMMYFUNCTION("""COMPUTED_VALUE"""),"M. Daffa barokah ")</f>
        <v>M. Daffa barokah </v>
      </c>
      <c r="C32" s="69" t="str">
        <f>IFERROR(__xludf.DUMMYFUNCTION("""COMPUTED_VALUE"""),"C250006")</f>
        <v>C250006</v>
      </c>
      <c r="D32" s="69" t="str">
        <f>IFERROR(__xludf.DUMMYFUNCTION("""COMPUTED_VALUE"""),"I'dad Lughawiy Putra")</f>
        <v>I'dad Lughawiy Putra</v>
      </c>
      <c r="E32" s="69" t="str">
        <f>IFERROR(__xludf.DUMMYFUNCTION("""COMPUTED_VALUE"""),"Ya")</f>
        <v>Ya</v>
      </c>
      <c r="F32" s="69" t="str">
        <f>IFERROR(__xludf.DUMMYFUNCTION("""COMPUTED_VALUE"""),"Aku bersaksi bahwa tidak ada tuhan yang berhak di sembah kecuali Allah")</f>
        <v>Aku bersaksi bahwa tidak ada tuhan yang berhak di sembah kecuali Allah</v>
      </c>
      <c r="G32" s="69">
        <f>IFERROR(__xludf.DUMMYFUNCTION("""COMPUTED_VALUE"""),3.0)</f>
        <v>3</v>
      </c>
      <c r="H32" s="69" t="str">
        <f>IFERROR(__xludf.DUMMYFUNCTION("""COMPUTED_VALUE"""),"Amanah")</f>
        <v>Amanah</v>
      </c>
      <c r="I32" s="69" t="str">
        <f>IFERROR(__xludf.DUMMYFUNCTION("""COMPUTED_VALUE"""),"Di atas Arsy")</f>
        <v>Di atas Arsy</v>
      </c>
      <c r="J32" s="69" t="str">
        <f>IFERROR(__xludf.DUMMYFUNCTION("""COMPUTED_VALUE"""),"Ustman Bin Affan")</f>
        <v>Ustman Bin Affan</v>
      </c>
      <c r="K32" s="69" t="str">
        <f>IFERROR(__xludf.DUMMYFUNCTION("""COMPUTED_VALUE"""),"(1) dan (4)")</f>
        <v>(1) dan (4)</v>
      </c>
      <c r="L32" s="69" t="str">
        <f>IFERROR(__xludf.DUMMYFUNCTION("""COMPUTED_VALUE"""),"Satu pohon yang kita tanam sangat bermanfaat bagi masa depan bumi dan manusia.")</f>
        <v>Satu pohon yang kita tanam sangat bermanfaat bagi masa depan bumi dan manusia.</v>
      </c>
      <c r="M32" s="69" t="str">
        <f>IFERROR(__xludf.DUMMYFUNCTION("""COMPUTED_VALUE"""),"mengaji seperti jantung")</f>
        <v>mengaji seperti jantung</v>
      </c>
      <c r="N32"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32" s="69" t="str">
        <f>IFERROR(__xludf.DUMMYFUNCTION("""COMPUTED_VALUE"""),"usaha yang mula-mula sekali")</f>
        <v>usaha yang mula-mula sekali</v>
      </c>
      <c r="P32" s="69" t="str">
        <f>IFERROR(__xludf.DUMMYFUNCTION("""COMPUTED_VALUE"""),"C6H12O6 dan O2")</f>
        <v>C6H12O6 dan O2</v>
      </c>
      <c r="Q32" s="69" t="str">
        <f>IFERROR(__xludf.DUMMYFUNCTION("""COMPUTED_VALUE"""),"Fotosintesis")</f>
        <v>Fotosintesis</v>
      </c>
      <c r="R32" s="69" t="str">
        <f>IFERROR(__xludf.DUMMYFUNCTION("""COMPUTED_VALUE"""),"Uap air")</f>
        <v>Uap air</v>
      </c>
      <c r="S32" s="69" t="str">
        <f>IFERROR(__xludf.DUMMYFUNCTION("""COMPUTED_VALUE"""),"A, D, E, dan K")</f>
        <v>A, D, E, dan K</v>
      </c>
      <c r="T32" s="69" t="str">
        <f>IFERROR(__xludf.DUMMYFUNCTION("""COMPUTED_VALUE"""),"Alat pengangkut dan pengatur suhu tubuh")</f>
        <v>Alat pengangkut dan pengatur suhu tubuh</v>
      </c>
      <c r="U32" s="69">
        <f>IFERROR(__xludf.DUMMYFUNCTION("""COMPUTED_VALUE"""),85.0)</f>
        <v>85</v>
      </c>
      <c r="V32" s="69">
        <f>IFERROR(__xludf.DUMMYFUNCTION("""COMPUTED_VALUE"""),13.0)</f>
        <v>13</v>
      </c>
      <c r="W32" s="70">
        <f>IFERROR(__xludf.DUMMYFUNCTION("""COMPUTED_VALUE"""),17000.0)</f>
        <v>17000</v>
      </c>
      <c r="X32" s="69">
        <f>IFERROR(__xludf.DUMMYFUNCTION("""COMPUTED_VALUE"""),23.0)</f>
        <v>23</v>
      </c>
      <c r="Y32" s="69">
        <f>IFERROR(__xludf.DUMMYFUNCTION("""COMPUTED_VALUE"""),210.0)</f>
        <v>210</v>
      </c>
      <c r="Z32" s="67">
        <f t="shared" si="1"/>
        <v>1</v>
      </c>
      <c r="AA32" s="67">
        <f t="shared" si="2"/>
        <v>1</v>
      </c>
      <c r="AB32" s="67">
        <f t="shared" si="3"/>
        <v>1</v>
      </c>
      <c r="AC32" s="67">
        <f t="shared" si="4"/>
        <v>1</v>
      </c>
      <c r="AD32" s="67">
        <f t="shared" si="5"/>
        <v>1</v>
      </c>
      <c r="AE32" s="68">
        <f t="shared" si="6"/>
        <v>5</v>
      </c>
      <c r="AF32" s="67">
        <f t="shared" si="7"/>
        <v>1</v>
      </c>
      <c r="AG32" s="67">
        <f t="shared" si="8"/>
        <v>1</v>
      </c>
      <c r="AH32" s="67">
        <f t="shared" si="9"/>
        <v>1</v>
      </c>
      <c r="AI32" s="67">
        <f t="shared" si="10"/>
        <v>0</v>
      </c>
      <c r="AJ32" s="67">
        <f t="shared" si="11"/>
        <v>1</v>
      </c>
      <c r="AK32" s="68">
        <f t="shared" si="12"/>
        <v>4</v>
      </c>
      <c r="AL32" s="67">
        <f t="shared" si="13"/>
        <v>1</v>
      </c>
      <c r="AM32" s="67">
        <f t="shared" si="14"/>
        <v>1</v>
      </c>
      <c r="AN32" s="67">
        <f t="shared" si="15"/>
        <v>1</v>
      </c>
      <c r="AO32" s="67">
        <f t="shared" si="16"/>
        <v>1</v>
      </c>
      <c r="AP32" s="67">
        <f t="shared" si="17"/>
        <v>1</v>
      </c>
      <c r="AQ32" s="68">
        <f t="shared" si="18"/>
        <v>5</v>
      </c>
      <c r="AR32" s="67">
        <f t="shared" si="19"/>
        <v>1</v>
      </c>
      <c r="AS32" s="67">
        <f t="shared" si="20"/>
        <v>1</v>
      </c>
      <c r="AT32" s="67">
        <f t="shared" si="21"/>
        <v>1</v>
      </c>
      <c r="AU32" s="67">
        <f t="shared" si="22"/>
        <v>1</v>
      </c>
      <c r="AV32" s="67">
        <f t="shared" si="23"/>
        <v>1</v>
      </c>
      <c r="AW32" s="68">
        <f t="shared" si="24"/>
        <v>5</v>
      </c>
      <c r="AX32" s="56"/>
      <c r="AY32" s="67">
        <f t="shared" si="25"/>
        <v>5</v>
      </c>
      <c r="AZ32" s="67">
        <f t="shared" si="26"/>
        <v>4</v>
      </c>
      <c r="BA32" s="67">
        <f t="shared" si="27"/>
        <v>5</v>
      </c>
      <c r="BB32" s="67">
        <f t="shared" si="28"/>
        <v>5</v>
      </c>
      <c r="BC32" s="30">
        <f t="shared" si="29"/>
        <v>95</v>
      </c>
    </row>
    <row r="33">
      <c r="A33" s="65">
        <f>IFERROR(__xludf.DUMMYFUNCTION("""COMPUTED_VALUE"""),45966.78818668981)</f>
        <v>45966.78819</v>
      </c>
      <c r="B33" s="69" t="str">
        <f>IFERROR(__xludf.DUMMYFUNCTION("""COMPUTED_VALUE"""),"adlin ar rihaily")</f>
        <v>adlin ar rihaily</v>
      </c>
      <c r="C33" s="69" t="str">
        <f>IFERROR(__xludf.DUMMYFUNCTION("""COMPUTED_VALUE"""),"D250020 ")</f>
        <v>D250020 </v>
      </c>
      <c r="D33" s="69" t="str">
        <f>IFERROR(__xludf.DUMMYFUNCTION("""COMPUTED_VALUE"""),"I'dad Lughawiy Putri")</f>
        <v>I'dad Lughawiy Putri</v>
      </c>
      <c r="E33" s="69" t="str">
        <f>IFERROR(__xludf.DUMMYFUNCTION("""COMPUTED_VALUE"""),"Ya")</f>
        <v>Ya</v>
      </c>
      <c r="F33" s="69" t="str">
        <f>IFERROR(__xludf.DUMMYFUNCTION("""COMPUTED_VALUE"""),"Aku bersaksi bahwa tidak ada tuhan yang berhak di sembah kecuali Allah")</f>
        <v>Aku bersaksi bahwa tidak ada tuhan yang berhak di sembah kecuali Allah</v>
      </c>
      <c r="G33" s="69">
        <f>IFERROR(__xludf.DUMMYFUNCTION("""COMPUTED_VALUE"""),3.0)</f>
        <v>3</v>
      </c>
      <c r="H33" s="69" t="str">
        <f>IFERROR(__xludf.DUMMYFUNCTION("""COMPUTED_VALUE"""),"Amanah")</f>
        <v>Amanah</v>
      </c>
      <c r="I33" s="69" t="str">
        <f>IFERROR(__xludf.DUMMYFUNCTION("""COMPUTED_VALUE"""),"Di atas Arsy")</f>
        <v>Di atas Arsy</v>
      </c>
      <c r="J33" s="69" t="str">
        <f>IFERROR(__xludf.DUMMYFUNCTION("""COMPUTED_VALUE"""),"Ustman Bin Affan")</f>
        <v>Ustman Bin Affan</v>
      </c>
      <c r="K33" s="69" t="str">
        <f>IFERROR(__xludf.DUMMYFUNCTION("""COMPUTED_VALUE"""),"(1) dan (4)")</f>
        <v>(1) dan (4)</v>
      </c>
      <c r="L33" s="69" t="str">
        <f>IFERROR(__xludf.DUMMYFUNCTION("""COMPUTED_VALUE"""),"Satu pohon yang kita tanam sangat bermanfaat bagi masa depan bumi dan manusia.")</f>
        <v>Satu pohon yang kita tanam sangat bermanfaat bagi masa depan bumi dan manusia.</v>
      </c>
      <c r="M33" s="69" t="str">
        <f>IFERROR(__xludf.DUMMYFUNCTION("""COMPUTED_VALUE"""),"mengaji melebarkan pikiran")</f>
        <v>mengaji melebarkan pikiran</v>
      </c>
      <c r="N33"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33" s="69" t="str">
        <f>IFERROR(__xludf.DUMMYFUNCTION("""COMPUTED_VALUE"""),"usaha yang mula-mula sekali")</f>
        <v>usaha yang mula-mula sekali</v>
      </c>
      <c r="P33" s="69" t="str">
        <f>IFERROR(__xludf.DUMMYFUNCTION("""COMPUTED_VALUE"""),"H2O dan O2")</f>
        <v>H2O dan O2</v>
      </c>
      <c r="Q33" s="69" t="str">
        <f>IFERROR(__xludf.DUMMYFUNCTION("""COMPUTED_VALUE"""),"Reproduksi")</f>
        <v>Reproduksi</v>
      </c>
      <c r="R33" s="69" t="str">
        <f>IFERROR(__xludf.DUMMYFUNCTION("""COMPUTED_VALUE"""),"Uap air")</f>
        <v>Uap air</v>
      </c>
      <c r="S33" s="69" t="str">
        <f>IFERROR(__xludf.DUMMYFUNCTION("""COMPUTED_VALUE"""),"A, C, E, dan K")</f>
        <v>A, C, E, dan K</v>
      </c>
      <c r="T33" s="69" t="str">
        <f>IFERROR(__xludf.DUMMYFUNCTION("""COMPUTED_VALUE"""),"Alat pengangkut dan pengatur suhu tubuh")</f>
        <v>Alat pengangkut dan pengatur suhu tubuh</v>
      </c>
      <c r="U33" s="69">
        <f>IFERROR(__xludf.DUMMYFUNCTION("""COMPUTED_VALUE"""),100.0)</f>
        <v>100</v>
      </c>
      <c r="V33" s="69">
        <f>IFERROR(__xludf.DUMMYFUNCTION("""COMPUTED_VALUE"""),16.0)</f>
        <v>16</v>
      </c>
      <c r="W33" s="70">
        <f>IFERROR(__xludf.DUMMYFUNCTION("""COMPUTED_VALUE"""),17000.0)</f>
        <v>17000</v>
      </c>
      <c r="X33" s="69">
        <f>IFERROR(__xludf.DUMMYFUNCTION("""COMPUTED_VALUE"""),23.0)</f>
        <v>23</v>
      </c>
      <c r="Y33" s="69">
        <f>IFERROR(__xludf.DUMMYFUNCTION("""COMPUTED_VALUE"""),210.0)</f>
        <v>210</v>
      </c>
      <c r="Z33" s="67">
        <f t="shared" si="1"/>
        <v>1</v>
      </c>
      <c r="AA33" s="67">
        <f t="shared" si="2"/>
        <v>1</v>
      </c>
      <c r="AB33" s="67">
        <f t="shared" si="3"/>
        <v>1</v>
      </c>
      <c r="AC33" s="67">
        <f t="shared" si="4"/>
        <v>1</v>
      </c>
      <c r="AD33" s="67">
        <f t="shared" si="5"/>
        <v>1</v>
      </c>
      <c r="AE33" s="68">
        <f t="shared" si="6"/>
        <v>5</v>
      </c>
      <c r="AF33" s="67">
        <f t="shared" si="7"/>
        <v>1</v>
      </c>
      <c r="AG33" s="67">
        <f t="shared" si="8"/>
        <v>1</v>
      </c>
      <c r="AH33" s="67">
        <f t="shared" si="9"/>
        <v>0</v>
      </c>
      <c r="AI33" s="67">
        <f t="shared" si="10"/>
        <v>0</v>
      </c>
      <c r="AJ33" s="67">
        <f t="shared" si="11"/>
        <v>1</v>
      </c>
      <c r="AK33" s="68">
        <f t="shared" si="12"/>
        <v>3</v>
      </c>
      <c r="AL33" s="67">
        <f t="shared" si="13"/>
        <v>0</v>
      </c>
      <c r="AM33" s="67">
        <f t="shared" si="14"/>
        <v>0</v>
      </c>
      <c r="AN33" s="67">
        <f t="shared" si="15"/>
        <v>1</v>
      </c>
      <c r="AO33" s="67">
        <f t="shared" si="16"/>
        <v>0</v>
      </c>
      <c r="AP33" s="67">
        <f t="shared" si="17"/>
        <v>1</v>
      </c>
      <c r="AQ33" s="68">
        <f t="shared" si="18"/>
        <v>2</v>
      </c>
      <c r="AR33" s="67">
        <f t="shared" si="19"/>
        <v>0</v>
      </c>
      <c r="AS33" s="67">
        <f t="shared" si="20"/>
        <v>0</v>
      </c>
      <c r="AT33" s="67">
        <f t="shared" si="21"/>
        <v>1</v>
      </c>
      <c r="AU33" s="67">
        <f t="shared" si="22"/>
        <v>1</v>
      </c>
      <c r="AV33" s="67">
        <f t="shared" si="23"/>
        <v>1</v>
      </c>
      <c r="AW33" s="68">
        <f t="shared" si="24"/>
        <v>3</v>
      </c>
      <c r="AX33" s="56"/>
      <c r="AY33" s="67">
        <f t="shared" si="25"/>
        <v>5</v>
      </c>
      <c r="AZ33" s="67">
        <f t="shared" si="26"/>
        <v>3</v>
      </c>
      <c r="BA33" s="67">
        <f t="shared" si="27"/>
        <v>2</v>
      </c>
      <c r="BB33" s="67">
        <f t="shared" si="28"/>
        <v>3</v>
      </c>
      <c r="BC33" s="30">
        <f t="shared" si="29"/>
        <v>65</v>
      </c>
    </row>
    <row r="34">
      <c r="A34" s="65">
        <f>IFERROR(__xludf.DUMMYFUNCTION("""COMPUTED_VALUE"""),45967.748476574074)</f>
        <v>45967.74848</v>
      </c>
      <c r="B34" s="69" t="str">
        <f>IFERROR(__xludf.DUMMYFUNCTION("""COMPUTED_VALUE"""),"Naisya Tazqia Qolbi ")</f>
        <v>Naisya Tazqia Qolbi </v>
      </c>
      <c r="C34" s="69" t="str">
        <f>IFERROR(__xludf.DUMMYFUNCTION("""COMPUTED_VALUE"""),"F250001")</f>
        <v>F250001</v>
      </c>
      <c r="D34" s="69" t="str">
        <f>IFERROR(__xludf.DUMMYFUNCTION("""COMPUTED_VALUE"""),"I'dad Lughawiy Putri")</f>
        <v>I'dad Lughawiy Putri</v>
      </c>
      <c r="E34" s="69" t="str">
        <f>IFERROR(__xludf.DUMMYFUNCTION("""COMPUTED_VALUE"""),"Ya")</f>
        <v>Ya</v>
      </c>
      <c r="F34" s="69" t="str">
        <f>IFERROR(__xludf.DUMMYFUNCTION("""COMPUTED_VALUE"""),"Aku bersaksi bahwa tidak ada tuhan yang berhak di sembah kecuali Allah")</f>
        <v>Aku bersaksi bahwa tidak ada tuhan yang berhak di sembah kecuali Allah</v>
      </c>
      <c r="G34" s="69">
        <f>IFERROR(__xludf.DUMMYFUNCTION("""COMPUTED_VALUE"""),3.0)</f>
        <v>3</v>
      </c>
      <c r="H34" s="69" t="str">
        <f>IFERROR(__xludf.DUMMYFUNCTION("""COMPUTED_VALUE"""),"Al Amiin")</f>
        <v>Al Amiin</v>
      </c>
      <c r="I34" s="69" t="str">
        <f>IFERROR(__xludf.DUMMYFUNCTION("""COMPUTED_VALUE"""),"Di atas Arsy")</f>
        <v>Di atas Arsy</v>
      </c>
      <c r="J34" s="69" t="str">
        <f>IFERROR(__xludf.DUMMYFUNCTION("""COMPUTED_VALUE"""),"Ustman Bin Affan")</f>
        <v>Ustman Bin Affan</v>
      </c>
      <c r="K34" s="69">
        <f>IFERROR(__xludf.DUMMYFUNCTION("""COMPUTED_VALUE"""),-1.0)</f>
        <v>-1</v>
      </c>
      <c r="L34" s="69" t="str">
        <f>IFERROR(__xludf.DUMMYFUNCTION("""COMPUTED_VALUE"""),"Satu pohon yang kita tanam sangat bermanfaat bagi masa depan bumi dan manusia.")</f>
        <v>Satu pohon yang kita tanam sangat bermanfaat bagi masa depan bumi dan manusia.</v>
      </c>
      <c r="M34" s="69" t="str">
        <f>IFERROR(__xludf.DUMMYFUNCTION("""COMPUTED_VALUE"""),"mengaji menyegarkan jiwa")</f>
        <v>mengaji menyegarkan jiwa</v>
      </c>
      <c r="N34"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34" s="69" t="str">
        <f>IFERROR(__xludf.DUMMYFUNCTION("""COMPUTED_VALUE"""),"jalan usaha")</f>
        <v>jalan usaha</v>
      </c>
      <c r="P34" s="69" t="str">
        <f>IFERROR(__xludf.DUMMYFUNCTION("""COMPUTED_VALUE"""),"CO2 dan H2O")</f>
        <v>CO2 dan H2O</v>
      </c>
      <c r="Q34" s="69" t="str">
        <f>IFERROR(__xludf.DUMMYFUNCTION("""COMPUTED_VALUE"""),"Fotosintesis")</f>
        <v>Fotosintesis</v>
      </c>
      <c r="R34" s="69" t="str">
        <f>IFERROR(__xludf.DUMMYFUNCTION("""COMPUTED_VALUE"""),"Uap air")</f>
        <v>Uap air</v>
      </c>
      <c r="S34" s="69" t="str">
        <f>IFERROR(__xludf.DUMMYFUNCTION("""COMPUTED_VALUE"""),"A, B, C, dan D")</f>
        <v>A, B, C, dan D</v>
      </c>
      <c r="T34" s="69" t="str">
        <f>IFERROR(__xludf.DUMMYFUNCTION("""COMPUTED_VALUE"""),"Sumber energi dan menetralkan racun")</f>
        <v>Sumber energi dan menetralkan racun</v>
      </c>
      <c r="U34" s="69">
        <f>IFERROR(__xludf.DUMMYFUNCTION("""COMPUTED_VALUE"""),88.0)</f>
        <v>88</v>
      </c>
      <c r="V34" s="69">
        <f>IFERROR(__xludf.DUMMYFUNCTION("""COMPUTED_VALUE"""),7.0)</f>
        <v>7</v>
      </c>
      <c r="W34" s="70">
        <f>IFERROR(__xludf.DUMMYFUNCTION("""COMPUTED_VALUE"""),18000.0)</f>
        <v>18000</v>
      </c>
      <c r="X34" s="69">
        <f>IFERROR(__xludf.DUMMYFUNCTION("""COMPUTED_VALUE"""),17.0)</f>
        <v>17</v>
      </c>
      <c r="Y34" s="69">
        <f>IFERROR(__xludf.DUMMYFUNCTION("""COMPUTED_VALUE"""),210.0)</f>
        <v>210</v>
      </c>
      <c r="Z34" s="67">
        <f t="shared" si="1"/>
        <v>1</v>
      </c>
      <c r="AA34" s="67">
        <f t="shared" si="2"/>
        <v>1</v>
      </c>
      <c r="AB34" s="67">
        <f t="shared" si="3"/>
        <v>0</v>
      </c>
      <c r="AC34" s="67">
        <f t="shared" si="4"/>
        <v>1</v>
      </c>
      <c r="AD34" s="67">
        <f t="shared" si="5"/>
        <v>1</v>
      </c>
      <c r="AE34" s="68">
        <f t="shared" si="6"/>
        <v>4</v>
      </c>
      <c r="AF34" s="67">
        <f t="shared" si="7"/>
        <v>0</v>
      </c>
      <c r="AG34" s="67">
        <f t="shared" si="8"/>
        <v>1</v>
      </c>
      <c r="AH34" s="67">
        <f t="shared" si="9"/>
        <v>0</v>
      </c>
      <c r="AI34" s="67">
        <f t="shared" si="10"/>
        <v>0</v>
      </c>
      <c r="AJ34" s="67">
        <f t="shared" si="11"/>
        <v>0</v>
      </c>
      <c r="AK34" s="68">
        <f t="shared" si="12"/>
        <v>1</v>
      </c>
      <c r="AL34" s="67">
        <f t="shared" si="13"/>
        <v>0</v>
      </c>
      <c r="AM34" s="67">
        <f t="shared" si="14"/>
        <v>1</v>
      </c>
      <c r="AN34" s="67">
        <f t="shared" si="15"/>
        <v>1</v>
      </c>
      <c r="AO34" s="67">
        <f t="shared" si="16"/>
        <v>0</v>
      </c>
      <c r="AP34" s="67">
        <f t="shared" si="17"/>
        <v>0</v>
      </c>
      <c r="AQ34" s="68">
        <f t="shared" si="18"/>
        <v>2</v>
      </c>
      <c r="AR34" s="67">
        <f t="shared" si="19"/>
        <v>0</v>
      </c>
      <c r="AS34" s="67">
        <f t="shared" si="20"/>
        <v>0</v>
      </c>
      <c r="AT34" s="67">
        <f t="shared" si="21"/>
        <v>0</v>
      </c>
      <c r="AU34" s="67">
        <f t="shared" si="22"/>
        <v>0</v>
      </c>
      <c r="AV34" s="67">
        <f t="shared" si="23"/>
        <v>1</v>
      </c>
      <c r="AW34" s="68">
        <f t="shared" si="24"/>
        <v>1</v>
      </c>
      <c r="AX34" s="56"/>
      <c r="AY34" s="67">
        <f t="shared" si="25"/>
        <v>4</v>
      </c>
      <c r="AZ34" s="67">
        <f t="shared" si="26"/>
        <v>1</v>
      </c>
      <c r="BA34" s="67">
        <f t="shared" si="27"/>
        <v>2</v>
      </c>
      <c r="BB34" s="67">
        <f t="shared" si="28"/>
        <v>1</v>
      </c>
      <c r="BC34" s="30">
        <f t="shared" si="29"/>
        <v>40</v>
      </c>
    </row>
    <row r="35">
      <c r="A35" s="65">
        <f>IFERROR(__xludf.DUMMYFUNCTION("""COMPUTED_VALUE"""),45969.411477546295)</f>
        <v>45969.41148</v>
      </c>
      <c r="B35" s="69" t="str">
        <f>IFERROR(__xludf.DUMMYFUNCTION("""COMPUTED_VALUE"""),"Mizan alghifary dizlilar")</f>
        <v>Mizan alghifary dizlilar</v>
      </c>
      <c r="C35" s="69" t="str">
        <f>IFERROR(__xludf.DUMMYFUNCTION("""COMPUTED_VALUE"""),"B250008")</f>
        <v>B250008</v>
      </c>
      <c r="D35" s="69" t="str">
        <f>IFERROR(__xludf.DUMMYFUNCTION("""COMPUTED_VALUE"""),"I'dad Lughawiy Putra")</f>
        <v>I'dad Lughawiy Putra</v>
      </c>
      <c r="E35" s="69" t="str">
        <f>IFERROR(__xludf.DUMMYFUNCTION("""COMPUTED_VALUE"""),"Ya")</f>
        <v>Ya</v>
      </c>
      <c r="F35" s="69" t="str">
        <f>IFERROR(__xludf.DUMMYFUNCTION("""COMPUTED_VALUE"""),"Aku bersaksi bahwa tidak ada tuhan yang berhak di sembah kecuali Allah")</f>
        <v>Aku bersaksi bahwa tidak ada tuhan yang berhak di sembah kecuali Allah</v>
      </c>
      <c r="G35" s="69">
        <f>IFERROR(__xludf.DUMMYFUNCTION("""COMPUTED_VALUE"""),3.0)</f>
        <v>3</v>
      </c>
      <c r="H35" s="69" t="str">
        <f>IFERROR(__xludf.DUMMYFUNCTION("""COMPUTED_VALUE"""),"Amanah")</f>
        <v>Amanah</v>
      </c>
      <c r="I35" s="69" t="str">
        <f>IFERROR(__xludf.DUMMYFUNCTION("""COMPUTED_VALUE"""),"Di atas Arsy")</f>
        <v>Di atas Arsy</v>
      </c>
      <c r="J35" s="69" t="str">
        <f>IFERROR(__xludf.DUMMYFUNCTION("""COMPUTED_VALUE"""),"Ali Bin Abi Thalib")</f>
        <v>Ali Bin Abi Thalib</v>
      </c>
      <c r="K35" s="69" t="str">
        <f>IFERROR(__xludf.DUMMYFUNCTION("""COMPUTED_VALUE"""),"(1) dan (4)")</f>
        <v>(1) dan (4)</v>
      </c>
      <c r="L35" s="69" t="str">
        <f>IFERROR(__xludf.DUMMYFUNCTION("""COMPUTED_VALUE"""),"Satu pohon yang kita tanam sangat bermanfaat bagi masa depan bumi dan manusia.")</f>
        <v>Satu pohon yang kita tanam sangat bermanfaat bagi masa depan bumi dan manusia.</v>
      </c>
      <c r="M35" s="69" t="str">
        <f>IFERROR(__xludf.DUMMYFUNCTION("""COMPUTED_VALUE"""),"mengaji menyegarkan jiwa")</f>
        <v>mengaji menyegarkan jiwa</v>
      </c>
      <c r="N35"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35" s="69" t="str">
        <f>IFERROR(__xludf.DUMMYFUNCTION("""COMPUTED_VALUE"""),"jalan usaha")</f>
        <v>jalan usaha</v>
      </c>
      <c r="P35" s="69" t="str">
        <f>IFERROR(__xludf.DUMMYFUNCTION("""COMPUTED_VALUE"""),"C6H12O6 dan O2")</f>
        <v>C6H12O6 dan O2</v>
      </c>
      <c r="Q35" s="69" t="str">
        <f>IFERROR(__xludf.DUMMYFUNCTION("""COMPUTED_VALUE"""),"Fotosintesis")</f>
        <v>Fotosintesis</v>
      </c>
      <c r="R35" s="69" t="str">
        <f>IFERROR(__xludf.DUMMYFUNCTION("""COMPUTED_VALUE"""),"Uap air")</f>
        <v>Uap air</v>
      </c>
      <c r="S35" s="69" t="str">
        <f>IFERROR(__xludf.DUMMYFUNCTION("""COMPUTED_VALUE"""),"A, D, E, dan K")</f>
        <v>A, D, E, dan K</v>
      </c>
      <c r="T35" s="69" t="str">
        <f>IFERROR(__xludf.DUMMYFUNCTION("""COMPUTED_VALUE"""),"Pengatur suhu tubuh dan sumber energi")</f>
        <v>Pengatur suhu tubuh dan sumber energi</v>
      </c>
      <c r="U35" s="69">
        <f>IFERROR(__xludf.DUMMYFUNCTION("""COMPUTED_VALUE"""),85.0)</f>
        <v>85</v>
      </c>
      <c r="V35" s="69">
        <f>IFERROR(__xludf.DUMMYFUNCTION("""COMPUTED_VALUE"""),13.0)</f>
        <v>13</v>
      </c>
      <c r="W35" s="70">
        <f>IFERROR(__xludf.DUMMYFUNCTION("""COMPUTED_VALUE"""),17000.0)</f>
        <v>17000</v>
      </c>
      <c r="X35" s="69">
        <f>IFERROR(__xludf.DUMMYFUNCTION("""COMPUTED_VALUE"""),23.0)</f>
        <v>23</v>
      </c>
      <c r="Y35" s="69">
        <f>IFERROR(__xludf.DUMMYFUNCTION("""COMPUTED_VALUE"""),210.0)</f>
        <v>210</v>
      </c>
      <c r="Z35" s="67">
        <f t="shared" si="1"/>
        <v>1</v>
      </c>
      <c r="AA35" s="67">
        <f t="shared" si="2"/>
        <v>1</v>
      </c>
      <c r="AB35" s="67">
        <f t="shared" si="3"/>
        <v>1</v>
      </c>
      <c r="AC35" s="67">
        <f t="shared" si="4"/>
        <v>1</v>
      </c>
      <c r="AD35" s="67">
        <f t="shared" si="5"/>
        <v>0</v>
      </c>
      <c r="AE35" s="68">
        <f t="shared" si="6"/>
        <v>4</v>
      </c>
      <c r="AF35" s="67">
        <f t="shared" si="7"/>
        <v>1</v>
      </c>
      <c r="AG35" s="67">
        <f t="shared" si="8"/>
        <v>1</v>
      </c>
      <c r="AH35" s="67">
        <f t="shared" si="9"/>
        <v>0</v>
      </c>
      <c r="AI35" s="67">
        <f t="shared" si="10"/>
        <v>0</v>
      </c>
      <c r="AJ35" s="67">
        <f t="shared" si="11"/>
        <v>0</v>
      </c>
      <c r="AK35" s="68">
        <f t="shared" si="12"/>
        <v>2</v>
      </c>
      <c r="AL35" s="67">
        <f t="shared" si="13"/>
        <v>1</v>
      </c>
      <c r="AM35" s="67">
        <f t="shared" si="14"/>
        <v>1</v>
      </c>
      <c r="AN35" s="67">
        <f t="shared" si="15"/>
        <v>1</v>
      </c>
      <c r="AO35" s="67">
        <f t="shared" si="16"/>
        <v>1</v>
      </c>
      <c r="AP35" s="67">
        <f t="shared" si="17"/>
        <v>0</v>
      </c>
      <c r="AQ35" s="68">
        <f t="shared" si="18"/>
        <v>4</v>
      </c>
      <c r="AR35" s="67">
        <f t="shared" si="19"/>
        <v>1</v>
      </c>
      <c r="AS35" s="67">
        <f t="shared" si="20"/>
        <v>1</v>
      </c>
      <c r="AT35" s="67">
        <f t="shared" si="21"/>
        <v>1</v>
      </c>
      <c r="AU35" s="67">
        <f t="shared" si="22"/>
        <v>1</v>
      </c>
      <c r="AV35" s="67">
        <f t="shared" si="23"/>
        <v>1</v>
      </c>
      <c r="AW35" s="68">
        <f t="shared" si="24"/>
        <v>5</v>
      </c>
      <c r="AX35" s="56"/>
      <c r="AY35" s="67">
        <f t="shared" si="25"/>
        <v>4</v>
      </c>
      <c r="AZ35" s="67">
        <f t="shared" si="26"/>
        <v>2</v>
      </c>
      <c r="BA35" s="67">
        <f t="shared" si="27"/>
        <v>4</v>
      </c>
      <c r="BB35" s="67">
        <f t="shared" si="28"/>
        <v>5</v>
      </c>
      <c r="BC35" s="30">
        <f t="shared" si="29"/>
        <v>75</v>
      </c>
    </row>
    <row r="36">
      <c r="A36" s="65">
        <f>IFERROR(__xludf.DUMMYFUNCTION("""COMPUTED_VALUE"""),45970.69385982639)</f>
        <v>45970.69386</v>
      </c>
      <c r="B36" s="69" t="str">
        <f>IFERROR(__xludf.DUMMYFUNCTION("""COMPUTED_VALUE"""),"Blsma adhi saputra")</f>
        <v>Blsma adhi saputra</v>
      </c>
      <c r="C36" s="69" t="str">
        <f>IFERROR(__xludf.DUMMYFUNCTION("""COMPUTED_VALUE"""),"B250028")</f>
        <v>B250028</v>
      </c>
      <c r="D36" s="69" t="str">
        <f>IFERROR(__xludf.DUMMYFUNCTION("""COMPUTED_VALUE"""),"I'dad Lughawiy Putra")</f>
        <v>I'dad Lughawiy Putra</v>
      </c>
      <c r="E36" s="69" t="str">
        <f>IFERROR(__xludf.DUMMYFUNCTION("""COMPUTED_VALUE"""),"Ya")</f>
        <v>Ya</v>
      </c>
      <c r="F36" s="69" t="str">
        <f>IFERROR(__xludf.DUMMYFUNCTION("""COMPUTED_VALUE"""),"Aku bersaksi bahwa tidak ada tuhan yang berhak di sembah kecuali Allah")</f>
        <v>Aku bersaksi bahwa tidak ada tuhan yang berhak di sembah kecuali Allah</v>
      </c>
      <c r="G36" s="69">
        <f>IFERROR(__xludf.DUMMYFUNCTION("""COMPUTED_VALUE"""),3.0)</f>
        <v>3</v>
      </c>
      <c r="H36" s="69" t="str">
        <f>IFERROR(__xludf.DUMMYFUNCTION("""COMPUTED_VALUE"""),"Al Amiin")</f>
        <v>Al Amiin</v>
      </c>
      <c r="I36" s="69" t="str">
        <f>IFERROR(__xludf.DUMMYFUNCTION("""COMPUTED_VALUE"""),"Di atas Arsy")</f>
        <v>Di atas Arsy</v>
      </c>
      <c r="J36" s="69" t="str">
        <f>IFERROR(__xludf.DUMMYFUNCTION("""COMPUTED_VALUE"""),"Ali Bin Abi Thalib")</f>
        <v>Ali Bin Abi Thalib</v>
      </c>
      <c r="K36" s="69" t="str">
        <f>IFERROR(__xludf.DUMMYFUNCTION("""COMPUTED_VALUE"""),"(1) dan (4)")</f>
        <v>(1) dan (4)</v>
      </c>
      <c r="L36" s="69" t="str">
        <f>IFERROR(__xludf.DUMMYFUNCTION("""COMPUTED_VALUE"""),"Satu pohon yang kita tanam sangat bermanfaat bagi masa depan bumi dan manusia.")</f>
        <v>Satu pohon yang kita tanam sangat bermanfaat bagi masa depan bumi dan manusia.</v>
      </c>
      <c r="M36" s="69" t="str">
        <f>IFERROR(__xludf.DUMMYFUNCTION("""COMPUTED_VALUE"""),"mengaji menyegarkan jiwa")</f>
        <v>mengaji menyegarkan jiwa</v>
      </c>
      <c r="N36"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36" s="69" t="str">
        <f>IFERROR(__xludf.DUMMYFUNCTION("""COMPUTED_VALUE"""),"jalan usaha")</f>
        <v>jalan usaha</v>
      </c>
      <c r="P36" s="69" t="str">
        <f>IFERROR(__xludf.DUMMYFUNCTION("""COMPUTED_VALUE"""),"H2O dan O2")</f>
        <v>H2O dan O2</v>
      </c>
      <c r="Q36" s="69" t="str">
        <f>IFERROR(__xludf.DUMMYFUNCTION("""COMPUTED_VALUE"""),"Fotosintesis")</f>
        <v>Fotosintesis</v>
      </c>
      <c r="R36" s="69" t="str">
        <f>IFERROR(__xludf.DUMMYFUNCTION("""COMPUTED_VALUE"""),"Uap air")</f>
        <v>Uap air</v>
      </c>
      <c r="S36" s="69" t="str">
        <f>IFERROR(__xludf.DUMMYFUNCTION("""COMPUTED_VALUE"""),"A, C, E, dan K")</f>
        <v>A, C, E, dan K</v>
      </c>
      <c r="T36" s="69" t="str">
        <f>IFERROR(__xludf.DUMMYFUNCTION("""COMPUTED_VALUE"""),"Pengatur suhu tubuh dan sumber energi")</f>
        <v>Pengatur suhu tubuh dan sumber energi</v>
      </c>
      <c r="U36" s="69">
        <f>IFERROR(__xludf.DUMMYFUNCTION("""COMPUTED_VALUE"""),85.0)</f>
        <v>85</v>
      </c>
      <c r="V36" s="69">
        <f>IFERROR(__xludf.DUMMYFUNCTION("""COMPUTED_VALUE"""),11.0)</f>
        <v>11</v>
      </c>
      <c r="W36" s="70">
        <f>IFERROR(__xludf.DUMMYFUNCTION("""COMPUTED_VALUE"""),15000.0)</f>
        <v>15000</v>
      </c>
      <c r="X36" s="69">
        <f>IFERROR(__xludf.DUMMYFUNCTION("""COMPUTED_VALUE"""),28.0)</f>
        <v>28</v>
      </c>
      <c r="Y36" s="69">
        <f>IFERROR(__xludf.DUMMYFUNCTION("""COMPUTED_VALUE"""),210.0)</f>
        <v>210</v>
      </c>
      <c r="Z36" s="67">
        <f t="shared" si="1"/>
        <v>1</v>
      </c>
      <c r="AA36" s="67">
        <f t="shared" si="2"/>
        <v>1</v>
      </c>
      <c r="AB36" s="67">
        <f t="shared" si="3"/>
        <v>0</v>
      </c>
      <c r="AC36" s="67">
        <f t="shared" si="4"/>
        <v>1</v>
      </c>
      <c r="AD36" s="67">
        <f t="shared" si="5"/>
        <v>0</v>
      </c>
      <c r="AE36" s="68">
        <f t="shared" si="6"/>
        <v>3</v>
      </c>
      <c r="AF36" s="67">
        <f t="shared" si="7"/>
        <v>1</v>
      </c>
      <c r="AG36" s="67">
        <f t="shared" si="8"/>
        <v>1</v>
      </c>
      <c r="AH36" s="67">
        <f t="shared" si="9"/>
        <v>0</v>
      </c>
      <c r="AI36" s="67">
        <f t="shared" si="10"/>
        <v>0</v>
      </c>
      <c r="AJ36" s="67">
        <f t="shared" si="11"/>
        <v>0</v>
      </c>
      <c r="AK36" s="68">
        <f t="shared" si="12"/>
        <v>2</v>
      </c>
      <c r="AL36" s="67">
        <f t="shared" si="13"/>
        <v>0</v>
      </c>
      <c r="AM36" s="67">
        <f t="shared" si="14"/>
        <v>1</v>
      </c>
      <c r="AN36" s="67">
        <f t="shared" si="15"/>
        <v>1</v>
      </c>
      <c r="AO36" s="67">
        <f t="shared" si="16"/>
        <v>0</v>
      </c>
      <c r="AP36" s="67">
        <f t="shared" si="17"/>
        <v>0</v>
      </c>
      <c r="AQ36" s="68">
        <f t="shared" si="18"/>
        <v>2</v>
      </c>
      <c r="AR36" s="67">
        <f t="shared" si="19"/>
        <v>1</v>
      </c>
      <c r="AS36" s="67">
        <f t="shared" si="20"/>
        <v>0</v>
      </c>
      <c r="AT36" s="67">
        <f t="shared" si="21"/>
        <v>0</v>
      </c>
      <c r="AU36" s="67">
        <f t="shared" si="22"/>
        <v>0</v>
      </c>
      <c r="AV36" s="67">
        <f t="shared" si="23"/>
        <v>1</v>
      </c>
      <c r="AW36" s="68">
        <f t="shared" si="24"/>
        <v>2</v>
      </c>
      <c r="AX36" s="56"/>
      <c r="AY36" s="67">
        <f t="shared" si="25"/>
        <v>3</v>
      </c>
      <c r="AZ36" s="67">
        <f t="shared" si="26"/>
        <v>2</v>
      </c>
      <c r="BA36" s="67">
        <f t="shared" si="27"/>
        <v>2</v>
      </c>
      <c r="BB36" s="67">
        <f t="shared" si="28"/>
        <v>2</v>
      </c>
      <c r="BC36" s="30">
        <f t="shared" si="29"/>
        <v>45</v>
      </c>
    </row>
    <row r="37">
      <c r="A37" s="65">
        <f>IFERROR(__xludf.DUMMYFUNCTION("""COMPUTED_VALUE"""),45971.57935907407)</f>
        <v>45971.57936</v>
      </c>
      <c r="B37" s="69" t="str">
        <f>IFERROR(__xludf.DUMMYFUNCTION("""COMPUTED_VALUE"""),"Muhammad Naufal Rafif Athallah ")</f>
        <v>Muhammad Naufal Rafif Athallah </v>
      </c>
      <c r="C37" s="69" t="str">
        <f>IFERROR(__xludf.DUMMYFUNCTION("""COMPUTED_VALUE"""),"B250016")</f>
        <v>B250016</v>
      </c>
      <c r="D37" s="69" t="str">
        <f>IFERROR(__xludf.DUMMYFUNCTION("""COMPUTED_VALUE"""),"I'dad Lughawiy Putra")</f>
        <v>I'dad Lughawiy Putra</v>
      </c>
      <c r="E37" s="69" t="str">
        <f>IFERROR(__xludf.DUMMYFUNCTION("""COMPUTED_VALUE"""),"Ya")</f>
        <v>Ya</v>
      </c>
      <c r="F37" s="69" t="str">
        <f>IFERROR(__xludf.DUMMYFUNCTION("""COMPUTED_VALUE"""),"Aku bersaksi bahwa tidak ada tuhan yang berhak di sembah kecuali Allah")</f>
        <v>Aku bersaksi bahwa tidak ada tuhan yang berhak di sembah kecuali Allah</v>
      </c>
      <c r="G37" s="69">
        <f>IFERROR(__xludf.DUMMYFUNCTION("""COMPUTED_VALUE"""),3.0)</f>
        <v>3</v>
      </c>
      <c r="H37" s="69" t="str">
        <f>IFERROR(__xludf.DUMMYFUNCTION("""COMPUTED_VALUE"""),"Siddiiq")</f>
        <v>Siddiiq</v>
      </c>
      <c r="I37" s="69" t="str">
        <f>IFERROR(__xludf.DUMMYFUNCTION("""COMPUTED_VALUE"""),"Di atas Arsy")</f>
        <v>Di atas Arsy</v>
      </c>
      <c r="J37" s="69" t="str">
        <f>IFERROR(__xludf.DUMMYFUNCTION("""COMPUTED_VALUE"""),"Ali Bin Abi Thalib")</f>
        <v>Ali Bin Abi Thalib</v>
      </c>
      <c r="K37" s="69" t="str">
        <f>IFERROR(__xludf.DUMMYFUNCTION("""COMPUTED_VALUE"""),"(1) dan (4)")</f>
        <v>(1) dan (4)</v>
      </c>
      <c r="L37" s="69" t="str">
        <f>IFERROR(__xludf.DUMMYFUNCTION("""COMPUTED_VALUE"""),"Satu pohon yang kita tanam sangat bermanfaat bagi masa depan bumi dan manusia.")</f>
        <v>Satu pohon yang kita tanam sangat bermanfaat bagi masa depan bumi dan manusia.</v>
      </c>
      <c r="M37" s="69" t="str">
        <f>IFERROR(__xludf.DUMMYFUNCTION("""COMPUTED_VALUE"""),"mengaji menyegarkan jiwa")</f>
        <v>mengaji menyegarkan jiwa</v>
      </c>
      <c r="N37" s="69" t="str">
        <f>IFERROR(__xludf.DUMMYFUNCTION("""COMPUTED_VALUE"""),"suatu kota pada malam hari yang dalam keadaan sepi pascagerimis")</f>
        <v>suatu kota pada malam hari yang dalam keadaan sepi pascagerimis</v>
      </c>
      <c r="O37" s="69" t="str">
        <f>IFERROR(__xludf.DUMMYFUNCTION("""COMPUTED_VALUE"""),"usaha yang mula-mula sekali")</f>
        <v>usaha yang mula-mula sekali</v>
      </c>
      <c r="P37" s="69" t="str">
        <f>IFERROR(__xludf.DUMMYFUNCTION("""COMPUTED_VALUE"""),"CO2 dan O2")</f>
        <v>CO2 dan O2</v>
      </c>
      <c r="Q37" s="69" t="str">
        <f>IFERROR(__xludf.DUMMYFUNCTION("""COMPUTED_VALUE"""),"Fotosintesis")</f>
        <v>Fotosintesis</v>
      </c>
      <c r="R37" s="69" t="str">
        <f>IFERROR(__xludf.DUMMYFUNCTION("""COMPUTED_VALUE"""),"Karbon dioksida")</f>
        <v>Karbon dioksida</v>
      </c>
      <c r="S37" s="69" t="str">
        <f>IFERROR(__xludf.DUMMYFUNCTION("""COMPUTED_VALUE"""),"A, D, E, dan K")</f>
        <v>A, D, E, dan K</v>
      </c>
      <c r="T37" s="69" t="str">
        <f>IFERROR(__xludf.DUMMYFUNCTION("""COMPUTED_VALUE"""),"Alat pengangkut dan pengatur suhu tubuh")</f>
        <v>Alat pengangkut dan pengatur suhu tubuh</v>
      </c>
      <c r="U37" s="69">
        <f>IFERROR(__xludf.DUMMYFUNCTION("""COMPUTED_VALUE"""),100.0)</f>
        <v>100</v>
      </c>
      <c r="V37" s="69">
        <f>IFERROR(__xludf.DUMMYFUNCTION("""COMPUTED_VALUE"""),18.0)</f>
        <v>18</v>
      </c>
      <c r="W37" s="70">
        <f>IFERROR(__xludf.DUMMYFUNCTION("""COMPUTED_VALUE"""),17000.0)</f>
        <v>17000</v>
      </c>
      <c r="X37" s="69">
        <f>IFERROR(__xludf.DUMMYFUNCTION("""COMPUTED_VALUE"""),28.0)</f>
        <v>28</v>
      </c>
      <c r="Y37" s="69">
        <f>IFERROR(__xludf.DUMMYFUNCTION("""COMPUTED_VALUE"""),210.0)</f>
        <v>210</v>
      </c>
      <c r="Z37" s="67">
        <f t="shared" si="1"/>
        <v>1</v>
      </c>
      <c r="AA37" s="67">
        <f t="shared" si="2"/>
        <v>1</v>
      </c>
      <c r="AB37" s="67">
        <f t="shared" si="3"/>
        <v>0</v>
      </c>
      <c r="AC37" s="67">
        <f t="shared" si="4"/>
        <v>1</v>
      </c>
      <c r="AD37" s="67">
        <f t="shared" si="5"/>
        <v>0</v>
      </c>
      <c r="AE37" s="68">
        <f t="shared" si="6"/>
        <v>3</v>
      </c>
      <c r="AF37" s="67">
        <f t="shared" si="7"/>
        <v>1</v>
      </c>
      <c r="AG37" s="67">
        <f t="shared" si="8"/>
        <v>1</v>
      </c>
      <c r="AH37" s="67">
        <f t="shared" si="9"/>
        <v>0</v>
      </c>
      <c r="AI37" s="67">
        <f t="shared" si="10"/>
        <v>1</v>
      </c>
      <c r="AJ37" s="67">
        <f t="shared" si="11"/>
        <v>1</v>
      </c>
      <c r="AK37" s="68">
        <f t="shared" si="12"/>
        <v>4</v>
      </c>
      <c r="AL37" s="67">
        <f t="shared" si="13"/>
        <v>0</v>
      </c>
      <c r="AM37" s="67">
        <f t="shared" si="14"/>
        <v>1</v>
      </c>
      <c r="AN37" s="67">
        <f t="shared" si="15"/>
        <v>0</v>
      </c>
      <c r="AO37" s="67">
        <f t="shared" si="16"/>
        <v>1</v>
      </c>
      <c r="AP37" s="67">
        <f t="shared" si="17"/>
        <v>1</v>
      </c>
      <c r="AQ37" s="68">
        <f t="shared" si="18"/>
        <v>3</v>
      </c>
      <c r="AR37" s="67">
        <f t="shared" si="19"/>
        <v>0</v>
      </c>
      <c r="AS37" s="67">
        <f t="shared" si="20"/>
        <v>0</v>
      </c>
      <c r="AT37" s="67">
        <f t="shared" si="21"/>
        <v>1</v>
      </c>
      <c r="AU37" s="67">
        <f t="shared" si="22"/>
        <v>0</v>
      </c>
      <c r="AV37" s="67">
        <f t="shared" si="23"/>
        <v>1</v>
      </c>
      <c r="AW37" s="68">
        <f t="shared" si="24"/>
        <v>2</v>
      </c>
      <c r="AX37" s="56"/>
      <c r="AY37" s="67">
        <f t="shared" si="25"/>
        <v>3</v>
      </c>
      <c r="AZ37" s="67">
        <f t="shared" si="26"/>
        <v>4</v>
      </c>
      <c r="BA37" s="67">
        <f t="shared" si="27"/>
        <v>3</v>
      </c>
      <c r="BB37" s="67">
        <f t="shared" si="28"/>
        <v>2</v>
      </c>
      <c r="BC37" s="30">
        <f t="shared" si="29"/>
        <v>60</v>
      </c>
    </row>
    <row r="38">
      <c r="A38" s="65">
        <f>IFERROR(__xludf.DUMMYFUNCTION("""COMPUTED_VALUE"""),45972.891537557865)</f>
        <v>45972.89154</v>
      </c>
      <c r="B38" s="69" t="str">
        <f>IFERROR(__xludf.DUMMYFUNCTION("""COMPUTED_VALUE"""),"Nidaul Husna ")</f>
        <v>Nidaul Husna </v>
      </c>
      <c r="C38" s="69" t="str">
        <f>IFERROR(__xludf.DUMMYFUNCTION("""COMPUTED_VALUE"""),"F250003")</f>
        <v>F250003</v>
      </c>
      <c r="D38" s="69" t="str">
        <f>IFERROR(__xludf.DUMMYFUNCTION("""COMPUTED_VALUE"""),"I'dad Lughawiy Putri")</f>
        <v>I'dad Lughawiy Putri</v>
      </c>
      <c r="E38" s="69" t="str">
        <f>IFERROR(__xludf.DUMMYFUNCTION("""COMPUTED_VALUE"""),"Ya")</f>
        <v>Ya</v>
      </c>
      <c r="F38" s="69" t="str">
        <f>IFERROR(__xludf.DUMMYFUNCTION("""COMPUTED_VALUE"""),"Aku bersaksi bahwa tidak ada tuhan yang berhak di sembah kecuali Allah")</f>
        <v>Aku bersaksi bahwa tidak ada tuhan yang berhak di sembah kecuali Allah</v>
      </c>
      <c r="G38" s="69">
        <f>IFERROR(__xludf.DUMMYFUNCTION("""COMPUTED_VALUE"""),3.0)</f>
        <v>3</v>
      </c>
      <c r="H38" s="69" t="str">
        <f>IFERROR(__xludf.DUMMYFUNCTION("""COMPUTED_VALUE"""),"Amanah")</f>
        <v>Amanah</v>
      </c>
      <c r="I38" s="69" t="str">
        <f>IFERROR(__xludf.DUMMYFUNCTION("""COMPUTED_VALUE"""),"Di atas Arsy")</f>
        <v>Di atas Arsy</v>
      </c>
      <c r="J38" s="69" t="str">
        <f>IFERROR(__xludf.DUMMYFUNCTION("""COMPUTED_VALUE"""),"Ustman Bin Affan")</f>
        <v>Ustman Bin Affan</v>
      </c>
      <c r="K38" s="69" t="str">
        <f>IFERROR(__xludf.DUMMYFUNCTION("""COMPUTED_VALUE"""),"(1) dan (4)")</f>
        <v>(1) dan (4)</v>
      </c>
      <c r="L38" s="69" t="str">
        <f>IFERROR(__xludf.DUMMYFUNCTION("""COMPUTED_VALUE"""),"Satu pohon yang kita tanam sangat bermanfaat bagi masa depan bumi dan manusia.")</f>
        <v>Satu pohon yang kita tanam sangat bermanfaat bagi masa depan bumi dan manusia.</v>
      </c>
      <c r="M38" s="69" t="str">
        <f>IFERROR(__xludf.DUMMYFUNCTION("""COMPUTED_VALUE"""),"mengaji menyegarkan jiwa")</f>
        <v>mengaji menyegarkan jiwa</v>
      </c>
      <c r="N38"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38" s="69" t="str">
        <f>IFERROR(__xludf.DUMMYFUNCTION("""COMPUTED_VALUE"""),"usaha yang mula-mula sekali")</f>
        <v>usaha yang mula-mula sekali</v>
      </c>
      <c r="P38" s="69" t="str">
        <f>IFERROR(__xludf.DUMMYFUNCTION("""COMPUTED_VALUE"""),"CO2 dan H2O")</f>
        <v>CO2 dan H2O</v>
      </c>
      <c r="Q38" s="69" t="str">
        <f>IFERROR(__xludf.DUMMYFUNCTION("""COMPUTED_VALUE"""),"Fotosintesis")</f>
        <v>Fotosintesis</v>
      </c>
      <c r="R38" s="69" t="str">
        <f>IFERROR(__xludf.DUMMYFUNCTION("""COMPUTED_VALUE"""),"Karbon dioksida")</f>
        <v>Karbon dioksida</v>
      </c>
      <c r="S38" s="69" t="str">
        <f>IFERROR(__xludf.DUMMYFUNCTION("""COMPUTED_VALUE"""),"A, D, E, dan K")</f>
        <v>A, D, E, dan K</v>
      </c>
      <c r="T38" s="69" t="str">
        <f>IFERROR(__xludf.DUMMYFUNCTION("""COMPUTED_VALUE"""),"Alat pengangkut dan pengatur suhu tubuh")</f>
        <v>Alat pengangkut dan pengatur suhu tubuh</v>
      </c>
      <c r="U38" s="69">
        <f>IFERROR(__xludf.DUMMYFUNCTION("""COMPUTED_VALUE"""),100.0)</f>
        <v>100</v>
      </c>
      <c r="V38" s="69">
        <f>IFERROR(__xludf.DUMMYFUNCTION("""COMPUTED_VALUE"""),13.0)</f>
        <v>13</v>
      </c>
      <c r="W38" s="70">
        <f>IFERROR(__xludf.DUMMYFUNCTION("""COMPUTED_VALUE"""),16000.0)</f>
        <v>16000</v>
      </c>
      <c r="X38" s="69">
        <f>IFERROR(__xludf.DUMMYFUNCTION("""COMPUTED_VALUE"""),23.0)</f>
        <v>23</v>
      </c>
      <c r="Y38" s="69">
        <f>IFERROR(__xludf.DUMMYFUNCTION("""COMPUTED_VALUE"""),210.0)</f>
        <v>210</v>
      </c>
      <c r="Z38" s="67">
        <f t="shared" si="1"/>
        <v>1</v>
      </c>
      <c r="AA38" s="67">
        <f t="shared" si="2"/>
        <v>1</v>
      </c>
      <c r="AB38" s="67">
        <f t="shared" si="3"/>
        <v>1</v>
      </c>
      <c r="AC38" s="67">
        <f t="shared" si="4"/>
        <v>1</v>
      </c>
      <c r="AD38" s="67">
        <f t="shared" si="5"/>
        <v>1</v>
      </c>
      <c r="AE38" s="68">
        <f t="shared" si="6"/>
        <v>5</v>
      </c>
      <c r="AF38" s="67">
        <f t="shared" si="7"/>
        <v>1</v>
      </c>
      <c r="AG38" s="67">
        <f t="shared" si="8"/>
        <v>1</v>
      </c>
      <c r="AH38" s="67">
        <f t="shared" si="9"/>
        <v>0</v>
      </c>
      <c r="AI38" s="67">
        <f t="shared" si="10"/>
        <v>0</v>
      </c>
      <c r="AJ38" s="67">
        <f t="shared" si="11"/>
        <v>1</v>
      </c>
      <c r="AK38" s="68">
        <f t="shared" si="12"/>
        <v>3</v>
      </c>
      <c r="AL38" s="67">
        <f t="shared" si="13"/>
        <v>0</v>
      </c>
      <c r="AM38" s="67">
        <f t="shared" si="14"/>
        <v>1</v>
      </c>
      <c r="AN38" s="67">
        <f t="shared" si="15"/>
        <v>0</v>
      </c>
      <c r="AO38" s="67">
        <f t="shared" si="16"/>
        <v>1</v>
      </c>
      <c r="AP38" s="67">
        <f t="shared" si="17"/>
        <v>1</v>
      </c>
      <c r="AQ38" s="68">
        <f t="shared" si="18"/>
        <v>3</v>
      </c>
      <c r="AR38" s="67">
        <f t="shared" si="19"/>
        <v>0</v>
      </c>
      <c r="AS38" s="67">
        <f t="shared" si="20"/>
        <v>1</v>
      </c>
      <c r="AT38" s="67">
        <f t="shared" si="21"/>
        <v>0</v>
      </c>
      <c r="AU38" s="67">
        <f t="shared" si="22"/>
        <v>1</v>
      </c>
      <c r="AV38" s="67">
        <f t="shared" si="23"/>
        <v>1</v>
      </c>
      <c r="AW38" s="68">
        <f t="shared" si="24"/>
        <v>3</v>
      </c>
      <c r="AX38" s="56"/>
      <c r="AY38" s="67">
        <f t="shared" si="25"/>
        <v>5</v>
      </c>
      <c r="AZ38" s="67">
        <f t="shared" si="26"/>
        <v>3</v>
      </c>
      <c r="BA38" s="67">
        <f t="shared" si="27"/>
        <v>3</v>
      </c>
      <c r="BB38" s="67">
        <f t="shared" si="28"/>
        <v>3</v>
      </c>
      <c r="BC38" s="30">
        <f t="shared" si="29"/>
        <v>70</v>
      </c>
    </row>
    <row r="39">
      <c r="A39" s="65">
        <f>IFERROR(__xludf.DUMMYFUNCTION("""COMPUTED_VALUE"""),45973.39626497685)</f>
        <v>45973.39626</v>
      </c>
      <c r="B39" s="69" t="str">
        <f>IFERROR(__xludf.DUMMYFUNCTION("""COMPUTED_VALUE"""),"Zakaria reynaldo")</f>
        <v>Zakaria reynaldo</v>
      </c>
      <c r="C39" s="69" t="str">
        <f>IFERROR(__xludf.DUMMYFUNCTION("""COMPUTED_VALUE"""),"C0000")</f>
        <v>C0000</v>
      </c>
      <c r="D39" s="69" t="str">
        <f>IFERROR(__xludf.DUMMYFUNCTION("""COMPUTED_VALUE"""),"I'dad Lughawiy Putra")</f>
        <v>I'dad Lughawiy Putra</v>
      </c>
      <c r="E39" s="69" t="str">
        <f>IFERROR(__xludf.DUMMYFUNCTION("""COMPUTED_VALUE"""),"Ya")</f>
        <v>Ya</v>
      </c>
      <c r="F39" s="69" t="str">
        <f>IFERROR(__xludf.DUMMYFUNCTION("""COMPUTED_VALUE"""),"Aku bersaksi bahwa tidak ada tuhan yang berhak di sembah kecuali Allah")</f>
        <v>Aku bersaksi bahwa tidak ada tuhan yang berhak di sembah kecuali Allah</v>
      </c>
      <c r="G39" s="69">
        <f>IFERROR(__xludf.DUMMYFUNCTION("""COMPUTED_VALUE"""),3.0)</f>
        <v>3</v>
      </c>
      <c r="H39" s="69" t="str">
        <f>IFERROR(__xludf.DUMMYFUNCTION("""COMPUTED_VALUE"""),"Siddiiq")</f>
        <v>Siddiiq</v>
      </c>
      <c r="I39" s="69" t="str">
        <f>IFERROR(__xludf.DUMMYFUNCTION("""COMPUTED_VALUE"""),"Di atas Arsy")</f>
        <v>Di atas Arsy</v>
      </c>
      <c r="J39" s="69" t="str">
        <f>IFERROR(__xludf.DUMMYFUNCTION("""COMPUTED_VALUE"""),"Ustman Bin Affan")</f>
        <v>Ustman Bin Affan</v>
      </c>
      <c r="K39" s="69" t="str">
        <f>IFERROR(__xludf.DUMMYFUNCTION("""COMPUTED_VALUE"""),"(1) dan (3)")</f>
        <v>(1) dan (3)</v>
      </c>
      <c r="L39" s="69" t="str">
        <f>IFERROR(__xludf.DUMMYFUNCTION("""COMPUTED_VALUE"""),"Bumi ini akan indah jika pohon tidak ditebang.")</f>
        <v>Bumi ini akan indah jika pohon tidak ditebang.</v>
      </c>
      <c r="M39" s="69" t="str">
        <f>IFERROR(__xludf.DUMMYFUNCTION("""COMPUTED_VALUE"""),"mengaji menyegarkan jiwa")</f>
        <v>mengaji menyegarkan jiwa</v>
      </c>
      <c r="N39" s="69" t="str">
        <f>IFERROR(__xludf.DUMMYFUNCTION("""COMPUTED_VALUE"""),"suasana malam hari yang sangat sunyi karena sebentar lagi akan turun hujan yang lebat")</f>
        <v>suasana malam hari yang sangat sunyi karena sebentar lagi akan turun hujan yang lebat</v>
      </c>
      <c r="O39" s="69" t="str">
        <f>IFERROR(__xludf.DUMMYFUNCTION("""COMPUTED_VALUE"""),"sesuatu yang sudah ditiru")</f>
        <v>sesuatu yang sudah ditiru</v>
      </c>
      <c r="P39" s="69" t="str">
        <f>IFERROR(__xludf.DUMMYFUNCTION("""COMPUTED_VALUE"""),"C6H12O6 dan O2")</f>
        <v>C6H12O6 dan O2</v>
      </c>
      <c r="Q39" s="69" t="str">
        <f>IFERROR(__xludf.DUMMYFUNCTION("""COMPUTED_VALUE"""),"Pernapasan")</f>
        <v>Pernapasan</v>
      </c>
      <c r="R39" s="69" t="str">
        <f>IFERROR(__xludf.DUMMYFUNCTION("""COMPUTED_VALUE"""),"Oksigen")</f>
        <v>Oksigen</v>
      </c>
      <c r="S39" s="69" t="str">
        <f>IFERROR(__xludf.DUMMYFUNCTION("""COMPUTED_VALUE"""),"A, B,D, dan E")</f>
        <v>A, B,D, dan E</v>
      </c>
      <c r="T39" s="69" t="str">
        <f>IFERROR(__xludf.DUMMYFUNCTION("""COMPUTED_VALUE"""),"Alat pengangkut dan pengatur suhu tubuh")</f>
        <v>Alat pengangkut dan pengatur suhu tubuh</v>
      </c>
      <c r="U39" s="69">
        <f>IFERROR(__xludf.DUMMYFUNCTION("""COMPUTED_VALUE"""),96.0)</f>
        <v>96</v>
      </c>
      <c r="V39" s="69">
        <f>IFERROR(__xludf.DUMMYFUNCTION("""COMPUTED_VALUE"""),11.0)</f>
        <v>11</v>
      </c>
      <c r="W39" s="70">
        <f>IFERROR(__xludf.DUMMYFUNCTION("""COMPUTED_VALUE"""),17000.0)</f>
        <v>17000</v>
      </c>
      <c r="X39" s="69">
        <f>IFERROR(__xludf.DUMMYFUNCTION("""COMPUTED_VALUE"""),36.0)</f>
        <v>36</v>
      </c>
      <c r="Y39" s="69">
        <f>IFERROR(__xludf.DUMMYFUNCTION("""COMPUTED_VALUE"""),140.0)</f>
        <v>140</v>
      </c>
      <c r="Z39" s="67">
        <f t="shared" si="1"/>
        <v>1</v>
      </c>
      <c r="AA39" s="67">
        <f t="shared" si="2"/>
        <v>1</v>
      </c>
      <c r="AB39" s="67">
        <f t="shared" si="3"/>
        <v>0</v>
      </c>
      <c r="AC39" s="67">
        <f t="shared" si="4"/>
        <v>1</v>
      </c>
      <c r="AD39" s="67">
        <f t="shared" si="5"/>
        <v>1</v>
      </c>
      <c r="AE39" s="68">
        <f t="shared" si="6"/>
        <v>4</v>
      </c>
      <c r="AF39" s="67">
        <f t="shared" si="7"/>
        <v>0</v>
      </c>
      <c r="AG39" s="67">
        <f t="shared" si="8"/>
        <v>0</v>
      </c>
      <c r="AH39" s="67">
        <f t="shared" si="9"/>
        <v>0</v>
      </c>
      <c r="AI39" s="67">
        <f t="shared" si="10"/>
        <v>0</v>
      </c>
      <c r="AJ39" s="67">
        <f t="shared" si="11"/>
        <v>0</v>
      </c>
      <c r="AK39" s="68">
        <f t="shared" si="12"/>
        <v>0</v>
      </c>
      <c r="AL39" s="67">
        <f t="shared" si="13"/>
        <v>1</v>
      </c>
      <c r="AM39" s="67">
        <f t="shared" si="14"/>
        <v>0</v>
      </c>
      <c r="AN39" s="67">
        <f t="shared" si="15"/>
        <v>0</v>
      </c>
      <c r="AO39" s="67">
        <f t="shared" si="16"/>
        <v>0</v>
      </c>
      <c r="AP39" s="67">
        <f t="shared" si="17"/>
        <v>1</v>
      </c>
      <c r="AQ39" s="68">
        <f t="shared" si="18"/>
        <v>2</v>
      </c>
      <c r="AR39" s="67">
        <f t="shared" si="19"/>
        <v>0</v>
      </c>
      <c r="AS39" s="67">
        <f t="shared" si="20"/>
        <v>0</v>
      </c>
      <c r="AT39" s="67">
        <f t="shared" si="21"/>
        <v>1</v>
      </c>
      <c r="AU39" s="67">
        <f t="shared" si="22"/>
        <v>0</v>
      </c>
      <c r="AV39" s="67">
        <f t="shared" si="23"/>
        <v>0</v>
      </c>
      <c r="AW39" s="68">
        <f t="shared" si="24"/>
        <v>1</v>
      </c>
      <c r="AX39" s="56"/>
      <c r="AY39" s="67">
        <f t="shared" si="25"/>
        <v>4</v>
      </c>
      <c r="AZ39" s="67">
        <f t="shared" si="26"/>
        <v>0</v>
      </c>
      <c r="BA39" s="67">
        <f t="shared" si="27"/>
        <v>2</v>
      </c>
      <c r="BB39" s="67">
        <f t="shared" si="28"/>
        <v>1</v>
      </c>
      <c r="BC39" s="30">
        <f t="shared" si="29"/>
        <v>35</v>
      </c>
    </row>
    <row r="40">
      <c r="A40" s="72">
        <f>IFERROR(__xludf.DUMMYFUNCTION("""COMPUTED_VALUE"""),45973.86429871528)</f>
        <v>45973.8643</v>
      </c>
      <c r="B40" s="73" t="str">
        <f>IFERROR(__xludf.DUMMYFUNCTION("""COMPUTED_VALUE"""),"Clarisa aqila putri")</f>
        <v>Clarisa aqila putri</v>
      </c>
      <c r="C40" s="73" t="str">
        <f>IFERROR(__xludf.DUMMYFUNCTION("""COMPUTED_VALUE"""),"D250030")</f>
        <v>D250030</v>
      </c>
      <c r="D40" s="73" t="str">
        <f>IFERROR(__xludf.DUMMYFUNCTION("""COMPUTED_VALUE"""),"I'dad Lughawiy Putri")</f>
        <v>I'dad Lughawiy Putri</v>
      </c>
      <c r="E40" s="73" t="str">
        <f>IFERROR(__xludf.DUMMYFUNCTION("""COMPUTED_VALUE"""),"Ya")</f>
        <v>Ya</v>
      </c>
      <c r="F40" s="73" t="str">
        <f>IFERROR(__xludf.DUMMYFUNCTION("""COMPUTED_VALUE"""),"Aku bersaksi bahwa tidak ada tuhan yang berhak di sembah kecuali Allah")</f>
        <v>Aku bersaksi bahwa tidak ada tuhan yang berhak di sembah kecuali Allah</v>
      </c>
      <c r="G40" s="73">
        <f>IFERROR(__xludf.DUMMYFUNCTION("""COMPUTED_VALUE"""),3.0)</f>
        <v>3</v>
      </c>
      <c r="H40" s="73" t="str">
        <f>IFERROR(__xludf.DUMMYFUNCTION("""COMPUTED_VALUE"""),"Amanah")</f>
        <v>Amanah</v>
      </c>
      <c r="I40" s="73" t="str">
        <f>IFERROR(__xludf.DUMMYFUNCTION("""COMPUTED_VALUE"""),"Di mana-mana")</f>
        <v>Di mana-mana</v>
      </c>
      <c r="J40" s="73" t="str">
        <f>IFERROR(__xludf.DUMMYFUNCTION("""COMPUTED_VALUE"""),"Ustman Bin Affan")</f>
        <v>Ustman Bin Affan</v>
      </c>
      <c r="K40" s="73" t="str">
        <f>IFERROR(__xludf.DUMMYFUNCTION("""COMPUTED_VALUE"""),"(1) dan (4)")</f>
        <v>(1) dan (4)</v>
      </c>
      <c r="L40" s="73" t="str">
        <f>IFERROR(__xludf.DUMMYFUNCTION("""COMPUTED_VALUE"""),"Mari kita menanam pohon bersama-sama.")</f>
        <v>Mari kita menanam pohon bersama-sama.</v>
      </c>
      <c r="M40" s="73" t="str">
        <f>IFERROR(__xludf.DUMMYFUNCTION("""COMPUTED_VALUE"""),"mengaji seperti jantung")</f>
        <v>mengaji seperti jantung</v>
      </c>
      <c r="N40" s="73"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40" s="73" t="str">
        <f>IFERROR(__xludf.DUMMYFUNCTION("""COMPUTED_VALUE"""),"usaha yang mula-mula sekali")</f>
        <v>usaha yang mula-mula sekali</v>
      </c>
      <c r="P40" s="73" t="str">
        <f>IFERROR(__xludf.DUMMYFUNCTION("""COMPUTED_VALUE"""),"C6H12O6 dan O2")</f>
        <v>C6H12O6 dan O2</v>
      </c>
      <c r="Q40" s="73" t="str">
        <f>IFERROR(__xludf.DUMMYFUNCTION("""COMPUTED_VALUE"""),"Fotosintesis")</f>
        <v>Fotosintesis</v>
      </c>
      <c r="R40" s="73" t="str">
        <f>IFERROR(__xludf.DUMMYFUNCTION("""COMPUTED_VALUE"""),"Uap air")</f>
        <v>Uap air</v>
      </c>
      <c r="S40" s="73" t="str">
        <f>IFERROR(__xludf.DUMMYFUNCTION("""COMPUTED_VALUE"""),"A, D, E, dan K")</f>
        <v>A, D, E, dan K</v>
      </c>
      <c r="T40" s="73" t="str">
        <f>IFERROR(__xludf.DUMMYFUNCTION("""COMPUTED_VALUE"""),"Alat pengangkut dan pengatur suhu tubuh")</f>
        <v>Alat pengangkut dan pengatur suhu tubuh</v>
      </c>
      <c r="U40" s="73">
        <f>IFERROR(__xludf.DUMMYFUNCTION("""COMPUTED_VALUE"""),85.0)</f>
        <v>85</v>
      </c>
      <c r="V40" s="73">
        <f>IFERROR(__xludf.DUMMYFUNCTION("""COMPUTED_VALUE"""),13.0)</f>
        <v>13</v>
      </c>
      <c r="W40" s="74">
        <f>IFERROR(__xludf.DUMMYFUNCTION("""COMPUTED_VALUE"""),17000.0)</f>
        <v>17000</v>
      </c>
      <c r="X40" s="73">
        <f>IFERROR(__xludf.DUMMYFUNCTION("""COMPUTED_VALUE"""),23.0)</f>
        <v>23</v>
      </c>
      <c r="Y40" s="73">
        <f>IFERROR(__xludf.DUMMYFUNCTION("""COMPUTED_VALUE"""),210.0)</f>
        <v>210</v>
      </c>
      <c r="Z40" s="75">
        <f t="shared" si="1"/>
        <v>1</v>
      </c>
      <c r="AA40" s="75">
        <f t="shared" si="2"/>
        <v>1</v>
      </c>
      <c r="AB40" s="75">
        <f t="shared" si="3"/>
        <v>1</v>
      </c>
      <c r="AC40" s="75">
        <f t="shared" si="4"/>
        <v>0</v>
      </c>
      <c r="AD40" s="75">
        <f t="shared" si="5"/>
        <v>1</v>
      </c>
      <c r="AE40" s="76">
        <f t="shared" si="6"/>
        <v>4</v>
      </c>
      <c r="AF40" s="75">
        <f t="shared" si="7"/>
        <v>1</v>
      </c>
      <c r="AG40" s="75">
        <f t="shared" si="8"/>
        <v>0</v>
      </c>
      <c r="AH40" s="75">
        <f t="shared" si="9"/>
        <v>1</v>
      </c>
      <c r="AI40" s="75">
        <f t="shared" si="10"/>
        <v>0</v>
      </c>
      <c r="AJ40" s="75">
        <f t="shared" si="11"/>
        <v>1</v>
      </c>
      <c r="AK40" s="76">
        <f t="shared" si="12"/>
        <v>3</v>
      </c>
      <c r="AL40" s="75">
        <f t="shared" si="13"/>
        <v>1</v>
      </c>
      <c r="AM40" s="75">
        <f t="shared" si="14"/>
        <v>1</v>
      </c>
      <c r="AN40" s="75">
        <f t="shared" si="15"/>
        <v>1</v>
      </c>
      <c r="AO40" s="75">
        <f t="shared" si="16"/>
        <v>1</v>
      </c>
      <c r="AP40" s="75">
        <f t="shared" si="17"/>
        <v>1</v>
      </c>
      <c r="AQ40" s="76">
        <f t="shared" si="18"/>
        <v>5</v>
      </c>
      <c r="AR40" s="75">
        <f t="shared" si="19"/>
        <v>1</v>
      </c>
      <c r="AS40" s="75">
        <f t="shared" si="20"/>
        <v>1</v>
      </c>
      <c r="AT40" s="75">
        <f t="shared" si="21"/>
        <v>1</v>
      </c>
      <c r="AU40" s="75">
        <f t="shared" si="22"/>
        <v>1</v>
      </c>
      <c r="AV40" s="75">
        <f t="shared" si="23"/>
        <v>1</v>
      </c>
      <c r="AW40" s="76">
        <f t="shared" si="24"/>
        <v>5</v>
      </c>
      <c r="AX40" s="77"/>
      <c r="AY40" s="75">
        <f t="shared" si="25"/>
        <v>4</v>
      </c>
      <c r="AZ40" s="75">
        <f t="shared" si="26"/>
        <v>3</v>
      </c>
      <c r="BA40" s="75">
        <f t="shared" si="27"/>
        <v>5</v>
      </c>
      <c r="BB40" s="75">
        <f t="shared" si="28"/>
        <v>5</v>
      </c>
      <c r="BC40" s="49">
        <f t="shared" si="29"/>
        <v>85</v>
      </c>
    </row>
    <row r="41">
      <c r="A41" s="65">
        <f>IFERROR(__xludf.DUMMYFUNCTION("""COMPUTED_VALUE"""),45988.86560907407)</f>
        <v>45988.86561</v>
      </c>
      <c r="B41" s="69" t="str">
        <f>IFERROR(__xludf.DUMMYFUNCTION("""COMPUTED_VALUE"""),"Kimora amanda putri")</f>
        <v>Kimora amanda putri</v>
      </c>
      <c r="C41" s="69" t="str">
        <f>IFERROR(__xludf.DUMMYFUNCTION("""COMPUTED_VALUE"""),"D250033")</f>
        <v>D250033</v>
      </c>
      <c r="D41" s="69" t="str">
        <f>IFERROR(__xludf.DUMMYFUNCTION("""COMPUTED_VALUE"""),"I'dad Lughawiy Putri")</f>
        <v>I'dad Lughawiy Putri</v>
      </c>
      <c r="E41" s="69" t="str">
        <f>IFERROR(__xludf.DUMMYFUNCTION("""COMPUTED_VALUE"""),"Ya")</f>
        <v>Ya</v>
      </c>
      <c r="F41" s="69" t="str">
        <f>IFERROR(__xludf.DUMMYFUNCTION("""COMPUTED_VALUE"""),"Aku bersaksi bahwa Muhammad adalah utusan Allah")</f>
        <v>Aku bersaksi bahwa Muhammad adalah utusan Allah</v>
      </c>
      <c r="G41" s="69">
        <f>IFERROR(__xludf.DUMMYFUNCTION("""COMPUTED_VALUE"""),4.0)</f>
        <v>4</v>
      </c>
      <c r="H41" s="69" t="str">
        <f>IFERROR(__xludf.DUMMYFUNCTION("""COMPUTED_VALUE"""),"Amanah")</f>
        <v>Amanah</v>
      </c>
      <c r="I41" s="69" t="str">
        <f>IFERROR(__xludf.DUMMYFUNCTION("""COMPUTED_VALUE"""),"Di mana-mana")</f>
        <v>Di mana-mana</v>
      </c>
      <c r="J41" s="69" t="str">
        <f>IFERROR(__xludf.DUMMYFUNCTION("""COMPUTED_VALUE"""),"Ustman Bin Affan")</f>
        <v>Ustman Bin Affan</v>
      </c>
      <c r="K41" s="69">
        <f>IFERROR(__xludf.DUMMYFUNCTION("""COMPUTED_VALUE"""),-2.0)</f>
        <v>-2</v>
      </c>
      <c r="L41" s="69" t="str">
        <f>IFERROR(__xludf.DUMMYFUNCTION("""COMPUTED_VALUE"""),"Satu pohon yang kita tanam sangat bermanfaat bagi masa depan bumi dan manusia.")</f>
        <v>Satu pohon yang kita tanam sangat bermanfaat bagi masa depan bumi dan manusia.</v>
      </c>
      <c r="M41" s="69" t="str">
        <f>IFERROR(__xludf.DUMMYFUNCTION("""COMPUTED_VALUE"""),"mengaji menyegarkan jiwa")</f>
        <v>mengaji menyegarkan jiwa</v>
      </c>
      <c r="N41"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41" s="69" t="str">
        <f>IFERROR(__xludf.DUMMYFUNCTION("""COMPUTED_VALUE"""),"jalan usaha")</f>
        <v>jalan usaha</v>
      </c>
      <c r="P41" s="69" t="str">
        <f>IFERROR(__xludf.DUMMYFUNCTION("""COMPUTED_VALUE"""),"CO2 dan H2O")</f>
        <v>CO2 dan H2O</v>
      </c>
      <c r="Q41" s="69" t="str">
        <f>IFERROR(__xludf.DUMMYFUNCTION("""COMPUTED_VALUE"""),"Pernapasan")</f>
        <v>Pernapasan</v>
      </c>
      <c r="R41" s="69" t="str">
        <f>IFERROR(__xludf.DUMMYFUNCTION("""COMPUTED_VALUE"""),"Uap air")</f>
        <v>Uap air</v>
      </c>
      <c r="S41" s="69" t="str">
        <f>IFERROR(__xludf.DUMMYFUNCTION("""COMPUTED_VALUE"""),"A, C, E, dan K")</f>
        <v>A, C, E, dan K</v>
      </c>
      <c r="T41" s="69" t="str">
        <f>IFERROR(__xludf.DUMMYFUNCTION("""COMPUTED_VALUE"""),"Pengatur suhu tubuh dan sumber energi")</f>
        <v>Pengatur suhu tubuh dan sumber energi</v>
      </c>
      <c r="U41" s="69">
        <f>IFERROR(__xludf.DUMMYFUNCTION("""COMPUTED_VALUE"""),100.0)</f>
        <v>100</v>
      </c>
      <c r="V41" s="69">
        <f>IFERROR(__xludf.DUMMYFUNCTION("""COMPUTED_VALUE"""),7.0)</f>
        <v>7</v>
      </c>
      <c r="W41" s="70">
        <f>IFERROR(__xludf.DUMMYFUNCTION("""COMPUTED_VALUE"""),16000.0)</f>
        <v>16000</v>
      </c>
      <c r="X41" s="69">
        <f>IFERROR(__xludf.DUMMYFUNCTION("""COMPUTED_VALUE"""),28.0)</f>
        <v>28</v>
      </c>
      <c r="Y41" s="69">
        <f>IFERROR(__xludf.DUMMYFUNCTION("""COMPUTED_VALUE"""),210.0)</f>
        <v>210</v>
      </c>
      <c r="Z41" s="67">
        <f t="shared" si="1"/>
        <v>0</v>
      </c>
      <c r="AA41" s="67">
        <f t="shared" si="2"/>
        <v>0</v>
      </c>
      <c r="AB41" s="67">
        <f t="shared" si="3"/>
        <v>1</v>
      </c>
      <c r="AC41" s="67">
        <f t="shared" si="4"/>
        <v>0</v>
      </c>
      <c r="AD41" s="67">
        <f t="shared" si="5"/>
        <v>1</v>
      </c>
      <c r="AE41" s="68">
        <f t="shared" si="6"/>
        <v>2</v>
      </c>
      <c r="AF41" s="67">
        <f t="shared" si="7"/>
        <v>0</v>
      </c>
      <c r="AG41" s="67">
        <f t="shared" si="8"/>
        <v>1</v>
      </c>
      <c r="AH41" s="67">
        <f t="shared" si="9"/>
        <v>0</v>
      </c>
      <c r="AI41" s="67">
        <f t="shared" si="10"/>
        <v>0</v>
      </c>
      <c r="AJ41" s="67">
        <f t="shared" si="11"/>
        <v>0</v>
      </c>
      <c r="AK41" s="68">
        <f t="shared" si="12"/>
        <v>1</v>
      </c>
      <c r="AL41" s="67">
        <f t="shared" si="13"/>
        <v>0</v>
      </c>
      <c r="AM41" s="67">
        <f t="shared" si="14"/>
        <v>0</v>
      </c>
      <c r="AN41" s="67">
        <f t="shared" si="15"/>
        <v>1</v>
      </c>
      <c r="AO41" s="67">
        <f t="shared" si="16"/>
        <v>0</v>
      </c>
      <c r="AP41" s="67">
        <f t="shared" si="17"/>
        <v>0</v>
      </c>
      <c r="AQ41" s="68">
        <f t="shared" si="18"/>
        <v>1</v>
      </c>
      <c r="AR41" s="67">
        <f t="shared" si="19"/>
        <v>0</v>
      </c>
      <c r="AS41" s="67">
        <f t="shared" si="20"/>
        <v>0</v>
      </c>
      <c r="AT41" s="67">
        <f t="shared" si="21"/>
        <v>0</v>
      </c>
      <c r="AU41" s="67">
        <f t="shared" si="22"/>
        <v>0</v>
      </c>
      <c r="AV41" s="67">
        <f t="shared" si="23"/>
        <v>1</v>
      </c>
      <c r="AW41" s="68">
        <f t="shared" si="24"/>
        <v>1</v>
      </c>
      <c r="AX41" s="56"/>
      <c r="AY41" s="67">
        <f t="shared" si="25"/>
        <v>2</v>
      </c>
      <c r="AZ41" s="67">
        <f t="shared" si="26"/>
        <v>1</v>
      </c>
      <c r="BA41" s="67">
        <f t="shared" si="27"/>
        <v>1</v>
      </c>
      <c r="BB41" s="67">
        <f t="shared" si="28"/>
        <v>1</v>
      </c>
      <c r="BC41" s="30">
        <f t="shared" si="29"/>
        <v>25</v>
      </c>
    </row>
    <row r="42">
      <c r="A42" s="65">
        <f>IFERROR(__xludf.DUMMYFUNCTION("""COMPUTED_VALUE"""),45991.621116319446)</f>
        <v>45991.62112</v>
      </c>
      <c r="B42" s="69" t="str">
        <f>IFERROR(__xludf.DUMMYFUNCTION("""COMPUTED_VALUE"""),"Nada Faizah muttaqiyah ")</f>
        <v>Nada Faizah muttaqiyah </v>
      </c>
      <c r="C42" s="69" t="str">
        <f>IFERROR(__xludf.DUMMYFUNCTION("""COMPUTED_VALUE"""),"E250010")</f>
        <v>E250010</v>
      </c>
      <c r="D42" s="69" t="str">
        <f>IFERROR(__xludf.DUMMYFUNCTION("""COMPUTED_VALUE"""),"I'dad Lughawiy Putri")</f>
        <v>I'dad Lughawiy Putri</v>
      </c>
      <c r="E42" s="69" t="str">
        <f>IFERROR(__xludf.DUMMYFUNCTION("""COMPUTED_VALUE"""),"Ya")</f>
        <v>Ya</v>
      </c>
      <c r="F42" s="69" t="str">
        <f>IFERROR(__xludf.DUMMYFUNCTION("""COMPUTED_VALUE"""),"Aku bersaksi bahwa tidak ada tuhan yang berhak di sembah kecuali Allah")</f>
        <v>Aku bersaksi bahwa tidak ada tuhan yang berhak di sembah kecuali Allah</v>
      </c>
      <c r="G42" s="69">
        <f>IFERROR(__xludf.DUMMYFUNCTION("""COMPUTED_VALUE"""),3.0)</f>
        <v>3</v>
      </c>
      <c r="H42" s="69" t="str">
        <f>IFERROR(__xludf.DUMMYFUNCTION("""COMPUTED_VALUE"""),"Amanah")</f>
        <v>Amanah</v>
      </c>
      <c r="I42" s="69" t="str">
        <f>IFERROR(__xludf.DUMMYFUNCTION("""COMPUTED_VALUE"""),"Di atas Arsy")</f>
        <v>Di atas Arsy</v>
      </c>
      <c r="J42" s="69" t="str">
        <f>IFERROR(__xludf.DUMMYFUNCTION("""COMPUTED_VALUE"""),"Abu Bakar Ash Shiddiq")</f>
        <v>Abu Bakar Ash Shiddiq</v>
      </c>
      <c r="K42" s="69">
        <f>IFERROR(__xludf.DUMMYFUNCTION("""COMPUTED_VALUE"""),-1.0)</f>
        <v>-1</v>
      </c>
      <c r="L42" s="69" t="str">
        <f>IFERROR(__xludf.DUMMYFUNCTION("""COMPUTED_VALUE"""),"Satu pohon yang kita tanam sangat bermanfaat bagi masa depan bumi dan manusia.")</f>
        <v>Satu pohon yang kita tanam sangat bermanfaat bagi masa depan bumi dan manusia.</v>
      </c>
      <c r="M42" s="69" t="str">
        <f>IFERROR(__xludf.DUMMYFUNCTION("""COMPUTED_VALUE"""),"mengaji menyegarkan jiwa")</f>
        <v>mengaji menyegarkan jiwa</v>
      </c>
      <c r="N42"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42" s="69" t="str">
        <f>IFERROR(__xludf.DUMMYFUNCTION("""COMPUTED_VALUE"""),"usaha yang mula-mula sekali")</f>
        <v>usaha yang mula-mula sekali</v>
      </c>
      <c r="P42" s="69" t="str">
        <f>IFERROR(__xludf.DUMMYFUNCTION("""COMPUTED_VALUE"""),"H2O dan O2")</f>
        <v>H2O dan O2</v>
      </c>
      <c r="Q42" s="69" t="str">
        <f>IFERROR(__xludf.DUMMYFUNCTION("""COMPUTED_VALUE"""),"Fotosintesis")</f>
        <v>Fotosintesis</v>
      </c>
      <c r="R42" s="69" t="str">
        <f>IFERROR(__xludf.DUMMYFUNCTION("""COMPUTED_VALUE"""),"Karbon dioksida")</f>
        <v>Karbon dioksida</v>
      </c>
      <c r="S42" s="69" t="str">
        <f>IFERROR(__xludf.DUMMYFUNCTION("""COMPUTED_VALUE"""),"A, C, E, dan K")</f>
        <v>A, C, E, dan K</v>
      </c>
      <c r="T42" s="69" t="str">
        <f>IFERROR(__xludf.DUMMYFUNCTION("""COMPUTED_VALUE"""),"Menentralkan racun dan sumber energi")</f>
        <v>Menentralkan racun dan sumber energi</v>
      </c>
      <c r="U42" s="69">
        <f>IFERROR(__xludf.DUMMYFUNCTION("""COMPUTED_VALUE"""),100.0)</f>
        <v>100</v>
      </c>
      <c r="V42" s="69">
        <f>IFERROR(__xludf.DUMMYFUNCTION("""COMPUTED_VALUE"""),13.0)</f>
        <v>13</v>
      </c>
      <c r="W42" s="70">
        <f>IFERROR(__xludf.DUMMYFUNCTION("""COMPUTED_VALUE"""),17000.0)</f>
        <v>17000</v>
      </c>
      <c r="X42" s="69">
        <f>IFERROR(__xludf.DUMMYFUNCTION("""COMPUTED_VALUE"""),23.0)</f>
        <v>23</v>
      </c>
      <c r="Y42" s="69">
        <f>IFERROR(__xludf.DUMMYFUNCTION("""COMPUTED_VALUE"""),210.0)</f>
        <v>210</v>
      </c>
      <c r="Z42" s="67">
        <f t="shared" si="1"/>
        <v>1</v>
      </c>
      <c r="AA42" s="67">
        <f t="shared" si="2"/>
        <v>1</v>
      </c>
      <c r="AB42" s="67">
        <f t="shared" si="3"/>
        <v>1</v>
      </c>
      <c r="AC42" s="67">
        <f t="shared" si="4"/>
        <v>1</v>
      </c>
      <c r="AD42" s="67">
        <f t="shared" si="5"/>
        <v>0</v>
      </c>
      <c r="AE42" s="68">
        <f t="shared" si="6"/>
        <v>4</v>
      </c>
      <c r="AF42" s="67">
        <f t="shared" si="7"/>
        <v>0</v>
      </c>
      <c r="AG42" s="67">
        <f t="shared" si="8"/>
        <v>1</v>
      </c>
      <c r="AH42" s="67">
        <f t="shared" si="9"/>
        <v>0</v>
      </c>
      <c r="AI42" s="67">
        <f t="shared" si="10"/>
        <v>0</v>
      </c>
      <c r="AJ42" s="67">
        <f t="shared" si="11"/>
        <v>1</v>
      </c>
      <c r="AK42" s="68">
        <f t="shared" si="12"/>
        <v>2</v>
      </c>
      <c r="AL42" s="67">
        <f t="shared" si="13"/>
        <v>0</v>
      </c>
      <c r="AM42" s="67">
        <f t="shared" si="14"/>
        <v>1</v>
      </c>
      <c r="AN42" s="67">
        <f t="shared" si="15"/>
        <v>0</v>
      </c>
      <c r="AO42" s="67">
        <f t="shared" si="16"/>
        <v>0</v>
      </c>
      <c r="AP42" s="67">
        <f t="shared" si="17"/>
        <v>0</v>
      </c>
      <c r="AQ42" s="68">
        <f t="shared" si="18"/>
        <v>1</v>
      </c>
      <c r="AR42" s="67">
        <f t="shared" si="19"/>
        <v>0</v>
      </c>
      <c r="AS42" s="67">
        <f t="shared" si="20"/>
        <v>1</v>
      </c>
      <c r="AT42" s="67">
        <f t="shared" si="21"/>
        <v>1</v>
      </c>
      <c r="AU42" s="67">
        <f t="shared" si="22"/>
        <v>1</v>
      </c>
      <c r="AV42" s="67">
        <f t="shared" si="23"/>
        <v>1</v>
      </c>
      <c r="AW42" s="68">
        <f t="shared" si="24"/>
        <v>4</v>
      </c>
      <c r="AX42" s="56"/>
      <c r="AY42" s="67">
        <f t="shared" si="25"/>
        <v>4</v>
      </c>
      <c r="AZ42" s="67">
        <f t="shared" si="26"/>
        <v>2</v>
      </c>
      <c r="BA42" s="67">
        <f t="shared" si="27"/>
        <v>1</v>
      </c>
      <c r="BB42" s="67">
        <f t="shared" si="28"/>
        <v>4</v>
      </c>
      <c r="BC42" s="30">
        <f t="shared" si="29"/>
        <v>55</v>
      </c>
    </row>
    <row r="43">
      <c r="A43" s="65">
        <f>IFERROR(__xludf.DUMMYFUNCTION("""COMPUTED_VALUE"""),45993.76979335648)</f>
        <v>45993.76979</v>
      </c>
      <c r="B43" s="69" t="str">
        <f>IFERROR(__xludf.DUMMYFUNCTION("""COMPUTED_VALUE"""),"RAYLAN AKBAR")</f>
        <v>RAYLAN AKBAR</v>
      </c>
      <c r="C43" s="69" t="str">
        <f>IFERROR(__xludf.DUMMYFUNCTION("""COMPUTED_VALUE"""),"C250026")</f>
        <v>C250026</v>
      </c>
      <c r="D43" s="69" t="str">
        <f>IFERROR(__xludf.DUMMYFUNCTION("""COMPUTED_VALUE"""),"I'dad Lughawiy Putra")</f>
        <v>I'dad Lughawiy Putra</v>
      </c>
      <c r="E43" s="69" t="str">
        <f>IFERROR(__xludf.DUMMYFUNCTION("""COMPUTED_VALUE"""),"Ya")</f>
        <v>Ya</v>
      </c>
      <c r="F43" s="69" t="str">
        <f>IFERROR(__xludf.DUMMYFUNCTION("""COMPUTED_VALUE"""),"Aku bersaksi bahwa tidak ada tuhan yang berhak di sembah kecuali Allah")</f>
        <v>Aku bersaksi bahwa tidak ada tuhan yang berhak di sembah kecuali Allah</v>
      </c>
      <c r="G43" s="69">
        <f>IFERROR(__xludf.DUMMYFUNCTION("""COMPUTED_VALUE"""),3.0)</f>
        <v>3</v>
      </c>
      <c r="H43" s="69" t="str">
        <f>IFERROR(__xludf.DUMMYFUNCTION("""COMPUTED_VALUE"""),"Siddiiq")</f>
        <v>Siddiiq</v>
      </c>
      <c r="I43" s="69" t="str">
        <f>IFERROR(__xludf.DUMMYFUNCTION("""COMPUTED_VALUE"""),"Di mana-mana")</f>
        <v>Di mana-mana</v>
      </c>
      <c r="J43" s="69" t="str">
        <f>IFERROR(__xludf.DUMMYFUNCTION("""COMPUTED_VALUE"""),"Umar Bin Khattab")</f>
        <v>Umar Bin Khattab</v>
      </c>
      <c r="K43" s="69" t="str">
        <f>IFERROR(__xludf.DUMMYFUNCTION("""COMPUTED_VALUE"""),"(1) dan (3)")</f>
        <v>(1) dan (3)</v>
      </c>
      <c r="L43" s="69" t="str">
        <f>IFERROR(__xludf.DUMMYFUNCTION("""COMPUTED_VALUE"""),"Satu pohon yang kita tanam sangat bermanfaat bagi masa depan bumi dan manusia.")</f>
        <v>Satu pohon yang kita tanam sangat bermanfaat bagi masa depan bumi dan manusia.</v>
      </c>
      <c r="M43" s="69" t="str">
        <f>IFERROR(__xludf.DUMMYFUNCTION("""COMPUTED_VALUE"""),"mengaji melebarkan pikiran")</f>
        <v>mengaji melebarkan pikiran</v>
      </c>
      <c r="N43" s="69" t="str">
        <f>IFERROR(__xludf.DUMMYFUNCTION("""COMPUTED_VALUE"""),"suasana malam hari yang sangat sunyi karena sebentar lagi akan turun hujan yang lebat")</f>
        <v>suasana malam hari yang sangat sunyi karena sebentar lagi akan turun hujan yang lebat</v>
      </c>
      <c r="O43" s="69" t="str">
        <f>IFERROR(__xludf.DUMMYFUNCTION("""COMPUTED_VALUE"""),"jalan usaha")</f>
        <v>jalan usaha</v>
      </c>
      <c r="P43" s="69" t="str">
        <f>IFERROR(__xludf.DUMMYFUNCTION("""COMPUTED_VALUE"""),"CO2 dan O2")</f>
        <v>CO2 dan O2</v>
      </c>
      <c r="Q43" s="69" t="str">
        <f>IFERROR(__xludf.DUMMYFUNCTION("""COMPUTED_VALUE"""),"Fotosintesis")</f>
        <v>Fotosintesis</v>
      </c>
      <c r="R43" s="69" t="str">
        <f>IFERROR(__xludf.DUMMYFUNCTION("""COMPUTED_VALUE"""),"Uap air")</f>
        <v>Uap air</v>
      </c>
      <c r="S43" s="69" t="str">
        <f>IFERROR(__xludf.DUMMYFUNCTION("""COMPUTED_VALUE"""),"A, C, E, dan K")</f>
        <v>A, C, E, dan K</v>
      </c>
      <c r="T43" s="69" t="str">
        <f>IFERROR(__xludf.DUMMYFUNCTION("""COMPUTED_VALUE"""),"Sumber energi dan menetralkan racun")</f>
        <v>Sumber energi dan menetralkan racun</v>
      </c>
      <c r="U43" s="69">
        <f>IFERROR(__xludf.DUMMYFUNCTION("""COMPUTED_VALUE"""),100.0)</f>
        <v>100</v>
      </c>
      <c r="V43" s="69">
        <f>IFERROR(__xludf.DUMMYFUNCTION("""COMPUTED_VALUE"""),7.0)</f>
        <v>7</v>
      </c>
      <c r="W43" s="70">
        <f>IFERROR(__xludf.DUMMYFUNCTION("""COMPUTED_VALUE"""),16000.0)</f>
        <v>16000</v>
      </c>
      <c r="X43" s="69">
        <f>IFERROR(__xludf.DUMMYFUNCTION("""COMPUTED_VALUE"""),17.0)</f>
        <v>17</v>
      </c>
      <c r="Y43" s="69">
        <f>IFERROR(__xludf.DUMMYFUNCTION("""COMPUTED_VALUE"""),210.0)</f>
        <v>210</v>
      </c>
      <c r="Z43" s="67">
        <f t="shared" si="1"/>
        <v>1</v>
      </c>
      <c r="AA43" s="67">
        <f t="shared" si="2"/>
        <v>1</v>
      </c>
      <c r="AB43" s="67">
        <f t="shared" si="3"/>
        <v>0</v>
      </c>
      <c r="AC43" s="67">
        <f t="shared" si="4"/>
        <v>0</v>
      </c>
      <c r="AD43" s="67">
        <f t="shared" si="5"/>
        <v>0</v>
      </c>
      <c r="AE43" s="68">
        <f t="shared" si="6"/>
        <v>2</v>
      </c>
      <c r="AF43" s="67">
        <f t="shared" si="7"/>
        <v>0</v>
      </c>
      <c r="AG43" s="67">
        <f t="shared" si="8"/>
        <v>1</v>
      </c>
      <c r="AH43" s="67">
        <f t="shared" si="9"/>
        <v>0</v>
      </c>
      <c r="AI43" s="67">
        <f t="shared" si="10"/>
        <v>0</v>
      </c>
      <c r="AJ43" s="67">
        <f t="shared" si="11"/>
        <v>0</v>
      </c>
      <c r="AK43" s="68">
        <f t="shared" si="12"/>
        <v>1</v>
      </c>
      <c r="AL43" s="67">
        <f t="shared" si="13"/>
        <v>0</v>
      </c>
      <c r="AM43" s="67">
        <f t="shared" si="14"/>
        <v>1</v>
      </c>
      <c r="AN43" s="67">
        <f t="shared" si="15"/>
        <v>1</v>
      </c>
      <c r="AO43" s="67">
        <f t="shared" si="16"/>
        <v>0</v>
      </c>
      <c r="AP43" s="67">
        <f t="shared" si="17"/>
        <v>0</v>
      </c>
      <c r="AQ43" s="68">
        <f t="shared" si="18"/>
        <v>2</v>
      </c>
      <c r="AR43" s="67">
        <f t="shared" si="19"/>
        <v>0</v>
      </c>
      <c r="AS43" s="67">
        <f t="shared" si="20"/>
        <v>0</v>
      </c>
      <c r="AT43" s="67">
        <f t="shared" si="21"/>
        <v>0</v>
      </c>
      <c r="AU43" s="67">
        <f t="shared" si="22"/>
        <v>0</v>
      </c>
      <c r="AV43" s="67">
        <f t="shared" si="23"/>
        <v>1</v>
      </c>
      <c r="AW43" s="68">
        <f t="shared" si="24"/>
        <v>1</v>
      </c>
      <c r="AX43" s="56"/>
      <c r="AY43" s="67">
        <f t="shared" si="25"/>
        <v>2</v>
      </c>
      <c r="AZ43" s="67">
        <f t="shared" si="26"/>
        <v>1</v>
      </c>
      <c r="BA43" s="67">
        <f t="shared" si="27"/>
        <v>2</v>
      </c>
      <c r="BB43" s="67">
        <f t="shared" si="28"/>
        <v>1</v>
      </c>
      <c r="BC43" s="30">
        <f t="shared" si="29"/>
        <v>30</v>
      </c>
    </row>
    <row r="44">
      <c r="A44" s="65">
        <f>IFERROR(__xludf.DUMMYFUNCTION("""COMPUTED_VALUE"""),46046.817204293984)</f>
        <v>46046.8172</v>
      </c>
      <c r="B44" s="69" t="str">
        <f>IFERROR(__xludf.DUMMYFUNCTION("""COMPUTED_VALUE"""),"Iman setiawan")</f>
        <v>Iman setiawan</v>
      </c>
      <c r="C44" s="69" t="str">
        <f>IFERROR(__xludf.DUMMYFUNCTION("""COMPUTED_VALUE"""),"C250030")</f>
        <v>C250030</v>
      </c>
      <c r="D44" s="69" t="str">
        <f>IFERROR(__xludf.DUMMYFUNCTION("""COMPUTED_VALUE"""),"I'dad Lughawiy Putra")</f>
        <v>I'dad Lughawiy Putra</v>
      </c>
      <c r="E44" s="69" t="str">
        <f>IFERROR(__xludf.DUMMYFUNCTION("""COMPUTED_VALUE"""),"Ya")</f>
        <v>Ya</v>
      </c>
      <c r="F44" s="69" t="str">
        <f>IFERROR(__xludf.DUMMYFUNCTION("""COMPUTED_VALUE"""),"Aku bersaksi bahwa tidak ada tuhan yang berhak di sembah kecuali Allah")</f>
        <v>Aku bersaksi bahwa tidak ada tuhan yang berhak di sembah kecuali Allah</v>
      </c>
      <c r="G44" s="69">
        <f>IFERROR(__xludf.DUMMYFUNCTION("""COMPUTED_VALUE"""),3.0)</f>
        <v>3</v>
      </c>
      <c r="H44" s="69" t="str">
        <f>IFERROR(__xludf.DUMMYFUNCTION("""COMPUTED_VALUE"""),"Amanah")</f>
        <v>Amanah</v>
      </c>
      <c r="I44" s="69" t="str">
        <f>IFERROR(__xludf.DUMMYFUNCTION("""COMPUTED_VALUE"""),"Di atas Arsy")</f>
        <v>Di atas Arsy</v>
      </c>
      <c r="J44" s="69" t="str">
        <f>IFERROR(__xludf.DUMMYFUNCTION("""COMPUTED_VALUE"""),"Ustman Bin Affan")</f>
        <v>Ustman Bin Affan</v>
      </c>
      <c r="K44" s="69" t="str">
        <f>IFERROR(__xludf.DUMMYFUNCTION("""COMPUTED_VALUE"""),"(1) dan (4)")</f>
        <v>(1) dan (4)</v>
      </c>
      <c r="L44" s="69" t="str">
        <f>IFERROR(__xludf.DUMMYFUNCTION("""COMPUTED_VALUE"""),"Satu pohon yang kita tanam sangat bermanfaat bagi masa depan bumi dan manusia.")</f>
        <v>Satu pohon yang kita tanam sangat bermanfaat bagi masa depan bumi dan manusia.</v>
      </c>
      <c r="M44" s="69" t="str">
        <f>IFERROR(__xludf.DUMMYFUNCTION("""COMPUTED_VALUE"""),"mengaji seperti jantung")</f>
        <v>mengaji seperti jantung</v>
      </c>
      <c r="N44" s="69" t="str">
        <f>IFERROR(__xludf.DUMMYFUNCTION("""COMPUTED_VALUE"""),"suatu kota pada malam hari yang dalam keadaan sepi pascagerimis")</f>
        <v>suatu kota pada malam hari yang dalam keadaan sepi pascagerimis</v>
      </c>
      <c r="O44" s="69" t="str">
        <f>IFERROR(__xludf.DUMMYFUNCTION("""COMPUTED_VALUE"""),"usaha yang dilakukan sendiri")</f>
        <v>usaha yang dilakukan sendiri</v>
      </c>
      <c r="P44" s="69" t="str">
        <f>IFERROR(__xludf.DUMMYFUNCTION("""COMPUTED_VALUE"""),"CO2 dan O2")</f>
        <v>CO2 dan O2</v>
      </c>
      <c r="Q44" s="69" t="str">
        <f>IFERROR(__xludf.DUMMYFUNCTION("""COMPUTED_VALUE"""),"Bergerak")</f>
        <v>Bergerak</v>
      </c>
      <c r="R44" s="69" t="str">
        <f>IFERROR(__xludf.DUMMYFUNCTION("""COMPUTED_VALUE"""),"Karbon dioksida")</f>
        <v>Karbon dioksida</v>
      </c>
      <c r="S44" s="69" t="str">
        <f>IFERROR(__xludf.DUMMYFUNCTION("""COMPUTED_VALUE"""),"A, C, E, dan K")</f>
        <v>A, C, E, dan K</v>
      </c>
      <c r="T44" s="69" t="str">
        <f>IFERROR(__xludf.DUMMYFUNCTION("""COMPUTED_VALUE"""),"Pengatur suhu tubuh dan sumber energi")</f>
        <v>Pengatur suhu tubuh dan sumber energi</v>
      </c>
      <c r="U44" s="69">
        <f>IFERROR(__xludf.DUMMYFUNCTION("""COMPUTED_VALUE"""),100.0)</f>
        <v>100</v>
      </c>
      <c r="V44" s="69">
        <f>IFERROR(__xludf.DUMMYFUNCTION("""COMPUTED_VALUE"""),16.0)</f>
        <v>16</v>
      </c>
      <c r="W44" s="70">
        <f>IFERROR(__xludf.DUMMYFUNCTION("""COMPUTED_VALUE"""),16000.0)</f>
        <v>16000</v>
      </c>
      <c r="X44" s="69">
        <f>IFERROR(__xludf.DUMMYFUNCTION("""COMPUTED_VALUE"""),17.0)</f>
        <v>17</v>
      </c>
      <c r="Y44" s="69">
        <f>IFERROR(__xludf.DUMMYFUNCTION("""COMPUTED_VALUE"""),210.0)</f>
        <v>210</v>
      </c>
      <c r="Z44" s="67">
        <f t="shared" si="1"/>
        <v>1</v>
      </c>
      <c r="AA44" s="67">
        <f t="shared" si="2"/>
        <v>1</v>
      </c>
      <c r="AB44" s="67">
        <f t="shared" si="3"/>
        <v>1</v>
      </c>
      <c r="AC44" s="67">
        <f t="shared" si="4"/>
        <v>1</v>
      </c>
      <c r="AD44" s="67">
        <f t="shared" si="5"/>
        <v>1</v>
      </c>
      <c r="AE44" s="68">
        <f t="shared" si="6"/>
        <v>5</v>
      </c>
      <c r="AF44" s="67">
        <f t="shared" si="7"/>
        <v>1</v>
      </c>
      <c r="AG44" s="67">
        <f t="shared" si="8"/>
        <v>1</v>
      </c>
      <c r="AH44" s="67">
        <f t="shared" si="9"/>
        <v>1</v>
      </c>
      <c r="AI44" s="67">
        <f t="shared" si="10"/>
        <v>1</v>
      </c>
      <c r="AJ44" s="67">
        <f t="shared" si="11"/>
        <v>0</v>
      </c>
      <c r="AK44" s="68">
        <f t="shared" si="12"/>
        <v>4</v>
      </c>
      <c r="AL44" s="67">
        <f t="shared" si="13"/>
        <v>0</v>
      </c>
      <c r="AM44" s="67">
        <f t="shared" si="14"/>
        <v>0</v>
      </c>
      <c r="AN44" s="67">
        <f t="shared" si="15"/>
        <v>0</v>
      </c>
      <c r="AO44" s="67">
        <f t="shared" si="16"/>
        <v>0</v>
      </c>
      <c r="AP44" s="67">
        <f t="shared" si="17"/>
        <v>0</v>
      </c>
      <c r="AQ44" s="68">
        <f t="shared" si="18"/>
        <v>0</v>
      </c>
      <c r="AR44" s="67">
        <f t="shared" si="19"/>
        <v>0</v>
      </c>
      <c r="AS44" s="67">
        <f t="shared" si="20"/>
        <v>0</v>
      </c>
      <c r="AT44" s="67">
        <f t="shared" si="21"/>
        <v>0</v>
      </c>
      <c r="AU44" s="67">
        <f t="shared" si="22"/>
        <v>0</v>
      </c>
      <c r="AV44" s="67">
        <f t="shared" si="23"/>
        <v>1</v>
      </c>
      <c r="AW44" s="68">
        <f t="shared" si="24"/>
        <v>1</v>
      </c>
      <c r="AX44" s="56"/>
      <c r="AY44" s="67">
        <f t="shared" si="25"/>
        <v>5</v>
      </c>
      <c r="AZ44" s="67">
        <f t="shared" si="26"/>
        <v>4</v>
      </c>
      <c r="BA44" s="67">
        <f t="shared" si="27"/>
        <v>0</v>
      </c>
      <c r="BB44" s="67">
        <f t="shared" si="28"/>
        <v>1</v>
      </c>
      <c r="BC44" s="30">
        <f t="shared" si="29"/>
        <v>50</v>
      </c>
    </row>
    <row r="45">
      <c r="A45" s="65">
        <f>IFERROR(__xludf.DUMMYFUNCTION("""COMPUTED_VALUE"""),46070.57824221065)</f>
        <v>46070.57824</v>
      </c>
      <c r="B45" s="69" t="str">
        <f>IFERROR(__xludf.DUMMYFUNCTION("""COMPUTED_VALUE"""),"hudzaifah al fawwaz")</f>
        <v>hudzaifah al fawwaz</v>
      </c>
      <c r="C45" s="69" t="str">
        <f>IFERROR(__xludf.DUMMYFUNCTION("""COMPUTED_VALUE"""),"000000")</f>
        <v>000000</v>
      </c>
      <c r="D45" s="69" t="str">
        <f>IFERROR(__xludf.DUMMYFUNCTION("""COMPUTED_VALUE"""),"I'dad Lughawiy Putra")</f>
        <v>I'dad Lughawiy Putra</v>
      </c>
      <c r="E45" s="69" t="str">
        <f>IFERROR(__xludf.DUMMYFUNCTION("""COMPUTED_VALUE"""),"Ya")</f>
        <v>Ya</v>
      </c>
      <c r="F45" s="69" t="str">
        <f>IFERROR(__xludf.DUMMYFUNCTION("""COMPUTED_VALUE"""),"Aku bersaksi bahwa tidak ada tuhan yang berhak di sembah kecuali Allah")</f>
        <v>Aku bersaksi bahwa tidak ada tuhan yang berhak di sembah kecuali Allah</v>
      </c>
      <c r="G45" s="69">
        <f>IFERROR(__xludf.DUMMYFUNCTION("""COMPUTED_VALUE"""),3.0)</f>
        <v>3</v>
      </c>
      <c r="H45" s="69" t="str">
        <f>IFERROR(__xludf.DUMMYFUNCTION("""COMPUTED_VALUE"""),"Amanah")</f>
        <v>Amanah</v>
      </c>
      <c r="I45" s="69" t="str">
        <f>IFERROR(__xludf.DUMMYFUNCTION("""COMPUTED_VALUE"""),"Di atas Arsy")</f>
        <v>Di atas Arsy</v>
      </c>
      <c r="J45" s="69" t="str">
        <f>IFERROR(__xludf.DUMMYFUNCTION("""COMPUTED_VALUE"""),"Ustman Bin Affan")</f>
        <v>Ustman Bin Affan</v>
      </c>
      <c r="K45" s="69">
        <f>IFERROR(__xludf.DUMMYFUNCTION("""COMPUTED_VALUE"""),-1.0)</f>
        <v>-1</v>
      </c>
      <c r="L45" s="69" t="str">
        <f>IFERROR(__xludf.DUMMYFUNCTION("""COMPUTED_VALUE"""),"Satu pohon yang kita tanam sangat bermanfaat bagi masa depan bumi dan manusia.")</f>
        <v>Satu pohon yang kita tanam sangat bermanfaat bagi masa depan bumi dan manusia.</v>
      </c>
      <c r="M45" s="69" t="str">
        <f>IFERROR(__xludf.DUMMYFUNCTION("""COMPUTED_VALUE"""),"mengaji menyegarkan jiwa")</f>
        <v>mengaji menyegarkan jiwa</v>
      </c>
      <c r="N45" s="69" t="str">
        <f>IFERROR(__xludf.DUMMYFUNCTION("""COMPUTED_VALUE"""),"suatu kota pada malam hari yang dalam keadaan sepi pascagerimis")</f>
        <v>suatu kota pada malam hari yang dalam keadaan sepi pascagerimis</v>
      </c>
      <c r="O45" s="69" t="str">
        <f>IFERROR(__xludf.DUMMYFUNCTION("""COMPUTED_VALUE"""),"usaha yang dilakukan sendiri")</f>
        <v>usaha yang dilakukan sendiri</v>
      </c>
      <c r="P45" s="69" t="str">
        <f>IFERROR(__xludf.DUMMYFUNCTION("""COMPUTED_VALUE"""),"H2O dan O2")</f>
        <v>H2O dan O2</v>
      </c>
      <c r="Q45" s="69" t="str">
        <f>IFERROR(__xludf.DUMMYFUNCTION("""COMPUTED_VALUE"""),"Bergerak")</f>
        <v>Bergerak</v>
      </c>
      <c r="R45" s="69" t="str">
        <f>IFERROR(__xludf.DUMMYFUNCTION("""COMPUTED_VALUE"""),"Uap air")</f>
        <v>Uap air</v>
      </c>
      <c r="S45" s="69" t="str">
        <f>IFERROR(__xludf.DUMMYFUNCTION("""COMPUTED_VALUE"""),"A, B, C, dan D")</f>
        <v>A, B, C, dan D</v>
      </c>
      <c r="T45" s="69" t="str">
        <f>IFERROR(__xludf.DUMMYFUNCTION("""COMPUTED_VALUE"""),"menetralkan racun dan Alat pengangkut")</f>
        <v>menetralkan racun dan Alat pengangkut</v>
      </c>
      <c r="U45" s="69">
        <f>IFERROR(__xludf.DUMMYFUNCTION("""COMPUTED_VALUE"""),100.0)</f>
        <v>100</v>
      </c>
      <c r="V45" s="69">
        <f>IFERROR(__xludf.DUMMYFUNCTION("""COMPUTED_VALUE"""),13.0)</f>
        <v>13</v>
      </c>
      <c r="W45" s="70">
        <f>IFERROR(__xludf.DUMMYFUNCTION("""COMPUTED_VALUE"""),16000.0)</f>
        <v>16000</v>
      </c>
      <c r="X45" s="69">
        <f>IFERROR(__xludf.DUMMYFUNCTION("""COMPUTED_VALUE"""),23.0)</f>
        <v>23</v>
      </c>
      <c r="Y45" s="69">
        <f>IFERROR(__xludf.DUMMYFUNCTION("""COMPUTED_VALUE"""),210.0)</f>
        <v>210</v>
      </c>
      <c r="Z45" s="67">
        <f t="shared" si="1"/>
        <v>1</v>
      </c>
      <c r="AA45" s="67">
        <f t="shared" si="2"/>
        <v>1</v>
      </c>
      <c r="AB45" s="67">
        <f t="shared" si="3"/>
        <v>1</v>
      </c>
      <c r="AC45" s="67">
        <f t="shared" si="4"/>
        <v>1</v>
      </c>
      <c r="AD45" s="67">
        <f t="shared" si="5"/>
        <v>1</v>
      </c>
      <c r="AE45" s="68">
        <f t="shared" si="6"/>
        <v>5</v>
      </c>
      <c r="AF45" s="67">
        <f t="shared" si="7"/>
        <v>0</v>
      </c>
      <c r="AG45" s="67">
        <f t="shared" si="8"/>
        <v>1</v>
      </c>
      <c r="AH45" s="67">
        <f t="shared" si="9"/>
        <v>0</v>
      </c>
      <c r="AI45" s="67">
        <f t="shared" si="10"/>
        <v>1</v>
      </c>
      <c r="AJ45" s="67">
        <f t="shared" si="11"/>
        <v>0</v>
      </c>
      <c r="AK45" s="68">
        <f t="shared" si="12"/>
        <v>2</v>
      </c>
      <c r="AL45" s="67">
        <f t="shared" si="13"/>
        <v>0</v>
      </c>
      <c r="AM45" s="67">
        <f t="shared" si="14"/>
        <v>0</v>
      </c>
      <c r="AN45" s="67">
        <f t="shared" si="15"/>
        <v>1</v>
      </c>
      <c r="AO45" s="67">
        <f t="shared" si="16"/>
        <v>0</v>
      </c>
      <c r="AP45" s="67">
        <f t="shared" si="17"/>
        <v>0</v>
      </c>
      <c r="AQ45" s="68">
        <f t="shared" si="18"/>
        <v>1</v>
      </c>
      <c r="AR45" s="67">
        <f t="shared" si="19"/>
        <v>0</v>
      </c>
      <c r="AS45" s="67">
        <f t="shared" si="20"/>
        <v>1</v>
      </c>
      <c r="AT45" s="67">
        <f t="shared" si="21"/>
        <v>0</v>
      </c>
      <c r="AU45" s="67">
        <f t="shared" si="22"/>
        <v>1</v>
      </c>
      <c r="AV45" s="67">
        <f t="shared" si="23"/>
        <v>1</v>
      </c>
      <c r="AW45" s="68">
        <f t="shared" si="24"/>
        <v>3</v>
      </c>
      <c r="AX45" s="56"/>
      <c r="AY45" s="67">
        <f t="shared" si="25"/>
        <v>5</v>
      </c>
      <c r="AZ45" s="67">
        <f t="shared" si="26"/>
        <v>2</v>
      </c>
      <c r="BA45" s="67">
        <f t="shared" si="27"/>
        <v>1</v>
      </c>
      <c r="BB45" s="67">
        <f t="shared" si="28"/>
        <v>3</v>
      </c>
      <c r="BC45" s="30">
        <f t="shared" si="29"/>
        <v>55</v>
      </c>
    </row>
    <row r="46">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7">
        <f t="shared" si="1"/>
        <v>0</v>
      </c>
      <c r="AA46" s="67">
        <f t="shared" si="2"/>
        <v>0</v>
      </c>
      <c r="AB46" s="67">
        <f t="shared" si="3"/>
        <v>0</v>
      </c>
      <c r="AC46" s="67">
        <f t="shared" si="4"/>
        <v>0</v>
      </c>
      <c r="AD46" s="67">
        <f t="shared" si="5"/>
        <v>0</v>
      </c>
      <c r="AE46" s="68">
        <f t="shared" si="6"/>
        <v>0</v>
      </c>
      <c r="AF46" s="67">
        <f t="shared" si="7"/>
        <v>0</v>
      </c>
      <c r="AG46" s="67">
        <f t="shared" si="8"/>
        <v>0</v>
      </c>
      <c r="AH46" s="67">
        <f t="shared" si="9"/>
        <v>0</v>
      </c>
      <c r="AI46" s="67">
        <f t="shared" si="10"/>
        <v>0</v>
      </c>
      <c r="AJ46" s="67">
        <f t="shared" si="11"/>
        <v>0</v>
      </c>
      <c r="AK46" s="68">
        <f t="shared" si="12"/>
        <v>0</v>
      </c>
      <c r="AL46" s="67">
        <f t="shared" si="13"/>
        <v>0</v>
      </c>
      <c r="AM46" s="67">
        <f t="shared" si="14"/>
        <v>0</v>
      </c>
      <c r="AN46" s="67">
        <f t="shared" si="15"/>
        <v>0</v>
      </c>
      <c r="AO46" s="67">
        <f t="shared" si="16"/>
        <v>0</v>
      </c>
      <c r="AP46" s="67">
        <f t="shared" si="17"/>
        <v>0</v>
      </c>
      <c r="AQ46" s="68">
        <f t="shared" si="18"/>
        <v>0</v>
      </c>
      <c r="AR46" s="67">
        <f t="shared" si="19"/>
        <v>0</v>
      </c>
      <c r="AS46" s="67">
        <f t="shared" si="20"/>
        <v>0</v>
      </c>
      <c r="AT46" s="67">
        <f t="shared" si="21"/>
        <v>0</v>
      </c>
      <c r="AU46" s="67">
        <f t="shared" si="22"/>
        <v>0</v>
      </c>
      <c r="AV46" s="67">
        <f t="shared" si="23"/>
        <v>0</v>
      </c>
      <c r="AW46" s="68">
        <f t="shared" si="24"/>
        <v>0</v>
      </c>
      <c r="AX46" s="56"/>
      <c r="AY46" s="67">
        <f t="shared" si="25"/>
        <v>0</v>
      </c>
      <c r="AZ46" s="67">
        <f t="shared" si="26"/>
        <v>0</v>
      </c>
      <c r="BA46" s="67">
        <f t="shared" si="27"/>
        <v>0</v>
      </c>
      <c r="BB46" s="67">
        <f t="shared" si="28"/>
        <v>0</v>
      </c>
      <c r="BC46" s="30">
        <f t="shared" si="29"/>
        <v>0</v>
      </c>
    </row>
    <row r="47">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7">
        <f t="shared" si="1"/>
        <v>0</v>
      </c>
      <c r="AA47" s="67">
        <f t="shared" si="2"/>
        <v>0</v>
      </c>
      <c r="AB47" s="67">
        <f t="shared" si="3"/>
        <v>0</v>
      </c>
      <c r="AC47" s="67">
        <f t="shared" si="4"/>
        <v>0</v>
      </c>
      <c r="AD47" s="67">
        <f t="shared" si="5"/>
        <v>0</v>
      </c>
      <c r="AE47" s="68">
        <f t="shared" si="6"/>
        <v>0</v>
      </c>
      <c r="AF47" s="67">
        <f t="shared" si="7"/>
        <v>0</v>
      </c>
      <c r="AG47" s="67">
        <f t="shared" si="8"/>
        <v>0</v>
      </c>
      <c r="AH47" s="67">
        <f t="shared" si="9"/>
        <v>0</v>
      </c>
      <c r="AI47" s="67">
        <f t="shared" si="10"/>
        <v>0</v>
      </c>
      <c r="AJ47" s="67">
        <f t="shared" si="11"/>
        <v>0</v>
      </c>
      <c r="AK47" s="68">
        <f t="shared" si="12"/>
        <v>0</v>
      </c>
      <c r="AL47" s="67">
        <f t="shared" si="13"/>
        <v>0</v>
      </c>
      <c r="AM47" s="67">
        <f t="shared" si="14"/>
        <v>0</v>
      </c>
      <c r="AN47" s="67">
        <f t="shared" si="15"/>
        <v>0</v>
      </c>
      <c r="AO47" s="67">
        <f t="shared" si="16"/>
        <v>0</v>
      </c>
      <c r="AP47" s="67">
        <f t="shared" si="17"/>
        <v>0</v>
      </c>
      <c r="AQ47" s="68">
        <f t="shared" si="18"/>
        <v>0</v>
      </c>
      <c r="AR47" s="67">
        <f t="shared" si="19"/>
        <v>0</v>
      </c>
      <c r="AS47" s="67">
        <f t="shared" si="20"/>
        <v>0</v>
      </c>
      <c r="AT47" s="67">
        <f t="shared" si="21"/>
        <v>0</v>
      </c>
      <c r="AU47" s="67">
        <f t="shared" si="22"/>
        <v>0</v>
      </c>
      <c r="AV47" s="67">
        <f t="shared" si="23"/>
        <v>0</v>
      </c>
      <c r="AW47" s="68">
        <f t="shared" si="24"/>
        <v>0</v>
      </c>
      <c r="AX47" s="56"/>
      <c r="AY47" s="67">
        <f t="shared" si="25"/>
        <v>0</v>
      </c>
      <c r="AZ47" s="67">
        <f t="shared" si="26"/>
        <v>0</v>
      </c>
      <c r="BA47" s="67">
        <f t="shared" si="27"/>
        <v>0</v>
      </c>
      <c r="BB47" s="67">
        <f t="shared" si="28"/>
        <v>0</v>
      </c>
      <c r="BC47" s="30">
        <f t="shared" si="29"/>
        <v>0</v>
      </c>
    </row>
    <row r="48">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7">
        <f t="shared" si="1"/>
        <v>0</v>
      </c>
      <c r="AA48" s="67">
        <f t="shared" si="2"/>
        <v>0</v>
      </c>
      <c r="AB48" s="67">
        <f t="shared" si="3"/>
        <v>0</v>
      </c>
      <c r="AC48" s="67">
        <f t="shared" si="4"/>
        <v>0</v>
      </c>
      <c r="AD48" s="67">
        <f t="shared" si="5"/>
        <v>0</v>
      </c>
      <c r="AE48" s="68">
        <f t="shared" si="6"/>
        <v>0</v>
      </c>
      <c r="AF48" s="67">
        <f t="shared" si="7"/>
        <v>0</v>
      </c>
      <c r="AG48" s="67">
        <f t="shared" si="8"/>
        <v>0</v>
      </c>
      <c r="AH48" s="67">
        <f t="shared" si="9"/>
        <v>0</v>
      </c>
      <c r="AI48" s="67">
        <f t="shared" si="10"/>
        <v>0</v>
      </c>
      <c r="AJ48" s="67">
        <f t="shared" si="11"/>
        <v>0</v>
      </c>
      <c r="AK48" s="68">
        <f t="shared" si="12"/>
        <v>0</v>
      </c>
      <c r="AL48" s="67">
        <f t="shared" si="13"/>
        <v>0</v>
      </c>
      <c r="AM48" s="67">
        <f t="shared" si="14"/>
        <v>0</v>
      </c>
      <c r="AN48" s="67">
        <f t="shared" si="15"/>
        <v>0</v>
      </c>
      <c r="AO48" s="67">
        <f t="shared" si="16"/>
        <v>0</v>
      </c>
      <c r="AP48" s="67">
        <f t="shared" si="17"/>
        <v>0</v>
      </c>
      <c r="AQ48" s="68">
        <f t="shared" si="18"/>
        <v>0</v>
      </c>
      <c r="AR48" s="67">
        <f t="shared" si="19"/>
        <v>0</v>
      </c>
      <c r="AS48" s="67">
        <f t="shared" si="20"/>
        <v>0</v>
      </c>
      <c r="AT48" s="67">
        <f t="shared" si="21"/>
        <v>0</v>
      </c>
      <c r="AU48" s="67">
        <f t="shared" si="22"/>
        <v>0</v>
      </c>
      <c r="AV48" s="67">
        <f t="shared" si="23"/>
        <v>0</v>
      </c>
      <c r="AW48" s="68">
        <f t="shared" si="24"/>
        <v>0</v>
      </c>
      <c r="AX48" s="56"/>
      <c r="AY48" s="67">
        <f t="shared" si="25"/>
        <v>0</v>
      </c>
      <c r="AZ48" s="67">
        <f t="shared" si="26"/>
        <v>0</v>
      </c>
      <c r="BA48" s="67">
        <f t="shared" si="27"/>
        <v>0</v>
      </c>
      <c r="BB48" s="67">
        <f t="shared" si="28"/>
        <v>0</v>
      </c>
      <c r="BC48" s="30">
        <f t="shared" si="29"/>
        <v>0</v>
      </c>
    </row>
    <row r="49">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7">
        <f t="shared" si="1"/>
        <v>0</v>
      </c>
      <c r="AA49" s="67">
        <f t="shared" si="2"/>
        <v>0</v>
      </c>
      <c r="AB49" s="67">
        <f t="shared" si="3"/>
        <v>0</v>
      </c>
      <c r="AC49" s="67">
        <f t="shared" si="4"/>
        <v>0</v>
      </c>
      <c r="AD49" s="67">
        <f t="shared" si="5"/>
        <v>0</v>
      </c>
      <c r="AE49" s="68">
        <f t="shared" si="6"/>
        <v>0</v>
      </c>
      <c r="AF49" s="67">
        <f t="shared" si="7"/>
        <v>0</v>
      </c>
      <c r="AG49" s="67">
        <f t="shared" si="8"/>
        <v>0</v>
      </c>
      <c r="AH49" s="67">
        <f t="shared" si="9"/>
        <v>0</v>
      </c>
      <c r="AI49" s="67">
        <f t="shared" si="10"/>
        <v>0</v>
      </c>
      <c r="AJ49" s="67">
        <f t="shared" si="11"/>
        <v>0</v>
      </c>
      <c r="AK49" s="68">
        <f t="shared" si="12"/>
        <v>0</v>
      </c>
      <c r="AL49" s="67">
        <f t="shared" si="13"/>
        <v>0</v>
      </c>
      <c r="AM49" s="67">
        <f t="shared" si="14"/>
        <v>0</v>
      </c>
      <c r="AN49" s="67">
        <f t="shared" si="15"/>
        <v>0</v>
      </c>
      <c r="AO49" s="67">
        <f t="shared" si="16"/>
        <v>0</v>
      </c>
      <c r="AP49" s="67">
        <f t="shared" si="17"/>
        <v>0</v>
      </c>
      <c r="AQ49" s="68">
        <f t="shared" si="18"/>
        <v>0</v>
      </c>
      <c r="AR49" s="67">
        <f t="shared" si="19"/>
        <v>0</v>
      </c>
      <c r="AS49" s="67">
        <f t="shared" si="20"/>
        <v>0</v>
      </c>
      <c r="AT49" s="67">
        <f t="shared" si="21"/>
        <v>0</v>
      </c>
      <c r="AU49" s="67">
        <f t="shared" si="22"/>
        <v>0</v>
      </c>
      <c r="AV49" s="67">
        <f t="shared" si="23"/>
        <v>0</v>
      </c>
      <c r="AW49" s="68">
        <f t="shared" si="24"/>
        <v>0</v>
      </c>
      <c r="AX49" s="56"/>
      <c r="AY49" s="67">
        <f t="shared" si="25"/>
        <v>0</v>
      </c>
      <c r="AZ49" s="67">
        <f t="shared" si="26"/>
        <v>0</v>
      </c>
      <c r="BA49" s="67">
        <f t="shared" si="27"/>
        <v>0</v>
      </c>
      <c r="BB49" s="67">
        <f t="shared" si="28"/>
        <v>0</v>
      </c>
      <c r="BC49" s="30">
        <f t="shared" si="29"/>
        <v>0</v>
      </c>
    </row>
    <row r="50">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7">
        <f t="shared" si="1"/>
        <v>0</v>
      </c>
      <c r="AA50" s="67">
        <f t="shared" si="2"/>
        <v>0</v>
      </c>
      <c r="AB50" s="67">
        <f t="shared" si="3"/>
        <v>0</v>
      </c>
      <c r="AC50" s="67">
        <f t="shared" si="4"/>
        <v>0</v>
      </c>
      <c r="AD50" s="67">
        <f t="shared" si="5"/>
        <v>0</v>
      </c>
      <c r="AE50" s="68">
        <f t="shared" si="6"/>
        <v>0</v>
      </c>
      <c r="AF50" s="67">
        <f t="shared" si="7"/>
        <v>0</v>
      </c>
      <c r="AG50" s="67">
        <f t="shared" si="8"/>
        <v>0</v>
      </c>
      <c r="AH50" s="67">
        <f t="shared" si="9"/>
        <v>0</v>
      </c>
      <c r="AI50" s="67">
        <f t="shared" si="10"/>
        <v>0</v>
      </c>
      <c r="AJ50" s="67">
        <f t="shared" si="11"/>
        <v>0</v>
      </c>
      <c r="AK50" s="68">
        <f t="shared" si="12"/>
        <v>0</v>
      </c>
      <c r="AL50" s="67">
        <f t="shared" si="13"/>
        <v>0</v>
      </c>
      <c r="AM50" s="67">
        <f t="shared" si="14"/>
        <v>0</v>
      </c>
      <c r="AN50" s="67">
        <f t="shared" si="15"/>
        <v>0</v>
      </c>
      <c r="AO50" s="67">
        <f t="shared" si="16"/>
        <v>0</v>
      </c>
      <c r="AP50" s="67">
        <f t="shared" si="17"/>
        <v>0</v>
      </c>
      <c r="AQ50" s="68">
        <f t="shared" si="18"/>
        <v>0</v>
      </c>
      <c r="AR50" s="67">
        <f t="shared" si="19"/>
        <v>0</v>
      </c>
      <c r="AS50" s="67">
        <f t="shared" si="20"/>
        <v>0</v>
      </c>
      <c r="AT50" s="67">
        <f t="shared" si="21"/>
        <v>0</v>
      </c>
      <c r="AU50" s="67">
        <f t="shared" si="22"/>
        <v>0</v>
      </c>
      <c r="AV50" s="67">
        <f t="shared" si="23"/>
        <v>0</v>
      </c>
      <c r="AW50" s="68">
        <f t="shared" si="24"/>
        <v>0</v>
      </c>
      <c r="AX50" s="56"/>
      <c r="AY50" s="67">
        <f t="shared" si="25"/>
        <v>0</v>
      </c>
      <c r="AZ50" s="67">
        <f t="shared" si="26"/>
        <v>0</v>
      </c>
      <c r="BA50" s="67">
        <f t="shared" si="27"/>
        <v>0</v>
      </c>
      <c r="BB50" s="67">
        <f t="shared" si="28"/>
        <v>0</v>
      </c>
      <c r="BC50" s="30">
        <f t="shared" si="29"/>
        <v>0</v>
      </c>
    </row>
    <row r="51">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7">
        <f t="shared" si="1"/>
        <v>0</v>
      </c>
      <c r="AA51" s="67">
        <f t="shared" si="2"/>
        <v>0</v>
      </c>
      <c r="AB51" s="67">
        <f t="shared" si="3"/>
        <v>0</v>
      </c>
      <c r="AC51" s="67">
        <f t="shared" si="4"/>
        <v>0</v>
      </c>
      <c r="AD51" s="67">
        <f t="shared" si="5"/>
        <v>0</v>
      </c>
      <c r="AE51" s="68">
        <f t="shared" si="6"/>
        <v>0</v>
      </c>
      <c r="AF51" s="67">
        <f t="shared" si="7"/>
        <v>0</v>
      </c>
      <c r="AG51" s="67">
        <f t="shared" si="8"/>
        <v>0</v>
      </c>
      <c r="AH51" s="67">
        <f t="shared" si="9"/>
        <v>0</v>
      </c>
      <c r="AI51" s="67">
        <f t="shared" si="10"/>
        <v>0</v>
      </c>
      <c r="AJ51" s="67">
        <f t="shared" si="11"/>
        <v>0</v>
      </c>
      <c r="AK51" s="68">
        <f t="shared" si="12"/>
        <v>0</v>
      </c>
      <c r="AL51" s="67">
        <f t="shared" si="13"/>
        <v>0</v>
      </c>
      <c r="AM51" s="67">
        <f t="shared" si="14"/>
        <v>0</v>
      </c>
      <c r="AN51" s="67">
        <f t="shared" si="15"/>
        <v>0</v>
      </c>
      <c r="AO51" s="67">
        <f t="shared" si="16"/>
        <v>0</v>
      </c>
      <c r="AP51" s="67">
        <f t="shared" si="17"/>
        <v>0</v>
      </c>
      <c r="AQ51" s="68">
        <f t="shared" si="18"/>
        <v>0</v>
      </c>
      <c r="AR51" s="67">
        <f t="shared" si="19"/>
        <v>0</v>
      </c>
      <c r="AS51" s="67">
        <f t="shared" si="20"/>
        <v>0</v>
      </c>
      <c r="AT51" s="67">
        <f t="shared" si="21"/>
        <v>0</v>
      </c>
      <c r="AU51" s="67">
        <f t="shared" si="22"/>
        <v>0</v>
      </c>
      <c r="AV51" s="67">
        <f t="shared" si="23"/>
        <v>0</v>
      </c>
      <c r="AW51" s="68">
        <f t="shared" si="24"/>
        <v>0</v>
      </c>
      <c r="AX51" s="56"/>
      <c r="AY51" s="67">
        <f t="shared" si="25"/>
        <v>0</v>
      </c>
      <c r="AZ51" s="67">
        <f t="shared" si="26"/>
        <v>0</v>
      </c>
      <c r="BA51" s="67">
        <f t="shared" si="27"/>
        <v>0</v>
      </c>
      <c r="BB51" s="67">
        <f t="shared" si="28"/>
        <v>0</v>
      </c>
      <c r="BC51" s="30">
        <f t="shared" si="29"/>
        <v>0</v>
      </c>
    </row>
    <row r="52">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7">
        <f t="shared" si="1"/>
        <v>0</v>
      </c>
      <c r="AA52" s="67">
        <f t="shared" si="2"/>
        <v>0</v>
      </c>
      <c r="AB52" s="67">
        <f t="shared" si="3"/>
        <v>0</v>
      </c>
      <c r="AC52" s="67">
        <f t="shared" si="4"/>
        <v>0</v>
      </c>
      <c r="AD52" s="67">
        <f t="shared" si="5"/>
        <v>0</v>
      </c>
      <c r="AE52" s="68">
        <f t="shared" si="6"/>
        <v>0</v>
      </c>
      <c r="AF52" s="67">
        <f t="shared" si="7"/>
        <v>0</v>
      </c>
      <c r="AG52" s="67">
        <f t="shared" si="8"/>
        <v>0</v>
      </c>
      <c r="AH52" s="67">
        <f t="shared" si="9"/>
        <v>0</v>
      </c>
      <c r="AI52" s="67">
        <f t="shared" si="10"/>
        <v>0</v>
      </c>
      <c r="AJ52" s="67">
        <f t="shared" si="11"/>
        <v>0</v>
      </c>
      <c r="AK52" s="68">
        <f t="shared" si="12"/>
        <v>0</v>
      </c>
      <c r="AL52" s="67">
        <f t="shared" si="13"/>
        <v>0</v>
      </c>
      <c r="AM52" s="67">
        <f t="shared" si="14"/>
        <v>0</v>
      </c>
      <c r="AN52" s="67">
        <f t="shared" si="15"/>
        <v>0</v>
      </c>
      <c r="AO52" s="67">
        <f t="shared" si="16"/>
        <v>0</v>
      </c>
      <c r="AP52" s="67">
        <f t="shared" si="17"/>
        <v>0</v>
      </c>
      <c r="AQ52" s="68">
        <f t="shared" si="18"/>
        <v>0</v>
      </c>
      <c r="AR52" s="67">
        <f t="shared" si="19"/>
        <v>0</v>
      </c>
      <c r="AS52" s="67">
        <f t="shared" si="20"/>
        <v>0</v>
      </c>
      <c r="AT52" s="67">
        <f t="shared" si="21"/>
        <v>0</v>
      </c>
      <c r="AU52" s="67">
        <f t="shared" si="22"/>
        <v>0</v>
      </c>
      <c r="AV52" s="67">
        <f t="shared" si="23"/>
        <v>0</v>
      </c>
      <c r="AW52" s="68">
        <f t="shared" si="24"/>
        <v>0</v>
      </c>
      <c r="AX52" s="56"/>
      <c r="AY52" s="67">
        <f t="shared" si="25"/>
        <v>0</v>
      </c>
      <c r="AZ52" s="67">
        <f t="shared" si="26"/>
        <v>0</v>
      </c>
      <c r="BA52" s="67">
        <f t="shared" si="27"/>
        <v>0</v>
      </c>
      <c r="BB52" s="67">
        <f t="shared" si="28"/>
        <v>0</v>
      </c>
      <c r="BC52" s="30">
        <f t="shared" si="29"/>
        <v>0</v>
      </c>
    </row>
    <row r="53">
      <c r="A53" s="7"/>
      <c r="B53" s="7"/>
      <c r="C53" s="7"/>
      <c r="D53" s="7"/>
      <c r="E53" s="7"/>
      <c r="F53" s="7"/>
      <c r="G53" s="7"/>
      <c r="H53" s="7"/>
      <c r="I53" s="7"/>
      <c r="J53" s="7"/>
      <c r="K53" s="7"/>
      <c r="L53" s="7"/>
      <c r="M53" s="7"/>
      <c r="N53" s="7"/>
      <c r="O53" s="7"/>
      <c r="P53" s="7"/>
      <c r="Q53" s="7"/>
      <c r="R53" s="7"/>
      <c r="S53" s="7"/>
      <c r="T53" s="7"/>
      <c r="U53" s="7"/>
      <c r="V53" s="7"/>
      <c r="W53" s="7"/>
      <c r="X53" s="7"/>
      <c r="Y53" s="7"/>
      <c r="Z53" s="67">
        <f t="shared" si="1"/>
        <v>0</v>
      </c>
      <c r="AA53" s="67">
        <f t="shared" si="2"/>
        <v>0</v>
      </c>
      <c r="AB53" s="67">
        <f t="shared" si="3"/>
        <v>0</v>
      </c>
      <c r="AC53" s="67">
        <f t="shared" si="4"/>
        <v>0</v>
      </c>
      <c r="AD53" s="67">
        <f t="shared" si="5"/>
        <v>0</v>
      </c>
      <c r="AE53" s="68">
        <f t="shared" si="6"/>
        <v>0</v>
      </c>
      <c r="AF53" s="67">
        <f t="shared" si="7"/>
        <v>0</v>
      </c>
      <c r="AG53" s="67">
        <f t="shared" si="8"/>
        <v>0</v>
      </c>
      <c r="AH53" s="67">
        <f t="shared" si="9"/>
        <v>0</v>
      </c>
      <c r="AI53" s="67">
        <f t="shared" si="10"/>
        <v>0</v>
      </c>
      <c r="AJ53" s="67">
        <f t="shared" si="11"/>
        <v>0</v>
      </c>
      <c r="AK53" s="68">
        <f t="shared" si="12"/>
        <v>0</v>
      </c>
      <c r="AL53" s="67">
        <f t="shared" si="13"/>
        <v>0</v>
      </c>
      <c r="AM53" s="67">
        <f t="shared" si="14"/>
        <v>0</v>
      </c>
      <c r="AN53" s="67">
        <f t="shared" si="15"/>
        <v>0</v>
      </c>
      <c r="AO53" s="67">
        <f t="shared" si="16"/>
        <v>0</v>
      </c>
      <c r="AP53" s="67">
        <f t="shared" si="17"/>
        <v>0</v>
      </c>
      <c r="AQ53" s="68">
        <f t="shared" si="18"/>
        <v>0</v>
      </c>
      <c r="AR53" s="67">
        <f t="shared" si="19"/>
        <v>0</v>
      </c>
      <c r="AS53" s="67">
        <f t="shared" si="20"/>
        <v>0</v>
      </c>
      <c r="AT53" s="67">
        <f t="shared" si="21"/>
        <v>0</v>
      </c>
      <c r="AU53" s="67">
        <f t="shared" si="22"/>
        <v>0</v>
      </c>
      <c r="AV53" s="67">
        <f t="shared" si="23"/>
        <v>0</v>
      </c>
      <c r="AW53" s="68">
        <f t="shared" si="24"/>
        <v>0</v>
      </c>
      <c r="AY53" s="67">
        <f t="shared" si="25"/>
        <v>0</v>
      </c>
      <c r="AZ53" s="67">
        <f t="shared" si="26"/>
        <v>0</v>
      </c>
      <c r="BA53" s="67">
        <f t="shared" si="27"/>
        <v>0</v>
      </c>
      <c r="BB53" s="67">
        <f t="shared" si="28"/>
        <v>0</v>
      </c>
      <c r="BC53" s="30">
        <f t="shared" si="29"/>
        <v>0</v>
      </c>
    </row>
    <row r="54">
      <c r="A54" s="7"/>
      <c r="B54" s="7"/>
      <c r="C54" s="7"/>
      <c r="D54" s="7"/>
      <c r="E54" s="7"/>
      <c r="F54" s="7"/>
      <c r="G54" s="7"/>
      <c r="H54" s="7"/>
      <c r="I54" s="7"/>
      <c r="J54" s="7"/>
      <c r="K54" s="7"/>
      <c r="L54" s="7"/>
      <c r="M54" s="7"/>
      <c r="N54" s="7"/>
      <c r="O54" s="7"/>
      <c r="P54" s="7"/>
      <c r="Q54" s="7"/>
      <c r="R54" s="7"/>
      <c r="S54" s="7"/>
      <c r="T54" s="7"/>
      <c r="U54" s="7"/>
      <c r="V54" s="7"/>
      <c r="W54" s="7"/>
      <c r="X54" s="7"/>
      <c r="Y54" s="7"/>
      <c r="Z54" s="67">
        <f t="shared" si="1"/>
        <v>0</v>
      </c>
      <c r="AA54" s="67">
        <f t="shared" si="2"/>
        <v>0</v>
      </c>
      <c r="AB54" s="67">
        <f t="shared" si="3"/>
        <v>0</v>
      </c>
      <c r="AC54" s="67">
        <f t="shared" si="4"/>
        <v>0</v>
      </c>
      <c r="AD54" s="67">
        <f t="shared" si="5"/>
        <v>0</v>
      </c>
      <c r="AE54" s="68">
        <f t="shared" si="6"/>
        <v>0</v>
      </c>
      <c r="AF54" s="67">
        <f t="shared" si="7"/>
        <v>0</v>
      </c>
      <c r="AG54" s="67">
        <f t="shared" si="8"/>
        <v>0</v>
      </c>
      <c r="AH54" s="67">
        <f t="shared" si="9"/>
        <v>0</v>
      </c>
      <c r="AI54" s="67">
        <f t="shared" si="10"/>
        <v>0</v>
      </c>
      <c r="AJ54" s="67">
        <f t="shared" si="11"/>
        <v>0</v>
      </c>
      <c r="AK54" s="68">
        <f t="shared" si="12"/>
        <v>0</v>
      </c>
      <c r="AL54" s="67">
        <f t="shared" si="13"/>
        <v>0</v>
      </c>
      <c r="AM54" s="67">
        <f t="shared" si="14"/>
        <v>0</v>
      </c>
      <c r="AN54" s="67">
        <f t="shared" si="15"/>
        <v>0</v>
      </c>
      <c r="AO54" s="67">
        <f t="shared" si="16"/>
        <v>0</v>
      </c>
      <c r="AP54" s="67">
        <f t="shared" si="17"/>
        <v>0</v>
      </c>
      <c r="AQ54" s="68">
        <f t="shared" si="18"/>
        <v>0</v>
      </c>
      <c r="AR54" s="67">
        <f t="shared" si="19"/>
        <v>0</v>
      </c>
      <c r="AS54" s="67">
        <f t="shared" si="20"/>
        <v>0</v>
      </c>
      <c r="AT54" s="67">
        <f t="shared" si="21"/>
        <v>0</v>
      </c>
      <c r="AU54" s="67">
        <f t="shared" si="22"/>
        <v>0</v>
      </c>
      <c r="AV54" s="67">
        <f t="shared" si="23"/>
        <v>0</v>
      </c>
      <c r="AW54" s="68">
        <f t="shared" si="24"/>
        <v>0</v>
      </c>
      <c r="AY54" s="67">
        <f t="shared" si="25"/>
        <v>0</v>
      </c>
      <c r="AZ54" s="67">
        <f t="shared" si="26"/>
        <v>0</v>
      </c>
      <c r="BA54" s="67">
        <f t="shared" si="27"/>
        <v>0</v>
      </c>
      <c r="BB54" s="67">
        <f t="shared" si="28"/>
        <v>0</v>
      </c>
      <c r="BC54" s="30">
        <f t="shared" si="29"/>
        <v>0</v>
      </c>
    </row>
    <row r="55">
      <c r="A55" s="7"/>
      <c r="B55" s="7"/>
      <c r="C55" s="7"/>
      <c r="D55" s="7"/>
      <c r="E55" s="7"/>
      <c r="F55" s="7"/>
      <c r="G55" s="7"/>
      <c r="H55" s="7"/>
      <c r="I55" s="7"/>
      <c r="J55" s="7"/>
      <c r="K55" s="7"/>
      <c r="L55" s="7"/>
      <c r="M55" s="7"/>
      <c r="N55" s="7"/>
      <c r="O55" s="7"/>
      <c r="P55" s="7"/>
      <c r="Q55" s="7"/>
      <c r="R55" s="7"/>
      <c r="S55" s="7"/>
      <c r="T55" s="7"/>
      <c r="U55" s="7"/>
      <c r="V55" s="7"/>
      <c r="W55" s="7"/>
      <c r="X55" s="7"/>
      <c r="Y55" s="7"/>
      <c r="Z55" s="67">
        <f t="shared" si="1"/>
        <v>0</v>
      </c>
      <c r="AA55" s="67">
        <f t="shared" si="2"/>
        <v>0</v>
      </c>
      <c r="AB55" s="67">
        <f t="shared" si="3"/>
        <v>0</v>
      </c>
      <c r="AC55" s="67">
        <f t="shared" si="4"/>
        <v>0</v>
      </c>
      <c r="AD55" s="67">
        <f t="shared" si="5"/>
        <v>0</v>
      </c>
      <c r="AE55" s="68">
        <f t="shared" si="6"/>
        <v>0</v>
      </c>
      <c r="AF55" s="67">
        <f t="shared" si="7"/>
        <v>0</v>
      </c>
      <c r="AG55" s="67">
        <f t="shared" si="8"/>
        <v>0</v>
      </c>
      <c r="AH55" s="67">
        <f t="shared" si="9"/>
        <v>0</v>
      </c>
      <c r="AI55" s="67">
        <f t="shared" si="10"/>
        <v>0</v>
      </c>
      <c r="AJ55" s="67">
        <f t="shared" si="11"/>
        <v>0</v>
      </c>
      <c r="AK55" s="68">
        <f t="shared" si="12"/>
        <v>0</v>
      </c>
      <c r="AL55" s="67">
        <f t="shared" si="13"/>
        <v>0</v>
      </c>
      <c r="AM55" s="67">
        <f t="shared" si="14"/>
        <v>0</v>
      </c>
      <c r="AN55" s="67">
        <f t="shared" si="15"/>
        <v>0</v>
      </c>
      <c r="AO55" s="67">
        <f t="shared" si="16"/>
        <v>0</v>
      </c>
      <c r="AP55" s="67">
        <f t="shared" si="17"/>
        <v>0</v>
      </c>
      <c r="AQ55" s="68">
        <f t="shared" si="18"/>
        <v>0</v>
      </c>
      <c r="AR55" s="67">
        <f t="shared" si="19"/>
        <v>0</v>
      </c>
      <c r="AS55" s="67">
        <f t="shared" si="20"/>
        <v>0</v>
      </c>
      <c r="AT55" s="67">
        <f t="shared" si="21"/>
        <v>0</v>
      </c>
      <c r="AU55" s="67">
        <f t="shared" si="22"/>
        <v>0</v>
      </c>
      <c r="AV55" s="67">
        <f t="shared" si="23"/>
        <v>0</v>
      </c>
      <c r="AW55" s="68">
        <f t="shared" si="24"/>
        <v>0</v>
      </c>
      <c r="AY55" s="67">
        <f t="shared" si="25"/>
        <v>0</v>
      </c>
      <c r="AZ55" s="67">
        <f t="shared" si="26"/>
        <v>0</v>
      </c>
      <c r="BA55" s="67">
        <f t="shared" si="27"/>
        <v>0</v>
      </c>
      <c r="BB55" s="67">
        <f t="shared" si="28"/>
        <v>0</v>
      </c>
      <c r="BC55" s="30">
        <f t="shared" si="29"/>
        <v>0</v>
      </c>
    </row>
    <row r="56">
      <c r="A56" s="7"/>
      <c r="B56" s="7"/>
      <c r="C56" s="7"/>
      <c r="D56" s="7"/>
      <c r="E56" s="7"/>
      <c r="F56" s="7"/>
      <c r="G56" s="7"/>
      <c r="H56" s="7"/>
      <c r="I56" s="7"/>
      <c r="J56" s="7"/>
      <c r="K56" s="7"/>
      <c r="L56" s="7"/>
      <c r="M56" s="7"/>
      <c r="N56" s="7"/>
      <c r="O56" s="7"/>
      <c r="P56" s="7"/>
      <c r="Q56" s="7"/>
      <c r="R56" s="7"/>
      <c r="S56" s="7"/>
      <c r="T56" s="7"/>
      <c r="U56" s="7"/>
      <c r="V56" s="7"/>
      <c r="W56" s="7"/>
      <c r="X56" s="7"/>
      <c r="Y56" s="7"/>
      <c r="Z56" s="67">
        <f t="shared" si="1"/>
        <v>0</v>
      </c>
      <c r="AA56" s="67">
        <f t="shared" si="2"/>
        <v>0</v>
      </c>
      <c r="AB56" s="67">
        <f t="shared" si="3"/>
        <v>0</v>
      </c>
      <c r="AC56" s="67">
        <f t="shared" si="4"/>
        <v>0</v>
      </c>
      <c r="AD56" s="67">
        <f t="shared" si="5"/>
        <v>0</v>
      </c>
      <c r="AE56" s="68">
        <f t="shared" si="6"/>
        <v>0</v>
      </c>
      <c r="AF56" s="67">
        <f t="shared" si="7"/>
        <v>0</v>
      </c>
      <c r="AG56" s="67">
        <f t="shared" si="8"/>
        <v>0</v>
      </c>
      <c r="AH56" s="67">
        <f t="shared" si="9"/>
        <v>0</v>
      </c>
      <c r="AI56" s="67">
        <f t="shared" si="10"/>
        <v>0</v>
      </c>
      <c r="AJ56" s="67">
        <f t="shared" si="11"/>
        <v>0</v>
      </c>
      <c r="AK56" s="68">
        <f t="shared" si="12"/>
        <v>0</v>
      </c>
      <c r="AL56" s="67">
        <f t="shared" si="13"/>
        <v>0</v>
      </c>
      <c r="AM56" s="67">
        <f t="shared" si="14"/>
        <v>0</v>
      </c>
      <c r="AN56" s="67">
        <f t="shared" si="15"/>
        <v>0</v>
      </c>
      <c r="AO56" s="67">
        <f t="shared" si="16"/>
        <v>0</v>
      </c>
      <c r="AP56" s="67">
        <f t="shared" si="17"/>
        <v>0</v>
      </c>
      <c r="AQ56" s="68">
        <f t="shared" si="18"/>
        <v>0</v>
      </c>
      <c r="AR56" s="67">
        <f t="shared" si="19"/>
        <v>0</v>
      </c>
      <c r="AS56" s="67">
        <f t="shared" si="20"/>
        <v>0</v>
      </c>
      <c r="AT56" s="67">
        <f t="shared" si="21"/>
        <v>0</v>
      </c>
      <c r="AU56" s="67">
        <f t="shared" si="22"/>
        <v>0</v>
      </c>
      <c r="AV56" s="67">
        <f t="shared" si="23"/>
        <v>0</v>
      </c>
      <c r="AW56" s="68">
        <f t="shared" si="24"/>
        <v>0</v>
      </c>
      <c r="AY56" s="67">
        <f t="shared" si="25"/>
        <v>0</v>
      </c>
      <c r="AZ56" s="67">
        <f t="shared" si="26"/>
        <v>0</v>
      </c>
      <c r="BA56" s="67">
        <f t="shared" si="27"/>
        <v>0</v>
      </c>
      <c r="BB56" s="67">
        <f t="shared" si="28"/>
        <v>0</v>
      </c>
    </row>
    <row r="57">
      <c r="A57" s="7"/>
      <c r="B57" s="7"/>
      <c r="C57" s="7"/>
      <c r="D57" s="7"/>
      <c r="E57" s="7"/>
      <c r="F57" s="7"/>
      <c r="G57" s="7"/>
      <c r="H57" s="7"/>
      <c r="I57" s="7"/>
      <c r="J57" s="7"/>
      <c r="K57" s="7"/>
      <c r="L57" s="7"/>
      <c r="M57" s="7"/>
      <c r="N57" s="7"/>
      <c r="O57" s="7"/>
      <c r="P57" s="7"/>
      <c r="Q57" s="7"/>
      <c r="R57" s="7"/>
      <c r="S57" s="7"/>
      <c r="T57" s="7"/>
      <c r="U57" s="7"/>
      <c r="V57" s="7"/>
      <c r="W57" s="7"/>
      <c r="X57" s="7"/>
      <c r="Y57" s="7"/>
      <c r="Z57" s="67">
        <f t="shared" si="1"/>
        <v>0</v>
      </c>
      <c r="AA57" s="67">
        <f t="shared" si="2"/>
        <v>0</v>
      </c>
      <c r="AB57" s="67">
        <f t="shared" si="3"/>
        <v>0</v>
      </c>
      <c r="AC57" s="67">
        <f t="shared" si="4"/>
        <v>0</v>
      </c>
      <c r="AD57" s="67">
        <f t="shared" si="5"/>
        <v>0</v>
      </c>
      <c r="AE57" s="68">
        <f t="shared" si="6"/>
        <v>0</v>
      </c>
      <c r="AF57" s="67">
        <f t="shared" si="7"/>
        <v>0</v>
      </c>
      <c r="AG57" s="67">
        <f t="shared" si="8"/>
        <v>0</v>
      </c>
      <c r="AH57" s="67">
        <f t="shared" si="9"/>
        <v>0</v>
      </c>
      <c r="AI57" s="67">
        <f t="shared" si="10"/>
        <v>0</v>
      </c>
      <c r="AJ57" s="67">
        <f t="shared" si="11"/>
        <v>0</v>
      </c>
      <c r="AK57" s="68">
        <f t="shared" si="12"/>
        <v>0</v>
      </c>
      <c r="AL57" s="67">
        <f t="shared" si="13"/>
        <v>0</v>
      </c>
      <c r="AM57" s="67">
        <f t="shared" si="14"/>
        <v>0</v>
      </c>
      <c r="AN57" s="67">
        <f t="shared" si="15"/>
        <v>0</v>
      </c>
      <c r="AO57" s="67">
        <f t="shared" si="16"/>
        <v>0</v>
      </c>
      <c r="AP57" s="67">
        <f t="shared" si="17"/>
        <v>0</v>
      </c>
      <c r="AQ57" s="68">
        <f t="shared" si="18"/>
        <v>0</v>
      </c>
      <c r="AR57" s="67">
        <f t="shared" si="19"/>
        <v>0</v>
      </c>
      <c r="AS57" s="67">
        <f t="shared" si="20"/>
        <v>0</v>
      </c>
      <c r="AT57" s="67">
        <f t="shared" si="21"/>
        <v>0</v>
      </c>
      <c r="AU57" s="67">
        <f t="shared" si="22"/>
        <v>0</v>
      </c>
      <c r="AV57" s="67">
        <f t="shared" si="23"/>
        <v>0</v>
      </c>
      <c r="AW57" s="68">
        <f t="shared" si="24"/>
        <v>0</v>
      </c>
      <c r="AY57" s="67">
        <f t="shared" si="25"/>
        <v>0</v>
      </c>
      <c r="AZ57" s="67">
        <f t="shared" si="26"/>
        <v>0</v>
      </c>
      <c r="BA57" s="67">
        <f t="shared" si="27"/>
        <v>0</v>
      </c>
      <c r="BB57" s="67">
        <f t="shared" si="28"/>
        <v>0</v>
      </c>
    </row>
    <row r="58">
      <c r="A58" s="7"/>
      <c r="B58" s="7"/>
      <c r="C58" s="7"/>
      <c r="D58" s="7"/>
      <c r="E58" s="7"/>
      <c r="F58" s="7"/>
      <c r="G58" s="7"/>
      <c r="H58" s="7"/>
      <c r="I58" s="7"/>
      <c r="J58" s="7"/>
      <c r="K58" s="7"/>
      <c r="L58" s="7"/>
      <c r="M58" s="7"/>
      <c r="N58" s="7"/>
      <c r="O58" s="7"/>
      <c r="P58" s="7"/>
      <c r="Q58" s="7"/>
      <c r="R58" s="7"/>
      <c r="S58" s="7"/>
      <c r="T58" s="7"/>
      <c r="U58" s="7"/>
      <c r="V58" s="7"/>
      <c r="W58" s="7"/>
      <c r="X58" s="7"/>
      <c r="Y58" s="7"/>
      <c r="Z58" s="67">
        <f t="shared" si="1"/>
        <v>0</v>
      </c>
      <c r="AA58" s="67">
        <f t="shared" si="2"/>
        <v>0</v>
      </c>
      <c r="AB58" s="67">
        <f t="shared" si="3"/>
        <v>0</v>
      </c>
      <c r="AC58" s="67">
        <f t="shared" si="4"/>
        <v>0</v>
      </c>
      <c r="AD58" s="67">
        <f t="shared" si="5"/>
        <v>0</v>
      </c>
      <c r="AE58" s="68">
        <f t="shared" si="6"/>
        <v>0</v>
      </c>
      <c r="AF58" s="67">
        <f t="shared" si="7"/>
        <v>0</v>
      </c>
      <c r="AG58" s="67">
        <f t="shared" si="8"/>
        <v>0</v>
      </c>
      <c r="AH58" s="67">
        <f t="shared" si="9"/>
        <v>0</v>
      </c>
      <c r="AI58" s="67">
        <f t="shared" si="10"/>
        <v>0</v>
      </c>
      <c r="AJ58" s="67">
        <f t="shared" si="11"/>
        <v>0</v>
      </c>
      <c r="AK58" s="68">
        <f t="shared" si="12"/>
        <v>0</v>
      </c>
      <c r="AL58" s="67">
        <f t="shared" si="13"/>
        <v>0</v>
      </c>
      <c r="AM58" s="67">
        <f t="shared" si="14"/>
        <v>0</v>
      </c>
      <c r="AN58" s="67">
        <f t="shared" si="15"/>
        <v>0</v>
      </c>
      <c r="AO58" s="67">
        <f t="shared" si="16"/>
        <v>0</v>
      </c>
      <c r="AP58" s="67">
        <f t="shared" si="17"/>
        <v>0</v>
      </c>
      <c r="AQ58" s="68">
        <f t="shared" si="18"/>
        <v>0</v>
      </c>
      <c r="AR58" s="67">
        <f t="shared" si="19"/>
        <v>0</v>
      </c>
      <c r="AS58" s="67">
        <f t="shared" si="20"/>
        <v>0</v>
      </c>
      <c r="AT58" s="67">
        <f t="shared" si="21"/>
        <v>0</v>
      </c>
      <c r="AU58" s="67">
        <f t="shared" si="22"/>
        <v>0</v>
      </c>
      <c r="AV58" s="67">
        <f t="shared" si="23"/>
        <v>0</v>
      </c>
      <c r="AW58" s="68">
        <f t="shared" si="24"/>
        <v>0</v>
      </c>
      <c r="AY58" s="67">
        <f t="shared" si="25"/>
        <v>0</v>
      </c>
      <c r="AZ58" s="67">
        <f t="shared" si="26"/>
        <v>0</v>
      </c>
      <c r="BA58" s="67">
        <f t="shared" si="27"/>
        <v>0</v>
      </c>
      <c r="BB58" s="67">
        <f t="shared" si="28"/>
        <v>0</v>
      </c>
    </row>
    <row r="59">
      <c r="A59" s="7"/>
      <c r="B59" s="7"/>
      <c r="C59" s="7"/>
      <c r="D59" s="7"/>
      <c r="E59" s="7"/>
      <c r="F59" s="7"/>
      <c r="G59" s="7"/>
      <c r="H59" s="7"/>
      <c r="I59" s="7"/>
      <c r="J59" s="7"/>
      <c r="K59" s="7"/>
      <c r="L59" s="7"/>
      <c r="M59" s="7"/>
      <c r="N59" s="7"/>
      <c r="O59" s="7"/>
      <c r="P59" s="7"/>
      <c r="Q59" s="7"/>
      <c r="R59" s="7"/>
      <c r="S59" s="7"/>
      <c r="T59" s="7"/>
      <c r="U59" s="7"/>
      <c r="V59" s="7"/>
      <c r="W59" s="7"/>
      <c r="X59" s="7"/>
      <c r="Y59" s="7"/>
      <c r="Z59" s="67">
        <f t="shared" si="1"/>
        <v>0</v>
      </c>
      <c r="AA59" s="67">
        <f t="shared" si="2"/>
        <v>0</v>
      </c>
      <c r="AB59" s="67">
        <f t="shared" si="3"/>
        <v>0</v>
      </c>
      <c r="AC59" s="67">
        <f t="shared" si="4"/>
        <v>0</v>
      </c>
      <c r="AD59" s="67">
        <f t="shared" si="5"/>
        <v>0</v>
      </c>
      <c r="AE59" s="68">
        <f t="shared" si="6"/>
        <v>0</v>
      </c>
      <c r="AF59" s="67">
        <f t="shared" si="7"/>
        <v>0</v>
      </c>
      <c r="AG59" s="67">
        <f t="shared" si="8"/>
        <v>0</v>
      </c>
      <c r="AH59" s="67">
        <f t="shared" si="9"/>
        <v>0</v>
      </c>
      <c r="AI59" s="67">
        <f t="shared" si="10"/>
        <v>0</v>
      </c>
      <c r="AJ59" s="67">
        <f t="shared" si="11"/>
        <v>0</v>
      </c>
      <c r="AK59" s="68">
        <f t="shared" si="12"/>
        <v>0</v>
      </c>
      <c r="AL59" s="67">
        <f t="shared" si="13"/>
        <v>0</v>
      </c>
      <c r="AM59" s="67">
        <f t="shared" si="14"/>
        <v>0</v>
      </c>
      <c r="AN59" s="67">
        <f t="shared" si="15"/>
        <v>0</v>
      </c>
      <c r="AO59" s="67">
        <f t="shared" si="16"/>
        <v>0</v>
      </c>
      <c r="AP59" s="67">
        <f t="shared" si="17"/>
        <v>0</v>
      </c>
      <c r="AQ59" s="68">
        <f t="shared" si="18"/>
        <v>0</v>
      </c>
      <c r="AR59" s="67">
        <f t="shared" si="19"/>
        <v>0</v>
      </c>
      <c r="AS59" s="67">
        <f t="shared" si="20"/>
        <v>0</v>
      </c>
      <c r="AT59" s="67">
        <f t="shared" si="21"/>
        <v>0</v>
      </c>
      <c r="AU59" s="67">
        <f t="shared" si="22"/>
        <v>0</v>
      </c>
      <c r="AV59" s="67">
        <f t="shared" si="23"/>
        <v>0</v>
      </c>
      <c r="AW59" s="68">
        <f t="shared" si="24"/>
        <v>0</v>
      </c>
      <c r="AY59" s="67">
        <f t="shared" si="25"/>
        <v>0</v>
      </c>
      <c r="AZ59" s="67">
        <f t="shared" si="26"/>
        <v>0</v>
      </c>
      <c r="BA59" s="67">
        <f t="shared" si="27"/>
        <v>0</v>
      </c>
      <c r="BB59" s="67">
        <f t="shared" si="28"/>
        <v>0</v>
      </c>
    </row>
    <row r="60">
      <c r="A60" s="7"/>
      <c r="B60" s="7"/>
      <c r="C60" s="7"/>
      <c r="D60" s="7"/>
      <c r="E60" s="7"/>
      <c r="F60" s="7"/>
      <c r="G60" s="7"/>
      <c r="H60" s="7"/>
      <c r="I60" s="7"/>
      <c r="J60" s="7"/>
      <c r="K60" s="7"/>
      <c r="L60" s="7"/>
      <c r="M60" s="7"/>
      <c r="N60" s="7"/>
      <c r="O60" s="7"/>
      <c r="P60" s="7"/>
      <c r="Q60" s="7"/>
      <c r="R60" s="7"/>
      <c r="S60" s="7"/>
      <c r="T60" s="7"/>
      <c r="U60" s="7"/>
      <c r="V60" s="7"/>
      <c r="W60" s="7"/>
      <c r="X60" s="7"/>
      <c r="Y60" s="7"/>
      <c r="Z60" s="67">
        <f t="shared" si="1"/>
        <v>0</v>
      </c>
      <c r="AA60" s="67">
        <f t="shared" si="2"/>
        <v>0</v>
      </c>
      <c r="AB60" s="67">
        <f t="shared" si="3"/>
        <v>0</v>
      </c>
      <c r="AC60" s="67">
        <f t="shared" si="4"/>
        <v>0</v>
      </c>
      <c r="AD60" s="67">
        <f t="shared" si="5"/>
        <v>0</v>
      </c>
      <c r="AE60" s="68">
        <f t="shared" si="6"/>
        <v>0</v>
      </c>
      <c r="AF60" s="67">
        <f t="shared" si="7"/>
        <v>0</v>
      </c>
      <c r="AG60" s="67">
        <f t="shared" si="8"/>
        <v>0</v>
      </c>
      <c r="AH60" s="67">
        <f t="shared" si="9"/>
        <v>0</v>
      </c>
      <c r="AI60" s="67">
        <f t="shared" si="10"/>
        <v>0</v>
      </c>
      <c r="AJ60" s="67">
        <f t="shared" si="11"/>
        <v>0</v>
      </c>
      <c r="AK60" s="68">
        <f t="shared" si="12"/>
        <v>0</v>
      </c>
      <c r="AL60" s="67">
        <f t="shared" si="13"/>
        <v>0</v>
      </c>
      <c r="AM60" s="67">
        <f t="shared" si="14"/>
        <v>0</v>
      </c>
      <c r="AN60" s="67">
        <f t="shared" si="15"/>
        <v>0</v>
      </c>
      <c r="AO60" s="67">
        <f t="shared" si="16"/>
        <v>0</v>
      </c>
      <c r="AP60" s="67">
        <f t="shared" si="17"/>
        <v>0</v>
      </c>
      <c r="AQ60" s="68">
        <f t="shared" si="18"/>
        <v>0</v>
      </c>
      <c r="AR60" s="67">
        <f t="shared" si="19"/>
        <v>0</v>
      </c>
      <c r="AS60" s="67">
        <f t="shared" si="20"/>
        <v>0</v>
      </c>
      <c r="AT60" s="67">
        <f t="shared" si="21"/>
        <v>0</v>
      </c>
      <c r="AU60" s="67">
        <f t="shared" si="22"/>
        <v>0</v>
      </c>
      <c r="AV60" s="67">
        <f t="shared" si="23"/>
        <v>0</v>
      </c>
      <c r="AW60" s="68">
        <f t="shared" si="24"/>
        <v>0</v>
      </c>
      <c r="AY60" s="67">
        <f t="shared" si="25"/>
        <v>0</v>
      </c>
      <c r="AZ60" s="67">
        <f t="shared" si="26"/>
        <v>0</v>
      </c>
      <c r="BA60" s="67">
        <f t="shared" si="27"/>
        <v>0</v>
      </c>
      <c r="BB60" s="67">
        <f t="shared" si="28"/>
        <v>0</v>
      </c>
    </row>
    <row r="61">
      <c r="A61" s="7"/>
      <c r="B61" s="7"/>
      <c r="C61" s="7"/>
      <c r="D61" s="7"/>
      <c r="E61" s="7"/>
      <c r="F61" s="7"/>
      <c r="G61" s="7"/>
      <c r="H61" s="7"/>
      <c r="I61" s="7"/>
      <c r="J61" s="7"/>
      <c r="K61" s="7"/>
      <c r="L61" s="7"/>
      <c r="M61" s="7"/>
      <c r="N61" s="7"/>
      <c r="O61" s="7"/>
      <c r="P61" s="7"/>
      <c r="Q61" s="7"/>
      <c r="R61" s="7"/>
      <c r="S61" s="7"/>
      <c r="T61" s="7"/>
      <c r="U61" s="7"/>
      <c r="V61" s="7"/>
      <c r="W61" s="7"/>
      <c r="X61" s="7"/>
      <c r="Y61" s="7"/>
      <c r="Z61" s="67">
        <f t="shared" si="1"/>
        <v>0</v>
      </c>
      <c r="AA61" s="67">
        <f t="shared" si="2"/>
        <v>0</v>
      </c>
      <c r="AB61" s="67">
        <f t="shared" si="3"/>
        <v>0</v>
      </c>
      <c r="AC61" s="67">
        <f t="shared" si="4"/>
        <v>0</v>
      </c>
      <c r="AD61" s="67">
        <f t="shared" si="5"/>
        <v>0</v>
      </c>
      <c r="AE61" s="68">
        <f t="shared" si="6"/>
        <v>0</v>
      </c>
      <c r="AF61" s="67">
        <f t="shared" si="7"/>
        <v>0</v>
      </c>
      <c r="AG61" s="67">
        <f t="shared" si="8"/>
        <v>0</v>
      </c>
      <c r="AH61" s="67">
        <f t="shared" si="9"/>
        <v>0</v>
      </c>
      <c r="AI61" s="67">
        <f t="shared" si="10"/>
        <v>0</v>
      </c>
      <c r="AJ61" s="67">
        <f t="shared" si="11"/>
        <v>0</v>
      </c>
      <c r="AK61" s="68">
        <f t="shared" si="12"/>
        <v>0</v>
      </c>
      <c r="AL61" s="67">
        <f t="shared" si="13"/>
        <v>0</v>
      </c>
      <c r="AM61" s="67">
        <f t="shared" si="14"/>
        <v>0</v>
      </c>
      <c r="AN61" s="67">
        <f t="shared" si="15"/>
        <v>0</v>
      </c>
      <c r="AO61" s="67">
        <f t="shared" si="16"/>
        <v>0</v>
      </c>
      <c r="AP61" s="67">
        <f t="shared" si="17"/>
        <v>0</v>
      </c>
      <c r="AQ61" s="68">
        <f t="shared" si="18"/>
        <v>0</v>
      </c>
      <c r="AR61" s="67">
        <f t="shared" si="19"/>
        <v>0</v>
      </c>
      <c r="AS61" s="67">
        <f t="shared" si="20"/>
        <v>0</v>
      </c>
      <c r="AT61" s="67">
        <f t="shared" si="21"/>
        <v>0</v>
      </c>
      <c r="AU61" s="67">
        <f t="shared" si="22"/>
        <v>0</v>
      </c>
      <c r="AV61" s="67">
        <f t="shared" si="23"/>
        <v>0</v>
      </c>
      <c r="AW61" s="68">
        <f t="shared" si="24"/>
        <v>0</v>
      </c>
      <c r="AY61" s="67">
        <f t="shared" si="25"/>
        <v>0</v>
      </c>
      <c r="AZ61" s="67">
        <f t="shared" si="26"/>
        <v>0</v>
      </c>
      <c r="BA61" s="67">
        <f t="shared" si="27"/>
        <v>0</v>
      </c>
      <c r="BB61" s="67">
        <f t="shared" si="28"/>
        <v>0</v>
      </c>
    </row>
    <row r="62">
      <c r="A62" s="7"/>
      <c r="B62" s="7"/>
      <c r="C62" s="7"/>
      <c r="D62" s="7"/>
      <c r="E62" s="7"/>
      <c r="F62" s="7"/>
      <c r="G62" s="7"/>
      <c r="H62" s="7"/>
      <c r="I62" s="7"/>
      <c r="J62" s="7"/>
      <c r="K62" s="7"/>
      <c r="L62" s="7"/>
      <c r="M62" s="7"/>
      <c r="N62" s="7"/>
      <c r="O62" s="7"/>
      <c r="P62" s="7"/>
      <c r="Q62" s="7"/>
      <c r="R62" s="7"/>
      <c r="S62" s="7"/>
      <c r="T62" s="7"/>
      <c r="U62" s="7"/>
      <c r="V62" s="7"/>
      <c r="W62" s="7"/>
      <c r="X62" s="7"/>
      <c r="Y62" s="7"/>
      <c r="Z62" s="67">
        <f t="shared" si="1"/>
        <v>0</v>
      </c>
      <c r="AA62" s="67">
        <f t="shared" si="2"/>
        <v>0</v>
      </c>
      <c r="AB62" s="67">
        <f t="shared" si="3"/>
        <v>0</v>
      </c>
      <c r="AC62" s="67">
        <f t="shared" si="4"/>
        <v>0</v>
      </c>
      <c r="AD62" s="67">
        <f t="shared" si="5"/>
        <v>0</v>
      </c>
      <c r="AE62" s="68">
        <f t="shared" si="6"/>
        <v>0</v>
      </c>
      <c r="AF62" s="67">
        <f t="shared" si="7"/>
        <v>0</v>
      </c>
      <c r="AG62" s="67">
        <f t="shared" si="8"/>
        <v>0</v>
      </c>
      <c r="AH62" s="67">
        <f t="shared" si="9"/>
        <v>0</v>
      </c>
      <c r="AI62" s="67">
        <f t="shared" si="10"/>
        <v>0</v>
      </c>
      <c r="AJ62" s="67">
        <f t="shared" si="11"/>
        <v>0</v>
      </c>
      <c r="AK62" s="68">
        <f t="shared" si="12"/>
        <v>0</v>
      </c>
      <c r="AL62" s="67">
        <f t="shared" si="13"/>
        <v>0</v>
      </c>
      <c r="AM62" s="67">
        <f t="shared" si="14"/>
        <v>0</v>
      </c>
      <c r="AN62" s="67">
        <f t="shared" si="15"/>
        <v>0</v>
      </c>
      <c r="AO62" s="67">
        <f t="shared" si="16"/>
        <v>0</v>
      </c>
      <c r="AP62" s="67">
        <f t="shared" si="17"/>
        <v>0</v>
      </c>
      <c r="AQ62" s="68">
        <f t="shared" si="18"/>
        <v>0</v>
      </c>
      <c r="AR62" s="67">
        <f t="shared" si="19"/>
        <v>0</v>
      </c>
      <c r="AS62" s="67">
        <f t="shared" si="20"/>
        <v>0</v>
      </c>
      <c r="AT62" s="67">
        <f t="shared" si="21"/>
        <v>0</v>
      </c>
      <c r="AU62" s="67">
        <f t="shared" si="22"/>
        <v>0</v>
      </c>
      <c r="AV62" s="67">
        <f t="shared" si="23"/>
        <v>0</v>
      </c>
      <c r="AW62" s="68">
        <f t="shared" si="24"/>
        <v>0</v>
      </c>
      <c r="AY62" s="67">
        <f t="shared" si="25"/>
        <v>0</v>
      </c>
      <c r="AZ62" s="67">
        <f t="shared" si="26"/>
        <v>0</v>
      </c>
      <c r="BA62" s="67">
        <f t="shared" si="27"/>
        <v>0</v>
      </c>
      <c r="BB62" s="67">
        <f t="shared" si="28"/>
        <v>0</v>
      </c>
    </row>
    <row r="63">
      <c r="A63" s="7"/>
      <c r="B63" s="7"/>
      <c r="C63" s="7"/>
      <c r="D63" s="7"/>
      <c r="E63" s="7"/>
      <c r="F63" s="7"/>
      <c r="G63" s="7"/>
      <c r="H63" s="7"/>
      <c r="I63" s="7"/>
      <c r="J63" s="7"/>
      <c r="K63" s="7"/>
      <c r="L63" s="7"/>
      <c r="M63" s="7"/>
      <c r="N63" s="7"/>
      <c r="O63" s="7"/>
      <c r="P63" s="7"/>
      <c r="Q63" s="7"/>
      <c r="R63" s="7"/>
      <c r="S63" s="7"/>
      <c r="T63" s="7"/>
      <c r="U63" s="7"/>
      <c r="V63" s="7"/>
      <c r="W63" s="7"/>
      <c r="X63" s="7"/>
      <c r="Y63" s="7"/>
      <c r="Z63" s="67">
        <f t="shared" si="1"/>
        <v>0</v>
      </c>
      <c r="AA63" s="67">
        <f t="shared" si="2"/>
        <v>0</v>
      </c>
      <c r="AB63" s="67">
        <f t="shared" si="3"/>
        <v>0</v>
      </c>
      <c r="AC63" s="67">
        <f t="shared" si="4"/>
        <v>0</v>
      </c>
      <c r="AD63" s="67">
        <f t="shared" si="5"/>
        <v>0</v>
      </c>
      <c r="AE63" s="68">
        <f t="shared" si="6"/>
        <v>0</v>
      </c>
      <c r="AF63" s="67">
        <f t="shared" si="7"/>
        <v>0</v>
      </c>
      <c r="AG63" s="67">
        <f t="shared" si="8"/>
        <v>0</v>
      </c>
      <c r="AH63" s="67">
        <f t="shared" si="9"/>
        <v>0</v>
      </c>
      <c r="AI63" s="67">
        <f t="shared" si="10"/>
        <v>0</v>
      </c>
      <c r="AJ63" s="67">
        <f t="shared" si="11"/>
        <v>0</v>
      </c>
      <c r="AK63" s="68">
        <f t="shared" si="12"/>
        <v>0</v>
      </c>
      <c r="AL63" s="67">
        <f t="shared" si="13"/>
        <v>0</v>
      </c>
      <c r="AM63" s="67">
        <f t="shared" si="14"/>
        <v>0</v>
      </c>
      <c r="AN63" s="67">
        <f t="shared" si="15"/>
        <v>0</v>
      </c>
      <c r="AO63" s="67">
        <f t="shared" si="16"/>
        <v>0</v>
      </c>
      <c r="AP63" s="67">
        <f t="shared" si="17"/>
        <v>0</v>
      </c>
      <c r="AQ63" s="68">
        <f t="shared" si="18"/>
        <v>0</v>
      </c>
      <c r="AR63" s="67">
        <f t="shared" si="19"/>
        <v>0</v>
      </c>
      <c r="AS63" s="67">
        <f t="shared" si="20"/>
        <v>0</v>
      </c>
      <c r="AT63" s="67">
        <f t="shared" si="21"/>
        <v>0</v>
      </c>
      <c r="AU63" s="67">
        <f t="shared" si="22"/>
        <v>0</v>
      </c>
      <c r="AV63" s="67">
        <f t="shared" si="23"/>
        <v>0</v>
      </c>
      <c r="AW63" s="68">
        <f t="shared" si="24"/>
        <v>0</v>
      </c>
      <c r="AY63" s="67">
        <f t="shared" si="25"/>
        <v>0</v>
      </c>
      <c r="AZ63" s="67">
        <f t="shared" si="26"/>
        <v>0</v>
      </c>
      <c r="BA63" s="67">
        <f t="shared" si="27"/>
        <v>0</v>
      </c>
      <c r="BB63" s="67">
        <f t="shared" si="28"/>
        <v>0</v>
      </c>
    </row>
    <row r="64">
      <c r="A64" s="7"/>
      <c r="B64" s="7"/>
      <c r="C64" s="7"/>
      <c r="D64" s="7"/>
      <c r="E64" s="7"/>
      <c r="F64" s="7"/>
      <c r="G64" s="7"/>
      <c r="H64" s="7"/>
      <c r="I64" s="7"/>
      <c r="J64" s="7"/>
      <c r="K64" s="7"/>
      <c r="L64" s="7"/>
      <c r="M64" s="7"/>
      <c r="N64" s="7"/>
      <c r="O64" s="7"/>
      <c r="P64" s="7"/>
      <c r="Q64" s="7"/>
      <c r="R64" s="7"/>
      <c r="S64" s="7"/>
      <c r="T64" s="7"/>
      <c r="U64" s="7"/>
      <c r="V64" s="7"/>
      <c r="W64" s="7"/>
      <c r="X64" s="7"/>
      <c r="Y64" s="7"/>
      <c r="Z64" s="67">
        <f t="shared" si="1"/>
        <v>0</v>
      </c>
      <c r="AA64" s="67">
        <f t="shared" si="2"/>
        <v>0</v>
      </c>
      <c r="AB64" s="67">
        <f t="shared" si="3"/>
        <v>0</v>
      </c>
      <c r="AC64" s="67">
        <f t="shared" si="4"/>
        <v>0</v>
      </c>
      <c r="AD64" s="67">
        <f t="shared" si="5"/>
        <v>0</v>
      </c>
      <c r="AE64" s="68">
        <f t="shared" si="6"/>
        <v>0</v>
      </c>
      <c r="AF64" s="67">
        <f t="shared" si="7"/>
        <v>0</v>
      </c>
      <c r="AG64" s="67">
        <f t="shared" si="8"/>
        <v>0</v>
      </c>
      <c r="AH64" s="67">
        <f t="shared" si="9"/>
        <v>0</v>
      </c>
      <c r="AI64" s="67">
        <f t="shared" si="10"/>
        <v>0</v>
      </c>
      <c r="AJ64" s="67">
        <f t="shared" si="11"/>
        <v>0</v>
      </c>
      <c r="AK64" s="68">
        <f t="shared" si="12"/>
        <v>0</v>
      </c>
      <c r="AL64" s="67">
        <f t="shared" si="13"/>
        <v>0</v>
      </c>
      <c r="AM64" s="67">
        <f t="shared" si="14"/>
        <v>0</v>
      </c>
      <c r="AN64" s="67">
        <f t="shared" si="15"/>
        <v>0</v>
      </c>
      <c r="AO64" s="67">
        <f t="shared" si="16"/>
        <v>0</v>
      </c>
      <c r="AP64" s="67">
        <f t="shared" si="17"/>
        <v>0</v>
      </c>
      <c r="AQ64" s="68">
        <f t="shared" si="18"/>
        <v>0</v>
      </c>
      <c r="AR64" s="67">
        <f t="shared" si="19"/>
        <v>0</v>
      </c>
      <c r="AS64" s="67">
        <f t="shared" si="20"/>
        <v>0</v>
      </c>
      <c r="AT64" s="67">
        <f t="shared" si="21"/>
        <v>0</v>
      </c>
      <c r="AU64" s="67">
        <f t="shared" si="22"/>
        <v>0</v>
      </c>
      <c r="AV64" s="67">
        <f t="shared" si="23"/>
        <v>0</v>
      </c>
      <c r="AW64" s="68">
        <f t="shared" si="24"/>
        <v>0</v>
      </c>
      <c r="AY64" s="67">
        <f t="shared" si="25"/>
        <v>0</v>
      </c>
      <c r="AZ64" s="67">
        <f t="shared" si="26"/>
        <v>0</v>
      </c>
      <c r="BA64" s="67">
        <f t="shared" si="27"/>
        <v>0</v>
      </c>
      <c r="BB64" s="67">
        <f t="shared" si="28"/>
        <v>0</v>
      </c>
    </row>
    <row r="65">
      <c r="A65" s="7"/>
      <c r="B65" s="7"/>
      <c r="C65" s="7"/>
      <c r="D65" s="7"/>
      <c r="E65" s="7"/>
      <c r="F65" s="7"/>
      <c r="G65" s="7"/>
      <c r="H65" s="7"/>
      <c r="I65" s="7"/>
      <c r="J65" s="7"/>
      <c r="K65" s="7"/>
      <c r="L65" s="7"/>
      <c r="M65" s="7"/>
      <c r="N65" s="7"/>
      <c r="O65" s="7"/>
      <c r="P65" s="7"/>
      <c r="Q65" s="7"/>
      <c r="R65" s="7"/>
      <c r="S65" s="7"/>
      <c r="T65" s="7"/>
      <c r="U65" s="7"/>
      <c r="V65" s="7"/>
      <c r="W65" s="7"/>
      <c r="X65" s="7"/>
      <c r="Y65" s="7"/>
      <c r="Z65" s="67">
        <f t="shared" si="1"/>
        <v>0</v>
      </c>
      <c r="AA65" s="67">
        <f t="shared" si="2"/>
        <v>0</v>
      </c>
      <c r="AB65" s="67">
        <f t="shared" si="3"/>
        <v>0</v>
      </c>
      <c r="AC65" s="67">
        <f t="shared" si="4"/>
        <v>0</v>
      </c>
      <c r="AD65" s="67">
        <f t="shared" si="5"/>
        <v>0</v>
      </c>
      <c r="AE65" s="68">
        <f t="shared" si="6"/>
        <v>0</v>
      </c>
      <c r="AF65" s="67">
        <f t="shared" si="7"/>
        <v>0</v>
      </c>
      <c r="AG65" s="67">
        <f t="shared" si="8"/>
        <v>0</v>
      </c>
      <c r="AH65" s="67">
        <f t="shared" si="9"/>
        <v>0</v>
      </c>
      <c r="AI65" s="67">
        <f t="shared" si="10"/>
        <v>0</v>
      </c>
      <c r="AJ65" s="67">
        <f t="shared" si="11"/>
        <v>0</v>
      </c>
      <c r="AK65" s="68">
        <f t="shared" si="12"/>
        <v>0</v>
      </c>
      <c r="AL65" s="67">
        <f t="shared" si="13"/>
        <v>0</v>
      </c>
      <c r="AM65" s="67">
        <f t="shared" si="14"/>
        <v>0</v>
      </c>
      <c r="AN65" s="67">
        <f t="shared" si="15"/>
        <v>0</v>
      </c>
      <c r="AO65" s="67">
        <f t="shared" si="16"/>
        <v>0</v>
      </c>
      <c r="AP65" s="67">
        <f t="shared" si="17"/>
        <v>0</v>
      </c>
      <c r="AQ65" s="68">
        <f t="shared" si="18"/>
        <v>0</v>
      </c>
      <c r="AR65" s="67">
        <f t="shared" si="19"/>
        <v>0</v>
      </c>
      <c r="AS65" s="67">
        <f t="shared" si="20"/>
        <v>0</v>
      </c>
      <c r="AT65" s="67">
        <f t="shared" si="21"/>
        <v>0</v>
      </c>
      <c r="AU65" s="67">
        <f t="shared" si="22"/>
        <v>0</v>
      </c>
      <c r="AV65" s="67">
        <f t="shared" si="23"/>
        <v>0</v>
      </c>
      <c r="AW65" s="68">
        <f t="shared" si="24"/>
        <v>0</v>
      </c>
      <c r="AY65" s="67">
        <f t="shared" si="25"/>
        <v>0</v>
      </c>
      <c r="AZ65" s="67">
        <f t="shared" si="26"/>
        <v>0</v>
      </c>
      <c r="BA65" s="67">
        <f t="shared" si="27"/>
        <v>0</v>
      </c>
      <c r="BB65" s="67">
        <f t="shared" si="28"/>
        <v>0</v>
      </c>
    </row>
    <row r="66">
      <c r="A66" s="7"/>
      <c r="B66" s="7"/>
      <c r="C66" s="7"/>
      <c r="D66" s="7"/>
      <c r="E66" s="7"/>
      <c r="F66" s="7"/>
      <c r="G66" s="7"/>
      <c r="H66" s="7"/>
      <c r="I66" s="7"/>
      <c r="J66" s="7"/>
      <c r="K66" s="7"/>
      <c r="L66" s="7"/>
      <c r="M66" s="7"/>
      <c r="N66" s="7"/>
      <c r="O66" s="7"/>
      <c r="P66" s="7"/>
      <c r="Q66" s="7"/>
      <c r="R66" s="7"/>
      <c r="S66" s="7"/>
      <c r="T66" s="7"/>
      <c r="U66" s="7"/>
      <c r="V66" s="7"/>
      <c r="W66" s="7"/>
      <c r="X66" s="7"/>
      <c r="Y66" s="7"/>
      <c r="Z66" s="67">
        <f t="shared" si="1"/>
        <v>0</v>
      </c>
      <c r="AA66" s="67">
        <f t="shared" si="2"/>
        <v>0</v>
      </c>
      <c r="AB66" s="67">
        <f t="shared" si="3"/>
        <v>0</v>
      </c>
      <c r="AC66" s="67">
        <f t="shared" si="4"/>
        <v>0</v>
      </c>
      <c r="AD66" s="67">
        <f t="shared" si="5"/>
        <v>0</v>
      </c>
      <c r="AE66" s="68">
        <f t="shared" si="6"/>
        <v>0</v>
      </c>
      <c r="AF66" s="67">
        <f t="shared" si="7"/>
        <v>0</v>
      </c>
      <c r="AG66" s="67">
        <f t="shared" si="8"/>
        <v>0</v>
      </c>
      <c r="AH66" s="67">
        <f t="shared" si="9"/>
        <v>0</v>
      </c>
      <c r="AI66" s="67">
        <f t="shared" si="10"/>
        <v>0</v>
      </c>
      <c r="AJ66" s="67">
        <f t="shared" si="11"/>
        <v>0</v>
      </c>
      <c r="AK66" s="68">
        <f t="shared" si="12"/>
        <v>0</v>
      </c>
      <c r="AL66" s="67">
        <f t="shared" si="13"/>
        <v>0</v>
      </c>
      <c r="AM66" s="67">
        <f t="shared" si="14"/>
        <v>0</v>
      </c>
      <c r="AN66" s="67">
        <f t="shared" si="15"/>
        <v>0</v>
      </c>
      <c r="AO66" s="67">
        <f t="shared" si="16"/>
        <v>0</v>
      </c>
      <c r="AP66" s="67">
        <f t="shared" si="17"/>
        <v>0</v>
      </c>
      <c r="AQ66" s="68">
        <f t="shared" si="18"/>
        <v>0</v>
      </c>
      <c r="AR66" s="67">
        <f t="shared" si="19"/>
        <v>0</v>
      </c>
      <c r="AS66" s="67">
        <f t="shared" si="20"/>
        <v>0</v>
      </c>
      <c r="AT66" s="67">
        <f t="shared" si="21"/>
        <v>0</v>
      </c>
      <c r="AU66" s="67">
        <f t="shared" si="22"/>
        <v>0</v>
      </c>
      <c r="AV66" s="67">
        <f t="shared" si="23"/>
        <v>0</v>
      </c>
      <c r="AW66" s="68">
        <f t="shared" si="24"/>
        <v>0</v>
      </c>
      <c r="AY66" s="67">
        <f t="shared" si="25"/>
        <v>0</v>
      </c>
      <c r="AZ66" s="67">
        <f t="shared" si="26"/>
        <v>0</v>
      </c>
      <c r="BA66" s="67">
        <f t="shared" si="27"/>
        <v>0</v>
      </c>
      <c r="BB66" s="67">
        <f t="shared" si="28"/>
        <v>0</v>
      </c>
    </row>
    <row r="67">
      <c r="A67" s="7"/>
      <c r="B67" s="7"/>
      <c r="C67" s="7"/>
      <c r="D67" s="7"/>
      <c r="E67" s="7"/>
      <c r="F67" s="7"/>
      <c r="G67" s="7"/>
      <c r="H67" s="7"/>
      <c r="I67" s="7"/>
      <c r="J67" s="7"/>
      <c r="K67" s="7"/>
      <c r="L67" s="7"/>
      <c r="M67" s="7"/>
      <c r="N67" s="7"/>
      <c r="O67" s="7"/>
      <c r="P67" s="7"/>
      <c r="Q67" s="7"/>
      <c r="R67" s="7"/>
      <c r="S67" s="7"/>
      <c r="T67" s="7"/>
      <c r="U67" s="7"/>
      <c r="V67" s="7"/>
      <c r="W67" s="7"/>
      <c r="X67" s="7"/>
      <c r="Y67" s="7"/>
      <c r="Z67" s="67">
        <f t="shared" si="1"/>
        <v>0</v>
      </c>
      <c r="AA67" s="67">
        <f t="shared" si="2"/>
        <v>0</v>
      </c>
      <c r="AB67" s="67">
        <f t="shared" si="3"/>
        <v>0</v>
      </c>
      <c r="AC67" s="67">
        <f t="shared" si="4"/>
        <v>0</v>
      </c>
      <c r="AD67" s="67">
        <f t="shared" si="5"/>
        <v>0</v>
      </c>
      <c r="AE67" s="68">
        <f t="shared" si="6"/>
        <v>0</v>
      </c>
      <c r="AF67" s="67">
        <f t="shared" si="7"/>
        <v>0</v>
      </c>
      <c r="AG67" s="67">
        <f t="shared" si="8"/>
        <v>0</v>
      </c>
      <c r="AH67" s="67">
        <f t="shared" si="9"/>
        <v>0</v>
      </c>
      <c r="AI67" s="67">
        <f t="shared" si="10"/>
        <v>0</v>
      </c>
      <c r="AJ67" s="67">
        <f t="shared" si="11"/>
        <v>0</v>
      </c>
      <c r="AK67" s="68">
        <f t="shared" si="12"/>
        <v>0</v>
      </c>
      <c r="AL67" s="67">
        <f t="shared" si="13"/>
        <v>0</v>
      </c>
      <c r="AM67" s="67">
        <f t="shared" si="14"/>
        <v>0</v>
      </c>
      <c r="AN67" s="67">
        <f t="shared" si="15"/>
        <v>0</v>
      </c>
      <c r="AO67" s="67">
        <f t="shared" si="16"/>
        <v>0</v>
      </c>
      <c r="AP67" s="67">
        <f t="shared" si="17"/>
        <v>0</v>
      </c>
      <c r="AQ67" s="68">
        <f t="shared" si="18"/>
        <v>0</v>
      </c>
      <c r="AR67" s="67">
        <f t="shared" si="19"/>
        <v>0</v>
      </c>
      <c r="AS67" s="67">
        <f t="shared" si="20"/>
        <v>0</v>
      </c>
      <c r="AT67" s="67">
        <f t="shared" si="21"/>
        <v>0</v>
      </c>
      <c r="AU67" s="67">
        <f t="shared" si="22"/>
        <v>0</v>
      </c>
      <c r="AV67" s="67">
        <f t="shared" si="23"/>
        <v>0</v>
      </c>
      <c r="AW67" s="68">
        <f t="shared" si="24"/>
        <v>0</v>
      </c>
      <c r="AY67" s="67">
        <f t="shared" si="25"/>
        <v>0</v>
      </c>
      <c r="AZ67" s="67">
        <f t="shared" si="26"/>
        <v>0</v>
      </c>
      <c r="BA67" s="67">
        <f t="shared" si="27"/>
        <v>0</v>
      </c>
      <c r="BB67" s="67">
        <f t="shared" si="28"/>
        <v>0</v>
      </c>
    </row>
    <row r="68">
      <c r="A68" s="7"/>
      <c r="B68" s="7"/>
      <c r="C68" s="7"/>
      <c r="D68" s="7"/>
      <c r="E68" s="7"/>
      <c r="F68" s="7"/>
      <c r="G68" s="7"/>
      <c r="H68" s="7"/>
      <c r="I68" s="7"/>
      <c r="J68" s="7"/>
      <c r="K68" s="7"/>
      <c r="L68" s="7"/>
      <c r="M68" s="7"/>
      <c r="N68" s="7"/>
      <c r="O68" s="7"/>
      <c r="P68" s="7"/>
      <c r="Q68" s="7"/>
      <c r="R68" s="7"/>
      <c r="S68" s="7"/>
      <c r="T68" s="7"/>
      <c r="U68" s="7"/>
      <c r="V68" s="7"/>
      <c r="W68" s="7"/>
      <c r="X68" s="7"/>
      <c r="Y68" s="7"/>
      <c r="Z68" s="67">
        <f t="shared" si="1"/>
        <v>0</v>
      </c>
      <c r="AA68" s="67">
        <f t="shared" si="2"/>
        <v>0</v>
      </c>
      <c r="AB68" s="67">
        <f t="shared" si="3"/>
        <v>0</v>
      </c>
      <c r="AC68" s="67">
        <f t="shared" si="4"/>
        <v>0</v>
      </c>
      <c r="AD68" s="67">
        <f t="shared" si="5"/>
        <v>0</v>
      </c>
      <c r="AE68" s="68">
        <f t="shared" si="6"/>
        <v>0</v>
      </c>
      <c r="AF68" s="67">
        <f t="shared" si="7"/>
        <v>0</v>
      </c>
      <c r="AG68" s="67">
        <f t="shared" si="8"/>
        <v>0</v>
      </c>
      <c r="AH68" s="67">
        <f t="shared" si="9"/>
        <v>0</v>
      </c>
      <c r="AI68" s="67">
        <f t="shared" si="10"/>
        <v>0</v>
      </c>
      <c r="AJ68" s="67">
        <f t="shared" si="11"/>
        <v>0</v>
      </c>
      <c r="AK68" s="68">
        <f t="shared" si="12"/>
        <v>0</v>
      </c>
      <c r="AL68" s="67">
        <f t="shared" si="13"/>
        <v>0</v>
      </c>
      <c r="AM68" s="67">
        <f t="shared" si="14"/>
        <v>0</v>
      </c>
      <c r="AN68" s="67">
        <f t="shared" si="15"/>
        <v>0</v>
      </c>
      <c r="AO68" s="67">
        <f t="shared" si="16"/>
        <v>0</v>
      </c>
      <c r="AP68" s="67">
        <f t="shared" si="17"/>
        <v>0</v>
      </c>
      <c r="AQ68" s="68">
        <f t="shared" si="18"/>
        <v>0</v>
      </c>
      <c r="AR68" s="67">
        <f t="shared" si="19"/>
        <v>0</v>
      </c>
      <c r="AS68" s="67">
        <f t="shared" si="20"/>
        <v>0</v>
      </c>
      <c r="AT68" s="67">
        <f t="shared" si="21"/>
        <v>0</v>
      </c>
      <c r="AU68" s="67">
        <f t="shared" si="22"/>
        <v>0</v>
      </c>
      <c r="AV68" s="67">
        <f t="shared" si="23"/>
        <v>0</v>
      </c>
      <c r="AW68" s="68">
        <f t="shared" si="24"/>
        <v>0</v>
      </c>
      <c r="AY68" s="67">
        <f t="shared" si="25"/>
        <v>0</v>
      </c>
      <c r="AZ68" s="67">
        <f t="shared" si="26"/>
        <v>0</v>
      </c>
      <c r="BA68" s="67">
        <f t="shared" si="27"/>
        <v>0</v>
      </c>
      <c r="BB68" s="67">
        <f t="shared" si="28"/>
        <v>0</v>
      </c>
    </row>
    <row r="69">
      <c r="A69" s="7"/>
      <c r="B69" s="7"/>
      <c r="C69" s="7"/>
      <c r="D69" s="7"/>
      <c r="E69" s="7"/>
      <c r="F69" s="7"/>
      <c r="G69" s="7"/>
      <c r="H69" s="7"/>
      <c r="I69" s="7"/>
      <c r="J69" s="7"/>
      <c r="K69" s="7"/>
      <c r="L69" s="7"/>
      <c r="M69" s="7"/>
      <c r="N69" s="7"/>
      <c r="O69" s="7"/>
      <c r="P69" s="7"/>
      <c r="Q69" s="7"/>
      <c r="R69" s="7"/>
      <c r="S69" s="7"/>
      <c r="T69" s="7"/>
      <c r="U69" s="7"/>
      <c r="V69" s="7"/>
      <c r="W69" s="7"/>
      <c r="X69" s="7"/>
      <c r="Y69" s="7"/>
      <c r="Z69" s="67">
        <f t="shared" si="1"/>
        <v>0</v>
      </c>
      <c r="AA69" s="67">
        <f t="shared" si="2"/>
        <v>0</v>
      </c>
      <c r="AB69" s="67">
        <f t="shared" si="3"/>
        <v>0</v>
      </c>
      <c r="AC69" s="67">
        <f t="shared" si="4"/>
        <v>0</v>
      </c>
      <c r="AD69" s="67">
        <f t="shared" si="5"/>
        <v>0</v>
      </c>
      <c r="AE69" s="68">
        <f t="shared" si="6"/>
        <v>0</v>
      </c>
      <c r="AF69" s="67">
        <f t="shared" si="7"/>
        <v>0</v>
      </c>
      <c r="AG69" s="67">
        <f t="shared" si="8"/>
        <v>0</v>
      </c>
      <c r="AH69" s="67">
        <f t="shared" si="9"/>
        <v>0</v>
      </c>
      <c r="AI69" s="67">
        <f t="shared" si="10"/>
        <v>0</v>
      </c>
      <c r="AJ69" s="67">
        <f t="shared" si="11"/>
        <v>0</v>
      </c>
      <c r="AK69" s="68">
        <f t="shared" si="12"/>
        <v>0</v>
      </c>
      <c r="AL69" s="67">
        <f t="shared" si="13"/>
        <v>0</v>
      </c>
      <c r="AM69" s="67">
        <f t="shared" si="14"/>
        <v>0</v>
      </c>
      <c r="AN69" s="67">
        <f t="shared" si="15"/>
        <v>0</v>
      </c>
      <c r="AO69" s="67">
        <f t="shared" si="16"/>
        <v>0</v>
      </c>
      <c r="AP69" s="67">
        <f t="shared" si="17"/>
        <v>0</v>
      </c>
      <c r="AQ69" s="68">
        <f t="shared" si="18"/>
        <v>0</v>
      </c>
      <c r="AR69" s="67">
        <f t="shared" si="19"/>
        <v>0</v>
      </c>
      <c r="AS69" s="67">
        <f t="shared" si="20"/>
        <v>0</v>
      </c>
      <c r="AT69" s="67">
        <f t="shared" si="21"/>
        <v>0</v>
      </c>
      <c r="AU69" s="67">
        <f t="shared" si="22"/>
        <v>0</v>
      </c>
      <c r="AV69" s="67">
        <f t="shared" si="23"/>
        <v>0</v>
      </c>
      <c r="AW69" s="68">
        <f t="shared" si="24"/>
        <v>0</v>
      </c>
      <c r="AY69" s="67">
        <f t="shared" si="25"/>
        <v>0</v>
      </c>
      <c r="AZ69" s="67">
        <f t="shared" si="26"/>
        <v>0</v>
      </c>
      <c r="BA69" s="67">
        <f t="shared" si="27"/>
        <v>0</v>
      </c>
      <c r="BB69" s="67">
        <f t="shared" si="28"/>
        <v>0</v>
      </c>
    </row>
    <row r="70">
      <c r="A70" s="7"/>
      <c r="B70" s="7"/>
      <c r="C70" s="7"/>
      <c r="D70" s="7"/>
      <c r="E70" s="7"/>
      <c r="F70" s="7"/>
      <c r="G70" s="7"/>
      <c r="H70" s="7"/>
      <c r="I70" s="7"/>
      <c r="J70" s="7"/>
      <c r="K70" s="7"/>
      <c r="L70" s="7"/>
      <c r="M70" s="7"/>
      <c r="N70" s="7"/>
      <c r="O70" s="7"/>
      <c r="P70" s="7"/>
      <c r="Q70" s="7"/>
      <c r="R70" s="7"/>
      <c r="S70" s="7"/>
      <c r="T70" s="7"/>
      <c r="U70" s="7"/>
      <c r="V70" s="7"/>
      <c r="W70" s="7"/>
      <c r="X70" s="7"/>
      <c r="Y70" s="7"/>
      <c r="Z70" s="67">
        <f t="shared" si="1"/>
        <v>0</v>
      </c>
      <c r="AA70" s="67">
        <f t="shared" si="2"/>
        <v>0</v>
      </c>
      <c r="AB70" s="67">
        <f t="shared" si="3"/>
        <v>0</v>
      </c>
      <c r="AC70" s="67">
        <f t="shared" si="4"/>
        <v>0</v>
      </c>
      <c r="AD70" s="67">
        <f t="shared" si="5"/>
        <v>0</v>
      </c>
      <c r="AE70" s="68">
        <f t="shared" si="6"/>
        <v>0</v>
      </c>
      <c r="AF70" s="67">
        <f t="shared" si="7"/>
        <v>0</v>
      </c>
      <c r="AG70" s="67">
        <f t="shared" si="8"/>
        <v>0</v>
      </c>
      <c r="AH70" s="67">
        <f t="shared" si="9"/>
        <v>0</v>
      </c>
      <c r="AI70" s="67">
        <f t="shared" si="10"/>
        <v>0</v>
      </c>
      <c r="AJ70" s="67">
        <f t="shared" si="11"/>
        <v>0</v>
      </c>
      <c r="AK70" s="68">
        <f t="shared" si="12"/>
        <v>0</v>
      </c>
      <c r="AL70" s="67">
        <f t="shared" si="13"/>
        <v>0</v>
      </c>
      <c r="AM70" s="67">
        <f t="shared" si="14"/>
        <v>0</v>
      </c>
      <c r="AN70" s="67">
        <f t="shared" si="15"/>
        <v>0</v>
      </c>
      <c r="AO70" s="67">
        <f t="shared" si="16"/>
        <v>0</v>
      </c>
      <c r="AP70" s="67">
        <f t="shared" si="17"/>
        <v>0</v>
      </c>
      <c r="AQ70" s="68">
        <f t="shared" si="18"/>
        <v>0</v>
      </c>
      <c r="AR70" s="67">
        <f t="shared" si="19"/>
        <v>0</v>
      </c>
      <c r="AS70" s="67">
        <f t="shared" si="20"/>
        <v>0</v>
      </c>
      <c r="AT70" s="67">
        <f t="shared" si="21"/>
        <v>0</v>
      </c>
      <c r="AU70" s="67">
        <f t="shared" si="22"/>
        <v>0</v>
      </c>
      <c r="AV70" s="67">
        <f t="shared" si="23"/>
        <v>0</v>
      </c>
      <c r="AW70" s="68">
        <f t="shared" si="24"/>
        <v>0</v>
      </c>
      <c r="AY70" s="67">
        <f t="shared" si="25"/>
        <v>0</v>
      </c>
      <c r="AZ70" s="67">
        <f t="shared" si="26"/>
        <v>0</v>
      </c>
      <c r="BA70" s="67">
        <f t="shared" si="27"/>
        <v>0</v>
      </c>
      <c r="BB70" s="67">
        <f t="shared" si="28"/>
        <v>0</v>
      </c>
    </row>
    <row r="71">
      <c r="A71" s="7"/>
      <c r="B71" s="7"/>
      <c r="C71" s="7"/>
      <c r="D71" s="7"/>
      <c r="E71" s="7"/>
      <c r="F71" s="7"/>
      <c r="G71" s="7"/>
      <c r="H71" s="7"/>
      <c r="I71" s="7"/>
      <c r="J71" s="7"/>
      <c r="K71" s="7"/>
      <c r="L71" s="7"/>
      <c r="M71" s="7"/>
      <c r="N71" s="7"/>
      <c r="O71" s="7"/>
      <c r="P71" s="7"/>
      <c r="Q71" s="7"/>
      <c r="R71" s="7"/>
      <c r="S71" s="7"/>
      <c r="T71" s="7"/>
      <c r="U71" s="7"/>
      <c r="V71" s="7"/>
      <c r="W71" s="7"/>
      <c r="X71" s="7"/>
      <c r="Y71" s="7"/>
      <c r="Z71" s="67">
        <f t="shared" si="1"/>
        <v>0</v>
      </c>
      <c r="AA71" s="67">
        <f t="shared" si="2"/>
        <v>0</v>
      </c>
      <c r="AB71" s="67">
        <f t="shared" si="3"/>
        <v>0</v>
      </c>
      <c r="AC71" s="67">
        <f t="shared" si="4"/>
        <v>0</v>
      </c>
      <c r="AD71" s="67">
        <f t="shared" si="5"/>
        <v>0</v>
      </c>
      <c r="AE71" s="68">
        <f t="shared" si="6"/>
        <v>0</v>
      </c>
      <c r="AF71" s="67">
        <f t="shared" si="7"/>
        <v>0</v>
      </c>
      <c r="AG71" s="67">
        <f t="shared" si="8"/>
        <v>0</v>
      </c>
      <c r="AH71" s="67">
        <f t="shared" si="9"/>
        <v>0</v>
      </c>
      <c r="AI71" s="67">
        <f t="shared" si="10"/>
        <v>0</v>
      </c>
      <c r="AJ71" s="67">
        <f t="shared" si="11"/>
        <v>0</v>
      </c>
      <c r="AK71" s="68">
        <f t="shared" si="12"/>
        <v>0</v>
      </c>
      <c r="AL71" s="67">
        <f t="shared" si="13"/>
        <v>0</v>
      </c>
      <c r="AM71" s="67">
        <f t="shared" si="14"/>
        <v>0</v>
      </c>
      <c r="AN71" s="67">
        <f t="shared" si="15"/>
        <v>0</v>
      </c>
      <c r="AO71" s="67">
        <f t="shared" si="16"/>
        <v>0</v>
      </c>
      <c r="AP71" s="67">
        <f t="shared" si="17"/>
        <v>0</v>
      </c>
      <c r="AQ71" s="68">
        <f t="shared" si="18"/>
        <v>0</v>
      </c>
      <c r="AR71" s="67">
        <f t="shared" si="19"/>
        <v>0</v>
      </c>
      <c r="AS71" s="67">
        <f t="shared" si="20"/>
        <v>0</v>
      </c>
      <c r="AT71" s="67">
        <f t="shared" si="21"/>
        <v>0</v>
      </c>
      <c r="AU71" s="67">
        <f t="shared" si="22"/>
        <v>0</v>
      </c>
      <c r="AV71" s="67">
        <f t="shared" si="23"/>
        <v>0</v>
      </c>
      <c r="AW71" s="68">
        <f t="shared" si="24"/>
        <v>0</v>
      </c>
      <c r="AY71" s="67">
        <f t="shared" si="25"/>
        <v>0</v>
      </c>
      <c r="AZ71" s="67">
        <f t="shared" si="26"/>
        <v>0</v>
      </c>
      <c r="BA71" s="67">
        <f t="shared" si="27"/>
        <v>0</v>
      </c>
      <c r="BB71" s="67">
        <f t="shared" si="28"/>
        <v>0</v>
      </c>
    </row>
    <row r="72">
      <c r="A72" s="7"/>
      <c r="B72" s="7"/>
      <c r="C72" s="7"/>
      <c r="D72" s="7"/>
      <c r="E72" s="7"/>
      <c r="F72" s="7"/>
      <c r="G72" s="7"/>
      <c r="H72" s="7"/>
      <c r="I72" s="7"/>
      <c r="J72" s="7"/>
      <c r="K72" s="7"/>
      <c r="L72" s="7"/>
      <c r="M72" s="7"/>
      <c r="N72" s="7"/>
      <c r="O72" s="7"/>
      <c r="P72" s="7"/>
      <c r="Q72" s="7"/>
      <c r="R72" s="7"/>
      <c r="S72" s="7"/>
      <c r="T72" s="7"/>
      <c r="U72" s="7"/>
      <c r="V72" s="7"/>
      <c r="W72" s="7"/>
      <c r="X72" s="7"/>
      <c r="Y72" s="7"/>
      <c r="Z72" s="67">
        <f t="shared" si="1"/>
        <v>0</v>
      </c>
      <c r="AA72" s="67">
        <f t="shared" si="2"/>
        <v>0</v>
      </c>
      <c r="AB72" s="67">
        <f t="shared" si="3"/>
        <v>0</v>
      </c>
      <c r="AC72" s="67">
        <f t="shared" si="4"/>
        <v>0</v>
      </c>
      <c r="AD72" s="67">
        <f t="shared" si="5"/>
        <v>0</v>
      </c>
      <c r="AE72" s="68">
        <f t="shared" si="6"/>
        <v>0</v>
      </c>
      <c r="AF72" s="67">
        <f t="shared" si="7"/>
        <v>0</v>
      </c>
      <c r="AG72" s="67">
        <f t="shared" si="8"/>
        <v>0</v>
      </c>
      <c r="AH72" s="67">
        <f t="shared" si="9"/>
        <v>0</v>
      </c>
      <c r="AI72" s="67">
        <f t="shared" si="10"/>
        <v>0</v>
      </c>
      <c r="AJ72" s="67">
        <f t="shared" si="11"/>
        <v>0</v>
      </c>
      <c r="AK72" s="68">
        <f t="shared" si="12"/>
        <v>0</v>
      </c>
      <c r="AL72" s="67">
        <f t="shared" si="13"/>
        <v>0</v>
      </c>
      <c r="AM72" s="67">
        <f t="shared" si="14"/>
        <v>0</v>
      </c>
      <c r="AN72" s="67">
        <f t="shared" si="15"/>
        <v>0</v>
      </c>
      <c r="AO72" s="67">
        <f t="shared" si="16"/>
        <v>0</v>
      </c>
      <c r="AP72" s="67">
        <f t="shared" si="17"/>
        <v>0</v>
      </c>
      <c r="AQ72" s="68">
        <f t="shared" si="18"/>
        <v>0</v>
      </c>
      <c r="AR72" s="67">
        <f t="shared" si="19"/>
        <v>0</v>
      </c>
      <c r="AS72" s="67">
        <f t="shared" si="20"/>
        <v>0</v>
      </c>
      <c r="AT72" s="67">
        <f t="shared" si="21"/>
        <v>0</v>
      </c>
      <c r="AU72" s="67">
        <f t="shared" si="22"/>
        <v>0</v>
      </c>
      <c r="AV72" s="67">
        <f t="shared" si="23"/>
        <v>0</v>
      </c>
      <c r="AW72" s="68">
        <f t="shared" si="24"/>
        <v>0</v>
      </c>
      <c r="AY72" s="67">
        <f t="shared" si="25"/>
        <v>0</v>
      </c>
      <c r="AZ72" s="67">
        <f t="shared" si="26"/>
        <v>0</v>
      </c>
      <c r="BA72" s="67">
        <f t="shared" si="27"/>
        <v>0</v>
      </c>
      <c r="BB72" s="67">
        <f t="shared" si="28"/>
        <v>0</v>
      </c>
    </row>
    <row r="73">
      <c r="A73" s="7"/>
      <c r="B73" s="7"/>
      <c r="C73" s="7"/>
      <c r="D73" s="7"/>
      <c r="E73" s="7"/>
      <c r="F73" s="7"/>
      <c r="G73" s="7"/>
      <c r="H73" s="7"/>
      <c r="I73" s="7"/>
      <c r="J73" s="7"/>
      <c r="K73" s="7"/>
      <c r="L73" s="7"/>
      <c r="M73" s="7"/>
      <c r="N73" s="7"/>
      <c r="O73" s="7"/>
      <c r="P73" s="7"/>
      <c r="Q73" s="7"/>
      <c r="R73" s="7"/>
      <c r="S73" s="7"/>
      <c r="T73" s="7"/>
      <c r="U73" s="7"/>
      <c r="V73" s="7"/>
      <c r="W73" s="7"/>
      <c r="X73" s="7"/>
      <c r="Y73" s="7"/>
      <c r="Z73" s="67">
        <f t="shared" si="1"/>
        <v>0</v>
      </c>
      <c r="AA73" s="67">
        <f t="shared" si="2"/>
        <v>0</v>
      </c>
      <c r="AB73" s="67">
        <f t="shared" si="3"/>
        <v>0</v>
      </c>
      <c r="AC73" s="67">
        <f t="shared" si="4"/>
        <v>0</v>
      </c>
      <c r="AD73" s="67">
        <f t="shared" si="5"/>
        <v>0</v>
      </c>
      <c r="AE73" s="68">
        <f t="shared" si="6"/>
        <v>0</v>
      </c>
      <c r="AF73" s="67">
        <f t="shared" si="7"/>
        <v>0</v>
      </c>
      <c r="AG73" s="67">
        <f t="shared" si="8"/>
        <v>0</v>
      </c>
      <c r="AH73" s="67">
        <f t="shared" si="9"/>
        <v>0</v>
      </c>
      <c r="AI73" s="67">
        <f t="shared" si="10"/>
        <v>0</v>
      </c>
      <c r="AJ73" s="67">
        <f t="shared" si="11"/>
        <v>0</v>
      </c>
      <c r="AK73" s="68">
        <f t="shared" si="12"/>
        <v>0</v>
      </c>
      <c r="AL73" s="67">
        <f t="shared" si="13"/>
        <v>0</v>
      </c>
      <c r="AM73" s="67">
        <f t="shared" si="14"/>
        <v>0</v>
      </c>
      <c r="AN73" s="67">
        <f t="shared" si="15"/>
        <v>0</v>
      </c>
      <c r="AO73" s="67">
        <f t="shared" si="16"/>
        <v>0</v>
      </c>
      <c r="AP73" s="67">
        <f t="shared" si="17"/>
        <v>0</v>
      </c>
      <c r="AQ73" s="68">
        <f t="shared" si="18"/>
        <v>0</v>
      </c>
      <c r="AR73" s="67">
        <f t="shared" si="19"/>
        <v>0</v>
      </c>
      <c r="AS73" s="67">
        <f t="shared" si="20"/>
        <v>0</v>
      </c>
      <c r="AT73" s="67">
        <f t="shared" si="21"/>
        <v>0</v>
      </c>
      <c r="AU73" s="67">
        <f t="shared" si="22"/>
        <v>0</v>
      </c>
      <c r="AV73" s="67">
        <f t="shared" si="23"/>
        <v>0</v>
      </c>
      <c r="AW73" s="68">
        <f t="shared" si="24"/>
        <v>0</v>
      </c>
      <c r="AY73" s="67">
        <f t="shared" si="25"/>
        <v>0</v>
      </c>
      <c r="AZ73" s="67">
        <f t="shared" si="26"/>
        <v>0</v>
      </c>
      <c r="BA73" s="67">
        <f t="shared" si="27"/>
        <v>0</v>
      </c>
      <c r="BB73" s="67">
        <f t="shared" si="28"/>
        <v>0</v>
      </c>
    </row>
    <row r="74">
      <c r="A74" s="7"/>
      <c r="B74" s="7"/>
      <c r="C74" s="7"/>
      <c r="D74" s="7"/>
      <c r="E74" s="7"/>
      <c r="F74" s="7"/>
      <c r="G74" s="7"/>
      <c r="H74" s="7"/>
      <c r="I74" s="7"/>
      <c r="J74" s="7"/>
      <c r="K74" s="7"/>
      <c r="L74" s="7"/>
      <c r="M74" s="7"/>
      <c r="N74" s="7"/>
      <c r="O74" s="7"/>
      <c r="P74" s="7"/>
      <c r="Q74" s="7"/>
      <c r="R74" s="7"/>
      <c r="S74" s="7"/>
      <c r="T74" s="7"/>
      <c r="U74" s="7"/>
      <c r="V74" s="7"/>
      <c r="W74" s="7"/>
      <c r="X74" s="7"/>
      <c r="Y74" s="7"/>
      <c r="Z74" s="67">
        <f t="shared" si="1"/>
        <v>0</v>
      </c>
      <c r="AA74" s="67">
        <f t="shared" si="2"/>
        <v>0</v>
      </c>
      <c r="AB74" s="67">
        <f t="shared" si="3"/>
        <v>0</v>
      </c>
      <c r="AC74" s="67">
        <f t="shared" si="4"/>
        <v>0</v>
      </c>
      <c r="AD74" s="67">
        <f t="shared" si="5"/>
        <v>0</v>
      </c>
      <c r="AE74" s="68">
        <f t="shared" si="6"/>
        <v>0</v>
      </c>
      <c r="AF74" s="67">
        <f t="shared" si="7"/>
        <v>0</v>
      </c>
      <c r="AG74" s="67">
        <f t="shared" si="8"/>
        <v>0</v>
      </c>
      <c r="AH74" s="67">
        <f t="shared" si="9"/>
        <v>0</v>
      </c>
      <c r="AI74" s="67">
        <f t="shared" si="10"/>
        <v>0</v>
      </c>
      <c r="AJ74" s="67">
        <f t="shared" si="11"/>
        <v>0</v>
      </c>
      <c r="AK74" s="68">
        <f t="shared" si="12"/>
        <v>0</v>
      </c>
      <c r="AL74" s="67">
        <f t="shared" si="13"/>
        <v>0</v>
      </c>
      <c r="AM74" s="67">
        <f t="shared" si="14"/>
        <v>0</v>
      </c>
      <c r="AN74" s="67">
        <f t="shared" si="15"/>
        <v>0</v>
      </c>
      <c r="AO74" s="67">
        <f t="shared" si="16"/>
        <v>0</v>
      </c>
      <c r="AP74" s="67">
        <f t="shared" si="17"/>
        <v>0</v>
      </c>
      <c r="AQ74" s="68">
        <f t="shared" si="18"/>
        <v>0</v>
      </c>
      <c r="AR74" s="67">
        <f t="shared" si="19"/>
        <v>0</v>
      </c>
      <c r="AS74" s="67">
        <f t="shared" si="20"/>
        <v>0</v>
      </c>
      <c r="AT74" s="67">
        <f t="shared" si="21"/>
        <v>0</v>
      </c>
      <c r="AU74" s="67">
        <f t="shared" si="22"/>
        <v>0</v>
      </c>
      <c r="AV74" s="67">
        <f t="shared" si="23"/>
        <v>0</v>
      </c>
      <c r="AW74" s="68">
        <f t="shared" si="24"/>
        <v>0</v>
      </c>
      <c r="AY74" s="67">
        <f t="shared" si="25"/>
        <v>0</v>
      </c>
      <c r="AZ74" s="67">
        <f t="shared" si="26"/>
        <v>0</v>
      </c>
      <c r="BA74" s="67">
        <f t="shared" si="27"/>
        <v>0</v>
      </c>
      <c r="BB74" s="67">
        <f t="shared" si="28"/>
        <v>0</v>
      </c>
    </row>
    <row r="75">
      <c r="A75" s="7"/>
      <c r="B75" s="7"/>
      <c r="C75" s="7"/>
      <c r="D75" s="7"/>
      <c r="E75" s="7"/>
      <c r="F75" s="7"/>
      <c r="G75" s="7"/>
      <c r="H75" s="7"/>
      <c r="I75" s="7"/>
      <c r="J75" s="7"/>
      <c r="K75" s="7"/>
      <c r="L75" s="7"/>
      <c r="M75" s="7"/>
      <c r="N75" s="7"/>
      <c r="O75" s="7"/>
      <c r="P75" s="7"/>
      <c r="Q75" s="7"/>
      <c r="R75" s="7"/>
      <c r="S75" s="7"/>
      <c r="T75" s="7"/>
      <c r="U75" s="7"/>
      <c r="V75" s="7"/>
      <c r="W75" s="7"/>
      <c r="X75" s="7"/>
      <c r="Y75" s="7"/>
      <c r="Z75" s="67">
        <f t="shared" si="1"/>
        <v>0</v>
      </c>
      <c r="AA75" s="67">
        <f t="shared" si="2"/>
        <v>0</v>
      </c>
      <c r="AB75" s="67">
        <f t="shared" si="3"/>
        <v>0</v>
      </c>
      <c r="AC75" s="67">
        <f t="shared" si="4"/>
        <v>0</v>
      </c>
      <c r="AD75" s="67">
        <f t="shared" si="5"/>
        <v>0</v>
      </c>
      <c r="AE75" s="68">
        <f t="shared" si="6"/>
        <v>0</v>
      </c>
      <c r="AF75" s="67">
        <f t="shared" si="7"/>
        <v>0</v>
      </c>
      <c r="AG75" s="67">
        <f t="shared" si="8"/>
        <v>0</v>
      </c>
      <c r="AH75" s="67">
        <f t="shared" si="9"/>
        <v>0</v>
      </c>
      <c r="AI75" s="67">
        <f t="shared" si="10"/>
        <v>0</v>
      </c>
      <c r="AJ75" s="67">
        <f t="shared" si="11"/>
        <v>0</v>
      </c>
      <c r="AK75" s="68">
        <f t="shared" si="12"/>
        <v>0</v>
      </c>
      <c r="AL75" s="67">
        <f t="shared" si="13"/>
        <v>0</v>
      </c>
      <c r="AM75" s="67">
        <f t="shared" si="14"/>
        <v>0</v>
      </c>
      <c r="AN75" s="67">
        <f t="shared" si="15"/>
        <v>0</v>
      </c>
      <c r="AO75" s="67">
        <f t="shared" si="16"/>
        <v>0</v>
      </c>
      <c r="AP75" s="67">
        <f t="shared" si="17"/>
        <v>0</v>
      </c>
      <c r="AQ75" s="68">
        <f t="shared" si="18"/>
        <v>0</v>
      </c>
      <c r="AR75" s="67">
        <f t="shared" si="19"/>
        <v>0</v>
      </c>
      <c r="AS75" s="67">
        <f t="shared" si="20"/>
        <v>0</v>
      </c>
      <c r="AT75" s="67">
        <f t="shared" si="21"/>
        <v>0</v>
      </c>
      <c r="AU75" s="67">
        <f t="shared" si="22"/>
        <v>0</v>
      </c>
      <c r="AV75" s="67">
        <f t="shared" si="23"/>
        <v>0</v>
      </c>
      <c r="AW75" s="68">
        <f t="shared" si="24"/>
        <v>0</v>
      </c>
      <c r="AY75" s="67">
        <f t="shared" si="25"/>
        <v>0</v>
      </c>
      <c r="AZ75" s="67">
        <f t="shared" si="26"/>
        <v>0</v>
      </c>
      <c r="BA75" s="67">
        <f t="shared" si="27"/>
        <v>0</v>
      </c>
      <c r="BB75" s="67">
        <f t="shared" si="28"/>
        <v>0</v>
      </c>
    </row>
    <row r="76">
      <c r="A76" s="7"/>
      <c r="B76" s="7"/>
      <c r="C76" s="7"/>
      <c r="D76" s="7"/>
      <c r="E76" s="7"/>
      <c r="F76" s="7"/>
      <c r="G76" s="7"/>
      <c r="H76" s="7"/>
      <c r="I76" s="7"/>
      <c r="J76" s="7"/>
      <c r="K76" s="7"/>
      <c r="L76" s="7"/>
      <c r="M76" s="7"/>
      <c r="N76" s="7"/>
      <c r="O76" s="7"/>
      <c r="P76" s="7"/>
      <c r="Q76" s="7"/>
      <c r="R76" s="7"/>
      <c r="S76" s="7"/>
      <c r="T76" s="7"/>
      <c r="U76" s="7"/>
      <c r="V76" s="7"/>
      <c r="W76" s="7"/>
      <c r="X76" s="7"/>
      <c r="Y76" s="7"/>
      <c r="Z76" s="67">
        <f t="shared" si="1"/>
        <v>0</v>
      </c>
      <c r="AA76" s="67">
        <f t="shared" si="2"/>
        <v>0</v>
      </c>
      <c r="AB76" s="67">
        <f t="shared" si="3"/>
        <v>0</v>
      </c>
      <c r="AC76" s="67">
        <f t="shared" si="4"/>
        <v>0</v>
      </c>
      <c r="AD76" s="67">
        <f t="shared" si="5"/>
        <v>0</v>
      </c>
      <c r="AE76" s="68">
        <f t="shared" si="6"/>
        <v>0</v>
      </c>
      <c r="AF76" s="67">
        <f t="shared" si="7"/>
        <v>0</v>
      </c>
      <c r="AG76" s="67">
        <f t="shared" si="8"/>
        <v>0</v>
      </c>
      <c r="AH76" s="67">
        <f t="shared" si="9"/>
        <v>0</v>
      </c>
      <c r="AI76" s="67">
        <f t="shared" si="10"/>
        <v>0</v>
      </c>
      <c r="AJ76" s="67">
        <f t="shared" si="11"/>
        <v>0</v>
      </c>
      <c r="AK76" s="68">
        <f t="shared" si="12"/>
        <v>0</v>
      </c>
      <c r="AL76" s="67">
        <f t="shared" si="13"/>
        <v>0</v>
      </c>
      <c r="AM76" s="67">
        <f t="shared" si="14"/>
        <v>0</v>
      </c>
      <c r="AN76" s="67">
        <f t="shared" si="15"/>
        <v>0</v>
      </c>
      <c r="AO76" s="67">
        <f t="shared" si="16"/>
        <v>0</v>
      </c>
      <c r="AP76" s="67">
        <f t="shared" si="17"/>
        <v>0</v>
      </c>
      <c r="AQ76" s="68">
        <f t="shared" si="18"/>
        <v>0</v>
      </c>
      <c r="AR76" s="67">
        <f t="shared" si="19"/>
        <v>0</v>
      </c>
      <c r="AS76" s="67">
        <f t="shared" si="20"/>
        <v>0</v>
      </c>
      <c r="AT76" s="67">
        <f t="shared" si="21"/>
        <v>0</v>
      </c>
      <c r="AU76" s="67">
        <f t="shared" si="22"/>
        <v>0</v>
      </c>
      <c r="AV76" s="67">
        <f t="shared" si="23"/>
        <v>0</v>
      </c>
      <c r="AW76" s="68">
        <f t="shared" si="24"/>
        <v>0</v>
      </c>
      <c r="AY76" s="67">
        <f t="shared" si="25"/>
        <v>0</v>
      </c>
      <c r="AZ76" s="67">
        <f t="shared" si="26"/>
        <v>0</v>
      </c>
      <c r="BA76" s="67">
        <f t="shared" si="27"/>
        <v>0</v>
      </c>
      <c r="BB76" s="67">
        <f t="shared" si="28"/>
        <v>0</v>
      </c>
    </row>
    <row r="77">
      <c r="A77" s="7"/>
      <c r="B77" s="7"/>
      <c r="C77" s="7"/>
      <c r="D77" s="7"/>
      <c r="E77" s="7"/>
      <c r="F77" s="7"/>
      <c r="G77" s="7"/>
      <c r="H77" s="7"/>
      <c r="I77" s="7"/>
      <c r="J77" s="7"/>
      <c r="K77" s="7"/>
      <c r="L77" s="7"/>
      <c r="M77" s="7"/>
      <c r="N77" s="7"/>
      <c r="O77" s="7"/>
      <c r="P77" s="7"/>
      <c r="Q77" s="7"/>
      <c r="R77" s="7"/>
      <c r="S77" s="7"/>
      <c r="T77" s="7"/>
      <c r="U77" s="7"/>
      <c r="V77" s="7"/>
      <c r="W77" s="7"/>
      <c r="X77" s="7"/>
      <c r="Y77" s="7"/>
      <c r="Z77" s="67">
        <f t="shared" si="1"/>
        <v>0</v>
      </c>
      <c r="AA77" s="67">
        <f t="shared" si="2"/>
        <v>0</v>
      </c>
      <c r="AB77" s="67">
        <f t="shared" si="3"/>
        <v>0</v>
      </c>
      <c r="AC77" s="67">
        <f t="shared" si="4"/>
        <v>0</v>
      </c>
      <c r="AD77" s="67">
        <f t="shared" si="5"/>
        <v>0</v>
      </c>
      <c r="AE77" s="68">
        <f t="shared" si="6"/>
        <v>0</v>
      </c>
      <c r="AF77" s="67">
        <f t="shared" si="7"/>
        <v>0</v>
      </c>
      <c r="AG77" s="67">
        <f t="shared" si="8"/>
        <v>0</v>
      </c>
      <c r="AH77" s="67">
        <f t="shared" si="9"/>
        <v>0</v>
      </c>
      <c r="AI77" s="67">
        <f t="shared" si="10"/>
        <v>0</v>
      </c>
      <c r="AJ77" s="67">
        <f t="shared" si="11"/>
        <v>0</v>
      </c>
      <c r="AK77" s="68">
        <f t="shared" si="12"/>
        <v>0</v>
      </c>
      <c r="AL77" s="67">
        <f t="shared" si="13"/>
        <v>0</v>
      </c>
      <c r="AM77" s="67">
        <f t="shared" si="14"/>
        <v>0</v>
      </c>
      <c r="AN77" s="67">
        <f t="shared" si="15"/>
        <v>0</v>
      </c>
      <c r="AO77" s="67">
        <f t="shared" si="16"/>
        <v>0</v>
      </c>
      <c r="AP77" s="67">
        <f t="shared" si="17"/>
        <v>0</v>
      </c>
      <c r="AQ77" s="68">
        <f t="shared" si="18"/>
        <v>0</v>
      </c>
      <c r="AR77" s="67">
        <f t="shared" si="19"/>
        <v>0</v>
      </c>
      <c r="AS77" s="67">
        <f t="shared" si="20"/>
        <v>0</v>
      </c>
      <c r="AT77" s="67">
        <f t="shared" si="21"/>
        <v>0</v>
      </c>
      <c r="AU77" s="67">
        <f t="shared" si="22"/>
        <v>0</v>
      </c>
      <c r="AV77" s="67">
        <f t="shared" si="23"/>
        <v>0</v>
      </c>
      <c r="AW77" s="68">
        <f t="shared" si="24"/>
        <v>0</v>
      </c>
      <c r="AY77" s="67">
        <f t="shared" si="25"/>
        <v>0</v>
      </c>
      <c r="AZ77" s="67">
        <f t="shared" si="26"/>
        <v>0</v>
      </c>
      <c r="BA77" s="67">
        <f t="shared" si="27"/>
        <v>0</v>
      </c>
      <c r="BB77" s="67">
        <f t="shared" si="28"/>
        <v>0</v>
      </c>
    </row>
    <row r="78">
      <c r="A78" s="7"/>
      <c r="B78" s="7"/>
      <c r="C78" s="7"/>
      <c r="D78" s="7"/>
      <c r="E78" s="7"/>
      <c r="F78" s="7"/>
      <c r="G78" s="7"/>
      <c r="H78" s="7"/>
      <c r="I78" s="7"/>
      <c r="J78" s="7"/>
      <c r="K78" s="7"/>
      <c r="L78" s="7"/>
      <c r="M78" s="7"/>
      <c r="N78" s="7"/>
      <c r="O78" s="7"/>
      <c r="P78" s="7"/>
      <c r="Q78" s="7"/>
      <c r="R78" s="7"/>
      <c r="S78" s="7"/>
      <c r="T78" s="7"/>
      <c r="U78" s="7"/>
      <c r="V78" s="7"/>
      <c r="W78" s="7"/>
      <c r="X78" s="7"/>
      <c r="Y78" s="7"/>
      <c r="Z78" s="67">
        <f t="shared" si="1"/>
        <v>0</v>
      </c>
      <c r="AA78" s="67">
        <f t="shared" si="2"/>
        <v>0</v>
      </c>
      <c r="AB78" s="67">
        <f t="shared" si="3"/>
        <v>0</v>
      </c>
      <c r="AC78" s="67">
        <f t="shared" si="4"/>
        <v>0</v>
      </c>
      <c r="AD78" s="67">
        <f t="shared" si="5"/>
        <v>0</v>
      </c>
      <c r="AE78" s="68">
        <f t="shared" si="6"/>
        <v>0</v>
      </c>
      <c r="AF78" s="67">
        <f t="shared" si="7"/>
        <v>0</v>
      </c>
      <c r="AG78" s="67">
        <f t="shared" si="8"/>
        <v>0</v>
      </c>
      <c r="AH78" s="67">
        <f t="shared" si="9"/>
        <v>0</v>
      </c>
      <c r="AI78" s="67">
        <f t="shared" si="10"/>
        <v>0</v>
      </c>
      <c r="AJ78" s="67">
        <f t="shared" si="11"/>
        <v>0</v>
      </c>
      <c r="AK78" s="68">
        <f t="shared" si="12"/>
        <v>0</v>
      </c>
      <c r="AL78" s="67">
        <f t="shared" si="13"/>
        <v>0</v>
      </c>
      <c r="AM78" s="67">
        <f t="shared" si="14"/>
        <v>0</v>
      </c>
      <c r="AN78" s="67">
        <f t="shared" si="15"/>
        <v>0</v>
      </c>
      <c r="AO78" s="67">
        <f t="shared" si="16"/>
        <v>0</v>
      </c>
      <c r="AP78" s="67">
        <f t="shared" si="17"/>
        <v>0</v>
      </c>
      <c r="AQ78" s="68">
        <f t="shared" si="18"/>
        <v>0</v>
      </c>
      <c r="AR78" s="67">
        <f t="shared" si="19"/>
        <v>0</v>
      </c>
      <c r="AS78" s="67">
        <f t="shared" si="20"/>
        <v>0</v>
      </c>
      <c r="AT78" s="67">
        <f t="shared" si="21"/>
        <v>0</v>
      </c>
      <c r="AU78" s="67">
        <f t="shared" si="22"/>
        <v>0</v>
      </c>
      <c r="AV78" s="67">
        <f t="shared" si="23"/>
        <v>0</v>
      </c>
      <c r="AW78" s="68">
        <f t="shared" si="24"/>
        <v>0</v>
      </c>
      <c r="AY78" s="67">
        <f t="shared" si="25"/>
        <v>0</v>
      </c>
      <c r="AZ78" s="67">
        <f t="shared" si="26"/>
        <v>0</v>
      </c>
      <c r="BA78" s="67">
        <f t="shared" si="27"/>
        <v>0</v>
      </c>
      <c r="BB78" s="67">
        <f t="shared" si="28"/>
        <v>0</v>
      </c>
    </row>
    <row r="79">
      <c r="A79" s="7"/>
      <c r="B79" s="7"/>
      <c r="C79" s="7"/>
      <c r="D79" s="7"/>
      <c r="E79" s="7"/>
      <c r="F79" s="7"/>
      <c r="G79" s="7"/>
      <c r="H79" s="7"/>
      <c r="I79" s="7"/>
      <c r="J79" s="7"/>
      <c r="K79" s="7"/>
      <c r="L79" s="7"/>
      <c r="M79" s="7"/>
      <c r="N79" s="7"/>
      <c r="O79" s="7"/>
      <c r="P79" s="7"/>
      <c r="Q79" s="7"/>
      <c r="R79" s="7"/>
      <c r="S79" s="7"/>
      <c r="T79" s="7"/>
      <c r="U79" s="7"/>
      <c r="V79" s="7"/>
      <c r="W79" s="7"/>
      <c r="X79" s="7"/>
      <c r="Y79" s="7"/>
      <c r="Z79" s="67">
        <f t="shared" si="1"/>
        <v>0</v>
      </c>
      <c r="AA79" s="67">
        <f t="shared" si="2"/>
        <v>0</v>
      </c>
      <c r="AB79" s="67">
        <f t="shared" si="3"/>
        <v>0</v>
      </c>
      <c r="AC79" s="67">
        <f t="shared" si="4"/>
        <v>0</v>
      </c>
      <c r="AD79" s="67">
        <f t="shared" si="5"/>
        <v>0</v>
      </c>
      <c r="AE79" s="68">
        <f t="shared" si="6"/>
        <v>0</v>
      </c>
      <c r="AF79" s="67">
        <f t="shared" si="7"/>
        <v>0</v>
      </c>
      <c r="AG79" s="67">
        <f t="shared" si="8"/>
        <v>0</v>
      </c>
      <c r="AH79" s="67">
        <f t="shared" si="9"/>
        <v>0</v>
      </c>
      <c r="AI79" s="67">
        <f t="shared" si="10"/>
        <v>0</v>
      </c>
      <c r="AJ79" s="67">
        <f t="shared" si="11"/>
        <v>0</v>
      </c>
      <c r="AK79" s="68">
        <f t="shared" si="12"/>
        <v>0</v>
      </c>
      <c r="AL79" s="67">
        <f t="shared" si="13"/>
        <v>0</v>
      </c>
      <c r="AM79" s="67">
        <f t="shared" si="14"/>
        <v>0</v>
      </c>
      <c r="AN79" s="67">
        <f t="shared" si="15"/>
        <v>0</v>
      </c>
      <c r="AO79" s="67">
        <f t="shared" si="16"/>
        <v>0</v>
      </c>
      <c r="AP79" s="67">
        <f t="shared" si="17"/>
        <v>0</v>
      </c>
      <c r="AQ79" s="68">
        <f t="shared" si="18"/>
        <v>0</v>
      </c>
      <c r="AR79" s="67">
        <f t="shared" si="19"/>
        <v>0</v>
      </c>
      <c r="AS79" s="67">
        <f t="shared" si="20"/>
        <v>0</v>
      </c>
      <c r="AT79" s="67">
        <f t="shared" si="21"/>
        <v>0</v>
      </c>
      <c r="AU79" s="67">
        <f t="shared" si="22"/>
        <v>0</v>
      </c>
      <c r="AV79" s="67">
        <f t="shared" si="23"/>
        <v>0</v>
      </c>
      <c r="AW79" s="68">
        <f t="shared" si="24"/>
        <v>0</v>
      </c>
      <c r="AY79" s="67">
        <f t="shared" si="25"/>
        <v>0</v>
      </c>
      <c r="AZ79" s="67">
        <f t="shared" si="26"/>
        <v>0</v>
      </c>
      <c r="BA79" s="67">
        <f t="shared" si="27"/>
        <v>0</v>
      </c>
      <c r="BB79" s="67">
        <f t="shared" si="28"/>
        <v>0</v>
      </c>
    </row>
    <row r="80">
      <c r="A80" s="7"/>
      <c r="B80" s="7"/>
      <c r="C80" s="7"/>
      <c r="D80" s="7"/>
      <c r="E80" s="7"/>
      <c r="F80" s="7"/>
      <c r="G80" s="7"/>
      <c r="H80" s="7"/>
      <c r="I80" s="7"/>
      <c r="J80" s="7"/>
      <c r="K80" s="7"/>
      <c r="L80" s="7"/>
      <c r="M80" s="7"/>
      <c r="N80" s="7"/>
      <c r="O80" s="7"/>
      <c r="P80" s="7"/>
      <c r="Q80" s="7"/>
      <c r="R80" s="7"/>
      <c r="S80" s="7"/>
      <c r="T80" s="7"/>
      <c r="U80" s="7"/>
      <c r="V80" s="7"/>
      <c r="W80" s="7"/>
      <c r="X80" s="7"/>
      <c r="Y80" s="7"/>
      <c r="Z80" s="67">
        <f t="shared" si="1"/>
        <v>0</v>
      </c>
      <c r="AA80" s="67">
        <f t="shared" si="2"/>
        <v>0</v>
      </c>
      <c r="AB80" s="67">
        <f t="shared" si="3"/>
        <v>0</v>
      </c>
      <c r="AC80" s="67">
        <f t="shared" si="4"/>
        <v>0</v>
      </c>
      <c r="AD80" s="67">
        <f t="shared" si="5"/>
        <v>0</v>
      </c>
      <c r="AE80" s="68">
        <f t="shared" si="6"/>
        <v>0</v>
      </c>
      <c r="AF80" s="67">
        <f t="shared" si="7"/>
        <v>0</v>
      </c>
      <c r="AG80" s="67">
        <f t="shared" si="8"/>
        <v>0</v>
      </c>
      <c r="AH80" s="67">
        <f t="shared" si="9"/>
        <v>0</v>
      </c>
      <c r="AI80" s="67">
        <f t="shared" si="10"/>
        <v>0</v>
      </c>
      <c r="AJ80" s="67">
        <f t="shared" si="11"/>
        <v>0</v>
      </c>
      <c r="AK80" s="68">
        <f t="shared" si="12"/>
        <v>0</v>
      </c>
      <c r="AL80" s="67">
        <f t="shared" si="13"/>
        <v>0</v>
      </c>
      <c r="AM80" s="67">
        <f t="shared" si="14"/>
        <v>0</v>
      </c>
      <c r="AN80" s="67">
        <f t="shared" si="15"/>
        <v>0</v>
      </c>
      <c r="AO80" s="67">
        <f t="shared" si="16"/>
        <v>0</v>
      </c>
      <c r="AP80" s="67">
        <f t="shared" si="17"/>
        <v>0</v>
      </c>
      <c r="AQ80" s="68">
        <f t="shared" si="18"/>
        <v>0</v>
      </c>
      <c r="AR80" s="67">
        <f t="shared" si="19"/>
        <v>0</v>
      </c>
      <c r="AS80" s="67">
        <f t="shared" si="20"/>
        <v>0</v>
      </c>
      <c r="AT80" s="67">
        <f t="shared" si="21"/>
        <v>0</v>
      </c>
      <c r="AU80" s="67">
        <f t="shared" si="22"/>
        <v>0</v>
      </c>
      <c r="AV80" s="67">
        <f t="shared" si="23"/>
        <v>0</v>
      </c>
      <c r="AW80" s="68">
        <f t="shared" si="24"/>
        <v>0</v>
      </c>
      <c r="AY80" s="67">
        <f t="shared" si="25"/>
        <v>0</v>
      </c>
      <c r="AZ80" s="67">
        <f t="shared" si="26"/>
        <v>0</v>
      </c>
      <c r="BA80" s="67">
        <f t="shared" si="27"/>
        <v>0</v>
      </c>
      <c r="BB80" s="67">
        <f t="shared" si="28"/>
        <v>0</v>
      </c>
    </row>
    <row r="81">
      <c r="A81" s="7"/>
      <c r="B81" s="7"/>
      <c r="C81" s="7"/>
      <c r="D81" s="7"/>
      <c r="E81" s="7"/>
      <c r="F81" s="7"/>
      <c r="G81" s="7"/>
      <c r="H81" s="7"/>
      <c r="I81" s="7"/>
      <c r="J81" s="7"/>
      <c r="K81" s="7"/>
      <c r="L81" s="7"/>
      <c r="M81" s="7"/>
      <c r="N81" s="7"/>
      <c r="O81" s="7"/>
      <c r="P81" s="7"/>
      <c r="Q81" s="7"/>
      <c r="R81" s="7"/>
      <c r="S81" s="7"/>
      <c r="T81" s="7"/>
      <c r="U81" s="7"/>
      <c r="V81" s="7"/>
      <c r="W81" s="7"/>
      <c r="X81" s="7"/>
      <c r="Y81" s="7"/>
      <c r="Z81" s="67">
        <f t="shared" si="1"/>
        <v>0</v>
      </c>
      <c r="AA81" s="67">
        <f t="shared" si="2"/>
        <v>0</v>
      </c>
      <c r="AB81" s="67">
        <f t="shared" si="3"/>
        <v>0</v>
      </c>
      <c r="AC81" s="67">
        <f t="shared" si="4"/>
        <v>0</v>
      </c>
      <c r="AD81" s="67">
        <f t="shared" si="5"/>
        <v>0</v>
      </c>
      <c r="AE81" s="68">
        <f t="shared" si="6"/>
        <v>0</v>
      </c>
      <c r="AF81" s="67">
        <f t="shared" si="7"/>
        <v>0</v>
      </c>
      <c r="AG81" s="67">
        <f t="shared" si="8"/>
        <v>0</v>
      </c>
      <c r="AH81" s="67">
        <f t="shared" si="9"/>
        <v>0</v>
      </c>
      <c r="AI81" s="67">
        <f t="shared" si="10"/>
        <v>0</v>
      </c>
      <c r="AJ81" s="67">
        <f t="shared" si="11"/>
        <v>0</v>
      </c>
      <c r="AK81" s="68">
        <f t="shared" si="12"/>
        <v>0</v>
      </c>
      <c r="AL81" s="67">
        <f t="shared" si="13"/>
        <v>0</v>
      </c>
      <c r="AM81" s="67">
        <f t="shared" si="14"/>
        <v>0</v>
      </c>
      <c r="AN81" s="67">
        <f t="shared" si="15"/>
        <v>0</v>
      </c>
      <c r="AO81" s="67">
        <f t="shared" si="16"/>
        <v>0</v>
      </c>
      <c r="AP81" s="67">
        <f t="shared" si="17"/>
        <v>0</v>
      </c>
      <c r="AQ81" s="68">
        <f t="shared" si="18"/>
        <v>0</v>
      </c>
      <c r="AR81" s="67">
        <f t="shared" si="19"/>
        <v>0</v>
      </c>
      <c r="AS81" s="67">
        <f t="shared" si="20"/>
        <v>0</v>
      </c>
      <c r="AT81" s="67">
        <f t="shared" si="21"/>
        <v>0</v>
      </c>
      <c r="AU81" s="67">
        <f t="shared" si="22"/>
        <v>0</v>
      </c>
      <c r="AV81" s="67">
        <f t="shared" si="23"/>
        <v>0</v>
      </c>
      <c r="AW81" s="68">
        <f t="shared" si="24"/>
        <v>0</v>
      </c>
      <c r="AY81" s="67">
        <f t="shared" si="25"/>
        <v>0</v>
      </c>
      <c r="AZ81" s="67">
        <f t="shared" si="26"/>
        <v>0</v>
      </c>
      <c r="BA81" s="67">
        <f t="shared" si="27"/>
        <v>0</v>
      </c>
      <c r="BB81" s="67">
        <f t="shared" si="28"/>
        <v>0</v>
      </c>
    </row>
    <row r="82">
      <c r="A82" s="7"/>
      <c r="B82" s="7"/>
      <c r="C82" s="7"/>
      <c r="D82" s="7"/>
      <c r="E82" s="7"/>
      <c r="F82" s="7"/>
      <c r="G82" s="7"/>
      <c r="H82" s="7"/>
      <c r="I82" s="7"/>
      <c r="J82" s="7"/>
      <c r="K82" s="7"/>
      <c r="L82" s="7"/>
      <c r="M82" s="7"/>
      <c r="N82" s="7"/>
      <c r="O82" s="7"/>
      <c r="P82" s="7"/>
      <c r="Q82" s="7"/>
      <c r="R82" s="7"/>
      <c r="S82" s="7"/>
      <c r="T82" s="7"/>
      <c r="U82" s="7"/>
      <c r="V82" s="7"/>
      <c r="W82" s="7"/>
      <c r="X82" s="7"/>
      <c r="Y82" s="7"/>
      <c r="Z82" s="67">
        <f t="shared" si="1"/>
        <v>0</v>
      </c>
      <c r="AA82" s="67">
        <f t="shared" si="2"/>
        <v>0</v>
      </c>
      <c r="AB82" s="67">
        <f t="shared" si="3"/>
        <v>0</v>
      </c>
      <c r="AC82" s="67">
        <f t="shared" si="4"/>
        <v>0</v>
      </c>
      <c r="AD82" s="67">
        <f t="shared" si="5"/>
        <v>0</v>
      </c>
      <c r="AE82" s="68">
        <f t="shared" si="6"/>
        <v>0</v>
      </c>
      <c r="AF82" s="67">
        <f t="shared" si="7"/>
        <v>0</v>
      </c>
      <c r="AG82" s="67">
        <f t="shared" si="8"/>
        <v>0</v>
      </c>
      <c r="AH82" s="67">
        <f t="shared" si="9"/>
        <v>0</v>
      </c>
      <c r="AI82" s="67">
        <f t="shared" si="10"/>
        <v>0</v>
      </c>
      <c r="AJ82" s="67">
        <f t="shared" si="11"/>
        <v>0</v>
      </c>
      <c r="AK82" s="68">
        <f t="shared" si="12"/>
        <v>0</v>
      </c>
      <c r="AL82" s="67">
        <f t="shared" si="13"/>
        <v>0</v>
      </c>
      <c r="AM82" s="67">
        <f t="shared" si="14"/>
        <v>0</v>
      </c>
      <c r="AN82" s="67">
        <f t="shared" si="15"/>
        <v>0</v>
      </c>
      <c r="AO82" s="67">
        <f t="shared" si="16"/>
        <v>0</v>
      </c>
      <c r="AP82" s="67">
        <f t="shared" si="17"/>
        <v>0</v>
      </c>
      <c r="AQ82" s="68">
        <f t="shared" si="18"/>
        <v>0</v>
      </c>
      <c r="AR82" s="67">
        <f t="shared" si="19"/>
        <v>0</v>
      </c>
      <c r="AS82" s="67">
        <f t="shared" si="20"/>
        <v>0</v>
      </c>
      <c r="AT82" s="67">
        <f t="shared" si="21"/>
        <v>0</v>
      </c>
      <c r="AU82" s="67">
        <f t="shared" si="22"/>
        <v>0</v>
      </c>
      <c r="AV82" s="67">
        <f t="shared" si="23"/>
        <v>0</v>
      </c>
      <c r="AW82" s="68">
        <f t="shared" si="24"/>
        <v>0</v>
      </c>
      <c r="AY82" s="67">
        <f t="shared" si="25"/>
        <v>0</v>
      </c>
      <c r="AZ82" s="67">
        <f t="shared" si="26"/>
        <v>0</v>
      </c>
      <c r="BA82" s="67">
        <f t="shared" si="27"/>
        <v>0</v>
      </c>
      <c r="BB82" s="67">
        <f t="shared" si="28"/>
        <v>0</v>
      </c>
    </row>
    <row r="83">
      <c r="A83" s="7"/>
      <c r="B83" s="7"/>
      <c r="C83" s="7"/>
      <c r="D83" s="7"/>
      <c r="E83" s="7"/>
      <c r="F83" s="7"/>
      <c r="G83" s="7"/>
      <c r="H83" s="7"/>
      <c r="I83" s="7"/>
      <c r="J83" s="7"/>
      <c r="K83" s="7"/>
      <c r="L83" s="7"/>
      <c r="M83" s="7"/>
      <c r="N83" s="7"/>
      <c r="O83" s="7"/>
      <c r="P83" s="7"/>
      <c r="Q83" s="7"/>
      <c r="R83" s="7"/>
      <c r="S83" s="7"/>
      <c r="T83" s="7"/>
      <c r="U83" s="7"/>
      <c r="V83" s="7"/>
      <c r="W83" s="7"/>
      <c r="X83" s="7"/>
      <c r="Y83" s="7"/>
      <c r="Z83" s="67">
        <f t="shared" si="1"/>
        <v>0</v>
      </c>
      <c r="AA83" s="67">
        <f t="shared" si="2"/>
        <v>0</v>
      </c>
      <c r="AB83" s="67">
        <f t="shared" si="3"/>
        <v>0</v>
      </c>
      <c r="AC83" s="67">
        <f t="shared" si="4"/>
        <v>0</v>
      </c>
      <c r="AD83" s="67">
        <f t="shared" si="5"/>
        <v>0</v>
      </c>
      <c r="AE83" s="68">
        <f t="shared" si="6"/>
        <v>0</v>
      </c>
      <c r="AF83" s="67">
        <f t="shared" si="7"/>
        <v>0</v>
      </c>
      <c r="AG83" s="67">
        <f t="shared" si="8"/>
        <v>0</v>
      </c>
      <c r="AH83" s="67">
        <f t="shared" si="9"/>
        <v>0</v>
      </c>
      <c r="AI83" s="67">
        <f t="shared" si="10"/>
        <v>0</v>
      </c>
      <c r="AJ83" s="67">
        <f t="shared" si="11"/>
        <v>0</v>
      </c>
      <c r="AK83" s="68">
        <f t="shared" si="12"/>
        <v>0</v>
      </c>
      <c r="AL83" s="67">
        <f t="shared" si="13"/>
        <v>0</v>
      </c>
      <c r="AM83" s="67">
        <f t="shared" si="14"/>
        <v>0</v>
      </c>
      <c r="AN83" s="67">
        <f t="shared" si="15"/>
        <v>0</v>
      </c>
      <c r="AO83" s="67">
        <f t="shared" si="16"/>
        <v>0</v>
      </c>
      <c r="AP83" s="67">
        <f t="shared" si="17"/>
        <v>0</v>
      </c>
      <c r="AQ83" s="68">
        <f t="shared" si="18"/>
        <v>0</v>
      </c>
      <c r="AR83" s="67">
        <f t="shared" si="19"/>
        <v>0</v>
      </c>
      <c r="AS83" s="67">
        <f t="shared" si="20"/>
        <v>0</v>
      </c>
      <c r="AT83" s="67">
        <f t="shared" si="21"/>
        <v>0</v>
      </c>
      <c r="AU83" s="67">
        <f t="shared" si="22"/>
        <v>0</v>
      </c>
      <c r="AV83" s="67">
        <f t="shared" si="23"/>
        <v>0</v>
      </c>
      <c r="AW83" s="68">
        <f t="shared" si="24"/>
        <v>0</v>
      </c>
      <c r="AY83" s="67">
        <f t="shared" si="25"/>
        <v>0</v>
      </c>
      <c r="AZ83" s="67">
        <f t="shared" si="26"/>
        <v>0</v>
      </c>
      <c r="BA83" s="67">
        <f t="shared" si="27"/>
        <v>0</v>
      </c>
      <c r="BB83" s="67">
        <f t="shared" si="28"/>
        <v>0</v>
      </c>
    </row>
    <row r="84">
      <c r="A84" s="7"/>
      <c r="B84" s="7"/>
      <c r="C84" s="7"/>
      <c r="D84" s="7"/>
      <c r="E84" s="7"/>
      <c r="F84" s="7"/>
      <c r="G84" s="7"/>
      <c r="H84" s="7"/>
      <c r="I84" s="7"/>
      <c r="J84" s="7"/>
      <c r="K84" s="7"/>
      <c r="L84" s="7"/>
      <c r="M84" s="7"/>
      <c r="N84" s="7"/>
      <c r="O84" s="7"/>
      <c r="P84" s="7"/>
      <c r="Q84" s="7"/>
      <c r="R84" s="7"/>
      <c r="S84" s="7"/>
      <c r="T84" s="7"/>
      <c r="U84" s="7"/>
      <c r="V84" s="7"/>
      <c r="W84" s="7"/>
      <c r="X84" s="7"/>
      <c r="Y84" s="7"/>
      <c r="Z84" s="67">
        <f t="shared" si="1"/>
        <v>0</v>
      </c>
      <c r="AA84" s="67">
        <f t="shared" si="2"/>
        <v>0</v>
      </c>
      <c r="AB84" s="67">
        <f t="shared" si="3"/>
        <v>0</v>
      </c>
      <c r="AC84" s="67">
        <f t="shared" si="4"/>
        <v>0</v>
      </c>
      <c r="AD84" s="67">
        <f t="shared" si="5"/>
        <v>0</v>
      </c>
      <c r="AE84" s="68">
        <f t="shared" si="6"/>
        <v>0</v>
      </c>
      <c r="AF84" s="67">
        <f t="shared" si="7"/>
        <v>0</v>
      </c>
      <c r="AG84" s="67">
        <f t="shared" si="8"/>
        <v>0</v>
      </c>
      <c r="AH84" s="67">
        <f t="shared" si="9"/>
        <v>0</v>
      </c>
      <c r="AI84" s="67">
        <f t="shared" si="10"/>
        <v>0</v>
      </c>
      <c r="AJ84" s="67">
        <f t="shared" si="11"/>
        <v>0</v>
      </c>
      <c r="AK84" s="68">
        <f t="shared" si="12"/>
        <v>0</v>
      </c>
      <c r="AL84" s="67">
        <f t="shared" si="13"/>
        <v>0</v>
      </c>
      <c r="AM84" s="67">
        <f t="shared" si="14"/>
        <v>0</v>
      </c>
      <c r="AN84" s="67">
        <f t="shared" si="15"/>
        <v>0</v>
      </c>
      <c r="AO84" s="67">
        <f t="shared" si="16"/>
        <v>0</v>
      </c>
      <c r="AP84" s="67">
        <f t="shared" si="17"/>
        <v>0</v>
      </c>
      <c r="AQ84" s="68">
        <f t="shared" si="18"/>
        <v>0</v>
      </c>
      <c r="AR84" s="67">
        <f t="shared" si="19"/>
        <v>0</v>
      </c>
      <c r="AS84" s="67">
        <f t="shared" si="20"/>
        <v>0</v>
      </c>
      <c r="AT84" s="67">
        <f t="shared" si="21"/>
        <v>0</v>
      </c>
      <c r="AU84" s="67">
        <f t="shared" si="22"/>
        <v>0</v>
      </c>
      <c r="AV84" s="67">
        <f t="shared" si="23"/>
        <v>0</v>
      </c>
      <c r="AW84" s="68">
        <f t="shared" si="24"/>
        <v>0</v>
      </c>
      <c r="AY84" s="67">
        <f t="shared" si="25"/>
        <v>0</v>
      </c>
      <c r="AZ84" s="67">
        <f t="shared" si="26"/>
        <v>0</v>
      </c>
      <c r="BA84" s="67">
        <f t="shared" si="27"/>
        <v>0</v>
      </c>
      <c r="BB84" s="67">
        <f t="shared" si="28"/>
        <v>0</v>
      </c>
    </row>
    <row r="85">
      <c r="A85" s="7"/>
      <c r="B85" s="7"/>
      <c r="C85" s="7"/>
      <c r="D85" s="7"/>
      <c r="E85" s="7"/>
      <c r="F85" s="7"/>
      <c r="G85" s="7"/>
      <c r="H85" s="7"/>
      <c r="I85" s="7"/>
      <c r="J85" s="7"/>
      <c r="K85" s="7"/>
      <c r="L85" s="7"/>
      <c r="M85" s="7"/>
      <c r="N85" s="7"/>
      <c r="O85" s="7"/>
      <c r="P85" s="7"/>
      <c r="Q85" s="7"/>
      <c r="R85" s="7"/>
      <c r="S85" s="7"/>
      <c r="T85" s="7"/>
      <c r="U85" s="7"/>
      <c r="V85" s="7"/>
      <c r="W85" s="7"/>
      <c r="X85" s="7"/>
      <c r="Y85" s="7"/>
      <c r="Z85" s="67">
        <f t="shared" si="1"/>
        <v>0</v>
      </c>
      <c r="AA85" s="67">
        <f t="shared" si="2"/>
        <v>0</v>
      </c>
      <c r="AB85" s="67">
        <f t="shared" si="3"/>
        <v>0</v>
      </c>
      <c r="AC85" s="67">
        <f t="shared" si="4"/>
        <v>0</v>
      </c>
      <c r="AD85" s="67">
        <f t="shared" si="5"/>
        <v>0</v>
      </c>
      <c r="AE85" s="68">
        <f t="shared" si="6"/>
        <v>0</v>
      </c>
      <c r="AF85" s="67">
        <f t="shared" si="7"/>
        <v>0</v>
      </c>
      <c r="AG85" s="67">
        <f t="shared" si="8"/>
        <v>0</v>
      </c>
      <c r="AH85" s="67">
        <f t="shared" si="9"/>
        <v>0</v>
      </c>
      <c r="AI85" s="67">
        <f t="shared" si="10"/>
        <v>0</v>
      </c>
      <c r="AJ85" s="67">
        <f t="shared" si="11"/>
        <v>0</v>
      </c>
      <c r="AK85" s="68">
        <f t="shared" si="12"/>
        <v>0</v>
      </c>
      <c r="AL85" s="67">
        <f t="shared" si="13"/>
        <v>0</v>
      </c>
      <c r="AM85" s="67">
        <f t="shared" si="14"/>
        <v>0</v>
      </c>
      <c r="AN85" s="67">
        <f t="shared" si="15"/>
        <v>0</v>
      </c>
      <c r="AO85" s="67">
        <f t="shared" si="16"/>
        <v>0</v>
      </c>
      <c r="AP85" s="67">
        <f t="shared" si="17"/>
        <v>0</v>
      </c>
      <c r="AQ85" s="68">
        <f t="shared" si="18"/>
        <v>0</v>
      </c>
      <c r="AR85" s="67">
        <f t="shared" si="19"/>
        <v>0</v>
      </c>
      <c r="AS85" s="67">
        <f t="shared" si="20"/>
        <v>0</v>
      </c>
      <c r="AT85" s="67">
        <f t="shared" si="21"/>
        <v>0</v>
      </c>
      <c r="AU85" s="67">
        <f t="shared" si="22"/>
        <v>0</v>
      </c>
      <c r="AV85" s="67">
        <f t="shared" si="23"/>
        <v>0</v>
      </c>
      <c r="AW85" s="68">
        <f t="shared" si="24"/>
        <v>0</v>
      </c>
      <c r="AY85" s="67">
        <f t="shared" si="25"/>
        <v>0</v>
      </c>
      <c r="AZ85" s="67">
        <f t="shared" si="26"/>
        <v>0</v>
      </c>
      <c r="BA85" s="67">
        <f t="shared" si="27"/>
        <v>0</v>
      </c>
      <c r="BB85" s="67">
        <f t="shared" si="28"/>
        <v>0</v>
      </c>
    </row>
    <row r="86">
      <c r="A86" s="7"/>
      <c r="B86" s="7"/>
      <c r="C86" s="7"/>
      <c r="D86" s="7"/>
      <c r="E86" s="7"/>
      <c r="F86" s="7"/>
      <c r="G86" s="7"/>
      <c r="H86" s="7"/>
      <c r="I86" s="7"/>
      <c r="J86" s="7"/>
      <c r="K86" s="7"/>
      <c r="L86" s="7"/>
      <c r="M86" s="7"/>
      <c r="N86" s="7"/>
      <c r="O86" s="7"/>
      <c r="P86" s="7"/>
      <c r="Q86" s="7"/>
      <c r="R86" s="7"/>
      <c r="S86" s="7"/>
      <c r="T86" s="7"/>
      <c r="U86" s="7"/>
      <c r="V86" s="7"/>
      <c r="W86" s="7"/>
      <c r="X86" s="7"/>
      <c r="Y86" s="7"/>
      <c r="Z86" s="67">
        <f t="shared" si="1"/>
        <v>0</v>
      </c>
      <c r="AA86" s="67">
        <f t="shared" si="2"/>
        <v>0</v>
      </c>
      <c r="AB86" s="67">
        <f t="shared" si="3"/>
        <v>0</v>
      </c>
      <c r="AC86" s="67">
        <f t="shared" si="4"/>
        <v>0</v>
      </c>
      <c r="AD86" s="67">
        <f t="shared" si="5"/>
        <v>0</v>
      </c>
      <c r="AE86" s="68">
        <f t="shared" si="6"/>
        <v>0</v>
      </c>
      <c r="AF86" s="67">
        <f t="shared" si="7"/>
        <v>0</v>
      </c>
      <c r="AG86" s="67">
        <f t="shared" si="8"/>
        <v>0</v>
      </c>
      <c r="AH86" s="67">
        <f t="shared" si="9"/>
        <v>0</v>
      </c>
      <c r="AI86" s="67">
        <f t="shared" si="10"/>
        <v>0</v>
      </c>
      <c r="AJ86" s="67">
        <f t="shared" si="11"/>
        <v>0</v>
      </c>
      <c r="AK86" s="68">
        <f t="shared" si="12"/>
        <v>0</v>
      </c>
      <c r="AL86" s="67">
        <f t="shared" si="13"/>
        <v>0</v>
      </c>
      <c r="AM86" s="67">
        <f t="shared" si="14"/>
        <v>0</v>
      </c>
      <c r="AN86" s="67">
        <f t="shared" si="15"/>
        <v>0</v>
      </c>
      <c r="AO86" s="67">
        <f t="shared" si="16"/>
        <v>0</v>
      </c>
      <c r="AP86" s="67">
        <f t="shared" si="17"/>
        <v>0</v>
      </c>
      <c r="AQ86" s="68">
        <f t="shared" si="18"/>
        <v>0</v>
      </c>
      <c r="AR86" s="67">
        <f t="shared" si="19"/>
        <v>0</v>
      </c>
      <c r="AS86" s="67">
        <f t="shared" si="20"/>
        <v>0</v>
      </c>
      <c r="AT86" s="67">
        <f t="shared" si="21"/>
        <v>0</v>
      </c>
      <c r="AU86" s="67">
        <f t="shared" si="22"/>
        <v>0</v>
      </c>
      <c r="AV86" s="67">
        <f t="shared" si="23"/>
        <v>0</v>
      </c>
      <c r="AW86" s="68">
        <f t="shared" si="24"/>
        <v>0</v>
      </c>
      <c r="AY86" s="67">
        <f t="shared" si="25"/>
        <v>0</v>
      </c>
      <c r="AZ86" s="67">
        <f t="shared" si="26"/>
        <v>0</v>
      </c>
      <c r="BA86" s="67">
        <f t="shared" si="27"/>
        <v>0</v>
      </c>
      <c r="BB86" s="67">
        <f t="shared" si="28"/>
        <v>0</v>
      </c>
    </row>
    <row r="87">
      <c r="A87" s="7"/>
      <c r="B87" s="7"/>
      <c r="C87" s="7"/>
      <c r="D87" s="7"/>
      <c r="E87" s="7"/>
      <c r="F87" s="7"/>
      <c r="G87" s="7"/>
      <c r="H87" s="7"/>
      <c r="I87" s="7"/>
      <c r="J87" s="7"/>
      <c r="K87" s="7"/>
      <c r="L87" s="7"/>
      <c r="M87" s="7"/>
      <c r="N87" s="7"/>
      <c r="O87" s="7"/>
      <c r="P87" s="7"/>
      <c r="Q87" s="7"/>
      <c r="R87" s="7"/>
      <c r="S87" s="7"/>
      <c r="T87" s="7"/>
      <c r="U87" s="7"/>
      <c r="V87" s="7"/>
      <c r="W87" s="7"/>
      <c r="X87" s="7"/>
      <c r="Y87" s="7"/>
      <c r="Z87" s="67">
        <f t="shared" si="1"/>
        <v>0</v>
      </c>
      <c r="AA87" s="67">
        <f t="shared" si="2"/>
        <v>0</v>
      </c>
      <c r="AB87" s="67">
        <f t="shared" si="3"/>
        <v>0</v>
      </c>
      <c r="AC87" s="67">
        <f t="shared" si="4"/>
        <v>0</v>
      </c>
      <c r="AD87" s="67">
        <f t="shared" si="5"/>
        <v>0</v>
      </c>
      <c r="AE87" s="68">
        <f t="shared" si="6"/>
        <v>0</v>
      </c>
      <c r="AF87" s="67">
        <f t="shared" si="7"/>
        <v>0</v>
      </c>
      <c r="AG87" s="67">
        <f t="shared" si="8"/>
        <v>0</v>
      </c>
      <c r="AH87" s="67">
        <f t="shared" si="9"/>
        <v>0</v>
      </c>
      <c r="AI87" s="67">
        <f t="shared" si="10"/>
        <v>0</v>
      </c>
      <c r="AJ87" s="67">
        <f t="shared" si="11"/>
        <v>0</v>
      </c>
      <c r="AK87" s="68">
        <f t="shared" si="12"/>
        <v>0</v>
      </c>
      <c r="AL87" s="67">
        <f t="shared" si="13"/>
        <v>0</v>
      </c>
      <c r="AM87" s="67">
        <f t="shared" si="14"/>
        <v>0</v>
      </c>
      <c r="AN87" s="67">
        <f t="shared" si="15"/>
        <v>0</v>
      </c>
      <c r="AO87" s="67">
        <f t="shared" si="16"/>
        <v>0</v>
      </c>
      <c r="AP87" s="67">
        <f t="shared" si="17"/>
        <v>0</v>
      </c>
      <c r="AQ87" s="68">
        <f t="shared" si="18"/>
        <v>0</v>
      </c>
      <c r="AR87" s="67">
        <f t="shared" si="19"/>
        <v>0</v>
      </c>
      <c r="AS87" s="67">
        <f t="shared" si="20"/>
        <v>0</v>
      </c>
      <c r="AT87" s="67">
        <f t="shared" si="21"/>
        <v>0</v>
      </c>
      <c r="AU87" s="67">
        <f t="shared" si="22"/>
        <v>0</v>
      </c>
      <c r="AV87" s="67">
        <f t="shared" si="23"/>
        <v>0</v>
      </c>
      <c r="AW87" s="68">
        <f t="shared" si="24"/>
        <v>0</v>
      </c>
      <c r="AY87" s="67">
        <f t="shared" si="25"/>
        <v>0</v>
      </c>
      <c r="AZ87" s="67">
        <f t="shared" si="26"/>
        <v>0</v>
      </c>
      <c r="BA87" s="67">
        <f t="shared" si="27"/>
        <v>0</v>
      </c>
      <c r="BB87" s="67">
        <f t="shared" si="28"/>
        <v>0</v>
      </c>
    </row>
    <row r="88">
      <c r="A88" s="7"/>
      <c r="B88" s="7"/>
      <c r="C88" s="7"/>
      <c r="D88" s="7"/>
      <c r="E88" s="7"/>
      <c r="F88" s="7"/>
      <c r="G88" s="7"/>
      <c r="H88" s="7"/>
      <c r="I88" s="7"/>
      <c r="J88" s="7"/>
      <c r="K88" s="7"/>
      <c r="L88" s="7"/>
      <c r="M88" s="7"/>
      <c r="N88" s="7"/>
      <c r="O88" s="7"/>
      <c r="P88" s="7"/>
      <c r="Q88" s="7"/>
      <c r="R88" s="7"/>
      <c r="S88" s="7"/>
      <c r="T88" s="7"/>
      <c r="U88" s="7"/>
      <c r="V88" s="7"/>
      <c r="W88" s="7"/>
      <c r="X88" s="7"/>
      <c r="Y88" s="7"/>
      <c r="Z88" s="67">
        <f t="shared" si="1"/>
        <v>0</v>
      </c>
      <c r="AA88" s="67">
        <f t="shared" si="2"/>
        <v>0</v>
      </c>
      <c r="AB88" s="67">
        <f t="shared" si="3"/>
        <v>0</v>
      </c>
      <c r="AC88" s="67">
        <f t="shared" si="4"/>
        <v>0</v>
      </c>
      <c r="AD88" s="67">
        <f t="shared" si="5"/>
        <v>0</v>
      </c>
      <c r="AE88" s="68">
        <f t="shared" si="6"/>
        <v>0</v>
      </c>
      <c r="AF88" s="67">
        <f t="shared" si="7"/>
        <v>0</v>
      </c>
      <c r="AG88" s="67">
        <f t="shared" si="8"/>
        <v>0</v>
      </c>
      <c r="AH88" s="67">
        <f t="shared" si="9"/>
        <v>0</v>
      </c>
      <c r="AI88" s="67">
        <f t="shared" si="10"/>
        <v>0</v>
      </c>
      <c r="AJ88" s="67">
        <f t="shared" si="11"/>
        <v>0</v>
      </c>
      <c r="AK88" s="68">
        <f t="shared" si="12"/>
        <v>0</v>
      </c>
      <c r="AL88" s="67">
        <f t="shared" si="13"/>
        <v>0</v>
      </c>
      <c r="AM88" s="67">
        <f t="shared" si="14"/>
        <v>0</v>
      </c>
      <c r="AN88" s="67">
        <f t="shared" si="15"/>
        <v>0</v>
      </c>
      <c r="AO88" s="67">
        <f t="shared" si="16"/>
        <v>0</v>
      </c>
      <c r="AP88" s="67">
        <f t="shared" si="17"/>
        <v>0</v>
      </c>
      <c r="AQ88" s="68">
        <f t="shared" si="18"/>
        <v>0</v>
      </c>
      <c r="AR88" s="67">
        <f t="shared" si="19"/>
        <v>0</v>
      </c>
      <c r="AS88" s="67">
        <f t="shared" si="20"/>
        <v>0</v>
      </c>
      <c r="AT88" s="67">
        <f t="shared" si="21"/>
        <v>0</v>
      </c>
      <c r="AU88" s="67">
        <f t="shared" si="22"/>
        <v>0</v>
      </c>
      <c r="AV88" s="67">
        <f t="shared" si="23"/>
        <v>0</v>
      </c>
      <c r="AW88" s="68">
        <f t="shared" si="24"/>
        <v>0</v>
      </c>
      <c r="AY88" s="67">
        <f t="shared" si="25"/>
        <v>0</v>
      </c>
      <c r="AZ88" s="67">
        <f t="shared" si="26"/>
        <v>0</v>
      </c>
      <c r="BA88" s="67">
        <f t="shared" si="27"/>
        <v>0</v>
      </c>
      <c r="BB88" s="67">
        <f t="shared" si="28"/>
        <v>0</v>
      </c>
    </row>
    <row r="89">
      <c r="A89" s="7"/>
      <c r="B89" s="7"/>
      <c r="C89" s="7"/>
      <c r="D89" s="7"/>
      <c r="E89" s="7"/>
      <c r="F89" s="7"/>
      <c r="G89" s="7"/>
      <c r="H89" s="7"/>
      <c r="I89" s="7"/>
      <c r="J89" s="7"/>
      <c r="K89" s="7"/>
      <c r="L89" s="7"/>
      <c r="M89" s="7"/>
      <c r="N89" s="7"/>
      <c r="O89" s="7"/>
      <c r="P89" s="7"/>
      <c r="Q89" s="7"/>
      <c r="R89" s="7"/>
      <c r="S89" s="7"/>
      <c r="T89" s="7"/>
      <c r="U89" s="7"/>
      <c r="V89" s="7"/>
      <c r="W89" s="7"/>
      <c r="X89" s="7"/>
      <c r="Y89" s="7"/>
      <c r="Z89" s="67">
        <f t="shared" si="1"/>
        <v>0</v>
      </c>
      <c r="AA89" s="67">
        <f t="shared" si="2"/>
        <v>0</v>
      </c>
      <c r="AB89" s="67">
        <f t="shared" si="3"/>
        <v>0</v>
      </c>
      <c r="AC89" s="67">
        <f t="shared" si="4"/>
        <v>0</v>
      </c>
      <c r="AD89" s="67">
        <f t="shared" si="5"/>
        <v>0</v>
      </c>
      <c r="AE89" s="68">
        <f t="shared" si="6"/>
        <v>0</v>
      </c>
      <c r="AF89" s="67">
        <f t="shared" si="7"/>
        <v>0</v>
      </c>
      <c r="AG89" s="67">
        <f t="shared" si="8"/>
        <v>0</v>
      </c>
      <c r="AH89" s="67">
        <f t="shared" si="9"/>
        <v>0</v>
      </c>
      <c r="AI89" s="67">
        <f t="shared" si="10"/>
        <v>0</v>
      </c>
      <c r="AJ89" s="67">
        <f t="shared" si="11"/>
        <v>0</v>
      </c>
      <c r="AK89" s="68">
        <f t="shared" si="12"/>
        <v>0</v>
      </c>
      <c r="AL89" s="67">
        <f t="shared" si="13"/>
        <v>0</v>
      </c>
      <c r="AM89" s="67">
        <f t="shared" si="14"/>
        <v>0</v>
      </c>
      <c r="AN89" s="67">
        <f t="shared" si="15"/>
        <v>0</v>
      </c>
      <c r="AO89" s="67">
        <f t="shared" si="16"/>
        <v>0</v>
      </c>
      <c r="AP89" s="67">
        <f t="shared" si="17"/>
        <v>0</v>
      </c>
      <c r="AQ89" s="68">
        <f t="shared" si="18"/>
        <v>0</v>
      </c>
      <c r="AR89" s="67">
        <f t="shared" si="19"/>
        <v>0</v>
      </c>
      <c r="AS89" s="67">
        <f t="shared" si="20"/>
        <v>0</v>
      </c>
      <c r="AT89" s="67">
        <f t="shared" si="21"/>
        <v>0</v>
      </c>
      <c r="AU89" s="67">
        <f t="shared" si="22"/>
        <v>0</v>
      </c>
      <c r="AV89" s="67">
        <f t="shared" si="23"/>
        <v>0</v>
      </c>
      <c r="AW89" s="68">
        <f t="shared" si="24"/>
        <v>0</v>
      </c>
      <c r="AY89" s="67">
        <f t="shared" si="25"/>
        <v>0</v>
      </c>
      <c r="AZ89" s="67">
        <f t="shared" si="26"/>
        <v>0</v>
      </c>
      <c r="BA89" s="67">
        <f t="shared" si="27"/>
        <v>0</v>
      </c>
      <c r="BB89" s="67">
        <f t="shared" si="28"/>
        <v>0</v>
      </c>
    </row>
    <row r="90">
      <c r="A90" s="7"/>
      <c r="B90" s="7"/>
      <c r="C90" s="7"/>
      <c r="D90" s="7"/>
      <c r="E90" s="7"/>
      <c r="F90" s="7"/>
      <c r="G90" s="7"/>
      <c r="H90" s="7"/>
      <c r="I90" s="7"/>
      <c r="J90" s="7"/>
      <c r="K90" s="7"/>
      <c r="L90" s="7"/>
      <c r="M90" s="7"/>
      <c r="N90" s="7"/>
      <c r="O90" s="7"/>
      <c r="P90" s="7"/>
      <c r="Q90" s="7"/>
      <c r="R90" s="7"/>
      <c r="S90" s="7"/>
      <c r="T90" s="7"/>
      <c r="U90" s="7"/>
      <c r="V90" s="7"/>
      <c r="W90" s="7"/>
      <c r="X90" s="7"/>
      <c r="Y90" s="7"/>
      <c r="Z90" s="67">
        <f t="shared" si="1"/>
        <v>0</v>
      </c>
      <c r="AA90" s="67">
        <f t="shared" si="2"/>
        <v>0</v>
      </c>
      <c r="AB90" s="67">
        <f t="shared" si="3"/>
        <v>0</v>
      </c>
      <c r="AC90" s="67">
        <f t="shared" si="4"/>
        <v>0</v>
      </c>
      <c r="AD90" s="67">
        <f t="shared" si="5"/>
        <v>0</v>
      </c>
      <c r="AE90" s="68">
        <f t="shared" si="6"/>
        <v>0</v>
      </c>
      <c r="AF90" s="67">
        <f t="shared" si="7"/>
        <v>0</v>
      </c>
      <c r="AG90" s="67">
        <f t="shared" si="8"/>
        <v>0</v>
      </c>
      <c r="AH90" s="67">
        <f t="shared" si="9"/>
        <v>0</v>
      </c>
      <c r="AI90" s="67">
        <f t="shared" si="10"/>
        <v>0</v>
      </c>
      <c r="AJ90" s="67">
        <f t="shared" si="11"/>
        <v>0</v>
      </c>
      <c r="AK90" s="68">
        <f t="shared" si="12"/>
        <v>0</v>
      </c>
      <c r="AL90" s="67">
        <f t="shared" si="13"/>
        <v>0</v>
      </c>
      <c r="AM90" s="67">
        <f t="shared" si="14"/>
        <v>0</v>
      </c>
      <c r="AN90" s="67">
        <f t="shared" si="15"/>
        <v>0</v>
      </c>
      <c r="AO90" s="67">
        <f t="shared" si="16"/>
        <v>0</v>
      </c>
      <c r="AP90" s="67">
        <f t="shared" si="17"/>
        <v>0</v>
      </c>
      <c r="AQ90" s="68">
        <f t="shared" si="18"/>
        <v>0</v>
      </c>
      <c r="AR90" s="67">
        <f t="shared" si="19"/>
        <v>0</v>
      </c>
      <c r="AS90" s="67">
        <f t="shared" si="20"/>
        <v>0</v>
      </c>
      <c r="AT90" s="67">
        <f t="shared" si="21"/>
        <v>0</v>
      </c>
      <c r="AU90" s="67">
        <f t="shared" si="22"/>
        <v>0</v>
      </c>
      <c r="AV90" s="67">
        <f t="shared" si="23"/>
        <v>0</v>
      </c>
      <c r="AW90" s="68">
        <f t="shared" si="24"/>
        <v>0</v>
      </c>
      <c r="AY90" s="67">
        <f t="shared" si="25"/>
        <v>0</v>
      </c>
      <c r="AZ90" s="67">
        <f t="shared" si="26"/>
        <v>0</v>
      </c>
      <c r="BA90" s="67">
        <f t="shared" si="27"/>
        <v>0</v>
      </c>
      <c r="BB90" s="67">
        <f t="shared" si="28"/>
        <v>0</v>
      </c>
    </row>
    <row r="91">
      <c r="A91" s="7"/>
      <c r="B91" s="7"/>
      <c r="C91" s="7"/>
      <c r="D91" s="7"/>
      <c r="E91" s="7"/>
      <c r="F91" s="7"/>
      <c r="G91" s="7"/>
      <c r="H91" s="7"/>
      <c r="I91" s="7"/>
      <c r="J91" s="7"/>
      <c r="K91" s="7"/>
      <c r="L91" s="7"/>
      <c r="M91" s="7"/>
      <c r="N91" s="7"/>
      <c r="O91" s="7"/>
      <c r="P91" s="7"/>
      <c r="Q91" s="7"/>
      <c r="R91" s="7"/>
      <c r="S91" s="7"/>
      <c r="T91" s="7"/>
      <c r="U91" s="7"/>
      <c r="V91" s="7"/>
      <c r="W91" s="7"/>
      <c r="X91" s="7"/>
      <c r="Y91" s="7"/>
      <c r="Z91" s="67">
        <f t="shared" si="1"/>
        <v>0</v>
      </c>
      <c r="AA91" s="67">
        <f t="shared" si="2"/>
        <v>0</v>
      </c>
      <c r="AB91" s="67">
        <f t="shared" si="3"/>
        <v>0</v>
      </c>
      <c r="AC91" s="67">
        <f t="shared" si="4"/>
        <v>0</v>
      </c>
      <c r="AD91" s="67">
        <f t="shared" si="5"/>
        <v>0</v>
      </c>
      <c r="AE91" s="68">
        <f t="shared" si="6"/>
        <v>0</v>
      </c>
      <c r="AF91" s="67">
        <f t="shared" si="7"/>
        <v>0</v>
      </c>
      <c r="AG91" s="67">
        <f t="shared" si="8"/>
        <v>0</v>
      </c>
      <c r="AH91" s="67">
        <f t="shared" si="9"/>
        <v>0</v>
      </c>
      <c r="AI91" s="67">
        <f t="shared" si="10"/>
        <v>0</v>
      </c>
      <c r="AJ91" s="67">
        <f t="shared" si="11"/>
        <v>0</v>
      </c>
      <c r="AK91" s="68">
        <f t="shared" si="12"/>
        <v>0</v>
      </c>
      <c r="AL91" s="67">
        <f t="shared" si="13"/>
        <v>0</v>
      </c>
      <c r="AM91" s="67">
        <f t="shared" si="14"/>
        <v>0</v>
      </c>
      <c r="AN91" s="67">
        <f t="shared" si="15"/>
        <v>0</v>
      </c>
      <c r="AO91" s="67">
        <f t="shared" si="16"/>
        <v>0</v>
      </c>
      <c r="AP91" s="67">
        <f t="shared" si="17"/>
        <v>0</v>
      </c>
      <c r="AQ91" s="68">
        <f t="shared" si="18"/>
        <v>0</v>
      </c>
      <c r="AR91" s="67">
        <f t="shared" si="19"/>
        <v>0</v>
      </c>
      <c r="AS91" s="67">
        <f t="shared" si="20"/>
        <v>0</v>
      </c>
      <c r="AT91" s="67">
        <f t="shared" si="21"/>
        <v>0</v>
      </c>
      <c r="AU91" s="67">
        <f t="shared" si="22"/>
        <v>0</v>
      </c>
      <c r="AV91" s="67">
        <f t="shared" si="23"/>
        <v>0</v>
      </c>
      <c r="AW91" s="68">
        <f t="shared" si="24"/>
        <v>0</v>
      </c>
      <c r="AY91" s="67">
        <f t="shared" si="25"/>
        <v>0</v>
      </c>
      <c r="AZ91" s="67">
        <f t="shared" si="26"/>
        <v>0</v>
      </c>
      <c r="BA91" s="67">
        <f t="shared" si="27"/>
        <v>0</v>
      </c>
      <c r="BB91" s="67">
        <f t="shared" si="28"/>
        <v>0</v>
      </c>
    </row>
    <row r="92">
      <c r="A92" s="7"/>
      <c r="B92" s="7"/>
      <c r="C92" s="7"/>
      <c r="D92" s="7"/>
      <c r="E92" s="7"/>
      <c r="F92" s="7"/>
      <c r="G92" s="7"/>
      <c r="H92" s="7"/>
      <c r="I92" s="7"/>
      <c r="J92" s="7"/>
      <c r="K92" s="7"/>
      <c r="L92" s="7"/>
      <c r="M92" s="7"/>
      <c r="N92" s="7"/>
      <c r="O92" s="7"/>
      <c r="P92" s="7"/>
      <c r="Q92" s="7"/>
      <c r="R92" s="7"/>
      <c r="S92" s="7"/>
      <c r="T92" s="7"/>
      <c r="U92" s="7"/>
      <c r="V92" s="7"/>
      <c r="W92" s="7"/>
      <c r="X92" s="7"/>
      <c r="Y92" s="7"/>
      <c r="Z92" s="67">
        <f t="shared" si="1"/>
        <v>0</v>
      </c>
      <c r="AA92" s="67">
        <f t="shared" si="2"/>
        <v>0</v>
      </c>
      <c r="AB92" s="67">
        <f t="shared" si="3"/>
        <v>0</v>
      </c>
      <c r="AC92" s="67">
        <f t="shared" si="4"/>
        <v>0</v>
      </c>
      <c r="AD92" s="67">
        <f t="shared" si="5"/>
        <v>0</v>
      </c>
      <c r="AE92" s="68">
        <f t="shared" si="6"/>
        <v>0</v>
      </c>
      <c r="AF92" s="67">
        <f t="shared" si="7"/>
        <v>0</v>
      </c>
      <c r="AG92" s="67">
        <f t="shared" si="8"/>
        <v>0</v>
      </c>
      <c r="AH92" s="67">
        <f t="shared" si="9"/>
        <v>0</v>
      </c>
      <c r="AI92" s="67">
        <f t="shared" si="10"/>
        <v>0</v>
      </c>
      <c r="AJ92" s="67">
        <f t="shared" si="11"/>
        <v>0</v>
      </c>
      <c r="AK92" s="68">
        <f t="shared" si="12"/>
        <v>0</v>
      </c>
      <c r="AL92" s="67">
        <f t="shared" si="13"/>
        <v>0</v>
      </c>
      <c r="AM92" s="67">
        <f t="shared" si="14"/>
        <v>0</v>
      </c>
      <c r="AN92" s="67">
        <f t="shared" si="15"/>
        <v>0</v>
      </c>
      <c r="AO92" s="67">
        <f t="shared" si="16"/>
        <v>0</v>
      </c>
      <c r="AP92" s="67">
        <f t="shared" si="17"/>
        <v>0</v>
      </c>
      <c r="AQ92" s="68">
        <f t="shared" si="18"/>
        <v>0</v>
      </c>
      <c r="AR92" s="67">
        <f t="shared" si="19"/>
        <v>0</v>
      </c>
      <c r="AS92" s="67">
        <f t="shared" si="20"/>
        <v>0</v>
      </c>
      <c r="AT92" s="67">
        <f t="shared" si="21"/>
        <v>0</v>
      </c>
      <c r="AU92" s="67">
        <f t="shared" si="22"/>
        <v>0</v>
      </c>
      <c r="AV92" s="67">
        <f t="shared" si="23"/>
        <v>0</v>
      </c>
      <c r="AW92" s="68">
        <f t="shared" si="24"/>
        <v>0</v>
      </c>
      <c r="AY92" s="67">
        <f t="shared" si="25"/>
        <v>0</v>
      </c>
      <c r="AZ92" s="67">
        <f t="shared" si="26"/>
        <v>0</v>
      </c>
      <c r="BA92" s="67">
        <f t="shared" si="27"/>
        <v>0</v>
      </c>
      <c r="BB92" s="67">
        <f t="shared" si="28"/>
        <v>0</v>
      </c>
    </row>
    <row r="93">
      <c r="A93" s="7"/>
      <c r="B93" s="7"/>
      <c r="C93" s="7"/>
      <c r="D93" s="7"/>
      <c r="E93" s="7"/>
      <c r="F93" s="7"/>
      <c r="G93" s="7"/>
      <c r="H93" s="7"/>
      <c r="I93" s="7"/>
      <c r="J93" s="7"/>
      <c r="K93" s="7"/>
      <c r="L93" s="7"/>
      <c r="M93" s="7"/>
      <c r="N93" s="7"/>
      <c r="O93" s="7"/>
      <c r="P93" s="7"/>
      <c r="Q93" s="7"/>
      <c r="R93" s="7"/>
      <c r="S93" s="7"/>
      <c r="T93" s="7"/>
      <c r="U93" s="7"/>
      <c r="V93" s="7"/>
      <c r="W93" s="7"/>
      <c r="X93" s="7"/>
      <c r="Y93" s="7"/>
      <c r="Z93" s="67">
        <f t="shared" si="1"/>
        <v>0</v>
      </c>
      <c r="AA93" s="67">
        <f t="shared" si="2"/>
        <v>0</v>
      </c>
      <c r="AB93" s="67">
        <f t="shared" si="3"/>
        <v>0</v>
      </c>
      <c r="AC93" s="67">
        <f t="shared" si="4"/>
        <v>0</v>
      </c>
      <c r="AD93" s="67">
        <f t="shared" si="5"/>
        <v>0</v>
      </c>
      <c r="AE93" s="68">
        <f t="shared" si="6"/>
        <v>0</v>
      </c>
      <c r="AF93" s="67">
        <f t="shared" si="7"/>
        <v>0</v>
      </c>
      <c r="AG93" s="67">
        <f t="shared" si="8"/>
        <v>0</v>
      </c>
      <c r="AH93" s="67">
        <f t="shared" si="9"/>
        <v>0</v>
      </c>
      <c r="AI93" s="67">
        <f t="shared" si="10"/>
        <v>0</v>
      </c>
      <c r="AJ93" s="67">
        <f t="shared" si="11"/>
        <v>0</v>
      </c>
      <c r="AK93" s="68">
        <f t="shared" si="12"/>
        <v>0</v>
      </c>
      <c r="AL93" s="67">
        <f t="shared" si="13"/>
        <v>0</v>
      </c>
      <c r="AM93" s="67">
        <f t="shared" si="14"/>
        <v>0</v>
      </c>
      <c r="AN93" s="67">
        <f t="shared" si="15"/>
        <v>0</v>
      </c>
      <c r="AO93" s="67">
        <f t="shared" si="16"/>
        <v>0</v>
      </c>
      <c r="AP93" s="67">
        <f t="shared" si="17"/>
        <v>0</v>
      </c>
      <c r="AQ93" s="68">
        <f t="shared" si="18"/>
        <v>0</v>
      </c>
      <c r="AR93" s="67">
        <f t="shared" si="19"/>
        <v>0</v>
      </c>
      <c r="AS93" s="67">
        <f t="shared" si="20"/>
        <v>0</v>
      </c>
      <c r="AT93" s="67">
        <f t="shared" si="21"/>
        <v>0</v>
      </c>
      <c r="AU93" s="67">
        <f t="shared" si="22"/>
        <v>0</v>
      </c>
      <c r="AV93" s="67">
        <f t="shared" si="23"/>
        <v>0</v>
      </c>
      <c r="AW93" s="68">
        <f t="shared" si="24"/>
        <v>0</v>
      </c>
      <c r="AY93" s="67">
        <f t="shared" si="25"/>
        <v>0</v>
      </c>
      <c r="AZ93" s="67">
        <f t="shared" si="26"/>
        <v>0</v>
      </c>
      <c r="BA93" s="67">
        <f t="shared" si="27"/>
        <v>0</v>
      </c>
      <c r="BB93" s="67">
        <f t="shared" si="28"/>
        <v>0</v>
      </c>
    </row>
    <row r="94">
      <c r="A94" s="7"/>
      <c r="B94" s="7"/>
      <c r="C94" s="7"/>
      <c r="D94" s="7"/>
      <c r="E94" s="7"/>
      <c r="F94" s="7"/>
      <c r="G94" s="7"/>
      <c r="H94" s="7"/>
      <c r="I94" s="7"/>
      <c r="J94" s="7"/>
      <c r="K94" s="7"/>
      <c r="L94" s="7"/>
      <c r="M94" s="7"/>
      <c r="N94" s="7"/>
      <c r="O94" s="7"/>
      <c r="P94" s="7"/>
      <c r="Q94" s="7"/>
      <c r="R94" s="7"/>
      <c r="S94" s="7"/>
      <c r="T94" s="7"/>
      <c r="U94" s="7"/>
      <c r="V94" s="7"/>
      <c r="W94" s="7"/>
      <c r="X94" s="7"/>
      <c r="Y94" s="7"/>
      <c r="Z94" s="67">
        <f t="shared" si="1"/>
        <v>0</v>
      </c>
      <c r="AA94" s="67">
        <f t="shared" si="2"/>
        <v>0</v>
      </c>
      <c r="AB94" s="67">
        <f t="shared" si="3"/>
        <v>0</v>
      </c>
      <c r="AC94" s="67">
        <f t="shared" si="4"/>
        <v>0</v>
      </c>
      <c r="AD94" s="67">
        <f t="shared" si="5"/>
        <v>0</v>
      </c>
      <c r="AE94" s="68">
        <f t="shared" si="6"/>
        <v>0</v>
      </c>
      <c r="AF94" s="67">
        <f t="shared" si="7"/>
        <v>0</v>
      </c>
      <c r="AG94" s="67">
        <f t="shared" si="8"/>
        <v>0</v>
      </c>
      <c r="AH94" s="67">
        <f t="shared" si="9"/>
        <v>0</v>
      </c>
      <c r="AI94" s="67">
        <f t="shared" si="10"/>
        <v>0</v>
      </c>
      <c r="AJ94" s="67">
        <f t="shared" si="11"/>
        <v>0</v>
      </c>
      <c r="AK94" s="68">
        <f t="shared" si="12"/>
        <v>0</v>
      </c>
      <c r="AL94" s="67">
        <f t="shared" si="13"/>
        <v>0</v>
      </c>
      <c r="AM94" s="67">
        <f t="shared" si="14"/>
        <v>0</v>
      </c>
      <c r="AN94" s="67">
        <f t="shared" si="15"/>
        <v>0</v>
      </c>
      <c r="AO94" s="67">
        <f t="shared" si="16"/>
        <v>0</v>
      </c>
      <c r="AP94" s="67">
        <f t="shared" si="17"/>
        <v>0</v>
      </c>
      <c r="AQ94" s="68">
        <f t="shared" si="18"/>
        <v>0</v>
      </c>
      <c r="AR94" s="67">
        <f t="shared" si="19"/>
        <v>0</v>
      </c>
      <c r="AS94" s="67">
        <f t="shared" si="20"/>
        <v>0</v>
      </c>
      <c r="AT94" s="67">
        <f t="shared" si="21"/>
        <v>0</v>
      </c>
      <c r="AU94" s="67">
        <f t="shared" si="22"/>
        <v>0</v>
      </c>
      <c r="AV94" s="67">
        <f t="shared" si="23"/>
        <v>0</v>
      </c>
      <c r="AW94" s="68">
        <f t="shared" si="24"/>
        <v>0</v>
      </c>
      <c r="AY94" s="67">
        <f t="shared" si="25"/>
        <v>0</v>
      </c>
      <c r="AZ94" s="67">
        <f t="shared" si="26"/>
        <v>0</v>
      </c>
      <c r="BA94" s="67">
        <f t="shared" si="27"/>
        <v>0</v>
      </c>
      <c r="BB94" s="67">
        <f t="shared" si="28"/>
        <v>0</v>
      </c>
    </row>
    <row r="95">
      <c r="A95" s="7"/>
      <c r="B95" s="7"/>
      <c r="C95" s="7"/>
      <c r="D95" s="7"/>
      <c r="E95" s="7"/>
      <c r="F95" s="7"/>
      <c r="G95" s="7"/>
      <c r="H95" s="7"/>
      <c r="I95" s="7"/>
      <c r="J95" s="7"/>
      <c r="K95" s="7"/>
      <c r="L95" s="7"/>
      <c r="M95" s="7"/>
      <c r="N95" s="7"/>
      <c r="O95" s="7"/>
      <c r="P95" s="7"/>
      <c r="Q95" s="7"/>
      <c r="R95" s="7"/>
      <c r="S95" s="7"/>
      <c r="T95" s="7"/>
      <c r="U95" s="7"/>
      <c r="V95" s="7"/>
      <c r="W95" s="7"/>
      <c r="X95" s="7"/>
      <c r="Y95" s="7"/>
      <c r="Z95" s="67">
        <f t="shared" si="1"/>
        <v>0</v>
      </c>
      <c r="AA95" s="67">
        <f t="shared" si="2"/>
        <v>0</v>
      </c>
      <c r="AB95" s="67">
        <f t="shared" si="3"/>
        <v>0</v>
      </c>
      <c r="AC95" s="67">
        <f t="shared" si="4"/>
        <v>0</v>
      </c>
      <c r="AD95" s="67">
        <f t="shared" si="5"/>
        <v>0</v>
      </c>
      <c r="AE95" s="68">
        <f t="shared" si="6"/>
        <v>0</v>
      </c>
      <c r="AF95" s="67">
        <f t="shared" si="7"/>
        <v>0</v>
      </c>
      <c r="AG95" s="67">
        <f t="shared" si="8"/>
        <v>0</v>
      </c>
      <c r="AH95" s="67">
        <f t="shared" si="9"/>
        <v>0</v>
      </c>
      <c r="AI95" s="67">
        <f t="shared" si="10"/>
        <v>0</v>
      </c>
      <c r="AJ95" s="67">
        <f t="shared" si="11"/>
        <v>0</v>
      </c>
      <c r="AK95" s="68">
        <f t="shared" si="12"/>
        <v>0</v>
      </c>
      <c r="AL95" s="67">
        <f t="shared" si="13"/>
        <v>0</v>
      </c>
      <c r="AM95" s="67">
        <f t="shared" si="14"/>
        <v>0</v>
      </c>
      <c r="AN95" s="67">
        <f t="shared" si="15"/>
        <v>0</v>
      </c>
      <c r="AO95" s="67">
        <f t="shared" si="16"/>
        <v>0</v>
      </c>
      <c r="AP95" s="67">
        <f t="shared" si="17"/>
        <v>0</v>
      </c>
      <c r="AQ95" s="68">
        <f t="shared" si="18"/>
        <v>0</v>
      </c>
      <c r="AR95" s="67">
        <f t="shared" si="19"/>
        <v>0</v>
      </c>
      <c r="AS95" s="67">
        <f t="shared" si="20"/>
        <v>0</v>
      </c>
      <c r="AT95" s="67">
        <f t="shared" si="21"/>
        <v>0</v>
      </c>
      <c r="AU95" s="67">
        <f t="shared" si="22"/>
        <v>0</v>
      </c>
      <c r="AV95" s="67">
        <f t="shared" si="23"/>
        <v>0</v>
      </c>
      <c r="AW95" s="68">
        <f t="shared" si="24"/>
        <v>0</v>
      </c>
      <c r="AY95" s="67">
        <f t="shared" si="25"/>
        <v>0</v>
      </c>
      <c r="AZ95" s="67">
        <f t="shared" si="26"/>
        <v>0</v>
      </c>
      <c r="BA95" s="67">
        <f t="shared" si="27"/>
        <v>0</v>
      </c>
      <c r="BB95" s="67">
        <f t="shared" si="28"/>
        <v>0</v>
      </c>
    </row>
    <row r="96">
      <c r="A96" s="7"/>
      <c r="B96" s="7"/>
      <c r="C96" s="7"/>
      <c r="D96" s="7"/>
      <c r="E96" s="7"/>
      <c r="F96" s="7"/>
      <c r="G96" s="7"/>
      <c r="H96" s="7"/>
      <c r="I96" s="7"/>
      <c r="J96" s="7"/>
      <c r="K96" s="7"/>
      <c r="L96" s="7"/>
      <c r="M96" s="7"/>
      <c r="N96" s="7"/>
      <c r="O96" s="7"/>
      <c r="P96" s="7"/>
      <c r="Q96" s="7"/>
      <c r="R96" s="7"/>
      <c r="S96" s="7"/>
      <c r="T96" s="7"/>
      <c r="U96" s="7"/>
      <c r="V96" s="7"/>
      <c r="W96" s="7"/>
      <c r="X96" s="7"/>
      <c r="Y96" s="7"/>
      <c r="Z96" s="67">
        <f t="shared" si="1"/>
        <v>0</v>
      </c>
      <c r="AA96" s="67">
        <f t="shared" si="2"/>
        <v>0</v>
      </c>
      <c r="AB96" s="67">
        <f t="shared" si="3"/>
        <v>0</v>
      </c>
      <c r="AC96" s="67">
        <f t="shared" si="4"/>
        <v>0</v>
      </c>
      <c r="AD96" s="67">
        <f t="shared" si="5"/>
        <v>0</v>
      </c>
      <c r="AE96" s="68">
        <f t="shared" si="6"/>
        <v>0</v>
      </c>
      <c r="AF96" s="67">
        <f t="shared" si="7"/>
        <v>0</v>
      </c>
      <c r="AG96" s="67">
        <f t="shared" si="8"/>
        <v>0</v>
      </c>
      <c r="AH96" s="67">
        <f t="shared" si="9"/>
        <v>0</v>
      </c>
      <c r="AI96" s="67">
        <f t="shared" si="10"/>
        <v>0</v>
      </c>
      <c r="AJ96" s="67">
        <f t="shared" si="11"/>
        <v>0</v>
      </c>
      <c r="AK96" s="68">
        <f t="shared" si="12"/>
        <v>0</v>
      </c>
      <c r="AL96" s="67">
        <f t="shared" si="13"/>
        <v>0</v>
      </c>
      <c r="AM96" s="67">
        <f t="shared" si="14"/>
        <v>0</v>
      </c>
      <c r="AN96" s="67">
        <f t="shared" si="15"/>
        <v>0</v>
      </c>
      <c r="AO96" s="67">
        <f t="shared" si="16"/>
        <v>0</v>
      </c>
      <c r="AP96" s="67">
        <f t="shared" si="17"/>
        <v>0</v>
      </c>
      <c r="AQ96" s="68">
        <f t="shared" si="18"/>
        <v>0</v>
      </c>
      <c r="AR96" s="67">
        <f t="shared" si="19"/>
        <v>0</v>
      </c>
      <c r="AS96" s="67">
        <f t="shared" si="20"/>
        <v>0</v>
      </c>
      <c r="AT96" s="67">
        <f t="shared" si="21"/>
        <v>0</v>
      </c>
      <c r="AU96" s="67">
        <f t="shared" si="22"/>
        <v>0</v>
      </c>
      <c r="AV96" s="67">
        <f t="shared" si="23"/>
        <v>0</v>
      </c>
      <c r="AW96" s="68">
        <f t="shared" si="24"/>
        <v>0</v>
      </c>
      <c r="AY96" s="67">
        <f t="shared" si="25"/>
        <v>0</v>
      </c>
      <c r="AZ96" s="67">
        <f t="shared" si="26"/>
        <v>0</v>
      </c>
      <c r="BA96" s="67">
        <f t="shared" si="27"/>
        <v>0</v>
      </c>
      <c r="BB96" s="67">
        <f t="shared" si="28"/>
        <v>0</v>
      </c>
    </row>
    <row r="97">
      <c r="A97" s="7"/>
      <c r="B97" s="7"/>
      <c r="C97" s="7"/>
      <c r="D97" s="7"/>
      <c r="E97" s="7"/>
      <c r="F97" s="7"/>
      <c r="G97" s="7"/>
      <c r="H97" s="7"/>
      <c r="I97" s="7"/>
      <c r="J97" s="7"/>
      <c r="K97" s="7"/>
      <c r="L97" s="7"/>
      <c r="M97" s="7"/>
      <c r="N97" s="7"/>
      <c r="O97" s="7"/>
      <c r="P97" s="7"/>
      <c r="Q97" s="7"/>
      <c r="R97" s="7"/>
      <c r="S97" s="7"/>
      <c r="T97" s="7"/>
      <c r="U97" s="7"/>
      <c r="V97" s="7"/>
      <c r="W97" s="7"/>
      <c r="X97" s="7"/>
      <c r="Y97" s="7"/>
      <c r="Z97" s="67">
        <f t="shared" si="1"/>
        <v>0</v>
      </c>
      <c r="AA97" s="67">
        <f t="shared" si="2"/>
        <v>0</v>
      </c>
      <c r="AB97" s="67">
        <f t="shared" si="3"/>
        <v>0</v>
      </c>
      <c r="AC97" s="67">
        <f t="shared" si="4"/>
        <v>0</v>
      </c>
      <c r="AD97" s="67">
        <f t="shared" si="5"/>
        <v>0</v>
      </c>
      <c r="AE97" s="68">
        <f t="shared" si="6"/>
        <v>0</v>
      </c>
      <c r="AF97" s="67">
        <f t="shared" si="7"/>
        <v>0</v>
      </c>
      <c r="AG97" s="67">
        <f t="shared" si="8"/>
        <v>0</v>
      </c>
      <c r="AH97" s="67">
        <f t="shared" si="9"/>
        <v>0</v>
      </c>
      <c r="AI97" s="67">
        <f t="shared" si="10"/>
        <v>0</v>
      </c>
      <c r="AJ97" s="67">
        <f t="shared" si="11"/>
        <v>0</v>
      </c>
      <c r="AK97" s="68">
        <f t="shared" si="12"/>
        <v>0</v>
      </c>
      <c r="AL97" s="67">
        <f t="shared" si="13"/>
        <v>0</v>
      </c>
      <c r="AM97" s="67">
        <f t="shared" si="14"/>
        <v>0</v>
      </c>
      <c r="AN97" s="67">
        <f t="shared" si="15"/>
        <v>0</v>
      </c>
      <c r="AO97" s="67">
        <f t="shared" si="16"/>
        <v>0</v>
      </c>
      <c r="AP97" s="67">
        <f t="shared" si="17"/>
        <v>0</v>
      </c>
      <c r="AQ97" s="68">
        <f t="shared" si="18"/>
        <v>0</v>
      </c>
      <c r="AR97" s="67">
        <f t="shared" si="19"/>
        <v>0</v>
      </c>
      <c r="AS97" s="67">
        <f t="shared" si="20"/>
        <v>0</v>
      </c>
      <c r="AT97" s="67">
        <f t="shared" si="21"/>
        <v>0</v>
      </c>
      <c r="AU97" s="67">
        <f t="shared" si="22"/>
        <v>0</v>
      </c>
      <c r="AV97" s="67">
        <f t="shared" si="23"/>
        <v>0</v>
      </c>
      <c r="AW97" s="68">
        <f t="shared" si="24"/>
        <v>0</v>
      </c>
      <c r="AY97" s="67">
        <f t="shared" si="25"/>
        <v>0</v>
      </c>
      <c r="AZ97" s="67">
        <f t="shared" si="26"/>
        <v>0</v>
      </c>
      <c r="BA97" s="67">
        <f t="shared" si="27"/>
        <v>0</v>
      </c>
      <c r="BB97" s="67">
        <f t="shared" si="28"/>
        <v>0</v>
      </c>
    </row>
    <row r="98">
      <c r="A98" s="7"/>
      <c r="B98" s="7"/>
      <c r="C98" s="7"/>
      <c r="D98" s="7"/>
      <c r="E98" s="7"/>
      <c r="F98" s="7"/>
      <c r="G98" s="7"/>
      <c r="H98" s="7"/>
      <c r="I98" s="7"/>
      <c r="J98" s="7"/>
      <c r="K98" s="7"/>
      <c r="L98" s="7"/>
      <c r="M98" s="7"/>
      <c r="N98" s="7"/>
      <c r="O98" s="7"/>
      <c r="P98" s="7"/>
      <c r="Q98" s="7"/>
      <c r="R98" s="7"/>
      <c r="S98" s="7"/>
      <c r="T98" s="7"/>
      <c r="U98" s="7"/>
      <c r="V98" s="7"/>
      <c r="W98" s="7"/>
      <c r="X98" s="7"/>
      <c r="Y98" s="7"/>
      <c r="Z98" s="67">
        <f t="shared" si="1"/>
        <v>0</v>
      </c>
      <c r="AA98" s="67">
        <f t="shared" si="2"/>
        <v>0</v>
      </c>
      <c r="AB98" s="67">
        <f t="shared" si="3"/>
        <v>0</v>
      </c>
      <c r="AC98" s="67">
        <f t="shared" si="4"/>
        <v>0</v>
      </c>
      <c r="AD98" s="67">
        <f t="shared" si="5"/>
        <v>0</v>
      </c>
      <c r="AE98" s="68">
        <f t="shared" si="6"/>
        <v>0</v>
      </c>
      <c r="AF98" s="67">
        <f t="shared" si="7"/>
        <v>0</v>
      </c>
      <c r="AG98" s="67">
        <f t="shared" si="8"/>
        <v>0</v>
      </c>
      <c r="AH98" s="67">
        <f t="shared" si="9"/>
        <v>0</v>
      </c>
      <c r="AI98" s="67">
        <f t="shared" si="10"/>
        <v>0</v>
      </c>
      <c r="AJ98" s="67">
        <f t="shared" si="11"/>
        <v>0</v>
      </c>
      <c r="AK98" s="68">
        <f t="shared" si="12"/>
        <v>0</v>
      </c>
      <c r="AL98" s="67">
        <f t="shared" si="13"/>
        <v>0</v>
      </c>
      <c r="AM98" s="67">
        <f t="shared" si="14"/>
        <v>0</v>
      </c>
      <c r="AN98" s="67">
        <f t="shared" si="15"/>
        <v>0</v>
      </c>
      <c r="AO98" s="67">
        <f t="shared" si="16"/>
        <v>0</v>
      </c>
      <c r="AP98" s="67">
        <f t="shared" si="17"/>
        <v>0</v>
      </c>
      <c r="AQ98" s="68">
        <f t="shared" si="18"/>
        <v>0</v>
      </c>
      <c r="AR98" s="67">
        <f t="shared" si="19"/>
        <v>0</v>
      </c>
      <c r="AS98" s="67">
        <f t="shared" si="20"/>
        <v>0</v>
      </c>
      <c r="AT98" s="67">
        <f t="shared" si="21"/>
        <v>0</v>
      </c>
      <c r="AU98" s="67">
        <f t="shared" si="22"/>
        <v>0</v>
      </c>
      <c r="AV98" s="67">
        <f t="shared" si="23"/>
        <v>0</v>
      </c>
      <c r="AW98" s="68">
        <f t="shared" si="24"/>
        <v>0</v>
      </c>
      <c r="AY98" s="67">
        <f t="shared" si="25"/>
        <v>0</v>
      </c>
      <c r="AZ98" s="67">
        <f t="shared" si="26"/>
        <v>0</v>
      </c>
      <c r="BA98" s="67">
        <f t="shared" si="27"/>
        <v>0</v>
      </c>
      <c r="BB98" s="67">
        <f t="shared" si="28"/>
        <v>0</v>
      </c>
    </row>
    <row r="99">
      <c r="A99" s="7"/>
      <c r="B99" s="7"/>
      <c r="C99" s="7"/>
      <c r="D99" s="7"/>
      <c r="E99" s="7"/>
      <c r="F99" s="7"/>
      <c r="G99" s="7"/>
      <c r="H99" s="7"/>
      <c r="I99" s="7"/>
      <c r="J99" s="7"/>
      <c r="K99" s="7"/>
      <c r="L99" s="7"/>
      <c r="M99" s="7"/>
      <c r="N99" s="7"/>
      <c r="O99" s="7"/>
      <c r="P99" s="7"/>
      <c r="Q99" s="7"/>
      <c r="R99" s="7"/>
      <c r="S99" s="7"/>
      <c r="T99" s="7"/>
      <c r="U99" s="7"/>
      <c r="V99" s="7"/>
      <c r="W99" s="7"/>
      <c r="X99" s="7"/>
      <c r="Y99" s="7"/>
      <c r="Z99" s="67">
        <f t="shared" si="1"/>
        <v>0</v>
      </c>
      <c r="AA99" s="67">
        <f t="shared" si="2"/>
        <v>0</v>
      </c>
      <c r="AB99" s="67">
        <f t="shared" si="3"/>
        <v>0</v>
      </c>
      <c r="AC99" s="67">
        <f t="shared" si="4"/>
        <v>0</v>
      </c>
      <c r="AD99" s="67">
        <f t="shared" si="5"/>
        <v>0</v>
      </c>
      <c r="AE99" s="68">
        <f t="shared" si="6"/>
        <v>0</v>
      </c>
      <c r="AF99" s="67">
        <f t="shared" si="7"/>
        <v>0</v>
      </c>
      <c r="AG99" s="67">
        <f t="shared" si="8"/>
        <v>0</v>
      </c>
      <c r="AH99" s="67">
        <f t="shared" si="9"/>
        <v>0</v>
      </c>
      <c r="AI99" s="67">
        <f t="shared" si="10"/>
        <v>0</v>
      </c>
      <c r="AJ99" s="67">
        <f t="shared" si="11"/>
        <v>0</v>
      </c>
      <c r="AK99" s="68">
        <f t="shared" si="12"/>
        <v>0</v>
      </c>
      <c r="AL99" s="67">
        <f t="shared" si="13"/>
        <v>0</v>
      </c>
      <c r="AM99" s="67">
        <f t="shared" si="14"/>
        <v>0</v>
      </c>
      <c r="AN99" s="67">
        <f t="shared" si="15"/>
        <v>0</v>
      </c>
      <c r="AO99" s="67">
        <f t="shared" si="16"/>
        <v>0</v>
      </c>
      <c r="AP99" s="67">
        <f t="shared" si="17"/>
        <v>0</v>
      </c>
      <c r="AQ99" s="68">
        <f t="shared" si="18"/>
        <v>0</v>
      </c>
      <c r="AR99" s="67">
        <f t="shared" si="19"/>
        <v>0</v>
      </c>
      <c r="AS99" s="67">
        <f t="shared" si="20"/>
        <v>0</v>
      </c>
      <c r="AT99" s="67">
        <f t="shared" si="21"/>
        <v>0</v>
      </c>
      <c r="AU99" s="67">
        <f t="shared" si="22"/>
        <v>0</v>
      </c>
      <c r="AV99" s="67">
        <f t="shared" si="23"/>
        <v>0</v>
      </c>
      <c r="AW99" s="68">
        <f t="shared" si="24"/>
        <v>0</v>
      </c>
      <c r="AY99" s="67">
        <f t="shared" si="25"/>
        <v>0</v>
      </c>
      <c r="AZ99" s="67">
        <f t="shared" si="26"/>
        <v>0</v>
      </c>
      <c r="BA99" s="67">
        <f t="shared" si="27"/>
        <v>0</v>
      </c>
      <c r="BB99" s="67">
        <f t="shared" si="28"/>
        <v>0</v>
      </c>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67">
        <f t="shared" si="1"/>
        <v>0</v>
      </c>
      <c r="AA100" s="67">
        <f t="shared" si="2"/>
        <v>0</v>
      </c>
      <c r="AB100" s="67">
        <f t="shared" si="3"/>
        <v>0</v>
      </c>
      <c r="AC100" s="67">
        <f t="shared" si="4"/>
        <v>0</v>
      </c>
      <c r="AD100" s="67">
        <f t="shared" si="5"/>
        <v>0</v>
      </c>
      <c r="AE100" s="68">
        <f t="shared" si="6"/>
        <v>0</v>
      </c>
      <c r="AF100" s="67">
        <f t="shared" si="7"/>
        <v>0</v>
      </c>
      <c r="AG100" s="67">
        <f t="shared" si="8"/>
        <v>0</v>
      </c>
      <c r="AH100" s="67">
        <f t="shared" si="9"/>
        <v>0</v>
      </c>
      <c r="AI100" s="67">
        <f t="shared" si="10"/>
        <v>0</v>
      </c>
      <c r="AJ100" s="67">
        <f t="shared" si="11"/>
        <v>0</v>
      </c>
      <c r="AK100" s="68">
        <f t="shared" si="12"/>
        <v>0</v>
      </c>
      <c r="AL100" s="67">
        <f t="shared" si="13"/>
        <v>0</v>
      </c>
      <c r="AM100" s="67">
        <f t="shared" si="14"/>
        <v>0</v>
      </c>
      <c r="AN100" s="67">
        <f t="shared" si="15"/>
        <v>0</v>
      </c>
      <c r="AO100" s="67">
        <f t="shared" si="16"/>
        <v>0</v>
      </c>
      <c r="AP100" s="67">
        <f t="shared" si="17"/>
        <v>0</v>
      </c>
      <c r="AQ100" s="68">
        <f t="shared" si="18"/>
        <v>0</v>
      </c>
      <c r="AR100" s="67">
        <f t="shared" si="19"/>
        <v>0</v>
      </c>
      <c r="AS100" s="67">
        <f t="shared" si="20"/>
        <v>0</v>
      </c>
      <c r="AT100" s="67">
        <f t="shared" si="21"/>
        <v>0</v>
      </c>
      <c r="AU100" s="67">
        <f t="shared" si="22"/>
        <v>0</v>
      </c>
      <c r="AV100" s="67">
        <f t="shared" si="23"/>
        <v>0</v>
      </c>
      <c r="AW100" s="68">
        <f t="shared" si="24"/>
        <v>0</v>
      </c>
      <c r="AY100" s="67">
        <f t="shared" si="25"/>
        <v>0</v>
      </c>
      <c r="AZ100" s="67">
        <f t="shared" si="26"/>
        <v>0</v>
      </c>
      <c r="BA100" s="67">
        <f t="shared" si="27"/>
        <v>0</v>
      </c>
      <c r="BB100" s="67">
        <f t="shared" si="28"/>
        <v>0</v>
      </c>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67">
        <f t="shared" si="1"/>
        <v>0</v>
      </c>
      <c r="AA101" s="67">
        <f t="shared" si="2"/>
        <v>0</v>
      </c>
      <c r="AB101" s="67">
        <f t="shared" si="3"/>
        <v>0</v>
      </c>
      <c r="AC101" s="67">
        <f t="shared" si="4"/>
        <v>0</v>
      </c>
      <c r="AD101" s="67">
        <f t="shared" si="5"/>
        <v>0</v>
      </c>
      <c r="AE101" s="68">
        <f t="shared" si="6"/>
        <v>0</v>
      </c>
      <c r="AF101" s="67">
        <f t="shared" si="7"/>
        <v>0</v>
      </c>
      <c r="AG101" s="67">
        <f t="shared" si="8"/>
        <v>0</v>
      </c>
      <c r="AH101" s="67">
        <f t="shared" si="9"/>
        <v>0</v>
      </c>
      <c r="AI101" s="67">
        <f t="shared" si="10"/>
        <v>0</v>
      </c>
      <c r="AJ101" s="67">
        <f t="shared" si="11"/>
        <v>0</v>
      </c>
      <c r="AK101" s="68">
        <f t="shared" si="12"/>
        <v>0</v>
      </c>
      <c r="AL101" s="67">
        <f t="shared" si="13"/>
        <v>0</v>
      </c>
      <c r="AM101" s="67">
        <f t="shared" si="14"/>
        <v>0</v>
      </c>
      <c r="AN101" s="67">
        <f t="shared" si="15"/>
        <v>0</v>
      </c>
      <c r="AO101" s="67">
        <f t="shared" si="16"/>
        <v>0</v>
      </c>
      <c r="AP101" s="67">
        <f t="shared" si="17"/>
        <v>0</v>
      </c>
      <c r="AQ101" s="68">
        <f t="shared" si="18"/>
        <v>0</v>
      </c>
      <c r="AR101" s="67">
        <f t="shared" si="19"/>
        <v>0</v>
      </c>
      <c r="AS101" s="67">
        <f t="shared" si="20"/>
        <v>0</v>
      </c>
      <c r="AT101" s="67">
        <f t="shared" si="21"/>
        <v>0</v>
      </c>
      <c r="AU101" s="67">
        <f t="shared" si="22"/>
        <v>0</v>
      </c>
      <c r="AV101" s="67">
        <f t="shared" si="23"/>
        <v>0</v>
      </c>
      <c r="AW101" s="68">
        <f t="shared" si="24"/>
        <v>0</v>
      </c>
      <c r="AY101" s="67">
        <f t="shared" si="25"/>
        <v>0</v>
      </c>
      <c r="AZ101" s="67">
        <f t="shared" si="26"/>
        <v>0</v>
      </c>
      <c r="BA101" s="67">
        <f t="shared" si="27"/>
        <v>0</v>
      </c>
      <c r="BB101" s="67">
        <f t="shared" si="28"/>
        <v>0</v>
      </c>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67">
        <f t="shared" si="1"/>
        <v>0</v>
      </c>
      <c r="AA102" s="67">
        <f t="shared" si="2"/>
        <v>0</v>
      </c>
      <c r="AB102" s="67">
        <f t="shared" si="3"/>
        <v>0</v>
      </c>
      <c r="AC102" s="67">
        <f t="shared" si="4"/>
        <v>0</v>
      </c>
      <c r="AD102" s="67">
        <f t="shared" si="5"/>
        <v>0</v>
      </c>
      <c r="AE102" s="68">
        <f t="shared" si="6"/>
        <v>0</v>
      </c>
      <c r="AF102" s="67">
        <f t="shared" si="7"/>
        <v>0</v>
      </c>
      <c r="AG102" s="67">
        <f t="shared" si="8"/>
        <v>0</v>
      </c>
      <c r="AH102" s="67">
        <f t="shared" si="9"/>
        <v>0</v>
      </c>
      <c r="AI102" s="67">
        <f t="shared" si="10"/>
        <v>0</v>
      </c>
      <c r="AJ102" s="67">
        <f t="shared" si="11"/>
        <v>0</v>
      </c>
      <c r="AK102" s="68">
        <f t="shared" si="12"/>
        <v>0</v>
      </c>
      <c r="AL102" s="67">
        <f t="shared" si="13"/>
        <v>0</v>
      </c>
      <c r="AM102" s="67">
        <f t="shared" si="14"/>
        <v>0</v>
      </c>
      <c r="AN102" s="67">
        <f t="shared" si="15"/>
        <v>0</v>
      </c>
      <c r="AO102" s="67">
        <f t="shared" si="16"/>
        <v>0</v>
      </c>
      <c r="AP102" s="67">
        <f t="shared" si="17"/>
        <v>0</v>
      </c>
      <c r="AQ102" s="68">
        <f t="shared" si="18"/>
        <v>0</v>
      </c>
      <c r="AR102" s="67">
        <f t="shared" si="19"/>
        <v>0</v>
      </c>
      <c r="AS102" s="67">
        <f t="shared" si="20"/>
        <v>0</v>
      </c>
      <c r="AT102" s="67">
        <f t="shared" si="21"/>
        <v>0</v>
      </c>
      <c r="AU102" s="67">
        <f t="shared" si="22"/>
        <v>0</v>
      </c>
      <c r="AV102" s="67">
        <f t="shared" si="23"/>
        <v>0</v>
      </c>
      <c r="AW102" s="68">
        <f t="shared" si="24"/>
        <v>0</v>
      </c>
      <c r="AY102" s="67">
        <f t="shared" si="25"/>
        <v>0</v>
      </c>
      <c r="AZ102" s="67">
        <f t="shared" si="26"/>
        <v>0</v>
      </c>
      <c r="BA102" s="67">
        <f t="shared" si="27"/>
        <v>0</v>
      </c>
      <c r="BB102" s="67">
        <f t="shared" si="28"/>
        <v>0</v>
      </c>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67">
        <f t="shared" si="1"/>
        <v>0</v>
      </c>
      <c r="AA103" s="67">
        <f t="shared" si="2"/>
        <v>0</v>
      </c>
      <c r="AB103" s="67">
        <f t="shared" si="3"/>
        <v>0</v>
      </c>
      <c r="AC103" s="67">
        <f t="shared" si="4"/>
        <v>0</v>
      </c>
      <c r="AD103" s="67">
        <f t="shared" si="5"/>
        <v>0</v>
      </c>
      <c r="AE103" s="68">
        <f t="shared" si="6"/>
        <v>0</v>
      </c>
      <c r="AF103" s="67">
        <f t="shared" si="7"/>
        <v>0</v>
      </c>
      <c r="AG103" s="67">
        <f t="shared" si="8"/>
        <v>0</v>
      </c>
      <c r="AH103" s="67">
        <f t="shared" si="9"/>
        <v>0</v>
      </c>
      <c r="AI103" s="67">
        <f t="shared" si="10"/>
        <v>0</v>
      </c>
      <c r="AJ103" s="67">
        <f t="shared" si="11"/>
        <v>0</v>
      </c>
      <c r="AK103" s="68">
        <f t="shared" si="12"/>
        <v>0</v>
      </c>
      <c r="AL103" s="67">
        <f t="shared" si="13"/>
        <v>0</v>
      </c>
      <c r="AM103" s="67">
        <f t="shared" si="14"/>
        <v>0</v>
      </c>
      <c r="AN103" s="67">
        <f t="shared" si="15"/>
        <v>0</v>
      </c>
      <c r="AO103" s="67">
        <f t="shared" si="16"/>
        <v>0</v>
      </c>
      <c r="AP103" s="67">
        <f t="shared" si="17"/>
        <v>0</v>
      </c>
      <c r="AQ103" s="68">
        <f t="shared" si="18"/>
        <v>0</v>
      </c>
      <c r="AR103" s="67">
        <f t="shared" si="19"/>
        <v>0</v>
      </c>
      <c r="AS103" s="67">
        <f t="shared" si="20"/>
        <v>0</v>
      </c>
      <c r="AT103" s="67">
        <f t="shared" si="21"/>
        <v>0</v>
      </c>
      <c r="AU103" s="67">
        <f t="shared" si="22"/>
        <v>0</v>
      </c>
      <c r="AV103" s="67">
        <f t="shared" si="23"/>
        <v>0</v>
      </c>
      <c r="AW103" s="68">
        <f t="shared" si="24"/>
        <v>0</v>
      </c>
      <c r="AY103" s="67">
        <f t="shared" si="25"/>
        <v>0</v>
      </c>
      <c r="AZ103" s="67">
        <f t="shared" si="26"/>
        <v>0</v>
      </c>
      <c r="BA103" s="67">
        <f t="shared" si="27"/>
        <v>0</v>
      </c>
      <c r="BB103" s="67">
        <f t="shared" si="28"/>
        <v>0</v>
      </c>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67">
        <f t="shared" si="1"/>
        <v>0</v>
      </c>
      <c r="AA104" s="67">
        <f t="shared" si="2"/>
        <v>0</v>
      </c>
      <c r="AB104" s="67">
        <f t="shared" si="3"/>
        <v>0</v>
      </c>
      <c r="AC104" s="67">
        <f t="shared" si="4"/>
        <v>0</v>
      </c>
      <c r="AD104" s="67">
        <f t="shared" si="5"/>
        <v>0</v>
      </c>
      <c r="AE104" s="68">
        <f t="shared" si="6"/>
        <v>0</v>
      </c>
      <c r="AF104" s="67">
        <f t="shared" si="7"/>
        <v>0</v>
      </c>
      <c r="AG104" s="67">
        <f t="shared" si="8"/>
        <v>0</v>
      </c>
      <c r="AH104" s="67">
        <f t="shared" si="9"/>
        <v>0</v>
      </c>
      <c r="AI104" s="67">
        <f t="shared" si="10"/>
        <v>0</v>
      </c>
      <c r="AJ104" s="67">
        <f t="shared" si="11"/>
        <v>0</v>
      </c>
      <c r="AK104" s="68">
        <f t="shared" si="12"/>
        <v>0</v>
      </c>
      <c r="AL104" s="67">
        <f t="shared" si="13"/>
        <v>0</v>
      </c>
      <c r="AM104" s="67">
        <f t="shared" si="14"/>
        <v>0</v>
      </c>
      <c r="AN104" s="67">
        <f t="shared" si="15"/>
        <v>0</v>
      </c>
      <c r="AO104" s="67">
        <f t="shared" si="16"/>
        <v>0</v>
      </c>
      <c r="AP104" s="67">
        <f t="shared" si="17"/>
        <v>0</v>
      </c>
      <c r="AQ104" s="68">
        <f t="shared" si="18"/>
        <v>0</v>
      </c>
      <c r="AR104" s="67">
        <f t="shared" si="19"/>
        <v>0</v>
      </c>
      <c r="AS104" s="67">
        <f t="shared" si="20"/>
        <v>0</v>
      </c>
      <c r="AT104" s="67">
        <f t="shared" si="21"/>
        <v>0</v>
      </c>
      <c r="AU104" s="67">
        <f t="shared" si="22"/>
        <v>0</v>
      </c>
      <c r="AV104" s="67">
        <f t="shared" si="23"/>
        <v>0</v>
      </c>
      <c r="AW104" s="68">
        <f t="shared" si="24"/>
        <v>0</v>
      </c>
      <c r="AY104" s="67">
        <f t="shared" si="25"/>
        <v>0</v>
      </c>
      <c r="AZ104" s="67">
        <f t="shared" si="26"/>
        <v>0</v>
      </c>
      <c r="BA104" s="67">
        <f t="shared" si="27"/>
        <v>0</v>
      </c>
      <c r="BB104" s="67">
        <f t="shared" si="28"/>
        <v>0</v>
      </c>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67">
        <f t="shared" si="1"/>
        <v>0</v>
      </c>
      <c r="AA105" s="67">
        <f t="shared" si="2"/>
        <v>0</v>
      </c>
      <c r="AB105" s="67">
        <f t="shared" si="3"/>
        <v>0</v>
      </c>
      <c r="AC105" s="67">
        <f t="shared" si="4"/>
        <v>0</v>
      </c>
      <c r="AD105" s="67">
        <f t="shared" si="5"/>
        <v>0</v>
      </c>
      <c r="AE105" s="68">
        <f t="shared" si="6"/>
        <v>0</v>
      </c>
      <c r="AF105" s="67">
        <f t="shared" si="7"/>
        <v>0</v>
      </c>
      <c r="AG105" s="67">
        <f t="shared" si="8"/>
        <v>0</v>
      </c>
      <c r="AH105" s="67">
        <f t="shared" si="9"/>
        <v>0</v>
      </c>
      <c r="AI105" s="67">
        <f t="shared" si="10"/>
        <v>0</v>
      </c>
      <c r="AJ105" s="67">
        <f t="shared" si="11"/>
        <v>0</v>
      </c>
      <c r="AK105" s="68">
        <f t="shared" si="12"/>
        <v>0</v>
      </c>
      <c r="AL105" s="67">
        <f t="shared" si="13"/>
        <v>0</v>
      </c>
      <c r="AM105" s="67">
        <f t="shared" si="14"/>
        <v>0</v>
      </c>
      <c r="AN105" s="67">
        <f t="shared" si="15"/>
        <v>0</v>
      </c>
      <c r="AO105" s="67">
        <f t="shared" si="16"/>
        <v>0</v>
      </c>
      <c r="AP105" s="67">
        <f t="shared" si="17"/>
        <v>0</v>
      </c>
      <c r="AQ105" s="68">
        <f t="shared" si="18"/>
        <v>0</v>
      </c>
      <c r="AR105" s="67">
        <f t="shared" si="19"/>
        <v>0</v>
      </c>
      <c r="AS105" s="67">
        <f t="shared" si="20"/>
        <v>0</v>
      </c>
      <c r="AT105" s="67">
        <f t="shared" si="21"/>
        <v>0</v>
      </c>
      <c r="AU105" s="67">
        <f t="shared" si="22"/>
        <v>0</v>
      </c>
      <c r="AV105" s="67">
        <f t="shared" si="23"/>
        <v>0</v>
      </c>
      <c r="AW105" s="68">
        <f t="shared" si="24"/>
        <v>0</v>
      </c>
      <c r="AY105" s="67">
        <f t="shared" si="25"/>
        <v>0</v>
      </c>
      <c r="AZ105" s="67">
        <f t="shared" si="26"/>
        <v>0</v>
      </c>
      <c r="BA105" s="67">
        <f t="shared" si="27"/>
        <v>0</v>
      </c>
      <c r="BB105" s="67">
        <f t="shared" si="28"/>
        <v>0</v>
      </c>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67">
        <f t="shared" si="1"/>
        <v>0</v>
      </c>
      <c r="AA106" s="67">
        <f t="shared" si="2"/>
        <v>0</v>
      </c>
      <c r="AB106" s="67">
        <f t="shared" si="3"/>
        <v>0</v>
      </c>
      <c r="AC106" s="67">
        <f t="shared" si="4"/>
        <v>0</v>
      </c>
      <c r="AD106" s="67">
        <f t="shared" si="5"/>
        <v>0</v>
      </c>
      <c r="AE106" s="68">
        <f t="shared" si="6"/>
        <v>0</v>
      </c>
      <c r="AF106" s="67">
        <f t="shared" si="7"/>
        <v>0</v>
      </c>
      <c r="AG106" s="67">
        <f t="shared" si="8"/>
        <v>0</v>
      </c>
      <c r="AH106" s="67">
        <f t="shared" si="9"/>
        <v>0</v>
      </c>
      <c r="AI106" s="67">
        <f t="shared" si="10"/>
        <v>0</v>
      </c>
      <c r="AJ106" s="67">
        <f t="shared" si="11"/>
        <v>0</v>
      </c>
      <c r="AK106" s="68">
        <f t="shared" si="12"/>
        <v>0</v>
      </c>
      <c r="AL106" s="67">
        <f t="shared" si="13"/>
        <v>0</v>
      </c>
      <c r="AM106" s="67">
        <f t="shared" si="14"/>
        <v>0</v>
      </c>
      <c r="AN106" s="67">
        <f t="shared" si="15"/>
        <v>0</v>
      </c>
      <c r="AO106" s="67">
        <f t="shared" si="16"/>
        <v>0</v>
      </c>
      <c r="AP106" s="67">
        <f t="shared" si="17"/>
        <v>0</v>
      </c>
      <c r="AQ106" s="68">
        <f t="shared" si="18"/>
        <v>0</v>
      </c>
      <c r="AR106" s="67">
        <f t="shared" si="19"/>
        <v>0</v>
      </c>
      <c r="AS106" s="67">
        <f t="shared" si="20"/>
        <v>0</v>
      </c>
      <c r="AT106" s="67">
        <f t="shared" si="21"/>
        <v>0</v>
      </c>
      <c r="AU106" s="67">
        <f t="shared" si="22"/>
        <v>0</v>
      </c>
      <c r="AV106" s="67">
        <f t="shared" si="23"/>
        <v>0</v>
      </c>
      <c r="AW106" s="68">
        <f t="shared" si="24"/>
        <v>0</v>
      </c>
      <c r="AY106" s="67">
        <f t="shared" si="25"/>
        <v>0</v>
      </c>
      <c r="AZ106" s="67">
        <f t="shared" si="26"/>
        <v>0</v>
      </c>
      <c r="BA106" s="67">
        <f t="shared" si="27"/>
        <v>0</v>
      </c>
      <c r="BB106" s="67">
        <f t="shared" si="28"/>
        <v>0</v>
      </c>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67">
        <f t="shared" si="1"/>
        <v>0</v>
      </c>
      <c r="AA107" s="67">
        <f t="shared" si="2"/>
        <v>0</v>
      </c>
      <c r="AB107" s="67">
        <f t="shared" si="3"/>
        <v>0</v>
      </c>
      <c r="AC107" s="67">
        <f t="shared" si="4"/>
        <v>0</v>
      </c>
      <c r="AD107" s="67">
        <f t="shared" si="5"/>
        <v>0</v>
      </c>
      <c r="AE107" s="68">
        <f t="shared" si="6"/>
        <v>0</v>
      </c>
      <c r="AF107" s="67">
        <f t="shared" si="7"/>
        <v>0</v>
      </c>
      <c r="AG107" s="67">
        <f t="shared" si="8"/>
        <v>0</v>
      </c>
      <c r="AH107" s="67">
        <f t="shared" si="9"/>
        <v>0</v>
      </c>
      <c r="AI107" s="67">
        <f t="shared" si="10"/>
        <v>0</v>
      </c>
      <c r="AJ107" s="67">
        <f t="shared" si="11"/>
        <v>0</v>
      </c>
      <c r="AK107" s="68">
        <f t="shared" si="12"/>
        <v>0</v>
      </c>
      <c r="AL107" s="67">
        <f t="shared" si="13"/>
        <v>0</v>
      </c>
      <c r="AM107" s="67">
        <f t="shared" si="14"/>
        <v>0</v>
      </c>
      <c r="AN107" s="67">
        <f t="shared" si="15"/>
        <v>0</v>
      </c>
      <c r="AO107" s="67">
        <f t="shared" si="16"/>
        <v>0</v>
      </c>
      <c r="AP107" s="67">
        <f t="shared" si="17"/>
        <v>0</v>
      </c>
      <c r="AQ107" s="68">
        <f t="shared" si="18"/>
        <v>0</v>
      </c>
      <c r="AR107" s="67">
        <f t="shared" si="19"/>
        <v>0</v>
      </c>
      <c r="AS107" s="67">
        <f t="shared" si="20"/>
        <v>0</v>
      </c>
      <c r="AT107" s="67">
        <f t="shared" si="21"/>
        <v>0</v>
      </c>
      <c r="AU107" s="67">
        <f t="shared" si="22"/>
        <v>0</v>
      </c>
      <c r="AV107" s="67">
        <f t="shared" si="23"/>
        <v>0</v>
      </c>
      <c r="AW107" s="68">
        <f t="shared" si="24"/>
        <v>0</v>
      </c>
      <c r="AY107" s="67">
        <f t="shared" si="25"/>
        <v>0</v>
      </c>
      <c r="AZ107" s="67">
        <f t="shared" si="26"/>
        <v>0</v>
      </c>
      <c r="BA107" s="67">
        <f t="shared" si="27"/>
        <v>0</v>
      </c>
      <c r="BB107" s="67">
        <f t="shared" si="28"/>
        <v>0</v>
      </c>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67">
        <f t="shared" si="1"/>
        <v>0</v>
      </c>
      <c r="AA108" s="67">
        <f t="shared" si="2"/>
        <v>0</v>
      </c>
      <c r="AB108" s="67">
        <f t="shared" si="3"/>
        <v>0</v>
      </c>
      <c r="AC108" s="67">
        <f t="shared" si="4"/>
        <v>0</v>
      </c>
      <c r="AD108" s="67">
        <f t="shared" si="5"/>
        <v>0</v>
      </c>
      <c r="AE108" s="68">
        <f t="shared" si="6"/>
        <v>0</v>
      </c>
      <c r="AF108" s="67">
        <f t="shared" si="7"/>
        <v>0</v>
      </c>
      <c r="AG108" s="67">
        <f t="shared" si="8"/>
        <v>0</v>
      </c>
      <c r="AH108" s="67">
        <f t="shared" si="9"/>
        <v>0</v>
      </c>
      <c r="AI108" s="67">
        <f t="shared" si="10"/>
        <v>0</v>
      </c>
      <c r="AJ108" s="67">
        <f t="shared" si="11"/>
        <v>0</v>
      </c>
      <c r="AK108" s="68">
        <f t="shared" si="12"/>
        <v>0</v>
      </c>
      <c r="AL108" s="67">
        <f t="shared" si="13"/>
        <v>0</v>
      </c>
      <c r="AM108" s="67">
        <f t="shared" si="14"/>
        <v>0</v>
      </c>
      <c r="AN108" s="67">
        <f t="shared" si="15"/>
        <v>0</v>
      </c>
      <c r="AO108" s="67">
        <f t="shared" si="16"/>
        <v>0</v>
      </c>
      <c r="AP108" s="67">
        <f t="shared" si="17"/>
        <v>0</v>
      </c>
      <c r="AQ108" s="68">
        <f t="shared" si="18"/>
        <v>0</v>
      </c>
      <c r="AR108" s="67">
        <f t="shared" si="19"/>
        <v>0</v>
      </c>
      <c r="AS108" s="67">
        <f t="shared" si="20"/>
        <v>0</v>
      </c>
      <c r="AT108" s="67">
        <f t="shared" si="21"/>
        <v>0</v>
      </c>
      <c r="AU108" s="67">
        <f t="shared" si="22"/>
        <v>0</v>
      </c>
      <c r="AV108" s="67">
        <f t="shared" si="23"/>
        <v>0</v>
      </c>
      <c r="AW108" s="68">
        <f t="shared" si="24"/>
        <v>0</v>
      </c>
      <c r="AY108" s="67">
        <f t="shared" si="25"/>
        <v>0</v>
      </c>
      <c r="AZ108" s="67">
        <f t="shared" si="26"/>
        <v>0</v>
      </c>
      <c r="BA108" s="67">
        <f t="shared" si="27"/>
        <v>0</v>
      </c>
      <c r="BB108" s="67">
        <f t="shared" si="28"/>
        <v>0</v>
      </c>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67">
        <f t="shared" si="1"/>
        <v>0</v>
      </c>
      <c r="AA109" s="67">
        <f t="shared" si="2"/>
        <v>0</v>
      </c>
      <c r="AB109" s="67">
        <f t="shared" si="3"/>
        <v>0</v>
      </c>
      <c r="AC109" s="67">
        <f t="shared" si="4"/>
        <v>0</v>
      </c>
      <c r="AD109" s="67">
        <f t="shared" si="5"/>
        <v>0</v>
      </c>
      <c r="AE109" s="68">
        <f t="shared" si="6"/>
        <v>0</v>
      </c>
      <c r="AF109" s="67">
        <f t="shared" si="7"/>
        <v>0</v>
      </c>
      <c r="AG109" s="67">
        <f t="shared" si="8"/>
        <v>0</v>
      </c>
      <c r="AH109" s="67">
        <f t="shared" si="9"/>
        <v>0</v>
      </c>
      <c r="AI109" s="67">
        <f t="shared" si="10"/>
        <v>0</v>
      </c>
      <c r="AJ109" s="67">
        <f t="shared" si="11"/>
        <v>0</v>
      </c>
      <c r="AK109" s="68">
        <f t="shared" si="12"/>
        <v>0</v>
      </c>
      <c r="AL109" s="67">
        <f t="shared" si="13"/>
        <v>0</v>
      </c>
      <c r="AM109" s="67">
        <f t="shared" si="14"/>
        <v>0</v>
      </c>
      <c r="AN109" s="67">
        <f t="shared" si="15"/>
        <v>0</v>
      </c>
      <c r="AO109" s="67">
        <f t="shared" si="16"/>
        <v>0</v>
      </c>
      <c r="AP109" s="67">
        <f t="shared" si="17"/>
        <v>0</v>
      </c>
      <c r="AQ109" s="68">
        <f t="shared" si="18"/>
        <v>0</v>
      </c>
      <c r="AR109" s="67">
        <f t="shared" si="19"/>
        <v>0</v>
      </c>
      <c r="AS109" s="67">
        <f t="shared" si="20"/>
        <v>0</v>
      </c>
      <c r="AT109" s="67">
        <f t="shared" si="21"/>
        <v>0</v>
      </c>
      <c r="AU109" s="67">
        <f t="shared" si="22"/>
        <v>0</v>
      </c>
      <c r="AV109" s="67">
        <f t="shared" si="23"/>
        <v>0</v>
      </c>
      <c r="AW109" s="68">
        <f t="shared" si="24"/>
        <v>0</v>
      </c>
      <c r="AY109" s="67">
        <f t="shared" si="25"/>
        <v>0</v>
      </c>
      <c r="AZ109" s="67">
        <f t="shared" si="26"/>
        <v>0</v>
      </c>
      <c r="BA109" s="67">
        <f t="shared" si="27"/>
        <v>0</v>
      </c>
      <c r="BB109" s="67">
        <f t="shared" si="28"/>
        <v>0</v>
      </c>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67">
        <f t="shared" si="1"/>
        <v>0</v>
      </c>
      <c r="AA110" s="67">
        <f t="shared" si="2"/>
        <v>0</v>
      </c>
      <c r="AB110" s="67">
        <f t="shared" si="3"/>
        <v>0</v>
      </c>
      <c r="AC110" s="67">
        <f t="shared" si="4"/>
        <v>0</v>
      </c>
      <c r="AD110" s="67">
        <f t="shared" si="5"/>
        <v>0</v>
      </c>
      <c r="AE110" s="68">
        <f t="shared" si="6"/>
        <v>0</v>
      </c>
      <c r="AF110" s="67">
        <f t="shared" si="7"/>
        <v>0</v>
      </c>
      <c r="AG110" s="67">
        <f t="shared" si="8"/>
        <v>0</v>
      </c>
      <c r="AH110" s="67">
        <f t="shared" si="9"/>
        <v>0</v>
      </c>
      <c r="AI110" s="67">
        <f t="shared" si="10"/>
        <v>0</v>
      </c>
      <c r="AJ110" s="67">
        <f t="shared" si="11"/>
        <v>0</v>
      </c>
      <c r="AK110" s="68">
        <f t="shared" si="12"/>
        <v>0</v>
      </c>
      <c r="AL110" s="67">
        <f t="shared" si="13"/>
        <v>0</v>
      </c>
      <c r="AM110" s="67">
        <f t="shared" si="14"/>
        <v>0</v>
      </c>
      <c r="AN110" s="67">
        <f t="shared" si="15"/>
        <v>0</v>
      </c>
      <c r="AO110" s="67">
        <f t="shared" si="16"/>
        <v>0</v>
      </c>
      <c r="AP110" s="67">
        <f t="shared" si="17"/>
        <v>0</v>
      </c>
      <c r="AQ110" s="68">
        <f t="shared" si="18"/>
        <v>0</v>
      </c>
      <c r="AR110" s="67">
        <f t="shared" si="19"/>
        <v>0</v>
      </c>
      <c r="AS110" s="67">
        <f t="shared" si="20"/>
        <v>0</v>
      </c>
      <c r="AT110" s="67">
        <f t="shared" si="21"/>
        <v>0</v>
      </c>
      <c r="AU110" s="67">
        <f t="shared" si="22"/>
        <v>0</v>
      </c>
      <c r="AV110" s="67">
        <f t="shared" si="23"/>
        <v>0</v>
      </c>
      <c r="AW110" s="68">
        <f t="shared" si="24"/>
        <v>0</v>
      </c>
      <c r="AY110" s="67">
        <f t="shared" si="25"/>
        <v>0</v>
      </c>
      <c r="AZ110" s="67">
        <f t="shared" si="26"/>
        <v>0</v>
      </c>
      <c r="BA110" s="67">
        <f t="shared" si="27"/>
        <v>0</v>
      </c>
      <c r="BB110" s="67">
        <f t="shared" si="28"/>
        <v>0</v>
      </c>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67">
        <f t="shared" si="1"/>
        <v>0</v>
      </c>
      <c r="AA111" s="67">
        <f t="shared" si="2"/>
        <v>0</v>
      </c>
      <c r="AB111" s="67">
        <f t="shared" si="3"/>
        <v>0</v>
      </c>
      <c r="AC111" s="67">
        <f t="shared" si="4"/>
        <v>0</v>
      </c>
      <c r="AD111" s="67">
        <f t="shared" si="5"/>
        <v>0</v>
      </c>
      <c r="AE111" s="68">
        <f t="shared" si="6"/>
        <v>0</v>
      </c>
      <c r="AF111" s="67">
        <f t="shared" si="7"/>
        <v>0</v>
      </c>
      <c r="AG111" s="67">
        <f t="shared" si="8"/>
        <v>0</v>
      </c>
      <c r="AH111" s="67">
        <f t="shared" si="9"/>
        <v>0</v>
      </c>
      <c r="AI111" s="67">
        <f t="shared" si="10"/>
        <v>0</v>
      </c>
      <c r="AJ111" s="67">
        <f t="shared" si="11"/>
        <v>0</v>
      </c>
      <c r="AK111" s="68">
        <f t="shared" si="12"/>
        <v>0</v>
      </c>
      <c r="AL111" s="67">
        <f t="shared" si="13"/>
        <v>0</v>
      </c>
      <c r="AM111" s="67">
        <f t="shared" si="14"/>
        <v>0</v>
      </c>
      <c r="AN111" s="67">
        <f t="shared" si="15"/>
        <v>0</v>
      </c>
      <c r="AO111" s="67">
        <f t="shared" si="16"/>
        <v>0</v>
      </c>
      <c r="AP111" s="67">
        <f t="shared" si="17"/>
        <v>0</v>
      </c>
      <c r="AQ111" s="68">
        <f t="shared" si="18"/>
        <v>0</v>
      </c>
      <c r="AR111" s="67">
        <f t="shared" si="19"/>
        <v>0</v>
      </c>
      <c r="AS111" s="67">
        <f t="shared" si="20"/>
        <v>0</v>
      </c>
      <c r="AT111" s="67">
        <f t="shared" si="21"/>
        <v>0</v>
      </c>
      <c r="AU111" s="67">
        <f t="shared" si="22"/>
        <v>0</v>
      </c>
      <c r="AV111" s="67">
        <f t="shared" si="23"/>
        <v>0</v>
      </c>
      <c r="AW111" s="68">
        <f t="shared" si="24"/>
        <v>0</v>
      </c>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67">
        <f t="shared" si="1"/>
        <v>0</v>
      </c>
      <c r="AA112" s="67">
        <f t="shared" si="2"/>
        <v>0</v>
      </c>
      <c r="AB112" s="67">
        <f t="shared" si="3"/>
        <v>0</v>
      </c>
      <c r="AC112" s="67">
        <f t="shared" si="4"/>
        <v>0</v>
      </c>
      <c r="AD112" s="67">
        <f t="shared" si="5"/>
        <v>0</v>
      </c>
      <c r="AE112" s="68">
        <f t="shared" si="6"/>
        <v>0</v>
      </c>
      <c r="AF112" s="67">
        <f t="shared" si="7"/>
        <v>0</v>
      </c>
      <c r="AG112" s="67">
        <f t="shared" si="8"/>
        <v>0</v>
      </c>
      <c r="AH112" s="67">
        <f t="shared" si="9"/>
        <v>0</v>
      </c>
      <c r="AI112" s="67">
        <f t="shared" si="10"/>
        <v>0</v>
      </c>
      <c r="AJ112" s="67">
        <f t="shared" si="11"/>
        <v>0</v>
      </c>
      <c r="AK112" s="68">
        <f t="shared" si="12"/>
        <v>0</v>
      </c>
      <c r="AL112" s="67">
        <f t="shared" si="13"/>
        <v>0</v>
      </c>
      <c r="AM112" s="67">
        <f t="shared" si="14"/>
        <v>0</v>
      </c>
      <c r="AN112" s="67">
        <f t="shared" si="15"/>
        <v>0</v>
      </c>
      <c r="AO112" s="67">
        <f t="shared" si="16"/>
        <v>0</v>
      </c>
      <c r="AP112" s="67">
        <f t="shared" si="17"/>
        <v>0</v>
      </c>
      <c r="AQ112" s="68">
        <f t="shared" si="18"/>
        <v>0</v>
      </c>
      <c r="AR112" s="67">
        <f t="shared" si="19"/>
        <v>0</v>
      </c>
      <c r="AS112" s="67">
        <f t="shared" si="20"/>
        <v>0</v>
      </c>
      <c r="AT112" s="67">
        <f t="shared" si="21"/>
        <v>0</v>
      </c>
      <c r="AU112" s="67">
        <f t="shared" si="22"/>
        <v>0</v>
      </c>
      <c r="AV112" s="67">
        <f t="shared" si="23"/>
        <v>0</v>
      </c>
      <c r="AW112" s="68">
        <f t="shared" si="24"/>
        <v>0</v>
      </c>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67">
        <f t="shared" si="1"/>
        <v>0</v>
      </c>
      <c r="AA113" s="67">
        <f t="shared" si="2"/>
        <v>0</v>
      </c>
      <c r="AB113" s="67">
        <f t="shared" si="3"/>
        <v>0</v>
      </c>
      <c r="AC113" s="67">
        <f t="shared" si="4"/>
        <v>0</v>
      </c>
      <c r="AD113" s="67">
        <f t="shared" si="5"/>
        <v>0</v>
      </c>
      <c r="AE113" s="68">
        <f t="shared" si="6"/>
        <v>0</v>
      </c>
      <c r="AF113" s="67">
        <f t="shared" si="7"/>
        <v>0</v>
      </c>
      <c r="AG113" s="67">
        <f t="shared" si="8"/>
        <v>0</v>
      </c>
      <c r="AH113" s="67">
        <f t="shared" si="9"/>
        <v>0</v>
      </c>
      <c r="AI113" s="67">
        <f t="shared" si="10"/>
        <v>0</v>
      </c>
      <c r="AJ113" s="67">
        <f t="shared" si="11"/>
        <v>0</v>
      </c>
      <c r="AK113" s="68">
        <f t="shared" si="12"/>
        <v>0</v>
      </c>
      <c r="AL113" s="67">
        <f t="shared" si="13"/>
        <v>0</v>
      </c>
      <c r="AM113" s="67">
        <f t="shared" si="14"/>
        <v>0</v>
      </c>
      <c r="AN113" s="67">
        <f t="shared" si="15"/>
        <v>0</v>
      </c>
      <c r="AO113" s="67">
        <f t="shared" si="16"/>
        <v>0</v>
      </c>
      <c r="AP113" s="67">
        <f t="shared" si="17"/>
        <v>0</v>
      </c>
      <c r="AQ113" s="68">
        <f t="shared" si="18"/>
        <v>0</v>
      </c>
      <c r="AR113" s="67">
        <f t="shared" si="19"/>
        <v>0</v>
      </c>
      <c r="AS113" s="67">
        <f t="shared" si="20"/>
        <v>0</v>
      </c>
      <c r="AT113" s="67">
        <f t="shared" si="21"/>
        <v>0</v>
      </c>
      <c r="AU113" s="67">
        <f t="shared" si="22"/>
        <v>0</v>
      </c>
      <c r="AV113" s="67">
        <f t="shared" si="23"/>
        <v>0</v>
      </c>
      <c r="AW113" s="68">
        <f t="shared" si="24"/>
        <v>0</v>
      </c>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67">
        <f t="shared" si="1"/>
        <v>0</v>
      </c>
      <c r="AA114" s="67">
        <f t="shared" si="2"/>
        <v>0</v>
      </c>
      <c r="AB114" s="67">
        <f t="shared" si="3"/>
        <v>0</v>
      </c>
      <c r="AC114" s="67">
        <f t="shared" si="4"/>
        <v>0</v>
      </c>
      <c r="AD114" s="67">
        <f t="shared" si="5"/>
        <v>0</v>
      </c>
      <c r="AE114" s="68">
        <f t="shared" si="6"/>
        <v>0</v>
      </c>
      <c r="AF114" s="67">
        <f t="shared" si="7"/>
        <v>0</v>
      </c>
      <c r="AG114" s="67">
        <f t="shared" si="8"/>
        <v>0</v>
      </c>
      <c r="AH114" s="67">
        <f t="shared" si="9"/>
        <v>0</v>
      </c>
      <c r="AI114" s="67">
        <f t="shared" si="10"/>
        <v>0</v>
      </c>
      <c r="AJ114" s="67">
        <f t="shared" si="11"/>
        <v>0</v>
      </c>
      <c r="AK114" s="68">
        <f t="shared" si="12"/>
        <v>0</v>
      </c>
      <c r="AL114" s="67">
        <f t="shared" si="13"/>
        <v>0</v>
      </c>
      <c r="AM114" s="67">
        <f t="shared" si="14"/>
        <v>0</v>
      </c>
      <c r="AN114" s="67">
        <f t="shared" si="15"/>
        <v>0</v>
      </c>
      <c r="AO114" s="67">
        <f t="shared" si="16"/>
        <v>0</v>
      </c>
      <c r="AP114" s="67">
        <f t="shared" si="17"/>
        <v>0</v>
      </c>
      <c r="AQ114" s="68">
        <f t="shared" si="18"/>
        <v>0</v>
      </c>
      <c r="AR114" s="67">
        <f t="shared" si="19"/>
        <v>0</v>
      </c>
      <c r="AS114" s="67">
        <f t="shared" si="20"/>
        <v>0</v>
      </c>
      <c r="AT114" s="67">
        <f t="shared" si="21"/>
        <v>0</v>
      </c>
      <c r="AU114" s="67">
        <f t="shared" si="22"/>
        <v>0</v>
      </c>
      <c r="AV114" s="67">
        <f t="shared" si="23"/>
        <v>0</v>
      </c>
      <c r="AW114" s="68">
        <f t="shared" si="24"/>
        <v>0</v>
      </c>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67">
        <f t="shared" si="1"/>
        <v>0</v>
      </c>
      <c r="AA115" s="67">
        <f t="shared" si="2"/>
        <v>0</v>
      </c>
      <c r="AB115" s="67">
        <f t="shared" si="3"/>
        <v>0</v>
      </c>
      <c r="AC115" s="67">
        <f t="shared" si="4"/>
        <v>0</v>
      </c>
      <c r="AD115" s="67">
        <f t="shared" si="5"/>
        <v>0</v>
      </c>
      <c r="AE115" s="68">
        <f t="shared" si="6"/>
        <v>0</v>
      </c>
      <c r="AF115" s="67">
        <f t="shared" si="7"/>
        <v>0</v>
      </c>
      <c r="AG115" s="67">
        <f t="shared" si="8"/>
        <v>0</v>
      </c>
      <c r="AH115" s="67">
        <f t="shared" si="9"/>
        <v>0</v>
      </c>
      <c r="AI115" s="67">
        <f t="shared" si="10"/>
        <v>0</v>
      </c>
      <c r="AJ115" s="67">
        <f t="shared" si="11"/>
        <v>0</v>
      </c>
      <c r="AK115" s="68">
        <f t="shared" si="12"/>
        <v>0</v>
      </c>
      <c r="AL115" s="67">
        <f t="shared" si="13"/>
        <v>0</v>
      </c>
      <c r="AM115" s="67">
        <f t="shared" si="14"/>
        <v>0</v>
      </c>
      <c r="AN115" s="67">
        <f t="shared" si="15"/>
        <v>0</v>
      </c>
      <c r="AO115" s="67">
        <f t="shared" si="16"/>
        <v>0</v>
      </c>
      <c r="AP115" s="67">
        <f t="shared" si="17"/>
        <v>0</v>
      </c>
      <c r="AQ115" s="68">
        <f t="shared" si="18"/>
        <v>0</v>
      </c>
      <c r="AR115" s="67">
        <f t="shared" si="19"/>
        <v>0</v>
      </c>
      <c r="AS115" s="67">
        <f t="shared" si="20"/>
        <v>0</v>
      </c>
      <c r="AT115" s="67">
        <f t="shared" si="21"/>
        <v>0</v>
      </c>
      <c r="AU115" s="67">
        <f t="shared" si="22"/>
        <v>0</v>
      </c>
      <c r="AV115" s="67">
        <f t="shared" si="23"/>
        <v>0</v>
      </c>
      <c r="AW115" s="68">
        <f t="shared" si="24"/>
        <v>0</v>
      </c>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67">
        <f t="shared" si="1"/>
        <v>0</v>
      </c>
      <c r="AA116" s="67">
        <f t="shared" si="2"/>
        <v>0</v>
      </c>
      <c r="AB116" s="67">
        <f t="shared" si="3"/>
        <v>0</v>
      </c>
      <c r="AC116" s="67">
        <f t="shared" si="4"/>
        <v>0</v>
      </c>
      <c r="AD116" s="67">
        <f t="shared" si="5"/>
        <v>0</v>
      </c>
      <c r="AE116" s="68">
        <f t="shared" si="6"/>
        <v>0</v>
      </c>
      <c r="AF116" s="67">
        <f t="shared" si="7"/>
        <v>0</v>
      </c>
      <c r="AG116" s="67">
        <f t="shared" si="8"/>
        <v>0</v>
      </c>
      <c r="AH116" s="67">
        <f t="shared" si="9"/>
        <v>0</v>
      </c>
      <c r="AI116" s="67">
        <f t="shared" si="10"/>
        <v>0</v>
      </c>
      <c r="AJ116" s="67">
        <f t="shared" si="11"/>
        <v>0</v>
      </c>
      <c r="AK116" s="68">
        <f t="shared" si="12"/>
        <v>0</v>
      </c>
      <c r="AL116" s="67">
        <f t="shared" si="13"/>
        <v>0</v>
      </c>
      <c r="AM116" s="67">
        <f t="shared" si="14"/>
        <v>0</v>
      </c>
      <c r="AN116" s="67">
        <f t="shared" si="15"/>
        <v>0</v>
      </c>
      <c r="AO116" s="67">
        <f t="shared" si="16"/>
        <v>0</v>
      </c>
      <c r="AP116" s="67">
        <f t="shared" si="17"/>
        <v>0</v>
      </c>
      <c r="AQ116" s="68">
        <f t="shared" si="18"/>
        <v>0</v>
      </c>
      <c r="AR116" s="67">
        <f t="shared" si="19"/>
        <v>0</v>
      </c>
      <c r="AS116" s="67">
        <f t="shared" si="20"/>
        <v>0</v>
      </c>
      <c r="AT116" s="67">
        <f t="shared" si="21"/>
        <v>0</v>
      </c>
      <c r="AU116" s="67">
        <f t="shared" si="22"/>
        <v>0</v>
      </c>
      <c r="AV116" s="67">
        <f t="shared" si="23"/>
        <v>0</v>
      </c>
      <c r="AW116" s="68">
        <f t="shared" si="24"/>
        <v>0</v>
      </c>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67">
        <f t="shared" si="1"/>
        <v>0</v>
      </c>
      <c r="AA117" s="67">
        <f t="shared" si="2"/>
        <v>0</v>
      </c>
      <c r="AB117" s="67">
        <f t="shared" si="3"/>
        <v>0</v>
      </c>
      <c r="AC117" s="67">
        <f t="shared" si="4"/>
        <v>0</v>
      </c>
      <c r="AD117" s="67">
        <f t="shared" si="5"/>
        <v>0</v>
      </c>
      <c r="AE117" s="68">
        <f t="shared" si="6"/>
        <v>0</v>
      </c>
      <c r="AF117" s="67">
        <f t="shared" si="7"/>
        <v>0</v>
      </c>
      <c r="AG117" s="67">
        <f t="shared" si="8"/>
        <v>0</v>
      </c>
      <c r="AH117" s="67">
        <f t="shared" si="9"/>
        <v>0</v>
      </c>
      <c r="AI117" s="67">
        <f t="shared" si="10"/>
        <v>0</v>
      </c>
      <c r="AJ117" s="67">
        <f t="shared" si="11"/>
        <v>0</v>
      </c>
      <c r="AK117" s="68">
        <f t="shared" si="12"/>
        <v>0</v>
      </c>
      <c r="AL117" s="67">
        <f t="shared" si="13"/>
        <v>0</v>
      </c>
      <c r="AM117" s="67">
        <f t="shared" si="14"/>
        <v>0</v>
      </c>
      <c r="AN117" s="67">
        <f t="shared" si="15"/>
        <v>0</v>
      </c>
      <c r="AO117" s="67">
        <f t="shared" si="16"/>
        <v>0</v>
      </c>
      <c r="AP117" s="67">
        <f t="shared" si="17"/>
        <v>0</v>
      </c>
      <c r="AQ117" s="68">
        <f t="shared" si="18"/>
        <v>0</v>
      </c>
      <c r="AR117" s="67">
        <f t="shared" si="19"/>
        <v>0</v>
      </c>
      <c r="AS117" s="67">
        <f t="shared" si="20"/>
        <v>0</v>
      </c>
      <c r="AT117" s="67">
        <f t="shared" si="21"/>
        <v>0</v>
      </c>
      <c r="AU117" s="67">
        <f t="shared" si="22"/>
        <v>0</v>
      </c>
      <c r="AV117" s="67">
        <f t="shared" si="23"/>
        <v>0</v>
      </c>
      <c r="AW117" s="68">
        <f t="shared" si="24"/>
        <v>0</v>
      </c>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67">
        <f t="shared" si="1"/>
        <v>0</v>
      </c>
      <c r="AA118" s="67">
        <f t="shared" si="2"/>
        <v>0</v>
      </c>
      <c r="AB118" s="67">
        <f t="shared" si="3"/>
        <v>0</v>
      </c>
      <c r="AC118" s="67">
        <f t="shared" si="4"/>
        <v>0</v>
      </c>
      <c r="AD118" s="67">
        <f t="shared" si="5"/>
        <v>0</v>
      </c>
      <c r="AE118" s="68">
        <f t="shared" si="6"/>
        <v>0</v>
      </c>
      <c r="AF118" s="67">
        <f t="shared" si="7"/>
        <v>0</v>
      </c>
      <c r="AG118" s="67">
        <f t="shared" si="8"/>
        <v>0</v>
      </c>
      <c r="AH118" s="67">
        <f t="shared" si="9"/>
        <v>0</v>
      </c>
      <c r="AI118" s="67">
        <f t="shared" si="10"/>
        <v>0</v>
      </c>
      <c r="AJ118" s="67">
        <f t="shared" si="11"/>
        <v>0</v>
      </c>
      <c r="AK118" s="68">
        <f t="shared" si="12"/>
        <v>0</v>
      </c>
      <c r="AL118" s="67">
        <f t="shared" si="13"/>
        <v>0</v>
      </c>
      <c r="AM118" s="67">
        <f t="shared" si="14"/>
        <v>0</v>
      </c>
      <c r="AN118" s="67">
        <f t="shared" si="15"/>
        <v>0</v>
      </c>
      <c r="AO118" s="67">
        <f t="shared" si="16"/>
        <v>0</v>
      </c>
      <c r="AP118" s="67">
        <f t="shared" si="17"/>
        <v>0</v>
      </c>
      <c r="AQ118" s="68">
        <f t="shared" si="18"/>
        <v>0</v>
      </c>
      <c r="AR118" s="67">
        <f t="shared" si="19"/>
        <v>0</v>
      </c>
      <c r="AS118" s="67">
        <f t="shared" si="20"/>
        <v>0</v>
      </c>
      <c r="AT118" s="67">
        <f t="shared" si="21"/>
        <v>0</v>
      </c>
      <c r="AU118" s="67">
        <f t="shared" si="22"/>
        <v>0</v>
      </c>
      <c r="AV118" s="67">
        <f t="shared" si="23"/>
        <v>0</v>
      </c>
      <c r="AW118" s="68">
        <f t="shared" si="24"/>
        <v>0</v>
      </c>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67">
        <f t="shared" si="1"/>
        <v>0</v>
      </c>
      <c r="AA119" s="67">
        <f t="shared" si="2"/>
        <v>0</v>
      </c>
      <c r="AB119" s="67">
        <f t="shared" si="3"/>
        <v>0</v>
      </c>
      <c r="AC119" s="67">
        <f t="shared" si="4"/>
        <v>0</v>
      </c>
      <c r="AD119" s="67">
        <f t="shared" si="5"/>
        <v>0</v>
      </c>
      <c r="AE119" s="68">
        <f t="shared" si="6"/>
        <v>0</v>
      </c>
      <c r="AF119" s="67">
        <f t="shared" si="7"/>
        <v>0</v>
      </c>
      <c r="AG119" s="67">
        <f t="shared" si="8"/>
        <v>0</v>
      </c>
      <c r="AH119" s="67">
        <f t="shared" si="9"/>
        <v>0</v>
      </c>
      <c r="AI119" s="67">
        <f t="shared" si="10"/>
        <v>0</v>
      </c>
      <c r="AJ119" s="67">
        <f t="shared" si="11"/>
        <v>0</v>
      </c>
      <c r="AK119" s="68">
        <f t="shared" si="12"/>
        <v>0</v>
      </c>
      <c r="AL119" s="67">
        <f t="shared" si="13"/>
        <v>0</v>
      </c>
      <c r="AM119" s="67">
        <f t="shared" si="14"/>
        <v>0</v>
      </c>
      <c r="AN119" s="67">
        <f t="shared" si="15"/>
        <v>0</v>
      </c>
      <c r="AO119" s="67">
        <f t="shared" si="16"/>
        <v>0</v>
      </c>
      <c r="AP119" s="67">
        <f t="shared" si="17"/>
        <v>0</v>
      </c>
      <c r="AQ119" s="68">
        <f t="shared" si="18"/>
        <v>0</v>
      </c>
      <c r="AR119" s="67">
        <f t="shared" si="19"/>
        <v>0</v>
      </c>
      <c r="AS119" s="67">
        <f t="shared" si="20"/>
        <v>0</v>
      </c>
      <c r="AT119" s="67">
        <f t="shared" si="21"/>
        <v>0</v>
      </c>
      <c r="AU119" s="67">
        <f t="shared" si="22"/>
        <v>0</v>
      </c>
      <c r="AV119" s="67">
        <f t="shared" si="23"/>
        <v>0</v>
      </c>
      <c r="AW119" s="68">
        <f t="shared" si="24"/>
        <v>0</v>
      </c>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sheetData>
  <mergeCells count="9">
    <mergeCell ref="BA1:BA2"/>
    <mergeCell ref="BB1:BB2"/>
    <mergeCell ref="F1:Y1"/>
    <mergeCell ref="Z1:AE1"/>
    <mergeCell ref="AF1:AK1"/>
    <mergeCell ref="AL1:AQ1"/>
    <mergeCell ref="AR1:AW1"/>
    <mergeCell ref="AY1:AY2"/>
    <mergeCell ref="AZ1:AZ2"/>
  </mergeCells>
  <conditionalFormatting sqref="BC3:BC55">
    <cfRule type="cellIs" dxfId="0" priority="1" operator="lessThanOrEqual">
      <formula>70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17.75"/>
    <col customWidth="1" min="2" max="2" width="30.13"/>
    <col customWidth="1" min="6" max="25" width="5.63"/>
    <col customWidth="1" min="26" max="49" width="5.0"/>
    <col customWidth="1" min="50" max="50" width="4.38"/>
    <col customWidth="1" min="51" max="54" width="5.75"/>
  </cols>
  <sheetData>
    <row r="1">
      <c r="A1" s="51"/>
      <c r="B1" s="52"/>
      <c r="C1" s="52"/>
      <c r="D1" s="52"/>
      <c r="E1" s="53"/>
      <c r="F1" s="54" t="s">
        <v>20</v>
      </c>
      <c r="G1" s="20"/>
      <c r="H1" s="20"/>
      <c r="I1" s="20"/>
      <c r="J1" s="20"/>
      <c r="K1" s="20"/>
      <c r="L1" s="20"/>
      <c r="M1" s="20"/>
      <c r="N1" s="20"/>
      <c r="O1" s="20"/>
      <c r="P1" s="20"/>
      <c r="Q1" s="20"/>
      <c r="R1" s="20"/>
      <c r="S1" s="20"/>
      <c r="T1" s="20"/>
      <c r="U1" s="20"/>
      <c r="V1" s="20"/>
      <c r="W1" s="20"/>
      <c r="X1" s="20"/>
      <c r="Y1" s="21"/>
      <c r="Z1" s="55" t="s">
        <v>9</v>
      </c>
      <c r="AA1" s="20"/>
      <c r="AB1" s="20"/>
      <c r="AC1" s="20"/>
      <c r="AD1" s="20"/>
      <c r="AE1" s="21"/>
      <c r="AF1" s="54" t="s">
        <v>10</v>
      </c>
      <c r="AG1" s="20"/>
      <c r="AH1" s="20"/>
      <c r="AI1" s="20"/>
      <c r="AJ1" s="20"/>
      <c r="AK1" s="21"/>
      <c r="AL1" s="54" t="s">
        <v>11</v>
      </c>
      <c r="AM1" s="20"/>
      <c r="AN1" s="20"/>
      <c r="AO1" s="20"/>
      <c r="AP1" s="20"/>
      <c r="AQ1" s="21"/>
      <c r="AR1" s="54" t="s">
        <v>12</v>
      </c>
      <c r="AS1" s="20"/>
      <c r="AT1" s="20"/>
      <c r="AU1" s="20"/>
      <c r="AV1" s="20"/>
      <c r="AW1" s="21"/>
      <c r="AX1" s="56"/>
      <c r="AY1" s="57" t="s">
        <v>9</v>
      </c>
      <c r="AZ1" s="57" t="s">
        <v>18</v>
      </c>
      <c r="BA1" s="57" t="s">
        <v>11</v>
      </c>
      <c r="BB1" s="57" t="s">
        <v>19</v>
      </c>
      <c r="BC1" s="56"/>
    </row>
    <row r="2">
      <c r="A2" s="58" t="s">
        <v>13</v>
      </c>
      <c r="B2" s="59" t="s">
        <v>0</v>
      </c>
      <c r="C2" s="59" t="s">
        <v>15</v>
      </c>
      <c r="D2" s="59" t="s">
        <v>2</v>
      </c>
      <c r="E2" s="59" t="s">
        <v>16</v>
      </c>
      <c r="F2" s="60">
        <v>1.0</v>
      </c>
      <c r="G2" s="61">
        <v>2.0</v>
      </c>
      <c r="H2" s="60">
        <v>3.0</v>
      </c>
      <c r="I2" s="61">
        <v>4.0</v>
      </c>
      <c r="J2" s="60">
        <v>5.0</v>
      </c>
      <c r="K2" s="61">
        <v>6.0</v>
      </c>
      <c r="L2" s="60">
        <v>7.0</v>
      </c>
      <c r="M2" s="61">
        <v>8.0</v>
      </c>
      <c r="N2" s="60">
        <v>9.0</v>
      </c>
      <c r="O2" s="61">
        <v>10.0</v>
      </c>
      <c r="P2" s="60">
        <v>11.0</v>
      </c>
      <c r="Q2" s="61">
        <v>12.0</v>
      </c>
      <c r="R2" s="60">
        <v>13.0</v>
      </c>
      <c r="S2" s="61">
        <v>14.0</v>
      </c>
      <c r="T2" s="60">
        <v>15.0</v>
      </c>
      <c r="U2" s="61">
        <v>16.0</v>
      </c>
      <c r="V2" s="60">
        <v>17.0</v>
      </c>
      <c r="W2" s="61">
        <v>18.0</v>
      </c>
      <c r="X2" s="60">
        <v>19.0</v>
      </c>
      <c r="Y2" s="61">
        <v>20.0</v>
      </c>
      <c r="Z2" s="62">
        <v>1.0</v>
      </c>
      <c r="AA2" s="58">
        <v>2.0</v>
      </c>
      <c r="AB2" s="58">
        <v>3.0</v>
      </c>
      <c r="AC2" s="58">
        <v>4.0</v>
      </c>
      <c r="AD2" s="58">
        <v>5.0</v>
      </c>
      <c r="AE2" s="63" t="s">
        <v>17</v>
      </c>
      <c r="AF2" s="58">
        <v>6.0</v>
      </c>
      <c r="AG2" s="58">
        <v>7.0</v>
      </c>
      <c r="AH2" s="58">
        <v>8.0</v>
      </c>
      <c r="AI2" s="58">
        <v>9.0</v>
      </c>
      <c r="AJ2" s="58">
        <v>10.0</v>
      </c>
      <c r="AK2" s="63" t="s">
        <v>17</v>
      </c>
      <c r="AL2" s="58">
        <v>11.0</v>
      </c>
      <c r="AM2" s="58">
        <v>12.0</v>
      </c>
      <c r="AN2" s="58">
        <v>13.0</v>
      </c>
      <c r="AO2" s="58">
        <v>14.0</v>
      </c>
      <c r="AP2" s="58">
        <v>15.0</v>
      </c>
      <c r="AQ2" s="63" t="s">
        <v>17</v>
      </c>
      <c r="AR2" s="58">
        <v>16.0</v>
      </c>
      <c r="AS2" s="58">
        <v>17.0</v>
      </c>
      <c r="AT2" s="58">
        <v>18.0</v>
      </c>
      <c r="AU2" s="58">
        <v>19.0</v>
      </c>
      <c r="AV2" s="58">
        <v>20.0</v>
      </c>
      <c r="AW2" s="63" t="s">
        <v>17</v>
      </c>
      <c r="AX2" s="56"/>
      <c r="AY2" s="64"/>
      <c r="AZ2" s="64"/>
      <c r="BA2" s="64"/>
      <c r="BB2" s="64"/>
      <c r="BC2" s="56"/>
    </row>
    <row r="3">
      <c r="A3" s="65">
        <f>IFERROR(__xludf.DUMMYFUNCTION("importrange(""https://docs.google.com/spreadsheets/d/1M-I3NUKAkHr8OkG34vhAEkjHYt1wWB9sbcJXL2hqcSY/edit?resourcekey=&amp;gid=1562968137#gid=1562968137"",""Form Responses 1!A2:Y1000"")"),45927.622801157406)</f>
        <v>45927.6228</v>
      </c>
      <c r="B3" s="39" t="str">
        <f>IFERROR(__xludf.DUMMYFUNCTION("""COMPUTED_VALUE"""),"Hibban Hibaturrahman")</f>
        <v>Hibban Hibaturrahman</v>
      </c>
      <c r="C3" s="39" t="str">
        <f>IFERROR(__xludf.DUMMYFUNCTION("""COMPUTED_VALUE"""),"C250003")</f>
        <v>C250003</v>
      </c>
      <c r="D3" s="39" t="str">
        <f>IFERROR(__xludf.DUMMYFUNCTION("""COMPUTED_VALUE"""),"SMA Putra")</f>
        <v>SMA Putra</v>
      </c>
      <c r="E3" s="39" t="str">
        <f>IFERROR(__xludf.DUMMYFUNCTION("""COMPUTED_VALUE"""),"Ya")</f>
        <v>Ya</v>
      </c>
      <c r="F3" s="39" t="str">
        <f>IFERROR(__xludf.DUMMYFUNCTION("""COMPUTED_VALUE"""),"العلم")</f>
        <v>العلم</v>
      </c>
      <c r="G3" s="41" t="str">
        <f>IFERROR(__xludf.DUMMYFUNCTION("""COMPUTED_VALUE"""),"الضمة")</f>
        <v>الضمة</v>
      </c>
      <c r="H3" s="39" t="str">
        <f>IFERROR(__xludf.DUMMYFUNCTION("""COMPUTED_VALUE"""),"مفعول به منصوب")</f>
        <v>مفعول به منصوب</v>
      </c>
      <c r="I3" s="39" t="str">
        <f>IFERROR(__xludf.DUMMYFUNCTION("""COMPUTED_VALUE"""),"الطالب مجتهد")</f>
        <v>الطالب مجتهد</v>
      </c>
      <c r="J3" s="39" t="str">
        <f>IFERROR(__xludf.DUMMYFUNCTION("""COMPUTED_VALUE"""),"دخول الباء عليها")</f>
        <v>دخول الباء عليها</v>
      </c>
      <c r="K3" s="39" t="str">
        <f>IFERROR(__xludf.DUMMYFUNCTION("""COMPUTED_VALUE"""),"(1) dan (4)")</f>
        <v>(1) dan (4)</v>
      </c>
      <c r="L3" s="39" t="str">
        <f>IFERROR(__xludf.DUMMYFUNCTION("""COMPUTED_VALUE"""),"Satu pohon yang kita tanam sangat bermanfaat bagi masa depan bumi dan manusia.")</f>
        <v>Satu pohon yang kita tanam sangat bermanfaat bagi masa depan bumi dan manusia.</v>
      </c>
      <c r="M3" s="39" t="str">
        <f>IFERROR(__xludf.DUMMYFUNCTION("""COMPUTED_VALUE"""),"mengaji menyegarkan jiwa")</f>
        <v>mengaji menyegarkan jiwa</v>
      </c>
      <c r="N3" s="3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3" s="39" t="str">
        <f>IFERROR(__xludf.DUMMYFUNCTION("""COMPUTED_VALUE"""),"usaha yang mula-mula sekali")</f>
        <v>usaha yang mula-mula sekali</v>
      </c>
      <c r="P3" s="39" t="str">
        <f>IFERROR(__xludf.DUMMYFUNCTION("""COMPUTED_VALUE"""),"H2O dan O2")</f>
        <v>H2O dan O2</v>
      </c>
      <c r="Q3" s="39" t="str">
        <f>IFERROR(__xludf.DUMMYFUNCTION("""COMPUTED_VALUE"""),"Reproduksi")</f>
        <v>Reproduksi</v>
      </c>
      <c r="R3" s="39" t="str">
        <f>IFERROR(__xludf.DUMMYFUNCTION("""COMPUTED_VALUE"""),"Oksigen")</f>
        <v>Oksigen</v>
      </c>
      <c r="S3" s="39" t="str">
        <f>IFERROR(__xludf.DUMMYFUNCTION("""COMPUTED_VALUE"""),"A, B, C, dan D")</f>
        <v>A, B, C, dan D</v>
      </c>
      <c r="T3" s="39" t="str">
        <f>IFERROR(__xludf.DUMMYFUNCTION("""COMPUTED_VALUE"""),"Alat pengangkut dan pengatur suhu tubuh")</f>
        <v>Alat pengangkut dan pengatur suhu tubuh</v>
      </c>
      <c r="U3" s="41">
        <f>IFERROR(__xludf.DUMMYFUNCTION("""COMPUTED_VALUE"""),100.0)</f>
        <v>100</v>
      </c>
      <c r="V3" s="41">
        <f>IFERROR(__xludf.DUMMYFUNCTION("""COMPUTED_VALUE"""),16.0)</f>
        <v>16</v>
      </c>
      <c r="W3" s="66">
        <f>IFERROR(__xludf.DUMMYFUNCTION("""COMPUTED_VALUE"""),17000.0)</f>
        <v>17000</v>
      </c>
      <c r="X3" s="41">
        <f>IFERROR(__xludf.DUMMYFUNCTION("""COMPUTED_VALUE"""),23.0)</f>
        <v>23</v>
      </c>
      <c r="Y3" s="41">
        <f>IFERROR(__xludf.DUMMYFUNCTION("""COMPUTED_VALUE"""),210.0)</f>
        <v>210</v>
      </c>
      <c r="Z3" s="67">
        <f t="shared" ref="Z3:Z119" si="1">IF(F3="العلم",1,0)</f>
        <v>1</v>
      </c>
      <c r="AA3" s="67">
        <f t="shared" ref="AA3:AA119" si="2">IF(G3="الضمة",1,0)</f>
        <v>1</v>
      </c>
      <c r="AB3" s="67">
        <f t="shared" ref="AB3:AB119" si="3">IF(H3="اسم مجرور",1,0)</f>
        <v>0</v>
      </c>
      <c r="AC3" s="67">
        <f t="shared" ref="AC3:AC119" si="4">IF(I3="الطالب مجتهد",1,0)</f>
        <v>1</v>
      </c>
      <c r="AD3" s="67">
        <f t="shared" ref="AD3:AD119" si="5">IF(J3="دخول الباء عليها",1,0)</f>
        <v>1</v>
      </c>
      <c r="AE3" s="68">
        <f t="shared" ref="AE3:AE119" si="6">sum(Z3:AD3)</f>
        <v>4</v>
      </c>
      <c r="AF3" s="67">
        <f t="shared" ref="AF3:AF119" si="7">IF(K3="(1) dan (4)",1,0)</f>
        <v>1</v>
      </c>
      <c r="AG3" s="67">
        <f t="shared" ref="AG3:AG119" si="8">IF(L3="Satu pohon yang kita tanam sangat bermanfaat bagi masa depan bumi dan manusia.",1,0)</f>
        <v>1</v>
      </c>
      <c r="AH3" s="67">
        <f t="shared" ref="AH3:AH119" si="9">IF(M3="mengaji seperti jantung",1,0)</f>
        <v>0</v>
      </c>
      <c r="AI3" s="67">
        <f t="shared" ref="AI3:AI119" si="10">IF(N3="suatu kota pada malam hari yang dalam keadaan sepi pascagerimis",1,0)</f>
        <v>0</v>
      </c>
      <c r="AJ3" s="67">
        <f t="shared" ref="AJ3:AJ119" si="11">IF(O3="usaha yang mula-mula sekali",1,0)</f>
        <v>1</v>
      </c>
      <c r="AK3" s="68">
        <f t="shared" ref="AK3:AK119" si="12">sum(AF3:AJ3)</f>
        <v>3</v>
      </c>
      <c r="AL3" s="67">
        <f t="shared" ref="AL3:AL119" si="13">IF(P3="C6H12O6 dan O2",1,0)</f>
        <v>0</v>
      </c>
      <c r="AM3" s="67">
        <f t="shared" ref="AM3:AM119" si="14">IF(Q3="Fotosintesis",1,0)</f>
        <v>0</v>
      </c>
      <c r="AN3" s="67">
        <f t="shared" ref="AN3:AN119" si="15">IF(R3="Uap air",1,0)</f>
        <v>0</v>
      </c>
      <c r="AO3" s="67">
        <f t="shared" ref="AO3:AO119" si="16">IF(S3="A, D, E, dan K",1,0)</f>
        <v>0</v>
      </c>
      <c r="AP3" s="67">
        <f t="shared" ref="AP3:AP119" si="17">IF(T3="Alat pengangkut dan pengatur suhu tubuh",1,0)</f>
        <v>1</v>
      </c>
      <c r="AQ3" s="68">
        <f t="shared" ref="AQ3:AQ119" si="18">sum(AL3:AP3)</f>
        <v>1</v>
      </c>
      <c r="AR3" s="67">
        <f t="shared" ref="AR3:AR119" si="19">IF(U3=85,1,0)</f>
        <v>0</v>
      </c>
      <c r="AS3" s="67">
        <f t="shared" ref="AS3:AS119" si="20">IF(V3=13,1,0)</f>
        <v>0</v>
      </c>
      <c r="AT3" s="67">
        <f t="shared" ref="AT3:AT119" si="21">IF(W3=17000,1,0)</f>
        <v>1</v>
      </c>
      <c r="AU3" s="67">
        <f t="shared" ref="AU3:AU119" si="22">IF(X3=23,1,0)</f>
        <v>1</v>
      </c>
      <c r="AV3" s="67">
        <f t="shared" ref="AV3:AV119" si="23">IF(Y3=210,1,0)</f>
        <v>1</v>
      </c>
      <c r="AW3" s="68">
        <f t="shared" ref="AW3:AW119" si="24">sum(AR3:AV3)</f>
        <v>3</v>
      </c>
      <c r="AX3" s="56"/>
      <c r="AY3" s="67">
        <f t="shared" ref="AY3:AY110" si="25">AE3</f>
        <v>4</v>
      </c>
      <c r="AZ3" s="67">
        <f t="shared" ref="AZ3:AZ110" si="26">AK3</f>
        <v>3</v>
      </c>
      <c r="BA3" s="67">
        <f t="shared" ref="BA3:BA110" si="27">AQ3</f>
        <v>1</v>
      </c>
      <c r="BB3" s="67">
        <f t="shared" ref="BB3:BB110" si="28">AW3</f>
        <v>3</v>
      </c>
      <c r="BC3" s="30">
        <f t="shared" ref="BC3:BC55" si="29">(AY3+AZ3+BA3+BB3)*5</f>
        <v>55</v>
      </c>
    </row>
    <row r="4">
      <c r="A4" s="65">
        <f>IFERROR(__xludf.DUMMYFUNCTION("""COMPUTED_VALUE"""),45929.37864630787)</f>
        <v>45929.37865</v>
      </c>
      <c r="B4" s="69" t="str">
        <f>IFERROR(__xludf.DUMMYFUNCTION("""COMPUTED_VALUE"""),"Abdurrahman Umar")</f>
        <v>Abdurrahman Umar</v>
      </c>
      <c r="C4" s="69" t="str">
        <f>IFERROR(__xludf.DUMMYFUNCTION("""COMPUTED_VALUE"""),"C250004")</f>
        <v>C250004</v>
      </c>
      <c r="D4" s="69" t="str">
        <f>IFERROR(__xludf.DUMMYFUNCTION("""COMPUTED_VALUE"""),"SMA Putra")</f>
        <v>SMA Putra</v>
      </c>
      <c r="E4" s="69" t="str">
        <f>IFERROR(__xludf.DUMMYFUNCTION("""COMPUTED_VALUE"""),"Ya")</f>
        <v>Ya</v>
      </c>
      <c r="F4" s="69" t="str">
        <f>IFERROR(__xludf.DUMMYFUNCTION("""COMPUTED_VALUE"""),"العلم")</f>
        <v>العلم</v>
      </c>
      <c r="G4" s="69" t="str">
        <f>IFERROR(__xludf.DUMMYFUNCTION("""COMPUTED_VALUE"""),"الضمة")</f>
        <v>الضمة</v>
      </c>
      <c r="H4" s="69" t="str">
        <f>IFERROR(__xludf.DUMMYFUNCTION("""COMPUTED_VALUE"""),"اسم مجرور")</f>
        <v>اسم مجرور</v>
      </c>
      <c r="I4" s="69" t="str">
        <f>IFERROR(__xludf.DUMMYFUNCTION("""COMPUTED_VALUE"""),"الطالب مجتهد")</f>
        <v>الطالب مجتهد</v>
      </c>
      <c r="J4" s="69" t="str">
        <f>IFERROR(__xludf.DUMMYFUNCTION("""COMPUTED_VALUE"""),"دخول الباء عليها")</f>
        <v>دخول الباء عليها</v>
      </c>
      <c r="K4" s="69" t="str">
        <f>IFERROR(__xludf.DUMMYFUNCTION("""COMPUTED_VALUE"""),"(1) dan (4)")</f>
        <v>(1) dan (4)</v>
      </c>
      <c r="L4" s="69" t="str">
        <f>IFERROR(__xludf.DUMMYFUNCTION("""COMPUTED_VALUE"""),"Satu pohon yang kita tanam sangat bermanfaat bagi masa depan bumi dan manusia.")</f>
        <v>Satu pohon yang kita tanam sangat bermanfaat bagi masa depan bumi dan manusia.</v>
      </c>
      <c r="M4" s="69" t="str">
        <f>IFERROR(__xludf.DUMMYFUNCTION("""COMPUTED_VALUE"""),"mengaji menyegarkan jiwa")</f>
        <v>mengaji menyegarkan jiwa</v>
      </c>
      <c r="N4"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4" s="69" t="str">
        <f>IFERROR(__xludf.DUMMYFUNCTION("""COMPUTED_VALUE"""),"jalan usaha")</f>
        <v>jalan usaha</v>
      </c>
      <c r="P4" s="69" t="str">
        <f>IFERROR(__xludf.DUMMYFUNCTION("""COMPUTED_VALUE"""),"H2O dan O2")</f>
        <v>H2O dan O2</v>
      </c>
      <c r="Q4" s="69" t="str">
        <f>IFERROR(__xludf.DUMMYFUNCTION("""COMPUTED_VALUE"""),"Reproduksi")</f>
        <v>Reproduksi</v>
      </c>
      <c r="R4" s="69" t="str">
        <f>IFERROR(__xludf.DUMMYFUNCTION("""COMPUTED_VALUE"""),"Karbon dioksida")</f>
        <v>Karbon dioksida</v>
      </c>
      <c r="S4" s="69" t="str">
        <f>IFERROR(__xludf.DUMMYFUNCTION("""COMPUTED_VALUE"""),"A, D, E, dan K")</f>
        <v>A, D, E, dan K</v>
      </c>
      <c r="T4" s="69" t="str">
        <f>IFERROR(__xludf.DUMMYFUNCTION("""COMPUTED_VALUE"""),"Alat pengangkut dan pengatur suhu tubuh")</f>
        <v>Alat pengangkut dan pengatur suhu tubuh</v>
      </c>
      <c r="U4" s="69">
        <f>IFERROR(__xludf.DUMMYFUNCTION("""COMPUTED_VALUE"""),100.0)</f>
        <v>100</v>
      </c>
      <c r="V4" s="69">
        <f>IFERROR(__xludf.DUMMYFUNCTION("""COMPUTED_VALUE"""),7.0)</f>
        <v>7</v>
      </c>
      <c r="W4" s="70">
        <f>IFERROR(__xludf.DUMMYFUNCTION("""COMPUTED_VALUE"""),17000.0)</f>
        <v>17000</v>
      </c>
      <c r="X4" s="69">
        <f>IFERROR(__xludf.DUMMYFUNCTION("""COMPUTED_VALUE"""),28.0)</f>
        <v>28</v>
      </c>
      <c r="Y4" s="69">
        <f>IFERROR(__xludf.DUMMYFUNCTION("""COMPUTED_VALUE"""),210.0)</f>
        <v>210</v>
      </c>
      <c r="Z4" s="67">
        <f t="shared" si="1"/>
        <v>1</v>
      </c>
      <c r="AA4" s="67">
        <f t="shared" si="2"/>
        <v>1</v>
      </c>
      <c r="AB4" s="67">
        <f t="shared" si="3"/>
        <v>1</v>
      </c>
      <c r="AC4" s="67">
        <f t="shared" si="4"/>
        <v>1</v>
      </c>
      <c r="AD4" s="67">
        <f t="shared" si="5"/>
        <v>1</v>
      </c>
      <c r="AE4" s="68">
        <f t="shared" si="6"/>
        <v>5</v>
      </c>
      <c r="AF4" s="67">
        <f t="shared" si="7"/>
        <v>1</v>
      </c>
      <c r="AG4" s="67">
        <f t="shared" si="8"/>
        <v>1</v>
      </c>
      <c r="AH4" s="67">
        <f t="shared" si="9"/>
        <v>0</v>
      </c>
      <c r="AI4" s="67">
        <f t="shared" si="10"/>
        <v>0</v>
      </c>
      <c r="AJ4" s="67">
        <f t="shared" si="11"/>
        <v>0</v>
      </c>
      <c r="AK4" s="68">
        <f t="shared" si="12"/>
        <v>2</v>
      </c>
      <c r="AL4" s="67">
        <f t="shared" si="13"/>
        <v>0</v>
      </c>
      <c r="AM4" s="67">
        <f t="shared" si="14"/>
        <v>0</v>
      </c>
      <c r="AN4" s="67">
        <f t="shared" si="15"/>
        <v>0</v>
      </c>
      <c r="AO4" s="67">
        <f t="shared" si="16"/>
        <v>1</v>
      </c>
      <c r="AP4" s="67">
        <f t="shared" si="17"/>
        <v>1</v>
      </c>
      <c r="AQ4" s="68">
        <f t="shared" si="18"/>
        <v>2</v>
      </c>
      <c r="AR4" s="67">
        <f t="shared" si="19"/>
        <v>0</v>
      </c>
      <c r="AS4" s="67">
        <f t="shared" si="20"/>
        <v>0</v>
      </c>
      <c r="AT4" s="67">
        <f t="shared" si="21"/>
        <v>1</v>
      </c>
      <c r="AU4" s="67">
        <f t="shared" si="22"/>
        <v>0</v>
      </c>
      <c r="AV4" s="67">
        <f t="shared" si="23"/>
        <v>1</v>
      </c>
      <c r="AW4" s="68">
        <f t="shared" si="24"/>
        <v>2</v>
      </c>
      <c r="AX4" s="56"/>
      <c r="AY4" s="67">
        <f t="shared" si="25"/>
        <v>5</v>
      </c>
      <c r="AZ4" s="67">
        <f t="shared" si="26"/>
        <v>2</v>
      </c>
      <c r="BA4" s="67">
        <f t="shared" si="27"/>
        <v>2</v>
      </c>
      <c r="BB4" s="67">
        <f t="shared" si="28"/>
        <v>2</v>
      </c>
      <c r="BC4" s="30">
        <f t="shared" si="29"/>
        <v>55</v>
      </c>
    </row>
    <row r="5">
      <c r="A5" s="65">
        <f>IFERROR(__xludf.DUMMYFUNCTION("""COMPUTED_VALUE"""),45934.416642662036)</f>
        <v>45934.41664</v>
      </c>
      <c r="B5" s="69" t="str">
        <f>IFERROR(__xludf.DUMMYFUNCTION("""COMPUTED_VALUE"""),"nizar")</f>
        <v>nizar</v>
      </c>
      <c r="C5" s="69" t="str">
        <f>IFERROR(__xludf.DUMMYFUNCTION("""COMPUTED_VALUE"""),"C250009")</f>
        <v>C250009</v>
      </c>
      <c r="D5" s="69" t="str">
        <f>IFERROR(__xludf.DUMMYFUNCTION("""COMPUTED_VALUE"""),"SMA Putra")</f>
        <v>SMA Putra</v>
      </c>
      <c r="E5" s="69" t="str">
        <f>IFERROR(__xludf.DUMMYFUNCTION("""COMPUTED_VALUE"""),"Ya")</f>
        <v>Ya</v>
      </c>
      <c r="F5" s="69" t="str">
        <f>IFERROR(__xludf.DUMMYFUNCTION("""COMPUTED_VALUE"""),"العلم")</f>
        <v>العلم</v>
      </c>
      <c r="G5" s="69" t="str">
        <f>IFERROR(__xludf.DUMMYFUNCTION("""COMPUTED_VALUE"""),"الضمة")</f>
        <v>الضمة</v>
      </c>
      <c r="H5" s="69" t="str">
        <f>IFERROR(__xludf.DUMMYFUNCTION("""COMPUTED_VALUE"""),"اسم مجرور")</f>
        <v>اسم مجرور</v>
      </c>
      <c r="I5" s="69" t="str">
        <f>IFERROR(__xludf.DUMMYFUNCTION("""COMPUTED_VALUE"""),"الطالب مجتهد")</f>
        <v>الطالب مجتهد</v>
      </c>
      <c r="J5" s="69" t="str">
        <f>IFERROR(__xludf.DUMMYFUNCTION("""COMPUTED_VALUE"""),"دخول الباء عليها")</f>
        <v>دخول الباء عليها</v>
      </c>
      <c r="K5" s="69">
        <f>IFERROR(__xludf.DUMMYFUNCTION("""COMPUTED_VALUE"""),-1.0)</f>
        <v>-1</v>
      </c>
      <c r="L5" s="69" t="str">
        <f>IFERROR(__xludf.DUMMYFUNCTION("""COMPUTED_VALUE"""),"Satu pohon yang kita tanam sangat bermanfaat bagi masa depan bumi dan manusia.")</f>
        <v>Satu pohon yang kita tanam sangat bermanfaat bagi masa depan bumi dan manusia.</v>
      </c>
      <c r="M5" s="69" t="str">
        <f>IFERROR(__xludf.DUMMYFUNCTION("""COMPUTED_VALUE"""),"mengaji menyegarkan jiwa")</f>
        <v>mengaji menyegarkan jiwa</v>
      </c>
      <c r="N5"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5" s="69" t="str">
        <f>IFERROR(__xludf.DUMMYFUNCTION("""COMPUTED_VALUE"""),"usaha yang mula-mula sekali")</f>
        <v>usaha yang mula-mula sekali</v>
      </c>
      <c r="P5" s="69" t="str">
        <f>IFERROR(__xludf.DUMMYFUNCTION("""COMPUTED_VALUE"""),"CO2 dan H2O")</f>
        <v>CO2 dan H2O</v>
      </c>
      <c r="Q5" s="69" t="str">
        <f>IFERROR(__xludf.DUMMYFUNCTION("""COMPUTED_VALUE"""),"Fotosintesis")</f>
        <v>Fotosintesis</v>
      </c>
      <c r="R5" s="69" t="str">
        <f>IFERROR(__xludf.DUMMYFUNCTION("""COMPUTED_VALUE"""),"Karbon dioksida")</f>
        <v>Karbon dioksida</v>
      </c>
      <c r="S5" s="69" t="str">
        <f>IFERROR(__xludf.DUMMYFUNCTION("""COMPUTED_VALUE"""),"A, B, C, dan D")</f>
        <v>A, B, C, dan D</v>
      </c>
      <c r="T5" s="69" t="str">
        <f>IFERROR(__xludf.DUMMYFUNCTION("""COMPUTED_VALUE"""),"Alat pengangkut dan pengatur suhu tubuh")</f>
        <v>Alat pengangkut dan pengatur suhu tubuh</v>
      </c>
      <c r="U5" s="69">
        <f>IFERROR(__xludf.DUMMYFUNCTION("""COMPUTED_VALUE"""),85.0)</f>
        <v>85</v>
      </c>
      <c r="V5" s="69">
        <f>IFERROR(__xludf.DUMMYFUNCTION("""COMPUTED_VALUE"""),16.0)</f>
        <v>16</v>
      </c>
      <c r="W5" s="70">
        <f>IFERROR(__xludf.DUMMYFUNCTION("""COMPUTED_VALUE"""),18000.0)</f>
        <v>18000</v>
      </c>
      <c r="X5" s="69">
        <f>IFERROR(__xludf.DUMMYFUNCTION("""COMPUTED_VALUE"""),17.0)</f>
        <v>17</v>
      </c>
      <c r="Y5" s="69">
        <f>IFERROR(__xludf.DUMMYFUNCTION("""COMPUTED_VALUE"""),210.0)</f>
        <v>210</v>
      </c>
      <c r="Z5" s="67">
        <f t="shared" si="1"/>
        <v>1</v>
      </c>
      <c r="AA5" s="67">
        <f t="shared" si="2"/>
        <v>1</v>
      </c>
      <c r="AB5" s="67">
        <f t="shared" si="3"/>
        <v>1</v>
      </c>
      <c r="AC5" s="67">
        <f t="shared" si="4"/>
        <v>1</v>
      </c>
      <c r="AD5" s="67">
        <f t="shared" si="5"/>
        <v>1</v>
      </c>
      <c r="AE5" s="68">
        <f t="shared" si="6"/>
        <v>5</v>
      </c>
      <c r="AF5" s="67">
        <f t="shared" si="7"/>
        <v>0</v>
      </c>
      <c r="AG5" s="67">
        <f t="shared" si="8"/>
        <v>1</v>
      </c>
      <c r="AH5" s="67">
        <f t="shared" si="9"/>
        <v>0</v>
      </c>
      <c r="AI5" s="67">
        <f t="shared" si="10"/>
        <v>0</v>
      </c>
      <c r="AJ5" s="67">
        <f t="shared" si="11"/>
        <v>1</v>
      </c>
      <c r="AK5" s="68">
        <f t="shared" si="12"/>
        <v>2</v>
      </c>
      <c r="AL5" s="67">
        <f t="shared" si="13"/>
        <v>0</v>
      </c>
      <c r="AM5" s="67">
        <f t="shared" si="14"/>
        <v>1</v>
      </c>
      <c r="AN5" s="67">
        <f t="shared" si="15"/>
        <v>0</v>
      </c>
      <c r="AO5" s="67">
        <f t="shared" si="16"/>
        <v>0</v>
      </c>
      <c r="AP5" s="67">
        <f t="shared" si="17"/>
        <v>1</v>
      </c>
      <c r="AQ5" s="68">
        <f t="shared" si="18"/>
        <v>2</v>
      </c>
      <c r="AR5" s="67">
        <f t="shared" si="19"/>
        <v>1</v>
      </c>
      <c r="AS5" s="67">
        <f t="shared" si="20"/>
        <v>0</v>
      </c>
      <c r="AT5" s="67">
        <f t="shared" si="21"/>
        <v>0</v>
      </c>
      <c r="AU5" s="67">
        <f t="shared" si="22"/>
        <v>0</v>
      </c>
      <c r="AV5" s="67">
        <f t="shared" si="23"/>
        <v>1</v>
      </c>
      <c r="AW5" s="68">
        <f t="shared" si="24"/>
        <v>2</v>
      </c>
      <c r="AX5" s="56"/>
      <c r="AY5" s="67">
        <f t="shared" si="25"/>
        <v>5</v>
      </c>
      <c r="AZ5" s="67">
        <f t="shared" si="26"/>
        <v>2</v>
      </c>
      <c r="BA5" s="67">
        <f t="shared" si="27"/>
        <v>2</v>
      </c>
      <c r="BB5" s="67">
        <f t="shared" si="28"/>
        <v>2</v>
      </c>
      <c r="BC5" s="30">
        <f t="shared" si="29"/>
        <v>55</v>
      </c>
    </row>
    <row r="6">
      <c r="A6" s="65">
        <f>IFERROR(__xludf.DUMMYFUNCTION("""COMPUTED_VALUE"""),45935.5866809838)</f>
        <v>45935.58668</v>
      </c>
      <c r="B6" s="69" t="str">
        <f>IFERROR(__xludf.DUMMYFUNCTION("""COMPUTED_VALUE"""),"Muhammad Al Fathih")</f>
        <v>Muhammad Al Fathih</v>
      </c>
      <c r="C6" s="69" t="str">
        <f>IFERROR(__xludf.DUMMYFUNCTION("""COMPUTED_VALUE"""),"C250019")</f>
        <v>C250019</v>
      </c>
      <c r="D6" s="69" t="str">
        <f>IFERROR(__xludf.DUMMYFUNCTION("""COMPUTED_VALUE"""),"SMA Putra")</f>
        <v>SMA Putra</v>
      </c>
      <c r="E6" s="69" t="str">
        <f>IFERROR(__xludf.DUMMYFUNCTION("""COMPUTED_VALUE"""),"Ya")</f>
        <v>Ya</v>
      </c>
      <c r="F6" s="69" t="str">
        <f>IFERROR(__xludf.DUMMYFUNCTION("""COMPUTED_VALUE"""),"العلم")</f>
        <v>العلم</v>
      </c>
      <c r="G6" s="69" t="str">
        <f>IFERROR(__xludf.DUMMYFUNCTION("""COMPUTED_VALUE"""),"الفتحة")</f>
        <v>الفتحة</v>
      </c>
      <c r="H6" s="69" t="str">
        <f>IFERROR(__xludf.DUMMYFUNCTION("""COMPUTED_VALUE"""),"اسم مجرور")</f>
        <v>اسم مجرور</v>
      </c>
      <c r="I6" s="69" t="str">
        <f>IFERROR(__xludf.DUMMYFUNCTION("""COMPUTED_VALUE"""),"الطالب مجتهد")</f>
        <v>الطالب مجتهد</v>
      </c>
      <c r="J6" s="69" t="str">
        <f>IFERROR(__xludf.DUMMYFUNCTION("""COMPUTED_VALUE"""),"دخول الباء عليها")</f>
        <v>دخول الباء عليها</v>
      </c>
      <c r="K6" s="69" t="str">
        <f>IFERROR(__xludf.DUMMYFUNCTION("""COMPUTED_VALUE"""),"(1) dan (4)")</f>
        <v>(1) dan (4)</v>
      </c>
      <c r="L6" s="69" t="str">
        <f>IFERROR(__xludf.DUMMYFUNCTION("""COMPUTED_VALUE"""),"Satu pohon yang kita tanam sangat bermanfaat bagi masa depan bumi dan manusia.")</f>
        <v>Satu pohon yang kita tanam sangat bermanfaat bagi masa depan bumi dan manusia.</v>
      </c>
      <c r="M6" s="69" t="str">
        <f>IFERROR(__xludf.DUMMYFUNCTION("""COMPUTED_VALUE"""),"mengaji seperti jantung")</f>
        <v>mengaji seperti jantung</v>
      </c>
      <c r="N6" s="69" t="str">
        <f>IFERROR(__xludf.DUMMYFUNCTION("""COMPUTED_VALUE"""),"suatu kota pada malam hari yang dalam keadaan sepi pascagerimis")</f>
        <v>suatu kota pada malam hari yang dalam keadaan sepi pascagerimis</v>
      </c>
      <c r="O6" s="69" t="str">
        <f>IFERROR(__xludf.DUMMYFUNCTION("""COMPUTED_VALUE"""),"usaha yang mula-mula sekali")</f>
        <v>usaha yang mula-mula sekali</v>
      </c>
      <c r="P6" s="69" t="str">
        <f>IFERROR(__xludf.DUMMYFUNCTION("""COMPUTED_VALUE"""),"C6H12O6 dan O2")</f>
        <v>C6H12O6 dan O2</v>
      </c>
      <c r="Q6" s="69" t="str">
        <f>IFERROR(__xludf.DUMMYFUNCTION("""COMPUTED_VALUE"""),"Fotosintesis")</f>
        <v>Fotosintesis</v>
      </c>
      <c r="R6" s="69" t="str">
        <f>IFERROR(__xludf.DUMMYFUNCTION("""COMPUTED_VALUE"""),"Hydrogen")</f>
        <v>Hydrogen</v>
      </c>
      <c r="S6" s="69" t="str">
        <f>IFERROR(__xludf.DUMMYFUNCTION("""COMPUTED_VALUE"""),"A, D, E, dan K")</f>
        <v>A, D, E, dan K</v>
      </c>
      <c r="T6" s="69" t="str">
        <f>IFERROR(__xludf.DUMMYFUNCTION("""COMPUTED_VALUE"""),"Pengatur suhu tubuh dan sumber energi")</f>
        <v>Pengatur suhu tubuh dan sumber energi</v>
      </c>
      <c r="U6" s="69">
        <f>IFERROR(__xludf.DUMMYFUNCTION("""COMPUTED_VALUE"""),85.0)</f>
        <v>85</v>
      </c>
      <c r="V6" s="69">
        <f>IFERROR(__xludf.DUMMYFUNCTION("""COMPUTED_VALUE"""),13.0)</f>
        <v>13</v>
      </c>
      <c r="W6" s="70">
        <f>IFERROR(__xludf.DUMMYFUNCTION("""COMPUTED_VALUE"""),17000.0)</f>
        <v>17000</v>
      </c>
      <c r="X6" s="69">
        <f>IFERROR(__xludf.DUMMYFUNCTION("""COMPUTED_VALUE"""),23.0)</f>
        <v>23</v>
      </c>
      <c r="Y6" s="69">
        <f>IFERROR(__xludf.DUMMYFUNCTION("""COMPUTED_VALUE"""),210.0)</f>
        <v>210</v>
      </c>
      <c r="Z6" s="67">
        <f t="shared" si="1"/>
        <v>1</v>
      </c>
      <c r="AA6" s="67">
        <f t="shared" si="2"/>
        <v>0</v>
      </c>
      <c r="AB6" s="67">
        <f t="shared" si="3"/>
        <v>1</v>
      </c>
      <c r="AC6" s="67">
        <f t="shared" si="4"/>
        <v>1</v>
      </c>
      <c r="AD6" s="67">
        <f t="shared" si="5"/>
        <v>1</v>
      </c>
      <c r="AE6" s="68">
        <f t="shared" si="6"/>
        <v>4</v>
      </c>
      <c r="AF6" s="67">
        <f t="shared" si="7"/>
        <v>1</v>
      </c>
      <c r="AG6" s="67">
        <f t="shared" si="8"/>
        <v>1</v>
      </c>
      <c r="AH6" s="67">
        <f t="shared" si="9"/>
        <v>1</v>
      </c>
      <c r="AI6" s="67">
        <f t="shared" si="10"/>
        <v>1</v>
      </c>
      <c r="AJ6" s="67">
        <f t="shared" si="11"/>
        <v>1</v>
      </c>
      <c r="AK6" s="68">
        <f t="shared" si="12"/>
        <v>5</v>
      </c>
      <c r="AL6" s="67">
        <f t="shared" si="13"/>
        <v>1</v>
      </c>
      <c r="AM6" s="67">
        <f t="shared" si="14"/>
        <v>1</v>
      </c>
      <c r="AN6" s="67">
        <f t="shared" si="15"/>
        <v>0</v>
      </c>
      <c r="AO6" s="67">
        <f t="shared" si="16"/>
        <v>1</v>
      </c>
      <c r="AP6" s="67">
        <f t="shared" si="17"/>
        <v>0</v>
      </c>
      <c r="AQ6" s="68">
        <f t="shared" si="18"/>
        <v>3</v>
      </c>
      <c r="AR6" s="67">
        <f t="shared" si="19"/>
        <v>1</v>
      </c>
      <c r="AS6" s="67">
        <f t="shared" si="20"/>
        <v>1</v>
      </c>
      <c r="AT6" s="67">
        <f t="shared" si="21"/>
        <v>1</v>
      </c>
      <c r="AU6" s="67">
        <f t="shared" si="22"/>
        <v>1</v>
      </c>
      <c r="AV6" s="67">
        <f t="shared" si="23"/>
        <v>1</v>
      </c>
      <c r="AW6" s="68">
        <f t="shared" si="24"/>
        <v>5</v>
      </c>
      <c r="AX6" s="56"/>
      <c r="AY6" s="67">
        <f t="shared" si="25"/>
        <v>4</v>
      </c>
      <c r="AZ6" s="67">
        <f t="shared" si="26"/>
        <v>5</v>
      </c>
      <c r="BA6" s="67">
        <f t="shared" si="27"/>
        <v>3</v>
      </c>
      <c r="BB6" s="67">
        <f t="shared" si="28"/>
        <v>5</v>
      </c>
      <c r="BC6" s="30">
        <f t="shared" si="29"/>
        <v>85</v>
      </c>
    </row>
    <row r="7">
      <c r="A7" s="65">
        <f>IFERROR(__xludf.DUMMYFUNCTION("""COMPUTED_VALUE"""),45941.458682083336)</f>
        <v>45941.45868</v>
      </c>
      <c r="B7" s="69" t="str">
        <f>IFERROR(__xludf.DUMMYFUNCTION("""COMPUTED_VALUE"""),"ALIFADHILAH IRHAB HAUZAN")</f>
        <v>ALIFADHILAH IRHAB HAUZAN</v>
      </c>
      <c r="C7" s="69" t="str">
        <f>IFERROR(__xludf.DUMMYFUNCTION("""COMPUTED_VALUE"""),"C250020")</f>
        <v>C250020</v>
      </c>
      <c r="D7" s="69" t="str">
        <f>IFERROR(__xludf.DUMMYFUNCTION("""COMPUTED_VALUE"""),"SMA Putra")</f>
        <v>SMA Putra</v>
      </c>
      <c r="E7" s="69" t="str">
        <f>IFERROR(__xludf.DUMMYFUNCTION("""COMPUTED_VALUE"""),"Ya")</f>
        <v>Ya</v>
      </c>
      <c r="F7" s="69" t="str">
        <f>IFERROR(__xludf.DUMMYFUNCTION("""COMPUTED_VALUE"""),"العلم")</f>
        <v>العلم</v>
      </c>
      <c r="G7" s="69" t="str">
        <f>IFERROR(__xludf.DUMMYFUNCTION("""COMPUTED_VALUE"""),"الضمة")</f>
        <v>الضمة</v>
      </c>
      <c r="H7" s="69" t="str">
        <f>IFERROR(__xludf.DUMMYFUNCTION("""COMPUTED_VALUE"""),"اسم مجرور")</f>
        <v>اسم مجرور</v>
      </c>
      <c r="I7" s="69" t="str">
        <f>IFERROR(__xludf.DUMMYFUNCTION("""COMPUTED_VALUE"""),"سافر المعلم")</f>
        <v>سافر المعلم</v>
      </c>
      <c r="J7" s="69" t="str">
        <f>IFERROR(__xludf.DUMMYFUNCTION("""COMPUTED_VALUE"""),"كونها فاعلا")</f>
        <v>كونها فاعلا</v>
      </c>
      <c r="K7" s="69" t="str">
        <f>IFERROR(__xludf.DUMMYFUNCTION("""COMPUTED_VALUE"""),"(1) dan (4)")</f>
        <v>(1) dan (4)</v>
      </c>
      <c r="L7" s="69" t="str">
        <f>IFERROR(__xludf.DUMMYFUNCTION("""COMPUTED_VALUE"""),"Satu pohon yang kita tanam sangat bermanfaat bagi masa depan bumi dan manusia.")</f>
        <v>Satu pohon yang kita tanam sangat bermanfaat bagi masa depan bumi dan manusia.</v>
      </c>
      <c r="M7" s="69" t="str">
        <f>IFERROR(__xludf.DUMMYFUNCTION("""COMPUTED_VALUE"""),"mengaji seperti jantung")</f>
        <v>mengaji seperti jantung</v>
      </c>
      <c r="N7"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7" s="69" t="str">
        <f>IFERROR(__xludf.DUMMYFUNCTION("""COMPUTED_VALUE"""),"usaha yang mula-mula sekali")</f>
        <v>usaha yang mula-mula sekali</v>
      </c>
      <c r="P7" s="69" t="str">
        <f>IFERROR(__xludf.DUMMYFUNCTION("""COMPUTED_VALUE"""),"CO2 dan H2O")</f>
        <v>CO2 dan H2O</v>
      </c>
      <c r="Q7" s="69" t="str">
        <f>IFERROR(__xludf.DUMMYFUNCTION("""COMPUTED_VALUE"""),"Fotosintesis")</f>
        <v>Fotosintesis</v>
      </c>
      <c r="R7" s="69" t="str">
        <f>IFERROR(__xludf.DUMMYFUNCTION("""COMPUTED_VALUE"""),"Karbon dioksida")</f>
        <v>Karbon dioksida</v>
      </c>
      <c r="S7" s="69" t="str">
        <f>IFERROR(__xludf.DUMMYFUNCTION("""COMPUTED_VALUE"""),"A, D, E, dan K")</f>
        <v>A, D, E, dan K</v>
      </c>
      <c r="T7" s="69" t="str">
        <f>IFERROR(__xludf.DUMMYFUNCTION("""COMPUTED_VALUE"""),"Alat pengangkut dan pengatur suhu tubuh")</f>
        <v>Alat pengangkut dan pengatur suhu tubuh</v>
      </c>
      <c r="U7" s="69">
        <f>IFERROR(__xludf.DUMMYFUNCTION("""COMPUTED_VALUE"""),85.0)</f>
        <v>85</v>
      </c>
      <c r="V7" s="69">
        <f>IFERROR(__xludf.DUMMYFUNCTION("""COMPUTED_VALUE"""),7.0)</f>
        <v>7</v>
      </c>
      <c r="W7" s="70">
        <f>IFERROR(__xludf.DUMMYFUNCTION("""COMPUTED_VALUE"""),17000.0)</f>
        <v>17000</v>
      </c>
      <c r="X7" s="69">
        <f>IFERROR(__xludf.DUMMYFUNCTION("""COMPUTED_VALUE"""),17.0)</f>
        <v>17</v>
      </c>
      <c r="Y7" s="69">
        <f>IFERROR(__xludf.DUMMYFUNCTION("""COMPUTED_VALUE"""),210.0)</f>
        <v>210</v>
      </c>
      <c r="Z7" s="67">
        <f t="shared" si="1"/>
        <v>1</v>
      </c>
      <c r="AA7" s="67">
        <f t="shared" si="2"/>
        <v>1</v>
      </c>
      <c r="AB7" s="67">
        <f t="shared" si="3"/>
        <v>1</v>
      </c>
      <c r="AC7" s="67">
        <f t="shared" si="4"/>
        <v>0</v>
      </c>
      <c r="AD7" s="67">
        <f t="shared" si="5"/>
        <v>0</v>
      </c>
      <c r="AE7" s="68">
        <f t="shared" si="6"/>
        <v>3</v>
      </c>
      <c r="AF7" s="67">
        <f t="shared" si="7"/>
        <v>1</v>
      </c>
      <c r="AG7" s="67">
        <f t="shared" si="8"/>
        <v>1</v>
      </c>
      <c r="AH7" s="67">
        <f t="shared" si="9"/>
        <v>1</v>
      </c>
      <c r="AI7" s="67">
        <f t="shared" si="10"/>
        <v>0</v>
      </c>
      <c r="AJ7" s="67">
        <f t="shared" si="11"/>
        <v>1</v>
      </c>
      <c r="AK7" s="68">
        <f t="shared" si="12"/>
        <v>4</v>
      </c>
      <c r="AL7" s="67">
        <f t="shared" si="13"/>
        <v>0</v>
      </c>
      <c r="AM7" s="67">
        <f t="shared" si="14"/>
        <v>1</v>
      </c>
      <c r="AN7" s="67">
        <f t="shared" si="15"/>
        <v>0</v>
      </c>
      <c r="AO7" s="67">
        <f t="shared" si="16"/>
        <v>1</v>
      </c>
      <c r="AP7" s="67">
        <f t="shared" si="17"/>
        <v>1</v>
      </c>
      <c r="AQ7" s="68">
        <f t="shared" si="18"/>
        <v>3</v>
      </c>
      <c r="AR7" s="67">
        <f t="shared" si="19"/>
        <v>1</v>
      </c>
      <c r="AS7" s="67">
        <f t="shared" si="20"/>
        <v>0</v>
      </c>
      <c r="AT7" s="67">
        <f t="shared" si="21"/>
        <v>1</v>
      </c>
      <c r="AU7" s="67">
        <f t="shared" si="22"/>
        <v>0</v>
      </c>
      <c r="AV7" s="67">
        <f t="shared" si="23"/>
        <v>1</v>
      </c>
      <c r="AW7" s="68">
        <f t="shared" si="24"/>
        <v>3</v>
      </c>
      <c r="AX7" s="56"/>
      <c r="AY7" s="67">
        <f t="shared" si="25"/>
        <v>3</v>
      </c>
      <c r="AZ7" s="67">
        <f t="shared" si="26"/>
        <v>4</v>
      </c>
      <c r="BA7" s="67">
        <f t="shared" si="27"/>
        <v>3</v>
      </c>
      <c r="BB7" s="67">
        <f t="shared" si="28"/>
        <v>3</v>
      </c>
      <c r="BC7" s="30">
        <f t="shared" si="29"/>
        <v>65</v>
      </c>
    </row>
    <row r="8">
      <c r="A8" s="65">
        <f>IFERROR(__xludf.DUMMYFUNCTION("""COMPUTED_VALUE"""),45948.42738144676)</f>
        <v>45948.42738</v>
      </c>
      <c r="B8" s="69" t="str">
        <f>IFERROR(__xludf.DUMMYFUNCTION("""COMPUTED_VALUE"""),"Abbas Raihan ")</f>
        <v>Abbas Raihan </v>
      </c>
      <c r="C8" s="69" t="str">
        <f>IFERROR(__xludf.DUMMYFUNCTION("""COMPUTED_VALUE"""),"B250019")</f>
        <v>B250019</v>
      </c>
      <c r="D8" s="69" t="str">
        <f>IFERROR(__xludf.DUMMYFUNCTION("""COMPUTED_VALUE"""),"SMA Putra")</f>
        <v>SMA Putra</v>
      </c>
      <c r="E8" s="69" t="str">
        <f>IFERROR(__xludf.DUMMYFUNCTION("""COMPUTED_VALUE"""),"Ya")</f>
        <v>Ya</v>
      </c>
      <c r="F8" s="69" t="str">
        <f>IFERROR(__xludf.DUMMYFUNCTION("""COMPUTED_VALUE"""),"العلم")</f>
        <v>العلم</v>
      </c>
      <c r="G8" s="69" t="str">
        <f>IFERROR(__xludf.DUMMYFUNCTION("""COMPUTED_VALUE"""),"الضمة")</f>
        <v>الضمة</v>
      </c>
      <c r="H8" s="69" t="str">
        <f>IFERROR(__xludf.DUMMYFUNCTION("""COMPUTED_VALUE"""),"اسم مجرور")</f>
        <v>اسم مجرور</v>
      </c>
      <c r="I8" s="69" t="str">
        <f>IFERROR(__xludf.DUMMYFUNCTION("""COMPUTED_VALUE"""),"الطالب مجتهد")</f>
        <v>الطالب مجتهد</v>
      </c>
      <c r="J8" s="69" t="str">
        <f>IFERROR(__xludf.DUMMYFUNCTION("""COMPUTED_VALUE"""),"دخول الباء عليها")</f>
        <v>دخول الباء عليها</v>
      </c>
      <c r="K8" s="69" t="str">
        <f>IFERROR(__xludf.DUMMYFUNCTION("""COMPUTED_VALUE"""),"(1) dan (4)")</f>
        <v>(1) dan (4)</v>
      </c>
      <c r="L8" s="69" t="str">
        <f>IFERROR(__xludf.DUMMYFUNCTION("""COMPUTED_VALUE"""),"Satu pohon yang kita tanam sangat bermanfaat bagi masa depan bumi dan manusia.")</f>
        <v>Satu pohon yang kita tanam sangat bermanfaat bagi masa depan bumi dan manusia.</v>
      </c>
      <c r="M8" s="69" t="str">
        <f>IFERROR(__xludf.DUMMYFUNCTION("""COMPUTED_VALUE"""),"Opsi 4")</f>
        <v>Opsi 4</v>
      </c>
      <c r="N8" s="69" t="str">
        <f>IFERROR(__xludf.DUMMYFUNCTION("""COMPUTED_VALUE"""),"suatu kota pada malam hari yang dalam keadaan sepi pascagerimis")</f>
        <v>suatu kota pada malam hari yang dalam keadaan sepi pascagerimis</v>
      </c>
      <c r="O8" s="69" t="str">
        <f>IFERROR(__xludf.DUMMYFUNCTION("""COMPUTED_VALUE"""),"usaha yang mula-mula sekali")</f>
        <v>usaha yang mula-mula sekali</v>
      </c>
      <c r="P8" s="69" t="str">
        <f>IFERROR(__xludf.DUMMYFUNCTION("""COMPUTED_VALUE"""),"C6H12O6 dan O2")</f>
        <v>C6H12O6 dan O2</v>
      </c>
      <c r="Q8" s="69" t="str">
        <f>IFERROR(__xludf.DUMMYFUNCTION("""COMPUTED_VALUE"""),"Fotosintesis")</f>
        <v>Fotosintesis</v>
      </c>
      <c r="R8" s="69" t="str">
        <f>IFERROR(__xludf.DUMMYFUNCTION("""COMPUTED_VALUE"""),"Uap air")</f>
        <v>Uap air</v>
      </c>
      <c r="S8" s="69" t="str">
        <f>IFERROR(__xludf.DUMMYFUNCTION("""COMPUTED_VALUE"""),"A, D, E, dan K")</f>
        <v>A, D, E, dan K</v>
      </c>
      <c r="T8" s="69" t="str">
        <f>IFERROR(__xludf.DUMMYFUNCTION("""COMPUTED_VALUE"""),"Alat pengangkut dan pengatur suhu tubuh")</f>
        <v>Alat pengangkut dan pengatur suhu tubuh</v>
      </c>
      <c r="U8" s="69">
        <f>IFERROR(__xludf.DUMMYFUNCTION("""COMPUTED_VALUE"""),85.0)</f>
        <v>85</v>
      </c>
      <c r="V8" s="69">
        <f>IFERROR(__xludf.DUMMYFUNCTION("""COMPUTED_VALUE"""),13.0)</f>
        <v>13</v>
      </c>
      <c r="W8" s="70">
        <f>IFERROR(__xludf.DUMMYFUNCTION("""COMPUTED_VALUE"""),17000.0)</f>
        <v>17000</v>
      </c>
      <c r="X8" s="69">
        <f>IFERROR(__xludf.DUMMYFUNCTION("""COMPUTED_VALUE"""),23.0)</f>
        <v>23</v>
      </c>
      <c r="Y8" s="69">
        <f>IFERROR(__xludf.DUMMYFUNCTION("""COMPUTED_VALUE"""),210.0)</f>
        <v>210</v>
      </c>
      <c r="Z8" s="67">
        <f t="shared" si="1"/>
        <v>1</v>
      </c>
      <c r="AA8" s="67">
        <f t="shared" si="2"/>
        <v>1</v>
      </c>
      <c r="AB8" s="67">
        <f t="shared" si="3"/>
        <v>1</v>
      </c>
      <c r="AC8" s="67">
        <f t="shared" si="4"/>
        <v>1</v>
      </c>
      <c r="AD8" s="67">
        <f t="shared" si="5"/>
        <v>1</v>
      </c>
      <c r="AE8" s="68">
        <f t="shared" si="6"/>
        <v>5</v>
      </c>
      <c r="AF8" s="67">
        <f t="shared" si="7"/>
        <v>1</v>
      </c>
      <c r="AG8" s="67">
        <f t="shared" si="8"/>
        <v>1</v>
      </c>
      <c r="AH8" s="67">
        <f t="shared" si="9"/>
        <v>0</v>
      </c>
      <c r="AI8" s="67">
        <f t="shared" si="10"/>
        <v>1</v>
      </c>
      <c r="AJ8" s="67">
        <f t="shared" si="11"/>
        <v>1</v>
      </c>
      <c r="AK8" s="68">
        <f t="shared" si="12"/>
        <v>4</v>
      </c>
      <c r="AL8" s="67">
        <f t="shared" si="13"/>
        <v>1</v>
      </c>
      <c r="AM8" s="67">
        <f t="shared" si="14"/>
        <v>1</v>
      </c>
      <c r="AN8" s="67">
        <f t="shared" si="15"/>
        <v>1</v>
      </c>
      <c r="AO8" s="67">
        <f t="shared" si="16"/>
        <v>1</v>
      </c>
      <c r="AP8" s="67">
        <f t="shared" si="17"/>
        <v>1</v>
      </c>
      <c r="AQ8" s="68">
        <f t="shared" si="18"/>
        <v>5</v>
      </c>
      <c r="AR8" s="67">
        <f t="shared" si="19"/>
        <v>1</v>
      </c>
      <c r="AS8" s="67">
        <f t="shared" si="20"/>
        <v>1</v>
      </c>
      <c r="AT8" s="67">
        <f t="shared" si="21"/>
        <v>1</v>
      </c>
      <c r="AU8" s="67">
        <f t="shared" si="22"/>
        <v>1</v>
      </c>
      <c r="AV8" s="67">
        <f t="shared" si="23"/>
        <v>1</v>
      </c>
      <c r="AW8" s="68">
        <f t="shared" si="24"/>
        <v>5</v>
      </c>
      <c r="AX8" s="56"/>
      <c r="AY8" s="67">
        <f t="shared" si="25"/>
        <v>5</v>
      </c>
      <c r="AZ8" s="67">
        <f t="shared" si="26"/>
        <v>4</v>
      </c>
      <c r="BA8" s="67">
        <f t="shared" si="27"/>
        <v>5</v>
      </c>
      <c r="BB8" s="67">
        <f t="shared" si="28"/>
        <v>5</v>
      </c>
      <c r="BC8" s="30">
        <f t="shared" si="29"/>
        <v>95</v>
      </c>
    </row>
    <row r="9">
      <c r="A9" s="65">
        <f>IFERROR(__xludf.DUMMYFUNCTION("""COMPUTED_VALUE"""),45949.367400856485)</f>
        <v>45949.3674</v>
      </c>
      <c r="B9" s="69" t="str">
        <f>IFERROR(__xludf.DUMMYFUNCTION("""COMPUTED_VALUE"""),"Adhyasta widyadhana")</f>
        <v>Adhyasta widyadhana</v>
      </c>
      <c r="C9" s="69" t="str">
        <f>IFERROR(__xludf.DUMMYFUNCTION("""COMPUTED_VALUE"""),"C250014")</f>
        <v>C250014</v>
      </c>
      <c r="D9" s="69" t="str">
        <f>IFERROR(__xludf.DUMMYFUNCTION("""COMPUTED_VALUE"""),"SMA Putra")</f>
        <v>SMA Putra</v>
      </c>
      <c r="E9" s="69" t="str">
        <f>IFERROR(__xludf.DUMMYFUNCTION("""COMPUTED_VALUE"""),"Ya")</f>
        <v>Ya</v>
      </c>
      <c r="F9" s="69" t="str">
        <f>IFERROR(__xludf.DUMMYFUNCTION("""COMPUTED_VALUE"""),"العلم")</f>
        <v>العلم</v>
      </c>
      <c r="G9" s="69" t="str">
        <f>IFERROR(__xludf.DUMMYFUNCTION("""COMPUTED_VALUE"""),"الضمة")</f>
        <v>الضمة</v>
      </c>
      <c r="H9" s="69" t="str">
        <f>IFERROR(__xludf.DUMMYFUNCTION("""COMPUTED_VALUE"""),"مفعول به منصوب")</f>
        <v>مفعول به منصوب</v>
      </c>
      <c r="I9" s="69" t="str">
        <f>IFERROR(__xludf.DUMMYFUNCTION("""COMPUTED_VALUE"""),"الطالب مجتهد")</f>
        <v>الطالب مجتهد</v>
      </c>
      <c r="J9" s="69" t="str">
        <f>IFERROR(__xludf.DUMMYFUNCTION("""COMPUTED_VALUE"""),"دخول الباء عليها")</f>
        <v>دخول الباء عليها</v>
      </c>
      <c r="K9" s="69">
        <f>IFERROR(__xludf.DUMMYFUNCTION("""COMPUTED_VALUE"""),-1.0)</f>
        <v>-1</v>
      </c>
      <c r="L9" s="69" t="str">
        <f>IFERROR(__xludf.DUMMYFUNCTION("""COMPUTED_VALUE"""),"Satu pohon yang kita tanam sangat bermanfaat bagi masa depan bumi dan manusia.")</f>
        <v>Satu pohon yang kita tanam sangat bermanfaat bagi masa depan bumi dan manusia.</v>
      </c>
      <c r="M9" s="69" t="str">
        <f>IFERROR(__xludf.DUMMYFUNCTION("""COMPUTED_VALUE"""),"mengaji menyegarkan jiwa")</f>
        <v>mengaji menyegarkan jiwa</v>
      </c>
      <c r="N9"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9" s="69" t="str">
        <f>IFERROR(__xludf.DUMMYFUNCTION("""COMPUTED_VALUE"""),"jalan usaha")</f>
        <v>jalan usaha</v>
      </c>
      <c r="P9" s="69" t="str">
        <f>IFERROR(__xludf.DUMMYFUNCTION("""COMPUTED_VALUE"""),"CO2 dan O2")</f>
        <v>CO2 dan O2</v>
      </c>
      <c r="Q9" s="69" t="str">
        <f>IFERROR(__xludf.DUMMYFUNCTION("""COMPUTED_VALUE"""),"Fotosintesis")</f>
        <v>Fotosintesis</v>
      </c>
      <c r="R9" s="69" t="str">
        <f>IFERROR(__xludf.DUMMYFUNCTION("""COMPUTED_VALUE"""),"Karbon dioksida")</f>
        <v>Karbon dioksida</v>
      </c>
      <c r="S9" s="69" t="str">
        <f>IFERROR(__xludf.DUMMYFUNCTION("""COMPUTED_VALUE"""),"A, B,D, dan E")</f>
        <v>A, B,D, dan E</v>
      </c>
      <c r="T9" s="69" t="str">
        <f>IFERROR(__xludf.DUMMYFUNCTION("""COMPUTED_VALUE"""),"Pengatur suhu tubuh dan sumber energi")</f>
        <v>Pengatur suhu tubuh dan sumber energi</v>
      </c>
      <c r="U9" s="69">
        <f>IFERROR(__xludf.DUMMYFUNCTION("""COMPUTED_VALUE"""),100.0)</f>
        <v>100</v>
      </c>
      <c r="V9" s="69">
        <f>IFERROR(__xludf.DUMMYFUNCTION("""COMPUTED_VALUE"""),11.0)</f>
        <v>11</v>
      </c>
      <c r="W9" s="70">
        <f>IFERROR(__xludf.DUMMYFUNCTION("""COMPUTED_VALUE"""),16000.0)</f>
        <v>16000</v>
      </c>
      <c r="X9" s="69">
        <f>IFERROR(__xludf.DUMMYFUNCTION("""COMPUTED_VALUE"""),36.0)</f>
        <v>36</v>
      </c>
      <c r="Y9" s="69">
        <f>IFERROR(__xludf.DUMMYFUNCTION("""COMPUTED_VALUE"""),210.0)</f>
        <v>210</v>
      </c>
      <c r="Z9" s="67">
        <f t="shared" si="1"/>
        <v>1</v>
      </c>
      <c r="AA9" s="67">
        <f t="shared" si="2"/>
        <v>1</v>
      </c>
      <c r="AB9" s="67">
        <f t="shared" si="3"/>
        <v>0</v>
      </c>
      <c r="AC9" s="67">
        <f t="shared" si="4"/>
        <v>1</v>
      </c>
      <c r="AD9" s="67">
        <f t="shared" si="5"/>
        <v>1</v>
      </c>
      <c r="AE9" s="68">
        <f t="shared" si="6"/>
        <v>4</v>
      </c>
      <c r="AF9" s="67">
        <f t="shared" si="7"/>
        <v>0</v>
      </c>
      <c r="AG9" s="67">
        <f t="shared" si="8"/>
        <v>1</v>
      </c>
      <c r="AH9" s="67">
        <f t="shared" si="9"/>
        <v>0</v>
      </c>
      <c r="AI9" s="67">
        <f t="shared" si="10"/>
        <v>0</v>
      </c>
      <c r="AJ9" s="67">
        <f t="shared" si="11"/>
        <v>0</v>
      </c>
      <c r="AK9" s="68">
        <f t="shared" si="12"/>
        <v>1</v>
      </c>
      <c r="AL9" s="67">
        <f t="shared" si="13"/>
        <v>0</v>
      </c>
      <c r="AM9" s="67">
        <f t="shared" si="14"/>
        <v>1</v>
      </c>
      <c r="AN9" s="67">
        <f t="shared" si="15"/>
        <v>0</v>
      </c>
      <c r="AO9" s="67">
        <f t="shared" si="16"/>
        <v>0</v>
      </c>
      <c r="AP9" s="67">
        <f t="shared" si="17"/>
        <v>0</v>
      </c>
      <c r="AQ9" s="68">
        <f t="shared" si="18"/>
        <v>1</v>
      </c>
      <c r="AR9" s="67">
        <f t="shared" si="19"/>
        <v>0</v>
      </c>
      <c r="AS9" s="67">
        <f t="shared" si="20"/>
        <v>0</v>
      </c>
      <c r="AT9" s="67">
        <f t="shared" si="21"/>
        <v>0</v>
      </c>
      <c r="AU9" s="67">
        <f t="shared" si="22"/>
        <v>0</v>
      </c>
      <c r="AV9" s="67">
        <f t="shared" si="23"/>
        <v>1</v>
      </c>
      <c r="AW9" s="68">
        <f t="shared" si="24"/>
        <v>1</v>
      </c>
      <c r="AX9" s="56"/>
      <c r="AY9" s="67">
        <f t="shared" si="25"/>
        <v>4</v>
      </c>
      <c r="AZ9" s="67">
        <f t="shared" si="26"/>
        <v>1</v>
      </c>
      <c r="BA9" s="67">
        <f t="shared" si="27"/>
        <v>1</v>
      </c>
      <c r="BB9" s="67">
        <f t="shared" si="28"/>
        <v>1</v>
      </c>
      <c r="BC9" s="30">
        <f t="shared" si="29"/>
        <v>35</v>
      </c>
    </row>
    <row r="10">
      <c r="A10" s="65">
        <f>IFERROR(__xludf.DUMMYFUNCTION("""COMPUTED_VALUE"""),45949.45113111111)</f>
        <v>45949.45113</v>
      </c>
      <c r="B10" s="69" t="str">
        <f>IFERROR(__xludf.DUMMYFUNCTION("""COMPUTED_VALUE"""),"FATHAN SYAHRIL SUSENO")</f>
        <v>FATHAN SYAHRIL SUSENO</v>
      </c>
      <c r="C10" s="69" t="str">
        <f>IFERROR(__xludf.DUMMYFUNCTION("""COMPUTED_VALUE"""),"C250016")</f>
        <v>C250016</v>
      </c>
      <c r="D10" s="69" t="str">
        <f>IFERROR(__xludf.DUMMYFUNCTION("""COMPUTED_VALUE"""),"SMA Putra")</f>
        <v>SMA Putra</v>
      </c>
      <c r="E10" s="69" t="str">
        <f>IFERROR(__xludf.DUMMYFUNCTION("""COMPUTED_VALUE"""),"Ya")</f>
        <v>Ya</v>
      </c>
      <c r="F10" s="69" t="str">
        <f>IFERROR(__xludf.DUMMYFUNCTION("""COMPUTED_VALUE"""),"العلم")</f>
        <v>العلم</v>
      </c>
      <c r="G10" s="69" t="str">
        <f>IFERROR(__xludf.DUMMYFUNCTION("""COMPUTED_VALUE"""),"الفتحة")</f>
        <v>الفتحة</v>
      </c>
      <c r="H10" s="69" t="str">
        <f>IFERROR(__xludf.DUMMYFUNCTION("""COMPUTED_VALUE"""),"اسم مجرور")</f>
        <v>اسم مجرور</v>
      </c>
      <c r="I10" s="69" t="str">
        <f>IFERROR(__xludf.DUMMYFUNCTION("""COMPUTED_VALUE"""),"الطالب مجتهد")</f>
        <v>الطالب مجتهد</v>
      </c>
      <c r="J10" s="69" t="str">
        <f>IFERROR(__xludf.DUMMYFUNCTION("""COMPUTED_VALUE"""),"دخول الباء عليها")</f>
        <v>دخول الباء عليها</v>
      </c>
      <c r="K10" s="69" t="str">
        <f>IFERROR(__xludf.DUMMYFUNCTION("""COMPUTED_VALUE"""),"(1) dan (4)")</f>
        <v>(1) dan (4)</v>
      </c>
      <c r="L10" s="69" t="str">
        <f>IFERROR(__xludf.DUMMYFUNCTION("""COMPUTED_VALUE"""),"Satu pohon yang kita tanam sangat bermanfaat bagi masa depan bumi dan manusia.")</f>
        <v>Satu pohon yang kita tanam sangat bermanfaat bagi masa depan bumi dan manusia.</v>
      </c>
      <c r="M10" s="69" t="str">
        <f>IFERROR(__xludf.DUMMYFUNCTION("""COMPUTED_VALUE"""),"mengaji seperti jantung")</f>
        <v>mengaji seperti jantung</v>
      </c>
      <c r="N10"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10" s="69" t="str">
        <f>IFERROR(__xludf.DUMMYFUNCTION("""COMPUTED_VALUE"""),"jalan usaha")</f>
        <v>jalan usaha</v>
      </c>
      <c r="P10" s="69" t="str">
        <f>IFERROR(__xludf.DUMMYFUNCTION("""COMPUTED_VALUE"""),"C6H12O6 dan O2")</f>
        <v>C6H12O6 dan O2</v>
      </c>
      <c r="Q10" s="69" t="str">
        <f>IFERROR(__xludf.DUMMYFUNCTION("""COMPUTED_VALUE"""),"Fotosintesis")</f>
        <v>Fotosintesis</v>
      </c>
      <c r="R10" s="69" t="str">
        <f>IFERROR(__xludf.DUMMYFUNCTION("""COMPUTED_VALUE"""),"Karbon dioksida")</f>
        <v>Karbon dioksida</v>
      </c>
      <c r="S10" s="69" t="str">
        <f>IFERROR(__xludf.DUMMYFUNCTION("""COMPUTED_VALUE"""),"A, C, E, dan K")</f>
        <v>A, C, E, dan K</v>
      </c>
      <c r="T10" s="69" t="str">
        <f>IFERROR(__xludf.DUMMYFUNCTION("""COMPUTED_VALUE"""),"Alat pengangkut dan pengatur suhu tubuh")</f>
        <v>Alat pengangkut dan pengatur suhu tubuh</v>
      </c>
      <c r="U10" s="69">
        <f>IFERROR(__xludf.DUMMYFUNCTION("""COMPUTED_VALUE"""),100.0)</f>
        <v>100</v>
      </c>
      <c r="V10" s="69">
        <f>IFERROR(__xludf.DUMMYFUNCTION("""COMPUTED_VALUE"""),13.0)</f>
        <v>13</v>
      </c>
      <c r="W10" s="70">
        <f>IFERROR(__xludf.DUMMYFUNCTION("""COMPUTED_VALUE"""),17000.0)</f>
        <v>17000</v>
      </c>
      <c r="X10" s="69">
        <f>IFERROR(__xludf.DUMMYFUNCTION("""COMPUTED_VALUE"""),23.0)</f>
        <v>23</v>
      </c>
      <c r="Y10" s="69">
        <f>IFERROR(__xludf.DUMMYFUNCTION("""COMPUTED_VALUE"""),210.0)</f>
        <v>210</v>
      </c>
      <c r="Z10" s="67">
        <f t="shared" si="1"/>
        <v>1</v>
      </c>
      <c r="AA10" s="67">
        <f t="shared" si="2"/>
        <v>0</v>
      </c>
      <c r="AB10" s="67">
        <f t="shared" si="3"/>
        <v>1</v>
      </c>
      <c r="AC10" s="67">
        <f t="shared" si="4"/>
        <v>1</v>
      </c>
      <c r="AD10" s="67">
        <f t="shared" si="5"/>
        <v>1</v>
      </c>
      <c r="AE10" s="68">
        <f t="shared" si="6"/>
        <v>4</v>
      </c>
      <c r="AF10" s="67">
        <f t="shared" si="7"/>
        <v>1</v>
      </c>
      <c r="AG10" s="67">
        <f t="shared" si="8"/>
        <v>1</v>
      </c>
      <c r="AH10" s="67">
        <f t="shared" si="9"/>
        <v>1</v>
      </c>
      <c r="AI10" s="67">
        <f t="shared" si="10"/>
        <v>0</v>
      </c>
      <c r="AJ10" s="67">
        <f t="shared" si="11"/>
        <v>0</v>
      </c>
      <c r="AK10" s="68">
        <f t="shared" si="12"/>
        <v>3</v>
      </c>
      <c r="AL10" s="67">
        <f t="shared" si="13"/>
        <v>1</v>
      </c>
      <c r="AM10" s="67">
        <f t="shared" si="14"/>
        <v>1</v>
      </c>
      <c r="AN10" s="67">
        <f t="shared" si="15"/>
        <v>0</v>
      </c>
      <c r="AO10" s="67">
        <f t="shared" si="16"/>
        <v>0</v>
      </c>
      <c r="AP10" s="67">
        <f t="shared" si="17"/>
        <v>1</v>
      </c>
      <c r="AQ10" s="68">
        <f t="shared" si="18"/>
        <v>3</v>
      </c>
      <c r="AR10" s="67">
        <f t="shared" si="19"/>
        <v>0</v>
      </c>
      <c r="AS10" s="67">
        <f t="shared" si="20"/>
        <v>1</v>
      </c>
      <c r="AT10" s="67">
        <f t="shared" si="21"/>
        <v>1</v>
      </c>
      <c r="AU10" s="67">
        <f t="shared" si="22"/>
        <v>1</v>
      </c>
      <c r="AV10" s="67">
        <f t="shared" si="23"/>
        <v>1</v>
      </c>
      <c r="AW10" s="68">
        <f t="shared" si="24"/>
        <v>4</v>
      </c>
      <c r="AX10" s="56"/>
      <c r="AY10" s="67">
        <f t="shared" si="25"/>
        <v>4</v>
      </c>
      <c r="AZ10" s="67">
        <f t="shared" si="26"/>
        <v>3</v>
      </c>
      <c r="BA10" s="67">
        <f t="shared" si="27"/>
        <v>3</v>
      </c>
      <c r="BB10" s="67">
        <f t="shared" si="28"/>
        <v>4</v>
      </c>
      <c r="BC10" s="30">
        <f t="shared" si="29"/>
        <v>70</v>
      </c>
    </row>
    <row r="11">
      <c r="A11" s="65">
        <f>IFERROR(__xludf.DUMMYFUNCTION("""COMPUTED_VALUE"""),45955.41518484954)</f>
        <v>45955.41518</v>
      </c>
      <c r="B11" s="69" t="str">
        <f>IFERROR(__xludf.DUMMYFUNCTION("""COMPUTED_VALUE"""),"Aditya Afhan Dhiyaulhaq Ilham")</f>
        <v>Aditya Afhan Dhiyaulhaq Ilham</v>
      </c>
      <c r="C11" s="69" t="str">
        <f>IFERROR(__xludf.DUMMYFUNCTION("""COMPUTED_VALUE"""),"C250021")</f>
        <v>C250021</v>
      </c>
      <c r="D11" s="69" t="str">
        <f>IFERROR(__xludf.DUMMYFUNCTION("""COMPUTED_VALUE"""),"SMA Putra")</f>
        <v>SMA Putra</v>
      </c>
      <c r="E11" s="69" t="str">
        <f>IFERROR(__xludf.DUMMYFUNCTION("""COMPUTED_VALUE"""),"Ya")</f>
        <v>Ya</v>
      </c>
      <c r="F11" s="69" t="str">
        <f>IFERROR(__xludf.DUMMYFUNCTION("""COMPUTED_VALUE"""),"العلم")</f>
        <v>العلم</v>
      </c>
      <c r="G11" s="69" t="str">
        <f>IFERROR(__xludf.DUMMYFUNCTION("""COMPUTED_VALUE"""),"الضمة")</f>
        <v>الضمة</v>
      </c>
      <c r="H11" s="69" t="str">
        <f>IFERROR(__xludf.DUMMYFUNCTION("""COMPUTED_VALUE"""),"مفعول به منصوب")</f>
        <v>مفعول به منصوب</v>
      </c>
      <c r="I11" s="69" t="str">
        <f>IFERROR(__xludf.DUMMYFUNCTION("""COMPUTED_VALUE"""),"الطالب مجتهد")</f>
        <v>الطالب مجتهد</v>
      </c>
      <c r="J11" s="69" t="str">
        <f>IFERROR(__xludf.DUMMYFUNCTION("""COMPUTED_VALUE"""),"دخول الباء عليها")</f>
        <v>دخول الباء عليها</v>
      </c>
      <c r="K11" s="69" t="str">
        <f>IFERROR(__xludf.DUMMYFUNCTION("""COMPUTED_VALUE"""),"(1) dan (4)")</f>
        <v>(1) dan (4)</v>
      </c>
      <c r="L11" s="69" t="str">
        <f>IFERROR(__xludf.DUMMYFUNCTION("""COMPUTED_VALUE"""),"Satu pohon yang kita tanam sangat bermanfaat bagi masa depan bumi dan manusia.")</f>
        <v>Satu pohon yang kita tanam sangat bermanfaat bagi masa depan bumi dan manusia.</v>
      </c>
      <c r="M11" s="69" t="str">
        <f>IFERROR(__xludf.DUMMYFUNCTION("""COMPUTED_VALUE"""),"mengaji seperti jantung")</f>
        <v>mengaji seperti jantung</v>
      </c>
      <c r="N11"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11" s="69" t="str">
        <f>IFERROR(__xludf.DUMMYFUNCTION("""COMPUTED_VALUE"""),"usaha yang dilakukan sendiri")</f>
        <v>usaha yang dilakukan sendiri</v>
      </c>
      <c r="P11" s="69" t="str">
        <f>IFERROR(__xludf.DUMMYFUNCTION("""COMPUTED_VALUE"""),"H2O dan O2")</f>
        <v>H2O dan O2</v>
      </c>
      <c r="Q11" s="69" t="str">
        <f>IFERROR(__xludf.DUMMYFUNCTION("""COMPUTED_VALUE"""),"Fotosintesis")</f>
        <v>Fotosintesis</v>
      </c>
      <c r="R11" s="69" t="str">
        <f>IFERROR(__xludf.DUMMYFUNCTION("""COMPUTED_VALUE"""),"Uap air")</f>
        <v>Uap air</v>
      </c>
      <c r="S11" s="69" t="str">
        <f>IFERROR(__xludf.DUMMYFUNCTION("""COMPUTED_VALUE"""),"A, B, C, dan D")</f>
        <v>A, B, C, dan D</v>
      </c>
      <c r="T11" s="69" t="str">
        <f>IFERROR(__xludf.DUMMYFUNCTION("""COMPUTED_VALUE"""),"Alat pengangkut dan pengatur suhu tubuh")</f>
        <v>Alat pengangkut dan pengatur suhu tubuh</v>
      </c>
      <c r="U11" s="69">
        <f>IFERROR(__xludf.DUMMYFUNCTION("""COMPUTED_VALUE"""),85.0)</f>
        <v>85</v>
      </c>
      <c r="V11" s="69">
        <f>IFERROR(__xludf.DUMMYFUNCTION("""COMPUTED_VALUE"""),13.0)</f>
        <v>13</v>
      </c>
      <c r="W11" s="70">
        <f>IFERROR(__xludf.DUMMYFUNCTION("""COMPUTED_VALUE"""),17000.0)</f>
        <v>17000</v>
      </c>
      <c r="X11" s="69">
        <f>IFERROR(__xludf.DUMMYFUNCTION("""COMPUTED_VALUE"""),23.0)</f>
        <v>23</v>
      </c>
      <c r="Y11" s="69">
        <f>IFERROR(__xludf.DUMMYFUNCTION("""COMPUTED_VALUE"""),210.0)</f>
        <v>210</v>
      </c>
      <c r="Z11" s="67">
        <f t="shared" si="1"/>
        <v>1</v>
      </c>
      <c r="AA11" s="67">
        <f t="shared" si="2"/>
        <v>1</v>
      </c>
      <c r="AB11" s="67">
        <f t="shared" si="3"/>
        <v>0</v>
      </c>
      <c r="AC11" s="67">
        <f t="shared" si="4"/>
        <v>1</v>
      </c>
      <c r="AD11" s="67">
        <f t="shared" si="5"/>
        <v>1</v>
      </c>
      <c r="AE11" s="68">
        <f t="shared" si="6"/>
        <v>4</v>
      </c>
      <c r="AF11" s="67">
        <f t="shared" si="7"/>
        <v>1</v>
      </c>
      <c r="AG11" s="67">
        <f t="shared" si="8"/>
        <v>1</v>
      </c>
      <c r="AH11" s="67">
        <f t="shared" si="9"/>
        <v>1</v>
      </c>
      <c r="AI11" s="67">
        <f t="shared" si="10"/>
        <v>0</v>
      </c>
      <c r="AJ11" s="67">
        <f t="shared" si="11"/>
        <v>0</v>
      </c>
      <c r="AK11" s="68">
        <f t="shared" si="12"/>
        <v>3</v>
      </c>
      <c r="AL11" s="67">
        <f t="shared" si="13"/>
        <v>0</v>
      </c>
      <c r="AM11" s="67">
        <f t="shared" si="14"/>
        <v>1</v>
      </c>
      <c r="AN11" s="67">
        <f t="shared" si="15"/>
        <v>1</v>
      </c>
      <c r="AO11" s="67">
        <f t="shared" si="16"/>
        <v>0</v>
      </c>
      <c r="AP11" s="67">
        <f t="shared" si="17"/>
        <v>1</v>
      </c>
      <c r="AQ11" s="68">
        <f t="shared" si="18"/>
        <v>3</v>
      </c>
      <c r="AR11" s="67">
        <f t="shared" si="19"/>
        <v>1</v>
      </c>
      <c r="AS11" s="67">
        <f t="shared" si="20"/>
        <v>1</v>
      </c>
      <c r="AT11" s="67">
        <f t="shared" si="21"/>
        <v>1</v>
      </c>
      <c r="AU11" s="67">
        <f t="shared" si="22"/>
        <v>1</v>
      </c>
      <c r="AV11" s="67">
        <f t="shared" si="23"/>
        <v>1</v>
      </c>
      <c r="AW11" s="68">
        <f t="shared" si="24"/>
        <v>5</v>
      </c>
      <c r="AX11" s="56"/>
      <c r="AY11" s="67">
        <f t="shared" si="25"/>
        <v>4</v>
      </c>
      <c r="AZ11" s="67">
        <f t="shared" si="26"/>
        <v>3</v>
      </c>
      <c r="BA11" s="67">
        <f t="shared" si="27"/>
        <v>3</v>
      </c>
      <c r="BB11" s="67">
        <f t="shared" si="28"/>
        <v>5</v>
      </c>
      <c r="BC11" s="30">
        <f t="shared" si="29"/>
        <v>75</v>
      </c>
    </row>
    <row r="12">
      <c r="A12" s="65">
        <f>IFERROR(__xludf.DUMMYFUNCTION("""COMPUTED_VALUE"""),45956.52644190972)</f>
        <v>45956.52644</v>
      </c>
      <c r="B12" s="69" t="str">
        <f>IFERROR(__xludf.DUMMYFUNCTION("""COMPUTED_VALUE"""),"Kamil Iskandar ")</f>
        <v>Kamil Iskandar </v>
      </c>
      <c r="C12" s="69" t="str">
        <f>IFERROR(__xludf.DUMMYFUNCTION("""COMPUTED_VALUE"""),"C250018")</f>
        <v>C250018</v>
      </c>
      <c r="D12" s="69" t="str">
        <f>IFERROR(__xludf.DUMMYFUNCTION("""COMPUTED_VALUE"""),"SMA Putra")</f>
        <v>SMA Putra</v>
      </c>
      <c r="E12" s="69" t="str">
        <f>IFERROR(__xludf.DUMMYFUNCTION("""COMPUTED_VALUE"""),"Ya")</f>
        <v>Ya</v>
      </c>
      <c r="F12" s="69" t="str">
        <f>IFERROR(__xludf.DUMMYFUNCTION("""COMPUTED_VALUE"""),"العلم")</f>
        <v>العلم</v>
      </c>
      <c r="G12" s="69" t="str">
        <f>IFERROR(__xludf.DUMMYFUNCTION("""COMPUTED_VALUE"""),"الضمة")</f>
        <v>الضمة</v>
      </c>
      <c r="H12" s="69" t="str">
        <f>IFERROR(__xludf.DUMMYFUNCTION("""COMPUTED_VALUE"""),"مفعول به منصوب")</f>
        <v>مفعول به منصوب</v>
      </c>
      <c r="I12" s="69" t="str">
        <f>IFERROR(__xludf.DUMMYFUNCTION("""COMPUTED_VALUE"""),"سافر المعلم")</f>
        <v>سافر المعلم</v>
      </c>
      <c r="J12" s="69" t="str">
        <f>IFERROR(__xludf.DUMMYFUNCTION("""COMPUTED_VALUE"""),"دخول الباء عليها")</f>
        <v>دخول الباء عليها</v>
      </c>
      <c r="K12" s="69" t="str">
        <f>IFERROR(__xludf.DUMMYFUNCTION("""COMPUTED_VALUE"""),"(1) dan (3)")</f>
        <v>(1) dan (3)</v>
      </c>
      <c r="L12" s="69" t="str">
        <f>IFERROR(__xludf.DUMMYFUNCTION("""COMPUTED_VALUE"""),"Bumi ini akan indah jika pohon tidak ditebang.")</f>
        <v>Bumi ini akan indah jika pohon tidak ditebang.</v>
      </c>
      <c r="M12" s="69" t="str">
        <f>IFERROR(__xludf.DUMMYFUNCTION("""COMPUTED_VALUE"""),"mengaji menyegarkan jiwa")</f>
        <v>mengaji menyegarkan jiwa</v>
      </c>
      <c r="N12" s="69" t="str">
        <f>IFERROR(__xludf.DUMMYFUNCTION("""COMPUTED_VALUE"""),"suasana malam hari yang sangat sunyi karena sebentar lagi akan turun hujan yang lebat")</f>
        <v>suasana malam hari yang sangat sunyi karena sebentar lagi akan turun hujan yang lebat</v>
      </c>
      <c r="O12" s="69" t="str">
        <f>IFERROR(__xludf.DUMMYFUNCTION("""COMPUTED_VALUE"""),"usaha yang dilakukan sendiri")</f>
        <v>usaha yang dilakukan sendiri</v>
      </c>
      <c r="P12" s="69" t="str">
        <f>IFERROR(__xludf.DUMMYFUNCTION("""COMPUTED_VALUE"""),"H2O dan O2")</f>
        <v>H2O dan O2</v>
      </c>
      <c r="Q12" s="69" t="str">
        <f>IFERROR(__xludf.DUMMYFUNCTION("""COMPUTED_VALUE"""),"Bergerak")</f>
        <v>Bergerak</v>
      </c>
      <c r="R12" s="69" t="str">
        <f>IFERROR(__xludf.DUMMYFUNCTION("""COMPUTED_VALUE"""),"Oksigen")</f>
        <v>Oksigen</v>
      </c>
      <c r="S12" s="69" t="str">
        <f>IFERROR(__xludf.DUMMYFUNCTION("""COMPUTED_VALUE"""),"A, B,D, dan E")</f>
        <v>A, B,D, dan E</v>
      </c>
      <c r="T12" s="69" t="str">
        <f>IFERROR(__xludf.DUMMYFUNCTION("""COMPUTED_VALUE"""),"Alat pengangkut dan pengatur suhu tubuh")</f>
        <v>Alat pengangkut dan pengatur suhu tubuh</v>
      </c>
      <c r="U12" s="69">
        <f>IFERROR(__xludf.DUMMYFUNCTION("""COMPUTED_VALUE"""),100.0)</f>
        <v>100</v>
      </c>
      <c r="V12" s="69">
        <f>IFERROR(__xludf.DUMMYFUNCTION("""COMPUTED_VALUE"""),11.0)</f>
        <v>11</v>
      </c>
      <c r="W12" s="70">
        <f>IFERROR(__xludf.DUMMYFUNCTION("""COMPUTED_VALUE"""),16000.0)</f>
        <v>16000</v>
      </c>
      <c r="X12" s="69">
        <f>IFERROR(__xludf.DUMMYFUNCTION("""COMPUTED_VALUE"""),17.0)</f>
        <v>17</v>
      </c>
      <c r="Y12" s="69">
        <f>IFERROR(__xludf.DUMMYFUNCTION("""COMPUTED_VALUE"""),210.0)</f>
        <v>210</v>
      </c>
      <c r="Z12" s="67">
        <f t="shared" si="1"/>
        <v>1</v>
      </c>
      <c r="AA12" s="67">
        <f t="shared" si="2"/>
        <v>1</v>
      </c>
      <c r="AB12" s="67">
        <f t="shared" si="3"/>
        <v>0</v>
      </c>
      <c r="AC12" s="67">
        <f t="shared" si="4"/>
        <v>0</v>
      </c>
      <c r="AD12" s="67">
        <f t="shared" si="5"/>
        <v>1</v>
      </c>
      <c r="AE12" s="68">
        <f t="shared" si="6"/>
        <v>3</v>
      </c>
      <c r="AF12" s="67">
        <f t="shared" si="7"/>
        <v>0</v>
      </c>
      <c r="AG12" s="67">
        <f t="shared" si="8"/>
        <v>0</v>
      </c>
      <c r="AH12" s="67">
        <f t="shared" si="9"/>
        <v>0</v>
      </c>
      <c r="AI12" s="67">
        <f t="shared" si="10"/>
        <v>0</v>
      </c>
      <c r="AJ12" s="67">
        <f t="shared" si="11"/>
        <v>0</v>
      </c>
      <c r="AK12" s="68">
        <f t="shared" si="12"/>
        <v>0</v>
      </c>
      <c r="AL12" s="67">
        <f t="shared" si="13"/>
        <v>0</v>
      </c>
      <c r="AM12" s="67">
        <f t="shared" si="14"/>
        <v>0</v>
      </c>
      <c r="AN12" s="67">
        <f t="shared" si="15"/>
        <v>0</v>
      </c>
      <c r="AO12" s="67">
        <f t="shared" si="16"/>
        <v>0</v>
      </c>
      <c r="AP12" s="67">
        <f t="shared" si="17"/>
        <v>1</v>
      </c>
      <c r="AQ12" s="68">
        <f t="shared" si="18"/>
        <v>1</v>
      </c>
      <c r="AR12" s="67">
        <f t="shared" si="19"/>
        <v>0</v>
      </c>
      <c r="AS12" s="67">
        <f t="shared" si="20"/>
        <v>0</v>
      </c>
      <c r="AT12" s="67">
        <f t="shared" si="21"/>
        <v>0</v>
      </c>
      <c r="AU12" s="67">
        <f t="shared" si="22"/>
        <v>0</v>
      </c>
      <c r="AV12" s="67">
        <f t="shared" si="23"/>
        <v>1</v>
      </c>
      <c r="AW12" s="68">
        <f t="shared" si="24"/>
        <v>1</v>
      </c>
      <c r="AX12" s="56"/>
      <c r="AY12" s="67">
        <f t="shared" si="25"/>
        <v>3</v>
      </c>
      <c r="AZ12" s="67">
        <f t="shared" si="26"/>
        <v>0</v>
      </c>
      <c r="BA12" s="67">
        <f t="shared" si="27"/>
        <v>1</v>
      </c>
      <c r="BB12" s="67">
        <f t="shared" si="28"/>
        <v>1</v>
      </c>
      <c r="BC12" s="30">
        <f t="shared" si="29"/>
        <v>25</v>
      </c>
    </row>
    <row r="13">
      <c r="A13" s="65">
        <f>IFERROR(__xludf.DUMMYFUNCTION("""COMPUTED_VALUE"""),45958.32025106481)</f>
        <v>45958.32025</v>
      </c>
      <c r="B13" s="69" t="str">
        <f>IFERROR(__xludf.DUMMYFUNCTION("""COMPUTED_VALUE"""),"Muhammad irsyad")</f>
        <v>Muhammad irsyad</v>
      </c>
      <c r="C13" s="69" t="str">
        <f>IFERROR(__xludf.DUMMYFUNCTION("""COMPUTED_VALUE"""),"C250023")</f>
        <v>C250023</v>
      </c>
      <c r="D13" s="69" t="str">
        <f>IFERROR(__xludf.DUMMYFUNCTION("""COMPUTED_VALUE"""),"SMA Putra")</f>
        <v>SMA Putra</v>
      </c>
      <c r="E13" s="69" t="str">
        <f>IFERROR(__xludf.DUMMYFUNCTION("""COMPUTED_VALUE"""),"Ya")</f>
        <v>Ya</v>
      </c>
      <c r="F13" s="69" t="str">
        <f>IFERROR(__xludf.DUMMYFUNCTION("""COMPUTED_VALUE"""),"العلم")</f>
        <v>العلم</v>
      </c>
      <c r="G13" s="69" t="str">
        <f>IFERROR(__xludf.DUMMYFUNCTION("""COMPUTED_VALUE"""),"الضمة")</f>
        <v>الضمة</v>
      </c>
      <c r="H13" s="69" t="str">
        <f>IFERROR(__xludf.DUMMYFUNCTION("""COMPUTED_VALUE"""),"مفعول به منصوب")</f>
        <v>مفعول به منصوب</v>
      </c>
      <c r="I13" s="69" t="str">
        <f>IFERROR(__xludf.DUMMYFUNCTION("""COMPUTED_VALUE"""),"الطالب مجتهد")</f>
        <v>الطالب مجتهد</v>
      </c>
      <c r="J13" s="69" t="str">
        <f>IFERROR(__xludf.DUMMYFUNCTION("""COMPUTED_VALUE"""),"دخول الباء عليها")</f>
        <v>دخول الباء عليها</v>
      </c>
      <c r="K13" s="69" t="str">
        <f>IFERROR(__xludf.DUMMYFUNCTION("""COMPUTED_VALUE"""),"(1) dan (4)")</f>
        <v>(1) dan (4)</v>
      </c>
      <c r="L13" s="69" t="str">
        <f>IFERROR(__xludf.DUMMYFUNCTION("""COMPUTED_VALUE"""),"Satu pohon yang kita tanam sangat bermanfaat bagi masa depan bumi dan manusia.")</f>
        <v>Satu pohon yang kita tanam sangat bermanfaat bagi masa depan bumi dan manusia.</v>
      </c>
      <c r="M13" s="69" t="str">
        <f>IFERROR(__xludf.DUMMYFUNCTION("""COMPUTED_VALUE"""),"mengaji seperti jantung")</f>
        <v>mengaji seperti jantung</v>
      </c>
      <c r="N13"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13" s="69" t="str">
        <f>IFERROR(__xludf.DUMMYFUNCTION("""COMPUTED_VALUE"""),"jalan usaha")</f>
        <v>jalan usaha</v>
      </c>
      <c r="P13" s="69" t="str">
        <f>IFERROR(__xludf.DUMMYFUNCTION("""COMPUTED_VALUE"""),"C6H12O6 dan O2")</f>
        <v>C6H12O6 dan O2</v>
      </c>
      <c r="Q13" s="69" t="str">
        <f>IFERROR(__xludf.DUMMYFUNCTION("""COMPUTED_VALUE"""),"Fotosintesis")</f>
        <v>Fotosintesis</v>
      </c>
      <c r="R13" s="69" t="str">
        <f>IFERROR(__xludf.DUMMYFUNCTION("""COMPUTED_VALUE"""),"Uap air")</f>
        <v>Uap air</v>
      </c>
      <c r="S13" s="69" t="str">
        <f>IFERROR(__xludf.DUMMYFUNCTION("""COMPUTED_VALUE"""),"A, B, C, dan D")</f>
        <v>A, B, C, dan D</v>
      </c>
      <c r="T13" s="69" t="str">
        <f>IFERROR(__xludf.DUMMYFUNCTION("""COMPUTED_VALUE"""),"Pengatur suhu tubuh dan sumber energi")</f>
        <v>Pengatur suhu tubuh dan sumber energi</v>
      </c>
      <c r="U13" s="69">
        <f>IFERROR(__xludf.DUMMYFUNCTION("""COMPUTED_VALUE"""),85.0)</f>
        <v>85</v>
      </c>
      <c r="V13" s="69">
        <f>IFERROR(__xludf.DUMMYFUNCTION("""COMPUTED_VALUE"""),11.0)</f>
        <v>11</v>
      </c>
      <c r="W13" s="70">
        <f>IFERROR(__xludf.DUMMYFUNCTION("""COMPUTED_VALUE"""),15000.0)</f>
        <v>15000</v>
      </c>
      <c r="X13" s="69">
        <f>IFERROR(__xludf.DUMMYFUNCTION("""COMPUTED_VALUE"""),28.0)</f>
        <v>28</v>
      </c>
      <c r="Y13" s="69">
        <f>IFERROR(__xludf.DUMMYFUNCTION("""COMPUTED_VALUE"""),210.0)</f>
        <v>210</v>
      </c>
      <c r="Z13" s="67">
        <f t="shared" si="1"/>
        <v>1</v>
      </c>
      <c r="AA13" s="67">
        <f t="shared" si="2"/>
        <v>1</v>
      </c>
      <c r="AB13" s="67">
        <f t="shared" si="3"/>
        <v>0</v>
      </c>
      <c r="AC13" s="67">
        <f t="shared" si="4"/>
        <v>1</v>
      </c>
      <c r="AD13" s="67">
        <f t="shared" si="5"/>
        <v>1</v>
      </c>
      <c r="AE13" s="68">
        <f t="shared" si="6"/>
        <v>4</v>
      </c>
      <c r="AF13" s="67">
        <f t="shared" si="7"/>
        <v>1</v>
      </c>
      <c r="AG13" s="67">
        <f t="shared" si="8"/>
        <v>1</v>
      </c>
      <c r="AH13" s="67">
        <f t="shared" si="9"/>
        <v>1</v>
      </c>
      <c r="AI13" s="67">
        <f t="shared" si="10"/>
        <v>0</v>
      </c>
      <c r="AJ13" s="67">
        <f t="shared" si="11"/>
        <v>0</v>
      </c>
      <c r="AK13" s="68">
        <f t="shared" si="12"/>
        <v>3</v>
      </c>
      <c r="AL13" s="67">
        <f t="shared" si="13"/>
        <v>1</v>
      </c>
      <c r="AM13" s="67">
        <f t="shared" si="14"/>
        <v>1</v>
      </c>
      <c r="AN13" s="67">
        <f t="shared" si="15"/>
        <v>1</v>
      </c>
      <c r="AO13" s="67">
        <f t="shared" si="16"/>
        <v>0</v>
      </c>
      <c r="AP13" s="67">
        <f t="shared" si="17"/>
        <v>0</v>
      </c>
      <c r="AQ13" s="68">
        <f t="shared" si="18"/>
        <v>3</v>
      </c>
      <c r="AR13" s="67">
        <f t="shared" si="19"/>
        <v>1</v>
      </c>
      <c r="AS13" s="67">
        <f t="shared" si="20"/>
        <v>0</v>
      </c>
      <c r="AT13" s="67">
        <f t="shared" si="21"/>
        <v>0</v>
      </c>
      <c r="AU13" s="67">
        <f t="shared" si="22"/>
        <v>0</v>
      </c>
      <c r="AV13" s="67">
        <f t="shared" si="23"/>
        <v>1</v>
      </c>
      <c r="AW13" s="68">
        <f t="shared" si="24"/>
        <v>2</v>
      </c>
      <c r="AX13" s="56"/>
      <c r="AY13" s="67">
        <f t="shared" si="25"/>
        <v>4</v>
      </c>
      <c r="AZ13" s="67">
        <f t="shared" si="26"/>
        <v>3</v>
      </c>
      <c r="BA13" s="67">
        <f t="shared" si="27"/>
        <v>3</v>
      </c>
      <c r="BB13" s="67">
        <f t="shared" si="28"/>
        <v>2</v>
      </c>
      <c r="BC13" s="30">
        <f t="shared" si="29"/>
        <v>60</v>
      </c>
    </row>
    <row r="14">
      <c r="A14" s="65">
        <f>IFERROR(__xludf.DUMMYFUNCTION("""COMPUTED_VALUE"""),45961.60625783565)</f>
        <v>45961.60626</v>
      </c>
      <c r="B14" s="69" t="str">
        <f>IFERROR(__xludf.DUMMYFUNCTION("""COMPUTED_VALUE"""),"MUHAMMAD HILMAN ALFARISI ")</f>
        <v>MUHAMMAD HILMAN ALFARISI </v>
      </c>
      <c r="C14" s="69" t="str">
        <f>IFERROR(__xludf.DUMMYFUNCTION("""COMPUTED_VALUE"""),"C250010")</f>
        <v>C250010</v>
      </c>
      <c r="D14" s="69" t="str">
        <f>IFERROR(__xludf.DUMMYFUNCTION("""COMPUTED_VALUE"""),"SMA Putra")</f>
        <v>SMA Putra</v>
      </c>
      <c r="E14" s="69" t="str">
        <f>IFERROR(__xludf.DUMMYFUNCTION("""COMPUTED_VALUE"""),"Ya")</f>
        <v>Ya</v>
      </c>
      <c r="F14" s="69" t="str">
        <f>IFERROR(__xludf.DUMMYFUNCTION("""COMPUTED_VALUE"""),"العلم")</f>
        <v>العلم</v>
      </c>
      <c r="G14" s="69" t="str">
        <f>IFERROR(__xludf.DUMMYFUNCTION("""COMPUTED_VALUE"""),"الكسرة")</f>
        <v>الكسرة</v>
      </c>
      <c r="H14" s="69" t="str">
        <f>IFERROR(__xludf.DUMMYFUNCTION("""COMPUTED_VALUE"""),"مفعول به منصوب")</f>
        <v>مفعول به منصوب</v>
      </c>
      <c r="I14" s="69" t="str">
        <f>IFERROR(__xludf.DUMMYFUNCTION("""COMPUTED_VALUE"""),"الطالب مجتهد")</f>
        <v>الطالب مجتهد</v>
      </c>
      <c r="J14" s="69" t="str">
        <f>IFERROR(__xludf.DUMMYFUNCTION("""COMPUTED_VALUE"""),"كونها مفعولا به")</f>
        <v>كونها مفعولا به</v>
      </c>
      <c r="K14" s="69" t="str">
        <f>IFERROR(__xludf.DUMMYFUNCTION("""COMPUTED_VALUE"""),"(1) dan (4)")</f>
        <v>(1) dan (4)</v>
      </c>
      <c r="L14" s="69" t="str">
        <f>IFERROR(__xludf.DUMMYFUNCTION("""COMPUTED_VALUE"""),"Satu pohon yang kita tanam sangat bermanfaat bagi masa depan bumi dan manusia.")</f>
        <v>Satu pohon yang kita tanam sangat bermanfaat bagi masa depan bumi dan manusia.</v>
      </c>
      <c r="M14" s="69" t="str">
        <f>IFERROR(__xludf.DUMMYFUNCTION("""COMPUTED_VALUE"""),"Opsi 4")</f>
        <v>Opsi 4</v>
      </c>
      <c r="N14"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14" s="69" t="str">
        <f>IFERROR(__xludf.DUMMYFUNCTION("""COMPUTED_VALUE"""),"usaha yang dilakukan sendiri")</f>
        <v>usaha yang dilakukan sendiri</v>
      </c>
      <c r="P14" s="69" t="str">
        <f>IFERROR(__xludf.DUMMYFUNCTION("""COMPUTED_VALUE"""),"C6H12O6 dan O2")</f>
        <v>C6H12O6 dan O2</v>
      </c>
      <c r="Q14" s="69" t="str">
        <f>IFERROR(__xludf.DUMMYFUNCTION("""COMPUTED_VALUE"""),"Fotosintesis")</f>
        <v>Fotosintesis</v>
      </c>
      <c r="R14" s="69" t="str">
        <f>IFERROR(__xludf.DUMMYFUNCTION("""COMPUTED_VALUE"""),"Uap air")</f>
        <v>Uap air</v>
      </c>
      <c r="S14" s="69" t="str">
        <f>IFERROR(__xludf.DUMMYFUNCTION("""COMPUTED_VALUE"""),"A, D, E, dan K")</f>
        <v>A, D, E, dan K</v>
      </c>
      <c r="T14" s="69" t="str">
        <f>IFERROR(__xludf.DUMMYFUNCTION("""COMPUTED_VALUE"""),"Menentralkan racun dan sumber energi")</f>
        <v>Menentralkan racun dan sumber energi</v>
      </c>
      <c r="U14" s="69">
        <f>IFERROR(__xludf.DUMMYFUNCTION("""COMPUTED_VALUE"""),85.0)</f>
        <v>85</v>
      </c>
      <c r="V14" s="69">
        <f>IFERROR(__xludf.DUMMYFUNCTION("""COMPUTED_VALUE"""),13.0)</f>
        <v>13</v>
      </c>
      <c r="W14" s="70">
        <f>IFERROR(__xludf.DUMMYFUNCTION("""COMPUTED_VALUE"""),15000.0)</f>
        <v>15000</v>
      </c>
      <c r="X14" s="69">
        <f>IFERROR(__xludf.DUMMYFUNCTION("""COMPUTED_VALUE"""),36.0)</f>
        <v>36</v>
      </c>
      <c r="Y14" s="69">
        <f>IFERROR(__xludf.DUMMYFUNCTION("""COMPUTED_VALUE"""),140.0)</f>
        <v>140</v>
      </c>
      <c r="Z14" s="67">
        <f t="shared" si="1"/>
        <v>1</v>
      </c>
      <c r="AA14" s="67">
        <f t="shared" si="2"/>
        <v>0</v>
      </c>
      <c r="AB14" s="67">
        <f t="shared" si="3"/>
        <v>0</v>
      </c>
      <c r="AC14" s="67">
        <f t="shared" si="4"/>
        <v>1</v>
      </c>
      <c r="AD14" s="67">
        <f t="shared" si="5"/>
        <v>0</v>
      </c>
      <c r="AE14" s="68">
        <f t="shared" si="6"/>
        <v>2</v>
      </c>
      <c r="AF14" s="67">
        <f t="shared" si="7"/>
        <v>1</v>
      </c>
      <c r="AG14" s="67">
        <f t="shared" si="8"/>
        <v>1</v>
      </c>
      <c r="AH14" s="67">
        <f t="shared" si="9"/>
        <v>0</v>
      </c>
      <c r="AI14" s="67">
        <f t="shared" si="10"/>
        <v>0</v>
      </c>
      <c r="AJ14" s="67">
        <f t="shared" si="11"/>
        <v>0</v>
      </c>
      <c r="AK14" s="68">
        <f t="shared" si="12"/>
        <v>2</v>
      </c>
      <c r="AL14" s="67">
        <f t="shared" si="13"/>
        <v>1</v>
      </c>
      <c r="AM14" s="67">
        <f t="shared" si="14"/>
        <v>1</v>
      </c>
      <c r="AN14" s="67">
        <f t="shared" si="15"/>
        <v>1</v>
      </c>
      <c r="AO14" s="67">
        <f t="shared" si="16"/>
        <v>1</v>
      </c>
      <c r="AP14" s="67">
        <f t="shared" si="17"/>
        <v>0</v>
      </c>
      <c r="AQ14" s="68">
        <f t="shared" si="18"/>
        <v>4</v>
      </c>
      <c r="AR14" s="67">
        <f t="shared" si="19"/>
        <v>1</v>
      </c>
      <c r="AS14" s="67">
        <f t="shared" si="20"/>
        <v>1</v>
      </c>
      <c r="AT14" s="67">
        <f t="shared" si="21"/>
        <v>0</v>
      </c>
      <c r="AU14" s="67">
        <f t="shared" si="22"/>
        <v>0</v>
      </c>
      <c r="AV14" s="67">
        <f t="shared" si="23"/>
        <v>0</v>
      </c>
      <c r="AW14" s="68">
        <f t="shared" si="24"/>
        <v>2</v>
      </c>
      <c r="AX14" s="56"/>
      <c r="AY14" s="67">
        <f t="shared" si="25"/>
        <v>2</v>
      </c>
      <c r="AZ14" s="67">
        <f t="shared" si="26"/>
        <v>2</v>
      </c>
      <c r="BA14" s="67">
        <f t="shared" si="27"/>
        <v>4</v>
      </c>
      <c r="BB14" s="67">
        <f t="shared" si="28"/>
        <v>2</v>
      </c>
      <c r="BC14" s="30">
        <f t="shared" si="29"/>
        <v>50</v>
      </c>
    </row>
    <row r="15">
      <c r="A15" s="65">
        <f>IFERROR(__xludf.DUMMYFUNCTION("""COMPUTED_VALUE"""),45963.32543133102)</f>
        <v>45963.32543</v>
      </c>
      <c r="B15" s="69" t="str">
        <f>IFERROR(__xludf.DUMMYFUNCTION("""COMPUTED_VALUE"""),"Fadlan waldi zamzami")</f>
        <v>Fadlan waldi zamzami</v>
      </c>
      <c r="C15" s="69" t="str">
        <f>IFERROR(__xludf.DUMMYFUNCTION("""COMPUTED_VALUE"""),"C250005")</f>
        <v>C250005</v>
      </c>
      <c r="D15" s="69" t="str">
        <f>IFERROR(__xludf.DUMMYFUNCTION("""COMPUTED_VALUE"""),"SMA Putra")</f>
        <v>SMA Putra</v>
      </c>
      <c r="E15" s="69" t="str">
        <f>IFERROR(__xludf.DUMMYFUNCTION("""COMPUTED_VALUE"""),"Ya")</f>
        <v>Ya</v>
      </c>
      <c r="F15" s="69" t="str">
        <f>IFERROR(__xludf.DUMMYFUNCTION("""COMPUTED_VALUE"""),"العلم")</f>
        <v>العلم</v>
      </c>
      <c r="G15" s="69" t="str">
        <f>IFERROR(__xludf.DUMMYFUNCTION("""COMPUTED_VALUE"""),"الضمة")</f>
        <v>الضمة</v>
      </c>
      <c r="H15" s="69" t="str">
        <f>IFERROR(__xludf.DUMMYFUNCTION("""COMPUTED_VALUE"""),"اسم مجرور")</f>
        <v>اسم مجرور</v>
      </c>
      <c r="I15" s="69" t="str">
        <f>IFERROR(__xludf.DUMMYFUNCTION("""COMPUTED_VALUE"""),"الطالب مجتهد")</f>
        <v>الطالب مجتهد</v>
      </c>
      <c r="J15" s="69" t="str">
        <f>IFERROR(__xludf.DUMMYFUNCTION("""COMPUTED_VALUE"""),"دخول الباء عليها")</f>
        <v>دخول الباء عليها</v>
      </c>
      <c r="K15" s="69" t="str">
        <f>IFERROR(__xludf.DUMMYFUNCTION("""COMPUTED_VALUE"""),"(1) dan (3)")</f>
        <v>(1) dan (3)</v>
      </c>
      <c r="L15" s="69" t="str">
        <f>IFERROR(__xludf.DUMMYFUNCTION("""COMPUTED_VALUE"""),"Satu pohon yang kita tanam sangat bermanfaat bagi masa depan bumi dan manusia.")</f>
        <v>Satu pohon yang kita tanam sangat bermanfaat bagi masa depan bumi dan manusia.</v>
      </c>
      <c r="M15" s="69" t="str">
        <f>IFERROR(__xludf.DUMMYFUNCTION("""COMPUTED_VALUE"""),"mengaji menyegarkan jiwa")</f>
        <v>mengaji menyegarkan jiwa</v>
      </c>
      <c r="N15"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15" s="69" t="str">
        <f>IFERROR(__xludf.DUMMYFUNCTION("""COMPUTED_VALUE"""),"usaha yang mula-mula sekali")</f>
        <v>usaha yang mula-mula sekali</v>
      </c>
      <c r="P15" s="69" t="str">
        <f>IFERROR(__xludf.DUMMYFUNCTION("""COMPUTED_VALUE"""),"CO2 dan H2O")</f>
        <v>CO2 dan H2O</v>
      </c>
      <c r="Q15" s="69" t="str">
        <f>IFERROR(__xludf.DUMMYFUNCTION("""COMPUTED_VALUE"""),"Fotosintesis")</f>
        <v>Fotosintesis</v>
      </c>
      <c r="R15" s="69" t="str">
        <f>IFERROR(__xludf.DUMMYFUNCTION("""COMPUTED_VALUE"""),"Uap air")</f>
        <v>Uap air</v>
      </c>
      <c r="S15" s="69" t="str">
        <f>IFERROR(__xludf.DUMMYFUNCTION("""COMPUTED_VALUE"""),"A, C, B, dan E")</f>
        <v>A, C, B, dan E</v>
      </c>
      <c r="T15" s="69" t="str">
        <f>IFERROR(__xludf.DUMMYFUNCTION("""COMPUTED_VALUE"""),"Alat pengangkut dan pengatur suhu tubuh")</f>
        <v>Alat pengangkut dan pengatur suhu tubuh</v>
      </c>
      <c r="U15" s="69">
        <f>IFERROR(__xludf.DUMMYFUNCTION("""COMPUTED_VALUE"""),96.0)</f>
        <v>96</v>
      </c>
      <c r="V15" s="69">
        <f>IFERROR(__xludf.DUMMYFUNCTION("""COMPUTED_VALUE"""),11.0)</f>
        <v>11</v>
      </c>
      <c r="W15" s="70">
        <f>IFERROR(__xludf.DUMMYFUNCTION("""COMPUTED_VALUE"""),17000.0)</f>
        <v>17000</v>
      </c>
      <c r="X15" s="69">
        <f>IFERROR(__xludf.DUMMYFUNCTION("""COMPUTED_VALUE"""),17.0)</f>
        <v>17</v>
      </c>
      <c r="Y15" s="69">
        <f>IFERROR(__xludf.DUMMYFUNCTION("""COMPUTED_VALUE"""),210.0)</f>
        <v>210</v>
      </c>
      <c r="Z15" s="67">
        <f t="shared" si="1"/>
        <v>1</v>
      </c>
      <c r="AA15" s="67">
        <f t="shared" si="2"/>
        <v>1</v>
      </c>
      <c r="AB15" s="67">
        <f t="shared" si="3"/>
        <v>1</v>
      </c>
      <c r="AC15" s="67">
        <f t="shared" si="4"/>
        <v>1</v>
      </c>
      <c r="AD15" s="67">
        <f t="shared" si="5"/>
        <v>1</v>
      </c>
      <c r="AE15" s="68">
        <f t="shared" si="6"/>
        <v>5</v>
      </c>
      <c r="AF15" s="67">
        <f t="shared" si="7"/>
        <v>0</v>
      </c>
      <c r="AG15" s="67">
        <f t="shared" si="8"/>
        <v>1</v>
      </c>
      <c r="AH15" s="67">
        <f t="shared" si="9"/>
        <v>0</v>
      </c>
      <c r="AI15" s="67">
        <f t="shared" si="10"/>
        <v>0</v>
      </c>
      <c r="AJ15" s="67">
        <f t="shared" si="11"/>
        <v>1</v>
      </c>
      <c r="AK15" s="68">
        <f t="shared" si="12"/>
        <v>2</v>
      </c>
      <c r="AL15" s="67">
        <f t="shared" si="13"/>
        <v>0</v>
      </c>
      <c r="AM15" s="67">
        <f t="shared" si="14"/>
        <v>1</v>
      </c>
      <c r="AN15" s="67">
        <f t="shared" si="15"/>
        <v>1</v>
      </c>
      <c r="AO15" s="67">
        <f t="shared" si="16"/>
        <v>0</v>
      </c>
      <c r="AP15" s="67">
        <f t="shared" si="17"/>
        <v>1</v>
      </c>
      <c r="AQ15" s="68">
        <f t="shared" si="18"/>
        <v>3</v>
      </c>
      <c r="AR15" s="67">
        <f t="shared" si="19"/>
        <v>0</v>
      </c>
      <c r="AS15" s="67">
        <f t="shared" si="20"/>
        <v>0</v>
      </c>
      <c r="AT15" s="67">
        <f t="shared" si="21"/>
        <v>1</v>
      </c>
      <c r="AU15" s="67">
        <f t="shared" si="22"/>
        <v>0</v>
      </c>
      <c r="AV15" s="67">
        <f t="shared" si="23"/>
        <v>1</v>
      </c>
      <c r="AW15" s="68">
        <f t="shared" si="24"/>
        <v>2</v>
      </c>
      <c r="AX15" s="56"/>
      <c r="AY15" s="67">
        <f t="shared" si="25"/>
        <v>5</v>
      </c>
      <c r="AZ15" s="67">
        <f t="shared" si="26"/>
        <v>2</v>
      </c>
      <c r="BA15" s="67">
        <f t="shared" si="27"/>
        <v>3</v>
      </c>
      <c r="BB15" s="67">
        <f t="shared" si="28"/>
        <v>2</v>
      </c>
      <c r="BC15" s="30">
        <f t="shared" si="29"/>
        <v>60</v>
      </c>
    </row>
    <row r="16">
      <c r="A16" s="65">
        <f>IFERROR(__xludf.DUMMYFUNCTION("""COMPUTED_VALUE"""),45967.74372381944)</f>
        <v>45967.74372</v>
      </c>
      <c r="B16" s="69" t="str">
        <f>IFERROR(__xludf.DUMMYFUNCTION("""COMPUTED_VALUE"""),"Naisya Tazqia Qolbi ")</f>
        <v>Naisya Tazqia Qolbi </v>
      </c>
      <c r="C16" s="69" t="str">
        <f>IFERROR(__xludf.DUMMYFUNCTION("""COMPUTED_VALUE"""),"F250001")</f>
        <v>F250001</v>
      </c>
      <c r="D16" s="69" t="str">
        <f>IFERROR(__xludf.DUMMYFUNCTION("""COMPUTED_VALUE"""),"SMA Putra")</f>
        <v>SMA Putra</v>
      </c>
      <c r="E16" s="69" t="str">
        <f>IFERROR(__xludf.DUMMYFUNCTION("""COMPUTED_VALUE"""),"Ya")</f>
        <v>Ya</v>
      </c>
      <c r="F16" s="69" t="str">
        <f>IFERROR(__xludf.DUMMYFUNCTION("""COMPUTED_VALUE"""),"العلم")</f>
        <v>العلم</v>
      </c>
      <c r="G16" s="69" t="str">
        <f>IFERROR(__xludf.DUMMYFUNCTION("""COMPUTED_VALUE"""),"الضمة")</f>
        <v>الضمة</v>
      </c>
      <c r="H16" s="69" t="str">
        <f>IFERROR(__xludf.DUMMYFUNCTION("""COMPUTED_VALUE"""),"مفعول به منصوب")</f>
        <v>مفعول به منصوب</v>
      </c>
      <c r="I16" s="69" t="str">
        <f>IFERROR(__xludf.DUMMYFUNCTION("""COMPUTED_VALUE"""),"الطالب مجتهد")</f>
        <v>الطالب مجتهد</v>
      </c>
      <c r="J16" s="69" t="str">
        <f>IFERROR(__xludf.DUMMYFUNCTION("""COMPUTED_VALUE"""),"دخول الباء عليها")</f>
        <v>دخول الباء عليها</v>
      </c>
      <c r="K16" s="69">
        <f>IFERROR(__xludf.DUMMYFUNCTION("""COMPUTED_VALUE"""),-1.0)</f>
        <v>-1</v>
      </c>
      <c r="L16" s="69" t="str">
        <f>IFERROR(__xludf.DUMMYFUNCTION("""COMPUTED_VALUE"""),"Satu pohon yang kita tanam sangat bermanfaat bagi masa depan bumi dan manusia.")</f>
        <v>Satu pohon yang kita tanam sangat bermanfaat bagi masa depan bumi dan manusia.</v>
      </c>
      <c r="M16" s="69" t="str">
        <f>IFERROR(__xludf.DUMMYFUNCTION("""COMPUTED_VALUE"""),"mengaji menyegarkan jiwa")</f>
        <v>mengaji menyegarkan jiwa</v>
      </c>
      <c r="N16"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16" s="69" t="str">
        <f>IFERROR(__xludf.DUMMYFUNCTION("""COMPUTED_VALUE"""),"jalan usaha")</f>
        <v>jalan usaha</v>
      </c>
      <c r="P16" s="69" t="str">
        <f>IFERROR(__xludf.DUMMYFUNCTION("""COMPUTED_VALUE"""),"CO2 dan H2O")</f>
        <v>CO2 dan H2O</v>
      </c>
      <c r="Q16" s="69" t="str">
        <f>IFERROR(__xludf.DUMMYFUNCTION("""COMPUTED_VALUE"""),"Fotosintesis")</f>
        <v>Fotosintesis</v>
      </c>
      <c r="R16" s="69" t="str">
        <f>IFERROR(__xludf.DUMMYFUNCTION("""COMPUTED_VALUE"""),"Uap air")</f>
        <v>Uap air</v>
      </c>
      <c r="S16" s="69" t="str">
        <f>IFERROR(__xludf.DUMMYFUNCTION("""COMPUTED_VALUE"""),"A, B, C, dan D")</f>
        <v>A, B, C, dan D</v>
      </c>
      <c r="T16" s="69" t="str">
        <f>IFERROR(__xludf.DUMMYFUNCTION("""COMPUTED_VALUE"""),"Sumber energi dan menetralkan racun")</f>
        <v>Sumber energi dan menetralkan racun</v>
      </c>
      <c r="U16" s="69">
        <f>IFERROR(__xludf.DUMMYFUNCTION("""COMPUTED_VALUE"""),88.0)</f>
        <v>88</v>
      </c>
      <c r="V16" s="69">
        <f>IFERROR(__xludf.DUMMYFUNCTION("""COMPUTED_VALUE"""),7.0)</f>
        <v>7</v>
      </c>
      <c r="W16" s="70">
        <f>IFERROR(__xludf.DUMMYFUNCTION("""COMPUTED_VALUE"""),18000.0)</f>
        <v>18000</v>
      </c>
      <c r="X16" s="69">
        <f>IFERROR(__xludf.DUMMYFUNCTION("""COMPUTED_VALUE"""),23.0)</f>
        <v>23</v>
      </c>
      <c r="Y16" s="69">
        <f>IFERROR(__xludf.DUMMYFUNCTION("""COMPUTED_VALUE"""),210.0)</f>
        <v>210</v>
      </c>
      <c r="Z16" s="67">
        <f t="shared" si="1"/>
        <v>1</v>
      </c>
      <c r="AA16" s="67">
        <f t="shared" si="2"/>
        <v>1</v>
      </c>
      <c r="AB16" s="67">
        <f t="shared" si="3"/>
        <v>0</v>
      </c>
      <c r="AC16" s="67">
        <f t="shared" si="4"/>
        <v>1</v>
      </c>
      <c r="AD16" s="67">
        <f t="shared" si="5"/>
        <v>1</v>
      </c>
      <c r="AE16" s="68">
        <f t="shared" si="6"/>
        <v>4</v>
      </c>
      <c r="AF16" s="67">
        <f t="shared" si="7"/>
        <v>0</v>
      </c>
      <c r="AG16" s="67">
        <f t="shared" si="8"/>
        <v>1</v>
      </c>
      <c r="AH16" s="67">
        <f t="shared" si="9"/>
        <v>0</v>
      </c>
      <c r="AI16" s="67">
        <f t="shared" si="10"/>
        <v>0</v>
      </c>
      <c r="AJ16" s="67">
        <f t="shared" si="11"/>
        <v>0</v>
      </c>
      <c r="AK16" s="68">
        <f t="shared" si="12"/>
        <v>1</v>
      </c>
      <c r="AL16" s="67">
        <f t="shared" si="13"/>
        <v>0</v>
      </c>
      <c r="AM16" s="67">
        <f t="shared" si="14"/>
        <v>1</v>
      </c>
      <c r="AN16" s="67">
        <f t="shared" si="15"/>
        <v>1</v>
      </c>
      <c r="AO16" s="67">
        <f t="shared" si="16"/>
        <v>0</v>
      </c>
      <c r="AP16" s="67">
        <f t="shared" si="17"/>
        <v>0</v>
      </c>
      <c r="AQ16" s="68">
        <f t="shared" si="18"/>
        <v>2</v>
      </c>
      <c r="AR16" s="67">
        <f t="shared" si="19"/>
        <v>0</v>
      </c>
      <c r="AS16" s="67">
        <f t="shared" si="20"/>
        <v>0</v>
      </c>
      <c r="AT16" s="67">
        <f t="shared" si="21"/>
        <v>0</v>
      </c>
      <c r="AU16" s="67">
        <f t="shared" si="22"/>
        <v>1</v>
      </c>
      <c r="AV16" s="67">
        <f t="shared" si="23"/>
        <v>1</v>
      </c>
      <c r="AW16" s="68">
        <f t="shared" si="24"/>
        <v>2</v>
      </c>
      <c r="AX16" s="56"/>
      <c r="AY16" s="67">
        <f t="shared" si="25"/>
        <v>4</v>
      </c>
      <c r="AZ16" s="67">
        <f t="shared" si="26"/>
        <v>1</v>
      </c>
      <c r="BA16" s="67">
        <f t="shared" si="27"/>
        <v>2</v>
      </c>
      <c r="BB16" s="67">
        <f t="shared" si="28"/>
        <v>2</v>
      </c>
      <c r="BC16" s="30">
        <f t="shared" si="29"/>
        <v>45</v>
      </c>
    </row>
    <row r="17">
      <c r="A17" s="65">
        <f>IFERROR(__xludf.DUMMYFUNCTION("""COMPUTED_VALUE"""),45969.45427914352)</f>
        <v>45969.45428</v>
      </c>
      <c r="B17" s="69" t="str">
        <f>IFERROR(__xludf.DUMMYFUNCTION("""COMPUTED_VALUE"""),"Naufal Taqqy hafifurrahman ")</f>
        <v>Naufal Taqqy hafifurrahman </v>
      </c>
      <c r="C17" s="69" t="str">
        <f>IFERROR(__xludf.DUMMYFUNCTION("""COMPUTED_VALUE"""),"B250029")</f>
        <v>B250029</v>
      </c>
      <c r="D17" s="69" t="str">
        <f>IFERROR(__xludf.DUMMYFUNCTION("""COMPUTED_VALUE"""),"SMA Putra")</f>
        <v>SMA Putra</v>
      </c>
      <c r="E17" s="69" t="str">
        <f>IFERROR(__xludf.DUMMYFUNCTION("""COMPUTED_VALUE"""),"Ya")</f>
        <v>Ya</v>
      </c>
      <c r="F17" s="69" t="str">
        <f>IFERROR(__xludf.DUMMYFUNCTION("""COMPUTED_VALUE"""),"العلم")</f>
        <v>العلم</v>
      </c>
      <c r="G17" s="69" t="str">
        <f>IFERROR(__xludf.DUMMYFUNCTION("""COMPUTED_VALUE"""),"الفتحة")</f>
        <v>الفتحة</v>
      </c>
      <c r="H17" s="69" t="str">
        <f>IFERROR(__xludf.DUMMYFUNCTION("""COMPUTED_VALUE"""),"فاعل مرفوع")</f>
        <v>فاعل مرفوع</v>
      </c>
      <c r="I17" s="69" t="str">
        <f>IFERROR(__xludf.DUMMYFUNCTION("""COMPUTED_VALUE"""),"الطالب مجتهد")</f>
        <v>الطالب مجتهد</v>
      </c>
      <c r="J17" s="69" t="str">
        <f>IFERROR(__xludf.DUMMYFUNCTION("""COMPUTED_VALUE"""),"كونها مفعولا به")</f>
        <v>كونها مفعولا به</v>
      </c>
      <c r="K17" s="69" t="str">
        <f>IFERROR(__xludf.DUMMYFUNCTION("""COMPUTED_VALUE"""),"(1) dan (4)")</f>
        <v>(1) dan (4)</v>
      </c>
      <c r="L17" s="69" t="str">
        <f>IFERROR(__xludf.DUMMYFUNCTION("""COMPUTED_VALUE"""),"Satu pohon yang kita tanam sangat bermanfaat bagi masa depan bumi dan manusia.")</f>
        <v>Satu pohon yang kita tanam sangat bermanfaat bagi masa depan bumi dan manusia.</v>
      </c>
      <c r="M17" s="69" t="str">
        <f>IFERROR(__xludf.DUMMYFUNCTION("""COMPUTED_VALUE"""),"mengaji seperti jantung")</f>
        <v>mengaji seperti jantung</v>
      </c>
      <c r="N17"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17" s="69" t="str">
        <f>IFERROR(__xludf.DUMMYFUNCTION("""COMPUTED_VALUE"""),"usaha yang dilakukan sendiri")</f>
        <v>usaha yang dilakukan sendiri</v>
      </c>
      <c r="P17" s="69" t="str">
        <f>IFERROR(__xludf.DUMMYFUNCTION("""COMPUTED_VALUE"""),"CO2 dan H2O")</f>
        <v>CO2 dan H2O</v>
      </c>
      <c r="Q17" s="69" t="str">
        <f>IFERROR(__xludf.DUMMYFUNCTION("""COMPUTED_VALUE"""),"Fotosintesis")</f>
        <v>Fotosintesis</v>
      </c>
      <c r="R17" s="69" t="str">
        <f>IFERROR(__xludf.DUMMYFUNCTION("""COMPUTED_VALUE"""),"Karbon dioksida")</f>
        <v>Karbon dioksida</v>
      </c>
      <c r="S17" s="69" t="str">
        <f>IFERROR(__xludf.DUMMYFUNCTION("""COMPUTED_VALUE"""),"A, B, C, dan D")</f>
        <v>A, B, C, dan D</v>
      </c>
      <c r="T17" s="69" t="str">
        <f>IFERROR(__xludf.DUMMYFUNCTION("""COMPUTED_VALUE"""),"Sumber energi dan menetralkan racun")</f>
        <v>Sumber energi dan menetralkan racun</v>
      </c>
      <c r="U17" s="69">
        <f>IFERROR(__xludf.DUMMYFUNCTION("""COMPUTED_VALUE"""),100.0)</f>
        <v>100</v>
      </c>
      <c r="V17" s="69">
        <f>IFERROR(__xludf.DUMMYFUNCTION("""COMPUTED_VALUE"""),7.0)</f>
        <v>7</v>
      </c>
      <c r="W17" s="70">
        <f>IFERROR(__xludf.DUMMYFUNCTION("""COMPUTED_VALUE"""),18000.0)</f>
        <v>18000</v>
      </c>
      <c r="X17" s="69">
        <f>IFERROR(__xludf.DUMMYFUNCTION("""COMPUTED_VALUE"""),23.0)</f>
        <v>23</v>
      </c>
      <c r="Y17" s="69">
        <f>IFERROR(__xludf.DUMMYFUNCTION("""COMPUTED_VALUE"""),210.0)</f>
        <v>210</v>
      </c>
      <c r="Z17" s="67">
        <f t="shared" si="1"/>
        <v>1</v>
      </c>
      <c r="AA17" s="67">
        <f t="shared" si="2"/>
        <v>0</v>
      </c>
      <c r="AB17" s="67">
        <f t="shared" si="3"/>
        <v>0</v>
      </c>
      <c r="AC17" s="67">
        <f t="shared" si="4"/>
        <v>1</v>
      </c>
      <c r="AD17" s="67">
        <f t="shared" si="5"/>
        <v>0</v>
      </c>
      <c r="AE17" s="68">
        <f t="shared" si="6"/>
        <v>2</v>
      </c>
      <c r="AF17" s="67">
        <f t="shared" si="7"/>
        <v>1</v>
      </c>
      <c r="AG17" s="67">
        <f t="shared" si="8"/>
        <v>1</v>
      </c>
      <c r="AH17" s="67">
        <f t="shared" si="9"/>
        <v>1</v>
      </c>
      <c r="AI17" s="67">
        <f t="shared" si="10"/>
        <v>0</v>
      </c>
      <c r="AJ17" s="67">
        <f t="shared" si="11"/>
        <v>0</v>
      </c>
      <c r="AK17" s="68">
        <f t="shared" si="12"/>
        <v>3</v>
      </c>
      <c r="AL17" s="67">
        <f t="shared" si="13"/>
        <v>0</v>
      </c>
      <c r="AM17" s="67">
        <f t="shared" si="14"/>
        <v>1</v>
      </c>
      <c r="AN17" s="67">
        <f t="shared" si="15"/>
        <v>0</v>
      </c>
      <c r="AO17" s="67">
        <f t="shared" si="16"/>
        <v>0</v>
      </c>
      <c r="AP17" s="67">
        <f t="shared" si="17"/>
        <v>0</v>
      </c>
      <c r="AQ17" s="68">
        <f t="shared" si="18"/>
        <v>1</v>
      </c>
      <c r="AR17" s="67">
        <f t="shared" si="19"/>
        <v>0</v>
      </c>
      <c r="AS17" s="67">
        <f t="shared" si="20"/>
        <v>0</v>
      </c>
      <c r="AT17" s="67">
        <f t="shared" si="21"/>
        <v>0</v>
      </c>
      <c r="AU17" s="67">
        <f t="shared" si="22"/>
        <v>1</v>
      </c>
      <c r="AV17" s="67">
        <f t="shared" si="23"/>
        <v>1</v>
      </c>
      <c r="AW17" s="68">
        <f t="shared" si="24"/>
        <v>2</v>
      </c>
      <c r="AX17" s="56"/>
      <c r="AY17" s="67">
        <f t="shared" si="25"/>
        <v>2</v>
      </c>
      <c r="AZ17" s="67">
        <f t="shared" si="26"/>
        <v>3</v>
      </c>
      <c r="BA17" s="67">
        <f t="shared" si="27"/>
        <v>1</v>
      </c>
      <c r="BB17" s="67">
        <f t="shared" si="28"/>
        <v>2</v>
      </c>
      <c r="BC17" s="30">
        <f t="shared" si="29"/>
        <v>40</v>
      </c>
    </row>
    <row r="18">
      <c r="A18" s="65">
        <f>IFERROR(__xludf.DUMMYFUNCTION("""COMPUTED_VALUE"""),45969.90537018518)</f>
        <v>45969.90537</v>
      </c>
      <c r="B18" s="69" t="str">
        <f>IFERROR(__xludf.DUMMYFUNCTION("""COMPUTED_VALUE"""),"Unaysah")</f>
        <v>Unaysah</v>
      </c>
      <c r="C18" s="69" t="str">
        <f>IFERROR(__xludf.DUMMYFUNCTION("""COMPUTED_VALUE"""),"F250002")</f>
        <v>F250002</v>
      </c>
      <c r="D18" s="69" t="str">
        <f>IFERROR(__xludf.DUMMYFUNCTION("""COMPUTED_VALUE"""),"SMA Putra")</f>
        <v>SMA Putra</v>
      </c>
      <c r="E18" s="69" t="str">
        <f>IFERROR(__xludf.DUMMYFUNCTION("""COMPUTED_VALUE"""),"Ya")</f>
        <v>Ya</v>
      </c>
      <c r="F18" s="69" t="str">
        <f>IFERROR(__xludf.DUMMYFUNCTION("""COMPUTED_VALUE"""),"العلم")</f>
        <v>العلم</v>
      </c>
      <c r="G18" s="69" t="str">
        <f>IFERROR(__xludf.DUMMYFUNCTION("""COMPUTED_VALUE"""),"الضمة")</f>
        <v>الضمة</v>
      </c>
      <c r="H18" s="69" t="str">
        <f>IFERROR(__xludf.DUMMYFUNCTION("""COMPUTED_VALUE"""),"اسم مجرور")</f>
        <v>اسم مجرور</v>
      </c>
      <c r="I18" s="69" t="str">
        <f>IFERROR(__xludf.DUMMYFUNCTION("""COMPUTED_VALUE"""),"الطالب مجتهد")</f>
        <v>الطالب مجتهد</v>
      </c>
      <c r="J18" s="69" t="str">
        <f>IFERROR(__xludf.DUMMYFUNCTION("""COMPUTED_VALUE"""),"دخول الباء عليها")</f>
        <v>دخول الباء عليها</v>
      </c>
      <c r="K18" s="69" t="str">
        <f>IFERROR(__xludf.DUMMYFUNCTION("""COMPUTED_VALUE"""),"(1) dan (4)")</f>
        <v>(1) dan (4)</v>
      </c>
      <c r="L18" s="69" t="str">
        <f>IFERROR(__xludf.DUMMYFUNCTION("""COMPUTED_VALUE"""),"Satu pohon yang kita tanam sangat bermanfaat bagi masa depan bumi dan manusia.")</f>
        <v>Satu pohon yang kita tanam sangat bermanfaat bagi masa depan bumi dan manusia.</v>
      </c>
      <c r="M18" s="69" t="str">
        <f>IFERROR(__xludf.DUMMYFUNCTION("""COMPUTED_VALUE"""),"mengaji seperti jantung")</f>
        <v>mengaji seperti jantung</v>
      </c>
      <c r="N18"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18" s="69" t="str">
        <f>IFERROR(__xludf.DUMMYFUNCTION("""COMPUTED_VALUE"""),"usaha yang mula-mula sekali")</f>
        <v>usaha yang mula-mula sekali</v>
      </c>
      <c r="P18" s="69" t="str">
        <f>IFERROR(__xludf.DUMMYFUNCTION("""COMPUTED_VALUE"""),"C6H12O6 dan O2")</f>
        <v>C6H12O6 dan O2</v>
      </c>
      <c r="Q18" s="69" t="str">
        <f>IFERROR(__xludf.DUMMYFUNCTION("""COMPUTED_VALUE"""),"Fotosintesis")</f>
        <v>Fotosintesis</v>
      </c>
      <c r="R18" s="69" t="str">
        <f>IFERROR(__xludf.DUMMYFUNCTION("""COMPUTED_VALUE"""),"Karbon dioksida")</f>
        <v>Karbon dioksida</v>
      </c>
      <c r="S18" s="69" t="str">
        <f>IFERROR(__xludf.DUMMYFUNCTION("""COMPUTED_VALUE"""),"A, D, E, dan K")</f>
        <v>A, D, E, dan K</v>
      </c>
      <c r="T18" s="69" t="str">
        <f>IFERROR(__xludf.DUMMYFUNCTION("""COMPUTED_VALUE"""),"Alat pengangkut dan pengatur suhu tubuh")</f>
        <v>Alat pengangkut dan pengatur suhu tubuh</v>
      </c>
      <c r="U18" s="69">
        <f>IFERROR(__xludf.DUMMYFUNCTION("""COMPUTED_VALUE"""),100.0)</f>
        <v>100</v>
      </c>
      <c r="V18" s="69">
        <f>IFERROR(__xludf.DUMMYFUNCTION("""COMPUTED_VALUE"""),13.0)</f>
        <v>13</v>
      </c>
      <c r="W18" s="70">
        <f>IFERROR(__xludf.DUMMYFUNCTION("""COMPUTED_VALUE"""),17000.0)</f>
        <v>17000</v>
      </c>
      <c r="X18" s="69">
        <f>IFERROR(__xludf.DUMMYFUNCTION("""COMPUTED_VALUE"""),23.0)</f>
        <v>23</v>
      </c>
      <c r="Y18" s="69">
        <f>IFERROR(__xludf.DUMMYFUNCTION("""COMPUTED_VALUE"""),210.0)</f>
        <v>210</v>
      </c>
      <c r="Z18" s="67">
        <f t="shared" si="1"/>
        <v>1</v>
      </c>
      <c r="AA18" s="67">
        <f t="shared" si="2"/>
        <v>1</v>
      </c>
      <c r="AB18" s="67">
        <f t="shared" si="3"/>
        <v>1</v>
      </c>
      <c r="AC18" s="67">
        <f t="shared" si="4"/>
        <v>1</v>
      </c>
      <c r="AD18" s="67">
        <f t="shared" si="5"/>
        <v>1</v>
      </c>
      <c r="AE18" s="68">
        <f t="shared" si="6"/>
        <v>5</v>
      </c>
      <c r="AF18" s="67">
        <f t="shared" si="7"/>
        <v>1</v>
      </c>
      <c r="AG18" s="67">
        <f t="shared" si="8"/>
        <v>1</v>
      </c>
      <c r="AH18" s="67">
        <f t="shared" si="9"/>
        <v>1</v>
      </c>
      <c r="AI18" s="67">
        <f t="shared" si="10"/>
        <v>0</v>
      </c>
      <c r="AJ18" s="67">
        <f t="shared" si="11"/>
        <v>1</v>
      </c>
      <c r="AK18" s="68">
        <f t="shared" si="12"/>
        <v>4</v>
      </c>
      <c r="AL18" s="67">
        <f t="shared" si="13"/>
        <v>1</v>
      </c>
      <c r="AM18" s="67">
        <f t="shared" si="14"/>
        <v>1</v>
      </c>
      <c r="AN18" s="67">
        <f t="shared" si="15"/>
        <v>0</v>
      </c>
      <c r="AO18" s="67">
        <f t="shared" si="16"/>
        <v>1</v>
      </c>
      <c r="AP18" s="67">
        <f t="shared" si="17"/>
        <v>1</v>
      </c>
      <c r="AQ18" s="68">
        <f t="shared" si="18"/>
        <v>4</v>
      </c>
      <c r="AR18" s="67">
        <f t="shared" si="19"/>
        <v>0</v>
      </c>
      <c r="AS18" s="67">
        <f t="shared" si="20"/>
        <v>1</v>
      </c>
      <c r="AT18" s="67">
        <f t="shared" si="21"/>
        <v>1</v>
      </c>
      <c r="AU18" s="67">
        <f t="shared" si="22"/>
        <v>1</v>
      </c>
      <c r="AV18" s="67">
        <f t="shared" si="23"/>
        <v>1</v>
      </c>
      <c r="AW18" s="68">
        <f t="shared" si="24"/>
        <v>4</v>
      </c>
      <c r="AX18" s="56"/>
      <c r="AY18" s="67">
        <f t="shared" si="25"/>
        <v>5</v>
      </c>
      <c r="AZ18" s="67">
        <f t="shared" si="26"/>
        <v>4</v>
      </c>
      <c r="BA18" s="67">
        <f t="shared" si="27"/>
        <v>4</v>
      </c>
      <c r="BB18" s="67">
        <f t="shared" si="28"/>
        <v>4</v>
      </c>
      <c r="BC18" s="30">
        <f t="shared" si="29"/>
        <v>85</v>
      </c>
    </row>
    <row r="19">
      <c r="A19" s="65">
        <f>IFERROR(__xludf.DUMMYFUNCTION("""COMPUTED_VALUE"""),45972.68305564814)</f>
        <v>45972.68306</v>
      </c>
      <c r="B19" s="69" t="str">
        <f>IFERROR(__xludf.DUMMYFUNCTION("""COMPUTED_VALUE"""),"Muhammad ghaza")</f>
        <v>Muhammad ghaza</v>
      </c>
      <c r="C19" s="69" t="str">
        <f>IFERROR(__xludf.DUMMYFUNCTION("""COMPUTED_VALUE"""),"C250013")</f>
        <v>C250013</v>
      </c>
      <c r="D19" s="69" t="str">
        <f>IFERROR(__xludf.DUMMYFUNCTION("""COMPUTED_VALUE"""),"SMA Putra")</f>
        <v>SMA Putra</v>
      </c>
      <c r="E19" s="69" t="str">
        <f>IFERROR(__xludf.DUMMYFUNCTION("""COMPUTED_VALUE"""),"Ya")</f>
        <v>Ya</v>
      </c>
      <c r="F19" s="69" t="str">
        <f>IFERROR(__xludf.DUMMYFUNCTION("""COMPUTED_VALUE"""),"العلم")</f>
        <v>العلم</v>
      </c>
      <c r="G19" s="69" t="str">
        <f>IFERROR(__xludf.DUMMYFUNCTION("""COMPUTED_VALUE"""),"الضمة")</f>
        <v>الضمة</v>
      </c>
      <c r="H19" s="69" t="str">
        <f>IFERROR(__xludf.DUMMYFUNCTION("""COMPUTED_VALUE"""),"ظرف منصوب")</f>
        <v>ظرف منصوب</v>
      </c>
      <c r="I19" s="69" t="str">
        <f>IFERROR(__xludf.DUMMYFUNCTION("""COMPUTED_VALUE"""),"الطالب مجتهد")</f>
        <v>الطالب مجتهد</v>
      </c>
      <c r="J19" s="69" t="str">
        <f>IFERROR(__xludf.DUMMYFUNCTION("""COMPUTED_VALUE"""),"كونها مفعولا به")</f>
        <v>كونها مفعولا به</v>
      </c>
      <c r="K19" s="69" t="str">
        <f>IFERROR(__xludf.DUMMYFUNCTION("""COMPUTED_VALUE"""),"(1) dan (3)")</f>
        <v>(1) dan (3)</v>
      </c>
      <c r="L19" s="69" t="str">
        <f>IFERROR(__xludf.DUMMYFUNCTION("""COMPUTED_VALUE"""),"Satu pohon yang kita tanam sangat bermanfaat bagi masa depan bumi dan manusia.")</f>
        <v>Satu pohon yang kita tanam sangat bermanfaat bagi masa depan bumi dan manusia.</v>
      </c>
      <c r="M19" s="69" t="str">
        <f>IFERROR(__xludf.DUMMYFUNCTION("""COMPUTED_VALUE"""),"mengaji melebarkan pikiran")</f>
        <v>mengaji melebarkan pikiran</v>
      </c>
      <c r="N19" s="69" t="str">
        <f>IFERROR(__xludf.DUMMYFUNCTION("""COMPUTED_VALUE"""),"suasana malam hari yang sangat sunyi karena sebentar lagi akan turun hujan yang lebat")</f>
        <v>suasana malam hari yang sangat sunyi karena sebentar lagi akan turun hujan yang lebat</v>
      </c>
      <c r="O19" s="69" t="str">
        <f>IFERROR(__xludf.DUMMYFUNCTION("""COMPUTED_VALUE"""),"jalan usaha")</f>
        <v>jalan usaha</v>
      </c>
      <c r="P19" s="69" t="str">
        <f>IFERROR(__xludf.DUMMYFUNCTION("""COMPUTED_VALUE"""),"CO2 dan H2O")</f>
        <v>CO2 dan H2O</v>
      </c>
      <c r="Q19" s="69" t="str">
        <f>IFERROR(__xludf.DUMMYFUNCTION("""COMPUTED_VALUE"""),"Bergerak")</f>
        <v>Bergerak</v>
      </c>
      <c r="R19" s="69" t="str">
        <f>IFERROR(__xludf.DUMMYFUNCTION("""COMPUTED_VALUE"""),"Karbon dioksida")</f>
        <v>Karbon dioksida</v>
      </c>
      <c r="S19" s="69" t="str">
        <f>IFERROR(__xludf.DUMMYFUNCTION("""COMPUTED_VALUE"""),"A, D, E, dan K")</f>
        <v>A, D, E, dan K</v>
      </c>
      <c r="T19" s="69" t="str">
        <f>IFERROR(__xludf.DUMMYFUNCTION("""COMPUTED_VALUE"""),"Sumber energi dan menetralkan racun")</f>
        <v>Sumber energi dan menetralkan racun</v>
      </c>
      <c r="U19" s="69">
        <f>IFERROR(__xludf.DUMMYFUNCTION("""COMPUTED_VALUE"""),100.0)</f>
        <v>100</v>
      </c>
      <c r="V19" s="69">
        <f>IFERROR(__xludf.DUMMYFUNCTION("""COMPUTED_VALUE"""),18.0)</f>
        <v>18</v>
      </c>
      <c r="W19" s="70">
        <f>IFERROR(__xludf.DUMMYFUNCTION("""COMPUTED_VALUE"""),16000.0)</f>
        <v>16000</v>
      </c>
      <c r="X19" s="69">
        <f>IFERROR(__xludf.DUMMYFUNCTION("""COMPUTED_VALUE"""),23.0)</f>
        <v>23</v>
      </c>
      <c r="Y19" s="69">
        <f>IFERROR(__xludf.DUMMYFUNCTION("""COMPUTED_VALUE"""),120.0)</f>
        <v>120</v>
      </c>
      <c r="Z19" s="67">
        <f t="shared" si="1"/>
        <v>1</v>
      </c>
      <c r="AA19" s="67">
        <f t="shared" si="2"/>
        <v>1</v>
      </c>
      <c r="AB19" s="67">
        <f t="shared" si="3"/>
        <v>0</v>
      </c>
      <c r="AC19" s="67">
        <f t="shared" si="4"/>
        <v>1</v>
      </c>
      <c r="AD19" s="67">
        <f t="shared" si="5"/>
        <v>0</v>
      </c>
      <c r="AE19" s="68">
        <f t="shared" si="6"/>
        <v>3</v>
      </c>
      <c r="AF19" s="67">
        <f t="shared" si="7"/>
        <v>0</v>
      </c>
      <c r="AG19" s="67">
        <f t="shared" si="8"/>
        <v>1</v>
      </c>
      <c r="AH19" s="67">
        <f t="shared" si="9"/>
        <v>0</v>
      </c>
      <c r="AI19" s="67">
        <f t="shared" si="10"/>
        <v>0</v>
      </c>
      <c r="AJ19" s="67">
        <f t="shared" si="11"/>
        <v>0</v>
      </c>
      <c r="AK19" s="68">
        <f t="shared" si="12"/>
        <v>1</v>
      </c>
      <c r="AL19" s="67">
        <f t="shared" si="13"/>
        <v>0</v>
      </c>
      <c r="AM19" s="67">
        <f t="shared" si="14"/>
        <v>0</v>
      </c>
      <c r="AN19" s="67">
        <f t="shared" si="15"/>
        <v>0</v>
      </c>
      <c r="AO19" s="67">
        <f t="shared" si="16"/>
        <v>1</v>
      </c>
      <c r="AP19" s="67">
        <f t="shared" si="17"/>
        <v>0</v>
      </c>
      <c r="AQ19" s="68">
        <f t="shared" si="18"/>
        <v>1</v>
      </c>
      <c r="AR19" s="67">
        <f t="shared" si="19"/>
        <v>0</v>
      </c>
      <c r="AS19" s="67">
        <f t="shared" si="20"/>
        <v>0</v>
      </c>
      <c r="AT19" s="67">
        <f t="shared" si="21"/>
        <v>0</v>
      </c>
      <c r="AU19" s="67">
        <f t="shared" si="22"/>
        <v>1</v>
      </c>
      <c r="AV19" s="67">
        <f t="shared" si="23"/>
        <v>0</v>
      </c>
      <c r="AW19" s="68">
        <f t="shared" si="24"/>
        <v>1</v>
      </c>
      <c r="AX19" s="56"/>
      <c r="AY19" s="67">
        <f t="shared" si="25"/>
        <v>3</v>
      </c>
      <c r="AZ19" s="67">
        <f t="shared" si="26"/>
        <v>1</v>
      </c>
      <c r="BA19" s="67">
        <f t="shared" si="27"/>
        <v>1</v>
      </c>
      <c r="BB19" s="67">
        <f t="shared" si="28"/>
        <v>1</v>
      </c>
      <c r="BC19" s="30">
        <f t="shared" si="29"/>
        <v>30</v>
      </c>
    </row>
    <row r="20">
      <c r="A20" s="65">
        <f>IFERROR(__xludf.DUMMYFUNCTION("""COMPUTED_VALUE"""),45972.70739127314)</f>
        <v>45972.70739</v>
      </c>
      <c r="B20" s="69" t="str">
        <f>IFERROR(__xludf.DUMMYFUNCTION("""COMPUTED_VALUE"""),"Khubaib Abdul Aziz ")</f>
        <v>Khubaib Abdul Aziz </v>
      </c>
      <c r="C20" s="71" t="str">
        <f>IFERROR(__xludf.DUMMYFUNCTION("""COMPUTED_VALUE"""),"C250022")</f>
        <v>C250022</v>
      </c>
      <c r="D20" s="69" t="str">
        <f>IFERROR(__xludf.DUMMYFUNCTION("""COMPUTED_VALUE"""),"SMA Putra")</f>
        <v>SMA Putra</v>
      </c>
      <c r="E20" s="69" t="str">
        <f>IFERROR(__xludf.DUMMYFUNCTION("""COMPUTED_VALUE"""),"Ya")</f>
        <v>Ya</v>
      </c>
      <c r="F20" s="69" t="str">
        <f>IFERROR(__xludf.DUMMYFUNCTION("""COMPUTED_VALUE"""),"نور")</f>
        <v>نور</v>
      </c>
      <c r="G20" s="69" t="str">
        <f>IFERROR(__xludf.DUMMYFUNCTION("""COMPUTED_VALUE"""),"الضمة")</f>
        <v>الضمة</v>
      </c>
      <c r="H20" s="69" t="str">
        <f>IFERROR(__xludf.DUMMYFUNCTION("""COMPUTED_VALUE"""),"مفعول به منصوب")</f>
        <v>مفعول به منصوب</v>
      </c>
      <c r="I20" s="69" t="str">
        <f>IFERROR(__xludf.DUMMYFUNCTION("""COMPUTED_VALUE"""),"الطالب مجتهد")</f>
        <v>الطالب مجتهد</v>
      </c>
      <c r="J20" s="69" t="str">
        <f>IFERROR(__xludf.DUMMYFUNCTION("""COMPUTED_VALUE"""),"دخول الباء عليها")</f>
        <v>دخول الباء عليها</v>
      </c>
      <c r="K20" s="69" t="str">
        <f>IFERROR(__xludf.DUMMYFUNCTION("""COMPUTED_VALUE"""),"(1) dan (4)")</f>
        <v>(1) dan (4)</v>
      </c>
      <c r="L20" s="69" t="str">
        <f>IFERROR(__xludf.DUMMYFUNCTION("""COMPUTED_VALUE"""),"Satu pohon yang kita tanam sangat bermanfaat bagi masa depan bumi dan manusia.")</f>
        <v>Satu pohon yang kita tanam sangat bermanfaat bagi masa depan bumi dan manusia.</v>
      </c>
      <c r="M20" s="69" t="str">
        <f>IFERROR(__xludf.DUMMYFUNCTION("""COMPUTED_VALUE"""),"mengaji menyegarkan jiwa")</f>
        <v>mengaji menyegarkan jiwa</v>
      </c>
      <c r="N20" s="69" t="str">
        <f>IFERROR(__xludf.DUMMYFUNCTION("""COMPUTED_VALUE"""),"suatu kota pada malam hari yang dalam keadaan sepi pascagerimis")</f>
        <v>suatu kota pada malam hari yang dalam keadaan sepi pascagerimis</v>
      </c>
      <c r="O20" s="69" t="str">
        <f>IFERROR(__xludf.DUMMYFUNCTION("""COMPUTED_VALUE"""),"usaha yang mula-mula sekali")</f>
        <v>usaha yang mula-mula sekali</v>
      </c>
      <c r="P20" s="69" t="str">
        <f>IFERROR(__xludf.DUMMYFUNCTION("""COMPUTED_VALUE"""),"CO2 dan O2")</f>
        <v>CO2 dan O2</v>
      </c>
      <c r="Q20" s="69" t="str">
        <f>IFERROR(__xludf.DUMMYFUNCTION("""COMPUTED_VALUE"""),"Fotosintesis")</f>
        <v>Fotosintesis</v>
      </c>
      <c r="R20" s="69" t="str">
        <f>IFERROR(__xludf.DUMMYFUNCTION("""COMPUTED_VALUE"""),"Uap air")</f>
        <v>Uap air</v>
      </c>
      <c r="S20" s="69" t="str">
        <f>IFERROR(__xludf.DUMMYFUNCTION("""COMPUTED_VALUE"""),"A, C, B, dan E")</f>
        <v>A, C, B, dan E</v>
      </c>
      <c r="T20" s="69" t="str">
        <f>IFERROR(__xludf.DUMMYFUNCTION("""COMPUTED_VALUE"""),"Alat pengangkut dan pengatur suhu tubuh")</f>
        <v>Alat pengangkut dan pengatur suhu tubuh</v>
      </c>
      <c r="U20" s="69">
        <f>IFERROR(__xludf.DUMMYFUNCTION("""COMPUTED_VALUE"""),96.0)</f>
        <v>96</v>
      </c>
      <c r="V20" s="69">
        <f>IFERROR(__xludf.DUMMYFUNCTION("""COMPUTED_VALUE"""),13.0)</f>
        <v>13</v>
      </c>
      <c r="W20" s="70">
        <f>IFERROR(__xludf.DUMMYFUNCTION("""COMPUTED_VALUE"""),15000.0)</f>
        <v>15000</v>
      </c>
      <c r="X20" s="69">
        <f>IFERROR(__xludf.DUMMYFUNCTION("""COMPUTED_VALUE"""),28.0)</f>
        <v>28</v>
      </c>
      <c r="Y20" s="69">
        <f>IFERROR(__xludf.DUMMYFUNCTION("""COMPUTED_VALUE"""),210.0)</f>
        <v>210</v>
      </c>
      <c r="Z20" s="67">
        <f t="shared" si="1"/>
        <v>0</v>
      </c>
      <c r="AA20" s="67">
        <f t="shared" si="2"/>
        <v>1</v>
      </c>
      <c r="AB20" s="67">
        <f t="shared" si="3"/>
        <v>0</v>
      </c>
      <c r="AC20" s="67">
        <f t="shared" si="4"/>
        <v>1</v>
      </c>
      <c r="AD20" s="67">
        <f t="shared" si="5"/>
        <v>1</v>
      </c>
      <c r="AE20" s="68">
        <f t="shared" si="6"/>
        <v>3</v>
      </c>
      <c r="AF20" s="67">
        <f t="shared" si="7"/>
        <v>1</v>
      </c>
      <c r="AG20" s="67">
        <f t="shared" si="8"/>
        <v>1</v>
      </c>
      <c r="AH20" s="67">
        <f t="shared" si="9"/>
        <v>0</v>
      </c>
      <c r="AI20" s="67">
        <f t="shared" si="10"/>
        <v>1</v>
      </c>
      <c r="AJ20" s="67">
        <f t="shared" si="11"/>
        <v>1</v>
      </c>
      <c r="AK20" s="68">
        <f t="shared" si="12"/>
        <v>4</v>
      </c>
      <c r="AL20" s="67">
        <f t="shared" si="13"/>
        <v>0</v>
      </c>
      <c r="AM20" s="67">
        <f t="shared" si="14"/>
        <v>1</v>
      </c>
      <c r="AN20" s="67">
        <f t="shared" si="15"/>
        <v>1</v>
      </c>
      <c r="AO20" s="67">
        <f t="shared" si="16"/>
        <v>0</v>
      </c>
      <c r="AP20" s="67">
        <f t="shared" si="17"/>
        <v>1</v>
      </c>
      <c r="AQ20" s="68">
        <f t="shared" si="18"/>
        <v>3</v>
      </c>
      <c r="AR20" s="67">
        <f t="shared" si="19"/>
        <v>0</v>
      </c>
      <c r="AS20" s="67">
        <f t="shared" si="20"/>
        <v>1</v>
      </c>
      <c r="AT20" s="67">
        <f t="shared" si="21"/>
        <v>0</v>
      </c>
      <c r="AU20" s="67">
        <f t="shared" si="22"/>
        <v>0</v>
      </c>
      <c r="AV20" s="67">
        <f t="shared" si="23"/>
        <v>1</v>
      </c>
      <c r="AW20" s="68">
        <f t="shared" si="24"/>
        <v>2</v>
      </c>
      <c r="AX20" s="56"/>
      <c r="AY20" s="67">
        <f t="shared" si="25"/>
        <v>3</v>
      </c>
      <c r="AZ20" s="67">
        <f t="shared" si="26"/>
        <v>4</v>
      </c>
      <c r="BA20" s="67">
        <f t="shared" si="27"/>
        <v>3</v>
      </c>
      <c r="BB20" s="67">
        <f t="shared" si="28"/>
        <v>2</v>
      </c>
      <c r="BC20" s="30">
        <f t="shared" si="29"/>
        <v>60</v>
      </c>
    </row>
    <row r="21">
      <c r="A21" s="65">
        <f>IFERROR(__xludf.DUMMYFUNCTION("""COMPUTED_VALUE"""),45972.92198745371)</f>
        <v>45972.92199</v>
      </c>
      <c r="B21" s="69" t="str">
        <f>IFERROR(__xludf.DUMMYFUNCTION("""COMPUTED_VALUE"""),"Achmad kaisan sidqi")</f>
        <v>Achmad kaisan sidqi</v>
      </c>
      <c r="C21" s="69" t="str">
        <f>IFERROR(__xludf.DUMMYFUNCTION("""COMPUTED_VALUE"""),"C250007")</f>
        <v>C250007</v>
      </c>
      <c r="D21" s="69" t="str">
        <f>IFERROR(__xludf.DUMMYFUNCTION("""COMPUTED_VALUE"""),"SMA Putra")</f>
        <v>SMA Putra</v>
      </c>
      <c r="E21" s="69" t="str">
        <f>IFERROR(__xludf.DUMMYFUNCTION("""COMPUTED_VALUE"""),"Ya")</f>
        <v>Ya</v>
      </c>
      <c r="F21" s="69" t="str">
        <f>IFERROR(__xludf.DUMMYFUNCTION("""COMPUTED_VALUE"""),"العلم")</f>
        <v>العلم</v>
      </c>
      <c r="G21" s="69" t="str">
        <f>IFERROR(__xludf.DUMMYFUNCTION("""COMPUTED_VALUE"""),"الضمة")</f>
        <v>الضمة</v>
      </c>
      <c r="H21" s="69" t="str">
        <f>IFERROR(__xludf.DUMMYFUNCTION("""COMPUTED_VALUE"""),"اسم مجرور")</f>
        <v>اسم مجرور</v>
      </c>
      <c r="I21" s="69" t="str">
        <f>IFERROR(__xludf.DUMMYFUNCTION("""COMPUTED_VALUE"""),"الطالب مجتهد")</f>
        <v>الطالب مجتهد</v>
      </c>
      <c r="J21" s="69" t="str">
        <f>IFERROR(__xludf.DUMMYFUNCTION("""COMPUTED_VALUE"""),"دخول الباء عليها")</f>
        <v>دخول الباء عليها</v>
      </c>
      <c r="K21" s="69">
        <f>IFERROR(__xludf.DUMMYFUNCTION("""COMPUTED_VALUE"""),-1.0)</f>
        <v>-1</v>
      </c>
      <c r="L21" s="69" t="str">
        <f>IFERROR(__xludf.DUMMYFUNCTION("""COMPUTED_VALUE"""),"Satu pohon yang kita tanam sangat bermanfaat bagi masa depan bumi dan manusia.")</f>
        <v>Satu pohon yang kita tanam sangat bermanfaat bagi masa depan bumi dan manusia.</v>
      </c>
      <c r="M21" s="69" t="str">
        <f>IFERROR(__xludf.DUMMYFUNCTION("""COMPUTED_VALUE"""),"mengaji seperti jantung")</f>
        <v>mengaji seperti jantung</v>
      </c>
      <c r="N21"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21" s="69" t="str">
        <f>IFERROR(__xludf.DUMMYFUNCTION("""COMPUTED_VALUE"""),"jalan usaha")</f>
        <v>jalan usaha</v>
      </c>
      <c r="P21" s="69" t="str">
        <f>IFERROR(__xludf.DUMMYFUNCTION("""COMPUTED_VALUE"""),"CO2 dan H2O")</f>
        <v>CO2 dan H2O</v>
      </c>
      <c r="Q21" s="69" t="str">
        <f>IFERROR(__xludf.DUMMYFUNCTION("""COMPUTED_VALUE"""),"Pernapasan")</f>
        <v>Pernapasan</v>
      </c>
      <c r="R21" s="69" t="str">
        <f>IFERROR(__xludf.DUMMYFUNCTION("""COMPUTED_VALUE"""),"Uap air")</f>
        <v>Uap air</v>
      </c>
      <c r="S21" s="69" t="str">
        <f>IFERROR(__xludf.DUMMYFUNCTION("""COMPUTED_VALUE"""),"A, B, C, dan D")</f>
        <v>A, B, C, dan D</v>
      </c>
      <c r="T21" s="69" t="str">
        <f>IFERROR(__xludf.DUMMYFUNCTION("""COMPUTED_VALUE"""),"Alat pengangkut dan pengatur suhu tubuh")</f>
        <v>Alat pengangkut dan pengatur suhu tubuh</v>
      </c>
      <c r="U21" s="69">
        <f>IFERROR(__xludf.DUMMYFUNCTION("""COMPUTED_VALUE"""),96.0)</f>
        <v>96</v>
      </c>
      <c r="V21" s="69">
        <f>IFERROR(__xludf.DUMMYFUNCTION("""COMPUTED_VALUE"""),7.0)</f>
        <v>7</v>
      </c>
      <c r="W21" s="70">
        <f>IFERROR(__xludf.DUMMYFUNCTION("""COMPUTED_VALUE"""),14000.0)</f>
        <v>14000</v>
      </c>
      <c r="X21" s="69">
        <f>IFERROR(__xludf.DUMMYFUNCTION("""COMPUTED_VALUE"""),17.0)</f>
        <v>17</v>
      </c>
      <c r="Y21" s="69">
        <f>IFERROR(__xludf.DUMMYFUNCTION("""COMPUTED_VALUE"""),210.0)</f>
        <v>210</v>
      </c>
      <c r="Z21" s="67">
        <f t="shared" si="1"/>
        <v>1</v>
      </c>
      <c r="AA21" s="67">
        <f t="shared" si="2"/>
        <v>1</v>
      </c>
      <c r="AB21" s="67">
        <f t="shared" si="3"/>
        <v>1</v>
      </c>
      <c r="AC21" s="67">
        <f t="shared" si="4"/>
        <v>1</v>
      </c>
      <c r="AD21" s="67">
        <f t="shared" si="5"/>
        <v>1</v>
      </c>
      <c r="AE21" s="68">
        <f t="shared" si="6"/>
        <v>5</v>
      </c>
      <c r="AF21" s="67">
        <f t="shared" si="7"/>
        <v>0</v>
      </c>
      <c r="AG21" s="67">
        <f t="shared" si="8"/>
        <v>1</v>
      </c>
      <c r="AH21" s="67">
        <f t="shared" si="9"/>
        <v>1</v>
      </c>
      <c r="AI21" s="67">
        <f t="shared" si="10"/>
        <v>0</v>
      </c>
      <c r="AJ21" s="67">
        <f t="shared" si="11"/>
        <v>0</v>
      </c>
      <c r="AK21" s="68">
        <f t="shared" si="12"/>
        <v>2</v>
      </c>
      <c r="AL21" s="67">
        <f t="shared" si="13"/>
        <v>0</v>
      </c>
      <c r="AM21" s="67">
        <f t="shared" si="14"/>
        <v>0</v>
      </c>
      <c r="AN21" s="67">
        <f t="shared" si="15"/>
        <v>1</v>
      </c>
      <c r="AO21" s="67">
        <f t="shared" si="16"/>
        <v>0</v>
      </c>
      <c r="AP21" s="67">
        <f t="shared" si="17"/>
        <v>1</v>
      </c>
      <c r="AQ21" s="68">
        <f t="shared" si="18"/>
        <v>2</v>
      </c>
      <c r="AR21" s="67">
        <f t="shared" si="19"/>
        <v>0</v>
      </c>
      <c r="AS21" s="67">
        <f t="shared" si="20"/>
        <v>0</v>
      </c>
      <c r="AT21" s="67">
        <f t="shared" si="21"/>
        <v>0</v>
      </c>
      <c r="AU21" s="67">
        <f t="shared" si="22"/>
        <v>0</v>
      </c>
      <c r="AV21" s="67">
        <f t="shared" si="23"/>
        <v>1</v>
      </c>
      <c r="AW21" s="68">
        <f t="shared" si="24"/>
        <v>1</v>
      </c>
      <c r="AX21" s="56"/>
      <c r="AY21" s="67">
        <f t="shared" si="25"/>
        <v>5</v>
      </c>
      <c r="AZ21" s="67">
        <f t="shared" si="26"/>
        <v>2</v>
      </c>
      <c r="BA21" s="67">
        <f t="shared" si="27"/>
        <v>2</v>
      </c>
      <c r="BB21" s="67">
        <f t="shared" si="28"/>
        <v>1</v>
      </c>
      <c r="BC21" s="30">
        <f t="shared" si="29"/>
        <v>50</v>
      </c>
    </row>
    <row r="22">
      <c r="A22" s="72">
        <f>IFERROR(__xludf.DUMMYFUNCTION("""COMPUTED_VALUE"""),45973.76839208334)</f>
        <v>45973.76839</v>
      </c>
      <c r="B22" s="73" t="str">
        <f>IFERROR(__xludf.DUMMYFUNCTION("""COMPUTED_VALUE"""),"ANANDA HEZKY FAYEZA")</f>
        <v>ANANDA HEZKY FAYEZA</v>
      </c>
      <c r="C22" s="73" t="str">
        <f>IFERROR(__xludf.DUMMYFUNCTION("""COMPUTED_VALUE"""),"C250024")</f>
        <v>C250024</v>
      </c>
      <c r="D22" s="73" t="str">
        <f>IFERROR(__xludf.DUMMYFUNCTION("""COMPUTED_VALUE"""),"SMA Putra")</f>
        <v>SMA Putra</v>
      </c>
      <c r="E22" s="73" t="str">
        <f>IFERROR(__xludf.DUMMYFUNCTION("""COMPUTED_VALUE"""),"Ya")</f>
        <v>Ya</v>
      </c>
      <c r="F22" s="73" t="str">
        <f>IFERROR(__xludf.DUMMYFUNCTION("""COMPUTED_VALUE"""),"العلم")</f>
        <v>العلم</v>
      </c>
      <c r="G22" s="73" t="str">
        <f>IFERROR(__xludf.DUMMYFUNCTION("""COMPUTED_VALUE"""),"الضمة")</f>
        <v>الضمة</v>
      </c>
      <c r="H22" s="73" t="str">
        <f>IFERROR(__xludf.DUMMYFUNCTION("""COMPUTED_VALUE"""),"مفعول به منصوب")</f>
        <v>مفعول به منصوب</v>
      </c>
      <c r="I22" s="73" t="str">
        <f>IFERROR(__xludf.DUMMYFUNCTION("""COMPUTED_VALUE"""),"الطالب مجتهد")</f>
        <v>الطالب مجتهد</v>
      </c>
      <c r="J22" s="73" t="str">
        <f>IFERROR(__xludf.DUMMYFUNCTION("""COMPUTED_VALUE"""),"دخول الباء عليها")</f>
        <v>دخول الباء عليها</v>
      </c>
      <c r="K22" s="73" t="str">
        <f>IFERROR(__xludf.DUMMYFUNCTION("""COMPUTED_VALUE"""),"(1) dan (4)")</f>
        <v>(1) dan (4)</v>
      </c>
      <c r="L22" s="73" t="str">
        <f>IFERROR(__xludf.DUMMYFUNCTION("""COMPUTED_VALUE"""),"Satu pohon yang kita tanam sangat bermanfaat bagi masa depan bumi dan manusia.")</f>
        <v>Satu pohon yang kita tanam sangat bermanfaat bagi masa depan bumi dan manusia.</v>
      </c>
      <c r="M22" s="73" t="str">
        <f>IFERROR(__xludf.DUMMYFUNCTION("""COMPUTED_VALUE"""),"mengaji menyegarkan jiwa")</f>
        <v>mengaji menyegarkan jiwa</v>
      </c>
      <c r="N22" s="73"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22" s="73" t="str">
        <f>IFERROR(__xludf.DUMMYFUNCTION("""COMPUTED_VALUE"""),"jalan usaha")</f>
        <v>jalan usaha</v>
      </c>
      <c r="P22" s="73" t="str">
        <f>IFERROR(__xludf.DUMMYFUNCTION("""COMPUTED_VALUE"""),"CO2 dan O2")</f>
        <v>CO2 dan O2</v>
      </c>
      <c r="Q22" s="73" t="str">
        <f>IFERROR(__xludf.DUMMYFUNCTION("""COMPUTED_VALUE"""),"Reproduksi")</f>
        <v>Reproduksi</v>
      </c>
      <c r="R22" s="73" t="str">
        <f>IFERROR(__xludf.DUMMYFUNCTION("""COMPUTED_VALUE"""),"Uap air")</f>
        <v>Uap air</v>
      </c>
      <c r="S22" s="73" t="str">
        <f>IFERROR(__xludf.DUMMYFUNCTION("""COMPUTED_VALUE"""),"A, D, E, dan K")</f>
        <v>A, D, E, dan K</v>
      </c>
      <c r="T22" s="73" t="str">
        <f>IFERROR(__xludf.DUMMYFUNCTION("""COMPUTED_VALUE"""),"menetralkan racun dan Alat pengangkut")</f>
        <v>menetralkan racun dan Alat pengangkut</v>
      </c>
      <c r="U22" s="73">
        <f>IFERROR(__xludf.DUMMYFUNCTION("""COMPUTED_VALUE"""),105.0)</f>
        <v>105</v>
      </c>
      <c r="V22" s="73">
        <f>IFERROR(__xludf.DUMMYFUNCTION("""COMPUTED_VALUE"""),13.0)</f>
        <v>13</v>
      </c>
      <c r="W22" s="74">
        <f>IFERROR(__xludf.DUMMYFUNCTION("""COMPUTED_VALUE"""),17000.0)</f>
        <v>17000</v>
      </c>
      <c r="X22" s="73">
        <f>IFERROR(__xludf.DUMMYFUNCTION("""COMPUTED_VALUE"""),23.0)</f>
        <v>23</v>
      </c>
      <c r="Y22" s="73">
        <f>IFERROR(__xludf.DUMMYFUNCTION("""COMPUTED_VALUE"""),210.0)</f>
        <v>210</v>
      </c>
      <c r="Z22" s="75">
        <f t="shared" si="1"/>
        <v>1</v>
      </c>
      <c r="AA22" s="75">
        <f t="shared" si="2"/>
        <v>1</v>
      </c>
      <c r="AB22" s="75">
        <f t="shared" si="3"/>
        <v>0</v>
      </c>
      <c r="AC22" s="75">
        <f t="shared" si="4"/>
        <v>1</v>
      </c>
      <c r="AD22" s="75">
        <f t="shared" si="5"/>
        <v>1</v>
      </c>
      <c r="AE22" s="76">
        <f t="shared" si="6"/>
        <v>4</v>
      </c>
      <c r="AF22" s="75">
        <f t="shared" si="7"/>
        <v>1</v>
      </c>
      <c r="AG22" s="75">
        <f t="shared" si="8"/>
        <v>1</v>
      </c>
      <c r="AH22" s="75">
        <f t="shared" si="9"/>
        <v>0</v>
      </c>
      <c r="AI22" s="75">
        <f t="shared" si="10"/>
        <v>0</v>
      </c>
      <c r="AJ22" s="75">
        <f t="shared" si="11"/>
        <v>0</v>
      </c>
      <c r="AK22" s="76">
        <f t="shared" si="12"/>
        <v>2</v>
      </c>
      <c r="AL22" s="75">
        <f t="shared" si="13"/>
        <v>0</v>
      </c>
      <c r="AM22" s="75">
        <f t="shared" si="14"/>
        <v>0</v>
      </c>
      <c r="AN22" s="75">
        <f t="shared" si="15"/>
        <v>1</v>
      </c>
      <c r="AO22" s="75">
        <f t="shared" si="16"/>
        <v>1</v>
      </c>
      <c r="AP22" s="75">
        <f t="shared" si="17"/>
        <v>0</v>
      </c>
      <c r="AQ22" s="76">
        <f t="shared" si="18"/>
        <v>2</v>
      </c>
      <c r="AR22" s="75">
        <f t="shared" si="19"/>
        <v>0</v>
      </c>
      <c r="AS22" s="75">
        <f t="shared" si="20"/>
        <v>1</v>
      </c>
      <c r="AT22" s="75">
        <f t="shared" si="21"/>
        <v>1</v>
      </c>
      <c r="AU22" s="75">
        <f t="shared" si="22"/>
        <v>1</v>
      </c>
      <c r="AV22" s="75">
        <f t="shared" si="23"/>
        <v>1</v>
      </c>
      <c r="AW22" s="76">
        <f t="shared" si="24"/>
        <v>4</v>
      </c>
      <c r="AX22" s="77"/>
      <c r="AY22" s="75">
        <f t="shared" si="25"/>
        <v>4</v>
      </c>
      <c r="AZ22" s="75">
        <f t="shared" si="26"/>
        <v>2</v>
      </c>
      <c r="BA22" s="75">
        <f t="shared" si="27"/>
        <v>2</v>
      </c>
      <c r="BB22" s="75">
        <f t="shared" si="28"/>
        <v>4</v>
      </c>
      <c r="BC22" s="49">
        <f t="shared" si="29"/>
        <v>60</v>
      </c>
    </row>
    <row r="23">
      <c r="A23" s="65">
        <f>IFERROR(__xludf.DUMMYFUNCTION("""COMPUTED_VALUE"""),45993.75728168982)</f>
        <v>45993.75728</v>
      </c>
      <c r="B23" s="69" t="str">
        <f>IFERROR(__xludf.DUMMYFUNCTION("""COMPUTED_VALUE"""),"RAYLAN AKBAR")</f>
        <v>RAYLAN AKBAR</v>
      </c>
      <c r="C23" s="69" t="str">
        <f>IFERROR(__xludf.DUMMYFUNCTION("""COMPUTED_VALUE"""),"C250026")</f>
        <v>C250026</v>
      </c>
      <c r="D23" s="69" t="str">
        <f>IFERROR(__xludf.DUMMYFUNCTION("""COMPUTED_VALUE"""),"SMA Putra")</f>
        <v>SMA Putra</v>
      </c>
      <c r="E23" s="7" t="str">
        <f>IFERROR(__xludf.DUMMYFUNCTION("""COMPUTED_VALUE"""),"Ya")</f>
        <v>Ya</v>
      </c>
      <c r="F23" s="7" t="str">
        <f>IFERROR(__xludf.DUMMYFUNCTION("""COMPUTED_VALUE"""),"ال")</f>
        <v>ال</v>
      </c>
      <c r="G23" s="69" t="str">
        <f>IFERROR(__xludf.DUMMYFUNCTION("""COMPUTED_VALUE"""),"الفتحة")</f>
        <v>الفتحة</v>
      </c>
      <c r="H23" s="69" t="str">
        <f>IFERROR(__xludf.DUMMYFUNCTION("""COMPUTED_VALUE"""),"فاعل مرفوع")</f>
        <v>فاعل مرفوع</v>
      </c>
      <c r="I23" s="69" t="str">
        <f>IFERROR(__xludf.DUMMYFUNCTION("""COMPUTED_VALUE"""),"يكتب الطالب الدرس")</f>
        <v>يكتب الطالب الدرس</v>
      </c>
      <c r="J23" s="69" t="str">
        <f>IFERROR(__xludf.DUMMYFUNCTION("""COMPUTED_VALUE"""),"دخول الباء عليها")</f>
        <v>دخول الباء عليها</v>
      </c>
      <c r="K23" s="69" t="str">
        <f>IFERROR(__xludf.DUMMYFUNCTION("""COMPUTED_VALUE"""),"(1) dan (3)")</f>
        <v>(1) dan (3)</v>
      </c>
      <c r="L23" s="69" t="str">
        <f>IFERROR(__xludf.DUMMYFUNCTION("""COMPUTED_VALUE"""),"Satu pohon yang kita tanam sangat bermanfaat bagi masa depan bumi dan manusia.")</f>
        <v>Satu pohon yang kita tanam sangat bermanfaat bagi masa depan bumi dan manusia.</v>
      </c>
      <c r="M23" s="69" t="str">
        <f>IFERROR(__xludf.DUMMYFUNCTION("""COMPUTED_VALUE"""),"mengaji melebarkan pikiran")</f>
        <v>mengaji melebarkan pikiran</v>
      </c>
      <c r="N23"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23" s="69" t="str">
        <f>IFERROR(__xludf.DUMMYFUNCTION("""COMPUTED_VALUE"""),"jalan usaha")</f>
        <v>jalan usaha</v>
      </c>
      <c r="P23" s="69" t="str">
        <f>IFERROR(__xludf.DUMMYFUNCTION("""COMPUTED_VALUE"""),"CO2 dan O2")</f>
        <v>CO2 dan O2</v>
      </c>
      <c r="Q23" s="69" t="str">
        <f>IFERROR(__xludf.DUMMYFUNCTION("""COMPUTED_VALUE"""),"Fotosintesis")</f>
        <v>Fotosintesis</v>
      </c>
      <c r="R23" s="69" t="str">
        <f>IFERROR(__xludf.DUMMYFUNCTION("""COMPUTED_VALUE"""),"Nitrogen")</f>
        <v>Nitrogen</v>
      </c>
      <c r="S23" s="69" t="str">
        <f>IFERROR(__xludf.DUMMYFUNCTION("""COMPUTED_VALUE"""),"A, C, E, dan K")</f>
        <v>A, C, E, dan K</v>
      </c>
      <c r="T23" s="69" t="str">
        <f>IFERROR(__xludf.DUMMYFUNCTION("""COMPUTED_VALUE"""),"Sumber energi dan menetralkan racun")</f>
        <v>Sumber energi dan menetralkan racun</v>
      </c>
      <c r="U23" s="69">
        <f>IFERROR(__xludf.DUMMYFUNCTION("""COMPUTED_VALUE"""),100.0)</f>
        <v>100</v>
      </c>
      <c r="V23" s="69">
        <f>IFERROR(__xludf.DUMMYFUNCTION("""COMPUTED_VALUE"""),7.0)</f>
        <v>7</v>
      </c>
      <c r="W23" s="70">
        <f>IFERROR(__xludf.DUMMYFUNCTION("""COMPUTED_VALUE"""),16000.0)</f>
        <v>16000</v>
      </c>
      <c r="X23" s="69">
        <f>IFERROR(__xludf.DUMMYFUNCTION("""COMPUTED_VALUE"""),23.0)</f>
        <v>23</v>
      </c>
      <c r="Y23" s="69">
        <f>IFERROR(__xludf.DUMMYFUNCTION("""COMPUTED_VALUE"""),210.0)</f>
        <v>210</v>
      </c>
      <c r="Z23" s="67">
        <f t="shared" si="1"/>
        <v>0</v>
      </c>
      <c r="AA23" s="67">
        <f t="shared" si="2"/>
        <v>0</v>
      </c>
      <c r="AB23" s="67">
        <f t="shared" si="3"/>
        <v>0</v>
      </c>
      <c r="AC23" s="67">
        <f t="shared" si="4"/>
        <v>0</v>
      </c>
      <c r="AD23" s="67">
        <f t="shared" si="5"/>
        <v>1</v>
      </c>
      <c r="AE23" s="68">
        <f t="shared" si="6"/>
        <v>1</v>
      </c>
      <c r="AF23" s="67">
        <f t="shared" si="7"/>
        <v>0</v>
      </c>
      <c r="AG23" s="67">
        <f t="shared" si="8"/>
        <v>1</v>
      </c>
      <c r="AH23" s="67">
        <f t="shared" si="9"/>
        <v>0</v>
      </c>
      <c r="AI23" s="67">
        <f t="shared" si="10"/>
        <v>0</v>
      </c>
      <c r="AJ23" s="67">
        <f t="shared" si="11"/>
        <v>0</v>
      </c>
      <c r="AK23" s="68">
        <f t="shared" si="12"/>
        <v>1</v>
      </c>
      <c r="AL23" s="67">
        <f t="shared" si="13"/>
        <v>0</v>
      </c>
      <c r="AM23" s="67">
        <f t="shared" si="14"/>
        <v>1</v>
      </c>
      <c r="AN23" s="67">
        <f t="shared" si="15"/>
        <v>0</v>
      </c>
      <c r="AO23" s="67">
        <f t="shared" si="16"/>
        <v>0</v>
      </c>
      <c r="AP23" s="67">
        <f t="shared" si="17"/>
        <v>0</v>
      </c>
      <c r="AQ23" s="68">
        <f t="shared" si="18"/>
        <v>1</v>
      </c>
      <c r="AR23" s="67">
        <f t="shared" si="19"/>
        <v>0</v>
      </c>
      <c r="AS23" s="67">
        <f t="shared" si="20"/>
        <v>0</v>
      </c>
      <c r="AT23" s="67">
        <f t="shared" si="21"/>
        <v>0</v>
      </c>
      <c r="AU23" s="67">
        <f t="shared" si="22"/>
        <v>1</v>
      </c>
      <c r="AV23" s="67">
        <f t="shared" si="23"/>
        <v>1</v>
      </c>
      <c r="AW23" s="68">
        <f t="shared" si="24"/>
        <v>2</v>
      </c>
      <c r="AX23" s="56"/>
      <c r="AY23" s="67">
        <f t="shared" si="25"/>
        <v>1</v>
      </c>
      <c r="AZ23" s="67">
        <f t="shared" si="26"/>
        <v>1</v>
      </c>
      <c r="BA23" s="67">
        <f t="shared" si="27"/>
        <v>1</v>
      </c>
      <c r="BB23" s="67">
        <f t="shared" si="28"/>
        <v>2</v>
      </c>
      <c r="BC23" s="30">
        <f t="shared" si="29"/>
        <v>25</v>
      </c>
    </row>
    <row r="24">
      <c r="A24" s="65">
        <f>IFERROR(__xludf.DUMMYFUNCTION("""COMPUTED_VALUE"""),46026.51725611111)</f>
        <v>46026.51726</v>
      </c>
      <c r="B24" s="69" t="str">
        <f>IFERROR(__xludf.DUMMYFUNCTION("""COMPUTED_VALUE"""),"Muhammad Azka Rizky Ramadhan ")</f>
        <v>Muhammad Azka Rizky Ramadhan </v>
      </c>
      <c r="C24" s="69" t="str">
        <f>IFERROR(__xludf.DUMMYFUNCTION("""COMPUTED_VALUE"""),"C260001")</f>
        <v>C260001</v>
      </c>
      <c r="D24" s="69" t="str">
        <f>IFERROR(__xludf.DUMMYFUNCTION("""COMPUTED_VALUE"""),"SMA Putra")</f>
        <v>SMA Putra</v>
      </c>
      <c r="E24" s="7" t="str">
        <f>IFERROR(__xludf.DUMMYFUNCTION("""COMPUTED_VALUE"""),"Ya")</f>
        <v>Ya</v>
      </c>
      <c r="F24" s="7" t="str">
        <f>IFERROR(__xludf.DUMMYFUNCTION("""COMPUTED_VALUE"""),"العلم")</f>
        <v>العلم</v>
      </c>
      <c r="G24" s="69" t="str">
        <f>IFERROR(__xludf.DUMMYFUNCTION("""COMPUTED_VALUE"""),"الضمة")</f>
        <v>الضمة</v>
      </c>
      <c r="H24" s="69" t="str">
        <f>IFERROR(__xludf.DUMMYFUNCTION("""COMPUTED_VALUE"""),"اسم مجرور")</f>
        <v>اسم مجرور</v>
      </c>
      <c r="I24" s="69" t="str">
        <f>IFERROR(__xludf.DUMMYFUNCTION("""COMPUTED_VALUE"""),"الطالب مجتهد")</f>
        <v>الطالب مجتهد</v>
      </c>
      <c r="J24" s="69" t="str">
        <f>IFERROR(__xludf.DUMMYFUNCTION("""COMPUTED_VALUE"""),"دخول الباء عليها")</f>
        <v>دخول الباء عليها</v>
      </c>
      <c r="K24" s="69">
        <f>IFERROR(__xludf.DUMMYFUNCTION("""COMPUTED_VALUE"""),-1.0)</f>
        <v>-1</v>
      </c>
      <c r="L24" s="69" t="str">
        <f>IFERROR(__xludf.DUMMYFUNCTION("""COMPUTED_VALUE"""),"Satu pohon yang kita tanam sangat bermanfaat bagi masa depan bumi dan manusia.")</f>
        <v>Satu pohon yang kita tanam sangat bermanfaat bagi masa depan bumi dan manusia.</v>
      </c>
      <c r="M24" s="69" t="str">
        <f>IFERROR(__xludf.DUMMYFUNCTION("""COMPUTED_VALUE"""),"mengaji seperti jantung")</f>
        <v>mengaji seperti jantung</v>
      </c>
      <c r="N24" s="69" t="str">
        <f>IFERROR(__xludf.DUMMYFUNCTION("""COMPUTED_VALUE"""),"gambaran suasana kota malam hari setelah hujan yang tidak ada lagi aktivitas masyarakat karena sudah banyak yang istirahat")</f>
        <v>gambaran suasana kota malam hari setelah hujan yang tidak ada lagi aktivitas masyarakat karena sudah banyak yang istirahat</v>
      </c>
      <c r="O24" s="69" t="str">
        <f>IFERROR(__xludf.DUMMYFUNCTION("""COMPUTED_VALUE"""),"usaha yang mula-mula sekali")</f>
        <v>usaha yang mula-mula sekali</v>
      </c>
      <c r="P24" s="69" t="str">
        <f>IFERROR(__xludf.DUMMYFUNCTION("""COMPUTED_VALUE"""),"CO2 dan H2O")</f>
        <v>CO2 dan H2O</v>
      </c>
      <c r="Q24" s="69" t="str">
        <f>IFERROR(__xludf.DUMMYFUNCTION("""COMPUTED_VALUE"""),"Pernapasan")</f>
        <v>Pernapasan</v>
      </c>
      <c r="R24" s="69" t="str">
        <f>IFERROR(__xludf.DUMMYFUNCTION("""COMPUTED_VALUE"""),"Karbon dioksida")</f>
        <v>Karbon dioksida</v>
      </c>
      <c r="S24" s="69" t="str">
        <f>IFERROR(__xludf.DUMMYFUNCTION("""COMPUTED_VALUE"""),"A, B, C, dan D")</f>
        <v>A, B, C, dan D</v>
      </c>
      <c r="T24" s="69" t="str">
        <f>IFERROR(__xludf.DUMMYFUNCTION("""COMPUTED_VALUE"""),"Pengatur suhu tubuh dan sumber energi")</f>
        <v>Pengatur suhu tubuh dan sumber energi</v>
      </c>
      <c r="U24" s="69">
        <f>IFERROR(__xludf.DUMMYFUNCTION("""COMPUTED_VALUE"""),85.0)</f>
        <v>85</v>
      </c>
      <c r="V24" s="69">
        <f>IFERROR(__xludf.DUMMYFUNCTION("""COMPUTED_VALUE"""),7.0)</f>
        <v>7</v>
      </c>
      <c r="W24" s="70">
        <f>IFERROR(__xludf.DUMMYFUNCTION("""COMPUTED_VALUE"""),17000.0)</f>
        <v>17000</v>
      </c>
      <c r="X24" s="69">
        <f>IFERROR(__xludf.DUMMYFUNCTION("""COMPUTED_VALUE"""),17.0)</f>
        <v>17</v>
      </c>
      <c r="Y24" s="69">
        <f>IFERROR(__xludf.DUMMYFUNCTION("""COMPUTED_VALUE"""),210.0)</f>
        <v>210</v>
      </c>
      <c r="Z24" s="67">
        <f t="shared" si="1"/>
        <v>1</v>
      </c>
      <c r="AA24" s="67">
        <f t="shared" si="2"/>
        <v>1</v>
      </c>
      <c r="AB24" s="67">
        <f t="shared" si="3"/>
        <v>1</v>
      </c>
      <c r="AC24" s="67">
        <f t="shared" si="4"/>
        <v>1</v>
      </c>
      <c r="AD24" s="67">
        <f t="shared" si="5"/>
        <v>1</v>
      </c>
      <c r="AE24" s="68">
        <f t="shared" si="6"/>
        <v>5</v>
      </c>
      <c r="AF24" s="67">
        <f t="shared" si="7"/>
        <v>0</v>
      </c>
      <c r="AG24" s="67">
        <f t="shared" si="8"/>
        <v>1</v>
      </c>
      <c r="AH24" s="67">
        <f t="shared" si="9"/>
        <v>1</v>
      </c>
      <c r="AI24" s="67">
        <f t="shared" si="10"/>
        <v>0</v>
      </c>
      <c r="AJ24" s="67">
        <f t="shared" si="11"/>
        <v>1</v>
      </c>
      <c r="AK24" s="68">
        <f t="shared" si="12"/>
        <v>3</v>
      </c>
      <c r="AL24" s="67">
        <f t="shared" si="13"/>
        <v>0</v>
      </c>
      <c r="AM24" s="67">
        <f t="shared" si="14"/>
        <v>0</v>
      </c>
      <c r="AN24" s="67">
        <f t="shared" si="15"/>
        <v>0</v>
      </c>
      <c r="AO24" s="67">
        <f t="shared" si="16"/>
        <v>0</v>
      </c>
      <c r="AP24" s="67">
        <f t="shared" si="17"/>
        <v>0</v>
      </c>
      <c r="AQ24" s="68">
        <f t="shared" si="18"/>
        <v>0</v>
      </c>
      <c r="AR24" s="67">
        <f t="shared" si="19"/>
        <v>1</v>
      </c>
      <c r="AS24" s="67">
        <f t="shared" si="20"/>
        <v>0</v>
      </c>
      <c r="AT24" s="67">
        <f t="shared" si="21"/>
        <v>1</v>
      </c>
      <c r="AU24" s="67">
        <f t="shared" si="22"/>
        <v>0</v>
      </c>
      <c r="AV24" s="67">
        <f t="shared" si="23"/>
        <v>1</v>
      </c>
      <c r="AW24" s="68">
        <f t="shared" si="24"/>
        <v>3</v>
      </c>
      <c r="AX24" s="56"/>
      <c r="AY24" s="67">
        <f t="shared" si="25"/>
        <v>5</v>
      </c>
      <c r="AZ24" s="67">
        <f t="shared" si="26"/>
        <v>3</v>
      </c>
      <c r="BA24" s="67">
        <f t="shared" si="27"/>
        <v>0</v>
      </c>
      <c r="BB24" s="67">
        <f t="shared" si="28"/>
        <v>3</v>
      </c>
      <c r="BC24" s="30">
        <f t="shared" si="29"/>
        <v>55</v>
      </c>
    </row>
    <row r="25">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7">
        <f t="shared" si="1"/>
        <v>0</v>
      </c>
      <c r="AA25" s="67">
        <f t="shared" si="2"/>
        <v>0</v>
      </c>
      <c r="AB25" s="67">
        <f t="shared" si="3"/>
        <v>0</v>
      </c>
      <c r="AC25" s="67">
        <f t="shared" si="4"/>
        <v>0</v>
      </c>
      <c r="AD25" s="67">
        <f t="shared" si="5"/>
        <v>0</v>
      </c>
      <c r="AE25" s="68">
        <f t="shared" si="6"/>
        <v>0</v>
      </c>
      <c r="AF25" s="67">
        <f t="shared" si="7"/>
        <v>0</v>
      </c>
      <c r="AG25" s="67">
        <f t="shared" si="8"/>
        <v>0</v>
      </c>
      <c r="AH25" s="67">
        <f t="shared" si="9"/>
        <v>0</v>
      </c>
      <c r="AI25" s="67">
        <f t="shared" si="10"/>
        <v>0</v>
      </c>
      <c r="AJ25" s="67">
        <f t="shared" si="11"/>
        <v>0</v>
      </c>
      <c r="AK25" s="68">
        <f t="shared" si="12"/>
        <v>0</v>
      </c>
      <c r="AL25" s="67">
        <f t="shared" si="13"/>
        <v>0</v>
      </c>
      <c r="AM25" s="67">
        <f t="shared" si="14"/>
        <v>0</v>
      </c>
      <c r="AN25" s="67">
        <f t="shared" si="15"/>
        <v>0</v>
      </c>
      <c r="AO25" s="67">
        <f t="shared" si="16"/>
        <v>0</v>
      </c>
      <c r="AP25" s="67">
        <f t="shared" si="17"/>
        <v>0</v>
      </c>
      <c r="AQ25" s="68">
        <f t="shared" si="18"/>
        <v>0</v>
      </c>
      <c r="AR25" s="67">
        <f t="shared" si="19"/>
        <v>0</v>
      </c>
      <c r="AS25" s="67">
        <f t="shared" si="20"/>
        <v>0</v>
      </c>
      <c r="AT25" s="67">
        <f t="shared" si="21"/>
        <v>0</v>
      </c>
      <c r="AU25" s="67">
        <f t="shared" si="22"/>
        <v>0</v>
      </c>
      <c r="AV25" s="67">
        <f t="shared" si="23"/>
        <v>0</v>
      </c>
      <c r="AW25" s="68">
        <f t="shared" si="24"/>
        <v>0</v>
      </c>
      <c r="AX25" s="56"/>
      <c r="AY25" s="67">
        <f t="shared" si="25"/>
        <v>0</v>
      </c>
      <c r="AZ25" s="67">
        <f t="shared" si="26"/>
        <v>0</v>
      </c>
      <c r="BA25" s="67">
        <f t="shared" si="27"/>
        <v>0</v>
      </c>
      <c r="BB25" s="67">
        <f t="shared" si="28"/>
        <v>0</v>
      </c>
      <c r="BC25" s="30">
        <f t="shared" si="29"/>
        <v>0</v>
      </c>
    </row>
    <row r="26">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7">
        <f t="shared" si="1"/>
        <v>0</v>
      </c>
      <c r="AA26" s="67">
        <f t="shared" si="2"/>
        <v>0</v>
      </c>
      <c r="AB26" s="67">
        <f t="shared" si="3"/>
        <v>0</v>
      </c>
      <c r="AC26" s="67">
        <f t="shared" si="4"/>
        <v>0</v>
      </c>
      <c r="AD26" s="67">
        <f t="shared" si="5"/>
        <v>0</v>
      </c>
      <c r="AE26" s="68">
        <f t="shared" si="6"/>
        <v>0</v>
      </c>
      <c r="AF26" s="67">
        <f t="shared" si="7"/>
        <v>0</v>
      </c>
      <c r="AG26" s="67">
        <f t="shared" si="8"/>
        <v>0</v>
      </c>
      <c r="AH26" s="67">
        <f t="shared" si="9"/>
        <v>0</v>
      </c>
      <c r="AI26" s="67">
        <f t="shared" si="10"/>
        <v>0</v>
      </c>
      <c r="AJ26" s="67">
        <f t="shared" si="11"/>
        <v>0</v>
      </c>
      <c r="AK26" s="68">
        <f t="shared" si="12"/>
        <v>0</v>
      </c>
      <c r="AL26" s="67">
        <f t="shared" si="13"/>
        <v>0</v>
      </c>
      <c r="AM26" s="67">
        <f t="shared" si="14"/>
        <v>0</v>
      </c>
      <c r="AN26" s="67">
        <f t="shared" si="15"/>
        <v>0</v>
      </c>
      <c r="AO26" s="67">
        <f t="shared" si="16"/>
        <v>0</v>
      </c>
      <c r="AP26" s="67">
        <f t="shared" si="17"/>
        <v>0</v>
      </c>
      <c r="AQ26" s="68">
        <f t="shared" si="18"/>
        <v>0</v>
      </c>
      <c r="AR26" s="67">
        <f t="shared" si="19"/>
        <v>0</v>
      </c>
      <c r="AS26" s="67">
        <f t="shared" si="20"/>
        <v>0</v>
      </c>
      <c r="AT26" s="67">
        <f t="shared" si="21"/>
        <v>0</v>
      </c>
      <c r="AU26" s="67">
        <f t="shared" si="22"/>
        <v>0</v>
      </c>
      <c r="AV26" s="67">
        <f t="shared" si="23"/>
        <v>0</v>
      </c>
      <c r="AW26" s="68">
        <f t="shared" si="24"/>
        <v>0</v>
      </c>
      <c r="AX26" s="56"/>
      <c r="AY26" s="67">
        <f t="shared" si="25"/>
        <v>0</v>
      </c>
      <c r="AZ26" s="67">
        <f t="shared" si="26"/>
        <v>0</v>
      </c>
      <c r="BA26" s="67">
        <f t="shared" si="27"/>
        <v>0</v>
      </c>
      <c r="BB26" s="67">
        <f t="shared" si="28"/>
        <v>0</v>
      </c>
      <c r="BC26" s="30">
        <f t="shared" si="29"/>
        <v>0</v>
      </c>
    </row>
    <row r="27">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7">
        <f t="shared" si="1"/>
        <v>0</v>
      </c>
      <c r="AA27" s="67">
        <f t="shared" si="2"/>
        <v>0</v>
      </c>
      <c r="AB27" s="67">
        <f t="shared" si="3"/>
        <v>0</v>
      </c>
      <c r="AC27" s="67">
        <f t="shared" si="4"/>
        <v>0</v>
      </c>
      <c r="AD27" s="67">
        <f t="shared" si="5"/>
        <v>0</v>
      </c>
      <c r="AE27" s="68">
        <f t="shared" si="6"/>
        <v>0</v>
      </c>
      <c r="AF27" s="67">
        <f t="shared" si="7"/>
        <v>0</v>
      </c>
      <c r="AG27" s="67">
        <f t="shared" si="8"/>
        <v>0</v>
      </c>
      <c r="AH27" s="67">
        <f t="shared" si="9"/>
        <v>0</v>
      </c>
      <c r="AI27" s="67">
        <f t="shared" si="10"/>
        <v>0</v>
      </c>
      <c r="AJ27" s="67">
        <f t="shared" si="11"/>
        <v>0</v>
      </c>
      <c r="AK27" s="68">
        <f t="shared" si="12"/>
        <v>0</v>
      </c>
      <c r="AL27" s="67">
        <f t="shared" si="13"/>
        <v>0</v>
      </c>
      <c r="AM27" s="67">
        <f t="shared" si="14"/>
        <v>0</v>
      </c>
      <c r="AN27" s="67">
        <f t="shared" si="15"/>
        <v>0</v>
      </c>
      <c r="AO27" s="67">
        <f t="shared" si="16"/>
        <v>0</v>
      </c>
      <c r="AP27" s="67">
        <f t="shared" si="17"/>
        <v>0</v>
      </c>
      <c r="AQ27" s="68">
        <f t="shared" si="18"/>
        <v>0</v>
      </c>
      <c r="AR27" s="67">
        <f t="shared" si="19"/>
        <v>0</v>
      </c>
      <c r="AS27" s="67">
        <f t="shared" si="20"/>
        <v>0</v>
      </c>
      <c r="AT27" s="67">
        <f t="shared" si="21"/>
        <v>0</v>
      </c>
      <c r="AU27" s="67">
        <f t="shared" si="22"/>
        <v>0</v>
      </c>
      <c r="AV27" s="67">
        <f t="shared" si="23"/>
        <v>0</v>
      </c>
      <c r="AW27" s="68">
        <f t="shared" si="24"/>
        <v>0</v>
      </c>
      <c r="AX27" s="56"/>
      <c r="AY27" s="67">
        <f t="shared" si="25"/>
        <v>0</v>
      </c>
      <c r="AZ27" s="67">
        <f t="shared" si="26"/>
        <v>0</v>
      </c>
      <c r="BA27" s="67">
        <f t="shared" si="27"/>
        <v>0</v>
      </c>
      <c r="BB27" s="67">
        <f t="shared" si="28"/>
        <v>0</v>
      </c>
      <c r="BC27" s="30">
        <f t="shared" si="29"/>
        <v>0</v>
      </c>
    </row>
    <row r="28">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7">
        <f t="shared" si="1"/>
        <v>0</v>
      </c>
      <c r="AA28" s="67">
        <f t="shared" si="2"/>
        <v>0</v>
      </c>
      <c r="AB28" s="67">
        <f t="shared" si="3"/>
        <v>0</v>
      </c>
      <c r="AC28" s="67">
        <f t="shared" si="4"/>
        <v>0</v>
      </c>
      <c r="AD28" s="67">
        <f t="shared" si="5"/>
        <v>0</v>
      </c>
      <c r="AE28" s="68">
        <f t="shared" si="6"/>
        <v>0</v>
      </c>
      <c r="AF28" s="67">
        <f t="shared" si="7"/>
        <v>0</v>
      </c>
      <c r="AG28" s="67">
        <f t="shared" si="8"/>
        <v>0</v>
      </c>
      <c r="AH28" s="67">
        <f t="shared" si="9"/>
        <v>0</v>
      </c>
      <c r="AI28" s="67">
        <f t="shared" si="10"/>
        <v>0</v>
      </c>
      <c r="AJ28" s="67">
        <f t="shared" si="11"/>
        <v>0</v>
      </c>
      <c r="AK28" s="68">
        <f t="shared" si="12"/>
        <v>0</v>
      </c>
      <c r="AL28" s="67">
        <f t="shared" si="13"/>
        <v>0</v>
      </c>
      <c r="AM28" s="67">
        <f t="shared" si="14"/>
        <v>0</v>
      </c>
      <c r="AN28" s="67">
        <f t="shared" si="15"/>
        <v>0</v>
      </c>
      <c r="AO28" s="67">
        <f t="shared" si="16"/>
        <v>0</v>
      </c>
      <c r="AP28" s="67">
        <f t="shared" si="17"/>
        <v>0</v>
      </c>
      <c r="AQ28" s="68">
        <f t="shared" si="18"/>
        <v>0</v>
      </c>
      <c r="AR28" s="67">
        <f t="shared" si="19"/>
        <v>0</v>
      </c>
      <c r="AS28" s="67">
        <f t="shared" si="20"/>
        <v>0</v>
      </c>
      <c r="AT28" s="67">
        <f t="shared" si="21"/>
        <v>0</v>
      </c>
      <c r="AU28" s="67">
        <f t="shared" si="22"/>
        <v>0</v>
      </c>
      <c r="AV28" s="67">
        <f t="shared" si="23"/>
        <v>0</v>
      </c>
      <c r="AW28" s="68">
        <f t="shared" si="24"/>
        <v>0</v>
      </c>
      <c r="AX28" s="56"/>
      <c r="AY28" s="67">
        <f t="shared" si="25"/>
        <v>0</v>
      </c>
      <c r="AZ28" s="67">
        <f t="shared" si="26"/>
        <v>0</v>
      </c>
      <c r="BA28" s="67">
        <f t="shared" si="27"/>
        <v>0</v>
      </c>
      <c r="BB28" s="67">
        <f t="shared" si="28"/>
        <v>0</v>
      </c>
      <c r="BC28" s="30">
        <f t="shared" si="29"/>
        <v>0</v>
      </c>
    </row>
    <row r="29">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7">
        <f t="shared" si="1"/>
        <v>0</v>
      </c>
      <c r="AA29" s="67">
        <f t="shared" si="2"/>
        <v>0</v>
      </c>
      <c r="AB29" s="67">
        <f t="shared" si="3"/>
        <v>0</v>
      </c>
      <c r="AC29" s="67">
        <f t="shared" si="4"/>
        <v>0</v>
      </c>
      <c r="AD29" s="67">
        <f t="shared" si="5"/>
        <v>0</v>
      </c>
      <c r="AE29" s="68">
        <f t="shared" si="6"/>
        <v>0</v>
      </c>
      <c r="AF29" s="67">
        <f t="shared" si="7"/>
        <v>0</v>
      </c>
      <c r="AG29" s="67">
        <f t="shared" si="8"/>
        <v>0</v>
      </c>
      <c r="AH29" s="67">
        <f t="shared" si="9"/>
        <v>0</v>
      </c>
      <c r="AI29" s="67">
        <f t="shared" si="10"/>
        <v>0</v>
      </c>
      <c r="AJ29" s="67">
        <f t="shared" si="11"/>
        <v>0</v>
      </c>
      <c r="AK29" s="68">
        <f t="shared" si="12"/>
        <v>0</v>
      </c>
      <c r="AL29" s="67">
        <f t="shared" si="13"/>
        <v>0</v>
      </c>
      <c r="AM29" s="67">
        <f t="shared" si="14"/>
        <v>0</v>
      </c>
      <c r="AN29" s="67">
        <f t="shared" si="15"/>
        <v>0</v>
      </c>
      <c r="AO29" s="67">
        <f t="shared" si="16"/>
        <v>0</v>
      </c>
      <c r="AP29" s="67">
        <f t="shared" si="17"/>
        <v>0</v>
      </c>
      <c r="AQ29" s="68">
        <f t="shared" si="18"/>
        <v>0</v>
      </c>
      <c r="AR29" s="67">
        <f t="shared" si="19"/>
        <v>0</v>
      </c>
      <c r="AS29" s="67">
        <f t="shared" si="20"/>
        <v>0</v>
      </c>
      <c r="AT29" s="67">
        <f t="shared" si="21"/>
        <v>0</v>
      </c>
      <c r="AU29" s="67">
        <f t="shared" si="22"/>
        <v>0</v>
      </c>
      <c r="AV29" s="67">
        <f t="shared" si="23"/>
        <v>0</v>
      </c>
      <c r="AW29" s="68">
        <f t="shared" si="24"/>
        <v>0</v>
      </c>
      <c r="AX29" s="56"/>
      <c r="AY29" s="67">
        <f t="shared" si="25"/>
        <v>0</v>
      </c>
      <c r="AZ29" s="67">
        <f t="shared" si="26"/>
        <v>0</v>
      </c>
      <c r="BA29" s="67">
        <f t="shared" si="27"/>
        <v>0</v>
      </c>
      <c r="BB29" s="67">
        <f t="shared" si="28"/>
        <v>0</v>
      </c>
      <c r="BC29" s="30">
        <f t="shared" si="29"/>
        <v>0</v>
      </c>
    </row>
    <row r="30">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7">
        <f t="shared" si="1"/>
        <v>0</v>
      </c>
      <c r="AA30" s="67">
        <f t="shared" si="2"/>
        <v>0</v>
      </c>
      <c r="AB30" s="67">
        <f t="shared" si="3"/>
        <v>0</v>
      </c>
      <c r="AC30" s="67">
        <f t="shared" si="4"/>
        <v>0</v>
      </c>
      <c r="AD30" s="67">
        <f t="shared" si="5"/>
        <v>0</v>
      </c>
      <c r="AE30" s="68">
        <f t="shared" si="6"/>
        <v>0</v>
      </c>
      <c r="AF30" s="67">
        <f t="shared" si="7"/>
        <v>0</v>
      </c>
      <c r="AG30" s="67">
        <f t="shared" si="8"/>
        <v>0</v>
      </c>
      <c r="AH30" s="67">
        <f t="shared" si="9"/>
        <v>0</v>
      </c>
      <c r="AI30" s="67">
        <f t="shared" si="10"/>
        <v>0</v>
      </c>
      <c r="AJ30" s="67">
        <f t="shared" si="11"/>
        <v>0</v>
      </c>
      <c r="AK30" s="68">
        <f t="shared" si="12"/>
        <v>0</v>
      </c>
      <c r="AL30" s="67">
        <f t="shared" si="13"/>
        <v>0</v>
      </c>
      <c r="AM30" s="67">
        <f t="shared" si="14"/>
        <v>0</v>
      </c>
      <c r="AN30" s="67">
        <f t="shared" si="15"/>
        <v>0</v>
      </c>
      <c r="AO30" s="67">
        <f t="shared" si="16"/>
        <v>0</v>
      </c>
      <c r="AP30" s="67">
        <f t="shared" si="17"/>
        <v>0</v>
      </c>
      <c r="AQ30" s="68">
        <f t="shared" si="18"/>
        <v>0</v>
      </c>
      <c r="AR30" s="67">
        <f t="shared" si="19"/>
        <v>0</v>
      </c>
      <c r="AS30" s="67">
        <f t="shared" si="20"/>
        <v>0</v>
      </c>
      <c r="AT30" s="67">
        <f t="shared" si="21"/>
        <v>0</v>
      </c>
      <c r="AU30" s="67">
        <f t="shared" si="22"/>
        <v>0</v>
      </c>
      <c r="AV30" s="67">
        <f t="shared" si="23"/>
        <v>0</v>
      </c>
      <c r="AW30" s="68">
        <f t="shared" si="24"/>
        <v>0</v>
      </c>
      <c r="AX30" s="56"/>
      <c r="AY30" s="67">
        <f t="shared" si="25"/>
        <v>0</v>
      </c>
      <c r="AZ30" s="67">
        <f t="shared" si="26"/>
        <v>0</v>
      </c>
      <c r="BA30" s="67">
        <f t="shared" si="27"/>
        <v>0</v>
      </c>
      <c r="BB30" s="67">
        <f t="shared" si="28"/>
        <v>0</v>
      </c>
      <c r="BC30" s="30">
        <f t="shared" si="29"/>
        <v>0</v>
      </c>
    </row>
    <row r="31">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7">
        <f t="shared" si="1"/>
        <v>0</v>
      </c>
      <c r="AA31" s="67">
        <f t="shared" si="2"/>
        <v>0</v>
      </c>
      <c r="AB31" s="67">
        <f t="shared" si="3"/>
        <v>0</v>
      </c>
      <c r="AC31" s="67">
        <f t="shared" si="4"/>
        <v>0</v>
      </c>
      <c r="AD31" s="67">
        <f t="shared" si="5"/>
        <v>0</v>
      </c>
      <c r="AE31" s="68">
        <f t="shared" si="6"/>
        <v>0</v>
      </c>
      <c r="AF31" s="67">
        <f t="shared" si="7"/>
        <v>0</v>
      </c>
      <c r="AG31" s="67">
        <f t="shared" si="8"/>
        <v>0</v>
      </c>
      <c r="AH31" s="67">
        <f t="shared" si="9"/>
        <v>0</v>
      </c>
      <c r="AI31" s="67">
        <f t="shared" si="10"/>
        <v>0</v>
      </c>
      <c r="AJ31" s="67">
        <f t="shared" si="11"/>
        <v>0</v>
      </c>
      <c r="AK31" s="68">
        <f t="shared" si="12"/>
        <v>0</v>
      </c>
      <c r="AL31" s="67">
        <f t="shared" si="13"/>
        <v>0</v>
      </c>
      <c r="AM31" s="67">
        <f t="shared" si="14"/>
        <v>0</v>
      </c>
      <c r="AN31" s="67">
        <f t="shared" si="15"/>
        <v>0</v>
      </c>
      <c r="AO31" s="67">
        <f t="shared" si="16"/>
        <v>0</v>
      </c>
      <c r="AP31" s="67">
        <f t="shared" si="17"/>
        <v>0</v>
      </c>
      <c r="AQ31" s="68">
        <f t="shared" si="18"/>
        <v>0</v>
      </c>
      <c r="AR31" s="67">
        <f t="shared" si="19"/>
        <v>0</v>
      </c>
      <c r="AS31" s="67">
        <f t="shared" si="20"/>
        <v>0</v>
      </c>
      <c r="AT31" s="67">
        <f t="shared" si="21"/>
        <v>0</v>
      </c>
      <c r="AU31" s="67">
        <f t="shared" si="22"/>
        <v>0</v>
      </c>
      <c r="AV31" s="67">
        <f t="shared" si="23"/>
        <v>0</v>
      </c>
      <c r="AW31" s="68">
        <f t="shared" si="24"/>
        <v>0</v>
      </c>
      <c r="AX31" s="56"/>
      <c r="AY31" s="67">
        <f t="shared" si="25"/>
        <v>0</v>
      </c>
      <c r="AZ31" s="67">
        <f t="shared" si="26"/>
        <v>0</v>
      </c>
      <c r="BA31" s="67">
        <f t="shared" si="27"/>
        <v>0</v>
      </c>
      <c r="BB31" s="67">
        <f t="shared" si="28"/>
        <v>0</v>
      </c>
      <c r="BC31" s="30">
        <f t="shared" si="29"/>
        <v>0</v>
      </c>
    </row>
    <row r="32">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7">
        <f t="shared" si="1"/>
        <v>0</v>
      </c>
      <c r="AA32" s="67">
        <f t="shared" si="2"/>
        <v>0</v>
      </c>
      <c r="AB32" s="67">
        <f t="shared" si="3"/>
        <v>0</v>
      </c>
      <c r="AC32" s="67">
        <f t="shared" si="4"/>
        <v>0</v>
      </c>
      <c r="AD32" s="67">
        <f t="shared" si="5"/>
        <v>0</v>
      </c>
      <c r="AE32" s="68">
        <f t="shared" si="6"/>
        <v>0</v>
      </c>
      <c r="AF32" s="67">
        <f t="shared" si="7"/>
        <v>0</v>
      </c>
      <c r="AG32" s="67">
        <f t="shared" si="8"/>
        <v>0</v>
      </c>
      <c r="AH32" s="67">
        <f t="shared" si="9"/>
        <v>0</v>
      </c>
      <c r="AI32" s="67">
        <f t="shared" si="10"/>
        <v>0</v>
      </c>
      <c r="AJ32" s="67">
        <f t="shared" si="11"/>
        <v>0</v>
      </c>
      <c r="AK32" s="68">
        <f t="shared" si="12"/>
        <v>0</v>
      </c>
      <c r="AL32" s="67">
        <f t="shared" si="13"/>
        <v>0</v>
      </c>
      <c r="AM32" s="67">
        <f t="shared" si="14"/>
        <v>0</v>
      </c>
      <c r="AN32" s="67">
        <f t="shared" si="15"/>
        <v>0</v>
      </c>
      <c r="AO32" s="67">
        <f t="shared" si="16"/>
        <v>0</v>
      </c>
      <c r="AP32" s="67">
        <f t="shared" si="17"/>
        <v>0</v>
      </c>
      <c r="AQ32" s="68">
        <f t="shared" si="18"/>
        <v>0</v>
      </c>
      <c r="AR32" s="67">
        <f t="shared" si="19"/>
        <v>0</v>
      </c>
      <c r="AS32" s="67">
        <f t="shared" si="20"/>
        <v>0</v>
      </c>
      <c r="AT32" s="67">
        <f t="shared" si="21"/>
        <v>0</v>
      </c>
      <c r="AU32" s="67">
        <f t="shared" si="22"/>
        <v>0</v>
      </c>
      <c r="AV32" s="67">
        <f t="shared" si="23"/>
        <v>0</v>
      </c>
      <c r="AW32" s="68">
        <f t="shared" si="24"/>
        <v>0</v>
      </c>
      <c r="AX32" s="56"/>
      <c r="AY32" s="67">
        <f t="shared" si="25"/>
        <v>0</v>
      </c>
      <c r="AZ32" s="67">
        <f t="shared" si="26"/>
        <v>0</v>
      </c>
      <c r="BA32" s="67">
        <f t="shared" si="27"/>
        <v>0</v>
      </c>
      <c r="BB32" s="67">
        <f t="shared" si="28"/>
        <v>0</v>
      </c>
      <c r="BC32" s="30">
        <f t="shared" si="29"/>
        <v>0</v>
      </c>
    </row>
    <row r="33">
      <c r="A33" s="69"/>
      <c r="B33" s="69"/>
      <c r="C33" s="69"/>
      <c r="D33" s="69"/>
      <c r="E33" s="69"/>
      <c r="F33" s="69"/>
      <c r="G33" s="69"/>
      <c r="H33" s="69"/>
      <c r="I33" s="69"/>
      <c r="J33" s="69"/>
      <c r="K33" s="69"/>
      <c r="L33" s="69"/>
      <c r="M33" s="69"/>
      <c r="N33" s="69"/>
      <c r="O33" s="69"/>
      <c r="P33" s="69"/>
      <c r="Q33" s="69"/>
      <c r="R33" s="69"/>
      <c r="S33" s="69"/>
      <c r="T33" s="69"/>
      <c r="U33" s="69"/>
      <c r="V33" s="69"/>
      <c r="W33" s="69"/>
      <c r="X33" s="69"/>
      <c r="Y33" s="69"/>
      <c r="Z33" s="67">
        <f t="shared" si="1"/>
        <v>0</v>
      </c>
      <c r="AA33" s="67">
        <f t="shared" si="2"/>
        <v>0</v>
      </c>
      <c r="AB33" s="67">
        <f t="shared" si="3"/>
        <v>0</v>
      </c>
      <c r="AC33" s="67">
        <f t="shared" si="4"/>
        <v>0</v>
      </c>
      <c r="AD33" s="67">
        <f t="shared" si="5"/>
        <v>0</v>
      </c>
      <c r="AE33" s="68">
        <f t="shared" si="6"/>
        <v>0</v>
      </c>
      <c r="AF33" s="67">
        <f t="shared" si="7"/>
        <v>0</v>
      </c>
      <c r="AG33" s="67">
        <f t="shared" si="8"/>
        <v>0</v>
      </c>
      <c r="AH33" s="67">
        <f t="shared" si="9"/>
        <v>0</v>
      </c>
      <c r="AI33" s="67">
        <f t="shared" si="10"/>
        <v>0</v>
      </c>
      <c r="AJ33" s="67">
        <f t="shared" si="11"/>
        <v>0</v>
      </c>
      <c r="AK33" s="68">
        <f t="shared" si="12"/>
        <v>0</v>
      </c>
      <c r="AL33" s="67">
        <f t="shared" si="13"/>
        <v>0</v>
      </c>
      <c r="AM33" s="67">
        <f t="shared" si="14"/>
        <v>0</v>
      </c>
      <c r="AN33" s="67">
        <f t="shared" si="15"/>
        <v>0</v>
      </c>
      <c r="AO33" s="67">
        <f t="shared" si="16"/>
        <v>0</v>
      </c>
      <c r="AP33" s="67">
        <f t="shared" si="17"/>
        <v>0</v>
      </c>
      <c r="AQ33" s="68">
        <f t="shared" si="18"/>
        <v>0</v>
      </c>
      <c r="AR33" s="67">
        <f t="shared" si="19"/>
        <v>0</v>
      </c>
      <c r="AS33" s="67">
        <f t="shared" si="20"/>
        <v>0</v>
      </c>
      <c r="AT33" s="67">
        <f t="shared" si="21"/>
        <v>0</v>
      </c>
      <c r="AU33" s="67">
        <f t="shared" si="22"/>
        <v>0</v>
      </c>
      <c r="AV33" s="67">
        <f t="shared" si="23"/>
        <v>0</v>
      </c>
      <c r="AW33" s="68">
        <f t="shared" si="24"/>
        <v>0</v>
      </c>
      <c r="AX33" s="56"/>
      <c r="AY33" s="67">
        <f t="shared" si="25"/>
        <v>0</v>
      </c>
      <c r="AZ33" s="67">
        <f t="shared" si="26"/>
        <v>0</v>
      </c>
      <c r="BA33" s="67">
        <f t="shared" si="27"/>
        <v>0</v>
      </c>
      <c r="BB33" s="67">
        <f t="shared" si="28"/>
        <v>0</v>
      </c>
      <c r="BC33" s="30">
        <f t="shared" si="29"/>
        <v>0</v>
      </c>
    </row>
    <row r="34">
      <c r="A34" s="69"/>
      <c r="B34" s="69"/>
      <c r="C34" s="69"/>
      <c r="D34" s="69"/>
      <c r="E34" s="69"/>
      <c r="F34" s="69"/>
      <c r="G34" s="69"/>
      <c r="H34" s="69"/>
      <c r="I34" s="69"/>
      <c r="J34" s="69"/>
      <c r="K34" s="69"/>
      <c r="L34" s="69"/>
      <c r="M34" s="69"/>
      <c r="N34" s="69"/>
      <c r="O34" s="69"/>
      <c r="P34" s="69"/>
      <c r="Q34" s="69"/>
      <c r="R34" s="69"/>
      <c r="S34" s="69"/>
      <c r="T34" s="69"/>
      <c r="U34" s="69"/>
      <c r="V34" s="69"/>
      <c r="W34" s="69"/>
      <c r="X34" s="69"/>
      <c r="Y34" s="69"/>
      <c r="Z34" s="67">
        <f t="shared" si="1"/>
        <v>0</v>
      </c>
      <c r="AA34" s="67">
        <f t="shared" si="2"/>
        <v>0</v>
      </c>
      <c r="AB34" s="67">
        <f t="shared" si="3"/>
        <v>0</v>
      </c>
      <c r="AC34" s="67">
        <f t="shared" si="4"/>
        <v>0</v>
      </c>
      <c r="AD34" s="67">
        <f t="shared" si="5"/>
        <v>0</v>
      </c>
      <c r="AE34" s="68">
        <f t="shared" si="6"/>
        <v>0</v>
      </c>
      <c r="AF34" s="67">
        <f t="shared" si="7"/>
        <v>0</v>
      </c>
      <c r="AG34" s="67">
        <f t="shared" si="8"/>
        <v>0</v>
      </c>
      <c r="AH34" s="67">
        <f t="shared" si="9"/>
        <v>0</v>
      </c>
      <c r="AI34" s="67">
        <f t="shared" si="10"/>
        <v>0</v>
      </c>
      <c r="AJ34" s="67">
        <f t="shared" si="11"/>
        <v>0</v>
      </c>
      <c r="AK34" s="68">
        <f t="shared" si="12"/>
        <v>0</v>
      </c>
      <c r="AL34" s="67">
        <f t="shared" si="13"/>
        <v>0</v>
      </c>
      <c r="AM34" s="67">
        <f t="shared" si="14"/>
        <v>0</v>
      </c>
      <c r="AN34" s="67">
        <f t="shared" si="15"/>
        <v>0</v>
      </c>
      <c r="AO34" s="67">
        <f t="shared" si="16"/>
        <v>0</v>
      </c>
      <c r="AP34" s="67">
        <f t="shared" si="17"/>
        <v>0</v>
      </c>
      <c r="AQ34" s="68">
        <f t="shared" si="18"/>
        <v>0</v>
      </c>
      <c r="AR34" s="67">
        <f t="shared" si="19"/>
        <v>0</v>
      </c>
      <c r="AS34" s="67">
        <f t="shared" si="20"/>
        <v>0</v>
      </c>
      <c r="AT34" s="67">
        <f t="shared" si="21"/>
        <v>0</v>
      </c>
      <c r="AU34" s="67">
        <f t="shared" si="22"/>
        <v>0</v>
      </c>
      <c r="AV34" s="67">
        <f t="shared" si="23"/>
        <v>0</v>
      </c>
      <c r="AW34" s="68">
        <f t="shared" si="24"/>
        <v>0</v>
      </c>
      <c r="AX34" s="56"/>
      <c r="AY34" s="67">
        <f t="shared" si="25"/>
        <v>0</v>
      </c>
      <c r="AZ34" s="67">
        <f t="shared" si="26"/>
        <v>0</v>
      </c>
      <c r="BA34" s="67">
        <f t="shared" si="27"/>
        <v>0</v>
      </c>
      <c r="BB34" s="67">
        <f t="shared" si="28"/>
        <v>0</v>
      </c>
      <c r="BC34" s="30">
        <f t="shared" si="29"/>
        <v>0</v>
      </c>
    </row>
    <row r="35">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7">
        <f t="shared" si="1"/>
        <v>0</v>
      </c>
      <c r="AA35" s="67">
        <f t="shared" si="2"/>
        <v>0</v>
      </c>
      <c r="AB35" s="67">
        <f t="shared" si="3"/>
        <v>0</v>
      </c>
      <c r="AC35" s="67">
        <f t="shared" si="4"/>
        <v>0</v>
      </c>
      <c r="AD35" s="67">
        <f t="shared" si="5"/>
        <v>0</v>
      </c>
      <c r="AE35" s="68">
        <f t="shared" si="6"/>
        <v>0</v>
      </c>
      <c r="AF35" s="67">
        <f t="shared" si="7"/>
        <v>0</v>
      </c>
      <c r="AG35" s="67">
        <f t="shared" si="8"/>
        <v>0</v>
      </c>
      <c r="AH35" s="67">
        <f t="shared" si="9"/>
        <v>0</v>
      </c>
      <c r="AI35" s="67">
        <f t="shared" si="10"/>
        <v>0</v>
      </c>
      <c r="AJ35" s="67">
        <f t="shared" si="11"/>
        <v>0</v>
      </c>
      <c r="AK35" s="68">
        <f t="shared" si="12"/>
        <v>0</v>
      </c>
      <c r="AL35" s="67">
        <f t="shared" si="13"/>
        <v>0</v>
      </c>
      <c r="AM35" s="67">
        <f t="shared" si="14"/>
        <v>0</v>
      </c>
      <c r="AN35" s="67">
        <f t="shared" si="15"/>
        <v>0</v>
      </c>
      <c r="AO35" s="67">
        <f t="shared" si="16"/>
        <v>0</v>
      </c>
      <c r="AP35" s="67">
        <f t="shared" si="17"/>
        <v>0</v>
      </c>
      <c r="AQ35" s="68">
        <f t="shared" si="18"/>
        <v>0</v>
      </c>
      <c r="AR35" s="67">
        <f t="shared" si="19"/>
        <v>0</v>
      </c>
      <c r="AS35" s="67">
        <f t="shared" si="20"/>
        <v>0</v>
      </c>
      <c r="AT35" s="67">
        <f t="shared" si="21"/>
        <v>0</v>
      </c>
      <c r="AU35" s="67">
        <f t="shared" si="22"/>
        <v>0</v>
      </c>
      <c r="AV35" s="67">
        <f t="shared" si="23"/>
        <v>0</v>
      </c>
      <c r="AW35" s="68">
        <f t="shared" si="24"/>
        <v>0</v>
      </c>
      <c r="AX35" s="56"/>
      <c r="AY35" s="67">
        <f t="shared" si="25"/>
        <v>0</v>
      </c>
      <c r="AZ35" s="67">
        <f t="shared" si="26"/>
        <v>0</v>
      </c>
      <c r="BA35" s="67">
        <f t="shared" si="27"/>
        <v>0</v>
      </c>
      <c r="BB35" s="67">
        <f t="shared" si="28"/>
        <v>0</v>
      </c>
      <c r="BC35" s="30">
        <f t="shared" si="29"/>
        <v>0</v>
      </c>
    </row>
    <row r="36">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7">
        <f t="shared" si="1"/>
        <v>0</v>
      </c>
      <c r="AA36" s="67">
        <f t="shared" si="2"/>
        <v>0</v>
      </c>
      <c r="AB36" s="67">
        <f t="shared" si="3"/>
        <v>0</v>
      </c>
      <c r="AC36" s="67">
        <f t="shared" si="4"/>
        <v>0</v>
      </c>
      <c r="AD36" s="67">
        <f t="shared" si="5"/>
        <v>0</v>
      </c>
      <c r="AE36" s="68">
        <f t="shared" si="6"/>
        <v>0</v>
      </c>
      <c r="AF36" s="67">
        <f t="shared" si="7"/>
        <v>0</v>
      </c>
      <c r="AG36" s="67">
        <f t="shared" si="8"/>
        <v>0</v>
      </c>
      <c r="AH36" s="67">
        <f t="shared" si="9"/>
        <v>0</v>
      </c>
      <c r="AI36" s="67">
        <f t="shared" si="10"/>
        <v>0</v>
      </c>
      <c r="AJ36" s="67">
        <f t="shared" si="11"/>
        <v>0</v>
      </c>
      <c r="AK36" s="68">
        <f t="shared" si="12"/>
        <v>0</v>
      </c>
      <c r="AL36" s="67">
        <f t="shared" si="13"/>
        <v>0</v>
      </c>
      <c r="AM36" s="67">
        <f t="shared" si="14"/>
        <v>0</v>
      </c>
      <c r="AN36" s="67">
        <f t="shared" si="15"/>
        <v>0</v>
      </c>
      <c r="AO36" s="67">
        <f t="shared" si="16"/>
        <v>0</v>
      </c>
      <c r="AP36" s="67">
        <f t="shared" si="17"/>
        <v>0</v>
      </c>
      <c r="AQ36" s="68">
        <f t="shared" si="18"/>
        <v>0</v>
      </c>
      <c r="AR36" s="67">
        <f t="shared" si="19"/>
        <v>0</v>
      </c>
      <c r="AS36" s="67">
        <f t="shared" si="20"/>
        <v>0</v>
      </c>
      <c r="AT36" s="67">
        <f t="shared" si="21"/>
        <v>0</v>
      </c>
      <c r="AU36" s="67">
        <f t="shared" si="22"/>
        <v>0</v>
      </c>
      <c r="AV36" s="67">
        <f t="shared" si="23"/>
        <v>0</v>
      </c>
      <c r="AW36" s="68">
        <f t="shared" si="24"/>
        <v>0</v>
      </c>
      <c r="AX36" s="56"/>
      <c r="AY36" s="67">
        <f t="shared" si="25"/>
        <v>0</v>
      </c>
      <c r="AZ36" s="67">
        <f t="shared" si="26"/>
        <v>0</v>
      </c>
      <c r="BA36" s="67">
        <f t="shared" si="27"/>
        <v>0</v>
      </c>
      <c r="BB36" s="67">
        <f t="shared" si="28"/>
        <v>0</v>
      </c>
      <c r="BC36" s="30">
        <f t="shared" si="29"/>
        <v>0</v>
      </c>
    </row>
    <row r="37">
      <c r="A37" s="69"/>
      <c r="B37" s="69"/>
      <c r="C37" s="69"/>
      <c r="D37" s="69"/>
      <c r="E37" s="69"/>
      <c r="F37" s="69"/>
      <c r="G37" s="69"/>
      <c r="H37" s="69"/>
      <c r="I37" s="69"/>
      <c r="J37" s="69"/>
      <c r="K37" s="69"/>
      <c r="L37" s="69"/>
      <c r="M37" s="69"/>
      <c r="N37" s="69"/>
      <c r="O37" s="69"/>
      <c r="P37" s="69"/>
      <c r="Q37" s="69"/>
      <c r="R37" s="69"/>
      <c r="S37" s="69"/>
      <c r="T37" s="69"/>
      <c r="U37" s="69"/>
      <c r="V37" s="69"/>
      <c r="W37" s="69"/>
      <c r="X37" s="69"/>
      <c r="Y37" s="69"/>
      <c r="Z37" s="67">
        <f t="shared" si="1"/>
        <v>0</v>
      </c>
      <c r="AA37" s="67">
        <f t="shared" si="2"/>
        <v>0</v>
      </c>
      <c r="AB37" s="67">
        <f t="shared" si="3"/>
        <v>0</v>
      </c>
      <c r="AC37" s="67">
        <f t="shared" si="4"/>
        <v>0</v>
      </c>
      <c r="AD37" s="67">
        <f t="shared" si="5"/>
        <v>0</v>
      </c>
      <c r="AE37" s="68">
        <f t="shared" si="6"/>
        <v>0</v>
      </c>
      <c r="AF37" s="67">
        <f t="shared" si="7"/>
        <v>0</v>
      </c>
      <c r="AG37" s="67">
        <f t="shared" si="8"/>
        <v>0</v>
      </c>
      <c r="AH37" s="67">
        <f t="shared" si="9"/>
        <v>0</v>
      </c>
      <c r="AI37" s="67">
        <f t="shared" si="10"/>
        <v>0</v>
      </c>
      <c r="AJ37" s="67">
        <f t="shared" si="11"/>
        <v>0</v>
      </c>
      <c r="AK37" s="68">
        <f t="shared" si="12"/>
        <v>0</v>
      </c>
      <c r="AL37" s="67">
        <f t="shared" si="13"/>
        <v>0</v>
      </c>
      <c r="AM37" s="67">
        <f t="shared" si="14"/>
        <v>0</v>
      </c>
      <c r="AN37" s="67">
        <f t="shared" si="15"/>
        <v>0</v>
      </c>
      <c r="AO37" s="67">
        <f t="shared" si="16"/>
        <v>0</v>
      </c>
      <c r="AP37" s="67">
        <f t="shared" si="17"/>
        <v>0</v>
      </c>
      <c r="AQ37" s="68">
        <f t="shared" si="18"/>
        <v>0</v>
      </c>
      <c r="AR37" s="67">
        <f t="shared" si="19"/>
        <v>0</v>
      </c>
      <c r="AS37" s="67">
        <f t="shared" si="20"/>
        <v>0</v>
      </c>
      <c r="AT37" s="67">
        <f t="shared" si="21"/>
        <v>0</v>
      </c>
      <c r="AU37" s="67">
        <f t="shared" si="22"/>
        <v>0</v>
      </c>
      <c r="AV37" s="67">
        <f t="shared" si="23"/>
        <v>0</v>
      </c>
      <c r="AW37" s="68">
        <f t="shared" si="24"/>
        <v>0</v>
      </c>
      <c r="AX37" s="56"/>
      <c r="AY37" s="67">
        <f t="shared" si="25"/>
        <v>0</v>
      </c>
      <c r="AZ37" s="67">
        <f t="shared" si="26"/>
        <v>0</v>
      </c>
      <c r="BA37" s="67">
        <f t="shared" si="27"/>
        <v>0</v>
      </c>
      <c r="BB37" s="67">
        <f t="shared" si="28"/>
        <v>0</v>
      </c>
      <c r="BC37" s="30">
        <f t="shared" si="29"/>
        <v>0</v>
      </c>
    </row>
    <row r="38">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7">
        <f t="shared" si="1"/>
        <v>0</v>
      </c>
      <c r="AA38" s="67">
        <f t="shared" si="2"/>
        <v>0</v>
      </c>
      <c r="AB38" s="67">
        <f t="shared" si="3"/>
        <v>0</v>
      </c>
      <c r="AC38" s="67">
        <f t="shared" si="4"/>
        <v>0</v>
      </c>
      <c r="AD38" s="67">
        <f t="shared" si="5"/>
        <v>0</v>
      </c>
      <c r="AE38" s="68">
        <f t="shared" si="6"/>
        <v>0</v>
      </c>
      <c r="AF38" s="67">
        <f t="shared" si="7"/>
        <v>0</v>
      </c>
      <c r="AG38" s="67">
        <f t="shared" si="8"/>
        <v>0</v>
      </c>
      <c r="AH38" s="67">
        <f t="shared" si="9"/>
        <v>0</v>
      </c>
      <c r="AI38" s="67">
        <f t="shared" si="10"/>
        <v>0</v>
      </c>
      <c r="AJ38" s="67">
        <f t="shared" si="11"/>
        <v>0</v>
      </c>
      <c r="AK38" s="68">
        <f t="shared" si="12"/>
        <v>0</v>
      </c>
      <c r="AL38" s="67">
        <f t="shared" si="13"/>
        <v>0</v>
      </c>
      <c r="AM38" s="67">
        <f t="shared" si="14"/>
        <v>0</v>
      </c>
      <c r="AN38" s="67">
        <f t="shared" si="15"/>
        <v>0</v>
      </c>
      <c r="AO38" s="67">
        <f t="shared" si="16"/>
        <v>0</v>
      </c>
      <c r="AP38" s="67">
        <f t="shared" si="17"/>
        <v>0</v>
      </c>
      <c r="AQ38" s="68">
        <f t="shared" si="18"/>
        <v>0</v>
      </c>
      <c r="AR38" s="67">
        <f t="shared" si="19"/>
        <v>0</v>
      </c>
      <c r="AS38" s="67">
        <f t="shared" si="20"/>
        <v>0</v>
      </c>
      <c r="AT38" s="67">
        <f t="shared" si="21"/>
        <v>0</v>
      </c>
      <c r="AU38" s="67">
        <f t="shared" si="22"/>
        <v>0</v>
      </c>
      <c r="AV38" s="67">
        <f t="shared" si="23"/>
        <v>0</v>
      </c>
      <c r="AW38" s="68">
        <f t="shared" si="24"/>
        <v>0</v>
      </c>
      <c r="AX38" s="56"/>
      <c r="AY38" s="67">
        <f t="shared" si="25"/>
        <v>0</v>
      </c>
      <c r="AZ38" s="67">
        <f t="shared" si="26"/>
        <v>0</v>
      </c>
      <c r="BA38" s="67">
        <f t="shared" si="27"/>
        <v>0</v>
      </c>
      <c r="BB38" s="67">
        <f t="shared" si="28"/>
        <v>0</v>
      </c>
      <c r="BC38" s="30">
        <f t="shared" si="29"/>
        <v>0</v>
      </c>
    </row>
    <row r="39">
      <c r="A39" s="69"/>
      <c r="B39" s="69"/>
      <c r="C39" s="69"/>
      <c r="D39" s="69"/>
      <c r="E39" s="69"/>
      <c r="F39" s="69"/>
      <c r="G39" s="69"/>
      <c r="H39" s="69"/>
      <c r="I39" s="69"/>
      <c r="J39" s="69"/>
      <c r="K39" s="69"/>
      <c r="L39" s="69"/>
      <c r="M39" s="69"/>
      <c r="N39" s="69"/>
      <c r="O39" s="69"/>
      <c r="P39" s="69"/>
      <c r="Q39" s="69"/>
      <c r="R39" s="69"/>
      <c r="S39" s="69"/>
      <c r="T39" s="69"/>
      <c r="U39" s="69"/>
      <c r="V39" s="69"/>
      <c r="W39" s="69"/>
      <c r="X39" s="69"/>
      <c r="Y39" s="69"/>
      <c r="Z39" s="67">
        <f t="shared" si="1"/>
        <v>0</v>
      </c>
      <c r="AA39" s="67">
        <f t="shared" si="2"/>
        <v>0</v>
      </c>
      <c r="AB39" s="67">
        <f t="shared" si="3"/>
        <v>0</v>
      </c>
      <c r="AC39" s="67">
        <f t="shared" si="4"/>
        <v>0</v>
      </c>
      <c r="AD39" s="67">
        <f t="shared" si="5"/>
        <v>0</v>
      </c>
      <c r="AE39" s="68">
        <f t="shared" si="6"/>
        <v>0</v>
      </c>
      <c r="AF39" s="67">
        <f t="shared" si="7"/>
        <v>0</v>
      </c>
      <c r="AG39" s="67">
        <f t="shared" si="8"/>
        <v>0</v>
      </c>
      <c r="AH39" s="67">
        <f t="shared" si="9"/>
        <v>0</v>
      </c>
      <c r="AI39" s="67">
        <f t="shared" si="10"/>
        <v>0</v>
      </c>
      <c r="AJ39" s="67">
        <f t="shared" si="11"/>
        <v>0</v>
      </c>
      <c r="AK39" s="68">
        <f t="shared" si="12"/>
        <v>0</v>
      </c>
      <c r="AL39" s="67">
        <f t="shared" si="13"/>
        <v>0</v>
      </c>
      <c r="AM39" s="67">
        <f t="shared" si="14"/>
        <v>0</v>
      </c>
      <c r="AN39" s="67">
        <f t="shared" si="15"/>
        <v>0</v>
      </c>
      <c r="AO39" s="67">
        <f t="shared" si="16"/>
        <v>0</v>
      </c>
      <c r="AP39" s="67">
        <f t="shared" si="17"/>
        <v>0</v>
      </c>
      <c r="AQ39" s="68">
        <f t="shared" si="18"/>
        <v>0</v>
      </c>
      <c r="AR39" s="67">
        <f t="shared" si="19"/>
        <v>0</v>
      </c>
      <c r="AS39" s="67">
        <f t="shared" si="20"/>
        <v>0</v>
      </c>
      <c r="AT39" s="67">
        <f t="shared" si="21"/>
        <v>0</v>
      </c>
      <c r="AU39" s="67">
        <f t="shared" si="22"/>
        <v>0</v>
      </c>
      <c r="AV39" s="67">
        <f t="shared" si="23"/>
        <v>0</v>
      </c>
      <c r="AW39" s="68">
        <f t="shared" si="24"/>
        <v>0</v>
      </c>
      <c r="AX39" s="56"/>
      <c r="AY39" s="67">
        <f t="shared" si="25"/>
        <v>0</v>
      </c>
      <c r="AZ39" s="67">
        <f t="shared" si="26"/>
        <v>0</v>
      </c>
      <c r="BA39" s="67">
        <f t="shared" si="27"/>
        <v>0</v>
      </c>
      <c r="BB39" s="67">
        <f t="shared" si="28"/>
        <v>0</v>
      </c>
      <c r="BC39" s="30">
        <f t="shared" si="29"/>
        <v>0</v>
      </c>
    </row>
    <row r="40">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7">
        <f t="shared" si="1"/>
        <v>0</v>
      </c>
      <c r="AA40" s="67">
        <f t="shared" si="2"/>
        <v>0</v>
      </c>
      <c r="AB40" s="67">
        <f t="shared" si="3"/>
        <v>0</v>
      </c>
      <c r="AC40" s="67">
        <f t="shared" si="4"/>
        <v>0</v>
      </c>
      <c r="AD40" s="67">
        <f t="shared" si="5"/>
        <v>0</v>
      </c>
      <c r="AE40" s="68">
        <f t="shared" si="6"/>
        <v>0</v>
      </c>
      <c r="AF40" s="67">
        <f t="shared" si="7"/>
        <v>0</v>
      </c>
      <c r="AG40" s="67">
        <f t="shared" si="8"/>
        <v>0</v>
      </c>
      <c r="AH40" s="67">
        <f t="shared" si="9"/>
        <v>0</v>
      </c>
      <c r="AI40" s="67">
        <f t="shared" si="10"/>
        <v>0</v>
      </c>
      <c r="AJ40" s="67">
        <f t="shared" si="11"/>
        <v>0</v>
      </c>
      <c r="AK40" s="68">
        <f t="shared" si="12"/>
        <v>0</v>
      </c>
      <c r="AL40" s="67">
        <f t="shared" si="13"/>
        <v>0</v>
      </c>
      <c r="AM40" s="67">
        <f t="shared" si="14"/>
        <v>0</v>
      </c>
      <c r="AN40" s="67">
        <f t="shared" si="15"/>
        <v>0</v>
      </c>
      <c r="AO40" s="67">
        <f t="shared" si="16"/>
        <v>0</v>
      </c>
      <c r="AP40" s="67">
        <f t="shared" si="17"/>
        <v>0</v>
      </c>
      <c r="AQ40" s="68">
        <f t="shared" si="18"/>
        <v>0</v>
      </c>
      <c r="AR40" s="67">
        <f t="shared" si="19"/>
        <v>0</v>
      </c>
      <c r="AS40" s="67">
        <f t="shared" si="20"/>
        <v>0</v>
      </c>
      <c r="AT40" s="67">
        <f t="shared" si="21"/>
        <v>0</v>
      </c>
      <c r="AU40" s="67">
        <f t="shared" si="22"/>
        <v>0</v>
      </c>
      <c r="AV40" s="67">
        <f t="shared" si="23"/>
        <v>0</v>
      </c>
      <c r="AW40" s="68">
        <f t="shared" si="24"/>
        <v>0</v>
      </c>
      <c r="AX40" s="56"/>
      <c r="AY40" s="67">
        <f t="shared" si="25"/>
        <v>0</v>
      </c>
      <c r="AZ40" s="67">
        <f t="shared" si="26"/>
        <v>0</v>
      </c>
      <c r="BA40" s="67">
        <f t="shared" si="27"/>
        <v>0</v>
      </c>
      <c r="BB40" s="67">
        <f t="shared" si="28"/>
        <v>0</v>
      </c>
      <c r="BC40" s="30">
        <f t="shared" si="29"/>
        <v>0</v>
      </c>
    </row>
    <row r="41">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7">
        <f t="shared" si="1"/>
        <v>0</v>
      </c>
      <c r="AA41" s="67">
        <f t="shared" si="2"/>
        <v>0</v>
      </c>
      <c r="AB41" s="67">
        <f t="shared" si="3"/>
        <v>0</v>
      </c>
      <c r="AC41" s="67">
        <f t="shared" si="4"/>
        <v>0</v>
      </c>
      <c r="AD41" s="67">
        <f t="shared" si="5"/>
        <v>0</v>
      </c>
      <c r="AE41" s="68">
        <f t="shared" si="6"/>
        <v>0</v>
      </c>
      <c r="AF41" s="67">
        <f t="shared" si="7"/>
        <v>0</v>
      </c>
      <c r="AG41" s="67">
        <f t="shared" si="8"/>
        <v>0</v>
      </c>
      <c r="AH41" s="67">
        <f t="shared" si="9"/>
        <v>0</v>
      </c>
      <c r="AI41" s="67">
        <f t="shared" si="10"/>
        <v>0</v>
      </c>
      <c r="AJ41" s="67">
        <f t="shared" si="11"/>
        <v>0</v>
      </c>
      <c r="AK41" s="68">
        <f t="shared" si="12"/>
        <v>0</v>
      </c>
      <c r="AL41" s="67">
        <f t="shared" si="13"/>
        <v>0</v>
      </c>
      <c r="AM41" s="67">
        <f t="shared" si="14"/>
        <v>0</v>
      </c>
      <c r="AN41" s="67">
        <f t="shared" si="15"/>
        <v>0</v>
      </c>
      <c r="AO41" s="67">
        <f t="shared" si="16"/>
        <v>0</v>
      </c>
      <c r="AP41" s="67">
        <f t="shared" si="17"/>
        <v>0</v>
      </c>
      <c r="AQ41" s="68">
        <f t="shared" si="18"/>
        <v>0</v>
      </c>
      <c r="AR41" s="67">
        <f t="shared" si="19"/>
        <v>0</v>
      </c>
      <c r="AS41" s="67">
        <f t="shared" si="20"/>
        <v>0</v>
      </c>
      <c r="AT41" s="67">
        <f t="shared" si="21"/>
        <v>0</v>
      </c>
      <c r="AU41" s="67">
        <f t="shared" si="22"/>
        <v>0</v>
      </c>
      <c r="AV41" s="67">
        <f t="shared" si="23"/>
        <v>0</v>
      </c>
      <c r="AW41" s="68">
        <f t="shared" si="24"/>
        <v>0</v>
      </c>
      <c r="AX41" s="56"/>
      <c r="AY41" s="67">
        <f t="shared" si="25"/>
        <v>0</v>
      </c>
      <c r="AZ41" s="67">
        <f t="shared" si="26"/>
        <v>0</v>
      </c>
      <c r="BA41" s="67">
        <f t="shared" si="27"/>
        <v>0</v>
      </c>
      <c r="BB41" s="67">
        <f t="shared" si="28"/>
        <v>0</v>
      </c>
      <c r="BC41" s="30">
        <f t="shared" si="29"/>
        <v>0</v>
      </c>
    </row>
    <row r="42">
      <c r="A42" s="69"/>
      <c r="B42" s="69"/>
      <c r="C42" s="69"/>
      <c r="D42" s="69"/>
      <c r="E42" s="69"/>
      <c r="F42" s="69"/>
      <c r="G42" s="69"/>
      <c r="H42" s="69"/>
      <c r="I42" s="69"/>
      <c r="J42" s="69"/>
      <c r="K42" s="69"/>
      <c r="L42" s="69"/>
      <c r="M42" s="69"/>
      <c r="N42" s="69"/>
      <c r="O42" s="69"/>
      <c r="P42" s="69"/>
      <c r="Q42" s="69"/>
      <c r="R42" s="69"/>
      <c r="S42" s="69"/>
      <c r="T42" s="69"/>
      <c r="U42" s="69"/>
      <c r="V42" s="69"/>
      <c r="W42" s="69"/>
      <c r="X42" s="69"/>
      <c r="Y42" s="69"/>
      <c r="Z42" s="67">
        <f t="shared" si="1"/>
        <v>0</v>
      </c>
      <c r="AA42" s="67">
        <f t="shared" si="2"/>
        <v>0</v>
      </c>
      <c r="AB42" s="67">
        <f t="shared" si="3"/>
        <v>0</v>
      </c>
      <c r="AC42" s="67">
        <f t="shared" si="4"/>
        <v>0</v>
      </c>
      <c r="AD42" s="67">
        <f t="shared" si="5"/>
        <v>0</v>
      </c>
      <c r="AE42" s="68">
        <f t="shared" si="6"/>
        <v>0</v>
      </c>
      <c r="AF42" s="67">
        <f t="shared" si="7"/>
        <v>0</v>
      </c>
      <c r="AG42" s="67">
        <f t="shared" si="8"/>
        <v>0</v>
      </c>
      <c r="AH42" s="67">
        <f t="shared" si="9"/>
        <v>0</v>
      </c>
      <c r="AI42" s="67">
        <f t="shared" si="10"/>
        <v>0</v>
      </c>
      <c r="AJ42" s="67">
        <f t="shared" si="11"/>
        <v>0</v>
      </c>
      <c r="AK42" s="68">
        <f t="shared" si="12"/>
        <v>0</v>
      </c>
      <c r="AL42" s="67">
        <f t="shared" si="13"/>
        <v>0</v>
      </c>
      <c r="AM42" s="67">
        <f t="shared" si="14"/>
        <v>0</v>
      </c>
      <c r="AN42" s="67">
        <f t="shared" si="15"/>
        <v>0</v>
      </c>
      <c r="AO42" s="67">
        <f t="shared" si="16"/>
        <v>0</v>
      </c>
      <c r="AP42" s="67">
        <f t="shared" si="17"/>
        <v>0</v>
      </c>
      <c r="AQ42" s="68">
        <f t="shared" si="18"/>
        <v>0</v>
      </c>
      <c r="AR42" s="67">
        <f t="shared" si="19"/>
        <v>0</v>
      </c>
      <c r="AS42" s="67">
        <f t="shared" si="20"/>
        <v>0</v>
      </c>
      <c r="AT42" s="67">
        <f t="shared" si="21"/>
        <v>0</v>
      </c>
      <c r="AU42" s="67">
        <f t="shared" si="22"/>
        <v>0</v>
      </c>
      <c r="AV42" s="67">
        <f t="shared" si="23"/>
        <v>0</v>
      </c>
      <c r="AW42" s="68">
        <f t="shared" si="24"/>
        <v>0</v>
      </c>
      <c r="AX42" s="56"/>
      <c r="AY42" s="67">
        <f t="shared" si="25"/>
        <v>0</v>
      </c>
      <c r="AZ42" s="67">
        <f t="shared" si="26"/>
        <v>0</v>
      </c>
      <c r="BA42" s="67">
        <f t="shared" si="27"/>
        <v>0</v>
      </c>
      <c r="BB42" s="67">
        <f t="shared" si="28"/>
        <v>0</v>
      </c>
      <c r="BC42" s="30">
        <f t="shared" si="29"/>
        <v>0</v>
      </c>
    </row>
    <row r="43">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7">
        <f t="shared" si="1"/>
        <v>0</v>
      </c>
      <c r="AA43" s="67">
        <f t="shared" si="2"/>
        <v>0</v>
      </c>
      <c r="AB43" s="67">
        <f t="shared" si="3"/>
        <v>0</v>
      </c>
      <c r="AC43" s="67">
        <f t="shared" si="4"/>
        <v>0</v>
      </c>
      <c r="AD43" s="67">
        <f t="shared" si="5"/>
        <v>0</v>
      </c>
      <c r="AE43" s="68">
        <f t="shared" si="6"/>
        <v>0</v>
      </c>
      <c r="AF43" s="67">
        <f t="shared" si="7"/>
        <v>0</v>
      </c>
      <c r="AG43" s="67">
        <f t="shared" si="8"/>
        <v>0</v>
      </c>
      <c r="AH43" s="67">
        <f t="shared" si="9"/>
        <v>0</v>
      </c>
      <c r="AI43" s="67">
        <f t="shared" si="10"/>
        <v>0</v>
      </c>
      <c r="AJ43" s="67">
        <f t="shared" si="11"/>
        <v>0</v>
      </c>
      <c r="AK43" s="68">
        <f t="shared" si="12"/>
        <v>0</v>
      </c>
      <c r="AL43" s="67">
        <f t="shared" si="13"/>
        <v>0</v>
      </c>
      <c r="AM43" s="67">
        <f t="shared" si="14"/>
        <v>0</v>
      </c>
      <c r="AN43" s="67">
        <f t="shared" si="15"/>
        <v>0</v>
      </c>
      <c r="AO43" s="67">
        <f t="shared" si="16"/>
        <v>0</v>
      </c>
      <c r="AP43" s="67">
        <f t="shared" si="17"/>
        <v>0</v>
      </c>
      <c r="AQ43" s="68">
        <f t="shared" si="18"/>
        <v>0</v>
      </c>
      <c r="AR43" s="67">
        <f t="shared" si="19"/>
        <v>0</v>
      </c>
      <c r="AS43" s="67">
        <f t="shared" si="20"/>
        <v>0</v>
      </c>
      <c r="AT43" s="67">
        <f t="shared" si="21"/>
        <v>0</v>
      </c>
      <c r="AU43" s="67">
        <f t="shared" si="22"/>
        <v>0</v>
      </c>
      <c r="AV43" s="67">
        <f t="shared" si="23"/>
        <v>0</v>
      </c>
      <c r="AW43" s="68">
        <f t="shared" si="24"/>
        <v>0</v>
      </c>
      <c r="AX43" s="56"/>
      <c r="AY43" s="67">
        <f t="shared" si="25"/>
        <v>0</v>
      </c>
      <c r="AZ43" s="67">
        <f t="shared" si="26"/>
        <v>0</v>
      </c>
      <c r="BA43" s="67">
        <f t="shared" si="27"/>
        <v>0</v>
      </c>
      <c r="BB43" s="67">
        <f t="shared" si="28"/>
        <v>0</v>
      </c>
      <c r="BC43" s="30">
        <f t="shared" si="29"/>
        <v>0</v>
      </c>
    </row>
    <row r="44">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7">
        <f t="shared" si="1"/>
        <v>0</v>
      </c>
      <c r="AA44" s="67">
        <f t="shared" si="2"/>
        <v>0</v>
      </c>
      <c r="AB44" s="67">
        <f t="shared" si="3"/>
        <v>0</v>
      </c>
      <c r="AC44" s="67">
        <f t="shared" si="4"/>
        <v>0</v>
      </c>
      <c r="AD44" s="67">
        <f t="shared" si="5"/>
        <v>0</v>
      </c>
      <c r="AE44" s="68">
        <f t="shared" si="6"/>
        <v>0</v>
      </c>
      <c r="AF44" s="67">
        <f t="shared" si="7"/>
        <v>0</v>
      </c>
      <c r="AG44" s="67">
        <f t="shared" si="8"/>
        <v>0</v>
      </c>
      <c r="AH44" s="67">
        <f t="shared" si="9"/>
        <v>0</v>
      </c>
      <c r="AI44" s="67">
        <f t="shared" si="10"/>
        <v>0</v>
      </c>
      <c r="AJ44" s="67">
        <f t="shared" si="11"/>
        <v>0</v>
      </c>
      <c r="AK44" s="68">
        <f t="shared" si="12"/>
        <v>0</v>
      </c>
      <c r="AL44" s="67">
        <f t="shared" si="13"/>
        <v>0</v>
      </c>
      <c r="AM44" s="67">
        <f t="shared" si="14"/>
        <v>0</v>
      </c>
      <c r="AN44" s="67">
        <f t="shared" si="15"/>
        <v>0</v>
      </c>
      <c r="AO44" s="67">
        <f t="shared" si="16"/>
        <v>0</v>
      </c>
      <c r="AP44" s="67">
        <f t="shared" si="17"/>
        <v>0</v>
      </c>
      <c r="AQ44" s="68">
        <f t="shared" si="18"/>
        <v>0</v>
      </c>
      <c r="AR44" s="67">
        <f t="shared" si="19"/>
        <v>0</v>
      </c>
      <c r="AS44" s="67">
        <f t="shared" si="20"/>
        <v>0</v>
      </c>
      <c r="AT44" s="67">
        <f t="shared" si="21"/>
        <v>0</v>
      </c>
      <c r="AU44" s="67">
        <f t="shared" si="22"/>
        <v>0</v>
      </c>
      <c r="AV44" s="67">
        <f t="shared" si="23"/>
        <v>0</v>
      </c>
      <c r="AW44" s="68">
        <f t="shared" si="24"/>
        <v>0</v>
      </c>
      <c r="AX44" s="56"/>
      <c r="AY44" s="67">
        <f t="shared" si="25"/>
        <v>0</v>
      </c>
      <c r="AZ44" s="67">
        <f t="shared" si="26"/>
        <v>0</v>
      </c>
      <c r="BA44" s="67">
        <f t="shared" si="27"/>
        <v>0</v>
      </c>
      <c r="BB44" s="67">
        <f t="shared" si="28"/>
        <v>0</v>
      </c>
      <c r="BC44" s="30">
        <f t="shared" si="29"/>
        <v>0</v>
      </c>
    </row>
    <row r="45">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7">
        <f t="shared" si="1"/>
        <v>0</v>
      </c>
      <c r="AA45" s="67">
        <f t="shared" si="2"/>
        <v>0</v>
      </c>
      <c r="AB45" s="67">
        <f t="shared" si="3"/>
        <v>0</v>
      </c>
      <c r="AC45" s="67">
        <f t="shared" si="4"/>
        <v>0</v>
      </c>
      <c r="AD45" s="67">
        <f t="shared" si="5"/>
        <v>0</v>
      </c>
      <c r="AE45" s="68">
        <f t="shared" si="6"/>
        <v>0</v>
      </c>
      <c r="AF45" s="67">
        <f t="shared" si="7"/>
        <v>0</v>
      </c>
      <c r="AG45" s="67">
        <f t="shared" si="8"/>
        <v>0</v>
      </c>
      <c r="AH45" s="67">
        <f t="shared" si="9"/>
        <v>0</v>
      </c>
      <c r="AI45" s="67">
        <f t="shared" si="10"/>
        <v>0</v>
      </c>
      <c r="AJ45" s="67">
        <f t="shared" si="11"/>
        <v>0</v>
      </c>
      <c r="AK45" s="68">
        <f t="shared" si="12"/>
        <v>0</v>
      </c>
      <c r="AL45" s="67">
        <f t="shared" si="13"/>
        <v>0</v>
      </c>
      <c r="AM45" s="67">
        <f t="shared" si="14"/>
        <v>0</v>
      </c>
      <c r="AN45" s="67">
        <f t="shared" si="15"/>
        <v>0</v>
      </c>
      <c r="AO45" s="67">
        <f t="shared" si="16"/>
        <v>0</v>
      </c>
      <c r="AP45" s="67">
        <f t="shared" si="17"/>
        <v>0</v>
      </c>
      <c r="AQ45" s="68">
        <f t="shared" si="18"/>
        <v>0</v>
      </c>
      <c r="AR45" s="67">
        <f t="shared" si="19"/>
        <v>0</v>
      </c>
      <c r="AS45" s="67">
        <f t="shared" si="20"/>
        <v>0</v>
      </c>
      <c r="AT45" s="67">
        <f t="shared" si="21"/>
        <v>0</v>
      </c>
      <c r="AU45" s="67">
        <f t="shared" si="22"/>
        <v>0</v>
      </c>
      <c r="AV45" s="67">
        <f t="shared" si="23"/>
        <v>0</v>
      </c>
      <c r="AW45" s="68">
        <f t="shared" si="24"/>
        <v>0</v>
      </c>
      <c r="AX45" s="56"/>
      <c r="AY45" s="67">
        <f t="shared" si="25"/>
        <v>0</v>
      </c>
      <c r="AZ45" s="67">
        <f t="shared" si="26"/>
        <v>0</v>
      </c>
      <c r="BA45" s="67">
        <f t="shared" si="27"/>
        <v>0</v>
      </c>
      <c r="BB45" s="67">
        <f t="shared" si="28"/>
        <v>0</v>
      </c>
      <c r="BC45" s="30">
        <f t="shared" si="29"/>
        <v>0</v>
      </c>
    </row>
    <row r="46">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7">
        <f t="shared" si="1"/>
        <v>0</v>
      </c>
      <c r="AA46" s="67">
        <f t="shared" si="2"/>
        <v>0</v>
      </c>
      <c r="AB46" s="67">
        <f t="shared" si="3"/>
        <v>0</v>
      </c>
      <c r="AC46" s="67">
        <f t="shared" si="4"/>
        <v>0</v>
      </c>
      <c r="AD46" s="67">
        <f t="shared" si="5"/>
        <v>0</v>
      </c>
      <c r="AE46" s="68">
        <f t="shared" si="6"/>
        <v>0</v>
      </c>
      <c r="AF46" s="67">
        <f t="shared" si="7"/>
        <v>0</v>
      </c>
      <c r="AG46" s="67">
        <f t="shared" si="8"/>
        <v>0</v>
      </c>
      <c r="AH46" s="67">
        <f t="shared" si="9"/>
        <v>0</v>
      </c>
      <c r="AI46" s="67">
        <f t="shared" si="10"/>
        <v>0</v>
      </c>
      <c r="AJ46" s="67">
        <f t="shared" si="11"/>
        <v>0</v>
      </c>
      <c r="AK46" s="68">
        <f t="shared" si="12"/>
        <v>0</v>
      </c>
      <c r="AL46" s="67">
        <f t="shared" si="13"/>
        <v>0</v>
      </c>
      <c r="AM46" s="67">
        <f t="shared" si="14"/>
        <v>0</v>
      </c>
      <c r="AN46" s="67">
        <f t="shared" si="15"/>
        <v>0</v>
      </c>
      <c r="AO46" s="67">
        <f t="shared" si="16"/>
        <v>0</v>
      </c>
      <c r="AP46" s="67">
        <f t="shared" si="17"/>
        <v>0</v>
      </c>
      <c r="AQ46" s="68">
        <f t="shared" si="18"/>
        <v>0</v>
      </c>
      <c r="AR46" s="67">
        <f t="shared" si="19"/>
        <v>0</v>
      </c>
      <c r="AS46" s="67">
        <f t="shared" si="20"/>
        <v>0</v>
      </c>
      <c r="AT46" s="67">
        <f t="shared" si="21"/>
        <v>0</v>
      </c>
      <c r="AU46" s="67">
        <f t="shared" si="22"/>
        <v>0</v>
      </c>
      <c r="AV46" s="67">
        <f t="shared" si="23"/>
        <v>0</v>
      </c>
      <c r="AW46" s="68">
        <f t="shared" si="24"/>
        <v>0</v>
      </c>
      <c r="AX46" s="56"/>
      <c r="AY46" s="67">
        <f t="shared" si="25"/>
        <v>0</v>
      </c>
      <c r="AZ46" s="67">
        <f t="shared" si="26"/>
        <v>0</v>
      </c>
      <c r="BA46" s="67">
        <f t="shared" si="27"/>
        <v>0</v>
      </c>
      <c r="BB46" s="67">
        <f t="shared" si="28"/>
        <v>0</v>
      </c>
      <c r="BC46" s="30">
        <f t="shared" si="29"/>
        <v>0</v>
      </c>
    </row>
    <row r="47">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7">
        <f t="shared" si="1"/>
        <v>0</v>
      </c>
      <c r="AA47" s="67">
        <f t="shared" si="2"/>
        <v>0</v>
      </c>
      <c r="AB47" s="67">
        <f t="shared" si="3"/>
        <v>0</v>
      </c>
      <c r="AC47" s="67">
        <f t="shared" si="4"/>
        <v>0</v>
      </c>
      <c r="AD47" s="67">
        <f t="shared" si="5"/>
        <v>0</v>
      </c>
      <c r="AE47" s="68">
        <f t="shared" si="6"/>
        <v>0</v>
      </c>
      <c r="AF47" s="67">
        <f t="shared" si="7"/>
        <v>0</v>
      </c>
      <c r="AG47" s="67">
        <f t="shared" si="8"/>
        <v>0</v>
      </c>
      <c r="AH47" s="67">
        <f t="shared" si="9"/>
        <v>0</v>
      </c>
      <c r="AI47" s="67">
        <f t="shared" si="10"/>
        <v>0</v>
      </c>
      <c r="AJ47" s="67">
        <f t="shared" si="11"/>
        <v>0</v>
      </c>
      <c r="AK47" s="68">
        <f t="shared" si="12"/>
        <v>0</v>
      </c>
      <c r="AL47" s="67">
        <f t="shared" si="13"/>
        <v>0</v>
      </c>
      <c r="AM47" s="67">
        <f t="shared" si="14"/>
        <v>0</v>
      </c>
      <c r="AN47" s="67">
        <f t="shared" si="15"/>
        <v>0</v>
      </c>
      <c r="AO47" s="67">
        <f t="shared" si="16"/>
        <v>0</v>
      </c>
      <c r="AP47" s="67">
        <f t="shared" si="17"/>
        <v>0</v>
      </c>
      <c r="AQ47" s="68">
        <f t="shared" si="18"/>
        <v>0</v>
      </c>
      <c r="AR47" s="67">
        <f t="shared" si="19"/>
        <v>0</v>
      </c>
      <c r="AS47" s="67">
        <f t="shared" si="20"/>
        <v>0</v>
      </c>
      <c r="AT47" s="67">
        <f t="shared" si="21"/>
        <v>0</v>
      </c>
      <c r="AU47" s="67">
        <f t="shared" si="22"/>
        <v>0</v>
      </c>
      <c r="AV47" s="67">
        <f t="shared" si="23"/>
        <v>0</v>
      </c>
      <c r="AW47" s="68">
        <f t="shared" si="24"/>
        <v>0</v>
      </c>
      <c r="AX47" s="56"/>
      <c r="AY47" s="67">
        <f t="shared" si="25"/>
        <v>0</v>
      </c>
      <c r="AZ47" s="67">
        <f t="shared" si="26"/>
        <v>0</v>
      </c>
      <c r="BA47" s="67">
        <f t="shared" si="27"/>
        <v>0</v>
      </c>
      <c r="BB47" s="67">
        <f t="shared" si="28"/>
        <v>0</v>
      </c>
      <c r="BC47" s="30">
        <f t="shared" si="29"/>
        <v>0</v>
      </c>
    </row>
    <row r="48">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7">
        <f t="shared" si="1"/>
        <v>0</v>
      </c>
      <c r="AA48" s="67">
        <f t="shared" si="2"/>
        <v>0</v>
      </c>
      <c r="AB48" s="67">
        <f t="shared" si="3"/>
        <v>0</v>
      </c>
      <c r="AC48" s="67">
        <f t="shared" si="4"/>
        <v>0</v>
      </c>
      <c r="AD48" s="67">
        <f t="shared" si="5"/>
        <v>0</v>
      </c>
      <c r="AE48" s="68">
        <f t="shared" si="6"/>
        <v>0</v>
      </c>
      <c r="AF48" s="67">
        <f t="shared" si="7"/>
        <v>0</v>
      </c>
      <c r="AG48" s="67">
        <f t="shared" si="8"/>
        <v>0</v>
      </c>
      <c r="AH48" s="67">
        <f t="shared" si="9"/>
        <v>0</v>
      </c>
      <c r="AI48" s="67">
        <f t="shared" si="10"/>
        <v>0</v>
      </c>
      <c r="AJ48" s="67">
        <f t="shared" si="11"/>
        <v>0</v>
      </c>
      <c r="AK48" s="68">
        <f t="shared" si="12"/>
        <v>0</v>
      </c>
      <c r="AL48" s="67">
        <f t="shared" si="13"/>
        <v>0</v>
      </c>
      <c r="AM48" s="67">
        <f t="shared" si="14"/>
        <v>0</v>
      </c>
      <c r="AN48" s="67">
        <f t="shared" si="15"/>
        <v>0</v>
      </c>
      <c r="AO48" s="67">
        <f t="shared" si="16"/>
        <v>0</v>
      </c>
      <c r="AP48" s="67">
        <f t="shared" si="17"/>
        <v>0</v>
      </c>
      <c r="AQ48" s="68">
        <f t="shared" si="18"/>
        <v>0</v>
      </c>
      <c r="AR48" s="67">
        <f t="shared" si="19"/>
        <v>0</v>
      </c>
      <c r="AS48" s="67">
        <f t="shared" si="20"/>
        <v>0</v>
      </c>
      <c r="AT48" s="67">
        <f t="shared" si="21"/>
        <v>0</v>
      </c>
      <c r="AU48" s="67">
        <f t="shared" si="22"/>
        <v>0</v>
      </c>
      <c r="AV48" s="67">
        <f t="shared" si="23"/>
        <v>0</v>
      </c>
      <c r="AW48" s="68">
        <f t="shared" si="24"/>
        <v>0</v>
      </c>
      <c r="AX48" s="56"/>
      <c r="AY48" s="67">
        <f t="shared" si="25"/>
        <v>0</v>
      </c>
      <c r="AZ48" s="67">
        <f t="shared" si="26"/>
        <v>0</v>
      </c>
      <c r="BA48" s="67">
        <f t="shared" si="27"/>
        <v>0</v>
      </c>
      <c r="BB48" s="67">
        <f t="shared" si="28"/>
        <v>0</v>
      </c>
      <c r="BC48" s="30">
        <f t="shared" si="29"/>
        <v>0</v>
      </c>
    </row>
    <row r="49">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7">
        <f t="shared" si="1"/>
        <v>0</v>
      </c>
      <c r="AA49" s="67">
        <f t="shared" si="2"/>
        <v>0</v>
      </c>
      <c r="AB49" s="67">
        <f t="shared" si="3"/>
        <v>0</v>
      </c>
      <c r="AC49" s="67">
        <f t="shared" si="4"/>
        <v>0</v>
      </c>
      <c r="AD49" s="67">
        <f t="shared" si="5"/>
        <v>0</v>
      </c>
      <c r="AE49" s="68">
        <f t="shared" si="6"/>
        <v>0</v>
      </c>
      <c r="AF49" s="67">
        <f t="shared" si="7"/>
        <v>0</v>
      </c>
      <c r="AG49" s="67">
        <f t="shared" si="8"/>
        <v>0</v>
      </c>
      <c r="AH49" s="67">
        <f t="shared" si="9"/>
        <v>0</v>
      </c>
      <c r="AI49" s="67">
        <f t="shared" si="10"/>
        <v>0</v>
      </c>
      <c r="AJ49" s="67">
        <f t="shared" si="11"/>
        <v>0</v>
      </c>
      <c r="AK49" s="68">
        <f t="shared" si="12"/>
        <v>0</v>
      </c>
      <c r="AL49" s="67">
        <f t="shared" si="13"/>
        <v>0</v>
      </c>
      <c r="AM49" s="67">
        <f t="shared" si="14"/>
        <v>0</v>
      </c>
      <c r="AN49" s="67">
        <f t="shared" si="15"/>
        <v>0</v>
      </c>
      <c r="AO49" s="67">
        <f t="shared" si="16"/>
        <v>0</v>
      </c>
      <c r="AP49" s="67">
        <f t="shared" si="17"/>
        <v>0</v>
      </c>
      <c r="AQ49" s="68">
        <f t="shared" si="18"/>
        <v>0</v>
      </c>
      <c r="AR49" s="67">
        <f t="shared" si="19"/>
        <v>0</v>
      </c>
      <c r="AS49" s="67">
        <f t="shared" si="20"/>
        <v>0</v>
      </c>
      <c r="AT49" s="67">
        <f t="shared" si="21"/>
        <v>0</v>
      </c>
      <c r="AU49" s="67">
        <f t="shared" si="22"/>
        <v>0</v>
      </c>
      <c r="AV49" s="67">
        <f t="shared" si="23"/>
        <v>0</v>
      </c>
      <c r="AW49" s="68">
        <f t="shared" si="24"/>
        <v>0</v>
      </c>
      <c r="AX49" s="56"/>
      <c r="AY49" s="67">
        <f t="shared" si="25"/>
        <v>0</v>
      </c>
      <c r="AZ49" s="67">
        <f t="shared" si="26"/>
        <v>0</v>
      </c>
      <c r="BA49" s="67">
        <f t="shared" si="27"/>
        <v>0</v>
      </c>
      <c r="BB49" s="67">
        <f t="shared" si="28"/>
        <v>0</v>
      </c>
      <c r="BC49" s="30">
        <f t="shared" si="29"/>
        <v>0</v>
      </c>
    </row>
    <row r="50">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7">
        <f t="shared" si="1"/>
        <v>0</v>
      </c>
      <c r="AA50" s="67">
        <f t="shared" si="2"/>
        <v>0</v>
      </c>
      <c r="AB50" s="67">
        <f t="shared" si="3"/>
        <v>0</v>
      </c>
      <c r="AC50" s="67">
        <f t="shared" si="4"/>
        <v>0</v>
      </c>
      <c r="AD50" s="67">
        <f t="shared" si="5"/>
        <v>0</v>
      </c>
      <c r="AE50" s="68">
        <f t="shared" si="6"/>
        <v>0</v>
      </c>
      <c r="AF50" s="67">
        <f t="shared" si="7"/>
        <v>0</v>
      </c>
      <c r="AG50" s="67">
        <f t="shared" si="8"/>
        <v>0</v>
      </c>
      <c r="AH50" s="67">
        <f t="shared" si="9"/>
        <v>0</v>
      </c>
      <c r="AI50" s="67">
        <f t="shared" si="10"/>
        <v>0</v>
      </c>
      <c r="AJ50" s="67">
        <f t="shared" si="11"/>
        <v>0</v>
      </c>
      <c r="AK50" s="68">
        <f t="shared" si="12"/>
        <v>0</v>
      </c>
      <c r="AL50" s="67">
        <f t="shared" si="13"/>
        <v>0</v>
      </c>
      <c r="AM50" s="67">
        <f t="shared" si="14"/>
        <v>0</v>
      </c>
      <c r="AN50" s="67">
        <f t="shared" si="15"/>
        <v>0</v>
      </c>
      <c r="AO50" s="67">
        <f t="shared" si="16"/>
        <v>0</v>
      </c>
      <c r="AP50" s="67">
        <f t="shared" si="17"/>
        <v>0</v>
      </c>
      <c r="AQ50" s="68">
        <f t="shared" si="18"/>
        <v>0</v>
      </c>
      <c r="AR50" s="67">
        <f t="shared" si="19"/>
        <v>0</v>
      </c>
      <c r="AS50" s="67">
        <f t="shared" si="20"/>
        <v>0</v>
      </c>
      <c r="AT50" s="67">
        <f t="shared" si="21"/>
        <v>0</v>
      </c>
      <c r="AU50" s="67">
        <f t="shared" si="22"/>
        <v>0</v>
      </c>
      <c r="AV50" s="67">
        <f t="shared" si="23"/>
        <v>0</v>
      </c>
      <c r="AW50" s="68">
        <f t="shared" si="24"/>
        <v>0</v>
      </c>
      <c r="AX50" s="56"/>
      <c r="AY50" s="67">
        <f t="shared" si="25"/>
        <v>0</v>
      </c>
      <c r="AZ50" s="67">
        <f t="shared" si="26"/>
        <v>0</v>
      </c>
      <c r="BA50" s="67">
        <f t="shared" si="27"/>
        <v>0</v>
      </c>
      <c r="BB50" s="67">
        <f t="shared" si="28"/>
        <v>0</v>
      </c>
      <c r="BC50" s="30">
        <f t="shared" si="29"/>
        <v>0</v>
      </c>
    </row>
    <row r="51">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7">
        <f t="shared" si="1"/>
        <v>0</v>
      </c>
      <c r="AA51" s="67">
        <f t="shared" si="2"/>
        <v>0</v>
      </c>
      <c r="AB51" s="67">
        <f t="shared" si="3"/>
        <v>0</v>
      </c>
      <c r="AC51" s="67">
        <f t="shared" si="4"/>
        <v>0</v>
      </c>
      <c r="AD51" s="67">
        <f t="shared" si="5"/>
        <v>0</v>
      </c>
      <c r="AE51" s="68">
        <f t="shared" si="6"/>
        <v>0</v>
      </c>
      <c r="AF51" s="67">
        <f t="shared" si="7"/>
        <v>0</v>
      </c>
      <c r="AG51" s="67">
        <f t="shared" si="8"/>
        <v>0</v>
      </c>
      <c r="AH51" s="67">
        <f t="shared" si="9"/>
        <v>0</v>
      </c>
      <c r="AI51" s="67">
        <f t="shared" si="10"/>
        <v>0</v>
      </c>
      <c r="AJ51" s="67">
        <f t="shared" si="11"/>
        <v>0</v>
      </c>
      <c r="AK51" s="68">
        <f t="shared" si="12"/>
        <v>0</v>
      </c>
      <c r="AL51" s="67">
        <f t="shared" si="13"/>
        <v>0</v>
      </c>
      <c r="AM51" s="67">
        <f t="shared" si="14"/>
        <v>0</v>
      </c>
      <c r="AN51" s="67">
        <f t="shared" si="15"/>
        <v>0</v>
      </c>
      <c r="AO51" s="67">
        <f t="shared" si="16"/>
        <v>0</v>
      </c>
      <c r="AP51" s="67">
        <f t="shared" si="17"/>
        <v>0</v>
      </c>
      <c r="AQ51" s="68">
        <f t="shared" si="18"/>
        <v>0</v>
      </c>
      <c r="AR51" s="67">
        <f t="shared" si="19"/>
        <v>0</v>
      </c>
      <c r="AS51" s="67">
        <f t="shared" si="20"/>
        <v>0</v>
      </c>
      <c r="AT51" s="67">
        <f t="shared" si="21"/>
        <v>0</v>
      </c>
      <c r="AU51" s="67">
        <f t="shared" si="22"/>
        <v>0</v>
      </c>
      <c r="AV51" s="67">
        <f t="shared" si="23"/>
        <v>0</v>
      </c>
      <c r="AW51" s="68">
        <f t="shared" si="24"/>
        <v>0</v>
      </c>
      <c r="AX51" s="56"/>
      <c r="AY51" s="67">
        <f t="shared" si="25"/>
        <v>0</v>
      </c>
      <c r="AZ51" s="67">
        <f t="shared" si="26"/>
        <v>0</v>
      </c>
      <c r="BA51" s="67">
        <f t="shared" si="27"/>
        <v>0</v>
      </c>
      <c r="BB51" s="67">
        <f t="shared" si="28"/>
        <v>0</v>
      </c>
      <c r="BC51" s="30">
        <f t="shared" si="29"/>
        <v>0</v>
      </c>
    </row>
    <row r="52">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7">
        <f t="shared" si="1"/>
        <v>0</v>
      </c>
      <c r="AA52" s="67">
        <f t="shared" si="2"/>
        <v>0</v>
      </c>
      <c r="AB52" s="67">
        <f t="shared" si="3"/>
        <v>0</v>
      </c>
      <c r="AC52" s="67">
        <f t="shared" si="4"/>
        <v>0</v>
      </c>
      <c r="AD52" s="67">
        <f t="shared" si="5"/>
        <v>0</v>
      </c>
      <c r="AE52" s="68">
        <f t="shared" si="6"/>
        <v>0</v>
      </c>
      <c r="AF52" s="67">
        <f t="shared" si="7"/>
        <v>0</v>
      </c>
      <c r="AG52" s="67">
        <f t="shared" si="8"/>
        <v>0</v>
      </c>
      <c r="AH52" s="67">
        <f t="shared" si="9"/>
        <v>0</v>
      </c>
      <c r="AI52" s="67">
        <f t="shared" si="10"/>
        <v>0</v>
      </c>
      <c r="AJ52" s="67">
        <f t="shared" si="11"/>
        <v>0</v>
      </c>
      <c r="AK52" s="68">
        <f t="shared" si="12"/>
        <v>0</v>
      </c>
      <c r="AL52" s="67">
        <f t="shared" si="13"/>
        <v>0</v>
      </c>
      <c r="AM52" s="67">
        <f t="shared" si="14"/>
        <v>0</v>
      </c>
      <c r="AN52" s="67">
        <f t="shared" si="15"/>
        <v>0</v>
      </c>
      <c r="AO52" s="67">
        <f t="shared" si="16"/>
        <v>0</v>
      </c>
      <c r="AP52" s="67">
        <f t="shared" si="17"/>
        <v>0</v>
      </c>
      <c r="AQ52" s="68">
        <f t="shared" si="18"/>
        <v>0</v>
      </c>
      <c r="AR52" s="67">
        <f t="shared" si="19"/>
        <v>0</v>
      </c>
      <c r="AS52" s="67">
        <f t="shared" si="20"/>
        <v>0</v>
      </c>
      <c r="AT52" s="67">
        <f t="shared" si="21"/>
        <v>0</v>
      </c>
      <c r="AU52" s="67">
        <f t="shared" si="22"/>
        <v>0</v>
      </c>
      <c r="AV52" s="67">
        <f t="shared" si="23"/>
        <v>0</v>
      </c>
      <c r="AW52" s="68">
        <f t="shared" si="24"/>
        <v>0</v>
      </c>
      <c r="AX52" s="56"/>
      <c r="AY52" s="67">
        <f t="shared" si="25"/>
        <v>0</v>
      </c>
      <c r="AZ52" s="67">
        <f t="shared" si="26"/>
        <v>0</v>
      </c>
      <c r="BA52" s="67">
        <f t="shared" si="27"/>
        <v>0</v>
      </c>
      <c r="BB52" s="67">
        <f t="shared" si="28"/>
        <v>0</v>
      </c>
      <c r="BC52" s="30">
        <f t="shared" si="29"/>
        <v>0</v>
      </c>
    </row>
    <row r="53">
      <c r="A53" s="7"/>
      <c r="B53" s="7"/>
      <c r="C53" s="7"/>
      <c r="D53" s="7"/>
      <c r="E53" s="7"/>
      <c r="F53" s="7"/>
      <c r="G53" s="7"/>
      <c r="H53" s="7"/>
      <c r="I53" s="7"/>
      <c r="J53" s="7"/>
      <c r="K53" s="7"/>
      <c r="L53" s="7"/>
      <c r="M53" s="7"/>
      <c r="N53" s="7"/>
      <c r="O53" s="7"/>
      <c r="P53" s="7"/>
      <c r="Q53" s="7"/>
      <c r="R53" s="7"/>
      <c r="S53" s="7"/>
      <c r="T53" s="7"/>
      <c r="U53" s="7"/>
      <c r="V53" s="7"/>
      <c r="W53" s="7"/>
      <c r="X53" s="7"/>
      <c r="Y53" s="7"/>
      <c r="Z53" s="67">
        <f t="shared" si="1"/>
        <v>0</v>
      </c>
      <c r="AA53" s="67">
        <f t="shared" si="2"/>
        <v>0</v>
      </c>
      <c r="AB53" s="67">
        <f t="shared" si="3"/>
        <v>0</v>
      </c>
      <c r="AC53" s="67">
        <f t="shared" si="4"/>
        <v>0</v>
      </c>
      <c r="AD53" s="67">
        <f t="shared" si="5"/>
        <v>0</v>
      </c>
      <c r="AE53" s="68">
        <f t="shared" si="6"/>
        <v>0</v>
      </c>
      <c r="AF53" s="67">
        <f t="shared" si="7"/>
        <v>0</v>
      </c>
      <c r="AG53" s="67">
        <f t="shared" si="8"/>
        <v>0</v>
      </c>
      <c r="AH53" s="67">
        <f t="shared" si="9"/>
        <v>0</v>
      </c>
      <c r="AI53" s="67">
        <f t="shared" si="10"/>
        <v>0</v>
      </c>
      <c r="AJ53" s="67">
        <f t="shared" si="11"/>
        <v>0</v>
      </c>
      <c r="AK53" s="68">
        <f t="shared" si="12"/>
        <v>0</v>
      </c>
      <c r="AL53" s="67">
        <f t="shared" si="13"/>
        <v>0</v>
      </c>
      <c r="AM53" s="67">
        <f t="shared" si="14"/>
        <v>0</v>
      </c>
      <c r="AN53" s="67">
        <f t="shared" si="15"/>
        <v>0</v>
      </c>
      <c r="AO53" s="67">
        <f t="shared" si="16"/>
        <v>0</v>
      </c>
      <c r="AP53" s="67">
        <f t="shared" si="17"/>
        <v>0</v>
      </c>
      <c r="AQ53" s="68">
        <f t="shared" si="18"/>
        <v>0</v>
      </c>
      <c r="AR53" s="67">
        <f t="shared" si="19"/>
        <v>0</v>
      </c>
      <c r="AS53" s="67">
        <f t="shared" si="20"/>
        <v>0</v>
      </c>
      <c r="AT53" s="67">
        <f t="shared" si="21"/>
        <v>0</v>
      </c>
      <c r="AU53" s="67">
        <f t="shared" si="22"/>
        <v>0</v>
      </c>
      <c r="AV53" s="67">
        <f t="shared" si="23"/>
        <v>0</v>
      </c>
      <c r="AW53" s="68">
        <f t="shared" si="24"/>
        <v>0</v>
      </c>
      <c r="AY53" s="67">
        <f t="shared" si="25"/>
        <v>0</v>
      </c>
      <c r="AZ53" s="67">
        <f t="shared" si="26"/>
        <v>0</v>
      </c>
      <c r="BA53" s="67">
        <f t="shared" si="27"/>
        <v>0</v>
      </c>
      <c r="BB53" s="67">
        <f t="shared" si="28"/>
        <v>0</v>
      </c>
      <c r="BC53" s="30">
        <f t="shared" si="29"/>
        <v>0</v>
      </c>
    </row>
    <row r="54">
      <c r="A54" s="7"/>
      <c r="B54" s="7"/>
      <c r="C54" s="7"/>
      <c r="D54" s="7"/>
      <c r="E54" s="7"/>
      <c r="F54" s="7"/>
      <c r="G54" s="7"/>
      <c r="H54" s="7"/>
      <c r="I54" s="7"/>
      <c r="J54" s="7"/>
      <c r="K54" s="7"/>
      <c r="L54" s="7"/>
      <c r="M54" s="7"/>
      <c r="N54" s="7"/>
      <c r="O54" s="7"/>
      <c r="P54" s="7"/>
      <c r="Q54" s="7"/>
      <c r="R54" s="7"/>
      <c r="S54" s="7"/>
      <c r="T54" s="7"/>
      <c r="U54" s="7"/>
      <c r="V54" s="7"/>
      <c r="W54" s="7"/>
      <c r="X54" s="7"/>
      <c r="Y54" s="7"/>
      <c r="Z54" s="67">
        <f t="shared" si="1"/>
        <v>0</v>
      </c>
      <c r="AA54" s="67">
        <f t="shared" si="2"/>
        <v>0</v>
      </c>
      <c r="AB54" s="67">
        <f t="shared" si="3"/>
        <v>0</v>
      </c>
      <c r="AC54" s="67">
        <f t="shared" si="4"/>
        <v>0</v>
      </c>
      <c r="AD54" s="67">
        <f t="shared" si="5"/>
        <v>0</v>
      </c>
      <c r="AE54" s="68">
        <f t="shared" si="6"/>
        <v>0</v>
      </c>
      <c r="AF54" s="67">
        <f t="shared" si="7"/>
        <v>0</v>
      </c>
      <c r="AG54" s="67">
        <f t="shared" si="8"/>
        <v>0</v>
      </c>
      <c r="AH54" s="67">
        <f t="shared" si="9"/>
        <v>0</v>
      </c>
      <c r="AI54" s="67">
        <f t="shared" si="10"/>
        <v>0</v>
      </c>
      <c r="AJ54" s="67">
        <f t="shared" si="11"/>
        <v>0</v>
      </c>
      <c r="AK54" s="68">
        <f t="shared" si="12"/>
        <v>0</v>
      </c>
      <c r="AL54" s="67">
        <f t="shared" si="13"/>
        <v>0</v>
      </c>
      <c r="AM54" s="67">
        <f t="shared" si="14"/>
        <v>0</v>
      </c>
      <c r="AN54" s="67">
        <f t="shared" si="15"/>
        <v>0</v>
      </c>
      <c r="AO54" s="67">
        <f t="shared" si="16"/>
        <v>0</v>
      </c>
      <c r="AP54" s="67">
        <f t="shared" si="17"/>
        <v>0</v>
      </c>
      <c r="AQ54" s="68">
        <f t="shared" si="18"/>
        <v>0</v>
      </c>
      <c r="AR54" s="67">
        <f t="shared" si="19"/>
        <v>0</v>
      </c>
      <c r="AS54" s="67">
        <f t="shared" si="20"/>
        <v>0</v>
      </c>
      <c r="AT54" s="67">
        <f t="shared" si="21"/>
        <v>0</v>
      </c>
      <c r="AU54" s="67">
        <f t="shared" si="22"/>
        <v>0</v>
      </c>
      <c r="AV54" s="67">
        <f t="shared" si="23"/>
        <v>0</v>
      </c>
      <c r="AW54" s="68">
        <f t="shared" si="24"/>
        <v>0</v>
      </c>
      <c r="AY54" s="67">
        <f t="shared" si="25"/>
        <v>0</v>
      </c>
      <c r="AZ54" s="67">
        <f t="shared" si="26"/>
        <v>0</v>
      </c>
      <c r="BA54" s="67">
        <f t="shared" si="27"/>
        <v>0</v>
      </c>
      <c r="BB54" s="67">
        <f t="shared" si="28"/>
        <v>0</v>
      </c>
      <c r="BC54" s="30">
        <f t="shared" si="29"/>
        <v>0</v>
      </c>
    </row>
    <row r="55">
      <c r="A55" s="7"/>
      <c r="B55" s="7"/>
      <c r="C55" s="7"/>
      <c r="D55" s="7"/>
      <c r="E55" s="7"/>
      <c r="F55" s="7"/>
      <c r="G55" s="7"/>
      <c r="H55" s="7"/>
      <c r="I55" s="7"/>
      <c r="J55" s="7"/>
      <c r="K55" s="7"/>
      <c r="L55" s="7"/>
      <c r="M55" s="7"/>
      <c r="N55" s="7"/>
      <c r="O55" s="7"/>
      <c r="P55" s="7"/>
      <c r="Q55" s="7"/>
      <c r="R55" s="7"/>
      <c r="S55" s="7"/>
      <c r="T55" s="7"/>
      <c r="U55" s="7"/>
      <c r="V55" s="7"/>
      <c r="W55" s="7"/>
      <c r="X55" s="7"/>
      <c r="Y55" s="7"/>
      <c r="Z55" s="67">
        <f t="shared" si="1"/>
        <v>0</v>
      </c>
      <c r="AA55" s="67">
        <f t="shared" si="2"/>
        <v>0</v>
      </c>
      <c r="AB55" s="67">
        <f t="shared" si="3"/>
        <v>0</v>
      </c>
      <c r="AC55" s="67">
        <f t="shared" si="4"/>
        <v>0</v>
      </c>
      <c r="AD55" s="67">
        <f t="shared" si="5"/>
        <v>0</v>
      </c>
      <c r="AE55" s="68">
        <f t="shared" si="6"/>
        <v>0</v>
      </c>
      <c r="AF55" s="67">
        <f t="shared" si="7"/>
        <v>0</v>
      </c>
      <c r="AG55" s="67">
        <f t="shared" si="8"/>
        <v>0</v>
      </c>
      <c r="AH55" s="67">
        <f t="shared" si="9"/>
        <v>0</v>
      </c>
      <c r="AI55" s="67">
        <f t="shared" si="10"/>
        <v>0</v>
      </c>
      <c r="AJ55" s="67">
        <f t="shared" si="11"/>
        <v>0</v>
      </c>
      <c r="AK55" s="68">
        <f t="shared" si="12"/>
        <v>0</v>
      </c>
      <c r="AL55" s="67">
        <f t="shared" si="13"/>
        <v>0</v>
      </c>
      <c r="AM55" s="67">
        <f t="shared" si="14"/>
        <v>0</v>
      </c>
      <c r="AN55" s="67">
        <f t="shared" si="15"/>
        <v>0</v>
      </c>
      <c r="AO55" s="67">
        <f t="shared" si="16"/>
        <v>0</v>
      </c>
      <c r="AP55" s="67">
        <f t="shared" si="17"/>
        <v>0</v>
      </c>
      <c r="AQ55" s="68">
        <f t="shared" si="18"/>
        <v>0</v>
      </c>
      <c r="AR55" s="67">
        <f t="shared" si="19"/>
        <v>0</v>
      </c>
      <c r="AS55" s="67">
        <f t="shared" si="20"/>
        <v>0</v>
      </c>
      <c r="AT55" s="67">
        <f t="shared" si="21"/>
        <v>0</v>
      </c>
      <c r="AU55" s="67">
        <f t="shared" si="22"/>
        <v>0</v>
      </c>
      <c r="AV55" s="67">
        <f t="shared" si="23"/>
        <v>0</v>
      </c>
      <c r="AW55" s="68">
        <f t="shared" si="24"/>
        <v>0</v>
      </c>
      <c r="AY55" s="67">
        <f t="shared" si="25"/>
        <v>0</v>
      </c>
      <c r="AZ55" s="67">
        <f t="shared" si="26"/>
        <v>0</v>
      </c>
      <c r="BA55" s="67">
        <f t="shared" si="27"/>
        <v>0</v>
      </c>
      <c r="BB55" s="67">
        <f t="shared" si="28"/>
        <v>0</v>
      </c>
      <c r="BC55" s="30">
        <f t="shared" si="29"/>
        <v>0</v>
      </c>
    </row>
    <row r="56">
      <c r="A56" s="7"/>
      <c r="B56" s="7"/>
      <c r="C56" s="7"/>
      <c r="D56" s="7"/>
      <c r="E56" s="7"/>
      <c r="F56" s="7"/>
      <c r="G56" s="7"/>
      <c r="H56" s="7"/>
      <c r="I56" s="7"/>
      <c r="J56" s="7"/>
      <c r="K56" s="7"/>
      <c r="L56" s="7"/>
      <c r="M56" s="7"/>
      <c r="N56" s="7"/>
      <c r="O56" s="7"/>
      <c r="P56" s="7"/>
      <c r="Q56" s="7"/>
      <c r="R56" s="7"/>
      <c r="S56" s="7"/>
      <c r="T56" s="7"/>
      <c r="U56" s="7"/>
      <c r="V56" s="7"/>
      <c r="W56" s="7"/>
      <c r="X56" s="7"/>
      <c r="Y56" s="7"/>
      <c r="Z56" s="67">
        <f t="shared" si="1"/>
        <v>0</v>
      </c>
      <c r="AA56" s="67">
        <f t="shared" si="2"/>
        <v>0</v>
      </c>
      <c r="AB56" s="67">
        <f t="shared" si="3"/>
        <v>0</v>
      </c>
      <c r="AC56" s="67">
        <f t="shared" si="4"/>
        <v>0</v>
      </c>
      <c r="AD56" s="67">
        <f t="shared" si="5"/>
        <v>0</v>
      </c>
      <c r="AE56" s="68">
        <f t="shared" si="6"/>
        <v>0</v>
      </c>
      <c r="AF56" s="67">
        <f t="shared" si="7"/>
        <v>0</v>
      </c>
      <c r="AG56" s="67">
        <f t="shared" si="8"/>
        <v>0</v>
      </c>
      <c r="AH56" s="67">
        <f t="shared" si="9"/>
        <v>0</v>
      </c>
      <c r="AI56" s="67">
        <f t="shared" si="10"/>
        <v>0</v>
      </c>
      <c r="AJ56" s="67">
        <f t="shared" si="11"/>
        <v>0</v>
      </c>
      <c r="AK56" s="68">
        <f t="shared" si="12"/>
        <v>0</v>
      </c>
      <c r="AL56" s="67">
        <f t="shared" si="13"/>
        <v>0</v>
      </c>
      <c r="AM56" s="67">
        <f t="shared" si="14"/>
        <v>0</v>
      </c>
      <c r="AN56" s="67">
        <f t="shared" si="15"/>
        <v>0</v>
      </c>
      <c r="AO56" s="67">
        <f t="shared" si="16"/>
        <v>0</v>
      </c>
      <c r="AP56" s="67">
        <f t="shared" si="17"/>
        <v>0</v>
      </c>
      <c r="AQ56" s="68">
        <f t="shared" si="18"/>
        <v>0</v>
      </c>
      <c r="AR56" s="67">
        <f t="shared" si="19"/>
        <v>0</v>
      </c>
      <c r="AS56" s="67">
        <f t="shared" si="20"/>
        <v>0</v>
      </c>
      <c r="AT56" s="67">
        <f t="shared" si="21"/>
        <v>0</v>
      </c>
      <c r="AU56" s="67">
        <f t="shared" si="22"/>
        <v>0</v>
      </c>
      <c r="AV56" s="67">
        <f t="shared" si="23"/>
        <v>0</v>
      </c>
      <c r="AW56" s="68">
        <f t="shared" si="24"/>
        <v>0</v>
      </c>
      <c r="AY56" s="67">
        <f t="shared" si="25"/>
        <v>0</v>
      </c>
      <c r="AZ56" s="67">
        <f t="shared" si="26"/>
        <v>0</v>
      </c>
      <c r="BA56" s="67">
        <f t="shared" si="27"/>
        <v>0</v>
      </c>
      <c r="BB56" s="67">
        <f t="shared" si="28"/>
        <v>0</v>
      </c>
    </row>
    <row r="57">
      <c r="A57" s="7"/>
      <c r="B57" s="7"/>
      <c r="C57" s="7"/>
      <c r="D57" s="7"/>
      <c r="E57" s="7"/>
      <c r="F57" s="7"/>
      <c r="G57" s="7"/>
      <c r="H57" s="7"/>
      <c r="I57" s="7"/>
      <c r="J57" s="7"/>
      <c r="K57" s="7"/>
      <c r="L57" s="7"/>
      <c r="M57" s="7"/>
      <c r="N57" s="7"/>
      <c r="O57" s="7"/>
      <c r="P57" s="7"/>
      <c r="Q57" s="7"/>
      <c r="R57" s="7"/>
      <c r="S57" s="7"/>
      <c r="T57" s="7"/>
      <c r="U57" s="7"/>
      <c r="V57" s="7"/>
      <c r="W57" s="7"/>
      <c r="X57" s="7"/>
      <c r="Y57" s="7"/>
      <c r="Z57" s="67">
        <f t="shared" si="1"/>
        <v>0</v>
      </c>
      <c r="AA57" s="67">
        <f t="shared" si="2"/>
        <v>0</v>
      </c>
      <c r="AB57" s="67">
        <f t="shared" si="3"/>
        <v>0</v>
      </c>
      <c r="AC57" s="67">
        <f t="shared" si="4"/>
        <v>0</v>
      </c>
      <c r="AD57" s="67">
        <f t="shared" si="5"/>
        <v>0</v>
      </c>
      <c r="AE57" s="68">
        <f t="shared" si="6"/>
        <v>0</v>
      </c>
      <c r="AF57" s="67">
        <f t="shared" si="7"/>
        <v>0</v>
      </c>
      <c r="AG57" s="67">
        <f t="shared" si="8"/>
        <v>0</v>
      </c>
      <c r="AH57" s="67">
        <f t="shared" si="9"/>
        <v>0</v>
      </c>
      <c r="AI57" s="67">
        <f t="shared" si="10"/>
        <v>0</v>
      </c>
      <c r="AJ57" s="67">
        <f t="shared" si="11"/>
        <v>0</v>
      </c>
      <c r="AK57" s="68">
        <f t="shared" si="12"/>
        <v>0</v>
      </c>
      <c r="AL57" s="67">
        <f t="shared" si="13"/>
        <v>0</v>
      </c>
      <c r="AM57" s="67">
        <f t="shared" si="14"/>
        <v>0</v>
      </c>
      <c r="AN57" s="67">
        <f t="shared" si="15"/>
        <v>0</v>
      </c>
      <c r="AO57" s="67">
        <f t="shared" si="16"/>
        <v>0</v>
      </c>
      <c r="AP57" s="67">
        <f t="shared" si="17"/>
        <v>0</v>
      </c>
      <c r="AQ57" s="68">
        <f t="shared" si="18"/>
        <v>0</v>
      </c>
      <c r="AR57" s="67">
        <f t="shared" si="19"/>
        <v>0</v>
      </c>
      <c r="AS57" s="67">
        <f t="shared" si="20"/>
        <v>0</v>
      </c>
      <c r="AT57" s="67">
        <f t="shared" si="21"/>
        <v>0</v>
      </c>
      <c r="AU57" s="67">
        <f t="shared" si="22"/>
        <v>0</v>
      </c>
      <c r="AV57" s="67">
        <f t="shared" si="23"/>
        <v>0</v>
      </c>
      <c r="AW57" s="68">
        <f t="shared" si="24"/>
        <v>0</v>
      </c>
      <c r="AY57" s="67">
        <f t="shared" si="25"/>
        <v>0</v>
      </c>
      <c r="AZ57" s="67">
        <f t="shared" si="26"/>
        <v>0</v>
      </c>
      <c r="BA57" s="67">
        <f t="shared" si="27"/>
        <v>0</v>
      </c>
      <c r="BB57" s="67">
        <f t="shared" si="28"/>
        <v>0</v>
      </c>
    </row>
    <row r="58">
      <c r="A58" s="7"/>
      <c r="B58" s="7"/>
      <c r="C58" s="7"/>
      <c r="D58" s="7"/>
      <c r="E58" s="7"/>
      <c r="F58" s="7"/>
      <c r="G58" s="7"/>
      <c r="H58" s="7"/>
      <c r="I58" s="7"/>
      <c r="J58" s="7"/>
      <c r="K58" s="7"/>
      <c r="L58" s="7"/>
      <c r="M58" s="7"/>
      <c r="N58" s="7"/>
      <c r="O58" s="7"/>
      <c r="P58" s="7"/>
      <c r="Q58" s="7"/>
      <c r="R58" s="7"/>
      <c r="S58" s="7"/>
      <c r="T58" s="7"/>
      <c r="U58" s="7"/>
      <c r="V58" s="7"/>
      <c r="W58" s="7"/>
      <c r="X58" s="7"/>
      <c r="Y58" s="7"/>
      <c r="Z58" s="67">
        <f t="shared" si="1"/>
        <v>0</v>
      </c>
      <c r="AA58" s="67">
        <f t="shared" si="2"/>
        <v>0</v>
      </c>
      <c r="AB58" s="67">
        <f t="shared" si="3"/>
        <v>0</v>
      </c>
      <c r="AC58" s="67">
        <f t="shared" si="4"/>
        <v>0</v>
      </c>
      <c r="AD58" s="67">
        <f t="shared" si="5"/>
        <v>0</v>
      </c>
      <c r="AE58" s="68">
        <f t="shared" si="6"/>
        <v>0</v>
      </c>
      <c r="AF58" s="67">
        <f t="shared" si="7"/>
        <v>0</v>
      </c>
      <c r="AG58" s="67">
        <f t="shared" si="8"/>
        <v>0</v>
      </c>
      <c r="AH58" s="67">
        <f t="shared" si="9"/>
        <v>0</v>
      </c>
      <c r="AI58" s="67">
        <f t="shared" si="10"/>
        <v>0</v>
      </c>
      <c r="AJ58" s="67">
        <f t="shared" si="11"/>
        <v>0</v>
      </c>
      <c r="AK58" s="68">
        <f t="shared" si="12"/>
        <v>0</v>
      </c>
      <c r="AL58" s="67">
        <f t="shared" si="13"/>
        <v>0</v>
      </c>
      <c r="AM58" s="67">
        <f t="shared" si="14"/>
        <v>0</v>
      </c>
      <c r="AN58" s="67">
        <f t="shared" si="15"/>
        <v>0</v>
      </c>
      <c r="AO58" s="67">
        <f t="shared" si="16"/>
        <v>0</v>
      </c>
      <c r="AP58" s="67">
        <f t="shared" si="17"/>
        <v>0</v>
      </c>
      <c r="AQ58" s="68">
        <f t="shared" si="18"/>
        <v>0</v>
      </c>
      <c r="AR58" s="67">
        <f t="shared" si="19"/>
        <v>0</v>
      </c>
      <c r="AS58" s="67">
        <f t="shared" si="20"/>
        <v>0</v>
      </c>
      <c r="AT58" s="67">
        <f t="shared" si="21"/>
        <v>0</v>
      </c>
      <c r="AU58" s="67">
        <f t="shared" si="22"/>
        <v>0</v>
      </c>
      <c r="AV58" s="67">
        <f t="shared" si="23"/>
        <v>0</v>
      </c>
      <c r="AW58" s="68">
        <f t="shared" si="24"/>
        <v>0</v>
      </c>
      <c r="AY58" s="67">
        <f t="shared" si="25"/>
        <v>0</v>
      </c>
      <c r="AZ58" s="67">
        <f t="shared" si="26"/>
        <v>0</v>
      </c>
      <c r="BA58" s="67">
        <f t="shared" si="27"/>
        <v>0</v>
      </c>
      <c r="BB58" s="67">
        <f t="shared" si="28"/>
        <v>0</v>
      </c>
    </row>
    <row r="59">
      <c r="A59" s="7"/>
      <c r="B59" s="7"/>
      <c r="C59" s="7"/>
      <c r="D59" s="7"/>
      <c r="E59" s="7"/>
      <c r="F59" s="7"/>
      <c r="G59" s="7"/>
      <c r="H59" s="7"/>
      <c r="I59" s="7"/>
      <c r="J59" s="7"/>
      <c r="K59" s="7"/>
      <c r="L59" s="7"/>
      <c r="M59" s="7"/>
      <c r="N59" s="7"/>
      <c r="O59" s="7"/>
      <c r="P59" s="7"/>
      <c r="Q59" s="7"/>
      <c r="R59" s="7"/>
      <c r="S59" s="7"/>
      <c r="T59" s="7"/>
      <c r="U59" s="7"/>
      <c r="V59" s="7"/>
      <c r="W59" s="7"/>
      <c r="X59" s="7"/>
      <c r="Y59" s="7"/>
      <c r="Z59" s="67">
        <f t="shared" si="1"/>
        <v>0</v>
      </c>
      <c r="AA59" s="67">
        <f t="shared" si="2"/>
        <v>0</v>
      </c>
      <c r="AB59" s="67">
        <f t="shared" si="3"/>
        <v>0</v>
      </c>
      <c r="AC59" s="67">
        <f t="shared" si="4"/>
        <v>0</v>
      </c>
      <c r="AD59" s="67">
        <f t="shared" si="5"/>
        <v>0</v>
      </c>
      <c r="AE59" s="68">
        <f t="shared" si="6"/>
        <v>0</v>
      </c>
      <c r="AF59" s="67">
        <f t="shared" si="7"/>
        <v>0</v>
      </c>
      <c r="AG59" s="67">
        <f t="shared" si="8"/>
        <v>0</v>
      </c>
      <c r="AH59" s="67">
        <f t="shared" si="9"/>
        <v>0</v>
      </c>
      <c r="AI59" s="67">
        <f t="shared" si="10"/>
        <v>0</v>
      </c>
      <c r="AJ59" s="67">
        <f t="shared" si="11"/>
        <v>0</v>
      </c>
      <c r="AK59" s="68">
        <f t="shared" si="12"/>
        <v>0</v>
      </c>
      <c r="AL59" s="67">
        <f t="shared" si="13"/>
        <v>0</v>
      </c>
      <c r="AM59" s="67">
        <f t="shared" si="14"/>
        <v>0</v>
      </c>
      <c r="AN59" s="67">
        <f t="shared" si="15"/>
        <v>0</v>
      </c>
      <c r="AO59" s="67">
        <f t="shared" si="16"/>
        <v>0</v>
      </c>
      <c r="AP59" s="67">
        <f t="shared" si="17"/>
        <v>0</v>
      </c>
      <c r="AQ59" s="68">
        <f t="shared" si="18"/>
        <v>0</v>
      </c>
      <c r="AR59" s="67">
        <f t="shared" si="19"/>
        <v>0</v>
      </c>
      <c r="AS59" s="67">
        <f t="shared" si="20"/>
        <v>0</v>
      </c>
      <c r="AT59" s="67">
        <f t="shared" si="21"/>
        <v>0</v>
      </c>
      <c r="AU59" s="67">
        <f t="shared" si="22"/>
        <v>0</v>
      </c>
      <c r="AV59" s="67">
        <f t="shared" si="23"/>
        <v>0</v>
      </c>
      <c r="AW59" s="68">
        <f t="shared" si="24"/>
        <v>0</v>
      </c>
      <c r="AY59" s="67">
        <f t="shared" si="25"/>
        <v>0</v>
      </c>
      <c r="AZ59" s="67">
        <f t="shared" si="26"/>
        <v>0</v>
      </c>
      <c r="BA59" s="67">
        <f t="shared" si="27"/>
        <v>0</v>
      </c>
      <c r="BB59" s="67">
        <f t="shared" si="28"/>
        <v>0</v>
      </c>
    </row>
    <row r="60">
      <c r="A60" s="7"/>
      <c r="B60" s="7"/>
      <c r="C60" s="7"/>
      <c r="D60" s="7"/>
      <c r="E60" s="7"/>
      <c r="F60" s="7"/>
      <c r="G60" s="7"/>
      <c r="H60" s="7"/>
      <c r="I60" s="7"/>
      <c r="J60" s="7"/>
      <c r="K60" s="7"/>
      <c r="L60" s="7"/>
      <c r="M60" s="7"/>
      <c r="N60" s="7"/>
      <c r="O60" s="7"/>
      <c r="P60" s="7"/>
      <c r="Q60" s="7"/>
      <c r="R60" s="7"/>
      <c r="S60" s="7"/>
      <c r="T60" s="7"/>
      <c r="U60" s="7"/>
      <c r="V60" s="7"/>
      <c r="W60" s="7"/>
      <c r="X60" s="7"/>
      <c r="Y60" s="7"/>
      <c r="Z60" s="67">
        <f t="shared" si="1"/>
        <v>0</v>
      </c>
      <c r="AA60" s="67">
        <f t="shared" si="2"/>
        <v>0</v>
      </c>
      <c r="AB60" s="67">
        <f t="shared" si="3"/>
        <v>0</v>
      </c>
      <c r="AC60" s="67">
        <f t="shared" si="4"/>
        <v>0</v>
      </c>
      <c r="AD60" s="67">
        <f t="shared" si="5"/>
        <v>0</v>
      </c>
      <c r="AE60" s="68">
        <f t="shared" si="6"/>
        <v>0</v>
      </c>
      <c r="AF60" s="67">
        <f t="shared" si="7"/>
        <v>0</v>
      </c>
      <c r="AG60" s="67">
        <f t="shared" si="8"/>
        <v>0</v>
      </c>
      <c r="AH60" s="67">
        <f t="shared" si="9"/>
        <v>0</v>
      </c>
      <c r="AI60" s="67">
        <f t="shared" si="10"/>
        <v>0</v>
      </c>
      <c r="AJ60" s="67">
        <f t="shared" si="11"/>
        <v>0</v>
      </c>
      <c r="AK60" s="68">
        <f t="shared" si="12"/>
        <v>0</v>
      </c>
      <c r="AL60" s="67">
        <f t="shared" si="13"/>
        <v>0</v>
      </c>
      <c r="AM60" s="67">
        <f t="shared" si="14"/>
        <v>0</v>
      </c>
      <c r="AN60" s="67">
        <f t="shared" si="15"/>
        <v>0</v>
      </c>
      <c r="AO60" s="67">
        <f t="shared" si="16"/>
        <v>0</v>
      </c>
      <c r="AP60" s="67">
        <f t="shared" si="17"/>
        <v>0</v>
      </c>
      <c r="AQ60" s="68">
        <f t="shared" si="18"/>
        <v>0</v>
      </c>
      <c r="AR60" s="67">
        <f t="shared" si="19"/>
        <v>0</v>
      </c>
      <c r="AS60" s="67">
        <f t="shared" si="20"/>
        <v>0</v>
      </c>
      <c r="AT60" s="67">
        <f t="shared" si="21"/>
        <v>0</v>
      </c>
      <c r="AU60" s="67">
        <f t="shared" si="22"/>
        <v>0</v>
      </c>
      <c r="AV60" s="67">
        <f t="shared" si="23"/>
        <v>0</v>
      </c>
      <c r="AW60" s="68">
        <f t="shared" si="24"/>
        <v>0</v>
      </c>
      <c r="AY60" s="67">
        <f t="shared" si="25"/>
        <v>0</v>
      </c>
      <c r="AZ60" s="67">
        <f t="shared" si="26"/>
        <v>0</v>
      </c>
      <c r="BA60" s="67">
        <f t="shared" si="27"/>
        <v>0</v>
      </c>
      <c r="BB60" s="67">
        <f t="shared" si="28"/>
        <v>0</v>
      </c>
    </row>
    <row r="61">
      <c r="A61" s="7"/>
      <c r="B61" s="7"/>
      <c r="C61" s="7"/>
      <c r="D61" s="7"/>
      <c r="E61" s="7"/>
      <c r="F61" s="7"/>
      <c r="G61" s="7"/>
      <c r="H61" s="7"/>
      <c r="I61" s="7"/>
      <c r="J61" s="7"/>
      <c r="K61" s="7"/>
      <c r="L61" s="7"/>
      <c r="M61" s="7"/>
      <c r="N61" s="7"/>
      <c r="O61" s="7"/>
      <c r="P61" s="7"/>
      <c r="Q61" s="7"/>
      <c r="R61" s="7"/>
      <c r="S61" s="7"/>
      <c r="T61" s="7"/>
      <c r="U61" s="7"/>
      <c r="V61" s="7"/>
      <c r="W61" s="7"/>
      <c r="X61" s="7"/>
      <c r="Y61" s="7"/>
      <c r="Z61" s="67">
        <f t="shared" si="1"/>
        <v>0</v>
      </c>
      <c r="AA61" s="67">
        <f t="shared" si="2"/>
        <v>0</v>
      </c>
      <c r="AB61" s="67">
        <f t="shared" si="3"/>
        <v>0</v>
      </c>
      <c r="AC61" s="67">
        <f t="shared" si="4"/>
        <v>0</v>
      </c>
      <c r="AD61" s="67">
        <f t="shared" si="5"/>
        <v>0</v>
      </c>
      <c r="AE61" s="68">
        <f t="shared" si="6"/>
        <v>0</v>
      </c>
      <c r="AF61" s="67">
        <f t="shared" si="7"/>
        <v>0</v>
      </c>
      <c r="AG61" s="67">
        <f t="shared" si="8"/>
        <v>0</v>
      </c>
      <c r="AH61" s="67">
        <f t="shared" si="9"/>
        <v>0</v>
      </c>
      <c r="AI61" s="67">
        <f t="shared" si="10"/>
        <v>0</v>
      </c>
      <c r="AJ61" s="67">
        <f t="shared" si="11"/>
        <v>0</v>
      </c>
      <c r="AK61" s="68">
        <f t="shared" si="12"/>
        <v>0</v>
      </c>
      <c r="AL61" s="67">
        <f t="shared" si="13"/>
        <v>0</v>
      </c>
      <c r="AM61" s="67">
        <f t="shared" si="14"/>
        <v>0</v>
      </c>
      <c r="AN61" s="67">
        <f t="shared" si="15"/>
        <v>0</v>
      </c>
      <c r="AO61" s="67">
        <f t="shared" si="16"/>
        <v>0</v>
      </c>
      <c r="AP61" s="67">
        <f t="shared" si="17"/>
        <v>0</v>
      </c>
      <c r="AQ61" s="68">
        <f t="shared" si="18"/>
        <v>0</v>
      </c>
      <c r="AR61" s="67">
        <f t="shared" si="19"/>
        <v>0</v>
      </c>
      <c r="AS61" s="67">
        <f t="shared" si="20"/>
        <v>0</v>
      </c>
      <c r="AT61" s="67">
        <f t="shared" si="21"/>
        <v>0</v>
      </c>
      <c r="AU61" s="67">
        <f t="shared" si="22"/>
        <v>0</v>
      </c>
      <c r="AV61" s="67">
        <f t="shared" si="23"/>
        <v>0</v>
      </c>
      <c r="AW61" s="68">
        <f t="shared" si="24"/>
        <v>0</v>
      </c>
      <c r="AY61" s="67">
        <f t="shared" si="25"/>
        <v>0</v>
      </c>
      <c r="AZ61" s="67">
        <f t="shared" si="26"/>
        <v>0</v>
      </c>
      <c r="BA61" s="67">
        <f t="shared" si="27"/>
        <v>0</v>
      </c>
      <c r="BB61" s="67">
        <f t="shared" si="28"/>
        <v>0</v>
      </c>
    </row>
    <row r="62">
      <c r="A62" s="7"/>
      <c r="B62" s="7"/>
      <c r="C62" s="7"/>
      <c r="D62" s="7"/>
      <c r="E62" s="7"/>
      <c r="F62" s="7"/>
      <c r="G62" s="7"/>
      <c r="H62" s="7"/>
      <c r="I62" s="7"/>
      <c r="J62" s="7"/>
      <c r="K62" s="7"/>
      <c r="L62" s="7"/>
      <c r="M62" s="7"/>
      <c r="N62" s="7"/>
      <c r="O62" s="7"/>
      <c r="P62" s="7"/>
      <c r="Q62" s="7"/>
      <c r="R62" s="7"/>
      <c r="S62" s="7"/>
      <c r="T62" s="7"/>
      <c r="U62" s="7"/>
      <c r="V62" s="7"/>
      <c r="W62" s="7"/>
      <c r="X62" s="7"/>
      <c r="Y62" s="7"/>
      <c r="Z62" s="67">
        <f t="shared" si="1"/>
        <v>0</v>
      </c>
      <c r="AA62" s="67">
        <f t="shared" si="2"/>
        <v>0</v>
      </c>
      <c r="AB62" s="67">
        <f t="shared" si="3"/>
        <v>0</v>
      </c>
      <c r="AC62" s="67">
        <f t="shared" si="4"/>
        <v>0</v>
      </c>
      <c r="AD62" s="67">
        <f t="shared" si="5"/>
        <v>0</v>
      </c>
      <c r="AE62" s="68">
        <f t="shared" si="6"/>
        <v>0</v>
      </c>
      <c r="AF62" s="67">
        <f t="shared" si="7"/>
        <v>0</v>
      </c>
      <c r="AG62" s="67">
        <f t="shared" si="8"/>
        <v>0</v>
      </c>
      <c r="AH62" s="67">
        <f t="shared" si="9"/>
        <v>0</v>
      </c>
      <c r="AI62" s="67">
        <f t="shared" si="10"/>
        <v>0</v>
      </c>
      <c r="AJ62" s="67">
        <f t="shared" si="11"/>
        <v>0</v>
      </c>
      <c r="AK62" s="68">
        <f t="shared" si="12"/>
        <v>0</v>
      </c>
      <c r="AL62" s="67">
        <f t="shared" si="13"/>
        <v>0</v>
      </c>
      <c r="AM62" s="67">
        <f t="shared" si="14"/>
        <v>0</v>
      </c>
      <c r="AN62" s="67">
        <f t="shared" si="15"/>
        <v>0</v>
      </c>
      <c r="AO62" s="67">
        <f t="shared" si="16"/>
        <v>0</v>
      </c>
      <c r="AP62" s="67">
        <f t="shared" si="17"/>
        <v>0</v>
      </c>
      <c r="AQ62" s="68">
        <f t="shared" si="18"/>
        <v>0</v>
      </c>
      <c r="AR62" s="67">
        <f t="shared" si="19"/>
        <v>0</v>
      </c>
      <c r="AS62" s="67">
        <f t="shared" si="20"/>
        <v>0</v>
      </c>
      <c r="AT62" s="67">
        <f t="shared" si="21"/>
        <v>0</v>
      </c>
      <c r="AU62" s="67">
        <f t="shared" si="22"/>
        <v>0</v>
      </c>
      <c r="AV62" s="67">
        <f t="shared" si="23"/>
        <v>0</v>
      </c>
      <c r="AW62" s="68">
        <f t="shared" si="24"/>
        <v>0</v>
      </c>
      <c r="AY62" s="67">
        <f t="shared" si="25"/>
        <v>0</v>
      </c>
      <c r="AZ62" s="67">
        <f t="shared" si="26"/>
        <v>0</v>
      </c>
      <c r="BA62" s="67">
        <f t="shared" si="27"/>
        <v>0</v>
      </c>
      <c r="BB62" s="67">
        <f t="shared" si="28"/>
        <v>0</v>
      </c>
    </row>
    <row r="63">
      <c r="A63" s="7"/>
      <c r="B63" s="7"/>
      <c r="C63" s="7"/>
      <c r="D63" s="7"/>
      <c r="E63" s="7"/>
      <c r="F63" s="7"/>
      <c r="G63" s="7"/>
      <c r="H63" s="7"/>
      <c r="I63" s="7"/>
      <c r="J63" s="7"/>
      <c r="K63" s="7"/>
      <c r="L63" s="7"/>
      <c r="M63" s="7"/>
      <c r="N63" s="7"/>
      <c r="O63" s="7"/>
      <c r="P63" s="7"/>
      <c r="Q63" s="7"/>
      <c r="R63" s="7"/>
      <c r="S63" s="7"/>
      <c r="T63" s="7"/>
      <c r="U63" s="7"/>
      <c r="V63" s="7"/>
      <c r="W63" s="7"/>
      <c r="X63" s="7"/>
      <c r="Y63" s="7"/>
      <c r="Z63" s="67">
        <f t="shared" si="1"/>
        <v>0</v>
      </c>
      <c r="AA63" s="67">
        <f t="shared" si="2"/>
        <v>0</v>
      </c>
      <c r="AB63" s="67">
        <f t="shared" si="3"/>
        <v>0</v>
      </c>
      <c r="AC63" s="67">
        <f t="shared" si="4"/>
        <v>0</v>
      </c>
      <c r="AD63" s="67">
        <f t="shared" si="5"/>
        <v>0</v>
      </c>
      <c r="AE63" s="68">
        <f t="shared" si="6"/>
        <v>0</v>
      </c>
      <c r="AF63" s="67">
        <f t="shared" si="7"/>
        <v>0</v>
      </c>
      <c r="AG63" s="67">
        <f t="shared" si="8"/>
        <v>0</v>
      </c>
      <c r="AH63" s="67">
        <f t="shared" si="9"/>
        <v>0</v>
      </c>
      <c r="AI63" s="67">
        <f t="shared" si="10"/>
        <v>0</v>
      </c>
      <c r="AJ63" s="67">
        <f t="shared" si="11"/>
        <v>0</v>
      </c>
      <c r="AK63" s="68">
        <f t="shared" si="12"/>
        <v>0</v>
      </c>
      <c r="AL63" s="67">
        <f t="shared" si="13"/>
        <v>0</v>
      </c>
      <c r="AM63" s="67">
        <f t="shared" si="14"/>
        <v>0</v>
      </c>
      <c r="AN63" s="67">
        <f t="shared" si="15"/>
        <v>0</v>
      </c>
      <c r="AO63" s="67">
        <f t="shared" si="16"/>
        <v>0</v>
      </c>
      <c r="AP63" s="67">
        <f t="shared" si="17"/>
        <v>0</v>
      </c>
      <c r="AQ63" s="68">
        <f t="shared" si="18"/>
        <v>0</v>
      </c>
      <c r="AR63" s="67">
        <f t="shared" si="19"/>
        <v>0</v>
      </c>
      <c r="AS63" s="67">
        <f t="shared" si="20"/>
        <v>0</v>
      </c>
      <c r="AT63" s="67">
        <f t="shared" si="21"/>
        <v>0</v>
      </c>
      <c r="AU63" s="67">
        <f t="shared" si="22"/>
        <v>0</v>
      </c>
      <c r="AV63" s="67">
        <f t="shared" si="23"/>
        <v>0</v>
      </c>
      <c r="AW63" s="68">
        <f t="shared" si="24"/>
        <v>0</v>
      </c>
      <c r="AY63" s="67">
        <f t="shared" si="25"/>
        <v>0</v>
      </c>
      <c r="AZ63" s="67">
        <f t="shared" si="26"/>
        <v>0</v>
      </c>
      <c r="BA63" s="67">
        <f t="shared" si="27"/>
        <v>0</v>
      </c>
      <c r="BB63" s="67">
        <f t="shared" si="28"/>
        <v>0</v>
      </c>
    </row>
    <row r="64">
      <c r="A64" s="7"/>
      <c r="B64" s="7"/>
      <c r="C64" s="7"/>
      <c r="D64" s="7"/>
      <c r="E64" s="7"/>
      <c r="F64" s="7"/>
      <c r="G64" s="7"/>
      <c r="H64" s="7"/>
      <c r="I64" s="7"/>
      <c r="J64" s="7"/>
      <c r="K64" s="7"/>
      <c r="L64" s="7"/>
      <c r="M64" s="7"/>
      <c r="N64" s="7"/>
      <c r="O64" s="7"/>
      <c r="P64" s="7"/>
      <c r="Q64" s="7"/>
      <c r="R64" s="7"/>
      <c r="S64" s="7"/>
      <c r="T64" s="7"/>
      <c r="U64" s="7"/>
      <c r="V64" s="7"/>
      <c r="W64" s="7"/>
      <c r="X64" s="7"/>
      <c r="Y64" s="7"/>
      <c r="Z64" s="67">
        <f t="shared" si="1"/>
        <v>0</v>
      </c>
      <c r="AA64" s="67">
        <f t="shared" si="2"/>
        <v>0</v>
      </c>
      <c r="AB64" s="67">
        <f t="shared" si="3"/>
        <v>0</v>
      </c>
      <c r="AC64" s="67">
        <f t="shared" si="4"/>
        <v>0</v>
      </c>
      <c r="AD64" s="67">
        <f t="shared" si="5"/>
        <v>0</v>
      </c>
      <c r="AE64" s="68">
        <f t="shared" si="6"/>
        <v>0</v>
      </c>
      <c r="AF64" s="67">
        <f t="shared" si="7"/>
        <v>0</v>
      </c>
      <c r="AG64" s="67">
        <f t="shared" si="8"/>
        <v>0</v>
      </c>
      <c r="AH64" s="67">
        <f t="shared" si="9"/>
        <v>0</v>
      </c>
      <c r="AI64" s="67">
        <f t="shared" si="10"/>
        <v>0</v>
      </c>
      <c r="AJ64" s="67">
        <f t="shared" si="11"/>
        <v>0</v>
      </c>
      <c r="AK64" s="68">
        <f t="shared" si="12"/>
        <v>0</v>
      </c>
      <c r="AL64" s="67">
        <f t="shared" si="13"/>
        <v>0</v>
      </c>
      <c r="AM64" s="67">
        <f t="shared" si="14"/>
        <v>0</v>
      </c>
      <c r="AN64" s="67">
        <f t="shared" si="15"/>
        <v>0</v>
      </c>
      <c r="AO64" s="67">
        <f t="shared" si="16"/>
        <v>0</v>
      </c>
      <c r="AP64" s="67">
        <f t="shared" si="17"/>
        <v>0</v>
      </c>
      <c r="AQ64" s="68">
        <f t="shared" si="18"/>
        <v>0</v>
      </c>
      <c r="AR64" s="67">
        <f t="shared" si="19"/>
        <v>0</v>
      </c>
      <c r="AS64" s="67">
        <f t="shared" si="20"/>
        <v>0</v>
      </c>
      <c r="AT64" s="67">
        <f t="shared" si="21"/>
        <v>0</v>
      </c>
      <c r="AU64" s="67">
        <f t="shared" si="22"/>
        <v>0</v>
      </c>
      <c r="AV64" s="67">
        <f t="shared" si="23"/>
        <v>0</v>
      </c>
      <c r="AW64" s="68">
        <f t="shared" si="24"/>
        <v>0</v>
      </c>
      <c r="AY64" s="67">
        <f t="shared" si="25"/>
        <v>0</v>
      </c>
      <c r="AZ64" s="67">
        <f t="shared" si="26"/>
        <v>0</v>
      </c>
      <c r="BA64" s="67">
        <f t="shared" si="27"/>
        <v>0</v>
      </c>
      <c r="BB64" s="67">
        <f t="shared" si="28"/>
        <v>0</v>
      </c>
    </row>
    <row r="65">
      <c r="A65" s="7"/>
      <c r="B65" s="7"/>
      <c r="C65" s="7"/>
      <c r="D65" s="7"/>
      <c r="E65" s="7"/>
      <c r="F65" s="7"/>
      <c r="G65" s="7"/>
      <c r="H65" s="7"/>
      <c r="I65" s="7"/>
      <c r="J65" s="7"/>
      <c r="K65" s="7"/>
      <c r="L65" s="7"/>
      <c r="M65" s="7"/>
      <c r="N65" s="7"/>
      <c r="O65" s="7"/>
      <c r="P65" s="7"/>
      <c r="Q65" s="7"/>
      <c r="R65" s="7"/>
      <c r="S65" s="7"/>
      <c r="T65" s="7"/>
      <c r="U65" s="7"/>
      <c r="V65" s="7"/>
      <c r="W65" s="7"/>
      <c r="X65" s="7"/>
      <c r="Y65" s="7"/>
      <c r="Z65" s="67">
        <f t="shared" si="1"/>
        <v>0</v>
      </c>
      <c r="AA65" s="67">
        <f t="shared" si="2"/>
        <v>0</v>
      </c>
      <c r="AB65" s="67">
        <f t="shared" si="3"/>
        <v>0</v>
      </c>
      <c r="AC65" s="67">
        <f t="shared" si="4"/>
        <v>0</v>
      </c>
      <c r="AD65" s="67">
        <f t="shared" si="5"/>
        <v>0</v>
      </c>
      <c r="AE65" s="68">
        <f t="shared" si="6"/>
        <v>0</v>
      </c>
      <c r="AF65" s="67">
        <f t="shared" si="7"/>
        <v>0</v>
      </c>
      <c r="AG65" s="67">
        <f t="shared" si="8"/>
        <v>0</v>
      </c>
      <c r="AH65" s="67">
        <f t="shared" si="9"/>
        <v>0</v>
      </c>
      <c r="AI65" s="67">
        <f t="shared" si="10"/>
        <v>0</v>
      </c>
      <c r="AJ65" s="67">
        <f t="shared" si="11"/>
        <v>0</v>
      </c>
      <c r="AK65" s="68">
        <f t="shared" si="12"/>
        <v>0</v>
      </c>
      <c r="AL65" s="67">
        <f t="shared" si="13"/>
        <v>0</v>
      </c>
      <c r="AM65" s="67">
        <f t="shared" si="14"/>
        <v>0</v>
      </c>
      <c r="AN65" s="67">
        <f t="shared" si="15"/>
        <v>0</v>
      </c>
      <c r="AO65" s="67">
        <f t="shared" si="16"/>
        <v>0</v>
      </c>
      <c r="AP65" s="67">
        <f t="shared" si="17"/>
        <v>0</v>
      </c>
      <c r="AQ65" s="68">
        <f t="shared" si="18"/>
        <v>0</v>
      </c>
      <c r="AR65" s="67">
        <f t="shared" si="19"/>
        <v>0</v>
      </c>
      <c r="AS65" s="67">
        <f t="shared" si="20"/>
        <v>0</v>
      </c>
      <c r="AT65" s="67">
        <f t="shared" si="21"/>
        <v>0</v>
      </c>
      <c r="AU65" s="67">
        <f t="shared" si="22"/>
        <v>0</v>
      </c>
      <c r="AV65" s="67">
        <f t="shared" si="23"/>
        <v>0</v>
      </c>
      <c r="AW65" s="68">
        <f t="shared" si="24"/>
        <v>0</v>
      </c>
      <c r="AY65" s="67">
        <f t="shared" si="25"/>
        <v>0</v>
      </c>
      <c r="AZ65" s="67">
        <f t="shared" si="26"/>
        <v>0</v>
      </c>
      <c r="BA65" s="67">
        <f t="shared" si="27"/>
        <v>0</v>
      </c>
      <c r="BB65" s="67">
        <f t="shared" si="28"/>
        <v>0</v>
      </c>
    </row>
    <row r="66">
      <c r="A66" s="7"/>
      <c r="B66" s="7"/>
      <c r="C66" s="7"/>
      <c r="D66" s="7"/>
      <c r="E66" s="7"/>
      <c r="F66" s="7"/>
      <c r="G66" s="7"/>
      <c r="H66" s="7"/>
      <c r="I66" s="7"/>
      <c r="J66" s="7"/>
      <c r="K66" s="7"/>
      <c r="L66" s="7"/>
      <c r="M66" s="7"/>
      <c r="N66" s="7"/>
      <c r="O66" s="7"/>
      <c r="P66" s="7"/>
      <c r="Q66" s="7"/>
      <c r="R66" s="7"/>
      <c r="S66" s="7"/>
      <c r="T66" s="7"/>
      <c r="U66" s="7"/>
      <c r="V66" s="7"/>
      <c r="W66" s="7"/>
      <c r="X66" s="7"/>
      <c r="Y66" s="7"/>
      <c r="Z66" s="67">
        <f t="shared" si="1"/>
        <v>0</v>
      </c>
      <c r="AA66" s="67">
        <f t="shared" si="2"/>
        <v>0</v>
      </c>
      <c r="AB66" s="67">
        <f t="shared" si="3"/>
        <v>0</v>
      </c>
      <c r="AC66" s="67">
        <f t="shared" si="4"/>
        <v>0</v>
      </c>
      <c r="AD66" s="67">
        <f t="shared" si="5"/>
        <v>0</v>
      </c>
      <c r="AE66" s="68">
        <f t="shared" si="6"/>
        <v>0</v>
      </c>
      <c r="AF66" s="67">
        <f t="shared" si="7"/>
        <v>0</v>
      </c>
      <c r="AG66" s="67">
        <f t="shared" si="8"/>
        <v>0</v>
      </c>
      <c r="AH66" s="67">
        <f t="shared" si="9"/>
        <v>0</v>
      </c>
      <c r="AI66" s="67">
        <f t="shared" si="10"/>
        <v>0</v>
      </c>
      <c r="AJ66" s="67">
        <f t="shared" si="11"/>
        <v>0</v>
      </c>
      <c r="AK66" s="68">
        <f t="shared" si="12"/>
        <v>0</v>
      </c>
      <c r="AL66" s="67">
        <f t="shared" si="13"/>
        <v>0</v>
      </c>
      <c r="AM66" s="67">
        <f t="shared" si="14"/>
        <v>0</v>
      </c>
      <c r="AN66" s="67">
        <f t="shared" si="15"/>
        <v>0</v>
      </c>
      <c r="AO66" s="67">
        <f t="shared" si="16"/>
        <v>0</v>
      </c>
      <c r="AP66" s="67">
        <f t="shared" si="17"/>
        <v>0</v>
      </c>
      <c r="AQ66" s="68">
        <f t="shared" si="18"/>
        <v>0</v>
      </c>
      <c r="AR66" s="67">
        <f t="shared" si="19"/>
        <v>0</v>
      </c>
      <c r="AS66" s="67">
        <f t="shared" si="20"/>
        <v>0</v>
      </c>
      <c r="AT66" s="67">
        <f t="shared" si="21"/>
        <v>0</v>
      </c>
      <c r="AU66" s="67">
        <f t="shared" si="22"/>
        <v>0</v>
      </c>
      <c r="AV66" s="67">
        <f t="shared" si="23"/>
        <v>0</v>
      </c>
      <c r="AW66" s="68">
        <f t="shared" si="24"/>
        <v>0</v>
      </c>
      <c r="AY66" s="67">
        <f t="shared" si="25"/>
        <v>0</v>
      </c>
      <c r="AZ66" s="67">
        <f t="shared" si="26"/>
        <v>0</v>
      </c>
      <c r="BA66" s="67">
        <f t="shared" si="27"/>
        <v>0</v>
      </c>
      <c r="BB66" s="67">
        <f t="shared" si="28"/>
        <v>0</v>
      </c>
    </row>
    <row r="67">
      <c r="A67" s="7"/>
      <c r="B67" s="7"/>
      <c r="C67" s="7"/>
      <c r="D67" s="7"/>
      <c r="E67" s="7"/>
      <c r="F67" s="7"/>
      <c r="G67" s="7"/>
      <c r="H67" s="7"/>
      <c r="I67" s="7"/>
      <c r="J67" s="7"/>
      <c r="K67" s="7"/>
      <c r="L67" s="7"/>
      <c r="M67" s="7"/>
      <c r="N67" s="7"/>
      <c r="O67" s="7"/>
      <c r="P67" s="7"/>
      <c r="Q67" s="7"/>
      <c r="R67" s="7"/>
      <c r="S67" s="7"/>
      <c r="T67" s="7"/>
      <c r="U67" s="7"/>
      <c r="V67" s="7"/>
      <c r="W67" s="7"/>
      <c r="X67" s="7"/>
      <c r="Y67" s="7"/>
      <c r="Z67" s="67">
        <f t="shared" si="1"/>
        <v>0</v>
      </c>
      <c r="AA67" s="67">
        <f t="shared" si="2"/>
        <v>0</v>
      </c>
      <c r="AB67" s="67">
        <f t="shared" si="3"/>
        <v>0</v>
      </c>
      <c r="AC67" s="67">
        <f t="shared" si="4"/>
        <v>0</v>
      </c>
      <c r="AD67" s="67">
        <f t="shared" si="5"/>
        <v>0</v>
      </c>
      <c r="AE67" s="68">
        <f t="shared" si="6"/>
        <v>0</v>
      </c>
      <c r="AF67" s="67">
        <f t="shared" si="7"/>
        <v>0</v>
      </c>
      <c r="AG67" s="67">
        <f t="shared" si="8"/>
        <v>0</v>
      </c>
      <c r="AH67" s="67">
        <f t="shared" si="9"/>
        <v>0</v>
      </c>
      <c r="AI67" s="67">
        <f t="shared" si="10"/>
        <v>0</v>
      </c>
      <c r="AJ67" s="67">
        <f t="shared" si="11"/>
        <v>0</v>
      </c>
      <c r="AK67" s="68">
        <f t="shared" si="12"/>
        <v>0</v>
      </c>
      <c r="AL67" s="67">
        <f t="shared" si="13"/>
        <v>0</v>
      </c>
      <c r="AM67" s="67">
        <f t="shared" si="14"/>
        <v>0</v>
      </c>
      <c r="AN67" s="67">
        <f t="shared" si="15"/>
        <v>0</v>
      </c>
      <c r="AO67" s="67">
        <f t="shared" si="16"/>
        <v>0</v>
      </c>
      <c r="AP67" s="67">
        <f t="shared" si="17"/>
        <v>0</v>
      </c>
      <c r="AQ67" s="68">
        <f t="shared" si="18"/>
        <v>0</v>
      </c>
      <c r="AR67" s="67">
        <f t="shared" si="19"/>
        <v>0</v>
      </c>
      <c r="AS67" s="67">
        <f t="shared" si="20"/>
        <v>0</v>
      </c>
      <c r="AT67" s="67">
        <f t="shared" si="21"/>
        <v>0</v>
      </c>
      <c r="AU67" s="67">
        <f t="shared" si="22"/>
        <v>0</v>
      </c>
      <c r="AV67" s="67">
        <f t="shared" si="23"/>
        <v>0</v>
      </c>
      <c r="AW67" s="68">
        <f t="shared" si="24"/>
        <v>0</v>
      </c>
      <c r="AY67" s="67">
        <f t="shared" si="25"/>
        <v>0</v>
      </c>
      <c r="AZ67" s="67">
        <f t="shared" si="26"/>
        <v>0</v>
      </c>
      <c r="BA67" s="67">
        <f t="shared" si="27"/>
        <v>0</v>
      </c>
      <c r="BB67" s="67">
        <f t="shared" si="28"/>
        <v>0</v>
      </c>
    </row>
    <row r="68">
      <c r="A68" s="7"/>
      <c r="B68" s="7"/>
      <c r="C68" s="7"/>
      <c r="D68" s="7"/>
      <c r="E68" s="7"/>
      <c r="F68" s="7"/>
      <c r="G68" s="7"/>
      <c r="H68" s="7"/>
      <c r="I68" s="7"/>
      <c r="J68" s="7"/>
      <c r="K68" s="7"/>
      <c r="L68" s="7"/>
      <c r="M68" s="7"/>
      <c r="N68" s="7"/>
      <c r="O68" s="7"/>
      <c r="P68" s="7"/>
      <c r="Q68" s="7"/>
      <c r="R68" s="7"/>
      <c r="S68" s="7"/>
      <c r="T68" s="7"/>
      <c r="U68" s="7"/>
      <c r="V68" s="7"/>
      <c r="W68" s="7"/>
      <c r="X68" s="7"/>
      <c r="Y68" s="7"/>
      <c r="Z68" s="67">
        <f t="shared" si="1"/>
        <v>0</v>
      </c>
      <c r="AA68" s="67">
        <f t="shared" si="2"/>
        <v>0</v>
      </c>
      <c r="AB68" s="67">
        <f t="shared" si="3"/>
        <v>0</v>
      </c>
      <c r="AC68" s="67">
        <f t="shared" si="4"/>
        <v>0</v>
      </c>
      <c r="AD68" s="67">
        <f t="shared" si="5"/>
        <v>0</v>
      </c>
      <c r="AE68" s="68">
        <f t="shared" si="6"/>
        <v>0</v>
      </c>
      <c r="AF68" s="67">
        <f t="shared" si="7"/>
        <v>0</v>
      </c>
      <c r="AG68" s="67">
        <f t="shared" si="8"/>
        <v>0</v>
      </c>
      <c r="AH68" s="67">
        <f t="shared" si="9"/>
        <v>0</v>
      </c>
      <c r="AI68" s="67">
        <f t="shared" si="10"/>
        <v>0</v>
      </c>
      <c r="AJ68" s="67">
        <f t="shared" si="11"/>
        <v>0</v>
      </c>
      <c r="AK68" s="68">
        <f t="shared" si="12"/>
        <v>0</v>
      </c>
      <c r="AL68" s="67">
        <f t="shared" si="13"/>
        <v>0</v>
      </c>
      <c r="AM68" s="67">
        <f t="shared" si="14"/>
        <v>0</v>
      </c>
      <c r="AN68" s="67">
        <f t="shared" si="15"/>
        <v>0</v>
      </c>
      <c r="AO68" s="67">
        <f t="shared" si="16"/>
        <v>0</v>
      </c>
      <c r="AP68" s="67">
        <f t="shared" si="17"/>
        <v>0</v>
      </c>
      <c r="AQ68" s="68">
        <f t="shared" si="18"/>
        <v>0</v>
      </c>
      <c r="AR68" s="67">
        <f t="shared" si="19"/>
        <v>0</v>
      </c>
      <c r="AS68" s="67">
        <f t="shared" si="20"/>
        <v>0</v>
      </c>
      <c r="AT68" s="67">
        <f t="shared" si="21"/>
        <v>0</v>
      </c>
      <c r="AU68" s="67">
        <f t="shared" si="22"/>
        <v>0</v>
      </c>
      <c r="AV68" s="67">
        <f t="shared" si="23"/>
        <v>0</v>
      </c>
      <c r="AW68" s="68">
        <f t="shared" si="24"/>
        <v>0</v>
      </c>
      <c r="AY68" s="67">
        <f t="shared" si="25"/>
        <v>0</v>
      </c>
      <c r="AZ68" s="67">
        <f t="shared" si="26"/>
        <v>0</v>
      </c>
      <c r="BA68" s="67">
        <f t="shared" si="27"/>
        <v>0</v>
      </c>
      <c r="BB68" s="67">
        <f t="shared" si="28"/>
        <v>0</v>
      </c>
    </row>
    <row r="69">
      <c r="A69" s="7"/>
      <c r="B69" s="7"/>
      <c r="C69" s="7"/>
      <c r="D69" s="7"/>
      <c r="E69" s="7"/>
      <c r="F69" s="7"/>
      <c r="G69" s="7"/>
      <c r="H69" s="7"/>
      <c r="I69" s="7"/>
      <c r="J69" s="7"/>
      <c r="K69" s="7"/>
      <c r="L69" s="7"/>
      <c r="M69" s="7"/>
      <c r="N69" s="7"/>
      <c r="O69" s="7"/>
      <c r="P69" s="7"/>
      <c r="Q69" s="7"/>
      <c r="R69" s="7"/>
      <c r="S69" s="7"/>
      <c r="T69" s="7"/>
      <c r="U69" s="7"/>
      <c r="V69" s="7"/>
      <c r="W69" s="7"/>
      <c r="X69" s="7"/>
      <c r="Y69" s="7"/>
      <c r="Z69" s="67">
        <f t="shared" si="1"/>
        <v>0</v>
      </c>
      <c r="AA69" s="67">
        <f t="shared" si="2"/>
        <v>0</v>
      </c>
      <c r="AB69" s="67">
        <f t="shared" si="3"/>
        <v>0</v>
      </c>
      <c r="AC69" s="67">
        <f t="shared" si="4"/>
        <v>0</v>
      </c>
      <c r="AD69" s="67">
        <f t="shared" si="5"/>
        <v>0</v>
      </c>
      <c r="AE69" s="68">
        <f t="shared" si="6"/>
        <v>0</v>
      </c>
      <c r="AF69" s="67">
        <f t="shared" si="7"/>
        <v>0</v>
      </c>
      <c r="AG69" s="67">
        <f t="shared" si="8"/>
        <v>0</v>
      </c>
      <c r="AH69" s="67">
        <f t="shared" si="9"/>
        <v>0</v>
      </c>
      <c r="AI69" s="67">
        <f t="shared" si="10"/>
        <v>0</v>
      </c>
      <c r="AJ69" s="67">
        <f t="shared" si="11"/>
        <v>0</v>
      </c>
      <c r="AK69" s="68">
        <f t="shared" si="12"/>
        <v>0</v>
      </c>
      <c r="AL69" s="67">
        <f t="shared" si="13"/>
        <v>0</v>
      </c>
      <c r="AM69" s="67">
        <f t="shared" si="14"/>
        <v>0</v>
      </c>
      <c r="AN69" s="67">
        <f t="shared" si="15"/>
        <v>0</v>
      </c>
      <c r="AO69" s="67">
        <f t="shared" si="16"/>
        <v>0</v>
      </c>
      <c r="AP69" s="67">
        <f t="shared" si="17"/>
        <v>0</v>
      </c>
      <c r="AQ69" s="68">
        <f t="shared" si="18"/>
        <v>0</v>
      </c>
      <c r="AR69" s="67">
        <f t="shared" si="19"/>
        <v>0</v>
      </c>
      <c r="AS69" s="67">
        <f t="shared" si="20"/>
        <v>0</v>
      </c>
      <c r="AT69" s="67">
        <f t="shared" si="21"/>
        <v>0</v>
      </c>
      <c r="AU69" s="67">
        <f t="shared" si="22"/>
        <v>0</v>
      </c>
      <c r="AV69" s="67">
        <f t="shared" si="23"/>
        <v>0</v>
      </c>
      <c r="AW69" s="68">
        <f t="shared" si="24"/>
        <v>0</v>
      </c>
      <c r="AY69" s="67">
        <f t="shared" si="25"/>
        <v>0</v>
      </c>
      <c r="AZ69" s="67">
        <f t="shared" si="26"/>
        <v>0</v>
      </c>
      <c r="BA69" s="67">
        <f t="shared" si="27"/>
        <v>0</v>
      </c>
      <c r="BB69" s="67">
        <f t="shared" si="28"/>
        <v>0</v>
      </c>
    </row>
    <row r="70">
      <c r="A70" s="7"/>
      <c r="B70" s="7"/>
      <c r="C70" s="7"/>
      <c r="D70" s="7"/>
      <c r="E70" s="7"/>
      <c r="F70" s="7"/>
      <c r="G70" s="7"/>
      <c r="H70" s="7"/>
      <c r="I70" s="7"/>
      <c r="J70" s="7"/>
      <c r="K70" s="7"/>
      <c r="L70" s="7"/>
      <c r="M70" s="7"/>
      <c r="N70" s="7"/>
      <c r="O70" s="7"/>
      <c r="P70" s="7"/>
      <c r="Q70" s="7"/>
      <c r="R70" s="7"/>
      <c r="S70" s="7"/>
      <c r="T70" s="7"/>
      <c r="U70" s="7"/>
      <c r="V70" s="7"/>
      <c r="W70" s="7"/>
      <c r="X70" s="7"/>
      <c r="Y70" s="7"/>
      <c r="Z70" s="67">
        <f t="shared" si="1"/>
        <v>0</v>
      </c>
      <c r="AA70" s="67">
        <f t="shared" si="2"/>
        <v>0</v>
      </c>
      <c r="AB70" s="67">
        <f t="shared" si="3"/>
        <v>0</v>
      </c>
      <c r="AC70" s="67">
        <f t="shared" si="4"/>
        <v>0</v>
      </c>
      <c r="AD70" s="67">
        <f t="shared" si="5"/>
        <v>0</v>
      </c>
      <c r="AE70" s="68">
        <f t="shared" si="6"/>
        <v>0</v>
      </c>
      <c r="AF70" s="67">
        <f t="shared" si="7"/>
        <v>0</v>
      </c>
      <c r="AG70" s="67">
        <f t="shared" si="8"/>
        <v>0</v>
      </c>
      <c r="AH70" s="67">
        <f t="shared" si="9"/>
        <v>0</v>
      </c>
      <c r="AI70" s="67">
        <f t="shared" si="10"/>
        <v>0</v>
      </c>
      <c r="AJ70" s="67">
        <f t="shared" si="11"/>
        <v>0</v>
      </c>
      <c r="AK70" s="68">
        <f t="shared" si="12"/>
        <v>0</v>
      </c>
      <c r="AL70" s="67">
        <f t="shared" si="13"/>
        <v>0</v>
      </c>
      <c r="AM70" s="67">
        <f t="shared" si="14"/>
        <v>0</v>
      </c>
      <c r="AN70" s="67">
        <f t="shared" si="15"/>
        <v>0</v>
      </c>
      <c r="AO70" s="67">
        <f t="shared" si="16"/>
        <v>0</v>
      </c>
      <c r="AP70" s="67">
        <f t="shared" si="17"/>
        <v>0</v>
      </c>
      <c r="AQ70" s="68">
        <f t="shared" si="18"/>
        <v>0</v>
      </c>
      <c r="AR70" s="67">
        <f t="shared" si="19"/>
        <v>0</v>
      </c>
      <c r="AS70" s="67">
        <f t="shared" si="20"/>
        <v>0</v>
      </c>
      <c r="AT70" s="67">
        <f t="shared" si="21"/>
        <v>0</v>
      </c>
      <c r="AU70" s="67">
        <f t="shared" si="22"/>
        <v>0</v>
      </c>
      <c r="AV70" s="67">
        <f t="shared" si="23"/>
        <v>0</v>
      </c>
      <c r="AW70" s="68">
        <f t="shared" si="24"/>
        <v>0</v>
      </c>
      <c r="AY70" s="67">
        <f t="shared" si="25"/>
        <v>0</v>
      </c>
      <c r="AZ70" s="67">
        <f t="shared" si="26"/>
        <v>0</v>
      </c>
      <c r="BA70" s="67">
        <f t="shared" si="27"/>
        <v>0</v>
      </c>
      <c r="BB70" s="67">
        <f t="shared" si="28"/>
        <v>0</v>
      </c>
    </row>
    <row r="71">
      <c r="A71" s="7"/>
      <c r="B71" s="7"/>
      <c r="C71" s="7"/>
      <c r="D71" s="7"/>
      <c r="E71" s="7"/>
      <c r="F71" s="7"/>
      <c r="G71" s="7"/>
      <c r="H71" s="7"/>
      <c r="I71" s="7"/>
      <c r="J71" s="7"/>
      <c r="K71" s="7"/>
      <c r="L71" s="7"/>
      <c r="M71" s="7"/>
      <c r="N71" s="7"/>
      <c r="O71" s="7"/>
      <c r="P71" s="7"/>
      <c r="Q71" s="7"/>
      <c r="R71" s="7"/>
      <c r="S71" s="7"/>
      <c r="T71" s="7"/>
      <c r="U71" s="7"/>
      <c r="V71" s="7"/>
      <c r="W71" s="7"/>
      <c r="X71" s="7"/>
      <c r="Y71" s="7"/>
      <c r="Z71" s="67">
        <f t="shared" si="1"/>
        <v>0</v>
      </c>
      <c r="AA71" s="67">
        <f t="shared" si="2"/>
        <v>0</v>
      </c>
      <c r="AB71" s="67">
        <f t="shared" si="3"/>
        <v>0</v>
      </c>
      <c r="AC71" s="67">
        <f t="shared" si="4"/>
        <v>0</v>
      </c>
      <c r="AD71" s="67">
        <f t="shared" si="5"/>
        <v>0</v>
      </c>
      <c r="AE71" s="68">
        <f t="shared" si="6"/>
        <v>0</v>
      </c>
      <c r="AF71" s="67">
        <f t="shared" si="7"/>
        <v>0</v>
      </c>
      <c r="AG71" s="67">
        <f t="shared" si="8"/>
        <v>0</v>
      </c>
      <c r="AH71" s="67">
        <f t="shared" si="9"/>
        <v>0</v>
      </c>
      <c r="AI71" s="67">
        <f t="shared" si="10"/>
        <v>0</v>
      </c>
      <c r="AJ71" s="67">
        <f t="shared" si="11"/>
        <v>0</v>
      </c>
      <c r="AK71" s="68">
        <f t="shared" si="12"/>
        <v>0</v>
      </c>
      <c r="AL71" s="67">
        <f t="shared" si="13"/>
        <v>0</v>
      </c>
      <c r="AM71" s="67">
        <f t="shared" si="14"/>
        <v>0</v>
      </c>
      <c r="AN71" s="67">
        <f t="shared" si="15"/>
        <v>0</v>
      </c>
      <c r="AO71" s="67">
        <f t="shared" si="16"/>
        <v>0</v>
      </c>
      <c r="AP71" s="67">
        <f t="shared" si="17"/>
        <v>0</v>
      </c>
      <c r="AQ71" s="68">
        <f t="shared" si="18"/>
        <v>0</v>
      </c>
      <c r="AR71" s="67">
        <f t="shared" si="19"/>
        <v>0</v>
      </c>
      <c r="AS71" s="67">
        <f t="shared" si="20"/>
        <v>0</v>
      </c>
      <c r="AT71" s="67">
        <f t="shared" si="21"/>
        <v>0</v>
      </c>
      <c r="AU71" s="67">
        <f t="shared" si="22"/>
        <v>0</v>
      </c>
      <c r="AV71" s="67">
        <f t="shared" si="23"/>
        <v>0</v>
      </c>
      <c r="AW71" s="68">
        <f t="shared" si="24"/>
        <v>0</v>
      </c>
      <c r="AY71" s="67">
        <f t="shared" si="25"/>
        <v>0</v>
      </c>
      <c r="AZ71" s="67">
        <f t="shared" si="26"/>
        <v>0</v>
      </c>
      <c r="BA71" s="67">
        <f t="shared" si="27"/>
        <v>0</v>
      </c>
      <c r="BB71" s="67">
        <f t="shared" si="28"/>
        <v>0</v>
      </c>
    </row>
    <row r="72">
      <c r="A72" s="7"/>
      <c r="B72" s="7"/>
      <c r="C72" s="7"/>
      <c r="D72" s="7"/>
      <c r="E72" s="7"/>
      <c r="F72" s="7"/>
      <c r="G72" s="7"/>
      <c r="H72" s="7"/>
      <c r="I72" s="7"/>
      <c r="J72" s="7"/>
      <c r="K72" s="7"/>
      <c r="L72" s="7"/>
      <c r="M72" s="7"/>
      <c r="N72" s="7"/>
      <c r="O72" s="7"/>
      <c r="P72" s="7"/>
      <c r="Q72" s="7"/>
      <c r="R72" s="7"/>
      <c r="S72" s="7"/>
      <c r="T72" s="7"/>
      <c r="U72" s="7"/>
      <c r="V72" s="7"/>
      <c r="W72" s="7"/>
      <c r="X72" s="7"/>
      <c r="Y72" s="7"/>
      <c r="Z72" s="67">
        <f t="shared" si="1"/>
        <v>0</v>
      </c>
      <c r="AA72" s="67">
        <f t="shared" si="2"/>
        <v>0</v>
      </c>
      <c r="AB72" s="67">
        <f t="shared" si="3"/>
        <v>0</v>
      </c>
      <c r="AC72" s="67">
        <f t="shared" si="4"/>
        <v>0</v>
      </c>
      <c r="AD72" s="67">
        <f t="shared" si="5"/>
        <v>0</v>
      </c>
      <c r="AE72" s="68">
        <f t="shared" si="6"/>
        <v>0</v>
      </c>
      <c r="AF72" s="67">
        <f t="shared" si="7"/>
        <v>0</v>
      </c>
      <c r="AG72" s="67">
        <f t="shared" si="8"/>
        <v>0</v>
      </c>
      <c r="AH72" s="67">
        <f t="shared" si="9"/>
        <v>0</v>
      </c>
      <c r="AI72" s="67">
        <f t="shared" si="10"/>
        <v>0</v>
      </c>
      <c r="AJ72" s="67">
        <f t="shared" si="11"/>
        <v>0</v>
      </c>
      <c r="AK72" s="68">
        <f t="shared" si="12"/>
        <v>0</v>
      </c>
      <c r="AL72" s="67">
        <f t="shared" si="13"/>
        <v>0</v>
      </c>
      <c r="AM72" s="67">
        <f t="shared" si="14"/>
        <v>0</v>
      </c>
      <c r="AN72" s="67">
        <f t="shared" si="15"/>
        <v>0</v>
      </c>
      <c r="AO72" s="67">
        <f t="shared" si="16"/>
        <v>0</v>
      </c>
      <c r="AP72" s="67">
        <f t="shared" si="17"/>
        <v>0</v>
      </c>
      <c r="AQ72" s="68">
        <f t="shared" si="18"/>
        <v>0</v>
      </c>
      <c r="AR72" s="67">
        <f t="shared" si="19"/>
        <v>0</v>
      </c>
      <c r="AS72" s="67">
        <f t="shared" si="20"/>
        <v>0</v>
      </c>
      <c r="AT72" s="67">
        <f t="shared" si="21"/>
        <v>0</v>
      </c>
      <c r="AU72" s="67">
        <f t="shared" si="22"/>
        <v>0</v>
      </c>
      <c r="AV72" s="67">
        <f t="shared" si="23"/>
        <v>0</v>
      </c>
      <c r="AW72" s="68">
        <f t="shared" si="24"/>
        <v>0</v>
      </c>
      <c r="AY72" s="67">
        <f t="shared" si="25"/>
        <v>0</v>
      </c>
      <c r="AZ72" s="67">
        <f t="shared" si="26"/>
        <v>0</v>
      </c>
      <c r="BA72" s="67">
        <f t="shared" si="27"/>
        <v>0</v>
      </c>
      <c r="BB72" s="67">
        <f t="shared" si="28"/>
        <v>0</v>
      </c>
    </row>
    <row r="73">
      <c r="A73" s="7"/>
      <c r="B73" s="7"/>
      <c r="C73" s="7"/>
      <c r="D73" s="7"/>
      <c r="E73" s="7"/>
      <c r="F73" s="7"/>
      <c r="G73" s="7"/>
      <c r="H73" s="7"/>
      <c r="I73" s="7"/>
      <c r="J73" s="7"/>
      <c r="K73" s="7"/>
      <c r="L73" s="7"/>
      <c r="M73" s="7"/>
      <c r="N73" s="7"/>
      <c r="O73" s="7"/>
      <c r="P73" s="7"/>
      <c r="Q73" s="7"/>
      <c r="R73" s="7"/>
      <c r="S73" s="7"/>
      <c r="T73" s="7"/>
      <c r="U73" s="7"/>
      <c r="V73" s="7"/>
      <c r="W73" s="7"/>
      <c r="X73" s="7"/>
      <c r="Y73" s="7"/>
      <c r="Z73" s="67">
        <f t="shared" si="1"/>
        <v>0</v>
      </c>
      <c r="AA73" s="67">
        <f t="shared" si="2"/>
        <v>0</v>
      </c>
      <c r="AB73" s="67">
        <f t="shared" si="3"/>
        <v>0</v>
      </c>
      <c r="AC73" s="67">
        <f t="shared" si="4"/>
        <v>0</v>
      </c>
      <c r="AD73" s="67">
        <f t="shared" si="5"/>
        <v>0</v>
      </c>
      <c r="AE73" s="68">
        <f t="shared" si="6"/>
        <v>0</v>
      </c>
      <c r="AF73" s="67">
        <f t="shared" si="7"/>
        <v>0</v>
      </c>
      <c r="AG73" s="67">
        <f t="shared" si="8"/>
        <v>0</v>
      </c>
      <c r="AH73" s="67">
        <f t="shared" si="9"/>
        <v>0</v>
      </c>
      <c r="AI73" s="67">
        <f t="shared" si="10"/>
        <v>0</v>
      </c>
      <c r="AJ73" s="67">
        <f t="shared" si="11"/>
        <v>0</v>
      </c>
      <c r="AK73" s="68">
        <f t="shared" si="12"/>
        <v>0</v>
      </c>
      <c r="AL73" s="67">
        <f t="shared" si="13"/>
        <v>0</v>
      </c>
      <c r="AM73" s="67">
        <f t="shared" si="14"/>
        <v>0</v>
      </c>
      <c r="AN73" s="67">
        <f t="shared" si="15"/>
        <v>0</v>
      </c>
      <c r="AO73" s="67">
        <f t="shared" si="16"/>
        <v>0</v>
      </c>
      <c r="AP73" s="67">
        <f t="shared" si="17"/>
        <v>0</v>
      </c>
      <c r="AQ73" s="68">
        <f t="shared" si="18"/>
        <v>0</v>
      </c>
      <c r="AR73" s="67">
        <f t="shared" si="19"/>
        <v>0</v>
      </c>
      <c r="AS73" s="67">
        <f t="shared" si="20"/>
        <v>0</v>
      </c>
      <c r="AT73" s="67">
        <f t="shared" si="21"/>
        <v>0</v>
      </c>
      <c r="AU73" s="67">
        <f t="shared" si="22"/>
        <v>0</v>
      </c>
      <c r="AV73" s="67">
        <f t="shared" si="23"/>
        <v>0</v>
      </c>
      <c r="AW73" s="68">
        <f t="shared" si="24"/>
        <v>0</v>
      </c>
      <c r="AY73" s="67">
        <f t="shared" si="25"/>
        <v>0</v>
      </c>
      <c r="AZ73" s="67">
        <f t="shared" si="26"/>
        <v>0</v>
      </c>
      <c r="BA73" s="67">
        <f t="shared" si="27"/>
        <v>0</v>
      </c>
      <c r="BB73" s="67">
        <f t="shared" si="28"/>
        <v>0</v>
      </c>
    </row>
    <row r="74">
      <c r="A74" s="7"/>
      <c r="B74" s="7"/>
      <c r="C74" s="7"/>
      <c r="D74" s="7"/>
      <c r="E74" s="7"/>
      <c r="F74" s="7"/>
      <c r="G74" s="7"/>
      <c r="H74" s="7"/>
      <c r="I74" s="7"/>
      <c r="J74" s="7"/>
      <c r="K74" s="7"/>
      <c r="L74" s="7"/>
      <c r="M74" s="7"/>
      <c r="N74" s="7"/>
      <c r="O74" s="7"/>
      <c r="P74" s="7"/>
      <c r="Q74" s="7"/>
      <c r="R74" s="7"/>
      <c r="S74" s="7"/>
      <c r="T74" s="7"/>
      <c r="U74" s="7"/>
      <c r="V74" s="7"/>
      <c r="W74" s="7"/>
      <c r="X74" s="7"/>
      <c r="Y74" s="7"/>
      <c r="Z74" s="67">
        <f t="shared" si="1"/>
        <v>0</v>
      </c>
      <c r="AA74" s="67">
        <f t="shared" si="2"/>
        <v>0</v>
      </c>
      <c r="AB74" s="67">
        <f t="shared" si="3"/>
        <v>0</v>
      </c>
      <c r="AC74" s="67">
        <f t="shared" si="4"/>
        <v>0</v>
      </c>
      <c r="AD74" s="67">
        <f t="shared" si="5"/>
        <v>0</v>
      </c>
      <c r="AE74" s="68">
        <f t="shared" si="6"/>
        <v>0</v>
      </c>
      <c r="AF74" s="67">
        <f t="shared" si="7"/>
        <v>0</v>
      </c>
      <c r="AG74" s="67">
        <f t="shared" si="8"/>
        <v>0</v>
      </c>
      <c r="AH74" s="67">
        <f t="shared" si="9"/>
        <v>0</v>
      </c>
      <c r="AI74" s="67">
        <f t="shared" si="10"/>
        <v>0</v>
      </c>
      <c r="AJ74" s="67">
        <f t="shared" si="11"/>
        <v>0</v>
      </c>
      <c r="AK74" s="68">
        <f t="shared" si="12"/>
        <v>0</v>
      </c>
      <c r="AL74" s="67">
        <f t="shared" si="13"/>
        <v>0</v>
      </c>
      <c r="AM74" s="67">
        <f t="shared" si="14"/>
        <v>0</v>
      </c>
      <c r="AN74" s="67">
        <f t="shared" si="15"/>
        <v>0</v>
      </c>
      <c r="AO74" s="67">
        <f t="shared" si="16"/>
        <v>0</v>
      </c>
      <c r="AP74" s="67">
        <f t="shared" si="17"/>
        <v>0</v>
      </c>
      <c r="AQ74" s="68">
        <f t="shared" si="18"/>
        <v>0</v>
      </c>
      <c r="AR74" s="67">
        <f t="shared" si="19"/>
        <v>0</v>
      </c>
      <c r="AS74" s="67">
        <f t="shared" si="20"/>
        <v>0</v>
      </c>
      <c r="AT74" s="67">
        <f t="shared" si="21"/>
        <v>0</v>
      </c>
      <c r="AU74" s="67">
        <f t="shared" si="22"/>
        <v>0</v>
      </c>
      <c r="AV74" s="67">
        <f t="shared" si="23"/>
        <v>0</v>
      </c>
      <c r="AW74" s="68">
        <f t="shared" si="24"/>
        <v>0</v>
      </c>
      <c r="AY74" s="67">
        <f t="shared" si="25"/>
        <v>0</v>
      </c>
      <c r="AZ74" s="67">
        <f t="shared" si="26"/>
        <v>0</v>
      </c>
      <c r="BA74" s="67">
        <f t="shared" si="27"/>
        <v>0</v>
      </c>
      <c r="BB74" s="67">
        <f t="shared" si="28"/>
        <v>0</v>
      </c>
    </row>
    <row r="75">
      <c r="A75" s="7"/>
      <c r="B75" s="7"/>
      <c r="C75" s="7"/>
      <c r="D75" s="7"/>
      <c r="E75" s="7"/>
      <c r="F75" s="7"/>
      <c r="G75" s="7"/>
      <c r="H75" s="7"/>
      <c r="I75" s="7"/>
      <c r="J75" s="7"/>
      <c r="K75" s="7"/>
      <c r="L75" s="7"/>
      <c r="M75" s="7"/>
      <c r="N75" s="7"/>
      <c r="O75" s="7"/>
      <c r="P75" s="7"/>
      <c r="Q75" s="7"/>
      <c r="R75" s="7"/>
      <c r="S75" s="7"/>
      <c r="T75" s="7"/>
      <c r="U75" s="7"/>
      <c r="V75" s="7"/>
      <c r="W75" s="7"/>
      <c r="X75" s="7"/>
      <c r="Y75" s="7"/>
      <c r="Z75" s="67">
        <f t="shared" si="1"/>
        <v>0</v>
      </c>
      <c r="AA75" s="67">
        <f t="shared" si="2"/>
        <v>0</v>
      </c>
      <c r="AB75" s="67">
        <f t="shared" si="3"/>
        <v>0</v>
      </c>
      <c r="AC75" s="67">
        <f t="shared" si="4"/>
        <v>0</v>
      </c>
      <c r="AD75" s="67">
        <f t="shared" si="5"/>
        <v>0</v>
      </c>
      <c r="AE75" s="68">
        <f t="shared" si="6"/>
        <v>0</v>
      </c>
      <c r="AF75" s="67">
        <f t="shared" si="7"/>
        <v>0</v>
      </c>
      <c r="AG75" s="67">
        <f t="shared" si="8"/>
        <v>0</v>
      </c>
      <c r="AH75" s="67">
        <f t="shared" si="9"/>
        <v>0</v>
      </c>
      <c r="AI75" s="67">
        <f t="shared" si="10"/>
        <v>0</v>
      </c>
      <c r="AJ75" s="67">
        <f t="shared" si="11"/>
        <v>0</v>
      </c>
      <c r="AK75" s="68">
        <f t="shared" si="12"/>
        <v>0</v>
      </c>
      <c r="AL75" s="67">
        <f t="shared" si="13"/>
        <v>0</v>
      </c>
      <c r="AM75" s="67">
        <f t="shared" si="14"/>
        <v>0</v>
      </c>
      <c r="AN75" s="67">
        <f t="shared" si="15"/>
        <v>0</v>
      </c>
      <c r="AO75" s="67">
        <f t="shared" si="16"/>
        <v>0</v>
      </c>
      <c r="AP75" s="67">
        <f t="shared" si="17"/>
        <v>0</v>
      </c>
      <c r="AQ75" s="68">
        <f t="shared" si="18"/>
        <v>0</v>
      </c>
      <c r="AR75" s="67">
        <f t="shared" si="19"/>
        <v>0</v>
      </c>
      <c r="AS75" s="67">
        <f t="shared" si="20"/>
        <v>0</v>
      </c>
      <c r="AT75" s="67">
        <f t="shared" si="21"/>
        <v>0</v>
      </c>
      <c r="AU75" s="67">
        <f t="shared" si="22"/>
        <v>0</v>
      </c>
      <c r="AV75" s="67">
        <f t="shared" si="23"/>
        <v>0</v>
      </c>
      <c r="AW75" s="68">
        <f t="shared" si="24"/>
        <v>0</v>
      </c>
      <c r="AY75" s="67">
        <f t="shared" si="25"/>
        <v>0</v>
      </c>
      <c r="AZ75" s="67">
        <f t="shared" si="26"/>
        <v>0</v>
      </c>
      <c r="BA75" s="67">
        <f t="shared" si="27"/>
        <v>0</v>
      </c>
      <c r="BB75" s="67">
        <f t="shared" si="28"/>
        <v>0</v>
      </c>
    </row>
    <row r="76">
      <c r="A76" s="7"/>
      <c r="B76" s="7"/>
      <c r="C76" s="7"/>
      <c r="D76" s="7"/>
      <c r="E76" s="7"/>
      <c r="F76" s="7"/>
      <c r="G76" s="7"/>
      <c r="H76" s="7"/>
      <c r="I76" s="7"/>
      <c r="J76" s="7"/>
      <c r="K76" s="7"/>
      <c r="L76" s="7"/>
      <c r="M76" s="7"/>
      <c r="N76" s="7"/>
      <c r="O76" s="7"/>
      <c r="P76" s="7"/>
      <c r="Q76" s="7"/>
      <c r="R76" s="7"/>
      <c r="S76" s="7"/>
      <c r="T76" s="7"/>
      <c r="U76" s="7"/>
      <c r="V76" s="7"/>
      <c r="W76" s="7"/>
      <c r="X76" s="7"/>
      <c r="Y76" s="7"/>
      <c r="Z76" s="67">
        <f t="shared" si="1"/>
        <v>0</v>
      </c>
      <c r="AA76" s="67">
        <f t="shared" si="2"/>
        <v>0</v>
      </c>
      <c r="AB76" s="67">
        <f t="shared" si="3"/>
        <v>0</v>
      </c>
      <c r="AC76" s="67">
        <f t="shared" si="4"/>
        <v>0</v>
      </c>
      <c r="AD76" s="67">
        <f t="shared" si="5"/>
        <v>0</v>
      </c>
      <c r="AE76" s="68">
        <f t="shared" si="6"/>
        <v>0</v>
      </c>
      <c r="AF76" s="67">
        <f t="shared" si="7"/>
        <v>0</v>
      </c>
      <c r="AG76" s="67">
        <f t="shared" si="8"/>
        <v>0</v>
      </c>
      <c r="AH76" s="67">
        <f t="shared" si="9"/>
        <v>0</v>
      </c>
      <c r="AI76" s="67">
        <f t="shared" si="10"/>
        <v>0</v>
      </c>
      <c r="AJ76" s="67">
        <f t="shared" si="11"/>
        <v>0</v>
      </c>
      <c r="AK76" s="68">
        <f t="shared" si="12"/>
        <v>0</v>
      </c>
      <c r="AL76" s="67">
        <f t="shared" si="13"/>
        <v>0</v>
      </c>
      <c r="AM76" s="67">
        <f t="shared" si="14"/>
        <v>0</v>
      </c>
      <c r="AN76" s="67">
        <f t="shared" si="15"/>
        <v>0</v>
      </c>
      <c r="AO76" s="67">
        <f t="shared" si="16"/>
        <v>0</v>
      </c>
      <c r="AP76" s="67">
        <f t="shared" si="17"/>
        <v>0</v>
      </c>
      <c r="AQ76" s="68">
        <f t="shared" si="18"/>
        <v>0</v>
      </c>
      <c r="AR76" s="67">
        <f t="shared" si="19"/>
        <v>0</v>
      </c>
      <c r="AS76" s="67">
        <f t="shared" si="20"/>
        <v>0</v>
      </c>
      <c r="AT76" s="67">
        <f t="shared" si="21"/>
        <v>0</v>
      </c>
      <c r="AU76" s="67">
        <f t="shared" si="22"/>
        <v>0</v>
      </c>
      <c r="AV76" s="67">
        <f t="shared" si="23"/>
        <v>0</v>
      </c>
      <c r="AW76" s="68">
        <f t="shared" si="24"/>
        <v>0</v>
      </c>
      <c r="AY76" s="67">
        <f t="shared" si="25"/>
        <v>0</v>
      </c>
      <c r="AZ76" s="67">
        <f t="shared" si="26"/>
        <v>0</v>
      </c>
      <c r="BA76" s="67">
        <f t="shared" si="27"/>
        <v>0</v>
      </c>
      <c r="BB76" s="67">
        <f t="shared" si="28"/>
        <v>0</v>
      </c>
    </row>
    <row r="77">
      <c r="A77" s="7"/>
      <c r="B77" s="7"/>
      <c r="C77" s="7"/>
      <c r="D77" s="7"/>
      <c r="E77" s="7"/>
      <c r="F77" s="7"/>
      <c r="G77" s="7"/>
      <c r="H77" s="7"/>
      <c r="I77" s="7"/>
      <c r="J77" s="7"/>
      <c r="K77" s="7"/>
      <c r="L77" s="7"/>
      <c r="M77" s="7"/>
      <c r="N77" s="7"/>
      <c r="O77" s="7"/>
      <c r="P77" s="7"/>
      <c r="Q77" s="7"/>
      <c r="R77" s="7"/>
      <c r="S77" s="7"/>
      <c r="T77" s="7"/>
      <c r="U77" s="7"/>
      <c r="V77" s="7"/>
      <c r="W77" s="7"/>
      <c r="X77" s="7"/>
      <c r="Y77" s="7"/>
      <c r="Z77" s="67">
        <f t="shared" si="1"/>
        <v>0</v>
      </c>
      <c r="AA77" s="67">
        <f t="shared" si="2"/>
        <v>0</v>
      </c>
      <c r="AB77" s="67">
        <f t="shared" si="3"/>
        <v>0</v>
      </c>
      <c r="AC77" s="67">
        <f t="shared" si="4"/>
        <v>0</v>
      </c>
      <c r="AD77" s="67">
        <f t="shared" si="5"/>
        <v>0</v>
      </c>
      <c r="AE77" s="68">
        <f t="shared" si="6"/>
        <v>0</v>
      </c>
      <c r="AF77" s="67">
        <f t="shared" si="7"/>
        <v>0</v>
      </c>
      <c r="AG77" s="67">
        <f t="shared" si="8"/>
        <v>0</v>
      </c>
      <c r="AH77" s="67">
        <f t="shared" si="9"/>
        <v>0</v>
      </c>
      <c r="AI77" s="67">
        <f t="shared" si="10"/>
        <v>0</v>
      </c>
      <c r="AJ77" s="67">
        <f t="shared" si="11"/>
        <v>0</v>
      </c>
      <c r="AK77" s="68">
        <f t="shared" si="12"/>
        <v>0</v>
      </c>
      <c r="AL77" s="67">
        <f t="shared" si="13"/>
        <v>0</v>
      </c>
      <c r="AM77" s="67">
        <f t="shared" si="14"/>
        <v>0</v>
      </c>
      <c r="AN77" s="67">
        <f t="shared" si="15"/>
        <v>0</v>
      </c>
      <c r="AO77" s="67">
        <f t="shared" si="16"/>
        <v>0</v>
      </c>
      <c r="AP77" s="67">
        <f t="shared" si="17"/>
        <v>0</v>
      </c>
      <c r="AQ77" s="68">
        <f t="shared" si="18"/>
        <v>0</v>
      </c>
      <c r="AR77" s="67">
        <f t="shared" si="19"/>
        <v>0</v>
      </c>
      <c r="AS77" s="67">
        <f t="shared" si="20"/>
        <v>0</v>
      </c>
      <c r="AT77" s="67">
        <f t="shared" si="21"/>
        <v>0</v>
      </c>
      <c r="AU77" s="67">
        <f t="shared" si="22"/>
        <v>0</v>
      </c>
      <c r="AV77" s="67">
        <f t="shared" si="23"/>
        <v>0</v>
      </c>
      <c r="AW77" s="68">
        <f t="shared" si="24"/>
        <v>0</v>
      </c>
      <c r="AY77" s="67">
        <f t="shared" si="25"/>
        <v>0</v>
      </c>
      <c r="AZ77" s="67">
        <f t="shared" si="26"/>
        <v>0</v>
      </c>
      <c r="BA77" s="67">
        <f t="shared" si="27"/>
        <v>0</v>
      </c>
      <c r="BB77" s="67">
        <f t="shared" si="28"/>
        <v>0</v>
      </c>
    </row>
    <row r="78">
      <c r="A78" s="7"/>
      <c r="B78" s="7"/>
      <c r="C78" s="7"/>
      <c r="D78" s="7"/>
      <c r="E78" s="7"/>
      <c r="F78" s="7"/>
      <c r="G78" s="7"/>
      <c r="H78" s="7"/>
      <c r="I78" s="7"/>
      <c r="J78" s="7"/>
      <c r="K78" s="7"/>
      <c r="L78" s="7"/>
      <c r="M78" s="7"/>
      <c r="N78" s="7"/>
      <c r="O78" s="7"/>
      <c r="P78" s="7"/>
      <c r="Q78" s="7"/>
      <c r="R78" s="7"/>
      <c r="S78" s="7"/>
      <c r="T78" s="7"/>
      <c r="U78" s="7"/>
      <c r="V78" s="7"/>
      <c r="W78" s="7"/>
      <c r="X78" s="7"/>
      <c r="Y78" s="7"/>
      <c r="Z78" s="67">
        <f t="shared" si="1"/>
        <v>0</v>
      </c>
      <c r="AA78" s="67">
        <f t="shared" si="2"/>
        <v>0</v>
      </c>
      <c r="AB78" s="67">
        <f t="shared" si="3"/>
        <v>0</v>
      </c>
      <c r="AC78" s="67">
        <f t="shared" si="4"/>
        <v>0</v>
      </c>
      <c r="AD78" s="67">
        <f t="shared" si="5"/>
        <v>0</v>
      </c>
      <c r="AE78" s="68">
        <f t="shared" si="6"/>
        <v>0</v>
      </c>
      <c r="AF78" s="67">
        <f t="shared" si="7"/>
        <v>0</v>
      </c>
      <c r="AG78" s="67">
        <f t="shared" si="8"/>
        <v>0</v>
      </c>
      <c r="AH78" s="67">
        <f t="shared" si="9"/>
        <v>0</v>
      </c>
      <c r="AI78" s="67">
        <f t="shared" si="10"/>
        <v>0</v>
      </c>
      <c r="AJ78" s="67">
        <f t="shared" si="11"/>
        <v>0</v>
      </c>
      <c r="AK78" s="68">
        <f t="shared" si="12"/>
        <v>0</v>
      </c>
      <c r="AL78" s="67">
        <f t="shared" si="13"/>
        <v>0</v>
      </c>
      <c r="AM78" s="67">
        <f t="shared" si="14"/>
        <v>0</v>
      </c>
      <c r="AN78" s="67">
        <f t="shared" si="15"/>
        <v>0</v>
      </c>
      <c r="AO78" s="67">
        <f t="shared" si="16"/>
        <v>0</v>
      </c>
      <c r="AP78" s="67">
        <f t="shared" si="17"/>
        <v>0</v>
      </c>
      <c r="AQ78" s="68">
        <f t="shared" si="18"/>
        <v>0</v>
      </c>
      <c r="AR78" s="67">
        <f t="shared" si="19"/>
        <v>0</v>
      </c>
      <c r="AS78" s="67">
        <f t="shared" si="20"/>
        <v>0</v>
      </c>
      <c r="AT78" s="67">
        <f t="shared" si="21"/>
        <v>0</v>
      </c>
      <c r="AU78" s="67">
        <f t="shared" si="22"/>
        <v>0</v>
      </c>
      <c r="AV78" s="67">
        <f t="shared" si="23"/>
        <v>0</v>
      </c>
      <c r="AW78" s="68">
        <f t="shared" si="24"/>
        <v>0</v>
      </c>
      <c r="AY78" s="67">
        <f t="shared" si="25"/>
        <v>0</v>
      </c>
      <c r="AZ78" s="67">
        <f t="shared" si="26"/>
        <v>0</v>
      </c>
      <c r="BA78" s="67">
        <f t="shared" si="27"/>
        <v>0</v>
      </c>
      <c r="BB78" s="67">
        <f t="shared" si="28"/>
        <v>0</v>
      </c>
    </row>
    <row r="79">
      <c r="A79" s="7"/>
      <c r="B79" s="7"/>
      <c r="C79" s="7"/>
      <c r="D79" s="7"/>
      <c r="E79" s="7"/>
      <c r="F79" s="7"/>
      <c r="G79" s="7"/>
      <c r="H79" s="7"/>
      <c r="I79" s="7"/>
      <c r="J79" s="7"/>
      <c r="K79" s="7"/>
      <c r="L79" s="7"/>
      <c r="M79" s="7"/>
      <c r="N79" s="7"/>
      <c r="O79" s="7"/>
      <c r="P79" s="7"/>
      <c r="Q79" s="7"/>
      <c r="R79" s="7"/>
      <c r="S79" s="7"/>
      <c r="T79" s="7"/>
      <c r="U79" s="7"/>
      <c r="V79" s="7"/>
      <c r="W79" s="7"/>
      <c r="X79" s="7"/>
      <c r="Y79" s="7"/>
      <c r="Z79" s="67">
        <f t="shared" si="1"/>
        <v>0</v>
      </c>
      <c r="AA79" s="67">
        <f t="shared" si="2"/>
        <v>0</v>
      </c>
      <c r="AB79" s="67">
        <f t="shared" si="3"/>
        <v>0</v>
      </c>
      <c r="AC79" s="67">
        <f t="shared" si="4"/>
        <v>0</v>
      </c>
      <c r="AD79" s="67">
        <f t="shared" si="5"/>
        <v>0</v>
      </c>
      <c r="AE79" s="68">
        <f t="shared" si="6"/>
        <v>0</v>
      </c>
      <c r="AF79" s="67">
        <f t="shared" si="7"/>
        <v>0</v>
      </c>
      <c r="AG79" s="67">
        <f t="shared" si="8"/>
        <v>0</v>
      </c>
      <c r="AH79" s="67">
        <f t="shared" si="9"/>
        <v>0</v>
      </c>
      <c r="AI79" s="67">
        <f t="shared" si="10"/>
        <v>0</v>
      </c>
      <c r="AJ79" s="67">
        <f t="shared" si="11"/>
        <v>0</v>
      </c>
      <c r="AK79" s="68">
        <f t="shared" si="12"/>
        <v>0</v>
      </c>
      <c r="AL79" s="67">
        <f t="shared" si="13"/>
        <v>0</v>
      </c>
      <c r="AM79" s="67">
        <f t="shared" si="14"/>
        <v>0</v>
      </c>
      <c r="AN79" s="67">
        <f t="shared" si="15"/>
        <v>0</v>
      </c>
      <c r="AO79" s="67">
        <f t="shared" si="16"/>
        <v>0</v>
      </c>
      <c r="AP79" s="67">
        <f t="shared" si="17"/>
        <v>0</v>
      </c>
      <c r="AQ79" s="68">
        <f t="shared" si="18"/>
        <v>0</v>
      </c>
      <c r="AR79" s="67">
        <f t="shared" si="19"/>
        <v>0</v>
      </c>
      <c r="AS79" s="67">
        <f t="shared" si="20"/>
        <v>0</v>
      </c>
      <c r="AT79" s="67">
        <f t="shared" si="21"/>
        <v>0</v>
      </c>
      <c r="AU79" s="67">
        <f t="shared" si="22"/>
        <v>0</v>
      </c>
      <c r="AV79" s="67">
        <f t="shared" si="23"/>
        <v>0</v>
      </c>
      <c r="AW79" s="68">
        <f t="shared" si="24"/>
        <v>0</v>
      </c>
      <c r="AY79" s="67">
        <f t="shared" si="25"/>
        <v>0</v>
      </c>
      <c r="AZ79" s="67">
        <f t="shared" si="26"/>
        <v>0</v>
      </c>
      <c r="BA79" s="67">
        <f t="shared" si="27"/>
        <v>0</v>
      </c>
      <c r="BB79" s="67">
        <f t="shared" si="28"/>
        <v>0</v>
      </c>
    </row>
    <row r="80">
      <c r="A80" s="7"/>
      <c r="B80" s="7"/>
      <c r="C80" s="7"/>
      <c r="D80" s="7"/>
      <c r="E80" s="7"/>
      <c r="F80" s="7"/>
      <c r="G80" s="7"/>
      <c r="H80" s="7"/>
      <c r="I80" s="7"/>
      <c r="J80" s="7"/>
      <c r="K80" s="7"/>
      <c r="L80" s="7"/>
      <c r="M80" s="7"/>
      <c r="N80" s="7"/>
      <c r="O80" s="7"/>
      <c r="P80" s="7"/>
      <c r="Q80" s="7"/>
      <c r="R80" s="7"/>
      <c r="S80" s="7"/>
      <c r="T80" s="7"/>
      <c r="U80" s="7"/>
      <c r="V80" s="7"/>
      <c r="W80" s="7"/>
      <c r="X80" s="7"/>
      <c r="Y80" s="7"/>
      <c r="Z80" s="67">
        <f t="shared" si="1"/>
        <v>0</v>
      </c>
      <c r="AA80" s="67">
        <f t="shared" si="2"/>
        <v>0</v>
      </c>
      <c r="AB80" s="67">
        <f t="shared" si="3"/>
        <v>0</v>
      </c>
      <c r="AC80" s="67">
        <f t="shared" si="4"/>
        <v>0</v>
      </c>
      <c r="AD80" s="67">
        <f t="shared" si="5"/>
        <v>0</v>
      </c>
      <c r="AE80" s="68">
        <f t="shared" si="6"/>
        <v>0</v>
      </c>
      <c r="AF80" s="67">
        <f t="shared" si="7"/>
        <v>0</v>
      </c>
      <c r="AG80" s="67">
        <f t="shared" si="8"/>
        <v>0</v>
      </c>
      <c r="AH80" s="67">
        <f t="shared" si="9"/>
        <v>0</v>
      </c>
      <c r="AI80" s="67">
        <f t="shared" si="10"/>
        <v>0</v>
      </c>
      <c r="AJ80" s="67">
        <f t="shared" si="11"/>
        <v>0</v>
      </c>
      <c r="AK80" s="68">
        <f t="shared" si="12"/>
        <v>0</v>
      </c>
      <c r="AL80" s="67">
        <f t="shared" si="13"/>
        <v>0</v>
      </c>
      <c r="AM80" s="67">
        <f t="shared" si="14"/>
        <v>0</v>
      </c>
      <c r="AN80" s="67">
        <f t="shared" si="15"/>
        <v>0</v>
      </c>
      <c r="AO80" s="67">
        <f t="shared" si="16"/>
        <v>0</v>
      </c>
      <c r="AP80" s="67">
        <f t="shared" si="17"/>
        <v>0</v>
      </c>
      <c r="AQ80" s="68">
        <f t="shared" si="18"/>
        <v>0</v>
      </c>
      <c r="AR80" s="67">
        <f t="shared" si="19"/>
        <v>0</v>
      </c>
      <c r="AS80" s="67">
        <f t="shared" si="20"/>
        <v>0</v>
      </c>
      <c r="AT80" s="67">
        <f t="shared" si="21"/>
        <v>0</v>
      </c>
      <c r="AU80" s="67">
        <f t="shared" si="22"/>
        <v>0</v>
      </c>
      <c r="AV80" s="67">
        <f t="shared" si="23"/>
        <v>0</v>
      </c>
      <c r="AW80" s="68">
        <f t="shared" si="24"/>
        <v>0</v>
      </c>
      <c r="AY80" s="67">
        <f t="shared" si="25"/>
        <v>0</v>
      </c>
      <c r="AZ80" s="67">
        <f t="shared" si="26"/>
        <v>0</v>
      </c>
      <c r="BA80" s="67">
        <f t="shared" si="27"/>
        <v>0</v>
      </c>
      <c r="BB80" s="67">
        <f t="shared" si="28"/>
        <v>0</v>
      </c>
    </row>
    <row r="81">
      <c r="A81" s="7"/>
      <c r="B81" s="7"/>
      <c r="C81" s="7"/>
      <c r="D81" s="7"/>
      <c r="E81" s="7"/>
      <c r="F81" s="7"/>
      <c r="G81" s="7"/>
      <c r="H81" s="7"/>
      <c r="I81" s="7"/>
      <c r="J81" s="7"/>
      <c r="K81" s="7"/>
      <c r="L81" s="7"/>
      <c r="M81" s="7"/>
      <c r="N81" s="7"/>
      <c r="O81" s="7"/>
      <c r="P81" s="7"/>
      <c r="Q81" s="7"/>
      <c r="R81" s="7"/>
      <c r="S81" s="7"/>
      <c r="T81" s="7"/>
      <c r="U81" s="7"/>
      <c r="V81" s="7"/>
      <c r="W81" s="7"/>
      <c r="X81" s="7"/>
      <c r="Y81" s="7"/>
      <c r="Z81" s="67">
        <f t="shared" si="1"/>
        <v>0</v>
      </c>
      <c r="AA81" s="67">
        <f t="shared" si="2"/>
        <v>0</v>
      </c>
      <c r="AB81" s="67">
        <f t="shared" si="3"/>
        <v>0</v>
      </c>
      <c r="AC81" s="67">
        <f t="shared" si="4"/>
        <v>0</v>
      </c>
      <c r="AD81" s="67">
        <f t="shared" si="5"/>
        <v>0</v>
      </c>
      <c r="AE81" s="68">
        <f t="shared" si="6"/>
        <v>0</v>
      </c>
      <c r="AF81" s="67">
        <f t="shared" si="7"/>
        <v>0</v>
      </c>
      <c r="AG81" s="67">
        <f t="shared" si="8"/>
        <v>0</v>
      </c>
      <c r="AH81" s="67">
        <f t="shared" si="9"/>
        <v>0</v>
      </c>
      <c r="AI81" s="67">
        <f t="shared" si="10"/>
        <v>0</v>
      </c>
      <c r="AJ81" s="67">
        <f t="shared" si="11"/>
        <v>0</v>
      </c>
      <c r="AK81" s="68">
        <f t="shared" si="12"/>
        <v>0</v>
      </c>
      <c r="AL81" s="67">
        <f t="shared" si="13"/>
        <v>0</v>
      </c>
      <c r="AM81" s="67">
        <f t="shared" si="14"/>
        <v>0</v>
      </c>
      <c r="AN81" s="67">
        <f t="shared" si="15"/>
        <v>0</v>
      </c>
      <c r="AO81" s="67">
        <f t="shared" si="16"/>
        <v>0</v>
      </c>
      <c r="AP81" s="67">
        <f t="shared" si="17"/>
        <v>0</v>
      </c>
      <c r="AQ81" s="68">
        <f t="shared" si="18"/>
        <v>0</v>
      </c>
      <c r="AR81" s="67">
        <f t="shared" si="19"/>
        <v>0</v>
      </c>
      <c r="AS81" s="67">
        <f t="shared" si="20"/>
        <v>0</v>
      </c>
      <c r="AT81" s="67">
        <f t="shared" si="21"/>
        <v>0</v>
      </c>
      <c r="AU81" s="67">
        <f t="shared" si="22"/>
        <v>0</v>
      </c>
      <c r="AV81" s="67">
        <f t="shared" si="23"/>
        <v>0</v>
      </c>
      <c r="AW81" s="68">
        <f t="shared" si="24"/>
        <v>0</v>
      </c>
      <c r="AY81" s="67">
        <f t="shared" si="25"/>
        <v>0</v>
      </c>
      <c r="AZ81" s="67">
        <f t="shared" si="26"/>
        <v>0</v>
      </c>
      <c r="BA81" s="67">
        <f t="shared" si="27"/>
        <v>0</v>
      </c>
      <c r="BB81" s="67">
        <f t="shared" si="28"/>
        <v>0</v>
      </c>
    </row>
    <row r="82">
      <c r="A82" s="7"/>
      <c r="B82" s="7"/>
      <c r="C82" s="7"/>
      <c r="D82" s="7"/>
      <c r="E82" s="7"/>
      <c r="F82" s="7"/>
      <c r="G82" s="7"/>
      <c r="H82" s="7"/>
      <c r="I82" s="7"/>
      <c r="J82" s="7"/>
      <c r="K82" s="7"/>
      <c r="L82" s="7"/>
      <c r="M82" s="7"/>
      <c r="N82" s="7"/>
      <c r="O82" s="7"/>
      <c r="P82" s="7"/>
      <c r="Q82" s="7"/>
      <c r="R82" s="7"/>
      <c r="S82" s="7"/>
      <c r="T82" s="7"/>
      <c r="U82" s="7"/>
      <c r="V82" s="7"/>
      <c r="W82" s="7"/>
      <c r="X82" s="7"/>
      <c r="Y82" s="7"/>
      <c r="Z82" s="67">
        <f t="shared" si="1"/>
        <v>0</v>
      </c>
      <c r="AA82" s="67">
        <f t="shared" si="2"/>
        <v>0</v>
      </c>
      <c r="AB82" s="67">
        <f t="shared" si="3"/>
        <v>0</v>
      </c>
      <c r="AC82" s="67">
        <f t="shared" si="4"/>
        <v>0</v>
      </c>
      <c r="AD82" s="67">
        <f t="shared" si="5"/>
        <v>0</v>
      </c>
      <c r="AE82" s="68">
        <f t="shared" si="6"/>
        <v>0</v>
      </c>
      <c r="AF82" s="67">
        <f t="shared" si="7"/>
        <v>0</v>
      </c>
      <c r="AG82" s="67">
        <f t="shared" si="8"/>
        <v>0</v>
      </c>
      <c r="AH82" s="67">
        <f t="shared" si="9"/>
        <v>0</v>
      </c>
      <c r="AI82" s="67">
        <f t="shared" si="10"/>
        <v>0</v>
      </c>
      <c r="AJ82" s="67">
        <f t="shared" si="11"/>
        <v>0</v>
      </c>
      <c r="AK82" s="68">
        <f t="shared" si="12"/>
        <v>0</v>
      </c>
      <c r="AL82" s="67">
        <f t="shared" si="13"/>
        <v>0</v>
      </c>
      <c r="AM82" s="67">
        <f t="shared" si="14"/>
        <v>0</v>
      </c>
      <c r="AN82" s="67">
        <f t="shared" si="15"/>
        <v>0</v>
      </c>
      <c r="AO82" s="67">
        <f t="shared" si="16"/>
        <v>0</v>
      </c>
      <c r="AP82" s="67">
        <f t="shared" si="17"/>
        <v>0</v>
      </c>
      <c r="AQ82" s="68">
        <f t="shared" si="18"/>
        <v>0</v>
      </c>
      <c r="AR82" s="67">
        <f t="shared" si="19"/>
        <v>0</v>
      </c>
      <c r="AS82" s="67">
        <f t="shared" si="20"/>
        <v>0</v>
      </c>
      <c r="AT82" s="67">
        <f t="shared" si="21"/>
        <v>0</v>
      </c>
      <c r="AU82" s="67">
        <f t="shared" si="22"/>
        <v>0</v>
      </c>
      <c r="AV82" s="67">
        <f t="shared" si="23"/>
        <v>0</v>
      </c>
      <c r="AW82" s="68">
        <f t="shared" si="24"/>
        <v>0</v>
      </c>
      <c r="AY82" s="67">
        <f t="shared" si="25"/>
        <v>0</v>
      </c>
      <c r="AZ82" s="67">
        <f t="shared" si="26"/>
        <v>0</v>
      </c>
      <c r="BA82" s="67">
        <f t="shared" si="27"/>
        <v>0</v>
      </c>
      <c r="BB82" s="67">
        <f t="shared" si="28"/>
        <v>0</v>
      </c>
    </row>
    <row r="83">
      <c r="A83" s="7"/>
      <c r="B83" s="7"/>
      <c r="C83" s="7"/>
      <c r="D83" s="7"/>
      <c r="E83" s="7"/>
      <c r="F83" s="7"/>
      <c r="G83" s="7"/>
      <c r="H83" s="7"/>
      <c r="I83" s="7"/>
      <c r="J83" s="7"/>
      <c r="K83" s="7"/>
      <c r="L83" s="7"/>
      <c r="M83" s="7"/>
      <c r="N83" s="7"/>
      <c r="O83" s="7"/>
      <c r="P83" s="7"/>
      <c r="Q83" s="7"/>
      <c r="R83" s="7"/>
      <c r="S83" s="7"/>
      <c r="T83" s="7"/>
      <c r="U83" s="7"/>
      <c r="V83" s="7"/>
      <c r="W83" s="7"/>
      <c r="X83" s="7"/>
      <c r="Y83" s="7"/>
      <c r="Z83" s="67">
        <f t="shared" si="1"/>
        <v>0</v>
      </c>
      <c r="AA83" s="67">
        <f t="shared" si="2"/>
        <v>0</v>
      </c>
      <c r="AB83" s="67">
        <f t="shared" si="3"/>
        <v>0</v>
      </c>
      <c r="AC83" s="67">
        <f t="shared" si="4"/>
        <v>0</v>
      </c>
      <c r="AD83" s="67">
        <f t="shared" si="5"/>
        <v>0</v>
      </c>
      <c r="AE83" s="68">
        <f t="shared" si="6"/>
        <v>0</v>
      </c>
      <c r="AF83" s="67">
        <f t="shared" si="7"/>
        <v>0</v>
      </c>
      <c r="AG83" s="67">
        <f t="shared" si="8"/>
        <v>0</v>
      </c>
      <c r="AH83" s="67">
        <f t="shared" si="9"/>
        <v>0</v>
      </c>
      <c r="AI83" s="67">
        <f t="shared" si="10"/>
        <v>0</v>
      </c>
      <c r="AJ83" s="67">
        <f t="shared" si="11"/>
        <v>0</v>
      </c>
      <c r="AK83" s="68">
        <f t="shared" si="12"/>
        <v>0</v>
      </c>
      <c r="AL83" s="67">
        <f t="shared" si="13"/>
        <v>0</v>
      </c>
      <c r="AM83" s="67">
        <f t="shared" si="14"/>
        <v>0</v>
      </c>
      <c r="AN83" s="67">
        <f t="shared" si="15"/>
        <v>0</v>
      </c>
      <c r="AO83" s="67">
        <f t="shared" si="16"/>
        <v>0</v>
      </c>
      <c r="AP83" s="67">
        <f t="shared" si="17"/>
        <v>0</v>
      </c>
      <c r="AQ83" s="68">
        <f t="shared" si="18"/>
        <v>0</v>
      </c>
      <c r="AR83" s="67">
        <f t="shared" si="19"/>
        <v>0</v>
      </c>
      <c r="AS83" s="67">
        <f t="shared" si="20"/>
        <v>0</v>
      </c>
      <c r="AT83" s="67">
        <f t="shared" si="21"/>
        <v>0</v>
      </c>
      <c r="AU83" s="67">
        <f t="shared" si="22"/>
        <v>0</v>
      </c>
      <c r="AV83" s="67">
        <f t="shared" si="23"/>
        <v>0</v>
      </c>
      <c r="AW83" s="68">
        <f t="shared" si="24"/>
        <v>0</v>
      </c>
      <c r="AY83" s="67">
        <f t="shared" si="25"/>
        <v>0</v>
      </c>
      <c r="AZ83" s="67">
        <f t="shared" si="26"/>
        <v>0</v>
      </c>
      <c r="BA83" s="67">
        <f t="shared" si="27"/>
        <v>0</v>
      </c>
      <c r="BB83" s="67">
        <f t="shared" si="28"/>
        <v>0</v>
      </c>
    </row>
    <row r="84">
      <c r="A84" s="7"/>
      <c r="B84" s="7"/>
      <c r="C84" s="7"/>
      <c r="D84" s="7"/>
      <c r="E84" s="7"/>
      <c r="F84" s="7"/>
      <c r="G84" s="7"/>
      <c r="H84" s="7"/>
      <c r="I84" s="7"/>
      <c r="J84" s="7"/>
      <c r="K84" s="7"/>
      <c r="L84" s="7"/>
      <c r="M84" s="7"/>
      <c r="N84" s="7"/>
      <c r="O84" s="7"/>
      <c r="P84" s="7"/>
      <c r="Q84" s="7"/>
      <c r="R84" s="7"/>
      <c r="S84" s="7"/>
      <c r="T84" s="7"/>
      <c r="U84" s="7"/>
      <c r="V84" s="7"/>
      <c r="W84" s="7"/>
      <c r="X84" s="7"/>
      <c r="Y84" s="7"/>
      <c r="Z84" s="67">
        <f t="shared" si="1"/>
        <v>0</v>
      </c>
      <c r="AA84" s="67">
        <f t="shared" si="2"/>
        <v>0</v>
      </c>
      <c r="AB84" s="67">
        <f t="shared" si="3"/>
        <v>0</v>
      </c>
      <c r="AC84" s="67">
        <f t="shared" si="4"/>
        <v>0</v>
      </c>
      <c r="AD84" s="67">
        <f t="shared" si="5"/>
        <v>0</v>
      </c>
      <c r="AE84" s="68">
        <f t="shared" si="6"/>
        <v>0</v>
      </c>
      <c r="AF84" s="67">
        <f t="shared" si="7"/>
        <v>0</v>
      </c>
      <c r="AG84" s="67">
        <f t="shared" si="8"/>
        <v>0</v>
      </c>
      <c r="AH84" s="67">
        <f t="shared" si="9"/>
        <v>0</v>
      </c>
      <c r="AI84" s="67">
        <f t="shared" si="10"/>
        <v>0</v>
      </c>
      <c r="AJ84" s="67">
        <f t="shared" si="11"/>
        <v>0</v>
      </c>
      <c r="AK84" s="68">
        <f t="shared" si="12"/>
        <v>0</v>
      </c>
      <c r="AL84" s="67">
        <f t="shared" si="13"/>
        <v>0</v>
      </c>
      <c r="AM84" s="67">
        <f t="shared" si="14"/>
        <v>0</v>
      </c>
      <c r="AN84" s="67">
        <f t="shared" si="15"/>
        <v>0</v>
      </c>
      <c r="AO84" s="67">
        <f t="shared" si="16"/>
        <v>0</v>
      </c>
      <c r="AP84" s="67">
        <f t="shared" si="17"/>
        <v>0</v>
      </c>
      <c r="AQ84" s="68">
        <f t="shared" si="18"/>
        <v>0</v>
      </c>
      <c r="AR84" s="67">
        <f t="shared" si="19"/>
        <v>0</v>
      </c>
      <c r="AS84" s="67">
        <f t="shared" si="20"/>
        <v>0</v>
      </c>
      <c r="AT84" s="67">
        <f t="shared" si="21"/>
        <v>0</v>
      </c>
      <c r="AU84" s="67">
        <f t="shared" si="22"/>
        <v>0</v>
      </c>
      <c r="AV84" s="67">
        <f t="shared" si="23"/>
        <v>0</v>
      </c>
      <c r="AW84" s="68">
        <f t="shared" si="24"/>
        <v>0</v>
      </c>
      <c r="AY84" s="67">
        <f t="shared" si="25"/>
        <v>0</v>
      </c>
      <c r="AZ84" s="67">
        <f t="shared" si="26"/>
        <v>0</v>
      </c>
      <c r="BA84" s="67">
        <f t="shared" si="27"/>
        <v>0</v>
      </c>
      <c r="BB84" s="67">
        <f t="shared" si="28"/>
        <v>0</v>
      </c>
    </row>
    <row r="85">
      <c r="A85" s="7"/>
      <c r="B85" s="7"/>
      <c r="C85" s="7"/>
      <c r="D85" s="7"/>
      <c r="E85" s="7"/>
      <c r="F85" s="7"/>
      <c r="G85" s="7"/>
      <c r="H85" s="7"/>
      <c r="I85" s="7"/>
      <c r="J85" s="7"/>
      <c r="K85" s="7"/>
      <c r="L85" s="7"/>
      <c r="M85" s="7"/>
      <c r="N85" s="7"/>
      <c r="O85" s="7"/>
      <c r="P85" s="7"/>
      <c r="Q85" s="7"/>
      <c r="R85" s="7"/>
      <c r="S85" s="7"/>
      <c r="T85" s="7"/>
      <c r="U85" s="7"/>
      <c r="V85" s="7"/>
      <c r="W85" s="7"/>
      <c r="X85" s="7"/>
      <c r="Y85" s="7"/>
      <c r="Z85" s="67">
        <f t="shared" si="1"/>
        <v>0</v>
      </c>
      <c r="AA85" s="67">
        <f t="shared" si="2"/>
        <v>0</v>
      </c>
      <c r="AB85" s="67">
        <f t="shared" si="3"/>
        <v>0</v>
      </c>
      <c r="AC85" s="67">
        <f t="shared" si="4"/>
        <v>0</v>
      </c>
      <c r="AD85" s="67">
        <f t="shared" si="5"/>
        <v>0</v>
      </c>
      <c r="AE85" s="68">
        <f t="shared" si="6"/>
        <v>0</v>
      </c>
      <c r="AF85" s="67">
        <f t="shared" si="7"/>
        <v>0</v>
      </c>
      <c r="AG85" s="67">
        <f t="shared" si="8"/>
        <v>0</v>
      </c>
      <c r="AH85" s="67">
        <f t="shared" si="9"/>
        <v>0</v>
      </c>
      <c r="AI85" s="67">
        <f t="shared" si="10"/>
        <v>0</v>
      </c>
      <c r="AJ85" s="67">
        <f t="shared" si="11"/>
        <v>0</v>
      </c>
      <c r="AK85" s="68">
        <f t="shared" si="12"/>
        <v>0</v>
      </c>
      <c r="AL85" s="67">
        <f t="shared" si="13"/>
        <v>0</v>
      </c>
      <c r="AM85" s="67">
        <f t="shared" si="14"/>
        <v>0</v>
      </c>
      <c r="AN85" s="67">
        <f t="shared" si="15"/>
        <v>0</v>
      </c>
      <c r="AO85" s="67">
        <f t="shared" si="16"/>
        <v>0</v>
      </c>
      <c r="AP85" s="67">
        <f t="shared" si="17"/>
        <v>0</v>
      </c>
      <c r="AQ85" s="68">
        <f t="shared" si="18"/>
        <v>0</v>
      </c>
      <c r="AR85" s="67">
        <f t="shared" si="19"/>
        <v>0</v>
      </c>
      <c r="AS85" s="67">
        <f t="shared" si="20"/>
        <v>0</v>
      </c>
      <c r="AT85" s="67">
        <f t="shared" si="21"/>
        <v>0</v>
      </c>
      <c r="AU85" s="67">
        <f t="shared" si="22"/>
        <v>0</v>
      </c>
      <c r="AV85" s="67">
        <f t="shared" si="23"/>
        <v>0</v>
      </c>
      <c r="AW85" s="68">
        <f t="shared" si="24"/>
        <v>0</v>
      </c>
      <c r="AY85" s="67">
        <f t="shared" si="25"/>
        <v>0</v>
      </c>
      <c r="AZ85" s="67">
        <f t="shared" si="26"/>
        <v>0</v>
      </c>
      <c r="BA85" s="67">
        <f t="shared" si="27"/>
        <v>0</v>
      </c>
      <c r="BB85" s="67">
        <f t="shared" si="28"/>
        <v>0</v>
      </c>
    </row>
    <row r="86">
      <c r="A86" s="7"/>
      <c r="B86" s="7"/>
      <c r="C86" s="7"/>
      <c r="D86" s="7"/>
      <c r="E86" s="7"/>
      <c r="F86" s="7"/>
      <c r="G86" s="7"/>
      <c r="H86" s="7"/>
      <c r="I86" s="7"/>
      <c r="J86" s="7"/>
      <c r="K86" s="7"/>
      <c r="L86" s="7"/>
      <c r="M86" s="7"/>
      <c r="N86" s="7"/>
      <c r="O86" s="7"/>
      <c r="P86" s="7"/>
      <c r="Q86" s="7"/>
      <c r="R86" s="7"/>
      <c r="S86" s="7"/>
      <c r="T86" s="7"/>
      <c r="U86" s="7"/>
      <c r="V86" s="7"/>
      <c r="W86" s="7"/>
      <c r="X86" s="7"/>
      <c r="Y86" s="7"/>
      <c r="Z86" s="67">
        <f t="shared" si="1"/>
        <v>0</v>
      </c>
      <c r="AA86" s="67">
        <f t="shared" si="2"/>
        <v>0</v>
      </c>
      <c r="AB86" s="67">
        <f t="shared" si="3"/>
        <v>0</v>
      </c>
      <c r="AC86" s="67">
        <f t="shared" si="4"/>
        <v>0</v>
      </c>
      <c r="AD86" s="67">
        <f t="shared" si="5"/>
        <v>0</v>
      </c>
      <c r="AE86" s="68">
        <f t="shared" si="6"/>
        <v>0</v>
      </c>
      <c r="AF86" s="67">
        <f t="shared" si="7"/>
        <v>0</v>
      </c>
      <c r="AG86" s="67">
        <f t="shared" si="8"/>
        <v>0</v>
      </c>
      <c r="AH86" s="67">
        <f t="shared" si="9"/>
        <v>0</v>
      </c>
      <c r="AI86" s="67">
        <f t="shared" si="10"/>
        <v>0</v>
      </c>
      <c r="AJ86" s="67">
        <f t="shared" si="11"/>
        <v>0</v>
      </c>
      <c r="AK86" s="68">
        <f t="shared" si="12"/>
        <v>0</v>
      </c>
      <c r="AL86" s="67">
        <f t="shared" si="13"/>
        <v>0</v>
      </c>
      <c r="AM86" s="67">
        <f t="shared" si="14"/>
        <v>0</v>
      </c>
      <c r="AN86" s="67">
        <f t="shared" si="15"/>
        <v>0</v>
      </c>
      <c r="AO86" s="67">
        <f t="shared" si="16"/>
        <v>0</v>
      </c>
      <c r="AP86" s="67">
        <f t="shared" si="17"/>
        <v>0</v>
      </c>
      <c r="AQ86" s="68">
        <f t="shared" si="18"/>
        <v>0</v>
      </c>
      <c r="AR86" s="67">
        <f t="shared" si="19"/>
        <v>0</v>
      </c>
      <c r="AS86" s="67">
        <f t="shared" si="20"/>
        <v>0</v>
      </c>
      <c r="AT86" s="67">
        <f t="shared" si="21"/>
        <v>0</v>
      </c>
      <c r="AU86" s="67">
        <f t="shared" si="22"/>
        <v>0</v>
      </c>
      <c r="AV86" s="67">
        <f t="shared" si="23"/>
        <v>0</v>
      </c>
      <c r="AW86" s="68">
        <f t="shared" si="24"/>
        <v>0</v>
      </c>
      <c r="AY86" s="67">
        <f t="shared" si="25"/>
        <v>0</v>
      </c>
      <c r="AZ86" s="67">
        <f t="shared" si="26"/>
        <v>0</v>
      </c>
      <c r="BA86" s="67">
        <f t="shared" si="27"/>
        <v>0</v>
      </c>
      <c r="BB86" s="67">
        <f t="shared" si="28"/>
        <v>0</v>
      </c>
    </row>
    <row r="87">
      <c r="A87" s="7"/>
      <c r="B87" s="7"/>
      <c r="C87" s="7"/>
      <c r="D87" s="7"/>
      <c r="E87" s="7"/>
      <c r="F87" s="7"/>
      <c r="G87" s="7"/>
      <c r="H87" s="7"/>
      <c r="I87" s="7"/>
      <c r="J87" s="7"/>
      <c r="K87" s="7"/>
      <c r="L87" s="7"/>
      <c r="M87" s="7"/>
      <c r="N87" s="7"/>
      <c r="O87" s="7"/>
      <c r="P87" s="7"/>
      <c r="Q87" s="7"/>
      <c r="R87" s="7"/>
      <c r="S87" s="7"/>
      <c r="T87" s="7"/>
      <c r="U87" s="7"/>
      <c r="V87" s="7"/>
      <c r="W87" s="7"/>
      <c r="X87" s="7"/>
      <c r="Y87" s="7"/>
      <c r="Z87" s="67">
        <f t="shared" si="1"/>
        <v>0</v>
      </c>
      <c r="AA87" s="67">
        <f t="shared" si="2"/>
        <v>0</v>
      </c>
      <c r="AB87" s="67">
        <f t="shared" si="3"/>
        <v>0</v>
      </c>
      <c r="AC87" s="67">
        <f t="shared" si="4"/>
        <v>0</v>
      </c>
      <c r="AD87" s="67">
        <f t="shared" si="5"/>
        <v>0</v>
      </c>
      <c r="AE87" s="68">
        <f t="shared" si="6"/>
        <v>0</v>
      </c>
      <c r="AF87" s="67">
        <f t="shared" si="7"/>
        <v>0</v>
      </c>
      <c r="AG87" s="67">
        <f t="shared" si="8"/>
        <v>0</v>
      </c>
      <c r="AH87" s="67">
        <f t="shared" si="9"/>
        <v>0</v>
      </c>
      <c r="AI87" s="67">
        <f t="shared" si="10"/>
        <v>0</v>
      </c>
      <c r="AJ87" s="67">
        <f t="shared" si="11"/>
        <v>0</v>
      </c>
      <c r="AK87" s="68">
        <f t="shared" si="12"/>
        <v>0</v>
      </c>
      <c r="AL87" s="67">
        <f t="shared" si="13"/>
        <v>0</v>
      </c>
      <c r="AM87" s="67">
        <f t="shared" si="14"/>
        <v>0</v>
      </c>
      <c r="AN87" s="67">
        <f t="shared" si="15"/>
        <v>0</v>
      </c>
      <c r="AO87" s="67">
        <f t="shared" si="16"/>
        <v>0</v>
      </c>
      <c r="AP87" s="67">
        <f t="shared" si="17"/>
        <v>0</v>
      </c>
      <c r="AQ87" s="68">
        <f t="shared" si="18"/>
        <v>0</v>
      </c>
      <c r="AR87" s="67">
        <f t="shared" si="19"/>
        <v>0</v>
      </c>
      <c r="AS87" s="67">
        <f t="shared" si="20"/>
        <v>0</v>
      </c>
      <c r="AT87" s="67">
        <f t="shared" si="21"/>
        <v>0</v>
      </c>
      <c r="AU87" s="67">
        <f t="shared" si="22"/>
        <v>0</v>
      </c>
      <c r="AV87" s="67">
        <f t="shared" si="23"/>
        <v>0</v>
      </c>
      <c r="AW87" s="68">
        <f t="shared" si="24"/>
        <v>0</v>
      </c>
      <c r="AY87" s="67">
        <f t="shared" si="25"/>
        <v>0</v>
      </c>
      <c r="AZ87" s="67">
        <f t="shared" si="26"/>
        <v>0</v>
      </c>
      <c r="BA87" s="67">
        <f t="shared" si="27"/>
        <v>0</v>
      </c>
      <c r="BB87" s="67">
        <f t="shared" si="28"/>
        <v>0</v>
      </c>
    </row>
    <row r="88">
      <c r="A88" s="7"/>
      <c r="B88" s="7"/>
      <c r="C88" s="7"/>
      <c r="D88" s="7"/>
      <c r="E88" s="7"/>
      <c r="F88" s="7"/>
      <c r="G88" s="7"/>
      <c r="H88" s="7"/>
      <c r="I88" s="7"/>
      <c r="J88" s="7"/>
      <c r="K88" s="7"/>
      <c r="L88" s="7"/>
      <c r="M88" s="7"/>
      <c r="N88" s="7"/>
      <c r="O88" s="7"/>
      <c r="P88" s="7"/>
      <c r="Q88" s="7"/>
      <c r="R88" s="7"/>
      <c r="S88" s="7"/>
      <c r="T88" s="7"/>
      <c r="U88" s="7"/>
      <c r="V88" s="7"/>
      <c r="W88" s="7"/>
      <c r="X88" s="7"/>
      <c r="Y88" s="7"/>
      <c r="Z88" s="67">
        <f t="shared" si="1"/>
        <v>0</v>
      </c>
      <c r="AA88" s="67">
        <f t="shared" si="2"/>
        <v>0</v>
      </c>
      <c r="AB88" s="67">
        <f t="shared" si="3"/>
        <v>0</v>
      </c>
      <c r="AC88" s="67">
        <f t="shared" si="4"/>
        <v>0</v>
      </c>
      <c r="AD88" s="67">
        <f t="shared" si="5"/>
        <v>0</v>
      </c>
      <c r="AE88" s="68">
        <f t="shared" si="6"/>
        <v>0</v>
      </c>
      <c r="AF88" s="67">
        <f t="shared" si="7"/>
        <v>0</v>
      </c>
      <c r="AG88" s="67">
        <f t="shared" si="8"/>
        <v>0</v>
      </c>
      <c r="AH88" s="67">
        <f t="shared" si="9"/>
        <v>0</v>
      </c>
      <c r="AI88" s="67">
        <f t="shared" si="10"/>
        <v>0</v>
      </c>
      <c r="AJ88" s="67">
        <f t="shared" si="11"/>
        <v>0</v>
      </c>
      <c r="AK88" s="68">
        <f t="shared" si="12"/>
        <v>0</v>
      </c>
      <c r="AL88" s="67">
        <f t="shared" si="13"/>
        <v>0</v>
      </c>
      <c r="AM88" s="67">
        <f t="shared" si="14"/>
        <v>0</v>
      </c>
      <c r="AN88" s="67">
        <f t="shared" si="15"/>
        <v>0</v>
      </c>
      <c r="AO88" s="67">
        <f t="shared" si="16"/>
        <v>0</v>
      </c>
      <c r="AP88" s="67">
        <f t="shared" si="17"/>
        <v>0</v>
      </c>
      <c r="AQ88" s="68">
        <f t="shared" si="18"/>
        <v>0</v>
      </c>
      <c r="AR88" s="67">
        <f t="shared" si="19"/>
        <v>0</v>
      </c>
      <c r="AS88" s="67">
        <f t="shared" si="20"/>
        <v>0</v>
      </c>
      <c r="AT88" s="67">
        <f t="shared" si="21"/>
        <v>0</v>
      </c>
      <c r="AU88" s="67">
        <f t="shared" si="22"/>
        <v>0</v>
      </c>
      <c r="AV88" s="67">
        <f t="shared" si="23"/>
        <v>0</v>
      </c>
      <c r="AW88" s="68">
        <f t="shared" si="24"/>
        <v>0</v>
      </c>
      <c r="AY88" s="67">
        <f t="shared" si="25"/>
        <v>0</v>
      </c>
      <c r="AZ88" s="67">
        <f t="shared" si="26"/>
        <v>0</v>
      </c>
      <c r="BA88" s="67">
        <f t="shared" si="27"/>
        <v>0</v>
      </c>
      <c r="BB88" s="67">
        <f t="shared" si="28"/>
        <v>0</v>
      </c>
    </row>
    <row r="89">
      <c r="A89" s="7"/>
      <c r="B89" s="7"/>
      <c r="C89" s="7"/>
      <c r="D89" s="7"/>
      <c r="E89" s="7"/>
      <c r="F89" s="7"/>
      <c r="G89" s="7"/>
      <c r="H89" s="7"/>
      <c r="I89" s="7"/>
      <c r="J89" s="7"/>
      <c r="K89" s="7"/>
      <c r="L89" s="7"/>
      <c r="M89" s="7"/>
      <c r="N89" s="7"/>
      <c r="O89" s="7"/>
      <c r="P89" s="7"/>
      <c r="Q89" s="7"/>
      <c r="R89" s="7"/>
      <c r="S89" s="7"/>
      <c r="T89" s="7"/>
      <c r="U89" s="7"/>
      <c r="V89" s="7"/>
      <c r="W89" s="7"/>
      <c r="X89" s="7"/>
      <c r="Y89" s="7"/>
      <c r="Z89" s="67">
        <f t="shared" si="1"/>
        <v>0</v>
      </c>
      <c r="AA89" s="67">
        <f t="shared" si="2"/>
        <v>0</v>
      </c>
      <c r="AB89" s="67">
        <f t="shared" si="3"/>
        <v>0</v>
      </c>
      <c r="AC89" s="67">
        <f t="shared" si="4"/>
        <v>0</v>
      </c>
      <c r="AD89" s="67">
        <f t="shared" si="5"/>
        <v>0</v>
      </c>
      <c r="AE89" s="68">
        <f t="shared" si="6"/>
        <v>0</v>
      </c>
      <c r="AF89" s="67">
        <f t="shared" si="7"/>
        <v>0</v>
      </c>
      <c r="AG89" s="67">
        <f t="shared" si="8"/>
        <v>0</v>
      </c>
      <c r="AH89" s="67">
        <f t="shared" si="9"/>
        <v>0</v>
      </c>
      <c r="AI89" s="67">
        <f t="shared" si="10"/>
        <v>0</v>
      </c>
      <c r="AJ89" s="67">
        <f t="shared" si="11"/>
        <v>0</v>
      </c>
      <c r="AK89" s="68">
        <f t="shared" si="12"/>
        <v>0</v>
      </c>
      <c r="AL89" s="67">
        <f t="shared" si="13"/>
        <v>0</v>
      </c>
      <c r="AM89" s="67">
        <f t="shared" si="14"/>
        <v>0</v>
      </c>
      <c r="AN89" s="67">
        <f t="shared" si="15"/>
        <v>0</v>
      </c>
      <c r="AO89" s="67">
        <f t="shared" si="16"/>
        <v>0</v>
      </c>
      <c r="AP89" s="67">
        <f t="shared" si="17"/>
        <v>0</v>
      </c>
      <c r="AQ89" s="68">
        <f t="shared" si="18"/>
        <v>0</v>
      </c>
      <c r="AR89" s="67">
        <f t="shared" si="19"/>
        <v>0</v>
      </c>
      <c r="AS89" s="67">
        <f t="shared" si="20"/>
        <v>0</v>
      </c>
      <c r="AT89" s="67">
        <f t="shared" si="21"/>
        <v>0</v>
      </c>
      <c r="AU89" s="67">
        <f t="shared" si="22"/>
        <v>0</v>
      </c>
      <c r="AV89" s="67">
        <f t="shared" si="23"/>
        <v>0</v>
      </c>
      <c r="AW89" s="68">
        <f t="shared" si="24"/>
        <v>0</v>
      </c>
      <c r="AY89" s="67">
        <f t="shared" si="25"/>
        <v>0</v>
      </c>
      <c r="AZ89" s="67">
        <f t="shared" si="26"/>
        <v>0</v>
      </c>
      <c r="BA89" s="67">
        <f t="shared" si="27"/>
        <v>0</v>
      </c>
      <c r="BB89" s="67">
        <f t="shared" si="28"/>
        <v>0</v>
      </c>
    </row>
    <row r="90">
      <c r="A90" s="7"/>
      <c r="B90" s="7"/>
      <c r="C90" s="7"/>
      <c r="D90" s="7"/>
      <c r="E90" s="7"/>
      <c r="F90" s="7"/>
      <c r="G90" s="7"/>
      <c r="H90" s="7"/>
      <c r="I90" s="7"/>
      <c r="J90" s="7"/>
      <c r="K90" s="7"/>
      <c r="L90" s="7"/>
      <c r="M90" s="7"/>
      <c r="N90" s="7"/>
      <c r="O90" s="7"/>
      <c r="P90" s="7"/>
      <c r="Q90" s="7"/>
      <c r="R90" s="7"/>
      <c r="S90" s="7"/>
      <c r="T90" s="7"/>
      <c r="U90" s="7"/>
      <c r="V90" s="7"/>
      <c r="W90" s="7"/>
      <c r="X90" s="7"/>
      <c r="Y90" s="7"/>
      <c r="Z90" s="67">
        <f t="shared" si="1"/>
        <v>0</v>
      </c>
      <c r="AA90" s="67">
        <f t="shared" si="2"/>
        <v>0</v>
      </c>
      <c r="AB90" s="67">
        <f t="shared" si="3"/>
        <v>0</v>
      </c>
      <c r="AC90" s="67">
        <f t="shared" si="4"/>
        <v>0</v>
      </c>
      <c r="AD90" s="67">
        <f t="shared" si="5"/>
        <v>0</v>
      </c>
      <c r="AE90" s="68">
        <f t="shared" si="6"/>
        <v>0</v>
      </c>
      <c r="AF90" s="67">
        <f t="shared" si="7"/>
        <v>0</v>
      </c>
      <c r="AG90" s="67">
        <f t="shared" si="8"/>
        <v>0</v>
      </c>
      <c r="AH90" s="67">
        <f t="shared" si="9"/>
        <v>0</v>
      </c>
      <c r="AI90" s="67">
        <f t="shared" si="10"/>
        <v>0</v>
      </c>
      <c r="AJ90" s="67">
        <f t="shared" si="11"/>
        <v>0</v>
      </c>
      <c r="AK90" s="68">
        <f t="shared" si="12"/>
        <v>0</v>
      </c>
      <c r="AL90" s="67">
        <f t="shared" si="13"/>
        <v>0</v>
      </c>
      <c r="AM90" s="67">
        <f t="shared" si="14"/>
        <v>0</v>
      </c>
      <c r="AN90" s="67">
        <f t="shared" si="15"/>
        <v>0</v>
      </c>
      <c r="AO90" s="67">
        <f t="shared" si="16"/>
        <v>0</v>
      </c>
      <c r="AP90" s="67">
        <f t="shared" si="17"/>
        <v>0</v>
      </c>
      <c r="AQ90" s="68">
        <f t="shared" si="18"/>
        <v>0</v>
      </c>
      <c r="AR90" s="67">
        <f t="shared" si="19"/>
        <v>0</v>
      </c>
      <c r="AS90" s="67">
        <f t="shared" si="20"/>
        <v>0</v>
      </c>
      <c r="AT90" s="67">
        <f t="shared" si="21"/>
        <v>0</v>
      </c>
      <c r="AU90" s="67">
        <f t="shared" si="22"/>
        <v>0</v>
      </c>
      <c r="AV90" s="67">
        <f t="shared" si="23"/>
        <v>0</v>
      </c>
      <c r="AW90" s="68">
        <f t="shared" si="24"/>
        <v>0</v>
      </c>
      <c r="AY90" s="67">
        <f t="shared" si="25"/>
        <v>0</v>
      </c>
      <c r="AZ90" s="67">
        <f t="shared" si="26"/>
        <v>0</v>
      </c>
      <c r="BA90" s="67">
        <f t="shared" si="27"/>
        <v>0</v>
      </c>
      <c r="BB90" s="67">
        <f t="shared" si="28"/>
        <v>0</v>
      </c>
    </row>
    <row r="91">
      <c r="A91" s="7"/>
      <c r="B91" s="7"/>
      <c r="C91" s="7"/>
      <c r="D91" s="7"/>
      <c r="E91" s="7"/>
      <c r="F91" s="7"/>
      <c r="G91" s="7"/>
      <c r="H91" s="7"/>
      <c r="I91" s="7"/>
      <c r="J91" s="7"/>
      <c r="K91" s="7"/>
      <c r="L91" s="7"/>
      <c r="M91" s="7"/>
      <c r="N91" s="7"/>
      <c r="O91" s="7"/>
      <c r="P91" s="7"/>
      <c r="Q91" s="7"/>
      <c r="R91" s="7"/>
      <c r="S91" s="7"/>
      <c r="T91" s="7"/>
      <c r="U91" s="7"/>
      <c r="V91" s="7"/>
      <c r="W91" s="7"/>
      <c r="X91" s="7"/>
      <c r="Y91" s="7"/>
      <c r="Z91" s="67">
        <f t="shared" si="1"/>
        <v>0</v>
      </c>
      <c r="AA91" s="67">
        <f t="shared" si="2"/>
        <v>0</v>
      </c>
      <c r="AB91" s="67">
        <f t="shared" si="3"/>
        <v>0</v>
      </c>
      <c r="AC91" s="67">
        <f t="shared" si="4"/>
        <v>0</v>
      </c>
      <c r="AD91" s="67">
        <f t="shared" si="5"/>
        <v>0</v>
      </c>
      <c r="AE91" s="68">
        <f t="shared" si="6"/>
        <v>0</v>
      </c>
      <c r="AF91" s="67">
        <f t="shared" si="7"/>
        <v>0</v>
      </c>
      <c r="AG91" s="67">
        <f t="shared" si="8"/>
        <v>0</v>
      </c>
      <c r="AH91" s="67">
        <f t="shared" si="9"/>
        <v>0</v>
      </c>
      <c r="AI91" s="67">
        <f t="shared" si="10"/>
        <v>0</v>
      </c>
      <c r="AJ91" s="67">
        <f t="shared" si="11"/>
        <v>0</v>
      </c>
      <c r="AK91" s="68">
        <f t="shared" si="12"/>
        <v>0</v>
      </c>
      <c r="AL91" s="67">
        <f t="shared" si="13"/>
        <v>0</v>
      </c>
      <c r="AM91" s="67">
        <f t="shared" si="14"/>
        <v>0</v>
      </c>
      <c r="AN91" s="67">
        <f t="shared" si="15"/>
        <v>0</v>
      </c>
      <c r="AO91" s="67">
        <f t="shared" si="16"/>
        <v>0</v>
      </c>
      <c r="AP91" s="67">
        <f t="shared" si="17"/>
        <v>0</v>
      </c>
      <c r="AQ91" s="68">
        <f t="shared" si="18"/>
        <v>0</v>
      </c>
      <c r="AR91" s="67">
        <f t="shared" si="19"/>
        <v>0</v>
      </c>
      <c r="AS91" s="67">
        <f t="shared" si="20"/>
        <v>0</v>
      </c>
      <c r="AT91" s="67">
        <f t="shared" si="21"/>
        <v>0</v>
      </c>
      <c r="AU91" s="67">
        <f t="shared" si="22"/>
        <v>0</v>
      </c>
      <c r="AV91" s="67">
        <f t="shared" si="23"/>
        <v>0</v>
      </c>
      <c r="AW91" s="68">
        <f t="shared" si="24"/>
        <v>0</v>
      </c>
      <c r="AY91" s="67">
        <f t="shared" si="25"/>
        <v>0</v>
      </c>
      <c r="AZ91" s="67">
        <f t="shared" si="26"/>
        <v>0</v>
      </c>
      <c r="BA91" s="67">
        <f t="shared" si="27"/>
        <v>0</v>
      </c>
      <c r="BB91" s="67">
        <f t="shared" si="28"/>
        <v>0</v>
      </c>
    </row>
    <row r="92">
      <c r="A92" s="7"/>
      <c r="B92" s="7"/>
      <c r="C92" s="7"/>
      <c r="D92" s="7"/>
      <c r="E92" s="7"/>
      <c r="F92" s="7"/>
      <c r="G92" s="7"/>
      <c r="H92" s="7"/>
      <c r="I92" s="7"/>
      <c r="J92" s="7"/>
      <c r="K92" s="7"/>
      <c r="L92" s="7"/>
      <c r="M92" s="7"/>
      <c r="N92" s="7"/>
      <c r="O92" s="7"/>
      <c r="P92" s="7"/>
      <c r="Q92" s="7"/>
      <c r="R92" s="7"/>
      <c r="S92" s="7"/>
      <c r="T92" s="7"/>
      <c r="U92" s="7"/>
      <c r="V92" s="7"/>
      <c r="W92" s="7"/>
      <c r="X92" s="7"/>
      <c r="Y92" s="7"/>
      <c r="Z92" s="67">
        <f t="shared" si="1"/>
        <v>0</v>
      </c>
      <c r="AA92" s="67">
        <f t="shared" si="2"/>
        <v>0</v>
      </c>
      <c r="AB92" s="67">
        <f t="shared" si="3"/>
        <v>0</v>
      </c>
      <c r="AC92" s="67">
        <f t="shared" si="4"/>
        <v>0</v>
      </c>
      <c r="AD92" s="67">
        <f t="shared" si="5"/>
        <v>0</v>
      </c>
      <c r="AE92" s="68">
        <f t="shared" si="6"/>
        <v>0</v>
      </c>
      <c r="AF92" s="67">
        <f t="shared" si="7"/>
        <v>0</v>
      </c>
      <c r="AG92" s="67">
        <f t="shared" si="8"/>
        <v>0</v>
      </c>
      <c r="AH92" s="67">
        <f t="shared" si="9"/>
        <v>0</v>
      </c>
      <c r="AI92" s="67">
        <f t="shared" si="10"/>
        <v>0</v>
      </c>
      <c r="AJ92" s="67">
        <f t="shared" si="11"/>
        <v>0</v>
      </c>
      <c r="AK92" s="68">
        <f t="shared" si="12"/>
        <v>0</v>
      </c>
      <c r="AL92" s="67">
        <f t="shared" si="13"/>
        <v>0</v>
      </c>
      <c r="AM92" s="67">
        <f t="shared" si="14"/>
        <v>0</v>
      </c>
      <c r="AN92" s="67">
        <f t="shared" si="15"/>
        <v>0</v>
      </c>
      <c r="AO92" s="67">
        <f t="shared" si="16"/>
        <v>0</v>
      </c>
      <c r="AP92" s="67">
        <f t="shared" si="17"/>
        <v>0</v>
      </c>
      <c r="AQ92" s="68">
        <f t="shared" si="18"/>
        <v>0</v>
      </c>
      <c r="AR92" s="67">
        <f t="shared" si="19"/>
        <v>0</v>
      </c>
      <c r="AS92" s="67">
        <f t="shared" si="20"/>
        <v>0</v>
      </c>
      <c r="AT92" s="67">
        <f t="shared" si="21"/>
        <v>0</v>
      </c>
      <c r="AU92" s="67">
        <f t="shared" si="22"/>
        <v>0</v>
      </c>
      <c r="AV92" s="67">
        <f t="shared" si="23"/>
        <v>0</v>
      </c>
      <c r="AW92" s="68">
        <f t="shared" si="24"/>
        <v>0</v>
      </c>
      <c r="AY92" s="67">
        <f t="shared" si="25"/>
        <v>0</v>
      </c>
      <c r="AZ92" s="67">
        <f t="shared" si="26"/>
        <v>0</v>
      </c>
      <c r="BA92" s="67">
        <f t="shared" si="27"/>
        <v>0</v>
      </c>
      <c r="BB92" s="67">
        <f t="shared" si="28"/>
        <v>0</v>
      </c>
    </row>
    <row r="93">
      <c r="A93" s="7"/>
      <c r="B93" s="7"/>
      <c r="C93" s="7"/>
      <c r="D93" s="7"/>
      <c r="E93" s="7"/>
      <c r="F93" s="7"/>
      <c r="G93" s="7"/>
      <c r="H93" s="7"/>
      <c r="I93" s="7"/>
      <c r="J93" s="7"/>
      <c r="K93" s="7"/>
      <c r="L93" s="7"/>
      <c r="M93" s="7"/>
      <c r="N93" s="7"/>
      <c r="O93" s="7"/>
      <c r="P93" s="7"/>
      <c r="Q93" s="7"/>
      <c r="R93" s="7"/>
      <c r="S93" s="7"/>
      <c r="T93" s="7"/>
      <c r="U93" s="7"/>
      <c r="V93" s="7"/>
      <c r="W93" s="7"/>
      <c r="X93" s="7"/>
      <c r="Y93" s="7"/>
      <c r="Z93" s="67">
        <f t="shared" si="1"/>
        <v>0</v>
      </c>
      <c r="AA93" s="67">
        <f t="shared" si="2"/>
        <v>0</v>
      </c>
      <c r="AB93" s="67">
        <f t="shared" si="3"/>
        <v>0</v>
      </c>
      <c r="AC93" s="67">
        <f t="shared" si="4"/>
        <v>0</v>
      </c>
      <c r="AD93" s="67">
        <f t="shared" si="5"/>
        <v>0</v>
      </c>
      <c r="AE93" s="68">
        <f t="shared" si="6"/>
        <v>0</v>
      </c>
      <c r="AF93" s="67">
        <f t="shared" si="7"/>
        <v>0</v>
      </c>
      <c r="AG93" s="67">
        <f t="shared" si="8"/>
        <v>0</v>
      </c>
      <c r="AH93" s="67">
        <f t="shared" si="9"/>
        <v>0</v>
      </c>
      <c r="AI93" s="67">
        <f t="shared" si="10"/>
        <v>0</v>
      </c>
      <c r="AJ93" s="67">
        <f t="shared" si="11"/>
        <v>0</v>
      </c>
      <c r="AK93" s="68">
        <f t="shared" si="12"/>
        <v>0</v>
      </c>
      <c r="AL93" s="67">
        <f t="shared" si="13"/>
        <v>0</v>
      </c>
      <c r="AM93" s="67">
        <f t="shared" si="14"/>
        <v>0</v>
      </c>
      <c r="AN93" s="67">
        <f t="shared" si="15"/>
        <v>0</v>
      </c>
      <c r="AO93" s="67">
        <f t="shared" si="16"/>
        <v>0</v>
      </c>
      <c r="AP93" s="67">
        <f t="shared" si="17"/>
        <v>0</v>
      </c>
      <c r="AQ93" s="68">
        <f t="shared" si="18"/>
        <v>0</v>
      </c>
      <c r="AR93" s="67">
        <f t="shared" si="19"/>
        <v>0</v>
      </c>
      <c r="AS93" s="67">
        <f t="shared" si="20"/>
        <v>0</v>
      </c>
      <c r="AT93" s="67">
        <f t="shared" si="21"/>
        <v>0</v>
      </c>
      <c r="AU93" s="67">
        <f t="shared" si="22"/>
        <v>0</v>
      </c>
      <c r="AV93" s="67">
        <f t="shared" si="23"/>
        <v>0</v>
      </c>
      <c r="AW93" s="68">
        <f t="shared" si="24"/>
        <v>0</v>
      </c>
      <c r="AY93" s="67">
        <f t="shared" si="25"/>
        <v>0</v>
      </c>
      <c r="AZ93" s="67">
        <f t="shared" si="26"/>
        <v>0</v>
      </c>
      <c r="BA93" s="67">
        <f t="shared" si="27"/>
        <v>0</v>
      </c>
      <c r="BB93" s="67">
        <f t="shared" si="28"/>
        <v>0</v>
      </c>
    </row>
    <row r="94">
      <c r="A94" s="7"/>
      <c r="B94" s="7"/>
      <c r="C94" s="7"/>
      <c r="D94" s="7"/>
      <c r="E94" s="7"/>
      <c r="F94" s="7"/>
      <c r="G94" s="7"/>
      <c r="H94" s="7"/>
      <c r="I94" s="7"/>
      <c r="J94" s="7"/>
      <c r="K94" s="7"/>
      <c r="L94" s="7"/>
      <c r="M94" s="7"/>
      <c r="N94" s="7"/>
      <c r="O94" s="7"/>
      <c r="P94" s="7"/>
      <c r="Q94" s="7"/>
      <c r="R94" s="7"/>
      <c r="S94" s="7"/>
      <c r="T94" s="7"/>
      <c r="U94" s="7"/>
      <c r="V94" s="7"/>
      <c r="W94" s="7"/>
      <c r="X94" s="7"/>
      <c r="Y94" s="7"/>
      <c r="Z94" s="67">
        <f t="shared" si="1"/>
        <v>0</v>
      </c>
      <c r="AA94" s="67">
        <f t="shared" si="2"/>
        <v>0</v>
      </c>
      <c r="AB94" s="67">
        <f t="shared" si="3"/>
        <v>0</v>
      </c>
      <c r="AC94" s="67">
        <f t="shared" si="4"/>
        <v>0</v>
      </c>
      <c r="AD94" s="67">
        <f t="shared" si="5"/>
        <v>0</v>
      </c>
      <c r="AE94" s="68">
        <f t="shared" si="6"/>
        <v>0</v>
      </c>
      <c r="AF94" s="67">
        <f t="shared" si="7"/>
        <v>0</v>
      </c>
      <c r="AG94" s="67">
        <f t="shared" si="8"/>
        <v>0</v>
      </c>
      <c r="AH94" s="67">
        <f t="shared" si="9"/>
        <v>0</v>
      </c>
      <c r="AI94" s="67">
        <f t="shared" si="10"/>
        <v>0</v>
      </c>
      <c r="AJ94" s="67">
        <f t="shared" si="11"/>
        <v>0</v>
      </c>
      <c r="AK94" s="68">
        <f t="shared" si="12"/>
        <v>0</v>
      </c>
      <c r="AL94" s="67">
        <f t="shared" si="13"/>
        <v>0</v>
      </c>
      <c r="AM94" s="67">
        <f t="shared" si="14"/>
        <v>0</v>
      </c>
      <c r="AN94" s="67">
        <f t="shared" si="15"/>
        <v>0</v>
      </c>
      <c r="AO94" s="67">
        <f t="shared" si="16"/>
        <v>0</v>
      </c>
      <c r="AP94" s="67">
        <f t="shared" si="17"/>
        <v>0</v>
      </c>
      <c r="AQ94" s="68">
        <f t="shared" si="18"/>
        <v>0</v>
      </c>
      <c r="AR94" s="67">
        <f t="shared" si="19"/>
        <v>0</v>
      </c>
      <c r="AS94" s="67">
        <f t="shared" si="20"/>
        <v>0</v>
      </c>
      <c r="AT94" s="67">
        <f t="shared" si="21"/>
        <v>0</v>
      </c>
      <c r="AU94" s="67">
        <f t="shared" si="22"/>
        <v>0</v>
      </c>
      <c r="AV94" s="67">
        <f t="shared" si="23"/>
        <v>0</v>
      </c>
      <c r="AW94" s="68">
        <f t="shared" si="24"/>
        <v>0</v>
      </c>
      <c r="AY94" s="67">
        <f t="shared" si="25"/>
        <v>0</v>
      </c>
      <c r="AZ94" s="67">
        <f t="shared" si="26"/>
        <v>0</v>
      </c>
      <c r="BA94" s="67">
        <f t="shared" si="27"/>
        <v>0</v>
      </c>
      <c r="BB94" s="67">
        <f t="shared" si="28"/>
        <v>0</v>
      </c>
    </row>
    <row r="95">
      <c r="A95" s="7"/>
      <c r="B95" s="7"/>
      <c r="C95" s="7"/>
      <c r="D95" s="7"/>
      <c r="E95" s="7"/>
      <c r="F95" s="7"/>
      <c r="G95" s="7"/>
      <c r="H95" s="7"/>
      <c r="I95" s="7"/>
      <c r="J95" s="7"/>
      <c r="K95" s="7"/>
      <c r="L95" s="7"/>
      <c r="M95" s="7"/>
      <c r="N95" s="7"/>
      <c r="O95" s="7"/>
      <c r="P95" s="7"/>
      <c r="Q95" s="7"/>
      <c r="R95" s="7"/>
      <c r="S95" s="7"/>
      <c r="T95" s="7"/>
      <c r="U95" s="7"/>
      <c r="V95" s="7"/>
      <c r="W95" s="7"/>
      <c r="X95" s="7"/>
      <c r="Y95" s="7"/>
      <c r="Z95" s="67">
        <f t="shared" si="1"/>
        <v>0</v>
      </c>
      <c r="AA95" s="67">
        <f t="shared" si="2"/>
        <v>0</v>
      </c>
      <c r="AB95" s="67">
        <f t="shared" si="3"/>
        <v>0</v>
      </c>
      <c r="AC95" s="67">
        <f t="shared" si="4"/>
        <v>0</v>
      </c>
      <c r="AD95" s="67">
        <f t="shared" si="5"/>
        <v>0</v>
      </c>
      <c r="AE95" s="68">
        <f t="shared" si="6"/>
        <v>0</v>
      </c>
      <c r="AF95" s="67">
        <f t="shared" si="7"/>
        <v>0</v>
      </c>
      <c r="AG95" s="67">
        <f t="shared" si="8"/>
        <v>0</v>
      </c>
      <c r="AH95" s="67">
        <f t="shared" si="9"/>
        <v>0</v>
      </c>
      <c r="AI95" s="67">
        <f t="shared" si="10"/>
        <v>0</v>
      </c>
      <c r="AJ95" s="67">
        <f t="shared" si="11"/>
        <v>0</v>
      </c>
      <c r="AK95" s="68">
        <f t="shared" si="12"/>
        <v>0</v>
      </c>
      <c r="AL95" s="67">
        <f t="shared" si="13"/>
        <v>0</v>
      </c>
      <c r="AM95" s="67">
        <f t="shared" si="14"/>
        <v>0</v>
      </c>
      <c r="AN95" s="67">
        <f t="shared" si="15"/>
        <v>0</v>
      </c>
      <c r="AO95" s="67">
        <f t="shared" si="16"/>
        <v>0</v>
      </c>
      <c r="AP95" s="67">
        <f t="shared" si="17"/>
        <v>0</v>
      </c>
      <c r="AQ95" s="68">
        <f t="shared" si="18"/>
        <v>0</v>
      </c>
      <c r="AR95" s="67">
        <f t="shared" si="19"/>
        <v>0</v>
      </c>
      <c r="AS95" s="67">
        <f t="shared" si="20"/>
        <v>0</v>
      </c>
      <c r="AT95" s="67">
        <f t="shared" si="21"/>
        <v>0</v>
      </c>
      <c r="AU95" s="67">
        <f t="shared" si="22"/>
        <v>0</v>
      </c>
      <c r="AV95" s="67">
        <f t="shared" si="23"/>
        <v>0</v>
      </c>
      <c r="AW95" s="68">
        <f t="shared" si="24"/>
        <v>0</v>
      </c>
      <c r="AY95" s="67">
        <f t="shared" si="25"/>
        <v>0</v>
      </c>
      <c r="AZ95" s="67">
        <f t="shared" si="26"/>
        <v>0</v>
      </c>
      <c r="BA95" s="67">
        <f t="shared" si="27"/>
        <v>0</v>
      </c>
      <c r="BB95" s="67">
        <f t="shared" si="28"/>
        <v>0</v>
      </c>
    </row>
    <row r="96">
      <c r="A96" s="7"/>
      <c r="B96" s="7"/>
      <c r="C96" s="7"/>
      <c r="D96" s="7"/>
      <c r="E96" s="7"/>
      <c r="F96" s="7"/>
      <c r="G96" s="7"/>
      <c r="H96" s="7"/>
      <c r="I96" s="7"/>
      <c r="J96" s="7"/>
      <c r="K96" s="7"/>
      <c r="L96" s="7"/>
      <c r="M96" s="7"/>
      <c r="N96" s="7"/>
      <c r="O96" s="7"/>
      <c r="P96" s="7"/>
      <c r="Q96" s="7"/>
      <c r="R96" s="7"/>
      <c r="S96" s="7"/>
      <c r="T96" s="7"/>
      <c r="U96" s="7"/>
      <c r="V96" s="7"/>
      <c r="W96" s="7"/>
      <c r="X96" s="7"/>
      <c r="Y96" s="7"/>
      <c r="Z96" s="67">
        <f t="shared" si="1"/>
        <v>0</v>
      </c>
      <c r="AA96" s="67">
        <f t="shared" si="2"/>
        <v>0</v>
      </c>
      <c r="AB96" s="67">
        <f t="shared" si="3"/>
        <v>0</v>
      </c>
      <c r="AC96" s="67">
        <f t="shared" si="4"/>
        <v>0</v>
      </c>
      <c r="AD96" s="67">
        <f t="shared" si="5"/>
        <v>0</v>
      </c>
      <c r="AE96" s="68">
        <f t="shared" si="6"/>
        <v>0</v>
      </c>
      <c r="AF96" s="67">
        <f t="shared" si="7"/>
        <v>0</v>
      </c>
      <c r="AG96" s="67">
        <f t="shared" si="8"/>
        <v>0</v>
      </c>
      <c r="AH96" s="67">
        <f t="shared" si="9"/>
        <v>0</v>
      </c>
      <c r="AI96" s="67">
        <f t="shared" si="10"/>
        <v>0</v>
      </c>
      <c r="AJ96" s="67">
        <f t="shared" si="11"/>
        <v>0</v>
      </c>
      <c r="AK96" s="68">
        <f t="shared" si="12"/>
        <v>0</v>
      </c>
      <c r="AL96" s="67">
        <f t="shared" si="13"/>
        <v>0</v>
      </c>
      <c r="AM96" s="67">
        <f t="shared" si="14"/>
        <v>0</v>
      </c>
      <c r="AN96" s="67">
        <f t="shared" si="15"/>
        <v>0</v>
      </c>
      <c r="AO96" s="67">
        <f t="shared" si="16"/>
        <v>0</v>
      </c>
      <c r="AP96" s="67">
        <f t="shared" si="17"/>
        <v>0</v>
      </c>
      <c r="AQ96" s="68">
        <f t="shared" si="18"/>
        <v>0</v>
      </c>
      <c r="AR96" s="67">
        <f t="shared" si="19"/>
        <v>0</v>
      </c>
      <c r="AS96" s="67">
        <f t="shared" si="20"/>
        <v>0</v>
      </c>
      <c r="AT96" s="67">
        <f t="shared" si="21"/>
        <v>0</v>
      </c>
      <c r="AU96" s="67">
        <f t="shared" si="22"/>
        <v>0</v>
      </c>
      <c r="AV96" s="67">
        <f t="shared" si="23"/>
        <v>0</v>
      </c>
      <c r="AW96" s="68">
        <f t="shared" si="24"/>
        <v>0</v>
      </c>
      <c r="AY96" s="67">
        <f t="shared" si="25"/>
        <v>0</v>
      </c>
      <c r="AZ96" s="67">
        <f t="shared" si="26"/>
        <v>0</v>
      </c>
      <c r="BA96" s="67">
        <f t="shared" si="27"/>
        <v>0</v>
      </c>
      <c r="BB96" s="67">
        <f t="shared" si="28"/>
        <v>0</v>
      </c>
    </row>
    <row r="97">
      <c r="A97" s="7"/>
      <c r="B97" s="7"/>
      <c r="C97" s="7"/>
      <c r="D97" s="7"/>
      <c r="E97" s="7"/>
      <c r="F97" s="7"/>
      <c r="G97" s="7"/>
      <c r="H97" s="7"/>
      <c r="I97" s="7"/>
      <c r="J97" s="7"/>
      <c r="K97" s="7"/>
      <c r="L97" s="7"/>
      <c r="M97" s="7"/>
      <c r="N97" s="7"/>
      <c r="O97" s="7"/>
      <c r="P97" s="7"/>
      <c r="Q97" s="7"/>
      <c r="R97" s="7"/>
      <c r="S97" s="7"/>
      <c r="T97" s="7"/>
      <c r="U97" s="7"/>
      <c r="V97" s="7"/>
      <c r="W97" s="7"/>
      <c r="X97" s="7"/>
      <c r="Y97" s="7"/>
      <c r="Z97" s="67">
        <f t="shared" si="1"/>
        <v>0</v>
      </c>
      <c r="AA97" s="67">
        <f t="shared" si="2"/>
        <v>0</v>
      </c>
      <c r="AB97" s="67">
        <f t="shared" si="3"/>
        <v>0</v>
      </c>
      <c r="AC97" s="67">
        <f t="shared" si="4"/>
        <v>0</v>
      </c>
      <c r="AD97" s="67">
        <f t="shared" si="5"/>
        <v>0</v>
      </c>
      <c r="AE97" s="68">
        <f t="shared" si="6"/>
        <v>0</v>
      </c>
      <c r="AF97" s="67">
        <f t="shared" si="7"/>
        <v>0</v>
      </c>
      <c r="AG97" s="67">
        <f t="shared" si="8"/>
        <v>0</v>
      </c>
      <c r="AH97" s="67">
        <f t="shared" si="9"/>
        <v>0</v>
      </c>
      <c r="AI97" s="67">
        <f t="shared" si="10"/>
        <v>0</v>
      </c>
      <c r="AJ97" s="67">
        <f t="shared" si="11"/>
        <v>0</v>
      </c>
      <c r="AK97" s="68">
        <f t="shared" si="12"/>
        <v>0</v>
      </c>
      <c r="AL97" s="67">
        <f t="shared" si="13"/>
        <v>0</v>
      </c>
      <c r="AM97" s="67">
        <f t="shared" si="14"/>
        <v>0</v>
      </c>
      <c r="AN97" s="67">
        <f t="shared" si="15"/>
        <v>0</v>
      </c>
      <c r="AO97" s="67">
        <f t="shared" si="16"/>
        <v>0</v>
      </c>
      <c r="AP97" s="67">
        <f t="shared" si="17"/>
        <v>0</v>
      </c>
      <c r="AQ97" s="68">
        <f t="shared" si="18"/>
        <v>0</v>
      </c>
      <c r="AR97" s="67">
        <f t="shared" si="19"/>
        <v>0</v>
      </c>
      <c r="AS97" s="67">
        <f t="shared" si="20"/>
        <v>0</v>
      </c>
      <c r="AT97" s="67">
        <f t="shared" si="21"/>
        <v>0</v>
      </c>
      <c r="AU97" s="67">
        <f t="shared" si="22"/>
        <v>0</v>
      </c>
      <c r="AV97" s="67">
        <f t="shared" si="23"/>
        <v>0</v>
      </c>
      <c r="AW97" s="68">
        <f t="shared" si="24"/>
        <v>0</v>
      </c>
      <c r="AY97" s="67">
        <f t="shared" si="25"/>
        <v>0</v>
      </c>
      <c r="AZ97" s="67">
        <f t="shared" si="26"/>
        <v>0</v>
      </c>
      <c r="BA97" s="67">
        <f t="shared" si="27"/>
        <v>0</v>
      </c>
      <c r="BB97" s="67">
        <f t="shared" si="28"/>
        <v>0</v>
      </c>
    </row>
    <row r="98">
      <c r="A98" s="7"/>
      <c r="B98" s="7"/>
      <c r="C98" s="7"/>
      <c r="D98" s="7"/>
      <c r="E98" s="7"/>
      <c r="F98" s="7"/>
      <c r="G98" s="7"/>
      <c r="H98" s="7"/>
      <c r="I98" s="7"/>
      <c r="J98" s="7"/>
      <c r="K98" s="7"/>
      <c r="L98" s="7"/>
      <c r="M98" s="7"/>
      <c r="N98" s="7"/>
      <c r="O98" s="7"/>
      <c r="P98" s="7"/>
      <c r="Q98" s="7"/>
      <c r="R98" s="7"/>
      <c r="S98" s="7"/>
      <c r="T98" s="7"/>
      <c r="U98" s="7"/>
      <c r="V98" s="7"/>
      <c r="W98" s="7"/>
      <c r="X98" s="7"/>
      <c r="Y98" s="7"/>
      <c r="Z98" s="67">
        <f t="shared" si="1"/>
        <v>0</v>
      </c>
      <c r="AA98" s="67">
        <f t="shared" si="2"/>
        <v>0</v>
      </c>
      <c r="AB98" s="67">
        <f t="shared" si="3"/>
        <v>0</v>
      </c>
      <c r="AC98" s="67">
        <f t="shared" si="4"/>
        <v>0</v>
      </c>
      <c r="AD98" s="67">
        <f t="shared" si="5"/>
        <v>0</v>
      </c>
      <c r="AE98" s="68">
        <f t="shared" si="6"/>
        <v>0</v>
      </c>
      <c r="AF98" s="67">
        <f t="shared" si="7"/>
        <v>0</v>
      </c>
      <c r="AG98" s="67">
        <f t="shared" si="8"/>
        <v>0</v>
      </c>
      <c r="AH98" s="67">
        <f t="shared" si="9"/>
        <v>0</v>
      </c>
      <c r="AI98" s="67">
        <f t="shared" si="10"/>
        <v>0</v>
      </c>
      <c r="AJ98" s="67">
        <f t="shared" si="11"/>
        <v>0</v>
      </c>
      <c r="AK98" s="68">
        <f t="shared" si="12"/>
        <v>0</v>
      </c>
      <c r="AL98" s="67">
        <f t="shared" si="13"/>
        <v>0</v>
      </c>
      <c r="AM98" s="67">
        <f t="shared" si="14"/>
        <v>0</v>
      </c>
      <c r="AN98" s="67">
        <f t="shared" si="15"/>
        <v>0</v>
      </c>
      <c r="AO98" s="67">
        <f t="shared" si="16"/>
        <v>0</v>
      </c>
      <c r="AP98" s="67">
        <f t="shared" si="17"/>
        <v>0</v>
      </c>
      <c r="AQ98" s="68">
        <f t="shared" si="18"/>
        <v>0</v>
      </c>
      <c r="AR98" s="67">
        <f t="shared" si="19"/>
        <v>0</v>
      </c>
      <c r="AS98" s="67">
        <f t="shared" si="20"/>
        <v>0</v>
      </c>
      <c r="AT98" s="67">
        <f t="shared" si="21"/>
        <v>0</v>
      </c>
      <c r="AU98" s="67">
        <f t="shared" si="22"/>
        <v>0</v>
      </c>
      <c r="AV98" s="67">
        <f t="shared" si="23"/>
        <v>0</v>
      </c>
      <c r="AW98" s="68">
        <f t="shared" si="24"/>
        <v>0</v>
      </c>
      <c r="AY98" s="67">
        <f t="shared" si="25"/>
        <v>0</v>
      </c>
      <c r="AZ98" s="67">
        <f t="shared" si="26"/>
        <v>0</v>
      </c>
      <c r="BA98" s="67">
        <f t="shared" si="27"/>
        <v>0</v>
      </c>
      <c r="BB98" s="67">
        <f t="shared" si="28"/>
        <v>0</v>
      </c>
    </row>
    <row r="99">
      <c r="A99" s="7"/>
      <c r="B99" s="7"/>
      <c r="C99" s="7"/>
      <c r="D99" s="7"/>
      <c r="E99" s="7"/>
      <c r="F99" s="7"/>
      <c r="G99" s="7"/>
      <c r="H99" s="7"/>
      <c r="I99" s="7"/>
      <c r="J99" s="7"/>
      <c r="K99" s="7"/>
      <c r="L99" s="7"/>
      <c r="M99" s="7"/>
      <c r="N99" s="7"/>
      <c r="O99" s="7"/>
      <c r="P99" s="7"/>
      <c r="Q99" s="7"/>
      <c r="R99" s="7"/>
      <c r="S99" s="7"/>
      <c r="T99" s="7"/>
      <c r="U99" s="7"/>
      <c r="V99" s="7"/>
      <c r="W99" s="7"/>
      <c r="X99" s="7"/>
      <c r="Y99" s="7"/>
      <c r="Z99" s="67">
        <f t="shared" si="1"/>
        <v>0</v>
      </c>
      <c r="AA99" s="67">
        <f t="shared" si="2"/>
        <v>0</v>
      </c>
      <c r="AB99" s="67">
        <f t="shared" si="3"/>
        <v>0</v>
      </c>
      <c r="AC99" s="67">
        <f t="shared" si="4"/>
        <v>0</v>
      </c>
      <c r="AD99" s="67">
        <f t="shared" si="5"/>
        <v>0</v>
      </c>
      <c r="AE99" s="68">
        <f t="shared" si="6"/>
        <v>0</v>
      </c>
      <c r="AF99" s="67">
        <f t="shared" si="7"/>
        <v>0</v>
      </c>
      <c r="AG99" s="67">
        <f t="shared" si="8"/>
        <v>0</v>
      </c>
      <c r="AH99" s="67">
        <f t="shared" si="9"/>
        <v>0</v>
      </c>
      <c r="AI99" s="67">
        <f t="shared" si="10"/>
        <v>0</v>
      </c>
      <c r="AJ99" s="67">
        <f t="shared" si="11"/>
        <v>0</v>
      </c>
      <c r="AK99" s="68">
        <f t="shared" si="12"/>
        <v>0</v>
      </c>
      <c r="AL99" s="67">
        <f t="shared" si="13"/>
        <v>0</v>
      </c>
      <c r="AM99" s="67">
        <f t="shared" si="14"/>
        <v>0</v>
      </c>
      <c r="AN99" s="67">
        <f t="shared" si="15"/>
        <v>0</v>
      </c>
      <c r="AO99" s="67">
        <f t="shared" si="16"/>
        <v>0</v>
      </c>
      <c r="AP99" s="67">
        <f t="shared" si="17"/>
        <v>0</v>
      </c>
      <c r="AQ99" s="68">
        <f t="shared" si="18"/>
        <v>0</v>
      </c>
      <c r="AR99" s="67">
        <f t="shared" si="19"/>
        <v>0</v>
      </c>
      <c r="AS99" s="67">
        <f t="shared" si="20"/>
        <v>0</v>
      </c>
      <c r="AT99" s="67">
        <f t="shared" si="21"/>
        <v>0</v>
      </c>
      <c r="AU99" s="67">
        <f t="shared" si="22"/>
        <v>0</v>
      </c>
      <c r="AV99" s="67">
        <f t="shared" si="23"/>
        <v>0</v>
      </c>
      <c r="AW99" s="68">
        <f t="shared" si="24"/>
        <v>0</v>
      </c>
      <c r="AY99" s="67">
        <f t="shared" si="25"/>
        <v>0</v>
      </c>
      <c r="AZ99" s="67">
        <f t="shared" si="26"/>
        <v>0</v>
      </c>
      <c r="BA99" s="67">
        <f t="shared" si="27"/>
        <v>0</v>
      </c>
      <c r="BB99" s="67">
        <f t="shared" si="28"/>
        <v>0</v>
      </c>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67">
        <f t="shared" si="1"/>
        <v>0</v>
      </c>
      <c r="AA100" s="67">
        <f t="shared" si="2"/>
        <v>0</v>
      </c>
      <c r="AB100" s="67">
        <f t="shared" si="3"/>
        <v>0</v>
      </c>
      <c r="AC100" s="67">
        <f t="shared" si="4"/>
        <v>0</v>
      </c>
      <c r="AD100" s="67">
        <f t="shared" si="5"/>
        <v>0</v>
      </c>
      <c r="AE100" s="68">
        <f t="shared" si="6"/>
        <v>0</v>
      </c>
      <c r="AF100" s="67">
        <f t="shared" si="7"/>
        <v>0</v>
      </c>
      <c r="AG100" s="67">
        <f t="shared" si="8"/>
        <v>0</v>
      </c>
      <c r="AH100" s="67">
        <f t="shared" si="9"/>
        <v>0</v>
      </c>
      <c r="AI100" s="67">
        <f t="shared" si="10"/>
        <v>0</v>
      </c>
      <c r="AJ100" s="67">
        <f t="shared" si="11"/>
        <v>0</v>
      </c>
      <c r="AK100" s="68">
        <f t="shared" si="12"/>
        <v>0</v>
      </c>
      <c r="AL100" s="67">
        <f t="shared" si="13"/>
        <v>0</v>
      </c>
      <c r="AM100" s="67">
        <f t="shared" si="14"/>
        <v>0</v>
      </c>
      <c r="AN100" s="67">
        <f t="shared" si="15"/>
        <v>0</v>
      </c>
      <c r="AO100" s="67">
        <f t="shared" si="16"/>
        <v>0</v>
      </c>
      <c r="AP100" s="67">
        <f t="shared" si="17"/>
        <v>0</v>
      </c>
      <c r="AQ100" s="68">
        <f t="shared" si="18"/>
        <v>0</v>
      </c>
      <c r="AR100" s="67">
        <f t="shared" si="19"/>
        <v>0</v>
      </c>
      <c r="AS100" s="67">
        <f t="shared" si="20"/>
        <v>0</v>
      </c>
      <c r="AT100" s="67">
        <f t="shared" si="21"/>
        <v>0</v>
      </c>
      <c r="AU100" s="67">
        <f t="shared" si="22"/>
        <v>0</v>
      </c>
      <c r="AV100" s="67">
        <f t="shared" si="23"/>
        <v>0</v>
      </c>
      <c r="AW100" s="68">
        <f t="shared" si="24"/>
        <v>0</v>
      </c>
      <c r="AY100" s="67">
        <f t="shared" si="25"/>
        <v>0</v>
      </c>
      <c r="AZ100" s="67">
        <f t="shared" si="26"/>
        <v>0</v>
      </c>
      <c r="BA100" s="67">
        <f t="shared" si="27"/>
        <v>0</v>
      </c>
      <c r="BB100" s="67">
        <f t="shared" si="28"/>
        <v>0</v>
      </c>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67">
        <f t="shared" si="1"/>
        <v>0</v>
      </c>
      <c r="AA101" s="67">
        <f t="shared" si="2"/>
        <v>0</v>
      </c>
      <c r="AB101" s="67">
        <f t="shared" si="3"/>
        <v>0</v>
      </c>
      <c r="AC101" s="67">
        <f t="shared" si="4"/>
        <v>0</v>
      </c>
      <c r="AD101" s="67">
        <f t="shared" si="5"/>
        <v>0</v>
      </c>
      <c r="AE101" s="68">
        <f t="shared" si="6"/>
        <v>0</v>
      </c>
      <c r="AF101" s="67">
        <f t="shared" si="7"/>
        <v>0</v>
      </c>
      <c r="AG101" s="67">
        <f t="shared" si="8"/>
        <v>0</v>
      </c>
      <c r="AH101" s="67">
        <f t="shared" si="9"/>
        <v>0</v>
      </c>
      <c r="AI101" s="67">
        <f t="shared" si="10"/>
        <v>0</v>
      </c>
      <c r="AJ101" s="67">
        <f t="shared" si="11"/>
        <v>0</v>
      </c>
      <c r="AK101" s="68">
        <f t="shared" si="12"/>
        <v>0</v>
      </c>
      <c r="AL101" s="67">
        <f t="shared" si="13"/>
        <v>0</v>
      </c>
      <c r="AM101" s="67">
        <f t="shared" si="14"/>
        <v>0</v>
      </c>
      <c r="AN101" s="67">
        <f t="shared" si="15"/>
        <v>0</v>
      </c>
      <c r="AO101" s="67">
        <f t="shared" si="16"/>
        <v>0</v>
      </c>
      <c r="AP101" s="67">
        <f t="shared" si="17"/>
        <v>0</v>
      </c>
      <c r="AQ101" s="68">
        <f t="shared" si="18"/>
        <v>0</v>
      </c>
      <c r="AR101" s="67">
        <f t="shared" si="19"/>
        <v>0</v>
      </c>
      <c r="AS101" s="67">
        <f t="shared" si="20"/>
        <v>0</v>
      </c>
      <c r="AT101" s="67">
        <f t="shared" si="21"/>
        <v>0</v>
      </c>
      <c r="AU101" s="67">
        <f t="shared" si="22"/>
        <v>0</v>
      </c>
      <c r="AV101" s="67">
        <f t="shared" si="23"/>
        <v>0</v>
      </c>
      <c r="AW101" s="68">
        <f t="shared" si="24"/>
        <v>0</v>
      </c>
      <c r="AY101" s="67">
        <f t="shared" si="25"/>
        <v>0</v>
      </c>
      <c r="AZ101" s="67">
        <f t="shared" si="26"/>
        <v>0</v>
      </c>
      <c r="BA101" s="67">
        <f t="shared" si="27"/>
        <v>0</v>
      </c>
      <c r="BB101" s="67">
        <f t="shared" si="28"/>
        <v>0</v>
      </c>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67">
        <f t="shared" si="1"/>
        <v>0</v>
      </c>
      <c r="AA102" s="67">
        <f t="shared" si="2"/>
        <v>0</v>
      </c>
      <c r="AB102" s="67">
        <f t="shared" si="3"/>
        <v>0</v>
      </c>
      <c r="AC102" s="67">
        <f t="shared" si="4"/>
        <v>0</v>
      </c>
      <c r="AD102" s="67">
        <f t="shared" si="5"/>
        <v>0</v>
      </c>
      <c r="AE102" s="68">
        <f t="shared" si="6"/>
        <v>0</v>
      </c>
      <c r="AF102" s="67">
        <f t="shared" si="7"/>
        <v>0</v>
      </c>
      <c r="AG102" s="67">
        <f t="shared" si="8"/>
        <v>0</v>
      </c>
      <c r="AH102" s="67">
        <f t="shared" si="9"/>
        <v>0</v>
      </c>
      <c r="AI102" s="67">
        <f t="shared" si="10"/>
        <v>0</v>
      </c>
      <c r="AJ102" s="67">
        <f t="shared" si="11"/>
        <v>0</v>
      </c>
      <c r="AK102" s="68">
        <f t="shared" si="12"/>
        <v>0</v>
      </c>
      <c r="AL102" s="67">
        <f t="shared" si="13"/>
        <v>0</v>
      </c>
      <c r="AM102" s="67">
        <f t="shared" si="14"/>
        <v>0</v>
      </c>
      <c r="AN102" s="67">
        <f t="shared" si="15"/>
        <v>0</v>
      </c>
      <c r="AO102" s="67">
        <f t="shared" si="16"/>
        <v>0</v>
      </c>
      <c r="AP102" s="67">
        <f t="shared" si="17"/>
        <v>0</v>
      </c>
      <c r="AQ102" s="68">
        <f t="shared" si="18"/>
        <v>0</v>
      </c>
      <c r="AR102" s="67">
        <f t="shared" si="19"/>
        <v>0</v>
      </c>
      <c r="AS102" s="67">
        <f t="shared" si="20"/>
        <v>0</v>
      </c>
      <c r="AT102" s="67">
        <f t="shared" si="21"/>
        <v>0</v>
      </c>
      <c r="AU102" s="67">
        <f t="shared" si="22"/>
        <v>0</v>
      </c>
      <c r="AV102" s="67">
        <f t="shared" si="23"/>
        <v>0</v>
      </c>
      <c r="AW102" s="68">
        <f t="shared" si="24"/>
        <v>0</v>
      </c>
      <c r="AY102" s="67">
        <f t="shared" si="25"/>
        <v>0</v>
      </c>
      <c r="AZ102" s="67">
        <f t="shared" si="26"/>
        <v>0</v>
      </c>
      <c r="BA102" s="67">
        <f t="shared" si="27"/>
        <v>0</v>
      </c>
      <c r="BB102" s="67">
        <f t="shared" si="28"/>
        <v>0</v>
      </c>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67">
        <f t="shared" si="1"/>
        <v>0</v>
      </c>
      <c r="AA103" s="67">
        <f t="shared" si="2"/>
        <v>0</v>
      </c>
      <c r="AB103" s="67">
        <f t="shared" si="3"/>
        <v>0</v>
      </c>
      <c r="AC103" s="67">
        <f t="shared" si="4"/>
        <v>0</v>
      </c>
      <c r="AD103" s="67">
        <f t="shared" si="5"/>
        <v>0</v>
      </c>
      <c r="AE103" s="68">
        <f t="shared" si="6"/>
        <v>0</v>
      </c>
      <c r="AF103" s="67">
        <f t="shared" si="7"/>
        <v>0</v>
      </c>
      <c r="AG103" s="67">
        <f t="shared" si="8"/>
        <v>0</v>
      </c>
      <c r="AH103" s="67">
        <f t="shared" si="9"/>
        <v>0</v>
      </c>
      <c r="AI103" s="67">
        <f t="shared" si="10"/>
        <v>0</v>
      </c>
      <c r="AJ103" s="67">
        <f t="shared" si="11"/>
        <v>0</v>
      </c>
      <c r="AK103" s="68">
        <f t="shared" si="12"/>
        <v>0</v>
      </c>
      <c r="AL103" s="67">
        <f t="shared" si="13"/>
        <v>0</v>
      </c>
      <c r="AM103" s="67">
        <f t="shared" si="14"/>
        <v>0</v>
      </c>
      <c r="AN103" s="67">
        <f t="shared" si="15"/>
        <v>0</v>
      </c>
      <c r="AO103" s="67">
        <f t="shared" si="16"/>
        <v>0</v>
      </c>
      <c r="AP103" s="67">
        <f t="shared" si="17"/>
        <v>0</v>
      </c>
      <c r="AQ103" s="68">
        <f t="shared" si="18"/>
        <v>0</v>
      </c>
      <c r="AR103" s="67">
        <f t="shared" si="19"/>
        <v>0</v>
      </c>
      <c r="AS103" s="67">
        <f t="shared" si="20"/>
        <v>0</v>
      </c>
      <c r="AT103" s="67">
        <f t="shared" si="21"/>
        <v>0</v>
      </c>
      <c r="AU103" s="67">
        <f t="shared" si="22"/>
        <v>0</v>
      </c>
      <c r="AV103" s="67">
        <f t="shared" si="23"/>
        <v>0</v>
      </c>
      <c r="AW103" s="68">
        <f t="shared" si="24"/>
        <v>0</v>
      </c>
      <c r="AY103" s="67">
        <f t="shared" si="25"/>
        <v>0</v>
      </c>
      <c r="AZ103" s="67">
        <f t="shared" si="26"/>
        <v>0</v>
      </c>
      <c r="BA103" s="67">
        <f t="shared" si="27"/>
        <v>0</v>
      </c>
      <c r="BB103" s="67">
        <f t="shared" si="28"/>
        <v>0</v>
      </c>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67">
        <f t="shared" si="1"/>
        <v>0</v>
      </c>
      <c r="AA104" s="67">
        <f t="shared" si="2"/>
        <v>0</v>
      </c>
      <c r="AB104" s="67">
        <f t="shared" si="3"/>
        <v>0</v>
      </c>
      <c r="AC104" s="67">
        <f t="shared" si="4"/>
        <v>0</v>
      </c>
      <c r="AD104" s="67">
        <f t="shared" si="5"/>
        <v>0</v>
      </c>
      <c r="AE104" s="68">
        <f t="shared" si="6"/>
        <v>0</v>
      </c>
      <c r="AF104" s="67">
        <f t="shared" si="7"/>
        <v>0</v>
      </c>
      <c r="AG104" s="67">
        <f t="shared" si="8"/>
        <v>0</v>
      </c>
      <c r="AH104" s="67">
        <f t="shared" si="9"/>
        <v>0</v>
      </c>
      <c r="AI104" s="67">
        <f t="shared" si="10"/>
        <v>0</v>
      </c>
      <c r="AJ104" s="67">
        <f t="shared" si="11"/>
        <v>0</v>
      </c>
      <c r="AK104" s="68">
        <f t="shared" si="12"/>
        <v>0</v>
      </c>
      <c r="AL104" s="67">
        <f t="shared" si="13"/>
        <v>0</v>
      </c>
      <c r="AM104" s="67">
        <f t="shared" si="14"/>
        <v>0</v>
      </c>
      <c r="AN104" s="67">
        <f t="shared" si="15"/>
        <v>0</v>
      </c>
      <c r="AO104" s="67">
        <f t="shared" si="16"/>
        <v>0</v>
      </c>
      <c r="AP104" s="67">
        <f t="shared" si="17"/>
        <v>0</v>
      </c>
      <c r="AQ104" s="68">
        <f t="shared" si="18"/>
        <v>0</v>
      </c>
      <c r="AR104" s="67">
        <f t="shared" si="19"/>
        <v>0</v>
      </c>
      <c r="AS104" s="67">
        <f t="shared" si="20"/>
        <v>0</v>
      </c>
      <c r="AT104" s="67">
        <f t="shared" si="21"/>
        <v>0</v>
      </c>
      <c r="AU104" s="67">
        <f t="shared" si="22"/>
        <v>0</v>
      </c>
      <c r="AV104" s="67">
        <f t="shared" si="23"/>
        <v>0</v>
      </c>
      <c r="AW104" s="68">
        <f t="shared" si="24"/>
        <v>0</v>
      </c>
      <c r="AY104" s="67">
        <f t="shared" si="25"/>
        <v>0</v>
      </c>
      <c r="AZ104" s="67">
        <f t="shared" si="26"/>
        <v>0</v>
      </c>
      <c r="BA104" s="67">
        <f t="shared" si="27"/>
        <v>0</v>
      </c>
      <c r="BB104" s="67">
        <f t="shared" si="28"/>
        <v>0</v>
      </c>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67">
        <f t="shared" si="1"/>
        <v>0</v>
      </c>
      <c r="AA105" s="67">
        <f t="shared" si="2"/>
        <v>0</v>
      </c>
      <c r="AB105" s="67">
        <f t="shared" si="3"/>
        <v>0</v>
      </c>
      <c r="AC105" s="67">
        <f t="shared" si="4"/>
        <v>0</v>
      </c>
      <c r="AD105" s="67">
        <f t="shared" si="5"/>
        <v>0</v>
      </c>
      <c r="AE105" s="68">
        <f t="shared" si="6"/>
        <v>0</v>
      </c>
      <c r="AF105" s="67">
        <f t="shared" si="7"/>
        <v>0</v>
      </c>
      <c r="AG105" s="67">
        <f t="shared" si="8"/>
        <v>0</v>
      </c>
      <c r="AH105" s="67">
        <f t="shared" si="9"/>
        <v>0</v>
      </c>
      <c r="AI105" s="67">
        <f t="shared" si="10"/>
        <v>0</v>
      </c>
      <c r="AJ105" s="67">
        <f t="shared" si="11"/>
        <v>0</v>
      </c>
      <c r="AK105" s="68">
        <f t="shared" si="12"/>
        <v>0</v>
      </c>
      <c r="AL105" s="67">
        <f t="shared" si="13"/>
        <v>0</v>
      </c>
      <c r="AM105" s="67">
        <f t="shared" si="14"/>
        <v>0</v>
      </c>
      <c r="AN105" s="67">
        <f t="shared" si="15"/>
        <v>0</v>
      </c>
      <c r="AO105" s="67">
        <f t="shared" si="16"/>
        <v>0</v>
      </c>
      <c r="AP105" s="67">
        <f t="shared" si="17"/>
        <v>0</v>
      </c>
      <c r="AQ105" s="68">
        <f t="shared" si="18"/>
        <v>0</v>
      </c>
      <c r="AR105" s="67">
        <f t="shared" si="19"/>
        <v>0</v>
      </c>
      <c r="AS105" s="67">
        <f t="shared" si="20"/>
        <v>0</v>
      </c>
      <c r="AT105" s="67">
        <f t="shared" si="21"/>
        <v>0</v>
      </c>
      <c r="AU105" s="67">
        <f t="shared" si="22"/>
        <v>0</v>
      </c>
      <c r="AV105" s="67">
        <f t="shared" si="23"/>
        <v>0</v>
      </c>
      <c r="AW105" s="68">
        <f t="shared" si="24"/>
        <v>0</v>
      </c>
      <c r="AY105" s="67">
        <f t="shared" si="25"/>
        <v>0</v>
      </c>
      <c r="AZ105" s="67">
        <f t="shared" si="26"/>
        <v>0</v>
      </c>
      <c r="BA105" s="67">
        <f t="shared" si="27"/>
        <v>0</v>
      </c>
      <c r="BB105" s="67">
        <f t="shared" si="28"/>
        <v>0</v>
      </c>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67">
        <f t="shared" si="1"/>
        <v>0</v>
      </c>
      <c r="AA106" s="67">
        <f t="shared" si="2"/>
        <v>0</v>
      </c>
      <c r="AB106" s="67">
        <f t="shared" si="3"/>
        <v>0</v>
      </c>
      <c r="AC106" s="67">
        <f t="shared" si="4"/>
        <v>0</v>
      </c>
      <c r="AD106" s="67">
        <f t="shared" si="5"/>
        <v>0</v>
      </c>
      <c r="AE106" s="68">
        <f t="shared" si="6"/>
        <v>0</v>
      </c>
      <c r="AF106" s="67">
        <f t="shared" si="7"/>
        <v>0</v>
      </c>
      <c r="AG106" s="67">
        <f t="shared" si="8"/>
        <v>0</v>
      </c>
      <c r="AH106" s="67">
        <f t="shared" si="9"/>
        <v>0</v>
      </c>
      <c r="AI106" s="67">
        <f t="shared" si="10"/>
        <v>0</v>
      </c>
      <c r="AJ106" s="67">
        <f t="shared" si="11"/>
        <v>0</v>
      </c>
      <c r="AK106" s="68">
        <f t="shared" si="12"/>
        <v>0</v>
      </c>
      <c r="AL106" s="67">
        <f t="shared" si="13"/>
        <v>0</v>
      </c>
      <c r="AM106" s="67">
        <f t="shared" si="14"/>
        <v>0</v>
      </c>
      <c r="AN106" s="67">
        <f t="shared" si="15"/>
        <v>0</v>
      </c>
      <c r="AO106" s="67">
        <f t="shared" si="16"/>
        <v>0</v>
      </c>
      <c r="AP106" s="67">
        <f t="shared" si="17"/>
        <v>0</v>
      </c>
      <c r="AQ106" s="68">
        <f t="shared" si="18"/>
        <v>0</v>
      </c>
      <c r="AR106" s="67">
        <f t="shared" si="19"/>
        <v>0</v>
      </c>
      <c r="AS106" s="67">
        <f t="shared" si="20"/>
        <v>0</v>
      </c>
      <c r="AT106" s="67">
        <f t="shared" si="21"/>
        <v>0</v>
      </c>
      <c r="AU106" s="67">
        <f t="shared" si="22"/>
        <v>0</v>
      </c>
      <c r="AV106" s="67">
        <f t="shared" si="23"/>
        <v>0</v>
      </c>
      <c r="AW106" s="68">
        <f t="shared" si="24"/>
        <v>0</v>
      </c>
      <c r="AY106" s="67">
        <f t="shared" si="25"/>
        <v>0</v>
      </c>
      <c r="AZ106" s="67">
        <f t="shared" si="26"/>
        <v>0</v>
      </c>
      <c r="BA106" s="67">
        <f t="shared" si="27"/>
        <v>0</v>
      </c>
      <c r="BB106" s="67">
        <f t="shared" si="28"/>
        <v>0</v>
      </c>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67">
        <f t="shared" si="1"/>
        <v>0</v>
      </c>
      <c r="AA107" s="67">
        <f t="shared" si="2"/>
        <v>0</v>
      </c>
      <c r="AB107" s="67">
        <f t="shared" si="3"/>
        <v>0</v>
      </c>
      <c r="AC107" s="67">
        <f t="shared" si="4"/>
        <v>0</v>
      </c>
      <c r="AD107" s="67">
        <f t="shared" si="5"/>
        <v>0</v>
      </c>
      <c r="AE107" s="68">
        <f t="shared" si="6"/>
        <v>0</v>
      </c>
      <c r="AF107" s="67">
        <f t="shared" si="7"/>
        <v>0</v>
      </c>
      <c r="AG107" s="67">
        <f t="shared" si="8"/>
        <v>0</v>
      </c>
      <c r="AH107" s="67">
        <f t="shared" si="9"/>
        <v>0</v>
      </c>
      <c r="AI107" s="67">
        <f t="shared" si="10"/>
        <v>0</v>
      </c>
      <c r="AJ107" s="67">
        <f t="shared" si="11"/>
        <v>0</v>
      </c>
      <c r="AK107" s="68">
        <f t="shared" si="12"/>
        <v>0</v>
      </c>
      <c r="AL107" s="67">
        <f t="shared" si="13"/>
        <v>0</v>
      </c>
      <c r="AM107" s="67">
        <f t="shared" si="14"/>
        <v>0</v>
      </c>
      <c r="AN107" s="67">
        <f t="shared" si="15"/>
        <v>0</v>
      </c>
      <c r="AO107" s="67">
        <f t="shared" si="16"/>
        <v>0</v>
      </c>
      <c r="AP107" s="67">
        <f t="shared" si="17"/>
        <v>0</v>
      </c>
      <c r="AQ107" s="68">
        <f t="shared" si="18"/>
        <v>0</v>
      </c>
      <c r="AR107" s="67">
        <f t="shared" si="19"/>
        <v>0</v>
      </c>
      <c r="AS107" s="67">
        <f t="shared" si="20"/>
        <v>0</v>
      </c>
      <c r="AT107" s="67">
        <f t="shared" si="21"/>
        <v>0</v>
      </c>
      <c r="AU107" s="67">
        <f t="shared" si="22"/>
        <v>0</v>
      </c>
      <c r="AV107" s="67">
        <f t="shared" si="23"/>
        <v>0</v>
      </c>
      <c r="AW107" s="68">
        <f t="shared" si="24"/>
        <v>0</v>
      </c>
      <c r="AY107" s="67">
        <f t="shared" si="25"/>
        <v>0</v>
      </c>
      <c r="AZ107" s="67">
        <f t="shared" si="26"/>
        <v>0</v>
      </c>
      <c r="BA107" s="67">
        <f t="shared" si="27"/>
        <v>0</v>
      </c>
      <c r="BB107" s="67">
        <f t="shared" si="28"/>
        <v>0</v>
      </c>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67">
        <f t="shared" si="1"/>
        <v>0</v>
      </c>
      <c r="AA108" s="67">
        <f t="shared" si="2"/>
        <v>0</v>
      </c>
      <c r="AB108" s="67">
        <f t="shared" si="3"/>
        <v>0</v>
      </c>
      <c r="AC108" s="67">
        <f t="shared" si="4"/>
        <v>0</v>
      </c>
      <c r="AD108" s="67">
        <f t="shared" si="5"/>
        <v>0</v>
      </c>
      <c r="AE108" s="68">
        <f t="shared" si="6"/>
        <v>0</v>
      </c>
      <c r="AF108" s="67">
        <f t="shared" si="7"/>
        <v>0</v>
      </c>
      <c r="AG108" s="67">
        <f t="shared" si="8"/>
        <v>0</v>
      </c>
      <c r="AH108" s="67">
        <f t="shared" si="9"/>
        <v>0</v>
      </c>
      <c r="AI108" s="67">
        <f t="shared" si="10"/>
        <v>0</v>
      </c>
      <c r="AJ108" s="67">
        <f t="shared" si="11"/>
        <v>0</v>
      </c>
      <c r="AK108" s="68">
        <f t="shared" si="12"/>
        <v>0</v>
      </c>
      <c r="AL108" s="67">
        <f t="shared" si="13"/>
        <v>0</v>
      </c>
      <c r="AM108" s="67">
        <f t="shared" si="14"/>
        <v>0</v>
      </c>
      <c r="AN108" s="67">
        <f t="shared" si="15"/>
        <v>0</v>
      </c>
      <c r="AO108" s="67">
        <f t="shared" si="16"/>
        <v>0</v>
      </c>
      <c r="AP108" s="67">
        <f t="shared" si="17"/>
        <v>0</v>
      </c>
      <c r="AQ108" s="68">
        <f t="shared" si="18"/>
        <v>0</v>
      </c>
      <c r="AR108" s="67">
        <f t="shared" si="19"/>
        <v>0</v>
      </c>
      <c r="AS108" s="67">
        <f t="shared" si="20"/>
        <v>0</v>
      </c>
      <c r="AT108" s="67">
        <f t="shared" si="21"/>
        <v>0</v>
      </c>
      <c r="AU108" s="67">
        <f t="shared" si="22"/>
        <v>0</v>
      </c>
      <c r="AV108" s="67">
        <f t="shared" si="23"/>
        <v>0</v>
      </c>
      <c r="AW108" s="68">
        <f t="shared" si="24"/>
        <v>0</v>
      </c>
      <c r="AY108" s="67">
        <f t="shared" si="25"/>
        <v>0</v>
      </c>
      <c r="AZ108" s="67">
        <f t="shared" si="26"/>
        <v>0</v>
      </c>
      <c r="BA108" s="67">
        <f t="shared" si="27"/>
        <v>0</v>
      </c>
      <c r="BB108" s="67">
        <f t="shared" si="28"/>
        <v>0</v>
      </c>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67">
        <f t="shared" si="1"/>
        <v>0</v>
      </c>
      <c r="AA109" s="67">
        <f t="shared" si="2"/>
        <v>0</v>
      </c>
      <c r="AB109" s="67">
        <f t="shared" si="3"/>
        <v>0</v>
      </c>
      <c r="AC109" s="67">
        <f t="shared" si="4"/>
        <v>0</v>
      </c>
      <c r="AD109" s="67">
        <f t="shared" si="5"/>
        <v>0</v>
      </c>
      <c r="AE109" s="68">
        <f t="shared" si="6"/>
        <v>0</v>
      </c>
      <c r="AF109" s="67">
        <f t="shared" si="7"/>
        <v>0</v>
      </c>
      <c r="AG109" s="67">
        <f t="shared" si="8"/>
        <v>0</v>
      </c>
      <c r="AH109" s="67">
        <f t="shared" si="9"/>
        <v>0</v>
      </c>
      <c r="AI109" s="67">
        <f t="shared" si="10"/>
        <v>0</v>
      </c>
      <c r="AJ109" s="67">
        <f t="shared" si="11"/>
        <v>0</v>
      </c>
      <c r="AK109" s="68">
        <f t="shared" si="12"/>
        <v>0</v>
      </c>
      <c r="AL109" s="67">
        <f t="shared" si="13"/>
        <v>0</v>
      </c>
      <c r="AM109" s="67">
        <f t="shared" si="14"/>
        <v>0</v>
      </c>
      <c r="AN109" s="67">
        <f t="shared" si="15"/>
        <v>0</v>
      </c>
      <c r="AO109" s="67">
        <f t="shared" si="16"/>
        <v>0</v>
      </c>
      <c r="AP109" s="67">
        <f t="shared" si="17"/>
        <v>0</v>
      </c>
      <c r="AQ109" s="68">
        <f t="shared" si="18"/>
        <v>0</v>
      </c>
      <c r="AR109" s="67">
        <f t="shared" si="19"/>
        <v>0</v>
      </c>
      <c r="AS109" s="67">
        <f t="shared" si="20"/>
        <v>0</v>
      </c>
      <c r="AT109" s="67">
        <f t="shared" si="21"/>
        <v>0</v>
      </c>
      <c r="AU109" s="67">
        <f t="shared" si="22"/>
        <v>0</v>
      </c>
      <c r="AV109" s="67">
        <f t="shared" si="23"/>
        <v>0</v>
      </c>
      <c r="AW109" s="68">
        <f t="shared" si="24"/>
        <v>0</v>
      </c>
      <c r="AY109" s="67">
        <f t="shared" si="25"/>
        <v>0</v>
      </c>
      <c r="AZ109" s="67">
        <f t="shared" si="26"/>
        <v>0</v>
      </c>
      <c r="BA109" s="67">
        <f t="shared" si="27"/>
        <v>0</v>
      </c>
      <c r="BB109" s="67">
        <f t="shared" si="28"/>
        <v>0</v>
      </c>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67">
        <f t="shared" si="1"/>
        <v>0</v>
      </c>
      <c r="AA110" s="67">
        <f t="shared" si="2"/>
        <v>0</v>
      </c>
      <c r="AB110" s="67">
        <f t="shared" si="3"/>
        <v>0</v>
      </c>
      <c r="AC110" s="67">
        <f t="shared" si="4"/>
        <v>0</v>
      </c>
      <c r="AD110" s="67">
        <f t="shared" si="5"/>
        <v>0</v>
      </c>
      <c r="AE110" s="68">
        <f t="shared" si="6"/>
        <v>0</v>
      </c>
      <c r="AF110" s="67">
        <f t="shared" si="7"/>
        <v>0</v>
      </c>
      <c r="AG110" s="67">
        <f t="shared" si="8"/>
        <v>0</v>
      </c>
      <c r="AH110" s="67">
        <f t="shared" si="9"/>
        <v>0</v>
      </c>
      <c r="AI110" s="67">
        <f t="shared" si="10"/>
        <v>0</v>
      </c>
      <c r="AJ110" s="67">
        <f t="shared" si="11"/>
        <v>0</v>
      </c>
      <c r="AK110" s="68">
        <f t="shared" si="12"/>
        <v>0</v>
      </c>
      <c r="AL110" s="67">
        <f t="shared" si="13"/>
        <v>0</v>
      </c>
      <c r="AM110" s="67">
        <f t="shared" si="14"/>
        <v>0</v>
      </c>
      <c r="AN110" s="67">
        <f t="shared" si="15"/>
        <v>0</v>
      </c>
      <c r="AO110" s="67">
        <f t="shared" si="16"/>
        <v>0</v>
      </c>
      <c r="AP110" s="67">
        <f t="shared" si="17"/>
        <v>0</v>
      </c>
      <c r="AQ110" s="68">
        <f t="shared" si="18"/>
        <v>0</v>
      </c>
      <c r="AR110" s="67">
        <f t="shared" si="19"/>
        <v>0</v>
      </c>
      <c r="AS110" s="67">
        <f t="shared" si="20"/>
        <v>0</v>
      </c>
      <c r="AT110" s="67">
        <f t="shared" si="21"/>
        <v>0</v>
      </c>
      <c r="AU110" s="67">
        <f t="shared" si="22"/>
        <v>0</v>
      </c>
      <c r="AV110" s="67">
        <f t="shared" si="23"/>
        <v>0</v>
      </c>
      <c r="AW110" s="68">
        <f t="shared" si="24"/>
        <v>0</v>
      </c>
      <c r="AY110" s="67">
        <f t="shared" si="25"/>
        <v>0</v>
      </c>
      <c r="AZ110" s="67">
        <f t="shared" si="26"/>
        <v>0</v>
      </c>
      <c r="BA110" s="67">
        <f t="shared" si="27"/>
        <v>0</v>
      </c>
      <c r="BB110" s="67">
        <f t="shared" si="28"/>
        <v>0</v>
      </c>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67">
        <f t="shared" si="1"/>
        <v>0</v>
      </c>
      <c r="AA111" s="67">
        <f t="shared" si="2"/>
        <v>0</v>
      </c>
      <c r="AB111" s="67">
        <f t="shared" si="3"/>
        <v>0</v>
      </c>
      <c r="AC111" s="67">
        <f t="shared" si="4"/>
        <v>0</v>
      </c>
      <c r="AD111" s="67">
        <f t="shared" si="5"/>
        <v>0</v>
      </c>
      <c r="AE111" s="68">
        <f t="shared" si="6"/>
        <v>0</v>
      </c>
      <c r="AF111" s="67">
        <f t="shared" si="7"/>
        <v>0</v>
      </c>
      <c r="AG111" s="67">
        <f t="shared" si="8"/>
        <v>0</v>
      </c>
      <c r="AH111" s="67">
        <f t="shared" si="9"/>
        <v>0</v>
      </c>
      <c r="AI111" s="67">
        <f t="shared" si="10"/>
        <v>0</v>
      </c>
      <c r="AJ111" s="67">
        <f t="shared" si="11"/>
        <v>0</v>
      </c>
      <c r="AK111" s="68">
        <f t="shared" si="12"/>
        <v>0</v>
      </c>
      <c r="AL111" s="67">
        <f t="shared" si="13"/>
        <v>0</v>
      </c>
      <c r="AM111" s="67">
        <f t="shared" si="14"/>
        <v>0</v>
      </c>
      <c r="AN111" s="67">
        <f t="shared" si="15"/>
        <v>0</v>
      </c>
      <c r="AO111" s="67">
        <f t="shared" si="16"/>
        <v>0</v>
      </c>
      <c r="AP111" s="67">
        <f t="shared" si="17"/>
        <v>0</v>
      </c>
      <c r="AQ111" s="68">
        <f t="shared" si="18"/>
        <v>0</v>
      </c>
      <c r="AR111" s="67">
        <f t="shared" si="19"/>
        <v>0</v>
      </c>
      <c r="AS111" s="67">
        <f t="shared" si="20"/>
        <v>0</v>
      </c>
      <c r="AT111" s="67">
        <f t="shared" si="21"/>
        <v>0</v>
      </c>
      <c r="AU111" s="67">
        <f t="shared" si="22"/>
        <v>0</v>
      </c>
      <c r="AV111" s="67">
        <f t="shared" si="23"/>
        <v>0</v>
      </c>
      <c r="AW111" s="68">
        <f t="shared" si="24"/>
        <v>0</v>
      </c>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67">
        <f t="shared" si="1"/>
        <v>0</v>
      </c>
      <c r="AA112" s="67">
        <f t="shared" si="2"/>
        <v>0</v>
      </c>
      <c r="AB112" s="67">
        <f t="shared" si="3"/>
        <v>0</v>
      </c>
      <c r="AC112" s="67">
        <f t="shared" si="4"/>
        <v>0</v>
      </c>
      <c r="AD112" s="67">
        <f t="shared" si="5"/>
        <v>0</v>
      </c>
      <c r="AE112" s="68">
        <f t="shared" si="6"/>
        <v>0</v>
      </c>
      <c r="AF112" s="67">
        <f t="shared" si="7"/>
        <v>0</v>
      </c>
      <c r="AG112" s="67">
        <f t="shared" si="8"/>
        <v>0</v>
      </c>
      <c r="AH112" s="67">
        <f t="shared" si="9"/>
        <v>0</v>
      </c>
      <c r="AI112" s="67">
        <f t="shared" si="10"/>
        <v>0</v>
      </c>
      <c r="AJ112" s="67">
        <f t="shared" si="11"/>
        <v>0</v>
      </c>
      <c r="AK112" s="68">
        <f t="shared" si="12"/>
        <v>0</v>
      </c>
      <c r="AL112" s="67">
        <f t="shared" si="13"/>
        <v>0</v>
      </c>
      <c r="AM112" s="67">
        <f t="shared" si="14"/>
        <v>0</v>
      </c>
      <c r="AN112" s="67">
        <f t="shared" si="15"/>
        <v>0</v>
      </c>
      <c r="AO112" s="67">
        <f t="shared" si="16"/>
        <v>0</v>
      </c>
      <c r="AP112" s="67">
        <f t="shared" si="17"/>
        <v>0</v>
      </c>
      <c r="AQ112" s="68">
        <f t="shared" si="18"/>
        <v>0</v>
      </c>
      <c r="AR112" s="67">
        <f t="shared" si="19"/>
        <v>0</v>
      </c>
      <c r="AS112" s="67">
        <f t="shared" si="20"/>
        <v>0</v>
      </c>
      <c r="AT112" s="67">
        <f t="shared" si="21"/>
        <v>0</v>
      </c>
      <c r="AU112" s="67">
        <f t="shared" si="22"/>
        <v>0</v>
      </c>
      <c r="AV112" s="67">
        <f t="shared" si="23"/>
        <v>0</v>
      </c>
      <c r="AW112" s="68">
        <f t="shared" si="24"/>
        <v>0</v>
      </c>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67">
        <f t="shared" si="1"/>
        <v>0</v>
      </c>
      <c r="AA113" s="67">
        <f t="shared" si="2"/>
        <v>0</v>
      </c>
      <c r="AB113" s="67">
        <f t="shared" si="3"/>
        <v>0</v>
      </c>
      <c r="AC113" s="67">
        <f t="shared" si="4"/>
        <v>0</v>
      </c>
      <c r="AD113" s="67">
        <f t="shared" si="5"/>
        <v>0</v>
      </c>
      <c r="AE113" s="68">
        <f t="shared" si="6"/>
        <v>0</v>
      </c>
      <c r="AF113" s="67">
        <f t="shared" si="7"/>
        <v>0</v>
      </c>
      <c r="AG113" s="67">
        <f t="shared" si="8"/>
        <v>0</v>
      </c>
      <c r="AH113" s="67">
        <f t="shared" si="9"/>
        <v>0</v>
      </c>
      <c r="AI113" s="67">
        <f t="shared" si="10"/>
        <v>0</v>
      </c>
      <c r="AJ113" s="67">
        <f t="shared" si="11"/>
        <v>0</v>
      </c>
      <c r="AK113" s="68">
        <f t="shared" si="12"/>
        <v>0</v>
      </c>
      <c r="AL113" s="67">
        <f t="shared" si="13"/>
        <v>0</v>
      </c>
      <c r="AM113" s="67">
        <f t="shared" si="14"/>
        <v>0</v>
      </c>
      <c r="AN113" s="67">
        <f t="shared" si="15"/>
        <v>0</v>
      </c>
      <c r="AO113" s="67">
        <f t="shared" si="16"/>
        <v>0</v>
      </c>
      <c r="AP113" s="67">
        <f t="shared" si="17"/>
        <v>0</v>
      </c>
      <c r="AQ113" s="68">
        <f t="shared" si="18"/>
        <v>0</v>
      </c>
      <c r="AR113" s="67">
        <f t="shared" si="19"/>
        <v>0</v>
      </c>
      <c r="AS113" s="67">
        <f t="shared" si="20"/>
        <v>0</v>
      </c>
      <c r="AT113" s="67">
        <f t="shared" si="21"/>
        <v>0</v>
      </c>
      <c r="AU113" s="67">
        <f t="shared" si="22"/>
        <v>0</v>
      </c>
      <c r="AV113" s="67">
        <f t="shared" si="23"/>
        <v>0</v>
      </c>
      <c r="AW113" s="68">
        <f t="shared" si="24"/>
        <v>0</v>
      </c>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67">
        <f t="shared" si="1"/>
        <v>0</v>
      </c>
      <c r="AA114" s="67">
        <f t="shared" si="2"/>
        <v>0</v>
      </c>
      <c r="AB114" s="67">
        <f t="shared" si="3"/>
        <v>0</v>
      </c>
      <c r="AC114" s="67">
        <f t="shared" si="4"/>
        <v>0</v>
      </c>
      <c r="AD114" s="67">
        <f t="shared" si="5"/>
        <v>0</v>
      </c>
      <c r="AE114" s="68">
        <f t="shared" si="6"/>
        <v>0</v>
      </c>
      <c r="AF114" s="67">
        <f t="shared" si="7"/>
        <v>0</v>
      </c>
      <c r="AG114" s="67">
        <f t="shared" si="8"/>
        <v>0</v>
      </c>
      <c r="AH114" s="67">
        <f t="shared" si="9"/>
        <v>0</v>
      </c>
      <c r="AI114" s="67">
        <f t="shared" si="10"/>
        <v>0</v>
      </c>
      <c r="AJ114" s="67">
        <f t="shared" si="11"/>
        <v>0</v>
      </c>
      <c r="AK114" s="68">
        <f t="shared" si="12"/>
        <v>0</v>
      </c>
      <c r="AL114" s="67">
        <f t="shared" si="13"/>
        <v>0</v>
      </c>
      <c r="AM114" s="67">
        <f t="shared" si="14"/>
        <v>0</v>
      </c>
      <c r="AN114" s="67">
        <f t="shared" si="15"/>
        <v>0</v>
      </c>
      <c r="AO114" s="67">
        <f t="shared" si="16"/>
        <v>0</v>
      </c>
      <c r="AP114" s="67">
        <f t="shared" si="17"/>
        <v>0</v>
      </c>
      <c r="AQ114" s="68">
        <f t="shared" si="18"/>
        <v>0</v>
      </c>
      <c r="AR114" s="67">
        <f t="shared" si="19"/>
        <v>0</v>
      </c>
      <c r="AS114" s="67">
        <f t="shared" si="20"/>
        <v>0</v>
      </c>
      <c r="AT114" s="67">
        <f t="shared" si="21"/>
        <v>0</v>
      </c>
      <c r="AU114" s="67">
        <f t="shared" si="22"/>
        <v>0</v>
      </c>
      <c r="AV114" s="67">
        <f t="shared" si="23"/>
        <v>0</v>
      </c>
      <c r="AW114" s="68">
        <f t="shared" si="24"/>
        <v>0</v>
      </c>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67">
        <f t="shared" si="1"/>
        <v>0</v>
      </c>
      <c r="AA115" s="67">
        <f t="shared" si="2"/>
        <v>0</v>
      </c>
      <c r="AB115" s="67">
        <f t="shared" si="3"/>
        <v>0</v>
      </c>
      <c r="AC115" s="67">
        <f t="shared" si="4"/>
        <v>0</v>
      </c>
      <c r="AD115" s="67">
        <f t="shared" si="5"/>
        <v>0</v>
      </c>
      <c r="AE115" s="68">
        <f t="shared" si="6"/>
        <v>0</v>
      </c>
      <c r="AF115" s="67">
        <f t="shared" si="7"/>
        <v>0</v>
      </c>
      <c r="AG115" s="67">
        <f t="shared" si="8"/>
        <v>0</v>
      </c>
      <c r="AH115" s="67">
        <f t="shared" si="9"/>
        <v>0</v>
      </c>
      <c r="AI115" s="67">
        <f t="shared" si="10"/>
        <v>0</v>
      </c>
      <c r="AJ115" s="67">
        <f t="shared" si="11"/>
        <v>0</v>
      </c>
      <c r="AK115" s="68">
        <f t="shared" si="12"/>
        <v>0</v>
      </c>
      <c r="AL115" s="67">
        <f t="shared" si="13"/>
        <v>0</v>
      </c>
      <c r="AM115" s="67">
        <f t="shared" si="14"/>
        <v>0</v>
      </c>
      <c r="AN115" s="67">
        <f t="shared" si="15"/>
        <v>0</v>
      </c>
      <c r="AO115" s="67">
        <f t="shared" si="16"/>
        <v>0</v>
      </c>
      <c r="AP115" s="67">
        <f t="shared" si="17"/>
        <v>0</v>
      </c>
      <c r="AQ115" s="68">
        <f t="shared" si="18"/>
        <v>0</v>
      </c>
      <c r="AR115" s="67">
        <f t="shared" si="19"/>
        <v>0</v>
      </c>
      <c r="AS115" s="67">
        <f t="shared" si="20"/>
        <v>0</v>
      </c>
      <c r="AT115" s="67">
        <f t="shared" si="21"/>
        <v>0</v>
      </c>
      <c r="AU115" s="67">
        <f t="shared" si="22"/>
        <v>0</v>
      </c>
      <c r="AV115" s="67">
        <f t="shared" si="23"/>
        <v>0</v>
      </c>
      <c r="AW115" s="68">
        <f t="shared" si="24"/>
        <v>0</v>
      </c>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67">
        <f t="shared" si="1"/>
        <v>0</v>
      </c>
      <c r="AA116" s="67">
        <f t="shared" si="2"/>
        <v>0</v>
      </c>
      <c r="AB116" s="67">
        <f t="shared" si="3"/>
        <v>0</v>
      </c>
      <c r="AC116" s="67">
        <f t="shared" si="4"/>
        <v>0</v>
      </c>
      <c r="AD116" s="67">
        <f t="shared" si="5"/>
        <v>0</v>
      </c>
      <c r="AE116" s="68">
        <f t="shared" si="6"/>
        <v>0</v>
      </c>
      <c r="AF116" s="67">
        <f t="shared" si="7"/>
        <v>0</v>
      </c>
      <c r="AG116" s="67">
        <f t="shared" si="8"/>
        <v>0</v>
      </c>
      <c r="AH116" s="67">
        <f t="shared" si="9"/>
        <v>0</v>
      </c>
      <c r="AI116" s="67">
        <f t="shared" si="10"/>
        <v>0</v>
      </c>
      <c r="AJ116" s="67">
        <f t="shared" si="11"/>
        <v>0</v>
      </c>
      <c r="AK116" s="68">
        <f t="shared" si="12"/>
        <v>0</v>
      </c>
      <c r="AL116" s="67">
        <f t="shared" si="13"/>
        <v>0</v>
      </c>
      <c r="AM116" s="67">
        <f t="shared" si="14"/>
        <v>0</v>
      </c>
      <c r="AN116" s="67">
        <f t="shared" si="15"/>
        <v>0</v>
      </c>
      <c r="AO116" s="67">
        <f t="shared" si="16"/>
        <v>0</v>
      </c>
      <c r="AP116" s="67">
        <f t="shared" si="17"/>
        <v>0</v>
      </c>
      <c r="AQ116" s="68">
        <f t="shared" si="18"/>
        <v>0</v>
      </c>
      <c r="AR116" s="67">
        <f t="shared" si="19"/>
        <v>0</v>
      </c>
      <c r="AS116" s="67">
        <f t="shared" si="20"/>
        <v>0</v>
      </c>
      <c r="AT116" s="67">
        <f t="shared" si="21"/>
        <v>0</v>
      </c>
      <c r="AU116" s="67">
        <f t="shared" si="22"/>
        <v>0</v>
      </c>
      <c r="AV116" s="67">
        <f t="shared" si="23"/>
        <v>0</v>
      </c>
      <c r="AW116" s="68">
        <f t="shared" si="24"/>
        <v>0</v>
      </c>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67">
        <f t="shared" si="1"/>
        <v>0</v>
      </c>
      <c r="AA117" s="67">
        <f t="shared" si="2"/>
        <v>0</v>
      </c>
      <c r="AB117" s="67">
        <f t="shared" si="3"/>
        <v>0</v>
      </c>
      <c r="AC117" s="67">
        <f t="shared" si="4"/>
        <v>0</v>
      </c>
      <c r="AD117" s="67">
        <f t="shared" si="5"/>
        <v>0</v>
      </c>
      <c r="AE117" s="68">
        <f t="shared" si="6"/>
        <v>0</v>
      </c>
      <c r="AF117" s="67">
        <f t="shared" si="7"/>
        <v>0</v>
      </c>
      <c r="AG117" s="67">
        <f t="shared" si="8"/>
        <v>0</v>
      </c>
      <c r="AH117" s="67">
        <f t="shared" si="9"/>
        <v>0</v>
      </c>
      <c r="AI117" s="67">
        <f t="shared" si="10"/>
        <v>0</v>
      </c>
      <c r="AJ117" s="67">
        <f t="shared" si="11"/>
        <v>0</v>
      </c>
      <c r="AK117" s="68">
        <f t="shared" si="12"/>
        <v>0</v>
      </c>
      <c r="AL117" s="67">
        <f t="shared" si="13"/>
        <v>0</v>
      </c>
      <c r="AM117" s="67">
        <f t="shared" si="14"/>
        <v>0</v>
      </c>
      <c r="AN117" s="67">
        <f t="shared" si="15"/>
        <v>0</v>
      </c>
      <c r="AO117" s="67">
        <f t="shared" si="16"/>
        <v>0</v>
      </c>
      <c r="AP117" s="67">
        <f t="shared" si="17"/>
        <v>0</v>
      </c>
      <c r="AQ117" s="68">
        <f t="shared" si="18"/>
        <v>0</v>
      </c>
      <c r="AR117" s="67">
        <f t="shared" si="19"/>
        <v>0</v>
      </c>
      <c r="AS117" s="67">
        <f t="shared" si="20"/>
        <v>0</v>
      </c>
      <c r="AT117" s="67">
        <f t="shared" si="21"/>
        <v>0</v>
      </c>
      <c r="AU117" s="67">
        <f t="shared" si="22"/>
        <v>0</v>
      </c>
      <c r="AV117" s="67">
        <f t="shared" si="23"/>
        <v>0</v>
      </c>
      <c r="AW117" s="68">
        <f t="shared" si="24"/>
        <v>0</v>
      </c>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67">
        <f t="shared" si="1"/>
        <v>0</v>
      </c>
      <c r="AA118" s="67">
        <f t="shared" si="2"/>
        <v>0</v>
      </c>
      <c r="AB118" s="67">
        <f t="shared" si="3"/>
        <v>0</v>
      </c>
      <c r="AC118" s="67">
        <f t="shared" si="4"/>
        <v>0</v>
      </c>
      <c r="AD118" s="67">
        <f t="shared" si="5"/>
        <v>0</v>
      </c>
      <c r="AE118" s="68">
        <f t="shared" si="6"/>
        <v>0</v>
      </c>
      <c r="AF118" s="67">
        <f t="shared" si="7"/>
        <v>0</v>
      </c>
      <c r="AG118" s="67">
        <f t="shared" si="8"/>
        <v>0</v>
      </c>
      <c r="AH118" s="67">
        <f t="shared" si="9"/>
        <v>0</v>
      </c>
      <c r="AI118" s="67">
        <f t="shared" si="10"/>
        <v>0</v>
      </c>
      <c r="AJ118" s="67">
        <f t="shared" si="11"/>
        <v>0</v>
      </c>
      <c r="AK118" s="68">
        <f t="shared" si="12"/>
        <v>0</v>
      </c>
      <c r="AL118" s="67">
        <f t="shared" si="13"/>
        <v>0</v>
      </c>
      <c r="AM118" s="67">
        <f t="shared" si="14"/>
        <v>0</v>
      </c>
      <c r="AN118" s="67">
        <f t="shared" si="15"/>
        <v>0</v>
      </c>
      <c r="AO118" s="67">
        <f t="shared" si="16"/>
        <v>0</v>
      </c>
      <c r="AP118" s="67">
        <f t="shared" si="17"/>
        <v>0</v>
      </c>
      <c r="AQ118" s="68">
        <f t="shared" si="18"/>
        <v>0</v>
      </c>
      <c r="AR118" s="67">
        <f t="shared" si="19"/>
        <v>0</v>
      </c>
      <c r="AS118" s="67">
        <f t="shared" si="20"/>
        <v>0</v>
      </c>
      <c r="AT118" s="67">
        <f t="shared" si="21"/>
        <v>0</v>
      </c>
      <c r="AU118" s="67">
        <f t="shared" si="22"/>
        <v>0</v>
      </c>
      <c r="AV118" s="67">
        <f t="shared" si="23"/>
        <v>0</v>
      </c>
      <c r="AW118" s="68">
        <f t="shared" si="24"/>
        <v>0</v>
      </c>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67">
        <f t="shared" si="1"/>
        <v>0</v>
      </c>
      <c r="AA119" s="67">
        <f t="shared" si="2"/>
        <v>0</v>
      </c>
      <c r="AB119" s="67">
        <f t="shared" si="3"/>
        <v>0</v>
      </c>
      <c r="AC119" s="67">
        <f t="shared" si="4"/>
        <v>0</v>
      </c>
      <c r="AD119" s="67">
        <f t="shared" si="5"/>
        <v>0</v>
      </c>
      <c r="AE119" s="68">
        <f t="shared" si="6"/>
        <v>0</v>
      </c>
      <c r="AF119" s="67">
        <f t="shared" si="7"/>
        <v>0</v>
      </c>
      <c r="AG119" s="67">
        <f t="shared" si="8"/>
        <v>0</v>
      </c>
      <c r="AH119" s="67">
        <f t="shared" si="9"/>
        <v>0</v>
      </c>
      <c r="AI119" s="67">
        <f t="shared" si="10"/>
        <v>0</v>
      </c>
      <c r="AJ119" s="67">
        <f t="shared" si="11"/>
        <v>0</v>
      </c>
      <c r="AK119" s="68">
        <f t="shared" si="12"/>
        <v>0</v>
      </c>
      <c r="AL119" s="67">
        <f t="shared" si="13"/>
        <v>0</v>
      </c>
      <c r="AM119" s="67">
        <f t="shared" si="14"/>
        <v>0</v>
      </c>
      <c r="AN119" s="67">
        <f t="shared" si="15"/>
        <v>0</v>
      </c>
      <c r="AO119" s="67">
        <f t="shared" si="16"/>
        <v>0</v>
      </c>
      <c r="AP119" s="67">
        <f t="shared" si="17"/>
        <v>0</v>
      </c>
      <c r="AQ119" s="68">
        <f t="shared" si="18"/>
        <v>0</v>
      </c>
      <c r="AR119" s="67">
        <f t="shared" si="19"/>
        <v>0</v>
      </c>
      <c r="AS119" s="67">
        <f t="shared" si="20"/>
        <v>0</v>
      </c>
      <c r="AT119" s="67">
        <f t="shared" si="21"/>
        <v>0</v>
      </c>
      <c r="AU119" s="67">
        <f t="shared" si="22"/>
        <v>0</v>
      </c>
      <c r="AV119" s="67">
        <f t="shared" si="23"/>
        <v>0</v>
      </c>
      <c r="AW119" s="68">
        <f t="shared" si="24"/>
        <v>0</v>
      </c>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sheetData>
  <mergeCells count="9">
    <mergeCell ref="BA1:BA2"/>
    <mergeCell ref="BB1:BB2"/>
    <mergeCell ref="F1:Y1"/>
    <mergeCell ref="Z1:AE1"/>
    <mergeCell ref="AF1:AK1"/>
    <mergeCell ref="AL1:AQ1"/>
    <mergeCell ref="AR1:AW1"/>
    <mergeCell ref="AY1:AY2"/>
    <mergeCell ref="AZ1:AZ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hidden="1" min="1" max="1" width="17.0"/>
    <col customWidth="1" min="2" max="2" width="40.75"/>
    <col customWidth="1" min="3" max="3" width="10.63"/>
    <col customWidth="1" min="4" max="4" width="9.38"/>
    <col customWidth="1" hidden="1" min="5" max="5" width="5.38"/>
    <col customWidth="1" hidden="1" min="6" max="105" width="3.88"/>
    <col hidden="1" min="106" max="106" width="12.63"/>
    <col customWidth="1" hidden="1" min="107" max="206" width="3.88"/>
    <col hidden="1" min="207" max="207" width="12.63"/>
    <col customWidth="1" hidden="1" min="208" max="250" width="5.5"/>
    <col customWidth="1" min="251" max="252" width="2.5"/>
    <col customWidth="1" min="253" max="262" width="4.5"/>
  </cols>
  <sheetData>
    <row r="1">
      <c r="A1" s="57" t="s">
        <v>21</v>
      </c>
      <c r="B1" s="57" t="s">
        <v>14</v>
      </c>
      <c r="C1" s="78" t="s">
        <v>15</v>
      </c>
      <c r="D1" s="57" t="s">
        <v>2</v>
      </c>
      <c r="E1" s="57" t="s">
        <v>22</v>
      </c>
      <c r="F1" s="79"/>
      <c r="G1" s="79"/>
      <c r="H1" s="79"/>
      <c r="I1" s="79"/>
      <c r="J1" s="79"/>
      <c r="K1" s="79"/>
      <c r="L1" s="79"/>
      <c r="M1" s="79"/>
      <c r="N1" s="79"/>
      <c r="O1" s="79"/>
      <c r="P1" s="79"/>
      <c r="Q1" s="79"/>
      <c r="R1" s="79"/>
      <c r="S1" s="79"/>
      <c r="T1" s="79"/>
      <c r="U1" s="79"/>
      <c r="V1" s="79"/>
      <c r="W1" s="79"/>
      <c r="X1" s="79"/>
      <c r="Y1" s="79"/>
      <c r="Z1" s="79"/>
      <c r="AA1" s="79"/>
      <c r="AB1" s="79"/>
      <c r="AC1" s="79"/>
      <c r="AD1" s="79"/>
      <c r="AE1" s="79"/>
      <c r="AF1" s="79"/>
      <c r="AG1" s="79"/>
      <c r="AH1" s="79"/>
      <c r="AI1" s="79"/>
      <c r="AJ1" s="79"/>
      <c r="AK1" s="79"/>
      <c r="AL1" s="79"/>
      <c r="AM1" s="79"/>
      <c r="AN1" s="79"/>
      <c r="AO1" s="79"/>
      <c r="AP1" s="79"/>
      <c r="AQ1" s="79"/>
      <c r="AR1" s="79"/>
      <c r="AS1" s="79"/>
      <c r="AT1" s="79"/>
      <c r="AU1" s="79"/>
      <c r="AV1" s="79"/>
      <c r="AW1" s="79"/>
      <c r="AX1" s="79"/>
      <c r="AY1" s="79"/>
      <c r="AZ1" s="79"/>
      <c r="BA1" s="79"/>
      <c r="BB1" s="79"/>
      <c r="BC1" s="79"/>
      <c r="BD1" s="79"/>
      <c r="BE1" s="79"/>
      <c r="BF1" s="79"/>
      <c r="BG1" s="79"/>
      <c r="BH1" s="79"/>
      <c r="BI1" s="79"/>
      <c r="BJ1" s="79"/>
      <c r="BK1" s="79"/>
      <c r="BL1" s="79"/>
      <c r="BM1" s="79"/>
      <c r="BN1" s="79"/>
      <c r="BO1" s="79"/>
      <c r="BP1" s="79"/>
      <c r="BQ1" s="79"/>
      <c r="BR1" s="79"/>
      <c r="BS1" s="79"/>
      <c r="BT1" s="79"/>
      <c r="BU1" s="79"/>
      <c r="BV1" s="79"/>
      <c r="BW1" s="79"/>
      <c r="BX1" s="79"/>
      <c r="BY1" s="79"/>
      <c r="BZ1" s="79"/>
      <c r="CA1" s="79"/>
      <c r="CB1" s="79"/>
      <c r="CC1" s="79"/>
      <c r="CD1" s="79"/>
      <c r="CE1" s="79"/>
      <c r="CF1" s="79"/>
      <c r="CG1" s="79"/>
      <c r="CH1" s="79"/>
      <c r="CI1" s="79"/>
      <c r="CJ1" s="79"/>
      <c r="CK1" s="79"/>
      <c r="CL1" s="79"/>
      <c r="CM1" s="79"/>
      <c r="CN1" s="79"/>
      <c r="CO1" s="79"/>
      <c r="CP1" s="79"/>
      <c r="CQ1" s="79"/>
      <c r="CR1" s="79"/>
      <c r="CS1" s="79"/>
      <c r="CT1" s="79"/>
      <c r="CU1" s="79"/>
      <c r="CV1" s="79"/>
      <c r="CW1" s="79"/>
      <c r="CX1" s="79"/>
      <c r="CY1" s="79"/>
      <c r="CZ1" s="79"/>
      <c r="DA1" s="79"/>
      <c r="DB1" s="80" t="s">
        <v>23</v>
      </c>
      <c r="DC1" s="81"/>
      <c r="DD1" s="81"/>
      <c r="DE1" s="81"/>
      <c r="DF1" s="81"/>
      <c r="DG1" s="81"/>
      <c r="DH1" s="81"/>
      <c r="DI1" s="81"/>
      <c r="DJ1" s="81"/>
      <c r="DK1" s="81"/>
      <c r="DL1" s="81"/>
      <c r="DM1" s="81"/>
      <c r="DN1" s="81"/>
      <c r="DO1" s="81"/>
      <c r="DP1" s="81"/>
      <c r="DQ1" s="81"/>
      <c r="DR1" s="81"/>
      <c r="DS1" s="81"/>
      <c r="DT1" s="81"/>
      <c r="DU1" s="81"/>
      <c r="DV1" s="81"/>
      <c r="DW1" s="81"/>
      <c r="DX1" s="81"/>
      <c r="DY1" s="81"/>
      <c r="DZ1" s="81"/>
      <c r="EA1" s="81"/>
      <c r="EB1" s="81"/>
      <c r="EC1" s="81"/>
      <c r="ED1" s="81"/>
      <c r="EE1" s="81"/>
      <c r="EF1" s="81"/>
      <c r="EG1" s="81"/>
      <c r="EH1" s="81"/>
      <c r="EI1" s="81"/>
      <c r="EJ1" s="81"/>
      <c r="EK1" s="81"/>
      <c r="EL1" s="81"/>
      <c r="EM1" s="81"/>
      <c r="EN1" s="81"/>
      <c r="EO1" s="81"/>
      <c r="EP1" s="81"/>
      <c r="EQ1" s="81"/>
      <c r="ER1" s="81"/>
      <c r="ES1" s="81"/>
      <c r="ET1" s="81"/>
      <c r="EU1" s="81"/>
      <c r="EV1" s="81"/>
      <c r="EW1" s="81"/>
      <c r="EX1" s="81"/>
      <c r="EY1" s="81"/>
      <c r="EZ1" s="81"/>
      <c r="FA1" s="81"/>
      <c r="FB1" s="81"/>
      <c r="FC1" s="81"/>
      <c r="FD1" s="81"/>
      <c r="FE1" s="81"/>
      <c r="FF1" s="81"/>
      <c r="FG1" s="81"/>
      <c r="FH1" s="81"/>
      <c r="FI1" s="81"/>
      <c r="FJ1" s="81"/>
      <c r="FK1" s="81"/>
      <c r="FL1" s="81"/>
      <c r="FM1" s="81"/>
      <c r="FN1" s="81"/>
      <c r="FO1" s="81"/>
      <c r="FP1" s="81"/>
      <c r="FQ1" s="81"/>
      <c r="FR1" s="81"/>
      <c r="FS1" s="81"/>
      <c r="FT1" s="81"/>
      <c r="FU1" s="81"/>
      <c r="FV1" s="81"/>
      <c r="FW1" s="81"/>
      <c r="FX1" s="81"/>
      <c r="FY1" s="81"/>
      <c r="FZ1" s="81"/>
      <c r="GA1" s="81"/>
      <c r="GB1" s="81"/>
      <c r="GC1" s="81"/>
      <c r="GD1" s="81"/>
      <c r="GE1" s="81"/>
      <c r="GF1" s="81"/>
      <c r="GG1" s="81"/>
      <c r="GH1" s="81"/>
      <c r="GI1" s="81"/>
      <c r="GJ1" s="81"/>
      <c r="GK1" s="81"/>
      <c r="GL1" s="81"/>
      <c r="GM1" s="81"/>
      <c r="GN1" s="81"/>
      <c r="GO1" s="81"/>
      <c r="GP1" s="81"/>
      <c r="GQ1" s="81"/>
      <c r="GR1" s="81"/>
      <c r="GS1" s="81"/>
      <c r="GT1" s="81"/>
      <c r="GU1" s="81"/>
      <c r="GV1" s="81"/>
      <c r="GW1" s="81"/>
      <c r="GX1" s="81"/>
      <c r="GY1" s="82"/>
      <c r="GZ1" s="83" t="s">
        <v>24</v>
      </c>
      <c r="HA1" s="84"/>
      <c r="HB1" s="85"/>
      <c r="HC1" s="81"/>
      <c r="HD1" s="83" t="s">
        <v>25</v>
      </c>
      <c r="HE1" s="84"/>
      <c r="HF1" s="85"/>
      <c r="HG1" s="81"/>
      <c r="HH1" s="83" t="s">
        <v>26</v>
      </c>
      <c r="HI1" s="84"/>
      <c r="HJ1" s="85"/>
      <c r="HK1" s="81"/>
      <c r="HL1" s="83" t="s">
        <v>27</v>
      </c>
      <c r="HM1" s="84"/>
      <c r="HN1" s="85"/>
      <c r="HO1" s="81"/>
      <c r="HP1" s="83" t="s">
        <v>28</v>
      </c>
      <c r="HQ1" s="84"/>
      <c r="HR1" s="85"/>
      <c r="HS1" s="81"/>
      <c r="HT1" s="83" t="s">
        <v>29</v>
      </c>
      <c r="HU1" s="84"/>
      <c r="HV1" s="85"/>
      <c r="HW1" s="81"/>
      <c r="HX1" s="83" t="s">
        <v>30</v>
      </c>
      <c r="HY1" s="84"/>
      <c r="HZ1" s="85"/>
      <c r="IA1" s="81"/>
      <c r="IB1" s="83" t="s">
        <v>31</v>
      </c>
      <c r="IC1" s="84"/>
      <c r="ID1" s="85"/>
      <c r="IE1" s="81"/>
      <c r="IF1" s="83" t="s">
        <v>32</v>
      </c>
      <c r="IG1" s="84"/>
      <c r="IH1" s="85"/>
      <c r="II1" s="81"/>
      <c r="IJ1" s="83" t="s">
        <v>33</v>
      </c>
      <c r="IK1" s="84"/>
      <c r="IL1" s="85"/>
      <c r="IM1" s="81"/>
      <c r="IN1" s="83" t="s">
        <v>34</v>
      </c>
      <c r="IO1" s="84"/>
      <c r="IP1" s="85"/>
      <c r="IQ1" s="81"/>
      <c r="IR1" s="81"/>
      <c r="IS1" s="86" t="s">
        <v>25</v>
      </c>
      <c r="IT1" s="86" t="s">
        <v>26</v>
      </c>
      <c r="IU1" s="86" t="s">
        <v>27</v>
      </c>
      <c r="IV1" s="86" t="s">
        <v>28</v>
      </c>
      <c r="IW1" s="86" t="s">
        <v>29</v>
      </c>
      <c r="IX1" s="86" t="s">
        <v>30</v>
      </c>
      <c r="IY1" s="86" t="s">
        <v>31</v>
      </c>
      <c r="IZ1" s="86" t="s">
        <v>32</v>
      </c>
      <c r="JA1" s="86" t="s">
        <v>33</v>
      </c>
      <c r="JB1" s="86" t="s">
        <v>34</v>
      </c>
      <c r="JC1" s="87" t="s">
        <v>35</v>
      </c>
      <c r="JD1" s="86"/>
      <c r="JE1" s="86"/>
      <c r="JF1" s="86"/>
    </row>
    <row r="2">
      <c r="A2" s="64"/>
      <c r="B2" s="64"/>
      <c r="C2" s="64"/>
      <c r="D2" s="64"/>
      <c r="E2" s="64"/>
      <c r="F2" s="88">
        <v>1.0</v>
      </c>
      <c r="G2" s="88">
        <v>2.0</v>
      </c>
      <c r="H2" s="88">
        <v>3.0</v>
      </c>
      <c r="I2" s="88">
        <v>4.0</v>
      </c>
      <c r="J2" s="88">
        <v>5.0</v>
      </c>
      <c r="K2" s="88">
        <v>6.0</v>
      </c>
      <c r="L2" s="88">
        <v>7.0</v>
      </c>
      <c r="M2" s="88">
        <v>8.0</v>
      </c>
      <c r="N2" s="88">
        <v>9.0</v>
      </c>
      <c r="O2" s="88">
        <v>10.0</v>
      </c>
      <c r="P2" s="88">
        <v>11.0</v>
      </c>
      <c r="Q2" s="88">
        <v>12.0</v>
      </c>
      <c r="R2" s="88">
        <v>13.0</v>
      </c>
      <c r="S2" s="88">
        <v>14.0</v>
      </c>
      <c r="T2" s="88">
        <v>15.0</v>
      </c>
      <c r="U2" s="88">
        <v>16.0</v>
      </c>
      <c r="V2" s="88">
        <v>17.0</v>
      </c>
      <c r="W2" s="88">
        <v>18.0</v>
      </c>
      <c r="X2" s="88">
        <v>19.0</v>
      </c>
      <c r="Y2" s="88">
        <v>20.0</v>
      </c>
      <c r="Z2" s="88">
        <v>21.0</v>
      </c>
      <c r="AA2" s="88">
        <v>22.0</v>
      </c>
      <c r="AB2" s="88">
        <v>23.0</v>
      </c>
      <c r="AC2" s="88">
        <v>24.0</v>
      </c>
      <c r="AD2" s="88">
        <v>25.0</v>
      </c>
      <c r="AE2" s="88">
        <v>26.0</v>
      </c>
      <c r="AF2" s="88">
        <v>27.0</v>
      </c>
      <c r="AG2" s="88">
        <v>28.0</v>
      </c>
      <c r="AH2" s="88">
        <v>29.0</v>
      </c>
      <c r="AI2" s="88">
        <v>30.0</v>
      </c>
      <c r="AJ2" s="88">
        <v>31.0</v>
      </c>
      <c r="AK2" s="88">
        <v>32.0</v>
      </c>
      <c r="AL2" s="88">
        <v>33.0</v>
      </c>
      <c r="AM2" s="88">
        <v>34.0</v>
      </c>
      <c r="AN2" s="88">
        <v>35.0</v>
      </c>
      <c r="AO2" s="88">
        <v>36.0</v>
      </c>
      <c r="AP2" s="88">
        <v>37.0</v>
      </c>
      <c r="AQ2" s="88">
        <v>38.0</v>
      </c>
      <c r="AR2" s="88">
        <v>39.0</v>
      </c>
      <c r="AS2" s="88">
        <v>40.0</v>
      </c>
      <c r="AT2" s="88">
        <v>41.0</v>
      </c>
      <c r="AU2" s="88">
        <v>42.0</v>
      </c>
      <c r="AV2" s="88">
        <v>43.0</v>
      </c>
      <c r="AW2" s="88">
        <v>44.0</v>
      </c>
      <c r="AX2" s="88">
        <v>45.0</v>
      </c>
      <c r="AY2" s="88">
        <v>46.0</v>
      </c>
      <c r="AZ2" s="88">
        <v>47.0</v>
      </c>
      <c r="BA2" s="88">
        <v>48.0</v>
      </c>
      <c r="BB2" s="88">
        <v>49.0</v>
      </c>
      <c r="BC2" s="88">
        <v>50.0</v>
      </c>
      <c r="BD2" s="88">
        <v>51.0</v>
      </c>
      <c r="BE2" s="88">
        <v>52.0</v>
      </c>
      <c r="BF2" s="88">
        <v>53.0</v>
      </c>
      <c r="BG2" s="88">
        <v>54.0</v>
      </c>
      <c r="BH2" s="88">
        <v>55.0</v>
      </c>
      <c r="BI2" s="88">
        <v>56.0</v>
      </c>
      <c r="BJ2" s="88">
        <v>57.0</v>
      </c>
      <c r="BK2" s="88">
        <v>58.0</v>
      </c>
      <c r="BL2" s="88">
        <v>59.0</v>
      </c>
      <c r="BM2" s="88">
        <v>60.0</v>
      </c>
      <c r="BN2" s="88">
        <v>61.0</v>
      </c>
      <c r="BO2" s="88">
        <v>62.0</v>
      </c>
      <c r="BP2" s="88">
        <v>63.0</v>
      </c>
      <c r="BQ2" s="88">
        <v>64.0</v>
      </c>
      <c r="BR2" s="88">
        <v>65.0</v>
      </c>
      <c r="BS2" s="88">
        <v>66.0</v>
      </c>
      <c r="BT2" s="88">
        <v>67.0</v>
      </c>
      <c r="BU2" s="88">
        <v>68.0</v>
      </c>
      <c r="BV2" s="88">
        <v>69.0</v>
      </c>
      <c r="BW2" s="88">
        <v>70.0</v>
      </c>
      <c r="BX2" s="88">
        <v>71.0</v>
      </c>
      <c r="BY2" s="88">
        <v>72.0</v>
      </c>
      <c r="BZ2" s="88">
        <v>73.0</v>
      </c>
      <c r="CA2" s="88">
        <v>74.0</v>
      </c>
      <c r="CB2" s="88">
        <v>75.0</v>
      </c>
      <c r="CC2" s="88">
        <v>76.0</v>
      </c>
      <c r="CD2" s="88">
        <v>77.0</v>
      </c>
      <c r="CE2" s="88">
        <v>78.0</v>
      </c>
      <c r="CF2" s="88">
        <v>79.0</v>
      </c>
      <c r="CG2" s="88">
        <v>80.0</v>
      </c>
      <c r="CH2" s="88">
        <v>81.0</v>
      </c>
      <c r="CI2" s="88">
        <v>82.0</v>
      </c>
      <c r="CJ2" s="88">
        <v>83.0</v>
      </c>
      <c r="CK2" s="88">
        <v>84.0</v>
      </c>
      <c r="CL2" s="88">
        <v>85.0</v>
      </c>
      <c r="CM2" s="88">
        <v>86.0</v>
      </c>
      <c r="CN2" s="88">
        <v>87.0</v>
      </c>
      <c r="CO2" s="88">
        <v>88.0</v>
      </c>
      <c r="CP2" s="88">
        <v>89.0</v>
      </c>
      <c r="CQ2" s="88">
        <v>90.0</v>
      </c>
      <c r="CR2" s="88">
        <v>91.0</v>
      </c>
      <c r="CS2" s="88">
        <v>92.0</v>
      </c>
      <c r="CT2" s="88">
        <v>93.0</v>
      </c>
      <c r="CU2" s="88">
        <v>94.0</v>
      </c>
      <c r="CV2" s="88">
        <v>95.0</v>
      </c>
      <c r="CW2" s="88">
        <v>96.0</v>
      </c>
      <c r="CX2" s="88">
        <v>97.0</v>
      </c>
      <c r="CY2" s="88">
        <v>98.0</v>
      </c>
      <c r="CZ2" s="88">
        <v>99.0</v>
      </c>
      <c r="DA2" s="88">
        <v>100.0</v>
      </c>
      <c r="DB2" s="89" t="s">
        <v>23</v>
      </c>
      <c r="DC2" s="90">
        <v>1.0</v>
      </c>
      <c r="DD2" s="90">
        <v>2.0</v>
      </c>
      <c r="DE2" s="90">
        <v>3.0</v>
      </c>
      <c r="DF2" s="90">
        <v>4.0</v>
      </c>
      <c r="DG2" s="90">
        <v>5.0</v>
      </c>
      <c r="DH2" s="90">
        <v>6.0</v>
      </c>
      <c r="DI2" s="90">
        <v>7.0</v>
      </c>
      <c r="DJ2" s="90">
        <v>8.0</v>
      </c>
      <c r="DK2" s="90">
        <v>9.0</v>
      </c>
      <c r="DL2" s="90">
        <v>10.0</v>
      </c>
      <c r="DM2" s="90">
        <v>11.0</v>
      </c>
      <c r="DN2" s="90">
        <v>12.0</v>
      </c>
      <c r="DO2" s="90">
        <v>13.0</v>
      </c>
      <c r="DP2" s="90">
        <v>14.0</v>
      </c>
      <c r="DQ2" s="90">
        <v>15.0</v>
      </c>
      <c r="DR2" s="90">
        <v>16.0</v>
      </c>
      <c r="DS2" s="90">
        <v>17.0</v>
      </c>
      <c r="DT2" s="90">
        <v>18.0</v>
      </c>
      <c r="DU2" s="90">
        <v>19.0</v>
      </c>
      <c r="DV2" s="90">
        <v>20.0</v>
      </c>
      <c r="DW2" s="90">
        <v>21.0</v>
      </c>
      <c r="DX2" s="90">
        <v>22.0</v>
      </c>
      <c r="DY2" s="90">
        <v>23.0</v>
      </c>
      <c r="DZ2" s="90">
        <v>24.0</v>
      </c>
      <c r="EA2" s="90">
        <v>25.0</v>
      </c>
      <c r="EB2" s="90">
        <v>26.0</v>
      </c>
      <c r="EC2" s="90">
        <v>27.0</v>
      </c>
      <c r="ED2" s="90">
        <v>28.0</v>
      </c>
      <c r="EE2" s="90">
        <v>29.0</v>
      </c>
      <c r="EF2" s="90">
        <v>30.0</v>
      </c>
      <c r="EG2" s="90">
        <v>31.0</v>
      </c>
      <c r="EH2" s="90">
        <v>32.0</v>
      </c>
      <c r="EI2" s="90">
        <v>33.0</v>
      </c>
      <c r="EJ2" s="90">
        <v>34.0</v>
      </c>
      <c r="EK2" s="90">
        <v>35.0</v>
      </c>
      <c r="EL2" s="90">
        <v>36.0</v>
      </c>
      <c r="EM2" s="90">
        <v>37.0</v>
      </c>
      <c r="EN2" s="90">
        <v>38.0</v>
      </c>
      <c r="EO2" s="90">
        <v>39.0</v>
      </c>
      <c r="EP2" s="90">
        <v>40.0</v>
      </c>
      <c r="EQ2" s="90">
        <v>41.0</v>
      </c>
      <c r="ER2" s="90">
        <v>42.0</v>
      </c>
      <c r="ES2" s="90">
        <v>43.0</v>
      </c>
      <c r="ET2" s="90">
        <v>44.0</v>
      </c>
      <c r="EU2" s="90">
        <v>45.0</v>
      </c>
      <c r="EV2" s="90">
        <v>46.0</v>
      </c>
      <c r="EW2" s="90">
        <v>47.0</v>
      </c>
      <c r="EX2" s="90">
        <v>48.0</v>
      </c>
      <c r="EY2" s="90">
        <v>49.0</v>
      </c>
      <c r="EZ2" s="90">
        <v>50.0</v>
      </c>
      <c r="FA2" s="90">
        <v>51.0</v>
      </c>
      <c r="FB2" s="90">
        <v>52.0</v>
      </c>
      <c r="FC2" s="90">
        <v>53.0</v>
      </c>
      <c r="FD2" s="90">
        <v>54.0</v>
      </c>
      <c r="FE2" s="90">
        <v>55.0</v>
      </c>
      <c r="FF2" s="90">
        <v>56.0</v>
      </c>
      <c r="FG2" s="90">
        <v>57.0</v>
      </c>
      <c r="FH2" s="90">
        <v>58.0</v>
      </c>
      <c r="FI2" s="90">
        <v>59.0</v>
      </c>
      <c r="FJ2" s="90">
        <v>60.0</v>
      </c>
      <c r="FK2" s="90">
        <v>61.0</v>
      </c>
      <c r="FL2" s="90">
        <v>62.0</v>
      </c>
      <c r="FM2" s="90">
        <v>63.0</v>
      </c>
      <c r="FN2" s="90">
        <v>64.0</v>
      </c>
      <c r="FO2" s="90">
        <v>65.0</v>
      </c>
      <c r="FP2" s="90">
        <v>66.0</v>
      </c>
      <c r="FQ2" s="90">
        <v>67.0</v>
      </c>
      <c r="FR2" s="90">
        <v>68.0</v>
      </c>
      <c r="FS2" s="90">
        <v>69.0</v>
      </c>
      <c r="FT2" s="90">
        <v>70.0</v>
      </c>
      <c r="FU2" s="90">
        <v>71.0</v>
      </c>
      <c r="FV2" s="90">
        <v>72.0</v>
      </c>
      <c r="FW2" s="90">
        <v>73.0</v>
      </c>
      <c r="FX2" s="90">
        <v>74.0</v>
      </c>
      <c r="FY2" s="90">
        <v>75.0</v>
      </c>
      <c r="FZ2" s="90">
        <v>76.0</v>
      </c>
      <c r="GA2" s="90">
        <v>77.0</v>
      </c>
      <c r="GB2" s="90">
        <v>78.0</v>
      </c>
      <c r="GC2" s="90">
        <v>79.0</v>
      </c>
      <c r="GD2" s="90">
        <v>80.0</v>
      </c>
      <c r="GE2" s="90">
        <v>81.0</v>
      </c>
      <c r="GF2" s="90">
        <v>82.0</v>
      </c>
      <c r="GG2" s="90">
        <v>83.0</v>
      </c>
      <c r="GH2" s="90">
        <v>84.0</v>
      </c>
      <c r="GI2" s="90">
        <v>85.0</v>
      </c>
      <c r="GJ2" s="90">
        <v>86.0</v>
      </c>
      <c r="GK2" s="90">
        <v>87.0</v>
      </c>
      <c r="GL2" s="90">
        <v>88.0</v>
      </c>
      <c r="GM2" s="90">
        <v>89.0</v>
      </c>
      <c r="GN2" s="90">
        <v>90.0</v>
      </c>
      <c r="GO2" s="90">
        <v>91.0</v>
      </c>
      <c r="GP2" s="90">
        <v>92.0</v>
      </c>
      <c r="GQ2" s="90">
        <v>93.0</v>
      </c>
      <c r="GR2" s="90">
        <v>94.0</v>
      </c>
      <c r="GS2" s="90">
        <v>95.0</v>
      </c>
      <c r="GT2" s="90">
        <v>96.0</v>
      </c>
      <c r="GU2" s="90">
        <v>97.0</v>
      </c>
      <c r="GV2" s="90">
        <v>98.0</v>
      </c>
      <c r="GW2" s="90">
        <v>99.0</v>
      </c>
      <c r="GX2" s="90">
        <v>100.0</v>
      </c>
      <c r="GY2" s="91"/>
      <c r="GZ2" s="90" t="s">
        <v>36</v>
      </c>
      <c r="HA2" s="90" t="s">
        <v>37</v>
      </c>
      <c r="HB2" s="90" t="s">
        <v>38</v>
      </c>
      <c r="HC2" s="92"/>
      <c r="HD2" s="90" t="s">
        <v>36</v>
      </c>
      <c r="HE2" s="90" t="s">
        <v>37</v>
      </c>
      <c r="HF2" s="90" t="s">
        <v>38</v>
      </c>
      <c r="HG2" s="92"/>
      <c r="HH2" s="90" t="s">
        <v>36</v>
      </c>
      <c r="HI2" s="90" t="s">
        <v>37</v>
      </c>
      <c r="HJ2" s="90" t="s">
        <v>38</v>
      </c>
      <c r="HK2" s="92"/>
      <c r="HL2" s="90" t="s">
        <v>36</v>
      </c>
      <c r="HM2" s="90" t="s">
        <v>37</v>
      </c>
      <c r="HN2" s="90" t="s">
        <v>38</v>
      </c>
      <c r="HO2" s="92"/>
      <c r="HP2" s="90" t="s">
        <v>36</v>
      </c>
      <c r="HQ2" s="90" t="s">
        <v>37</v>
      </c>
      <c r="HR2" s="90" t="s">
        <v>38</v>
      </c>
      <c r="HS2" s="92"/>
      <c r="HT2" s="90" t="s">
        <v>36</v>
      </c>
      <c r="HU2" s="90" t="s">
        <v>37</v>
      </c>
      <c r="HV2" s="90" t="s">
        <v>38</v>
      </c>
      <c r="HW2" s="92"/>
      <c r="HX2" s="90" t="s">
        <v>36</v>
      </c>
      <c r="HY2" s="90" t="s">
        <v>37</v>
      </c>
      <c r="HZ2" s="90" t="s">
        <v>38</v>
      </c>
      <c r="IA2" s="92"/>
      <c r="IB2" s="90" t="s">
        <v>36</v>
      </c>
      <c r="IC2" s="90" t="s">
        <v>37</v>
      </c>
      <c r="ID2" s="90" t="s">
        <v>38</v>
      </c>
      <c r="IE2" s="92"/>
      <c r="IF2" s="90" t="s">
        <v>36</v>
      </c>
      <c r="IG2" s="90" t="s">
        <v>37</v>
      </c>
      <c r="IH2" s="90" t="s">
        <v>38</v>
      </c>
      <c r="II2" s="92"/>
      <c r="IJ2" s="90" t="s">
        <v>36</v>
      </c>
      <c r="IK2" s="90" t="s">
        <v>37</v>
      </c>
      <c r="IL2" s="90" t="s">
        <v>38</v>
      </c>
      <c r="IM2" s="92"/>
      <c r="IN2" s="90" t="s">
        <v>36</v>
      </c>
      <c r="IO2" s="90" t="s">
        <v>37</v>
      </c>
      <c r="IP2" s="90" t="s">
        <v>38</v>
      </c>
      <c r="IQ2" s="92"/>
      <c r="IR2" s="92"/>
      <c r="IS2" s="93"/>
      <c r="IT2" s="93"/>
      <c r="IU2" s="93"/>
      <c r="IV2" s="93"/>
      <c r="IW2" s="93"/>
      <c r="IX2" s="93"/>
      <c r="IY2" s="93"/>
      <c r="IZ2" s="93"/>
      <c r="JA2" s="93"/>
      <c r="JB2" s="93"/>
      <c r="JC2" s="93"/>
      <c r="JD2" s="92"/>
      <c r="JE2" s="92"/>
      <c r="JF2" s="92"/>
    </row>
    <row r="3">
      <c r="A3" s="94" t="str">
        <f>IFERROR(__xludf.DUMMYFUNCTION("importrange(""https://docs.google.com/spreadsheets/d/1OYIQARr0SoLzSYJee5QfN7ZhRDepU2YzLwylHYt24hQ/edit?resourcekey=&amp;gid=387163512#gid=387163512"",""Form Responses 1!A2:DA1000"")"),"")</f>
        <v/>
      </c>
      <c r="B3" s="95"/>
      <c r="C3" s="96"/>
      <c r="D3" s="96"/>
      <c r="E3" s="96"/>
      <c r="F3" s="95"/>
      <c r="G3" s="95"/>
      <c r="H3" s="95"/>
      <c r="I3" s="95"/>
      <c r="J3" s="95"/>
      <c r="K3" s="95"/>
      <c r="L3" s="95"/>
      <c r="M3" s="95"/>
      <c r="N3" s="95"/>
      <c r="O3" s="95"/>
      <c r="P3" s="95"/>
      <c r="Q3" s="95"/>
      <c r="R3" s="95"/>
      <c r="S3" s="95"/>
      <c r="T3" s="95"/>
      <c r="U3" s="95"/>
      <c r="V3" s="95"/>
      <c r="W3" s="95"/>
      <c r="X3" s="95"/>
      <c r="Y3" s="95"/>
      <c r="Z3" s="95"/>
      <c r="AA3" s="95"/>
      <c r="AB3" s="95"/>
      <c r="AC3" s="95"/>
      <c r="AD3" s="95"/>
      <c r="AE3" s="95"/>
      <c r="AF3" s="95"/>
      <c r="AG3" s="95"/>
      <c r="AH3" s="95"/>
      <c r="AI3" s="95"/>
      <c r="AJ3" s="95"/>
      <c r="AK3" s="95"/>
      <c r="AL3" s="95"/>
      <c r="AM3" s="95"/>
      <c r="AN3" s="95"/>
      <c r="AO3" s="95"/>
      <c r="AP3" s="95"/>
      <c r="AQ3" s="95"/>
      <c r="AR3" s="95"/>
      <c r="AS3" s="95"/>
      <c r="AT3" s="95"/>
      <c r="AU3" s="95"/>
      <c r="AV3" s="95"/>
      <c r="AW3" s="95"/>
      <c r="AX3" s="95"/>
      <c r="AY3" s="95"/>
      <c r="AZ3" s="95"/>
      <c r="BA3" s="95"/>
      <c r="BB3" s="95"/>
      <c r="BC3" s="95"/>
      <c r="BD3" s="95"/>
      <c r="BE3" s="95"/>
      <c r="BF3" s="95"/>
      <c r="BG3" s="95"/>
      <c r="BH3" s="95"/>
      <c r="BI3" s="95"/>
      <c r="BJ3" s="95"/>
      <c r="BK3" s="95"/>
      <c r="BL3" s="95"/>
      <c r="BM3" s="95"/>
      <c r="BN3" s="95"/>
      <c r="BO3" s="95"/>
      <c r="BP3" s="95"/>
      <c r="BQ3" s="95"/>
      <c r="BR3" s="95"/>
      <c r="BS3" s="95"/>
      <c r="BT3" s="95"/>
      <c r="BU3" s="95"/>
      <c r="BV3" s="95"/>
      <c r="BW3" s="95"/>
      <c r="BX3" s="95"/>
      <c r="BY3" s="95"/>
      <c r="BZ3" s="95"/>
      <c r="CA3" s="95"/>
      <c r="CB3" s="95"/>
      <c r="CC3" s="95"/>
      <c r="CD3" s="95"/>
      <c r="CE3" s="95"/>
      <c r="CF3" s="95"/>
      <c r="CG3" s="95"/>
      <c r="CH3" s="95"/>
      <c r="CI3" s="95"/>
      <c r="CJ3" s="95"/>
      <c r="CK3" s="95"/>
      <c r="CL3" s="95"/>
      <c r="CM3" s="95"/>
      <c r="CN3" s="95"/>
      <c r="CO3" s="95"/>
      <c r="CP3" s="95"/>
      <c r="CQ3" s="95"/>
      <c r="CR3" s="95"/>
      <c r="CS3" s="95"/>
      <c r="CT3" s="95"/>
      <c r="CU3" s="95"/>
      <c r="CV3" s="95"/>
      <c r="CW3" s="95"/>
      <c r="CX3" s="95"/>
      <c r="CY3" s="95"/>
      <c r="CZ3" s="95"/>
      <c r="DA3" s="95"/>
      <c r="DB3" s="89" t="s">
        <v>23</v>
      </c>
      <c r="DC3" s="97" t="str">
        <f t="shared" ref="DC3:GX3" si="1">LEFT(F3,1)</f>
        <v/>
      </c>
      <c r="DD3" s="97" t="str">
        <f t="shared" si="1"/>
        <v/>
      </c>
      <c r="DE3" s="97" t="str">
        <f t="shared" si="1"/>
        <v/>
      </c>
      <c r="DF3" s="97" t="str">
        <f t="shared" si="1"/>
        <v/>
      </c>
      <c r="DG3" s="97" t="str">
        <f t="shared" si="1"/>
        <v/>
      </c>
      <c r="DH3" s="97" t="str">
        <f t="shared" si="1"/>
        <v/>
      </c>
      <c r="DI3" s="97" t="str">
        <f t="shared" si="1"/>
        <v/>
      </c>
      <c r="DJ3" s="97" t="str">
        <f t="shared" si="1"/>
        <v/>
      </c>
      <c r="DK3" s="97" t="str">
        <f t="shared" si="1"/>
        <v/>
      </c>
      <c r="DL3" s="97" t="str">
        <f t="shared" si="1"/>
        <v/>
      </c>
      <c r="DM3" s="97" t="str">
        <f t="shared" si="1"/>
        <v/>
      </c>
      <c r="DN3" s="97" t="str">
        <f t="shared" si="1"/>
        <v/>
      </c>
      <c r="DO3" s="97" t="str">
        <f t="shared" si="1"/>
        <v/>
      </c>
      <c r="DP3" s="97" t="str">
        <f t="shared" si="1"/>
        <v/>
      </c>
      <c r="DQ3" s="97" t="str">
        <f t="shared" si="1"/>
        <v/>
      </c>
      <c r="DR3" s="97" t="str">
        <f t="shared" si="1"/>
        <v/>
      </c>
      <c r="DS3" s="97" t="str">
        <f t="shared" si="1"/>
        <v/>
      </c>
      <c r="DT3" s="97" t="str">
        <f t="shared" si="1"/>
        <v/>
      </c>
      <c r="DU3" s="97" t="str">
        <f t="shared" si="1"/>
        <v/>
      </c>
      <c r="DV3" s="97" t="str">
        <f t="shared" si="1"/>
        <v/>
      </c>
      <c r="DW3" s="97" t="str">
        <f t="shared" si="1"/>
        <v/>
      </c>
      <c r="DX3" s="97" t="str">
        <f t="shared" si="1"/>
        <v/>
      </c>
      <c r="DY3" s="97" t="str">
        <f t="shared" si="1"/>
        <v/>
      </c>
      <c r="DZ3" s="97" t="str">
        <f t="shared" si="1"/>
        <v/>
      </c>
      <c r="EA3" s="97" t="str">
        <f t="shared" si="1"/>
        <v/>
      </c>
      <c r="EB3" s="97" t="str">
        <f t="shared" si="1"/>
        <v/>
      </c>
      <c r="EC3" s="97" t="str">
        <f t="shared" si="1"/>
        <v/>
      </c>
      <c r="ED3" s="97" t="str">
        <f t="shared" si="1"/>
        <v/>
      </c>
      <c r="EE3" s="97" t="str">
        <f t="shared" si="1"/>
        <v/>
      </c>
      <c r="EF3" s="97" t="str">
        <f t="shared" si="1"/>
        <v/>
      </c>
      <c r="EG3" s="97" t="str">
        <f t="shared" si="1"/>
        <v/>
      </c>
      <c r="EH3" s="97" t="str">
        <f t="shared" si="1"/>
        <v/>
      </c>
      <c r="EI3" s="97" t="str">
        <f t="shared" si="1"/>
        <v/>
      </c>
      <c r="EJ3" s="97" t="str">
        <f t="shared" si="1"/>
        <v/>
      </c>
      <c r="EK3" s="97" t="str">
        <f t="shared" si="1"/>
        <v/>
      </c>
      <c r="EL3" s="97" t="str">
        <f t="shared" si="1"/>
        <v/>
      </c>
      <c r="EM3" s="97" t="str">
        <f t="shared" si="1"/>
        <v/>
      </c>
      <c r="EN3" s="97" t="str">
        <f t="shared" si="1"/>
        <v/>
      </c>
      <c r="EO3" s="97" t="str">
        <f t="shared" si="1"/>
        <v/>
      </c>
      <c r="EP3" s="97" t="str">
        <f t="shared" si="1"/>
        <v/>
      </c>
      <c r="EQ3" s="97" t="str">
        <f t="shared" si="1"/>
        <v/>
      </c>
      <c r="ER3" s="97" t="str">
        <f t="shared" si="1"/>
        <v/>
      </c>
      <c r="ES3" s="97" t="str">
        <f t="shared" si="1"/>
        <v/>
      </c>
      <c r="ET3" s="97" t="str">
        <f t="shared" si="1"/>
        <v/>
      </c>
      <c r="EU3" s="97" t="str">
        <f t="shared" si="1"/>
        <v/>
      </c>
      <c r="EV3" s="97" t="str">
        <f t="shared" si="1"/>
        <v/>
      </c>
      <c r="EW3" s="97" t="str">
        <f t="shared" si="1"/>
        <v/>
      </c>
      <c r="EX3" s="97" t="str">
        <f t="shared" si="1"/>
        <v/>
      </c>
      <c r="EY3" s="97" t="str">
        <f t="shared" si="1"/>
        <v/>
      </c>
      <c r="EZ3" s="97" t="str">
        <f t="shared" si="1"/>
        <v/>
      </c>
      <c r="FA3" s="97" t="str">
        <f t="shared" si="1"/>
        <v/>
      </c>
      <c r="FB3" s="97" t="str">
        <f t="shared" si="1"/>
        <v/>
      </c>
      <c r="FC3" s="97" t="str">
        <f t="shared" si="1"/>
        <v/>
      </c>
      <c r="FD3" s="97" t="str">
        <f t="shared" si="1"/>
        <v/>
      </c>
      <c r="FE3" s="97" t="str">
        <f t="shared" si="1"/>
        <v/>
      </c>
      <c r="FF3" s="97" t="str">
        <f t="shared" si="1"/>
        <v/>
      </c>
      <c r="FG3" s="97" t="str">
        <f t="shared" si="1"/>
        <v/>
      </c>
      <c r="FH3" s="97" t="str">
        <f t="shared" si="1"/>
        <v/>
      </c>
      <c r="FI3" s="97" t="str">
        <f t="shared" si="1"/>
        <v/>
      </c>
      <c r="FJ3" s="97" t="str">
        <f t="shared" si="1"/>
        <v/>
      </c>
      <c r="FK3" s="97" t="str">
        <f t="shared" si="1"/>
        <v/>
      </c>
      <c r="FL3" s="97" t="str">
        <f t="shared" si="1"/>
        <v/>
      </c>
      <c r="FM3" s="97" t="str">
        <f t="shared" si="1"/>
        <v/>
      </c>
      <c r="FN3" s="97" t="str">
        <f t="shared" si="1"/>
        <v/>
      </c>
      <c r="FO3" s="97" t="str">
        <f t="shared" si="1"/>
        <v/>
      </c>
      <c r="FP3" s="97" t="str">
        <f t="shared" si="1"/>
        <v/>
      </c>
      <c r="FQ3" s="97" t="str">
        <f t="shared" si="1"/>
        <v/>
      </c>
      <c r="FR3" s="97" t="str">
        <f t="shared" si="1"/>
        <v/>
      </c>
      <c r="FS3" s="97" t="str">
        <f t="shared" si="1"/>
        <v/>
      </c>
      <c r="FT3" s="97" t="str">
        <f t="shared" si="1"/>
        <v/>
      </c>
      <c r="FU3" s="97" t="str">
        <f t="shared" si="1"/>
        <v/>
      </c>
      <c r="FV3" s="97" t="str">
        <f t="shared" si="1"/>
        <v/>
      </c>
      <c r="FW3" s="97" t="str">
        <f t="shared" si="1"/>
        <v/>
      </c>
      <c r="FX3" s="97" t="str">
        <f t="shared" si="1"/>
        <v/>
      </c>
      <c r="FY3" s="97" t="str">
        <f t="shared" si="1"/>
        <v/>
      </c>
      <c r="FZ3" s="97" t="str">
        <f t="shared" si="1"/>
        <v/>
      </c>
      <c r="GA3" s="97" t="str">
        <f t="shared" si="1"/>
        <v/>
      </c>
      <c r="GB3" s="97" t="str">
        <f t="shared" si="1"/>
        <v/>
      </c>
      <c r="GC3" s="97" t="str">
        <f t="shared" si="1"/>
        <v/>
      </c>
      <c r="GD3" s="97" t="str">
        <f t="shared" si="1"/>
        <v/>
      </c>
      <c r="GE3" s="97" t="str">
        <f t="shared" si="1"/>
        <v/>
      </c>
      <c r="GF3" s="97" t="str">
        <f t="shared" si="1"/>
        <v/>
      </c>
      <c r="GG3" s="97" t="str">
        <f t="shared" si="1"/>
        <v/>
      </c>
      <c r="GH3" s="97" t="str">
        <f t="shared" si="1"/>
        <v/>
      </c>
      <c r="GI3" s="97" t="str">
        <f t="shared" si="1"/>
        <v/>
      </c>
      <c r="GJ3" s="97" t="str">
        <f t="shared" si="1"/>
        <v/>
      </c>
      <c r="GK3" s="97" t="str">
        <f t="shared" si="1"/>
        <v/>
      </c>
      <c r="GL3" s="97" t="str">
        <f t="shared" si="1"/>
        <v/>
      </c>
      <c r="GM3" s="97" t="str">
        <f t="shared" si="1"/>
        <v/>
      </c>
      <c r="GN3" s="97" t="str">
        <f t="shared" si="1"/>
        <v/>
      </c>
      <c r="GO3" s="97" t="str">
        <f t="shared" si="1"/>
        <v/>
      </c>
      <c r="GP3" s="97" t="str">
        <f t="shared" si="1"/>
        <v/>
      </c>
      <c r="GQ3" s="97" t="str">
        <f t="shared" si="1"/>
        <v/>
      </c>
      <c r="GR3" s="97" t="str">
        <f t="shared" si="1"/>
        <v/>
      </c>
      <c r="GS3" s="97" t="str">
        <f t="shared" si="1"/>
        <v/>
      </c>
      <c r="GT3" s="97" t="str">
        <f t="shared" si="1"/>
        <v/>
      </c>
      <c r="GU3" s="97" t="str">
        <f t="shared" si="1"/>
        <v/>
      </c>
      <c r="GV3" s="97" t="str">
        <f t="shared" si="1"/>
        <v/>
      </c>
      <c r="GW3" s="97" t="str">
        <f t="shared" si="1"/>
        <v/>
      </c>
      <c r="GX3" s="97" t="str">
        <f t="shared" si="1"/>
        <v/>
      </c>
      <c r="GY3" s="98"/>
      <c r="GZ3" s="97">
        <f t="shared" ref="GZ3:GZ170" si="3">COUNTIF(DC3:GX3,"A")</f>
        <v>0</v>
      </c>
      <c r="HA3" s="97">
        <f t="shared" ref="HA3:HA170" si="4">COUNTIF(DC3:GX3,"B")</f>
        <v>0</v>
      </c>
      <c r="HB3" s="90">
        <f t="shared" ref="HB3:HB170" si="5">GZ3+HA3</f>
        <v>0</v>
      </c>
      <c r="HC3" s="99"/>
      <c r="HD3" s="97">
        <f t="shared" ref="HD3:HD170" si="6">SUM(IF(DV3="A",1,0),IF(DW3="A",1,0),IF(EP3="A",1,0),IF(EQ3="A",1,0),IF(FJ3="A",1,0),IF(FK3="A",1,0),IF(GD3="A",1,0),IF(GE3="A",1,0),IF(GX3="A",1,0))</f>
        <v>0</v>
      </c>
      <c r="HE3" s="97">
        <f t="shared" ref="HE3:HE170" si="7">COUNTIF(DD3:DL3,"B")</f>
        <v>0</v>
      </c>
      <c r="HF3" s="90">
        <f t="shared" ref="HF3:HF170" si="8">SUM(HD3:HE3)</f>
        <v>0</v>
      </c>
      <c r="HG3" s="99"/>
      <c r="HH3" s="97">
        <f t="shared" ref="HH3:HH170" si="9">SUM(IF(DD3="A",1,0),IF(DX3="A",1,0),IF(EO3="A",1,0),IF(ER3="A",1,0),IF(FI3="A",1,0),IF(FL3="A",1,0),IF(GC3="A",1,0),IF(GF3="A",1,0),IF(GW3="A",1,0))</f>
        <v>0</v>
      </c>
      <c r="HI3" s="97">
        <f t="shared" ref="HI3:HI170" si="10">COUNTIF(DM3:DV3,"B")</f>
        <v>0</v>
      </c>
      <c r="HJ3" s="90">
        <f t="shared" ref="HJ3:HJ170" si="11">SUM(HH3:HI3)</f>
        <v>0</v>
      </c>
      <c r="HK3" s="99"/>
      <c r="HL3" s="97">
        <f t="shared" ref="HL3:HL170" si="12">SUM(IF(DE3="A",1,0),IF(DT3="A",1,0),IF(EN3="A",1,0),IF(ES3="A",1,0),IF(FH3="A",1,0),IF(FM3="A",1,0),IF(GB3="A",1,0),IF(GG3="A",1,0),IF(GV3="A",1,0))</f>
        <v>0</v>
      </c>
      <c r="HM3" s="97">
        <f t="shared" ref="HM3:HM170" si="13">COUNTIF(DW3:EF3,"B")</f>
        <v>0</v>
      </c>
      <c r="HN3" s="90">
        <f t="shared" ref="HN3:HN170" si="14">HL3+HM3</f>
        <v>0</v>
      </c>
      <c r="HO3" s="99"/>
      <c r="HP3" s="97">
        <f t="shared" ref="HP3:HP170" si="15">SUM(IF(DF3="A",1,0),IF(DS3="A",1,0),IF(DZ3="A",1,0),IF(ET3="A",1,0),IF(FG3="A",1,0),IF(FN3="A",1,0),IF(GA3="A",1,0),IF(GH3="A",1,0),IF(GU3="A",1,0))</f>
        <v>0</v>
      </c>
      <c r="HQ3" s="97">
        <f t="shared" ref="HQ3:HQ170" si="16">COUNTIF(EG3:EP3,"B")</f>
        <v>0</v>
      </c>
      <c r="HR3" s="90">
        <f t="shared" ref="HR3:HR170" si="17">HP3+HQ3</f>
        <v>0</v>
      </c>
      <c r="HS3" s="99"/>
      <c r="HT3" s="97">
        <f t="shared" ref="HT3:HT170" si="18">SUM(IF(DG3="A",1,0),IF(DR3="A",1,0),IF(EA3="A",1,0),IF(EL3="A",1,0),IF(FF3="A",1,0),IF(FO3="A",1,0),IF(FZ3="A",1,0),IF(GI3="A",1,0),IF(GT3="A",1,0))</f>
        <v>0</v>
      </c>
      <c r="HU3" s="97">
        <f t="shared" ref="HU3:HU170" si="19">COUNTIF(EQ3:EZ3,"B")</f>
        <v>0</v>
      </c>
      <c r="HV3" s="90">
        <f t="shared" ref="HV3:HV170" si="20">HT3+HU3</f>
        <v>0</v>
      </c>
      <c r="HW3" s="99"/>
      <c r="HX3" s="97">
        <f t="shared" ref="HX3:HX170" si="21">SUM(IF(DH3="A",1,0),IF(DQ3="A",1,0),IF(EB3="A",1,0),IF(EK3="A",1,0),IF(EV3="A",1,0),IF(FP3="A",1,0),IF(FY3="A",1,0),IF(GJ3="A",1,0),IF(GS3="A",1,0))</f>
        <v>0</v>
      </c>
      <c r="HY3" s="97">
        <f t="shared" ref="HY3:HY170" si="22">COUNTIF(FA3:FJ3,"B")</f>
        <v>0</v>
      </c>
      <c r="HZ3" s="90">
        <f t="shared" ref="HZ3:HZ170" si="23">HX3+HY3</f>
        <v>0</v>
      </c>
      <c r="IA3" s="99"/>
      <c r="IB3" s="97">
        <f t="shared" ref="IB3:IB170" si="24">SUM(IF(DI3="A",1,0),IF(DP3="A",1,0),IF(EC3="A",1,0),IF(EJ3="A",1,0),IF(EW3="A",1,0),IF(FD3="A",1,0),IF(FX3="A",1,0),IF(GK3="A",1,0),IF(GR3="A",1,0))</f>
        <v>0</v>
      </c>
      <c r="IC3" s="97">
        <f t="shared" ref="IC3:IC170" si="25">COUNTIF(FK3:FT3,"B")</f>
        <v>0</v>
      </c>
      <c r="ID3" s="90">
        <f t="shared" ref="ID3:ID170" si="26">IB3+IC3</f>
        <v>0</v>
      </c>
      <c r="IE3" s="99"/>
      <c r="IF3" s="97">
        <f t="shared" ref="IF3:IF170" si="27">SUM(IF(DJ3="A",1,0),IF(DO3="A",1,0),IF(ED3="A",1,0),IF(EI3="A",1,0),IF(EX3="A",1,0),IF(FC3="A",1,0),IF(FR3="A",1,0),IF(GL3="A",1,0),IF(GQ3="A",1,0))</f>
        <v>0</v>
      </c>
      <c r="IG3" s="97">
        <f t="shared" ref="IG3:IG170" si="28">COUNTIF(FU3:GD3,"B")</f>
        <v>0</v>
      </c>
      <c r="IH3" s="90">
        <f t="shared" ref="IH3:IH170" si="29">IF3+IG3</f>
        <v>0</v>
      </c>
      <c r="II3" s="99"/>
      <c r="IJ3" s="97">
        <f t="shared" ref="IJ3:IJ170" si="30">SUM(IF(DK3="A",1,0),IF(DN3="A",1,0),IF(EE3="A",1,0),IF(EH3="A",1,0),IF(EY3="A",1,0),IF(FB3="A",1,0),IF(FS3="A",1,0),IF(FV3="A",1,0),IF(GP3="A",1,0))</f>
        <v>0</v>
      </c>
      <c r="IK3" s="97">
        <f t="shared" ref="IK3:IK170" si="31">COUNTIF(GE3:GN3,"B")</f>
        <v>0</v>
      </c>
      <c r="IL3" s="90">
        <f t="shared" ref="IL3:IL170" si="32">IJ3+IK3</f>
        <v>0</v>
      </c>
      <c r="IM3" s="99"/>
      <c r="IN3" s="97">
        <f t="shared" ref="IN3:IN170" si="33">SUM(IF(DL3="A",1,0),IF(DM3="A",1,0),IF(EF3="A",1,0),IF(EG3="A",1,0),IF(EZ3="A",1,0),IF(FA3="A",1,0),IF(FT3="A",1,0),IF(FU3="A",1,0),IF(GN3="A",1,0))</f>
        <v>0</v>
      </c>
      <c r="IO3" s="97">
        <f t="shared" ref="IO3:IO170" si="34">COUNTIF(GO3:GX3,"B")</f>
        <v>0</v>
      </c>
      <c r="IP3" s="90">
        <f t="shared" ref="IP3:IP170" si="35">IN3+IO3</f>
        <v>0</v>
      </c>
      <c r="IQ3" s="99"/>
      <c r="IR3" s="99"/>
      <c r="IS3" s="100">
        <f t="shared" ref="IS3:IS170" si="36">HF3</f>
        <v>0</v>
      </c>
      <c r="IT3" s="100">
        <f t="shared" ref="IT3:IT170" si="37">HJ3</f>
        <v>0</v>
      </c>
      <c r="IU3" s="100">
        <f t="shared" ref="IU3:IU170" si="38">HN3</f>
        <v>0</v>
      </c>
      <c r="IV3" s="100">
        <f t="shared" ref="IV3:IV170" si="39">HR3</f>
        <v>0</v>
      </c>
      <c r="IW3" s="100">
        <f t="shared" ref="IW3:IW170" si="40">HV3</f>
        <v>0</v>
      </c>
      <c r="IX3" s="100">
        <f t="shared" ref="IX3:IX170" si="41">HZ3</f>
        <v>0</v>
      </c>
      <c r="IY3" s="100">
        <f t="shared" ref="IY3:IY170" si="42">ID3</f>
        <v>0</v>
      </c>
      <c r="IZ3" s="100">
        <f t="shared" ref="IZ3:IZ170" si="43">IH3</f>
        <v>0</v>
      </c>
      <c r="JA3" s="100">
        <f t="shared" ref="JA3:JA170" si="44">IL3</f>
        <v>0</v>
      </c>
      <c r="JB3" s="101">
        <f t="shared" ref="JB3:JB170" si="45">IP3</f>
        <v>0</v>
      </c>
      <c r="JC3" s="102">
        <f t="shared" ref="JC3:JC170" si="46">sum(IS3:JB3)</f>
        <v>0</v>
      </c>
      <c r="JD3" s="67">
        <f>countif(IS3:IW3,"&lt;5")</f>
        <v>5</v>
      </c>
      <c r="JE3" s="67">
        <f t="shared" ref="JE3:JE170" si="47">countif(IX3:JB3,"&gt;9")</f>
        <v>0</v>
      </c>
      <c r="JF3" s="67">
        <f t="shared" ref="JF3:JF170" si="48">JD3+JE3</f>
        <v>5</v>
      </c>
    </row>
    <row r="4">
      <c r="A4" s="103">
        <f>IFERROR(__xludf.DUMMYFUNCTION("""COMPUTED_VALUE"""),45917.68733017361)</f>
        <v>45917.68733</v>
      </c>
      <c r="B4" s="95" t="str">
        <f>IFERROR(__xludf.DUMMYFUNCTION("""COMPUTED_VALUE"""),"Syabban ghozy al'fathan ")</f>
        <v>Syabban ghozy al'fathan </v>
      </c>
      <c r="C4" s="96" t="str">
        <f>IFERROR(__xludf.DUMMYFUNCTION("""COMPUTED_VALUE"""),"B250025")</f>
        <v>B250025</v>
      </c>
      <c r="D4" s="96" t="str">
        <f>IFERROR(__xludf.DUMMYFUNCTION("""COMPUTED_VALUE"""),"IL Putra")</f>
        <v>IL Putra</v>
      </c>
      <c r="E4" s="96" t="str">
        <f>IFERROR(__xludf.DUMMYFUNCTION("""COMPUTED_VALUE"""),"Ya")</f>
        <v>Ya</v>
      </c>
      <c r="F4" s="95" t="str">
        <f>IFERROR(__xludf.DUMMYFUNCTION("""COMPUTED_VALUE"""),"B Saya ingin melakukan apa saja sebaik mungkin.")</f>
        <v>B Saya ingin melakukan apa saja sebaik mungkin.</v>
      </c>
      <c r="G4" s="95" t="str">
        <f>IFERROR(__xludf.DUMMYFUNCTION("""COMPUTED_VALUE"""),"A Saya ingin setiap tulisan saya teliti, rapi, dan tersusun dengan baik.")</f>
        <v>A Saya ingin setiap tulisan saya teliti, rapi, dan tersusun dengan baik.</v>
      </c>
      <c r="H4" s="95" t="str">
        <f>IFERROR(__xludf.DUMMYFUNCTION("""COMPUTED_VALUE"""),"B Saya ingin menjadi orang yang diakui dalam suatu pekerjaan atau bidang khusus.")</f>
        <v>B Saya ingin menjadi orang yang diakui dalam suatu pekerjaan atau bidang khusus.</v>
      </c>
      <c r="I4" s="95" t="str">
        <f>IFERROR(__xludf.DUMMYFUNCTION("""COMPUTED_VALUE"""),"B Saya ingin bisa melakukan dengan baik meskipun tugas yang sulit.")</f>
        <v>B Saya ingin bisa melakukan dengan baik meskipun tugas yang sulit.</v>
      </c>
      <c r="J4" s="95" t="str">
        <f>IFERROR(__xludf.DUMMYFUNCTION("""COMPUTED_VALUE"""),"A Saya suka membantu teman-teman saya apabila mereka mengalami kesulitan.")</f>
        <v>A Saya suka membantu teman-teman saya apabila mereka mengalami kesulitan.</v>
      </c>
      <c r="K4" s="95" t="str">
        <f>IFERROR(__xludf.DUMMYFUNCTION("""COMPUTED_VALUE"""),"B Saya ingin mengatakan telah melakukan dengan baik sesuatu tugas yang sulit.")</f>
        <v>B Saya ingin mengatakan telah melakukan dengan baik sesuatu tugas yang sulit.</v>
      </c>
      <c r="L4" s="95" t="str">
        <f>IFERROR(__xludf.DUMMYFUNCTION("""COMPUTED_VALUE"""),"B Saya ingin mengatakan telah melakukan dengan baik sesuatu tugas yang sulit")</f>
        <v>B Saya ingin mengatakan telah melakukan dengan baik sesuatu tugas yang sulit</v>
      </c>
      <c r="M4" s="95" t="str">
        <f>IFERROR(__xludf.DUMMYFUNCTION("""COMPUTED_VALUE"""),"B Saya ingin mengerjakan segala tugas lebih baik daripada orang lain.")</f>
        <v>B Saya ingin mengerjakan segala tugas lebih baik daripada orang lain.</v>
      </c>
      <c r="N4" s="95" t="str">
        <f>IFERROR(__xludf.DUMMYFUNCTION("""COMPUTED_VALUE"""),"A Saya suka pergi dengan pakaian rapi agar lebih menarik perhatian orang lain.")</f>
        <v>A Saya suka pergi dengan pakaian rapi agar lebih menarik perhatian orang lain.</v>
      </c>
      <c r="O4" s="95" t="str">
        <f>IFERROR(__xludf.DUMMYFUNCTION("""COMPUTED_VALUE"""),"B Saya suka melakukan tugas sebaik mungkin.")</f>
        <v>B Saya suka melakukan tugas sebaik mungkin.</v>
      </c>
      <c r="P4" s="95" t="str">
        <f>IFERROR(__xludf.DUMMYFUNCTION("""COMPUTED_VALUE"""),"A Saya suka bercerita tentang hal-hal yang menegangkan atau menantang.")</f>
        <v>A Saya suka bercerita tentang hal-hal yang menegangkan atau menantang.</v>
      </c>
      <c r="Q4" s="95" t="str">
        <f>IFERROR(__xludf.DUMMYFUNCTION("""COMPUTED_VALUE"""),"B Saya merencanakan keperluan yang dibutuhkan sebelum bepergian.")</f>
        <v>B Saya merencanakan keperluan yang dibutuhkan sebelum bepergian.</v>
      </c>
      <c r="R4" s="95" t="str">
        <f>IFERROR(__xludf.DUMMYFUNCTION("""COMPUTED_VALUE"""),"B Saya suka barang-barang saya tersusun rapi dan teratur.")</f>
        <v>B Saya suka barang-barang saya tersusun rapi dan teratur.</v>
      </c>
      <c r="S4" s="95" t="str">
        <f>IFERROR(__xludf.DUMMYFUNCTION("""COMPUTED_VALUE"""),"B Saya suka membuat perencanaan sebelum memulai tugas yang sulit.")</f>
        <v>B Saya suka membuat perencanaan sebelum memulai tugas yang sulit.</v>
      </c>
      <c r="T4" s="95" t="str">
        <f>IFERROR(__xludf.DUMMYFUNCTION("""COMPUTED_VALUE"""),"B Saya ingin agar hidup saya teratur sesuai cita-cita saya.")</f>
        <v>B Saya ingin agar hidup saya teratur sesuai cita-cita saya.</v>
      </c>
      <c r="U4" s="95" t="str">
        <f>IFERROR(__xludf.DUMMYFUNCTION("""COMPUTED_VALUE"""),"B Saya suka menyimpan catatan secara rapi.")</f>
        <v>B Saya suka menyimpan catatan secara rapi.</v>
      </c>
      <c r="V4" s="95" t="str">
        <f>IFERROR(__xludf.DUMMYFUNCTION("""COMPUTED_VALUE"""),"B Saya suka belajar saya teratur dan ada waktu-waktu tertentu untuk belajar.")</f>
        <v>B Saya suka belajar saya teratur dan ada waktu-waktu tertentu untuk belajar.</v>
      </c>
      <c r="W4" s="95" t="str">
        <f>IFERROR(__xludf.DUMMYFUNCTION("""COMPUTED_VALUE"""),"B Saya ingin kegiatan itu teratur dan direncanakan.")</f>
        <v>B Saya ingin kegiatan itu teratur dan direncanakan.</v>
      </c>
      <c r="X4" s="95" t="str">
        <f>IFERROR(__xludf.DUMMYFUNCTION("""COMPUTED_VALUE"""),"B Saya ingin agar hidup saya teratur sesuai cita-cita saya.")</f>
        <v>B Saya ingin agar hidup saya teratur sesuai cita-cita saya.</v>
      </c>
      <c r="Y4" s="95" t="str">
        <f>IFERROR(__xludf.DUMMYFUNCTION("""COMPUTED_VALUE"""),"B Saya senang merencanakan untuk masa depan.")</f>
        <v>B Saya senang merencanakan untuk masa depan.</v>
      </c>
      <c r="Z4" s="95" t="str">
        <f>IFERROR(__xludf.DUMMYFUNCTION("""COMPUTED_VALUE"""),"B Saya ingin merasa bebas untuk melakukan apa yang saya inginkan.")</f>
        <v>B Saya ingin merasa bebas untuk melakukan apa yang saya inginkan.</v>
      </c>
      <c r="AA4" s="95" t="str">
        <f>IFERROR(__xludf.DUMMYFUNCTION("""COMPUTED_VALUE"""),"A Saya suka menyelesaikan tugas yang telah saya rencanakan.")</f>
        <v>A Saya suka menyelesaikan tugas yang telah saya rencanakan.</v>
      </c>
      <c r="AB4" s="95" t="str">
        <f>IFERROR(__xludf.DUMMYFUNCTION("""COMPUTED_VALUE"""),"B Saya ingin menyelesaikan pekerjaan satu persatu sebelum memulai yang lain.")</f>
        <v>B Saya ingin menyelesaikan pekerjaan satu persatu sebelum memulai yang lain.</v>
      </c>
      <c r="AC4" s="95" t="str">
        <f>IFERROR(__xludf.DUMMYFUNCTION("""COMPUTED_VALUE"""),"A Saya suka menyelesaikan setiap tugas meskipun membutuhkan waktu lama.")</f>
        <v>A Saya suka menyelesaikan setiap tugas meskipun membutuhkan waktu lama.</v>
      </c>
      <c r="AD4" s="95" t="str">
        <f>IFERROR(__xludf.DUMMYFUNCTION("""COMPUTED_VALUE"""),"A Saya suka bermurah hati terhadap teman-teman saya.")</f>
        <v>A Saya suka bermurah hati terhadap teman-teman saya.</v>
      </c>
      <c r="AE4" s="95" t="str">
        <f>IFERROR(__xludf.DUMMYFUNCTION("""COMPUTED_VALUE"""),"B Saya suka melakukan hal-hal yang dianggap orang lain tidak sesuai.")</f>
        <v>B Saya suka melakukan hal-hal yang dianggap orang lain tidak sesuai.</v>
      </c>
      <c r="AF4" s="95" t="str">
        <f>IFERROR(__xludf.DUMMYFUNCTION("""COMPUTED_VALUE"""),"B Saya suka melakukan hal-hal dengan cara saya sendiri.")</f>
        <v>B Saya suka melakukan hal-hal dengan cara saya sendiri.</v>
      </c>
      <c r="AG4" s="95" t="str">
        <f>IFERROR(__xludf.DUMMYFUNCTION("""COMPUTED_VALUE"""),"B Saya ingin berhasil dengan tugas yang saya lakukan.")</f>
        <v>B Saya ingin berhasil dengan tugas yang saya lakukan.</v>
      </c>
      <c r="AH4" s="95" t="str">
        <f>IFERROR(__xludf.DUMMYFUNCTION("""COMPUTED_VALUE"""),"A Saya suka membaca buku-buku tentang pergaulan remaja.")</f>
        <v>A Saya suka membaca buku-buku tentang pergaulan remaja.</v>
      </c>
      <c r="AI4" s="95" t="str">
        <f>IFERROR(__xludf.DUMMYFUNCTION("""COMPUTED_VALUE"""),"B Saya suka melakukan kegiatan sesuai kondisi yang saya inginkan.")</f>
        <v>B Saya suka melakukan kegiatan sesuai kondisi yang saya inginkan.</v>
      </c>
      <c r="AJ4" s="95" t="str">
        <f>IFERROR(__xludf.DUMMYFUNCTION("""COMPUTED_VALUE"""),"B Saya suka bertahan menghadapi satu masalah meskipun belum tentu berhasil.")</f>
        <v>B Saya suka bertahan menghadapi satu masalah meskipun belum tentu berhasil.</v>
      </c>
      <c r="AK4" s="95" t="str">
        <f>IFERROR(__xludf.DUMMYFUNCTION("""COMPUTED_VALUE"""),"A Saya suka bercerita tentang hal-hal pribadi yang seharusnya tidak perlu diketahui orang lain.")</f>
        <v>A Saya suka bercerita tentang hal-hal pribadi yang seharusnya tidak perlu diketahui orang lain.</v>
      </c>
      <c r="AL4" s="95" t="str">
        <f>IFERROR(__xludf.DUMMYFUNCTION("""COMPUTED_VALUE"""),"B Saya ingin menghindarkan gangguan bila saya sedang belajar.")</f>
        <v>B Saya ingin menghindarkan gangguan bila saya sedang belajar.</v>
      </c>
      <c r="AM4" s="95" t="str">
        <f>IFERROR(__xludf.DUMMYFUNCTION("""COMPUTED_VALUE"""),"A Saya ingin teman-teman saya merasa kasihan pada saya apabila saya sakit.")</f>
        <v>A Saya ingin teman-teman saya merasa kasihan pada saya apabila saya sakit.</v>
      </c>
      <c r="AN4" s="95" t="str">
        <f>IFERROR(__xludf.DUMMYFUNCTION("""COMPUTED_VALUE"""),"A Saya tidak suka pada orang yang semena-mena.")</f>
        <v>A Saya tidak suka pada orang yang semena-mena.</v>
      </c>
      <c r="AO4" s="95" t="str">
        <f>IFERROR(__xludf.DUMMYFUNCTION("""COMPUTED_VALUE"""),"B Saya suka menyelesaikan setiap tugas meskipun membutuhkan waktu lama.")</f>
        <v>B Saya suka menyelesaikan setiap tugas meskipun membutuhkan waktu lama.</v>
      </c>
      <c r="AP4" s="95" t="str">
        <f>IFERROR(__xludf.DUMMYFUNCTION("""COMPUTED_VALUE"""),"B Saya suka bertahan menghadapi satu masalah meskipun belum tentu berhasil.")</f>
        <v>B Saya suka bertahan menghadapi satu masalah meskipun belum tentu berhasil.</v>
      </c>
      <c r="AQ4" s="95" t="str">
        <f>IFERROR(__xludf.DUMMYFUNCTION("""COMPUTED_VALUE"""),"B Bila saya harus melakukan suatu tugas, saya ingin mengerjakan sampai selesai.")</f>
        <v>B Bila saya harus melakukan suatu tugas, saya ingin mengerjakan sampai selesai.</v>
      </c>
      <c r="AR4" s="95" t="str">
        <f>IFERROR(__xludf.DUMMYFUNCTION("""COMPUTED_VALUE"""),"B Saya suka belajar keras pada tiap pelajaran yang saya hadapi.")</f>
        <v>B Saya suka belajar keras pada tiap pelajaran yang saya hadapi.</v>
      </c>
      <c r="AS4" s="95" t="str">
        <f>IFERROR(__xludf.DUMMYFUNCTION("""COMPUTED_VALUE"""),"A Saya ingin dapat menyelesaikan persoalan yang dianggap sukar bagi orang lain.")</f>
        <v>A Saya ingin dapat menyelesaikan persoalan yang dianggap sukar bagi orang lain.</v>
      </c>
      <c r="AT4" s="95" t="str">
        <f>IFERROR(__xludf.DUMMYFUNCTION("""COMPUTED_VALUE"""),"B Saya suka membantu orang lain yang menurut saya perlu dikasihani.")</f>
        <v>B Saya suka membantu orang lain yang menurut saya perlu dikasihani.</v>
      </c>
      <c r="AU4" s="95" t="str">
        <f>IFERROR(__xludf.DUMMYFUNCTION("""COMPUTED_VALUE"""),"A Saya ingin menyelesaikan pekerjaan satu persatu sebelum memulai yang lain.")</f>
        <v>A Saya ingin menyelesaikan pekerjaan satu persatu sebelum memulai yang lain.</v>
      </c>
      <c r="AV4" s="95" t="str">
        <f>IFERROR(__xludf.DUMMYFUNCTION("""COMPUTED_VALUE"""),"B Saya suka menolong teman-teman saya.")</f>
        <v>B Saya suka menolong teman-teman saya.</v>
      </c>
      <c r="AW4" s="95" t="str">
        <f>IFERROR(__xludf.DUMMYFUNCTION("""COMPUTED_VALUE"""),"A Saya ingin mengerjakan tugas sampai selesai.")</f>
        <v>A Saya ingin mengerjakan tugas sampai selesai.</v>
      </c>
      <c r="AX4" s="95" t="str">
        <f>IFERROR(__xludf.DUMMYFUNCTION("""COMPUTED_VALUE"""),"B Saya suka memaafkan teman-teman saya yang menyakiti hati saya.")</f>
        <v>B Saya suka memaafkan teman-teman saya yang menyakiti hati saya.</v>
      </c>
      <c r="AY4" s="95" t="str">
        <f>IFERROR(__xludf.DUMMYFUNCTION("""COMPUTED_VALUE"""),"A Saya rasanya ingin marah saat tidak sesuai dengan hati.")</f>
        <v>A Saya rasanya ingin marah saat tidak sesuai dengan hati.</v>
      </c>
      <c r="AZ4" s="95" t="str">
        <f>IFERROR(__xludf.DUMMYFUNCTION("""COMPUTED_VALUE"""),"B Saya suka menunjukkan simpati saya kepada teman-teman saya.")</f>
        <v>B Saya suka menunjukkan simpati saya kepada teman-teman saya.</v>
      </c>
      <c r="BA4" s="95" t="str">
        <f>IFERROR(__xludf.DUMMYFUNCTION("""COMPUTED_VALUE"""),"A Saya suka menyatakan pendapat saya tentang berbagai hal.")</f>
        <v>A Saya suka menyatakan pendapat saya tentang berbagai hal.</v>
      </c>
      <c r="BB4" s="95" t="str">
        <f>IFERROR(__xludf.DUMMYFUNCTION("""COMPUTED_VALUE"""),"B Saya suka bermurah hati terhadap teman-teman saya.")</f>
        <v>B Saya suka bermurah hati terhadap teman-teman saya.</v>
      </c>
      <c r="BC4" s="95" t="str">
        <f>IFERROR(__xludf.DUMMYFUNCTION("""COMPUTED_VALUE"""),"A Saya rasanya ingin mengecam seseorang bila orang itu menjengkelkan.")</f>
        <v>A Saya rasanya ingin mengecam seseorang bila orang itu menjengkelkan.</v>
      </c>
      <c r="BD4" s="95" t="str">
        <f>IFERROR(__xludf.DUMMYFUNCTION("""COMPUTED_VALUE"""),"B Saya suka bersikukuh dengan pendirian saya.")</f>
        <v>B Saya suka bersikukuh dengan pendirian saya.</v>
      </c>
      <c r="BE4" s="95" t="str">
        <f>IFERROR(__xludf.DUMMYFUNCTION("""COMPUTED_VALUE"""),"A Saya suka mendengarkan atau menceritakan hal-hal yang sebaiknya tidak diceritakan.")</f>
        <v>A Saya suka mendengarkan atau menceritakan hal-hal yang sebaiknya tidak diceritakan.</v>
      </c>
      <c r="BF4" s="95" t="str">
        <f>IFERROR(__xludf.DUMMYFUNCTION("""COMPUTED_VALUE"""),"B Bila saya dalam kelompok, saya ingin menentukan apa yang akan kita lakukan.")</f>
        <v>B Bila saya dalam kelompok, saya ingin menentukan apa yang akan kita lakukan.</v>
      </c>
      <c r="BG4" s="95" t="str">
        <f>IFERROR(__xludf.DUMMYFUNCTION("""COMPUTED_VALUE"""),"A Saya ingin teman-teman banyak menunjukkan rasa sayang mereka terhadap saya.")</f>
        <v>A Saya ingin teman-teman banyak menunjukkan rasa sayang mereka terhadap saya.</v>
      </c>
      <c r="BH4" s="95" t="str">
        <f>IFERROR(__xludf.DUMMYFUNCTION("""COMPUTED_VALUE"""),"B Apabila saya berkumpul dalam kelompok, saya ingin dihargai teman-teman.")</f>
        <v>B Apabila saya berkumpul dalam kelompok, saya ingin dihargai teman-teman.</v>
      </c>
      <c r="BI4" s="95" t="str">
        <f>IFERROR(__xludf.DUMMYFUNCTION("""COMPUTED_VALUE"""),"A Saya suka bermurah hati terhadap teman-teman saya.")</f>
        <v>A Saya suka bermurah hati terhadap teman-teman saya.</v>
      </c>
      <c r="BJ4" s="95" t="str">
        <f>IFERROR(__xludf.DUMMYFUNCTION("""COMPUTED_VALUE"""),"B Saya ingin menjadi pemimpin dalam kelompok di mana saya ada di situ")</f>
        <v>B Saya ingin menjadi pemimpin dalam kelompok di mana saya ada di situ</v>
      </c>
      <c r="BK4" s="95" t="str">
        <f>IFERROR(__xludf.DUMMYFUNCTION("""COMPUTED_VALUE"""),"A Saya ingin menyelesaikan pekerjaan satu persatu sebelum memulai yang lain.")</f>
        <v>A Saya ingin menyelesaikan pekerjaan satu persatu sebelum memulai yang lain.</v>
      </c>
      <c r="BL4" s="95" t="str">
        <f>IFERROR(__xludf.DUMMYFUNCTION("""COMPUTED_VALUE"""),"B Saya suka bersikukuh dengan pendirian saya.")</f>
        <v>B Saya suka bersikukuh dengan pendirian saya.</v>
      </c>
      <c r="BM4" s="95" t="str">
        <f>IFERROR(__xludf.DUMMYFUNCTION("""COMPUTED_VALUE"""),"A Saya suka melakukan pekerjaan sebaik mungkin.")</f>
        <v>A Saya suka melakukan pekerjaan sebaik mungkin.</v>
      </c>
      <c r="BN4" s="95" t="str">
        <f>IFERROR(__xludf.DUMMYFUNCTION("""COMPUTED_VALUE"""),"B Saya ingin teman-teman memberi dorongan bila saya menghadapi kegagalan.")</f>
        <v>B Saya ingin teman-teman memberi dorongan bila saya menghadapi kegagalan.</v>
      </c>
      <c r="BO4" s="95" t="str">
        <f>IFERROR(__xludf.DUMMYFUNCTION("""COMPUTED_VALUE"""),"A Saya suka membuat perencanaan sebelum memulai belajar yang sulit.")</f>
        <v>A Saya suka membuat perencanaan sebelum memulai belajar yang sulit.</v>
      </c>
      <c r="BP4" s="95" t="str">
        <f>IFERROR(__xludf.DUMMYFUNCTION("""COMPUTED_VALUE"""),"B Saya ingin teman-teman saya merasa kasihan pada saya apabila saya sakit.")</f>
        <v>B Saya ingin teman-teman saya merasa kasihan pada saya apabila saya sakit.</v>
      </c>
      <c r="BQ4" s="95" t="str">
        <f>IFERROR(__xludf.DUMMYFUNCTION("""COMPUTED_VALUE"""),"A Saya ingin mengerjakannya tugas sampai selesai.")</f>
        <v>A Saya ingin mengerjakannya tugas sampai selesai.</v>
      </c>
      <c r="BR4" s="95" t="str">
        <f>IFERROR(__xludf.DUMMYFUNCTION("""COMPUTED_VALUE"""),"B Saya ingin agar teman-teman saya bersimpati dan menghibur saya bila saya sedih.")</f>
        <v>B Saya ingin agar teman-teman saya bersimpati dan menghibur saya bila saya sedih.</v>
      </c>
      <c r="BS4" s="95" t="str">
        <f>IFERROR(__xludf.DUMMYFUNCTION("""COMPUTED_VALUE"""),"A Saya suka menghindar dari tanggung jawab yang tidak saya inginkan.")</f>
        <v>A Saya suka menghindar dari tanggung jawab yang tidak saya inginkan.</v>
      </c>
      <c r="BT4" s="95" t="str">
        <f>IFERROR(__xludf.DUMMYFUNCTION("""COMPUTED_VALUE"""),"B Saya ingin teman-teman banyak menunjukkan rasa sayang mereka terhadap saya.")</f>
        <v>B Saya ingin teman-teman banyak menunjukkan rasa sayang mereka terhadap saya.</v>
      </c>
      <c r="BU4" s="95" t="str">
        <f>IFERROR(__xludf.DUMMYFUNCTION("""COMPUTED_VALUE"""),"A Saya kadang-kadang suka melakukan hal-hal yang dapat dipuji oleh orang lain.")</f>
        <v>A Saya kadang-kadang suka melakukan hal-hal yang dapat dipuji oleh orang lain.</v>
      </c>
      <c r="BV4" s="95" t="str">
        <f>IFERROR(__xludf.DUMMYFUNCTION("""COMPUTED_VALUE"""),"B Saya ingin teman-teman dengan gembira memberikan pertolongan kepada saya.")</f>
        <v>B Saya ingin teman-teman dengan gembira memberikan pertolongan kepada saya.</v>
      </c>
      <c r="BW4" s="95" t="str">
        <f>IFERROR(__xludf.DUMMYFUNCTION("""COMPUTED_VALUE"""),"A Saya akan menyerang pendapat yang bertentangan dengan pendirian saya.")</f>
        <v>A Saya akan menyerang pendapat yang bertentangan dengan pendirian saya.</v>
      </c>
      <c r="BX4" s="95" t="str">
        <f>IFERROR(__xludf.DUMMYFUNCTION("""COMPUTED_VALUE"""),"B Saya kadang-kadang suka melakukan hal-hal yang dapat dipuji oleh orang lain.")</f>
        <v>B Saya kadang-kadang suka melakukan hal-hal yang dapat dipuji oleh orang lain.</v>
      </c>
      <c r="BY4" s="95" t="str">
        <f>IFERROR(__xludf.DUMMYFUNCTION("""COMPUTED_VALUE"""),"A Saya suka melamun atau membayangkan hal-hal yang tidak jelas.")</f>
        <v>A Saya suka melamun atau membayangkan hal-hal yang tidak jelas.</v>
      </c>
      <c r="BZ4" s="95" t="str">
        <f>IFERROR(__xludf.DUMMYFUNCTION("""COMPUTED_VALUE"""),"B Saya suka diperhatikan, apabila saya ada di dalam suatu kelompok.")</f>
        <v>B Saya suka diperhatikan, apabila saya ada di dalam suatu kelompok.</v>
      </c>
      <c r="CA4" s="95" t="str">
        <f>IFERROR(__xludf.DUMMYFUNCTION("""COMPUTED_VALUE"""),"A Saya ingin teman-teman dengan gembira memberikan pertolongan kepada saya.")</f>
        <v>A Saya ingin teman-teman dengan gembira memberikan pertolongan kepada saya.</v>
      </c>
      <c r="CB4" s="95" t="str">
        <f>IFERROR(__xludf.DUMMYFUNCTION("""COMPUTED_VALUE"""),"B Saya suka berbicara tentang hal-hal yang telah saya capai.")</f>
        <v>B Saya suka berbicara tentang hal-hal yang telah saya capai.</v>
      </c>
      <c r="CC4" s="95" t="str">
        <f>IFERROR(__xludf.DUMMYFUNCTION("""COMPUTED_VALUE"""),"A Apabila saya berkumpul dalam kelompok, saya ingin dihargai teman-teman.")</f>
        <v>A Apabila saya berkumpul dalam kelompok, saya ingin dihargai teman-teman.</v>
      </c>
      <c r="CD4" s="95" t="str">
        <f>IFERROR(__xludf.DUMMYFUNCTION("""COMPUTED_VALUE"""),"B Saya suka berkata yang artinya sulit dipahami oleh orang lain.")</f>
        <v>B Saya suka berkata yang artinya sulit dipahami oleh orang lain.</v>
      </c>
      <c r="CE4" s="95" t="str">
        <f>IFERROR(__xludf.DUMMYFUNCTION("""COMPUTED_VALUE"""),"A Saya suka menyelesaikan setiap tugas belajar yang telah saya mulai.")</f>
        <v>A Saya suka menyelesaikan setiap tugas belajar yang telah saya mulai.</v>
      </c>
      <c r="CF4" s="95" t="str">
        <f>IFERROR(__xludf.DUMMYFUNCTION("""COMPUTED_VALUE"""),"B Saya ingin orang lain memperhatikan dan berkomentar tentang penampilan saya.")</f>
        <v>B Saya ingin orang lain memperhatikan dan berkomentar tentang penampilan saya.</v>
      </c>
      <c r="CG4" s="95" t="str">
        <f>IFERROR(__xludf.DUMMYFUNCTION("""COMPUTED_VALUE"""),"A Saya ingin berhasil dalam apa yang saya lakukan.")</f>
        <v>A Saya ingin berhasil dalam apa yang saya lakukan.</v>
      </c>
      <c r="CH4" s="95" t="str">
        <f>IFERROR(__xludf.DUMMYFUNCTION("""COMPUTED_VALUE"""),"B Saya suka dengan orang yang berpenampilan menarik.")</f>
        <v>B Saya suka dengan orang yang berpenampilan menarik.</v>
      </c>
      <c r="CI4" s="95" t="str">
        <f>IFERROR(__xludf.DUMMYFUNCTION("""COMPUTED_VALUE"""),"A Saya suka belajar saya teratur dan ada waktu-waktu tertentu untuk belajar.")</f>
        <v>A Saya suka belajar saya teratur dan ada waktu-waktu tertentu untuk belajar.</v>
      </c>
      <c r="CJ4" s="95" t="str">
        <f>IFERROR(__xludf.DUMMYFUNCTION("""COMPUTED_VALUE"""),"B Saya suka kalau bercerita tentang hal-hal pribadi yang seharusnya tidak perlu diketahui orang lain.")</f>
        <v>B Saya suka kalau bercerita tentang hal-hal pribadi yang seharusnya tidak perlu diketahui orang lain.</v>
      </c>
      <c r="CK4" s="95" t="str">
        <f>IFERROR(__xludf.DUMMYFUNCTION("""COMPUTED_VALUE"""),"A Saya suka bertahan menghadapi satu masalah, meskipun belum tentu berhasil.")</f>
        <v>A Saya suka bertahan menghadapi satu masalah, meskipun belum tentu berhasil.</v>
      </c>
      <c r="CL4" s="95" t="str">
        <f>IFERROR(__xludf.DUMMYFUNCTION("""COMPUTED_VALUE"""),"B Saya berkeinginan untuk bersama teman yang menurut saya menarik.")</f>
        <v>B Saya berkeinginan untuk bersama teman yang menurut saya menarik.</v>
      </c>
      <c r="CM4" s="95" t="str">
        <f>IFERROR(__xludf.DUMMYFUNCTION("""COMPUTED_VALUE"""),"A Saya ingin ditunjuk atau dipilih sebagai ketua dalam suatu kelompok.")</f>
        <v>A Saya ingin ditunjuk atau dipilih sebagai ketua dalam suatu kelompok.</v>
      </c>
      <c r="CN4" s="95" t="str">
        <f>IFERROR(__xludf.DUMMYFUNCTION("""COMPUTED_VALUE"""),"B Saya suka mendengarkan atau menceritakan hal-hal yang tidak pantas.")</f>
        <v>B Saya suka mendengarkan atau menceritakan hal-hal yang tidak pantas.</v>
      </c>
      <c r="CO4" s="95" t="str">
        <f>IFERROR(__xludf.DUMMYFUNCTION("""COMPUTED_VALUE"""),"A Saya suka menceritakan hal-hal lucu agar diperhatikan oleh orang lain.")</f>
        <v>A Saya suka menceritakan hal-hal lucu agar diperhatikan oleh orang lain.</v>
      </c>
      <c r="CP4" s="95" t="str">
        <f>IFERROR(__xludf.DUMMYFUNCTION("""COMPUTED_VALUE"""),"B Saya ingin dianggap menarik oleh orang lain.")</f>
        <v>B Saya ingin dianggap menarik oleh orang lain.</v>
      </c>
      <c r="CQ4" s="95" t="str">
        <f>IFERROR(__xludf.DUMMYFUNCTION("""COMPUTED_VALUE"""),"A Saya ingin menggertak orang bila saya berbeda pendapat dengan mereka.")</f>
        <v>A Saya ingin menggertak orang bila saya berbeda pendapat dengan mereka.</v>
      </c>
      <c r="CR4" s="95" t="str">
        <f>IFERROR(__xludf.DUMMYFUNCTION("""COMPUTED_VALUE"""),"A Saya ingin memperolok-olok orang yang saya anggap melakukan tindakan bodoh.")</f>
        <v>A Saya ingin memperolok-olok orang yang saya anggap melakukan tindakan bodoh.</v>
      </c>
      <c r="CS4" s="95" t="str">
        <f>IFERROR(__xludf.DUMMYFUNCTION("""COMPUTED_VALUE"""),"B Saya rasanya ingin membalas dendam bila seseorang menghina saya.")</f>
        <v>B Saya rasanya ingin membalas dendam bila seseorang menghina saya.</v>
      </c>
      <c r="CT4" s="95" t="str">
        <f>IFERROR(__xludf.DUMMYFUNCTION("""COMPUTED_VALUE"""),"B Saya saat marah rasanya ingin melemparkan dan merusak barang-barang.")</f>
        <v>B Saya saat marah rasanya ingin melemparkan dan merusak barang-barang.</v>
      </c>
      <c r="CU4" s="95" t="str">
        <f>IFERROR(__xludf.DUMMYFUNCTION("""COMPUTED_VALUE"""),"A Saya ingin diperlakukan dengan ramah oleh teman-teman saya.")</f>
        <v>A Saya ingin diperlakukan dengan ramah oleh teman-teman saya.</v>
      </c>
      <c r="CV4" s="95" t="str">
        <f>IFERROR(__xludf.DUMMYFUNCTION("""COMPUTED_VALUE"""),"A Saya ingin ditunjuk atau dipilih sebagai ketua dalam suatu kelompok.")</f>
        <v>A Saya ingin ditunjuk atau dipilih sebagai ketua dalam suatu kelompok.</v>
      </c>
      <c r="CW4" s="95" t="str">
        <f>IFERROR(__xludf.DUMMYFUNCTION("""COMPUTED_VALUE"""),"A Saya suka menolong teman-teman saya, apabila mereka dalam kesulitan.")</f>
        <v>A Saya suka menolong teman-teman saya, apabila mereka dalam kesulitan.</v>
      </c>
      <c r="CX4" s="95" t="str">
        <f>IFERROR(__xludf.DUMMYFUNCTION("""COMPUTED_VALUE"""),"A Saya suka belajar sampai malam untuk menyelesaikan suatu tugas.")</f>
        <v>A Saya suka belajar sampai malam untuk menyelesaikan suatu tugas.</v>
      </c>
      <c r="CY4" s="95" t="str">
        <f>IFERROR(__xludf.DUMMYFUNCTION("""COMPUTED_VALUE"""),"A Saya ingin tidak tergantung dari orang lain terhadap apa yang akan saya lakukan.")</f>
        <v>A Saya ingin tidak tergantung dari orang lain terhadap apa yang akan saya lakukan.</v>
      </c>
      <c r="CZ4" s="95" t="str">
        <f>IFERROR(__xludf.DUMMYFUNCTION("""COMPUTED_VALUE"""),"A Saya suka merencanakan dan mengatur setiap pekerjaan yang harus saya lakukan.")</f>
        <v>A Saya suka merencanakan dan mengatur setiap pekerjaan yang harus saya lakukan.</v>
      </c>
      <c r="DA4" s="95" t="str">
        <f>IFERROR(__xludf.DUMMYFUNCTION("""COMPUTED_VALUE"""),"A Saya ingin melakukan apa saja sebaik mungkin.")</f>
        <v>A Saya ingin melakukan apa saja sebaik mungkin.</v>
      </c>
      <c r="DB4" s="89" t="s">
        <v>23</v>
      </c>
      <c r="DC4" s="97" t="str">
        <f t="shared" ref="DC4:GX4" si="2">LEFT(F4,1)</f>
        <v>B</v>
      </c>
      <c r="DD4" s="97" t="str">
        <f t="shared" si="2"/>
        <v>A</v>
      </c>
      <c r="DE4" s="97" t="str">
        <f t="shared" si="2"/>
        <v>B</v>
      </c>
      <c r="DF4" s="97" t="str">
        <f t="shared" si="2"/>
        <v>B</v>
      </c>
      <c r="DG4" s="97" t="str">
        <f t="shared" si="2"/>
        <v>A</v>
      </c>
      <c r="DH4" s="97" t="str">
        <f t="shared" si="2"/>
        <v>B</v>
      </c>
      <c r="DI4" s="97" t="str">
        <f t="shared" si="2"/>
        <v>B</v>
      </c>
      <c r="DJ4" s="97" t="str">
        <f t="shared" si="2"/>
        <v>B</v>
      </c>
      <c r="DK4" s="97" t="str">
        <f t="shared" si="2"/>
        <v>A</v>
      </c>
      <c r="DL4" s="97" t="str">
        <f t="shared" si="2"/>
        <v>B</v>
      </c>
      <c r="DM4" s="97" t="str">
        <f t="shared" si="2"/>
        <v>A</v>
      </c>
      <c r="DN4" s="97" t="str">
        <f t="shared" si="2"/>
        <v>B</v>
      </c>
      <c r="DO4" s="97" t="str">
        <f t="shared" si="2"/>
        <v>B</v>
      </c>
      <c r="DP4" s="97" t="str">
        <f t="shared" si="2"/>
        <v>B</v>
      </c>
      <c r="DQ4" s="97" t="str">
        <f t="shared" si="2"/>
        <v>B</v>
      </c>
      <c r="DR4" s="97" t="str">
        <f t="shared" si="2"/>
        <v>B</v>
      </c>
      <c r="DS4" s="97" t="str">
        <f t="shared" si="2"/>
        <v>B</v>
      </c>
      <c r="DT4" s="97" t="str">
        <f t="shared" si="2"/>
        <v>B</v>
      </c>
      <c r="DU4" s="97" t="str">
        <f t="shared" si="2"/>
        <v>B</v>
      </c>
      <c r="DV4" s="97" t="str">
        <f t="shared" si="2"/>
        <v>B</v>
      </c>
      <c r="DW4" s="97" t="str">
        <f t="shared" si="2"/>
        <v>B</v>
      </c>
      <c r="DX4" s="97" t="str">
        <f t="shared" si="2"/>
        <v>A</v>
      </c>
      <c r="DY4" s="97" t="str">
        <f t="shared" si="2"/>
        <v>B</v>
      </c>
      <c r="DZ4" s="97" t="str">
        <f t="shared" si="2"/>
        <v>A</v>
      </c>
      <c r="EA4" s="97" t="str">
        <f t="shared" si="2"/>
        <v>A</v>
      </c>
      <c r="EB4" s="97" t="str">
        <f t="shared" si="2"/>
        <v>B</v>
      </c>
      <c r="EC4" s="97" t="str">
        <f t="shared" si="2"/>
        <v>B</v>
      </c>
      <c r="ED4" s="97" t="str">
        <f t="shared" si="2"/>
        <v>B</v>
      </c>
      <c r="EE4" s="97" t="str">
        <f t="shared" si="2"/>
        <v>A</v>
      </c>
      <c r="EF4" s="97" t="str">
        <f t="shared" si="2"/>
        <v>B</v>
      </c>
      <c r="EG4" s="97" t="str">
        <f t="shared" si="2"/>
        <v>B</v>
      </c>
      <c r="EH4" s="97" t="str">
        <f t="shared" si="2"/>
        <v>A</v>
      </c>
      <c r="EI4" s="97" t="str">
        <f t="shared" si="2"/>
        <v>B</v>
      </c>
      <c r="EJ4" s="97" t="str">
        <f t="shared" si="2"/>
        <v>A</v>
      </c>
      <c r="EK4" s="97" t="str">
        <f t="shared" si="2"/>
        <v>A</v>
      </c>
      <c r="EL4" s="97" t="str">
        <f t="shared" si="2"/>
        <v>B</v>
      </c>
      <c r="EM4" s="97" t="str">
        <f t="shared" si="2"/>
        <v>B</v>
      </c>
      <c r="EN4" s="97" t="str">
        <f t="shared" si="2"/>
        <v>B</v>
      </c>
      <c r="EO4" s="97" t="str">
        <f t="shared" si="2"/>
        <v>B</v>
      </c>
      <c r="EP4" s="97" t="str">
        <f t="shared" si="2"/>
        <v>A</v>
      </c>
      <c r="EQ4" s="97" t="str">
        <f t="shared" si="2"/>
        <v>B</v>
      </c>
      <c r="ER4" s="97" t="str">
        <f t="shared" si="2"/>
        <v>A</v>
      </c>
      <c r="ES4" s="97" t="str">
        <f t="shared" si="2"/>
        <v>B</v>
      </c>
      <c r="ET4" s="97" t="str">
        <f t="shared" si="2"/>
        <v>A</v>
      </c>
      <c r="EU4" s="97" t="str">
        <f t="shared" si="2"/>
        <v>B</v>
      </c>
      <c r="EV4" s="97" t="str">
        <f t="shared" si="2"/>
        <v>A</v>
      </c>
      <c r="EW4" s="97" t="str">
        <f t="shared" si="2"/>
        <v>B</v>
      </c>
      <c r="EX4" s="97" t="str">
        <f t="shared" si="2"/>
        <v>A</v>
      </c>
      <c r="EY4" s="97" t="str">
        <f t="shared" si="2"/>
        <v>B</v>
      </c>
      <c r="EZ4" s="97" t="str">
        <f t="shared" si="2"/>
        <v>A</v>
      </c>
      <c r="FA4" s="97" t="str">
        <f t="shared" si="2"/>
        <v>B</v>
      </c>
      <c r="FB4" s="97" t="str">
        <f t="shared" si="2"/>
        <v>A</v>
      </c>
      <c r="FC4" s="97" t="str">
        <f t="shared" si="2"/>
        <v>B</v>
      </c>
      <c r="FD4" s="97" t="str">
        <f t="shared" si="2"/>
        <v>A</v>
      </c>
      <c r="FE4" s="97" t="str">
        <f t="shared" si="2"/>
        <v>B</v>
      </c>
      <c r="FF4" s="97" t="str">
        <f t="shared" si="2"/>
        <v>A</v>
      </c>
      <c r="FG4" s="97" t="str">
        <f t="shared" si="2"/>
        <v>B</v>
      </c>
      <c r="FH4" s="97" t="str">
        <f t="shared" si="2"/>
        <v>A</v>
      </c>
      <c r="FI4" s="97" t="str">
        <f t="shared" si="2"/>
        <v>B</v>
      </c>
      <c r="FJ4" s="97" t="str">
        <f t="shared" si="2"/>
        <v>A</v>
      </c>
      <c r="FK4" s="97" t="str">
        <f t="shared" si="2"/>
        <v>B</v>
      </c>
      <c r="FL4" s="97" t="str">
        <f t="shared" si="2"/>
        <v>A</v>
      </c>
      <c r="FM4" s="97" t="str">
        <f t="shared" si="2"/>
        <v>B</v>
      </c>
      <c r="FN4" s="97" t="str">
        <f t="shared" si="2"/>
        <v>A</v>
      </c>
      <c r="FO4" s="97" t="str">
        <f t="shared" si="2"/>
        <v>B</v>
      </c>
      <c r="FP4" s="97" t="str">
        <f t="shared" si="2"/>
        <v>A</v>
      </c>
      <c r="FQ4" s="97" t="str">
        <f t="shared" si="2"/>
        <v>B</v>
      </c>
      <c r="FR4" s="97" t="str">
        <f t="shared" si="2"/>
        <v>A</v>
      </c>
      <c r="FS4" s="97" t="str">
        <f t="shared" si="2"/>
        <v>B</v>
      </c>
      <c r="FT4" s="97" t="str">
        <f t="shared" si="2"/>
        <v>A</v>
      </c>
      <c r="FU4" s="97" t="str">
        <f t="shared" si="2"/>
        <v>B</v>
      </c>
      <c r="FV4" s="97" t="str">
        <f t="shared" si="2"/>
        <v>A</v>
      </c>
      <c r="FW4" s="97" t="str">
        <f t="shared" si="2"/>
        <v>B</v>
      </c>
      <c r="FX4" s="97" t="str">
        <f t="shared" si="2"/>
        <v>A</v>
      </c>
      <c r="FY4" s="97" t="str">
        <f t="shared" si="2"/>
        <v>B</v>
      </c>
      <c r="FZ4" s="97" t="str">
        <f t="shared" si="2"/>
        <v>A</v>
      </c>
      <c r="GA4" s="97" t="str">
        <f t="shared" si="2"/>
        <v>B</v>
      </c>
      <c r="GB4" s="97" t="str">
        <f t="shared" si="2"/>
        <v>A</v>
      </c>
      <c r="GC4" s="97" t="str">
        <f t="shared" si="2"/>
        <v>B</v>
      </c>
      <c r="GD4" s="97" t="str">
        <f t="shared" si="2"/>
        <v>A</v>
      </c>
      <c r="GE4" s="97" t="str">
        <f t="shared" si="2"/>
        <v>B</v>
      </c>
      <c r="GF4" s="97" t="str">
        <f t="shared" si="2"/>
        <v>A</v>
      </c>
      <c r="GG4" s="97" t="str">
        <f t="shared" si="2"/>
        <v>B</v>
      </c>
      <c r="GH4" s="97" t="str">
        <f t="shared" si="2"/>
        <v>A</v>
      </c>
      <c r="GI4" s="97" t="str">
        <f t="shared" si="2"/>
        <v>B</v>
      </c>
      <c r="GJ4" s="97" t="str">
        <f t="shared" si="2"/>
        <v>A</v>
      </c>
      <c r="GK4" s="97" t="str">
        <f t="shared" si="2"/>
        <v>B</v>
      </c>
      <c r="GL4" s="97" t="str">
        <f t="shared" si="2"/>
        <v>A</v>
      </c>
      <c r="GM4" s="97" t="str">
        <f t="shared" si="2"/>
        <v>B</v>
      </c>
      <c r="GN4" s="97" t="str">
        <f t="shared" si="2"/>
        <v>A</v>
      </c>
      <c r="GO4" s="97" t="str">
        <f t="shared" si="2"/>
        <v>A</v>
      </c>
      <c r="GP4" s="97" t="str">
        <f t="shared" si="2"/>
        <v>B</v>
      </c>
      <c r="GQ4" s="97" t="str">
        <f t="shared" si="2"/>
        <v>B</v>
      </c>
      <c r="GR4" s="97" t="str">
        <f t="shared" si="2"/>
        <v>A</v>
      </c>
      <c r="GS4" s="97" t="str">
        <f t="shared" si="2"/>
        <v>A</v>
      </c>
      <c r="GT4" s="97" t="str">
        <f t="shared" si="2"/>
        <v>A</v>
      </c>
      <c r="GU4" s="97" t="str">
        <f t="shared" si="2"/>
        <v>A</v>
      </c>
      <c r="GV4" s="97" t="str">
        <f t="shared" si="2"/>
        <v>A</v>
      </c>
      <c r="GW4" s="97" t="str">
        <f t="shared" si="2"/>
        <v>A</v>
      </c>
      <c r="GX4" s="97" t="str">
        <f t="shared" si="2"/>
        <v>A</v>
      </c>
      <c r="GY4" s="98"/>
      <c r="GZ4" s="97">
        <f t="shared" si="3"/>
        <v>45</v>
      </c>
      <c r="HA4" s="97">
        <f t="shared" si="4"/>
        <v>55</v>
      </c>
      <c r="HB4" s="90">
        <f t="shared" si="5"/>
        <v>100</v>
      </c>
      <c r="HC4" s="99"/>
      <c r="HD4" s="97">
        <f t="shared" si="6"/>
        <v>4</v>
      </c>
      <c r="HE4" s="97">
        <f t="shared" si="7"/>
        <v>6</v>
      </c>
      <c r="HF4" s="90">
        <f t="shared" si="8"/>
        <v>10</v>
      </c>
      <c r="HG4" s="99"/>
      <c r="HH4" s="97">
        <f t="shared" si="9"/>
        <v>6</v>
      </c>
      <c r="HI4" s="97">
        <f t="shared" si="10"/>
        <v>9</v>
      </c>
      <c r="HJ4" s="90">
        <f t="shared" si="11"/>
        <v>15</v>
      </c>
      <c r="HK4" s="99"/>
      <c r="HL4" s="97">
        <f t="shared" si="12"/>
        <v>3</v>
      </c>
      <c r="HM4" s="97">
        <f t="shared" si="13"/>
        <v>6</v>
      </c>
      <c r="HN4" s="90">
        <f t="shared" si="14"/>
        <v>9</v>
      </c>
      <c r="HO4" s="99"/>
      <c r="HP4" s="97">
        <f t="shared" si="15"/>
        <v>5</v>
      </c>
      <c r="HQ4" s="97">
        <f t="shared" si="16"/>
        <v>6</v>
      </c>
      <c r="HR4" s="90">
        <f t="shared" si="17"/>
        <v>11</v>
      </c>
      <c r="HS4" s="99"/>
      <c r="HT4" s="97">
        <f t="shared" si="18"/>
        <v>5</v>
      </c>
      <c r="HU4" s="97">
        <f t="shared" si="19"/>
        <v>5</v>
      </c>
      <c r="HV4" s="90">
        <f t="shared" si="20"/>
        <v>10</v>
      </c>
      <c r="HW4" s="99"/>
      <c r="HX4" s="97">
        <f t="shared" si="21"/>
        <v>5</v>
      </c>
      <c r="HY4" s="97">
        <f t="shared" si="22"/>
        <v>5</v>
      </c>
      <c r="HZ4" s="90">
        <f t="shared" si="23"/>
        <v>10</v>
      </c>
      <c r="IA4" s="99"/>
      <c r="IB4" s="97">
        <f t="shared" si="24"/>
        <v>4</v>
      </c>
      <c r="IC4" s="97">
        <f t="shared" si="25"/>
        <v>5</v>
      </c>
      <c r="ID4" s="90">
        <f t="shared" si="26"/>
        <v>9</v>
      </c>
      <c r="IE4" s="99"/>
      <c r="IF4" s="97">
        <f t="shared" si="27"/>
        <v>3</v>
      </c>
      <c r="IG4" s="97">
        <f t="shared" si="28"/>
        <v>5</v>
      </c>
      <c r="IH4" s="90">
        <f t="shared" si="29"/>
        <v>8</v>
      </c>
      <c r="II4" s="99"/>
      <c r="IJ4" s="97">
        <f t="shared" si="30"/>
        <v>5</v>
      </c>
      <c r="IK4" s="97">
        <f t="shared" si="31"/>
        <v>5</v>
      </c>
      <c r="IL4" s="90">
        <f t="shared" si="32"/>
        <v>10</v>
      </c>
      <c r="IM4" s="99"/>
      <c r="IN4" s="97">
        <f t="shared" si="33"/>
        <v>4</v>
      </c>
      <c r="IO4" s="97">
        <f t="shared" si="34"/>
        <v>2</v>
      </c>
      <c r="IP4" s="90">
        <f t="shared" si="35"/>
        <v>6</v>
      </c>
      <c r="IQ4" s="99"/>
      <c r="IR4" s="99"/>
      <c r="IS4" s="100">
        <f t="shared" si="36"/>
        <v>10</v>
      </c>
      <c r="IT4" s="100">
        <f t="shared" si="37"/>
        <v>15</v>
      </c>
      <c r="IU4" s="100">
        <f t="shared" si="38"/>
        <v>9</v>
      </c>
      <c r="IV4" s="100">
        <f t="shared" si="39"/>
        <v>11</v>
      </c>
      <c r="IW4" s="100">
        <f t="shared" si="40"/>
        <v>10</v>
      </c>
      <c r="IX4" s="100">
        <f t="shared" si="41"/>
        <v>10</v>
      </c>
      <c r="IY4" s="100">
        <f t="shared" si="42"/>
        <v>9</v>
      </c>
      <c r="IZ4" s="100">
        <f t="shared" si="43"/>
        <v>8</v>
      </c>
      <c r="JA4" s="100">
        <f t="shared" si="44"/>
        <v>10</v>
      </c>
      <c r="JB4" s="101">
        <f t="shared" si="45"/>
        <v>6</v>
      </c>
      <c r="JC4" s="102">
        <f t="shared" si="46"/>
        <v>98</v>
      </c>
      <c r="JD4" s="67">
        <f t="shared" ref="JD4:JD170" si="50">countif(IS4:IW4,"&lt;6")</f>
        <v>0</v>
      </c>
      <c r="JE4" s="67">
        <f t="shared" si="47"/>
        <v>2</v>
      </c>
      <c r="JF4" s="67">
        <f t="shared" si="48"/>
        <v>2</v>
      </c>
    </row>
    <row r="5">
      <c r="A5" s="103">
        <f>IFERROR(__xludf.DUMMYFUNCTION("""COMPUTED_VALUE"""),45918.528036689815)</f>
        <v>45918.52804</v>
      </c>
      <c r="B5" s="95" t="str">
        <f>IFERROR(__xludf.DUMMYFUNCTION("""COMPUTED_VALUE"""),"Aviccena syahdan haqqani ")</f>
        <v>Aviccena syahdan haqqani </v>
      </c>
      <c r="C5" s="96" t="str">
        <f>IFERROR(__xludf.DUMMYFUNCTION("""COMPUTED_VALUE"""),"A250060")</f>
        <v>A250060</v>
      </c>
      <c r="D5" s="96" t="str">
        <f>IFERROR(__xludf.DUMMYFUNCTION("""COMPUTED_VALUE"""),"MTs Putra")</f>
        <v>MTs Putra</v>
      </c>
      <c r="E5" s="96" t="str">
        <f>IFERROR(__xludf.DUMMYFUNCTION("""COMPUTED_VALUE"""),"Ya")</f>
        <v>Ya</v>
      </c>
      <c r="F5" s="95" t="str">
        <f>IFERROR(__xludf.DUMMYFUNCTION("""COMPUTED_VALUE"""),"B Saya ingin melakukan apa saja sebaik mungkin.")</f>
        <v>B Saya ingin melakukan apa saja sebaik mungkin.</v>
      </c>
      <c r="G5" s="95" t="str">
        <f>IFERROR(__xludf.DUMMYFUNCTION("""COMPUTED_VALUE"""),"A Saya ingin setiap tulisan saya teliti, rapi, dan tersusun dengan baik.")</f>
        <v>A Saya ingin setiap tulisan saya teliti, rapi, dan tersusun dengan baik.</v>
      </c>
      <c r="H5" s="95" t="str">
        <f>IFERROR(__xludf.DUMMYFUNCTION("""COMPUTED_VALUE"""),"B Saya ingin menjadi orang yang diakui dalam suatu pekerjaan atau bidang khusus.")</f>
        <v>B Saya ingin menjadi orang yang diakui dalam suatu pekerjaan atau bidang khusus.</v>
      </c>
      <c r="I5" s="95" t="str">
        <f>IFERROR(__xludf.DUMMYFUNCTION("""COMPUTED_VALUE"""),"B Saya ingin bisa melakukan dengan baik meskipun tugas yang sulit.")</f>
        <v>B Saya ingin bisa melakukan dengan baik meskipun tugas yang sulit.</v>
      </c>
      <c r="J5" s="95" t="str">
        <f>IFERROR(__xludf.DUMMYFUNCTION("""COMPUTED_VALUE"""),"A Saya suka membantu teman-teman saya apabila mereka mengalami kesulitan.")</f>
        <v>A Saya suka membantu teman-teman saya apabila mereka mengalami kesulitan.</v>
      </c>
      <c r="K5" s="95" t="str">
        <f>IFERROR(__xludf.DUMMYFUNCTION("""COMPUTED_VALUE"""),"A Saya ingin menjadi pemimpin dalam suatu kelompok.")</f>
        <v>A Saya ingin menjadi pemimpin dalam suatu kelompok.</v>
      </c>
      <c r="L5" s="95" t="str">
        <f>IFERROR(__xludf.DUMMYFUNCTION("""COMPUTED_VALUE"""),"A Saya ingin menjadi pemimpin dalam suatu kelompok")</f>
        <v>A Saya ingin menjadi pemimpin dalam suatu kelompok</v>
      </c>
      <c r="M5" s="95" t="str">
        <f>IFERROR(__xludf.DUMMYFUNCTION("""COMPUTED_VALUE"""),"B Saya ingin mengerjakan segala tugas lebih baik daripada orang lain.")</f>
        <v>B Saya ingin mengerjakan segala tugas lebih baik daripada orang lain.</v>
      </c>
      <c r="N5" s="95" t="str">
        <f>IFERROR(__xludf.DUMMYFUNCTION("""COMPUTED_VALUE"""),"A Saya suka pergi dengan pakaian rapi agar lebih menarik perhatian orang lain.")</f>
        <v>A Saya suka pergi dengan pakaian rapi agar lebih menarik perhatian orang lain.</v>
      </c>
      <c r="O5" s="95" t="str">
        <f>IFERROR(__xludf.DUMMYFUNCTION("""COMPUTED_VALUE"""),"B Saya suka melakukan tugas sebaik mungkin.")</f>
        <v>B Saya suka melakukan tugas sebaik mungkin.</v>
      </c>
      <c r="P5" s="95" t="str">
        <f>IFERROR(__xludf.DUMMYFUNCTION("""COMPUTED_VALUE"""),"B Saya ingin setiap belajar itu teratur dan direncanakan.")</f>
        <v>B Saya ingin setiap belajar itu teratur dan direncanakan.</v>
      </c>
      <c r="Q5" s="95" t="str">
        <f>IFERROR(__xludf.DUMMYFUNCTION("""COMPUTED_VALUE"""),"B Saya merencanakan keperluan yang dibutuhkan sebelum bepergian.")</f>
        <v>B Saya merencanakan keperluan yang dibutuhkan sebelum bepergian.</v>
      </c>
      <c r="R5" s="95" t="str">
        <f>IFERROR(__xludf.DUMMYFUNCTION("""COMPUTED_VALUE"""),"B Saya suka barang-barang saya tersusun rapi dan teratur.")</f>
        <v>B Saya suka barang-barang saya tersusun rapi dan teratur.</v>
      </c>
      <c r="S5" s="95" t="str">
        <f>IFERROR(__xludf.DUMMYFUNCTION("""COMPUTED_VALUE"""),"B Saya suka membuat perencanaan sebelum memulai tugas yang sulit.")</f>
        <v>B Saya suka membuat perencanaan sebelum memulai tugas yang sulit.</v>
      </c>
      <c r="T5" s="95" t="str">
        <f>IFERROR(__xludf.DUMMYFUNCTION("""COMPUTED_VALUE"""),"B Saya ingin agar hidup saya teratur sesuai cita-cita saya.")</f>
        <v>B Saya ingin agar hidup saya teratur sesuai cita-cita saya.</v>
      </c>
      <c r="U5" s="95" t="str">
        <f>IFERROR(__xludf.DUMMYFUNCTION("""COMPUTED_VALUE"""),"B Saya suka menyimpan catatan secara rapi.")</f>
        <v>B Saya suka menyimpan catatan secara rapi.</v>
      </c>
      <c r="V5" s="95" t="str">
        <f>IFERROR(__xludf.DUMMYFUNCTION("""COMPUTED_VALUE"""),"A Saya suka belajar sampai malam untuk menyelesaikan suatu tugas.")</f>
        <v>A Saya suka belajar sampai malam untuk menyelesaikan suatu tugas.</v>
      </c>
      <c r="W5" s="95" t="str">
        <f>IFERROR(__xludf.DUMMYFUNCTION("""COMPUTED_VALUE"""),"B Saya ingin kegiatan itu teratur dan direncanakan.")</f>
        <v>B Saya ingin kegiatan itu teratur dan direncanakan.</v>
      </c>
      <c r="X5" s="95" t="str">
        <f>IFERROR(__xludf.DUMMYFUNCTION("""COMPUTED_VALUE"""),"A Saya suka merencanakan dan mengatur setiap apa yang harus saya lakukan.")</f>
        <v>A Saya suka merencanakan dan mengatur setiap apa yang harus saya lakukan.</v>
      </c>
      <c r="Y5" s="95" t="str">
        <f>IFERROR(__xludf.DUMMYFUNCTION("""COMPUTED_VALUE"""),"B Saya senang merencanakan untuk masa depan.")</f>
        <v>B Saya senang merencanakan untuk masa depan.</v>
      </c>
      <c r="Z5" s="95" t="str">
        <f>IFERROR(__xludf.DUMMYFUNCTION("""COMPUTED_VALUE"""),"A Saya ingin berhasil dengan belajar yang saya lakukan.")</f>
        <v>A Saya ingin berhasil dengan belajar yang saya lakukan.</v>
      </c>
      <c r="AA5" s="95" t="str">
        <f>IFERROR(__xludf.DUMMYFUNCTION("""COMPUTED_VALUE"""),"A Saya suka menyelesaikan tugas yang telah saya rencanakan.")</f>
        <v>A Saya suka menyelesaikan tugas yang telah saya rencanakan.</v>
      </c>
      <c r="AB5" s="95" t="str">
        <f>IFERROR(__xludf.DUMMYFUNCTION("""COMPUTED_VALUE"""),"B Saya ingin menyelesaikan pekerjaan satu persatu sebelum memulai yang lain.")</f>
        <v>B Saya ingin menyelesaikan pekerjaan satu persatu sebelum memulai yang lain.</v>
      </c>
      <c r="AC5" s="95" t="str">
        <f>IFERROR(__xludf.DUMMYFUNCTION("""COMPUTED_VALUE"""),"A Saya suka menyelesaikan setiap tugas meskipun membutuhkan waktu lama.")</f>
        <v>A Saya suka menyelesaikan setiap tugas meskipun membutuhkan waktu lama.</v>
      </c>
      <c r="AD5" s="95" t="str">
        <f>IFERROR(__xludf.DUMMYFUNCTION("""COMPUTED_VALUE"""),"A Saya suka bermurah hati terhadap teman-teman saya.")</f>
        <v>A Saya suka bermurah hati terhadap teman-teman saya.</v>
      </c>
      <c r="AE5" s="95" t="str">
        <f>IFERROR(__xludf.DUMMYFUNCTION("""COMPUTED_VALUE"""),"A Saya ingin dianggap sebagai pemimpin oleh teman di kelompok.")</f>
        <v>A Saya ingin dianggap sebagai pemimpin oleh teman di kelompok.</v>
      </c>
      <c r="AF5" s="95" t="str">
        <f>IFERROR(__xludf.DUMMYFUNCTION("""COMPUTED_VALUE"""),"A Saya ingin agar teman-teman mengerti bila saya mengalami kesukaran.")</f>
        <v>A Saya ingin agar teman-teman mengerti bila saya mengalami kesukaran.</v>
      </c>
      <c r="AG5" s="95" t="str">
        <f>IFERROR(__xludf.DUMMYFUNCTION("""COMPUTED_VALUE"""),"A Saya mengajari orang lain bagaimana mereka harus melakukan pekerjaan mereka.")</f>
        <v>A Saya mengajari orang lain bagaimana mereka harus melakukan pekerjaan mereka.</v>
      </c>
      <c r="AH5" s="95" t="str">
        <f>IFERROR(__xludf.DUMMYFUNCTION("""COMPUTED_VALUE"""),"A Saya suka membaca buku-buku tentang pergaulan remaja.")</f>
        <v>A Saya suka membaca buku-buku tentang pergaulan remaja.</v>
      </c>
      <c r="AI5" s="95" t="str">
        <f>IFERROR(__xludf.DUMMYFUNCTION("""COMPUTED_VALUE"""),"A Saya ingin menghardik orang lain bila saya berbeda pendapat dengan mereka.")</f>
        <v>A Saya ingin menghardik orang lain bila saya berbeda pendapat dengan mereka.</v>
      </c>
      <c r="AJ5" s="95" t="str">
        <f>IFERROR(__xludf.DUMMYFUNCTION("""COMPUTED_VALUE"""),"B Saya suka bertahan menghadapi satu masalah meskipun belum tentu berhasil.")</f>
        <v>B Saya suka bertahan menghadapi satu masalah meskipun belum tentu berhasil.</v>
      </c>
      <c r="AK5" s="95" t="str">
        <f>IFERROR(__xludf.DUMMYFUNCTION("""COMPUTED_VALUE"""),"B Bila saya harus melakukan suatu tugas, saya ingin mengerjakan sampai selesai.")</f>
        <v>B Bila saya harus melakukan suatu tugas, saya ingin mengerjakan sampai selesai.</v>
      </c>
      <c r="AL5" s="95" t="str">
        <f>IFERROR(__xludf.DUMMYFUNCTION("""COMPUTED_VALUE"""),"A Saya suka berbicara tentang hal-hal yang telah saya capai.")</f>
        <v>A Saya suka berbicara tentang hal-hal yang telah saya capai.</v>
      </c>
      <c r="AM5" s="95" t="str">
        <f>IFERROR(__xludf.DUMMYFUNCTION("""COMPUTED_VALUE"""),"B Saya suka belajar sampai malam untuk menyelesaikan suatu tugas.")</f>
        <v>B Saya suka belajar sampai malam untuk menyelesaikan suatu tugas.</v>
      </c>
      <c r="AN5" s="95" t="str">
        <f>IFERROR(__xludf.DUMMYFUNCTION("""COMPUTED_VALUE"""),"B Saya ingin bekerja berjam-jam tanpa diganggu.")</f>
        <v>B Saya ingin bekerja berjam-jam tanpa diganggu.</v>
      </c>
      <c r="AO5" s="95" t="str">
        <f>IFERROR(__xludf.DUMMYFUNCTION("""COMPUTED_VALUE"""),"A Saya suka berlaku sangat ramah terhadap teman-teman saya.")</f>
        <v>A Saya suka berlaku sangat ramah terhadap teman-teman saya.</v>
      </c>
      <c r="AP5" s="95" t="str">
        <f>IFERROR(__xludf.DUMMYFUNCTION("""COMPUTED_VALUE"""),"A Saya ingin mengerjakannya tugas sampai selesai.")</f>
        <v>A Saya ingin mengerjakannya tugas sampai selesai.</v>
      </c>
      <c r="AQ5" s="95" t="str">
        <f>IFERROR(__xludf.DUMMYFUNCTION("""COMPUTED_VALUE"""),"B Bila saya harus melakukan suatu tugas, saya ingin mengerjakan sampai selesai.")</f>
        <v>B Bila saya harus melakukan suatu tugas, saya ingin mengerjakan sampai selesai.</v>
      </c>
      <c r="AR5" s="95" t="str">
        <f>IFERROR(__xludf.DUMMYFUNCTION("""COMPUTED_VALUE"""),"A Saya suka menyimpan catatan secara rapi.")</f>
        <v>A Saya suka menyimpan catatan secara rapi.</v>
      </c>
      <c r="AS5" s="95" t="str">
        <f>IFERROR(__xludf.DUMMYFUNCTION("""COMPUTED_VALUE"""),"B Saya suka belajar sampai malam untuk menyelesaikan suatu tugas.")</f>
        <v>B Saya suka belajar sampai malam untuk menyelesaikan suatu tugas.</v>
      </c>
      <c r="AT5" s="95" t="str">
        <f>IFERROR(__xludf.DUMMYFUNCTION("""COMPUTED_VALUE"""),"A Saya ingin bisa melakukan dengan baik sesuatu pekerjaan sulit.")</f>
        <v>A Saya ingin bisa melakukan dengan baik sesuatu pekerjaan sulit.</v>
      </c>
      <c r="AU5" s="95" t="str">
        <f>IFERROR(__xludf.DUMMYFUNCTION("""COMPUTED_VALUE"""),"B Saya suka bermurah hati terhadap teman-teman saya.")</f>
        <v>B Saya suka bermurah hati terhadap teman-teman saya.</v>
      </c>
      <c r="AV5" s="95" t="str">
        <f>IFERROR(__xludf.DUMMYFUNCTION("""COMPUTED_VALUE"""),"B Saya suka menolong teman-teman saya.")</f>
        <v>B Saya suka menolong teman-teman saya.</v>
      </c>
      <c r="AW5" s="95" t="str">
        <f>IFERROR(__xludf.DUMMYFUNCTION("""COMPUTED_VALUE"""),"A Saya ingin mengerjakan tugas sampai selesai.")</f>
        <v>A Saya ingin mengerjakan tugas sampai selesai.</v>
      </c>
      <c r="AX5" s="95" t="str">
        <f>IFERROR(__xludf.DUMMYFUNCTION("""COMPUTED_VALUE"""),"B Saya suka memaafkan teman-teman saya yang menyakiti hati saya.")</f>
        <v>B Saya suka memaafkan teman-teman saya yang menyakiti hati saya.</v>
      </c>
      <c r="AY5" s="95" t="str">
        <f>IFERROR(__xludf.DUMMYFUNCTION("""COMPUTED_VALUE"""),"B Saya suka menolong teman-teman saya apabila mereka dalam kesulitan.")</f>
        <v>B Saya suka menolong teman-teman saya apabila mereka dalam kesulitan.</v>
      </c>
      <c r="AZ5" s="95" t="str">
        <f>IFERROR(__xludf.DUMMYFUNCTION("""COMPUTED_VALUE"""),"A Saya ingin agar teman-teman saya bersimpati dan menghibur saya bila saya sedih.")</f>
        <v>A Saya ingin agar teman-teman saya bersimpati dan menghibur saya bila saya sedih.</v>
      </c>
      <c r="BA5" s="95" t="str">
        <f>IFERROR(__xludf.DUMMYFUNCTION("""COMPUTED_VALUE"""),"B Saya suka memperlakukan orang lain dengan baik dan ramah.")</f>
        <v>B Saya suka memperlakukan orang lain dengan baik dan ramah.</v>
      </c>
      <c r="BB5" s="95" t="str">
        <f>IFERROR(__xludf.DUMMYFUNCTION("""COMPUTED_VALUE"""),"B Saya suka bermurah hati terhadap teman-teman saya.")</f>
        <v>B Saya suka bermurah hati terhadap teman-teman saya.</v>
      </c>
      <c r="BC5" s="95" t="str">
        <f>IFERROR(__xludf.DUMMYFUNCTION("""COMPUTED_VALUE"""),"B Saya suka membantu orang lain yang menurut saya perlu dikasihani.")</f>
        <v>B Saya suka membantu orang lain yang menurut saya perlu dikasihani.</v>
      </c>
      <c r="BD5" s="95" t="str">
        <f>IFERROR(__xludf.DUMMYFUNCTION("""COMPUTED_VALUE"""),"A Saya rasanya ingin menyalahkan orang lain bila keadaan tidak baik bagi saya.")</f>
        <v>A Saya rasanya ingin menyalahkan orang lain bila keadaan tidak baik bagi saya.</v>
      </c>
      <c r="BE5" s="95" t="str">
        <f>IFERROR(__xludf.DUMMYFUNCTION("""COMPUTED_VALUE"""),"A Saya suka mendengarkan atau menceritakan hal-hal yang sebaiknya tidak diceritakan.")</f>
        <v>A Saya suka mendengarkan atau menceritakan hal-hal yang sebaiknya tidak diceritakan.</v>
      </c>
      <c r="BF5" s="95" t="str">
        <f>IFERROR(__xludf.DUMMYFUNCTION("""COMPUTED_VALUE"""),"B Bila saya dalam kelompok, saya ingin menentukan apa yang akan kita lakukan.")</f>
        <v>B Bila saya dalam kelompok, saya ingin menentukan apa yang akan kita lakukan.</v>
      </c>
      <c r="BG5" s="95" t="str">
        <f>IFERROR(__xludf.DUMMYFUNCTION("""COMPUTED_VALUE"""),"B Saya suka mengarahkan kepada orang lain apa yang harus dilakukan.")</f>
        <v>B Saya suka mengarahkan kepada orang lain apa yang harus dilakukan.</v>
      </c>
      <c r="BH5" s="95" t="str">
        <f>IFERROR(__xludf.DUMMYFUNCTION("""COMPUTED_VALUE"""),"A Saya suka menghindar dari situasi yang tidak saya harapkan.")</f>
        <v>A Saya suka menghindar dari situasi yang tidak saya harapkan.</v>
      </c>
      <c r="BI5" s="95" t="str">
        <f>IFERROR(__xludf.DUMMYFUNCTION("""COMPUTED_VALUE"""),"B Saya ingin orang lain melakukan apa yang saya kehendaki.")</f>
        <v>B Saya ingin orang lain melakukan apa yang saya kehendaki.</v>
      </c>
      <c r="BJ5" s="95" t="str">
        <f>IFERROR(__xludf.DUMMYFUNCTION("""COMPUTED_VALUE"""),"B Saya ingin menjadi pemimpin dalam kelompok di mana saya ada di situ")</f>
        <v>B Saya ingin menjadi pemimpin dalam kelompok di mana saya ada di situ</v>
      </c>
      <c r="BK5" s="95" t="str">
        <f>IFERROR(__xludf.DUMMYFUNCTION("""COMPUTED_VALUE"""),"A Saya ingin menyelesaikan pekerjaan satu persatu sebelum memulai yang lain.")</f>
        <v>A Saya ingin menyelesaikan pekerjaan satu persatu sebelum memulai yang lain.</v>
      </c>
      <c r="BL5" s="95" t="str">
        <f>IFERROR(__xludf.DUMMYFUNCTION("""COMPUTED_VALUE"""),"A Saya suka belajar saya teratur dan ada waktu-waktu tertentu untuk belajar.")</f>
        <v>A Saya suka belajar saya teratur dan ada waktu-waktu tertentu untuk belajar.</v>
      </c>
      <c r="BM5" s="95" t="str">
        <f>IFERROR(__xludf.DUMMYFUNCTION("""COMPUTED_VALUE"""),"A Saya suka melakukan pekerjaan sebaik mungkin.")</f>
        <v>A Saya suka melakukan pekerjaan sebaik mungkin.</v>
      </c>
      <c r="BN5" s="95" t="str">
        <f>IFERROR(__xludf.DUMMYFUNCTION("""COMPUTED_VALUE"""),"A Saya suka mengerjakan teka-teki atau memecahkan persoalan sampai selesai.")</f>
        <v>A Saya suka mengerjakan teka-teki atau memecahkan persoalan sampai selesai.</v>
      </c>
      <c r="BO5" s="95" t="str">
        <f>IFERROR(__xludf.DUMMYFUNCTION("""COMPUTED_VALUE"""),"B Saya ingin diperlakukan dengan baik oleh teman-teman saya.")</f>
        <v>B Saya ingin diperlakukan dengan baik oleh teman-teman saya.</v>
      </c>
      <c r="BP5" s="95" t="str">
        <f>IFERROR(__xludf.DUMMYFUNCTION("""COMPUTED_VALUE"""),"B Saya ingin teman-teman saya merasa kasihan pada saya apabila saya sakit.")</f>
        <v>B Saya ingin teman-teman saya merasa kasihan pada saya apabila saya sakit.</v>
      </c>
      <c r="BQ5" s="95" t="str">
        <f>IFERROR(__xludf.DUMMYFUNCTION("""COMPUTED_VALUE"""),"B Saya ingin agar teman-teman menceritakan diri saya apabila saya sakit.")</f>
        <v>B Saya ingin agar teman-teman menceritakan diri saya apabila saya sakit.</v>
      </c>
      <c r="BR5" s="95" t="str">
        <f>IFERROR(__xludf.DUMMYFUNCTION("""COMPUTED_VALUE"""),"A Saya suka memaafkan teman-teman saya yang menyakiti hati saya.")</f>
        <v>A Saya suka memaafkan teman-teman saya yang menyakiti hati saya.</v>
      </c>
      <c r="BS5" s="95" t="str">
        <f>IFERROR(__xludf.DUMMYFUNCTION("""COMPUTED_VALUE"""),"B Saya ingin teman-teman saya membantu saya bila saya mengalami kesulitan")</f>
        <v>B Saya ingin teman-teman saya membantu saya bila saya mengalami kesulitan</v>
      </c>
      <c r="BT5" s="95" t="str">
        <f>IFERROR(__xludf.DUMMYFUNCTION("""COMPUTED_VALUE"""),"A Saya ingin teman-teman saya merasa kasihan pada saya apabila saya sakit.")</f>
        <v>A Saya ingin teman-teman saya merasa kasihan pada saya apabila saya sakit.</v>
      </c>
      <c r="BU5" s="95" t="str">
        <f>IFERROR(__xludf.DUMMYFUNCTION("""COMPUTED_VALUE"""),"B Saya ingin agar teman-teman saya merasa kasihan pada saya apabila saya sakit.")</f>
        <v>B Saya ingin agar teman-teman saya merasa kasihan pada saya apabila saya sakit.</v>
      </c>
      <c r="BV5" s="95" t="str">
        <f>IFERROR(__xludf.DUMMYFUNCTION("""COMPUTED_VALUE"""),"B Saya ingin teman-teman dengan gembira memberikan pertolongan kepada saya.")</f>
        <v>B Saya ingin teman-teman dengan gembira memberikan pertolongan kepada saya.</v>
      </c>
      <c r="BW5" s="95" t="str">
        <f>IFERROR(__xludf.DUMMYFUNCTION("""COMPUTED_VALUE"""),"B Saya ingin diperlakukan dengan baik oleh teman-teman saya.")</f>
        <v>B Saya ingin diperlakukan dengan baik oleh teman-teman saya.</v>
      </c>
      <c r="BX5" s="95" t="str">
        <f>IFERROR(__xludf.DUMMYFUNCTION("""COMPUTED_VALUE"""),"B Saya kadang-kadang suka melakukan hal-hal yang dapat dipuji oleh orang lain.")</f>
        <v>B Saya kadang-kadang suka melakukan hal-hal yang dapat dipuji oleh orang lain.</v>
      </c>
      <c r="BY5" s="95" t="str">
        <f>IFERROR(__xludf.DUMMYFUNCTION("""COMPUTED_VALUE"""),"B Saya ingin orang lain memperhatikan dan berkomentar tentang penampilan saya.")</f>
        <v>B Saya ingin orang lain memperhatikan dan berkomentar tentang penampilan saya.</v>
      </c>
      <c r="BZ5" s="95" t="str">
        <f>IFERROR(__xludf.DUMMYFUNCTION("""COMPUTED_VALUE"""),"A Saya suka berkata yang artinya sulit dipahami oleh orang lain.")</f>
        <v>A Saya suka berkata yang artinya sulit dipahami oleh orang lain.</v>
      </c>
      <c r="CA5" s="95" t="str">
        <f>IFERROR(__xludf.DUMMYFUNCTION("""COMPUTED_VALUE"""),"A Saya ingin teman-teman dengan gembira memberikan pertolongan kepada saya.")</f>
        <v>A Saya ingin teman-teman dengan gembira memberikan pertolongan kepada saya.</v>
      </c>
      <c r="CB5" s="95" t="str">
        <f>IFERROR(__xludf.DUMMYFUNCTION("""COMPUTED_VALUE"""),"B Saya suka berbicara tentang hal-hal yang telah saya capai.")</f>
        <v>B Saya suka berbicara tentang hal-hal yang telah saya capai.</v>
      </c>
      <c r="CC5" s="95" t="str">
        <f>IFERROR(__xludf.DUMMYFUNCTION("""COMPUTED_VALUE"""),"A Apabila saya berkumpul dalam kelompok, saya ingin dihargai teman-teman.")</f>
        <v>A Apabila saya berkumpul dalam kelompok, saya ingin dihargai teman-teman.</v>
      </c>
      <c r="CD5" s="95" t="str">
        <f>IFERROR(__xludf.DUMMYFUNCTION("""COMPUTED_VALUE"""),"A Saya suka menyelesaikan setiap tugas meskipun membutuhkan waktu lama.")</f>
        <v>A Saya suka menyelesaikan setiap tugas meskipun membutuhkan waktu lama.</v>
      </c>
      <c r="CE5" s="95" t="str">
        <f>IFERROR(__xludf.DUMMYFUNCTION("""COMPUTED_VALUE"""),"B Saya kadang-kadang suka melakukan hal-hal yang dapat dipuji oleh orang lain.")</f>
        <v>B Saya kadang-kadang suka melakukan hal-hal yang dapat dipuji oleh orang lain.</v>
      </c>
      <c r="CF5" s="95" t="str">
        <f>IFERROR(__xludf.DUMMYFUNCTION("""COMPUTED_VALUE"""),"A Saya ingin agar hidup saya teratur sesuai cita-cita saya.")</f>
        <v>A Saya ingin agar hidup saya teratur sesuai cita-cita saya.</v>
      </c>
      <c r="CG5" s="95" t="str">
        <f>IFERROR(__xludf.DUMMYFUNCTION("""COMPUTED_VALUE"""),"A Saya ingin berhasil dalam apa yang saya lakukan.")</f>
        <v>A Saya ingin berhasil dalam apa yang saya lakukan.</v>
      </c>
      <c r="CH5" s="95" t="str">
        <f>IFERROR(__xludf.DUMMYFUNCTION("""COMPUTED_VALUE"""),"B Saya suka dengan orang yang berpenampilan menarik.")</f>
        <v>B Saya suka dengan orang yang berpenampilan menarik.</v>
      </c>
      <c r="CI5" s="95" t="str">
        <f>IFERROR(__xludf.DUMMYFUNCTION("""COMPUTED_VALUE"""),"A Saya suka belajar saya teratur dan ada waktu-waktu tertentu untuk belajar.")</f>
        <v>A Saya suka belajar saya teratur dan ada waktu-waktu tertentu untuk belajar.</v>
      </c>
      <c r="CJ5" s="95" t="str">
        <f>IFERROR(__xludf.DUMMYFUNCTION("""COMPUTED_VALUE"""),"A Saya ingin tidak tergantung dari orang lain terhadap apa yang akan saya lakukan.")</f>
        <v>A Saya ingin tidak tergantung dari orang lain terhadap apa yang akan saya lakukan.</v>
      </c>
      <c r="CK5" s="95" t="str">
        <f>IFERROR(__xludf.DUMMYFUNCTION("""COMPUTED_VALUE"""),"B Saya senang ikut beraktivitas bersama teman sebaya saya.")</f>
        <v>B Saya senang ikut beraktivitas bersama teman sebaya saya.</v>
      </c>
      <c r="CL5" s="95" t="str">
        <f>IFERROR(__xludf.DUMMYFUNCTION("""COMPUTED_VALUE"""),"A Saya suka menolong teman-teman saya, apabila mereka dalam kesulitan.")</f>
        <v>A Saya suka menolong teman-teman saya, apabila mereka dalam kesulitan.</v>
      </c>
      <c r="CM5" s="95" t="str">
        <f>IFERROR(__xludf.DUMMYFUNCTION("""COMPUTED_VALUE"""),"B Saya merasa kagum pada seseorang.")</f>
        <v>B Saya merasa kagum pada seseorang.</v>
      </c>
      <c r="CN5" s="95" t="str">
        <f>IFERROR(__xludf.DUMMYFUNCTION("""COMPUTED_VALUE"""),"A Saya ingin diperlakukan dengan baik oleh teman-teman saya.")</f>
        <v>A Saya ingin diperlakukan dengan baik oleh teman-teman saya.</v>
      </c>
      <c r="CO5" s="95" t="str">
        <f>IFERROR(__xludf.DUMMYFUNCTION("""COMPUTED_VALUE"""),"B Saya suka memuji orang yang saya kagumi.")</f>
        <v>B Saya suka memuji orang yang saya kagumi.</v>
      </c>
      <c r="CP5" s="95" t="str">
        <f>IFERROR(__xludf.DUMMYFUNCTION("""COMPUTED_VALUE"""),"B Saya ingin dianggap menarik oleh orang lain.")</f>
        <v>B Saya ingin dianggap menarik oleh orang lain.</v>
      </c>
      <c r="CQ5" s="95" t="str">
        <f>IFERROR(__xludf.DUMMYFUNCTION("""COMPUTED_VALUE"""),"B Saya merasa kagum pada seseorang.")</f>
        <v>B Saya merasa kagum pada seseorang.</v>
      </c>
      <c r="CR5" s="95" t="str">
        <f>IFERROR(__xludf.DUMMYFUNCTION("""COMPUTED_VALUE"""),"A Saya ingin memperolok-olok orang yang saya anggap melakukan tindakan bodoh.")</f>
        <v>A Saya ingin memperolok-olok orang yang saya anggap melakukan tindakan bodoh.</v>
      </c>
      <c r="CS5" s="95" t="str">
        <f>IFERROR(__xludf.DUMMYFUNCTION("""COMPUTED_VALUE"""),"A Saya ingin terlihat menarik di depan teman-teman saya.")</f>
        <v>A Saya ingin terlihat menarik di depan teman-teman saya.</v>
      </c>
      <c r="CT5" s="95" t="str">
        <f>IFERROR(__xludf.DUMMYFUNCTION("""COMPUTED_VALUE"""),"A Saya ingin orang-orang memperhatikan komentar mengenai penampilan saya.")</f>
        <v>A Saya ingin orang-orang memperhatikan komentar mengenai penampilan saya.</v>
      </c>
      <c r="CU5" s="95" t="str">
        <f>IFERROR(__xludf.DUMMYFUNCTION("""COMPUTED_VALUE"""),"B Saya ingin menyalahkan orang lain bila keadaan tidak baik bagi saya.")</f>
        <v>B Saya ingin menyalahkan orang lain bila keadaan tidak baik bagi saya.</v>
      </c>
      <c r="CV5" s="95" t="str">
        <f>IFERROR(__xludf.DUMMYFUNCTION("""COMPUTED_VALUE"""),"A Saya ingin ditunjuk atau dipilih sebagai ketua dalam suatu kelompok.")</f>
        <v>A Saya ingin ditunjuk atau dipilih sebagai ketua dalam suatu kelompok.</v>
      </c>
      <c r="CW5" s="95" t="str">
        <f>IFERROR(__xludf.DUMMYFUNCTION("""COMPUTED_VALUE"""),"A Saya suka menolong teman-teman saya, apabila mereka dalam kesulitan.")</f>
        <v>A Saya suka menolong teman-teman saya, apabila mereka dalam kesulitan.</v>
      </c>
      <c r="CX5" s="95" t="str">
        <f>IFERROR(__xludf.DUMMYFUNCTION("""COMPUTED_VALUE"""),"A Saya suka belajar sampai malam untuk menyelesaikan suatu tugas.")</f>
        <v>A Saya suka belajar sampai malam untuk menyelesaikan suatu tugas.</v>
      </c>
      <c r="CY5" s="95" t="str">
        <f>IFERROR(__xludf.DUMMYFUNCTION("""COMPUTED_VALUE"""),"A Saya ingin tidak tergantung dari orang lain terhadap apa yang akan saya lakukan.")</f>
        <v>A Saya ingin tidak tergantung dari orang lain terhadap apa yang akan saya lakukan.</v>
      </c>
      <c r="CZ5" s="95" t="str">
        <f>IFERROR(__xludf.DUMMYFUNCTION("""COMPUTED_VALUE"""),"B Saya rasanya ingin menggertak orang bila saya berbeda pendapat dengan mereka.")</f>
        <v>B Saya rasanya ingin menggertak orang bila saya berbeda pendapat dengan mereka.</v>
      </c>
      <c r="DA5" s="95" t="str">
        <f>IFERROR(__xludf.DUMMYFUNCTION("""COMPUTED_VALUE"""),"A Saya ingin melakukan apa saja sebaik mungkin.")</f>
        <v>A Saya ingin melakukan apa saja sebaik mungkin.</v>
      </c>
      <c r="DB5" s="89" t="s">
        <v>23</v>
      </c>
      <c r="DC5" s="97" t="str">
        <f t="shared" ref="DC5:GX5" si="49">LEFT(F5,1)</f>
        <v>B</v>
      </c>
      <c r="DD5" s="97" t="str">
        <f t="shared" si="49"/>
        <v>A</v>
      </c>
      <c r="DE5" s="97" t="str">
        <f t="shared" si="49"/>
        <v>B</v>
      </c>
      <c r="DF5" s="97" t="str">
        <f t="shared" si="49"/>
        <v>B</v>
      </c>
      <c r="DG5" s="97" t="str">
        <f t="shared" si="49"/>
        <v>A</v>
      </c>
      <c r="DH5" s="97" t="str">
        <f t="shared" si="49"/>
        <v>A</v>
      </c>
      <c r="DI5" s="97" t="str">
        <f t="shared" si="49"/>
        <v>A</v>
      </c>
      <c r="DJ5" s="97" t="str">
        <f t="shared" si="49"/>
        <v>B</v>
      </c>
      <c r="DK5" s="97" t="str">
        <f t="shared" si="49"/>
        <v>A</v>
      </c>
      <c r="DL5" s="97" t="str">
        <f t="shared" si="49"/>
        <v>B</v>
      </c>
      <c r="DM5" s="97" t="str">
        <f t="shared" si="49"/>
        <v>B</v>
      </c>
      <c r="DN5" s="97" t="str">
        <f t="shared" si="49"/>
        <v>B</v>
      </c>
      <c r="DO5" s="97" t="str">
        <f t="shared" si="49"/>
        <v>B</v>
      </c>
      <c r="DP5" s="97" t="str">
        <f t="shared" si="49"/>
        <v>B</v>
      </c>
      <c r="DQ5" s="97" t="str">
        <f t="shared" si="49"/>
        <v>B</v>
      </c>
      <c r="DR5" s="97" t="str">
        <f t="shared" si="49"/>
        <v>B</v>
      </c>
      <c r="DS5" s="97" t="str">
        <f t="shared" si="49"/>
        <v>A</v>
      </c>
      <c r="DT5" s="97" t="str">
        <f t="shared" si="49"/>
        <v>B</v>
      </c>
      <c r="DU5" s="97" t="str">
        <f t="shared" si="49"/>
        <v>A</v>
      </c>
      <c r="DV5" s="97" t="str">
        <f t="shared" si="49"/>
        <v>B</v>
      </c>
      <c r="DW5" s="97" t="str">
        <f t="shared" si="49"/>
        <v>A</v>
      </c>
      <c r="DX5" s="97" t="str">
        <f t="shared" si="49"/>
        <v>A</v>
      </c>
      <c r="DY5" s="97" t="str">
        <f t="shared" si="49"/>
        <v>B</v>
      </c>
      <c r="DZ5" s="97" t="str">
        <f t="shared" si="49"/>
        <v>A</v>
      </c>
      <c r="EA5" s="97" t="str">
        <f t="shared" si="49"/>
        <v>A</v>
      </c>
      <c r="EB5" s="97" t="str">
        <f t="shared" si="49"/>
        <v>A</v>
      </c>
      <c r="EC5" s="97" t="str">
        <f t="shared" si="49"/>
        <v>A</v>
      </c>
      <c r="ED5" s="97" t="str">
        <f t="shared" si="49"/>
        <v>A</v>
      </c>
      <c r="EE5" s="97" t="str">
        <f t="shared" si="49"/>
        <v>A</v>
      </c>
      <c r="EF5" s="97" t="str">
        <f t="shared" si="49"/>
        <v>A</v>
      </c>
      <c r="EG5" s="97" t="str">
        <f t="shared" si="49"/>
        <v>B</v>
      </c>
      <c r="EH5" s="97" t="str">
        <f t="shared" si="49"/>
        <v>B</v>
      </c>
      <c r="EI5" s="97" t="str">
        <f t="shared" si="49"/>
        <v>A</v>
      </c>
      <c r="EJ5" s="97" t="str">
        <f t="shared" si="49"/>
        <v>B</v>
      </c>
      <c r="EK5" s="97" t="str">
        <f t="shared" si="49"/>
        <v>B</v>
      </c>
      <c r="EL5" s="97" t="str">
        <f t="shared" si="49"/>
        <v>A</v>
      </c>
      <c r="EM5" s="97" t="str">
        <f t="shared" si="49"/>
        <v>A</v>
      </c>
      <c r="EN5" s="97" t="str">
        <f t="shared" si="49"/>
        <v>B</v>
      </c>
      <c r="EO5" s="97" t="str">
        <f t="shared" si="49"/>
        <v>A</v>
      </c>
      <c r="EP5" s="97" t="str">
        <f t="shared" si="49"/>
        <v>B</v>
      </c>
      <c r="EQ5" s="97" t="str">
        <f t="shared" si="49"/>
        <v>A</v>
      </c>
      <c r="ER5" s="97" t="str">
        <f t="shared" si="49"/>
        <v>B</v>
      </c>
      <c r="ES5" s="97" t="str">
        <f t="shared" si="49"/>
        <v>B</v>
      </c>
      <c r="ET5" s="97" t="str">
        <f t="shared" si="49"/>
        <v>A</v>
      </c>
      <c r="EU5" s="97" t="str">
        <f t="shared" si="49"/>
        <v>B</v>
      </c>
      <c r="EV5" s="97" t="str">
        <f t="shared" si="49"/>
        <v>B</v>
      </c>
      <c r="EW5" s="97" t="str">
        <f t="shared" si="49"/>
        <v>A</v>
      </c>
      <c r="EX5" s="97" t="str">
        <f t="shared" si="49"/>
        <v>B</v>
      </c>
      <c r="EY5" s="97" t="str">
        <f t="shared" si="49"/>
        <v>B</v>
      </c>
      <c r="EZ5" s="97" t="str">
        <f t="shared" si="49"/>
        <v>B</v>
      </c>
      <c r="FA5" s="97" t="str">
        <f t="shared" si="49"/>
        <v>A</v>
      </c>
      <c r="FB5" s="97" t="str">
        <f t="shared" si="49"/>
        <v>A</v>
      </c>
      <c r="FC5" s="97" t="str">
        <f t="shared" si="49"/>
        <v>B</v>
      </c>
      <c r="FD5" s="97" t="str">
        <f t="shared" si="49"/>
        <v>B</v>
      </c>
      <c r="FE5" s="97" t="str">
        <f t="shared" si="49"/>
        <v>A</v>
      </c>
      <c r="FF5" s="97" t="str">
        <f t="shared" si="49"/>
        <v>B</v>
      </c>
      <c r="FG5" s="97" t="str">
        <f t="shared" si="49"/>
        <v>B</v>
      </c>
      <c r="FH5" s="97" t="str">
        <f t="shared" si="49"/>
        <v>A</v>
      </c>
      <c r="FI5" s="97" t="str">
        <f t="shared" si="49"/>
        <v>A</v>
      </c>
      <c r="FJ5" s="97" t="str">
        <f t="shared" si="49"/>
        <v>A</v>
      </c>
      <c r="FK5" s="97" t="str">
        <f t="shared" si="49"/>
        <v>A</v>
      </c>
      <c r="FL5" s="97" t="str">
        <f t="shared" si="49"/>
        <v>B</v>
      </c>
      <c r="FM5" s="97" t="str">
        <f t="shared" si="49"/>
        <v>B</v>
      </c>
      <c r="FN5" s="97" t="str">
        <f t="shared" si="49"/>
        <v>B</v>
      </c>
      <c r="FO5" s="97" t="str">
        <f t="shared" si="49"/>
        <v>A</v>
      </c>
      <c r="FP5" s="97" t="str">
        <f t="shared" si="49"/>
        <v>B</v>
      </c>
      <c r="FQ5" s="97" t="str">
        <f t="shared" si="49"/>
        <v>A</v>
      </c>
      <c r="FR5" s="97" t="str">
        <f t="shared" si="49"/>
        <v>B</v>
      </c>
      <c r="FS5" s="97" t="str">
        <f t="shared" si="49"/>
        <v>B</v>
      </c>
      <c r="FT5" s="97" t="str">
        <f t="shared" si="49"/>
        <v>B</v>
      </c>
      <c r="FU5" s="97" t="str">
        <f t="shared" si="49"/>
        <v>B</v>
      </c>
      <c r="FV5" s="97" t="str">
        <f t="shared" si="49"/>
        <v>B</v>
      </c>
      <c r="FW5" s="97" t="str">
        <f t="shared" si="49"/>
        <v>A</v>
      </c>
      <c r="FX5" s="97" t="str">
        <f t="shared" si="49"/>
        <v>A</v>
      </c>
      <c r="FY5" s="97" t="str">
        <f t="shared" si="49"/>
        <v>B</v>
      </c>
      <c r="FZ5" s="97" t="str">
        <f t="shared" si="49"/>
        <v>A</v>
      </c>
      <c r="GA5" s="97" t="str">
        <f t="shared" si="49"/>
        <v>A</v>
      </c>
      <c r="GB5" s="97" t="str">
        <f t="shared" si="49"/>
        <v>B</v>
      </c>
      <c r="GC5" s="97" t="str">
        <f t="shared" si="49"/>
        <v>A</v>
      </c>
      <c r="GD5" s="97" t="str">
        <f t="shared" si="49"/>
        <v>A</v>
      </c>
      <c r="GE5" s="97" t="str">
        <f t="shared" si="49"/>
        <v>B</v>
      </c>
      <c r="GF5" s="97" t="str">
        <f t="shared" si="49"/>
        <v>A</v>
      </c>
      <c r="GG5" s="97" t="str">
        <f t="shared" si="49"/>
        <v>A</v>
      </c>
      <c r="GH5" s="97" t="str">
        <f t="shared" si="49"/>
        <v>B</v>
      </c>
      <c r="GI5" s="97" t="str">
        <f t="shared" si="49"/>
        <v>A</v>
      </c>
      <c r="GJ5" s="97" t="str">
        <f t="shared" si="49"/>
        <v>B</v>
      </c>
      <c r="GK5" s="97" t="str">
        <f t="shared" si="49"/>
        <v>A</v>
      </c>
      <c r="GL5" s="97" t="str">
        <f t="shared" si="49"/>
        <v>B</v>
      </c>
      <c r="GM5" s="97" t="str">
        <f t="shared" si="49"/>
        <v>B</v>
      </c>
      <c r="GN5" s="97" t="str">
        <f t="shared" si="49"/>
        <v>B</v>
      </c>
      <c r="GO5" s="97" t="str">
        <f t="shared" si="49"/>
        <v>A</v>
      </c>
      <c r="GP5" s="97" t="str">
        <f t="shared" si="49"/>
        <v>A</v>
      </c>
      <c r="GQ5" s="97" t="str">
        <f t="shared" si="49"/>
        <v>A</v>
      </c>
      <c r="GR5" s="97" t="str">
        <f t="shared" si="49"/>
        <v>B</v>
      </c>
      <c r="GS5" s="97" t="str">
        <f t="shared" si="49"/>
        <v>A</v>
      </c>
      <c r="GT5" s="97" t="str">
        <f t="shared" si="49"/>
        <v>A</v>
      </c>
      <c r="GU5" s="97" t="str">
        <f t="shared" si="49"/>
        <v>A</v>
      </c>
      <c r="GV5" s="97" t="str">
        <f t="shared" si="49"/>
        <v>A</v>
      </c>
      <c r="GW5" s="97" t="str">
        <f t="shared" si="49"/>
        <v>B</v>
      </c>
      <c r="GX5" s="97" t="str">
        <f t="shared" si="49"/>
        <v>A</v>
      </c>
      <c r="GY5" s="98"/>
      <c r="GZ5" s="97">
        <f t="shared" si="3"/>
        <v>50</v>
      </c>
      <c r="HA5" s="97">
        <f t="shared" si="4"/>
        <v>50</v>
      </c>
      <c r="HB5" s="90">
        <f t="shared" si="5"/>
        <v>100</v>
      </c>
      <c r="HC5" s="99"/>
      <c r="HD5" s="97">
        <f t="shared" si="6"/>
        <v>6</v>
      </c>
      <c r="HE5" s="97">
        <f t="shared" si="7"/>
        <v>4</v>
      </c>
      <c r="HF5" s="90">
        <f t="shared" si="8"/>
        <v>10</v>
      </c>
      <c r="HG5" s="99"/>
      <c r="HH5" s="97">
        <f t="shared" si="9"/>
        <v>6</v>
      </c>
      <c r="HI5" s="97">
        <f t="shared" si="10"/>
        <v>8</v>
      </c>
      <c r="HJ5" s="90">
        <f t="shared" si="11"/>
        <v>14</v>
      </c>
      <c r="HK5" s="99"/>
      <c r="HL5" s="97">
        <f t="shared" si="12"/>
        <v>3</v>
      </c>
      <c r="HM5" s="97">
        <f t="shared" si="13"/>
        <v>1</v>
      </c>
      <c r="HN5" s="90">
        <f t="shared" si="14"/>
        <v>4</v>
      </c>
      <c r="HO5" s="99"/>
      <c r="HP5" s="97">
        <f t="shared" si="15"/>
        <v>5</v>
      </c>
      <c r="HQ5" s="97">
        <f t="shared" si="16"/>
        <v>6</v>
      </c>
      <c r="HR5" s="90">
        <f t="shared" si="17"/>
        <v>11</v>
      </c>
      <c r="HS5" s="99"/>
      <c r="HT5" s="97">
        <f t="shared" si="18"/>
        <v>7</v>
      </c>
      <c r="HU5" s="97">
        <f t="shared" si="19"/>
        <v>7</v>
      </c>
      <c r="HV5" s="90">
        <f t="shared" si="20"/>
        <v>14</v>
      </c>
      <c r="HW5" s="99"/>
      <c r="HX5" s="97">
        <f t="shared" si="21"/>
        <v>3</v>
      </c>
      <c r="HY5" s="97">
        <f t="shared" si="22"/>
        <v>4</v>
      </c>
      <c r="HZ5" s="90">
        <f t="shared" si="23"/>
        <v>7</v>
      </c>
      <c r="IA5" s="99"/>
      <c r="IB5" s="97">
        <f t="shared" si="24"/>
        <v>5</v>
      </c>
      <c r="IC5" s="97">
        <f t="shared" si="25"/>
        <v>7</v>
      </c>
      <c r="ID5" s="90">
        <f t="shared" si="26"/>
        <v>12</v>
      </c>
      <c r="IE5" s="99"/>
      <c r="IF5" s="97">
        <f t="shared" si="27"/>
        <v>3</v>
      </c>
      <c r="IG5" s="97">
        <f t="shared" si="28"/>
        <v>4</v>
      </c>
      <c r="IH5" s="90">
        <f t="shared" si="29"/>
        <v>7</v>
      </c>
      <c r="II5" s="99"/>
      <c r="IJ5" s="97">
        <f t="shared" si="30"/>
        <v>4</v>
      </c>
      <c r="IK5" s="97">
        <f t="shared" si="31"/>
        <v>6</v>
      </c>
      <c r="IL5" s="90">
        <f t="shared" si="32"/>
        <v>10</v>
      </c>
      <c r="IM5" s="99"/>
      <c r="IN5" s="97">
        <f t="shared" si="33"/>
        <v>2</v>
      </c>
      <c r="IO5" s="97">
        <f t="shared" si="34"/>
        <v>2</v>
      </c>
      <c r="IP5" s="90">
        <f t="shared" si="35"/>
        <v>4</v>
      </c>
      <c r="IQ5" s="99"/>
      <c r="IR5" s="99"/>
      <c r="IS5" s="100">
        <f t="shared" si="36"/>
        <v>10</v>
      </c>
      <c r="IT5" s="100">
        <f t="shared" si="37"/>
        <v>14</v>
      </c>
      <c r="IU5" s="100">
        <f t="shared" si="38"/>
        <v>4</v>
      </c>
      <c r="IV5" s="100">
        <f t="shared" si="39"/>
        <v>11</v>
      </c>
      <c r="IW5" s="100">
        <f t="shared" si="40"/>
        <v>14</v>
      </c>
      <c r="IX5" s="100">
        <f t="shared" si="41"/>
        <v>7</v>
      </c>
      <c r="IY5" s="100">
        <f t="shared" si="42"/>
        <v>12</v>
      </c>
      <c r="IZ5" s="100">
        <f t="shared" si="43"/>
        <v>7</v>
      </c>
      <c r="JA5" s="100">
        <f t="shared" si="44"/>
        <v>10</v>
      </c>
      <c r="JB5" s="101">
        <f t="shared" si="45"/>
        <v>4</v>
      </c>
      <c r="JC5" s="102">
        <f t="shared" si="46"/>
        <v>93</v>
      </c>
      <c r="JD5" s="67">
        <f t="shared" si="50"/>
        <v>1</v>
      </c>
      <c r="JE5" s="67">
        <f t="shared" si="47"/>
        <v>2</v>
      </c>
      <c r="JF5" s="67">
        <f t="shared" si="48"/>
        <v>3</v>
      </c>
    </row>
    <row r="6">
      <c r="A6" s="103">
        <f>IFERROR(__xludf.DUMMYFUNCTION("""COMPUTED_VALUE"""),45919.814296331024)</f>
        <v>45919.8143</v>
      </c>
      <c r="B6" s="95" t="str">
        <f>IFERROR(__xludf.DUMMYFUNCTION("""COMPUTED_VALUE"""),"Daffa Taamir Alfarizi")</f>
        <v>Daffa Taamir Alfarizi</v>
      </c>
      <c r="C6" s="96" t="str">
        <f>IFERROR(__xludf.DUMMYFUNCTION("""COMPUTED_VALUE"""),"A250008")</f>
        <v>A250008</v>
      </c>
      <c r="D6" s="96" t="str">
        <f>IFERROR(__xludf.DUMMYFUNCTION("""COMPUTED_VALUE"""),"MTs Putra")</f>
        <v>MTs Putra</v>
      </c>
      <c r="E6" s="96" t="str">
        <f>IFERROR(__xludf.DUMMYFUNCTION("""COMPUTED_VALUE"""),"Ya")</f>
        <v>Ya</v>
      </c>
      <c r="F6" s="95" t="str">
        <f>IFERROR(__xludf.DUMMYFUNCTION("""COMPUTED_VALUE"""),"A Saya ingin mengerjakan segala tugas lebih baik daripada orang lain.")</f>
        <v>A Saya ingin mengerjakan segala tugas lebih baik daripada orang lain.</v>
      </c>
      <c r="G6" s="95" t="str">
        <f>IFERROR(__xludf.DUMMYFUNCTION("""COMPUTED_VALUE"""),"A Saya ingin setiap tulisan saya teliti, rapi, dan tersusun dengan baik.")</f>
        <v>A Saya ingin setiap tulisan saya teliti, rapi, dan tersusun dengan baik.</v>
      </c>
      <c r="H6" s="95" t="str">
        <f>IFERROR(__xludf.DUMMYFUNCTION("""COMPUTED_VALUE"""),"A Saya ingin berbuat sesuai kata hati saya.")</f>
        <v>A Saya ingin berbuat sesuai kata hati saya.</v>
      </c>
      <c r="I6" s="95" t="str">
        <f>IFERROR(__xludf.DUMMYFUNCTION("""COMPUTED_VALUE"""),"B Saya ingin bisa melakukan dengan baik meskipun tugas yang sulit.")</f>
        <v>B Saya ingin bisa melakukan dengan baik meskipun tugas yang sulit.</v>
      </c>
      <c r="J6" s="95" t="str">
        <f>IFERROR(__xludf.DUMMYFUNCTION("""COMPUTED_VALUE"""),"A Saya suka membantu teman-teman saya apabila mereka mengalami kesulitan.")</f>
        <v>A Saya suka membantu teman-teman saya apabila mereka mengalami kesulitan.</v>
      </c>
      <c r="K6" s="95" t="str">
        <f>IFERROR(__xludf.DUMMYFUNCTION("""COMPUTED_VALUE"""),"B Saya ingin mengatakan telah melakukan dengan baik sesuatu tugas yang sulit.")</f>
        <v>B Saya ingin mengatakan telah melakukan dengan baik sesuatu tugas yang sulit.</v>
      </c>
      <c r="L6" s="95" t="str">
        <f>IFERROR(__xludf.DUMMYFUNCTION("""COMPUTED_VALUE"""),"B Saya ingin mengatakan telah melakukan dengan baik sesuatu tugas yang sulit")</f>
        <v>B Saya ingin mengatakan telah melakukan dengan baik sesuatu tugas yang sulit</v>
      </c>
      <c r="M6" s="95" t="str">
        <f>IFERROR(__xludf.DUMMYFUNCTION("""COMPUTED_VALUE"""),"B Saya ingin mengerjakan segala tugas lebih baik daripada orang lain.")</f>
        <v>B Saya ingin mengerjakan segala tugas lebih baik daripada orang lain.</v>
      </c>
      <c r="N6" s="95" t="str">
        <f>IFERROR(__xludf.DUMMYFUNCTION("""COMPUTED_VALUE"""),"B Saya suka memecahkan persoalan yang sukar bagi orang lain.")</f>
        <v>B Saya suka memecahkan persoalan yang sukar bagi orang lain.</v>
      </c>
      <c r="O6" s="95" t="str">
        <f>IFERROR(__xludf.DUMMYFUNCTION("""COMPUTED_VALUE"""),"A Saya marah saat ada teman memperolok-olok hal-hal yang saya anggap bodoh.")</f>
        <v>A Saya marah saat ada teman memperolok-olok hal-hal yang saya anggap bodoh.</v>
      </c>
      <c r="P6" s="95" t="str">
        <f>IFERROR(__xludf.DUMMYFUNCTION("""COMPUTED_VALUE"""),"B Saya ingin setiap belajar itu teratur dan direncanakan.")</f>
        <v>B Saya ingin setiap belajar itu teratur dan direncanakan.</v>
      </c>
      <c r="Q6" s="95" t="str">
        <f>IFERROR(__xludf.DUMMYFUNCTION("""COMPUTED_VALUE"""),"B Saya merencanakan keperluan yang dibutuhkan sebelum bepergian.")</f>
        <v>B Saya merencanakan keperluan yang dibutuhkan sebelum bepergian.</v>
      </c>
      <c r="R6" s="95" t="str">
        <f>IFERROR(__xludf.DUMMYFUNCTION("""COMPUTED_VALUE"""),"B Saya suka barang-barang saya tersusun rapi dan teratur.")</f>
        <v>B Saya suka barang-barang saya tersusun rapi dan teratur.</v>
      </c>
      <c r="S6" s="95" t="str">
        <f>IFERROR(__xludf.DUMMYFUNCTION("""COMPUTED_VALUE"""),"B Saya suka membuat perencanaan sebelum memulai tugas yang sulit.")</f>
        <v>B Saya suka membuat perencanaan sebelum memulai tugas yang sulit.</v>
      </c>
      <c r="T6" s="95" t="str">
        <f>IFERROR(__xludf.DUMMYFUNCTION("""COMPUTED_VALUE"""),"B Saya ingin agar hidup saya teratur sesuai cita-cita saya.")</f>
        <v>B Saya ingin agar hidup saya teratur sesuai cita-cita saya.</v>
      </c>
      <c r="U6" s="95" t="str">
        <f>IFERROR(__xludf.DUMMYFUNCTION("""COMPUTED_VALUE"""),"A Saya suka memberikan bantuan kepada teman-teman saya.")</f>
        <v>A Saya suka memberikan bantuan kepada teman-teman saya.</v>
      </c>
      <c r="V6" s="95" t="str">
        <f>IFERROR(__xludf.DUMMYFUNCTION("""COMPUTED_VALUE"""),"B Saya suka belajar saya teratur dan ada waktu-waktu tertentu untuk belajar.")</f>
        <v>B Saya suka belajar saya teratur dan ada waktu-waktu tertentu untuk belajar.</v>
      </c>
      <c r="W6" s="95" t="str">
        <f>IFERROR(__xludf.DUMMYFUNCTION("""COMPUTED_VALUE"""),"B Saya ingin kegiatan itu teratur dan direncanakan.")</f>
        <v>B Saya ingin kegiatan itu teratur dan direncanakan.</v>
      </c>
      <c r="X6" s="95" t="str">
        <f>IFERROR(__xludf.DUMMYFUNCTION("""COMPUTED_VALUE"""),"B Saya ingin agar hidup saya teratur sesuai cita-cita saya.")</f>
        <v>B Saya ingin agar hidup saya teratur sesuai cita-cita saya.</v>
      </c>
      <c r="Y6" s="95" t="str">
        <f>IFERROR(__xludf.DUMMYFUNCTION("""COMPUTED_VALUE"""),"A Saya suka menyelesaikan tugas-tugas yang membutuhkan ketrampilan dan usaha.")</f>
        <v>A Saya suka menyelesaikan tugas-tugas yang membutuhkan ketrampilan dan usaha.</v>
      </c>
      <c r="Z6" s="95" t="str">
        <f>IFERROR(__xludf.DUMMYFUNCTION("""COMPUTED_VALUE"""),"A Saya ingin berhasil dengan belajar yang saya lakukan.")</f>
        <v>A Saya ingin berhasil dengan belajar yang saya lakukan.</v>
      </c>
      <c r="AA6" s="95" t="str">
        <f>IFERROR(__xludf.DUMMYFUNCTION("""COMPUTED_VALUE"""),"B Saya tidak suka pada orang yang berbuat seenaknya sendiri.")</f>
        <v>B Saya tidak suka pada orang yang berbuat seenaknya sendiri.</v>
      </c>
      <c r="AB6" s="95" t="str">
        <f>IFERROR(__xludf.DUMMYFUNCTION("""COMPUTED_VALUE"""),"B Saya ingin menyelesaikan pekerjaan satu persatu sebelum memulai yang lain.")</f>
        <v>B Saya ingin menyelesaikan pekerjaan satu persatu sebelum memulai yang lain.</v>
      </c>
      <c r="AC6" s="95" t="str">
        <f>IFERROR(__xludf.DUMMYFUNCTION("""COMPUTED_VALUE"""),"A Saya suka menyelesaikan setiap tugas meskipun membutuhkan waktu lama.")</f>
        <v>A Saya suka menyelesaikan setiap tugas meskipun membutuhkan waktu lama.</v>
      </c>
      <c r="AD6" s="95" t="str">
        <f>IFERROR(__xludf.DUMMYFUNCTION("""COMPUTED_VALUE"""),"A Saya suka bermurah hati terhadap teman-teman saya.")</f>
        <v>A Saya suka bermurah hati terhadap teman-teman saya.</v>
      </c>
      <c r="AE6" s="95" t="str">
        <f>IFERROR(__xludf.DUMMYFUNCTION("""COMPUTED_VALUE"""),"A Saya ingin dianggap sebagai pemimpin oleh teman di kelompok.")</f>
        <v>A Saya ingin dianggap sebagai pemimpin oleh teman di kelompok.</v>
      </c>
      <c r="AF6" s="95" t="str">
        <f>IFERROR(__xludf.DUMMYFUNCTION("""COMPUTED_VALUE"""),"B Saya suka melakukan hal-hal dengan cara saya sendiri.")</f>
        <v>B Saya suka melakukan hal-hal dengan cara saya sendiri.</v>
      </c>
      <c r="AG6" s="95" t="str">
        <f>IFERROR(__xludf.DUMMYFUNCTION("""COMPUTED_VALUE"""),"B Saya ingin berhasil dengan tugas yang saya lakukan.")</f>
        <v>B Saya ingin berhasil dengan tugas yang saya lakukan.</v>
      </c>
      <c r="AH6" s="95" t="str">
        <f>IFERROR(__xludf.DUMMYFUNCTION("""COMPUTED_VALUE"""),"B Saya ingin merasa bebas untuk melakukan apa yang saya kehendaki.")</f>
        <v>B Saya ingin merasa bebas untuk melakukan apa yang saya kehendaki.</v>
      </c>
      <c r="AI6" s="95" t="str">
        <f>IFERROR(__xludf.DUMMYFUNCTION("""COMPUTED_VALUE"""),"B Saya suka melakukan kegiatan sesuai kondisi yang saya inginkan.")</f>
        <v>B Saya suka melakukan kegiatan sesuai kondisi yang saya inginkan.</v>
      </c>
      <c r="AJ6" s="95" t="str">
        <f>IFERROR(__xludf.DUMMYFUNCTION("""COMPUTED_VALUE"""),"B Saya suka bertahan menghadapi satu masalah meskipun belum tentu berhasil.")</f>
        <v>B Saya suka bertahan menghadapi satu masalah meskipun belum tentu berhasil.</v>
      </c>
      <c r="AK6" s="95" t="str">
        <f>IFERROR(__xludf.DUMMYFUNCTION("""COMPUTED_VALUE"""),"B Bila saya harus melakukan suatu tugas, saya ingin mengerjakan sampai selesai.")</f>
        <v>B Bila saya harus melakukan suatu tugas, saya ingin mengerjakan sampai selesai.</v>
      </c>
      <c r="AL6" s="95" t="str">
        <f>IFERROR(__xludf.DUMMYFUNCTION("""COMPUTED_VALUE"""),"B Saya ingin menghindarkan gangguan bila saya sedang belajar.")</f>
        <v>B Saya ingin menghindarkan gangguan bila saya sedang belajar.</v>
      </c>
      <c r="AM6" s="95" t="str">
        <f>IFERROR(__xludf.DUMMYFUNCTION("""COMPUTED_VALUE"""),"A Saya ingin teman-teman saya merasa kasihan pada saya apabila saya sakit.")</f>
        <v>A Saya ingin teman-teman saya merasa kasihan pada saya apabila saya sakit.</v>
      </c>
      <c r="AN6" s="95" t="str">
        <f>IFERROR(__xludf.DUMMYFUNCTION("""COMPUTED_VALUE"""),"A Saya tidak suka pada orang yang semena-mena.")</f>
        <v>A Saya tidak suka pada orang yang semena-mena.</v>
      </c>
      <c r="AO6" s="95" t="str">
        <f>IFERROR(__xludf.DUMMYFUNCTION("""COMPUTED_VALUE"""),"A Saya suka berlaku sangat ramah terhadap teman-teman saya.")</f>
        <v>A Saya suka berlaku sangat ramah terhadap teman-teman saya.</v>
      </c>
      <c r="AP6" s="95" t="str">
        <f>IFERROR(__xludf.DUMMYFUNCTION("""COMPUTED_VALUE"""),"A Saya ingin mengerjakannya tugas sampai selesai.")</f>
        <v>A Saya ingin mengerjakannya tugas sampai selesai.</v>
      </c>
      <c r="AQ6" s="95" t="str">
        <f>IFERROR(__xludf.DUMMYFUNCTION("""COMPUTED_VALUE"""),"B Bila saya harus melakukan suatu tugas, saya ingin mengerjakan sampai selesai.")</f>
        <v>B Bila saya harus melakukan suatu tugas, saya ingin mengerjakan sampai selesai.</v>
      </c>
      <c r="AR6" s="95" t="str">
        <f>IFERROR(__xludf.DUMMYFUNCTION("""COMPUTED_VALUE"""),"B Saya suka belajar keras pada tiap pelajaran yang saya hadapi.")</f>
        <v>B Saya suka belajar keras pada tiap pelajaran yang saya hadapi.</v>
      </c>
      <c r="AS6" s="95" t="str">
        <f>IFERROR(__xludf.DUMMYFUNCTION("""COMPUTED_VALUE"""),"A Saya ingin dapat menyelesaikan persoalan yang dianggap sukar bagi orang lain.")</f>
        <v>A Saya ingin dapat menyelesaikan persoalan yang dianggap sukar bagi orang lain.</v>
      </c>
      <c r="AT6" s="95" t="str">
        <f>IFERROR(__xludf.DUMMYFUNCTION("""COMPUTED_VALUE"""),"B Saya suka membantu orang lain yang menurut saya perlu dikasihani.")</f>
        <v>B Saya suka membantu orang lain yang menurut saya perlu dikasihani.</v>
      </c>
      <c r="AU6" s="95" t="str">
        <f>IFERROR(__xludf.DUMMYFUNCTION("""COMPUTED_VALUE"""),"B Saya suka bermurah hati terhadap teman-teman saya.")</f>
        <v>B Saya suka bermurah hati terhadap teman-teman saya.</v>
      </c>
      <c r="AV6" s="95" t="str">
        <f>IFERROR(__xludf.DUMMYFUNCTION("""COMPUTED_VALUE"""),"B Saya suka menolong teman-teman saya.")</f>
        <v>B Saya suka menolong teman-teman saya.</v>
      </c>
      <c r="AW6" s="95" t="str">
        <f>IFERROR(__xludf.DUMMYFUNCTION("""COMPUTED_VALUE"""),"B Saya ingin teman-teman saya percaya bahwa saya bisa menolong mereka.")</f>
        <v>B Saya ingin teman-teman saya percaya bahwa saya bisa menolong mereka.</v>
      </c>
      <c r="AX6" s="95" t="str">
        <f>IFERROR(__xludf.DUMMYFUNCTION("""COMPUTED_VALUE"""),"B Saya suka memaafkan teman-teman saya yang menyakiti hati saya.")</f>
        <v>B Saya suka memaafkan teman-teman saya yang menyakiti hati saya.</v>
      </c>
      <c r="AY6" s="95" t="str">
        <f>IFERROR(__xludf.DUMMYFUNCTION("""COMPUTED_VALUE"""),"B Saya suka menolong teman-teman saya apabila mereka dalam kesulitan.")</f>
        <v>B Saya suka menolong teman-teman saya apabila mereka dalam kesulitan.</v>
      </c>
      <c r="AZ6" s="95" t="str">
        <f>IFERROR(__xludf.DUMMYFUNCTION("""COMPUTED_VALUE"""),"B Saya suka menunjukkan simpati saya kepada teman-teman saya.")</f>
        <v>B Saya suka menunjukkan simpati saya kepada teman-teman saya.</v>
      </c>
      <c r="BA6" s="95" t="str">
        <f>IFERROR(__xludf.DUMMYFUNCTION("""COMPUTED_VALUE"""),"B Saya suka memperlakukan orang lain dengan baik dan ramah.")</f>
        <v>B Saya suka memperlakukan orang lain dengan baik dan ramah.</v>
      </c>
      <c r="BB6" s="95" t="str">
        <f>IFERROR(__xludf.DUMMYFUNCTION("""COMPUTED_VALUE"""),"B Saya suka bermurah hati terhadap teman-teman saya.")</f>
        <v>B Saya suka bermurah hati terhadap teman-teman saya.</v>
      </c>
      <c r="BC6" s="95" t="str">
        <f>IFERROR(__xludf.DUMMYFUNCTION("""COMPUTED_VALUE"""),"B Saya suka membantu orang lain yang menurut saya perlu dikasihani.")</f>
        <v>B Saya suka membantu orang lain yang menurut saya perlu dikasihani.</v>
      </c>
      <c r="BD6" s="95" t="str">
        <f>IFERROR(__xludf.DUMMYFUNCTION("""COMPUTED_VALUE"""),"B Saya suka bersikukuh dengan pendirian saya.")</f>
        <v>B Saya suka bersikukuh dengan pendirian saya.</v>
      </c>
      <c r="BE6" s="95" t="str">
        <f>IFERROR(__xludf.DUMMYFUNCTION("""COMPUTED_VALUE"""),"B Saya ingin orang lain melakukan apa yang saya kehendaki.")</f>
        <v>B Saya ingin orang lain melakukan apa yang saya kehendaki.</v>
      </c>
      <c r="BF6" s="95" t="str">
        <f>IFERROR(__xludf.DUMMYFUNCTION("""COMPUTED_VALUE"""),"B Bila saya dalam kelompok, saya ingin menentukan apa yang akan kita lakukan.")</f>
        <v>B Bila saya dalam kelompok, saya ingin menentukan apa yang akan kita lakukan.</v>
      </c>
      <c r="BG6" s="95" t="str">
        <f>IFERROR(__xludf.DUMMYFUNCTION("""COMPUTED_VALUE"""),"B Saya suka mengarahkan kepada orang lain apa yang harus dilakukan.")</f>
        <v>B Saya suka mengarahkan kepada orang lain apa yang harus dilakukan.</v>
      </c>
      <c r="BH6" s="95" t="str">
        <f>IFERROR(__xludf.DUMMYFUNCTION("""COMPUTED_VALUE"""),"B Apabila saya berkumpul dalam kelompok, saya ingin dihargai teman-teman.")</f>
        <v>B Apabila saya berkumpul dalam kelompok, saya ingin dihargai teman-teman.</v>
      </c>
      <c r="BI6" s="95" t="str">
        <f>IFERROR(__xludf.DUMMYFUNCTION("""COMPUTED_VALUE"""),"A Saya suka bermurah hati terhadap teman-teman saya.")</f>
        <v>A Saya suka bermurah hati terhadap teman-teman saya.</v>
      </c>
      <c r="BJ6" s="95" t="str">
        <f>IFERROR(__xludf.DUMMYFUNCTION("""COMPUTED_VALUE"""),"A Saya ingin mengerjakan tugas sampai selesai.")</f>
        <v>A Saya ingin mengerjakan tugas sampai selesai.</v>
      </c>
      <c r="BK6" s="95" t="str">
        <f>IFERROR(__xludf.DUMMYFUNCTION("""COMPUTED_VALUE"""),"A Saya ingin menyelesaikan pekerjaan satu persatu sebelum memulai yang lain.")</f>
        <v>A Saya ingin menyelesaikan pekerjaan satu persatu sebelum memulai yang lain.</v>
      </c>
      <c r="BL6" s="95" t="str">
        <f>IFERROR(__xludf.DUMMYFUNCTION("""COMPUTED_VALUE"""),"B Saya suka bersikukuh dengan pendirian saya.")</f>
        <v>B Saya suka bersikukuh dengan pendirian saya.</v>
      </c>
      <c r="BM6" s="95" t="str">
        <f>IFERROR(__xludf.DUMMYFUNCTION("""COMPUTED_VALUE"""),"B Saya ingin orang lain melakukan apa yang saya kehendaki.")</f>
        <v>B Saya ingin orang lain melakukan apa yang saya kehendaki.</v>
      </c>
      <c r="BN6" s="95" t="str">
        <f>IFERROR(__xludf.DUMMYFUNCTION("""COMPUTED_VALUE"""),"B Saya ingin teman-teman memberi dorongan bila saya menghadapi kegagalan.")</f>
        <v>B Saya ingin teman-teman memberi dorongan bila saya menghadapi kegagalan.</v>
      </c>
      <c r="BO6" s="95" t="str">
        <f>IFERROR(__xludf.DUMMYFUNCTION("""COMPUTED_VALUE"""),"B Saya ingin diperlakukan dengan baik oleh teman-teman saya.")</f>
        <v>B Saya ingin diperlakukan dengan baik oleh teman-teman saya.</v>
      </c>
      <c r="BP6" s="95" t="str">
        <f>IFERROR(__xludf.DUMMYFUNCTION("""COMPUTED_VALUE"""),"B Saya ingin teman-teman saya merasa kasihan pada saya apabila saya sakit.")</f>
        <v>B Saya ingin teman-teman saya merasa kasihan pada saya apabila saya sakit.</v>
      </c>
      <c r="BQ6" s="95" t="str">
        <f>IFERROR(__xludf.DUMMYFUNCTION("""COMPUTED_VALUE"""),"B Saya ingin agar teman-teman menceritakan diri saya apabila saya sakit.")</f>
        <v>B Saya ingin agar teman-teman menceritakan diri saya apabila saya sakit.</v>
      </c>
      <c r="BR6" s="95" t="str">
        <f>IFERROR(__xludf.DUMMYFUNCTION("""COMPUTED_VALUE"""),"A Saya suka memaafkan teman-teman saya yang menyakiti hati saya.")</f>
        <v>A Saya suka memaafkan teman-teman saya yang menyakiti hati saya.</v>
      </c>
      <c r="BS6" s="95" t="str">
        <f>IFERROR(__xludf.DUMMYFUNCTION("""COMPUTED_VALUE"""),"B Saya ingin teman-teman saya membantu saya bila saya mengalami kesulitan")</f>
        <v>B Saya ingin teman-teman saya membantu saya bila saya mengalami kesulitan</v>
      </c>
      <c r="BT6" s="95" t="str">
        <f>IFERROR(__xludf.DUMMYFUNCTION("""COMPUTED_VALUE"""),"B Saya ingin teman-teman banyak menunjukkan rasa sayang mereka terhadap saya.")</f>
        <v>B Saya ingin teman-teman banyak menunjukkan rasa sayang mereka terhadap saya.</v>
      </c>
      <c r="BU6" s="95" t="str">
        <f>IFERROR(__xludf.DUMMYFUNCTION("""COMPUTED_VALUE"""),"B Saya ingin agar teman-teman saya merasa kasihan pada saya apabila saya sakit.")</f>
        <v>B Saya ingin agar teman-teman saya merasa kasihan pada saya apabila saya sakit.</v>
      </c>
      <c r="BV6" s="95" t="str">
        <f>IFERROR(__xludf.DUMMYFUNCTION("""COMPUTED_VALUE"""),"B Saya ingin teman-teman dengan gembira memberikan pertolongan kepada saya.")</f>
        <v>B Saya ingin teman-teman dengan gembira memberikan pertolongan kepada saya.</v>
      </c>
      <c r="BW6" s="95" t="str">
        <f>IFERROR(__xludf.DUMMYFUNCTION("""COMPUTED_VALUE"""),"B Saya ingin diperlakukan dengan baik oleh teman-teman saya.")</f>
        <v>B Saya ingin diperlakukan dengan baik oleh teman-teman saya.</v>
      </c>
      <c r="BX6" s="95" t="str">
        <f>IFERROR(__xludf.DUMMYFUNCTION("""COMPUTED_VALUE"""),"B Saya kadang-kadang suka melakukan hal-hal yang dapat dipuji oleh orang lain.")</f>
        <v>B Saya kadang-kadang suka melakukan hal-hal yang dapat dipuji oleh orang lain.</v>
      </c>
      <c r="BY6" s="95" t="str">
        <f>IFERROR(__xludf.DUMMYFUNCTION("""COMPUTED_VALUE"""),"B Saya ingin orang lain memperhatikan dan berkomentar tentang penampilan saya.")</f>
        <v>B Saya ingin orang lain memperhatikan dan berkomentar tentang penampilan saya.</v>
      </c>
      <c r="BZ6" s="95" t="str">
        <f>IFERROR(__xludf.DUMMYFUNCTION("""COMPUTED_VALUE"""),"B Saya suka diperhatikan, apabila saya ada di dalam suatu kelompok.")</f>
        <v>B Saya suka diperhatikan, apabila saya ada di dalam suatu kelompok.</v>
      </c>
      <c r="CA6" s="95" t="str">
        <f>IFERROR(__xludf.DUMMYFUNCTION("""COMPUTED_VALUE"""),"A Saya ingin teman-teman dengan gembira memberikan pertolongan kepada saya.")</f>
        <v>A Saya ingin teman-teman dengan gembira memberikan pertolongan kepada saya.</v>
      </c>
      <c r="CB6" s="95" t="str">
        <f>IFERROR(__xludf.DUMMYFUNCTION("""COMPUTED_VALUE"""),"B Saya suka berbicara tentang hal-hal yang telah saya capai.")</f>
        <v>B Saya suka berbicara tentang hal-hal yang telah saya capai.</v>
      </c>
      <c r="CC6" s="95" t="str">
        <f>IFERROR(__xludf.DUMMYFUNCTION("""COMPUTED_VALUE"""),"A Apabila saya berkumpul dalam kelompok, saya ingin dihargai teman-teman.")</f>
        <v>A Apabila saya berkumpul dalam kelompok, saya ingin dihargai teman-teman.</v>
      </c>
      <c r="CD6" s="95" t="str">
        <f>IFERROR(__xludf.DUMMYFUNCTION("""COMPUTED_VALUE"""),"A Saya suka menyelesaikan setiap tugas meskipun membutuhkan waktu lama.")</f>
        <v>A Saya suka menyelesaikan setiap tugas meskipun membutuhkan waktu lama.</v>
      </c>
      <c r="CE6" s="95" t="str">
        <f>IFERROR(__xludf.DUMMYFUNCTION("""COMPUTED_VALUE"""),"A Saya suka menyelesaikan setiap tugas belajar yang telah saya mulai.")</f>
        <v>A Saya suka menyelesaikan setiap tugas belajar yang telah saya mulai.</v>
      </c>
      <c r="CF6" s="95" t="str">
        <f>IFERROR(__xludf.DUMMYFUNCTION("""COMPUTED_VALUE"""),"A Saya ingin agar hidup saya teratur sesuai cita-cita saya.")</f>
        <v>A Saya ingin agar hidup saya teratur sesuai cita-cita saya.</v>
      </c>
      <c r="CG6" s="95" t="str">
        <f>IFERROR(__xludf.DUMMYFUNCTION("""COMPUTED_VALUE"""),"A Saya ingin berhasil dalam apa yang saya lakukan.")</f>
        <v>A Saya ingin berhasil dalam apa yang saya lakukan.</v>
      </c>
      <c r="CH6" s="95" t="str">
        <f>IFERROR(__xludf.DUMMYFUNCTION("""COMPUTED_VALUE"""),"A Saya ingin bisa melakukan dengan baik sesuatu pekerjaan sulit.")</f>
        <v>A Saya ingin bisa melakukan dengan baik sesuatu pekerjaan sulit.</v>
      </c>
      <c r="CI6" s="95" t="str">
        <f>IFERROR(__xludf.DUMMYFUNCTION("""COMPUTED_VALUE"""),"A Saya suka belajar saya teratur dan ada waktu-waktu tertentu untuk belajar.")</f>
        <v>A Saya suka belajar saya teratur dan ada waktu-waktu tertentu untuk belajar.</v>
      </c>
      <c r="CJ6" s="95" t="str">
        <f>IFERROR(__xludf.DUMMYFUNCTION("""COMPUTED_VALUE"""),"A Saya ingin tidak tergantung dari orang lain terhadap apa yang akan saya lakukan.")</f>
        <v>A Saya ingin tidak tergantung dari orang lain terhadap apa yang akan saya lakukan.</v>
      </c>
      <c r="CK6" s="95" t="str">
        <f>IFERROR(__xludf.DUMMYFUNCTION("""COMPUTED_VALUE"""),"B Saya senang ikut beraktivitas bersama teman sebaya saya.")</f>
        <v>B Saya senang ikut beraktivitas bersama teman sebaya saya.</v>
      </c>
      <c r="CL6" s="95" t="str">
        <f>IFERROR(__xludf.DUMMYFUNCTION("""COMPUTED_VALUE"""),"A Saya suka menolong teman-teman saya, apabila mereka dalam kesulitan.")</f>
        <v>A Saya suka menolong teman-teman saya, apabila mereka dalam kesulitan.</v>
      </c>
      <c r="CM6" s="95" t="str">
        <f>IFERROR(__xludf.DUMMYFUNCTION("""COMPUTED_VALUE"""),"B Saya merasa kagum pada seseorang.")</f>
        <v>B Saya merasa kagum pada seseorang.</v>
      </c>
      <c r="CN6" s="95" t="str">
        <f>IFERROR(__xludf.DUMMYFUNCTION("""COMPUTED_VALUE"""),"A Saya ingin diperlakukan dengan baik oleh teman-teman saya.")</f>
        <v>A Saya ingin diperlakukan dengan baik oleh teman-teman saya.</v>
      </c>
      <c r="CO6" s="95" t="str">
        <f>IFERROR(__xludf.DUMMYFUNCTION("""COMPUTED_VALUE"""),"B Saya suka memuji orang yang saya kagumi.")</f>
        <v>B Saya suka memuji orang yang saya kagumi.</v>
      </c>
      <c r="CP6" s="95" t="str">
        <f>IFERROR(__xludf.DUMMYFUNCTION("""COMPUTED_VALUE"""),"A Saya suka melamun atau membayangkan sesuatu sendirian.")</f>
        <v>A Saya suka melamun atau membayangkan sesuatu sendirian.</v>
      </c>
      <c r="CQ6" s="95" t="str">
        <f>IFERROR(__xludf.DUMMYFUNCTION("""COMPUTED_VALUE"""),"B Saya merasa kagum pada seseorang.")</f>
        <v>B Saya merasa kagum pada seseorang.</v>
      </c>
      <c r="CR6" s="95" t="str">
        <f>IFERROR(__xludf.DUMMYFUNCTION("""COMPUTED_VALUE"""),"B Saya rasanya ingin mengecam seseorang bila orang itu menjengkelkan.")</f>
        <v>B Saya rasanya ingin mengecam seseorang bila orang itu menjengkelkan.</v>
      </c>
      <c r="CS6" s="95" t="str">
        <f>IFERROR(__xludf.DUMMYFUNCTION("""COMPUTED_VALUE"""),"B Saya rasanya ingin membalas dendam bila seseorang menghina saya.")</f>
        <v>B Saya rasanya ingin membalas dendam bila seseorang menghina saya.</v>
      </c>
      <c r="CT6" s="95" t="str">
        <f>IFERROR(__xludf.DUMMYFUNCTION("""COMPUTED_VALUE"""),"A Saya ingin orang-orang memperhatikan komentar mengenai penampilan saya.")</f>
        <v>A Saya ingin orang-orang memperhatikan komentar mengenai penampilan saya.</v>
      </c>
      <c r="CU6" s="95" t="str">
        <f>IFERROR(__xludf.DUMMYFUNCTION("""COMPUTED_VALUE"""),"A Saya ingin diperlakukan dengan ramah oleh teman-teman saya.")</f>
        <v>A Saya ingin diperlakukan dengan ramah oleh teman-teman saya.</v>
      </c>
      <c r="CV6" s="95" t="str">
        <f>IFERROR(__xludf.DUMMYFUNCTION("""COMPUTED_VALUE"""),"A Saya ingin ditunjuk atau dipilih sebagai ketua dalam suatu kelompok.")</f>
        <v>A Saya ingin ditunjuk atau dipilih sebagai ketua dalam suatu kelompok.</v>
      </c>
      <c r="CW6" s="95" t="str">
        <f>IFERROR(__xludf.DUMMYFUNCTION("""COMPUTED_VALUE"""),"A Saya suka menolong teman-teman saya, apabila mereka dalam kesulitan.")</f>
        <v>A Saya suka menolong teman-teman saya, apabila mereka dalam kesulitan.</v>
      </c>
      <c r="CX6" s="95" t="str">
        <f>IFERROR(__xludf.DUMMYFUNCTION("""COMPUTED_VALUE"""),"A Saya suka belajar sampai malam untuk menyelesaikan suatu tugas.")</f>
        <v>A Saya suka belajar sampai malam untuk menyelesaikan suatu tugas.</v>
      </c>
      <c r="CY6" s="95" t="str">
        <f>IFERROR(__xludf.DUMMYFUNCTION("""COMPUTED_VALUE"""),"A Saya ingin tidak tergantung dari orang lain terhadap apa yang akan saya lakukan.")</f>
        <v>A Saya ingin tidak tergantung dari orang lain terhadap apa yang akan saya lakukan.</v>
      </c>
      <c r="CZ6" s="95" t="str">
        <f>IFERROR(__xludf.DUMMYFUNCTION("""COMPUTED_VALUE"""),"A Saya suka merencanakan dan mengatur setiap pekerjaan yang harus saya lakukan.")</f>
        <v>A Saya suka merencanakan dan mengatur setiap pekerjaan yang harus saya lakukan.</v>
      </c>
      <c r="DA6" s="95" t="str">
        <f>IFERROR(__xludf.DUMMYFUNCTION("""COMPUTED_VALUE"""),"A Saya ingin melakukan apa saja sebaik mungkin.")</f>
        <v>A Saya ingin melakukan apa saja sebaik mungkin.</v>
      </c>
      <c r="DB6" s="89" t="s">
        <v>23</v>
      </c>
      <c r="DC6" s="97" t="str">
        <f t="shared" ref="DC6:GX6" si="51">LEFT(F6,1)</f>
        <v>A</v>
      </c>
      <c r="DD6" s="97" t="str">
        <f t="shared" si="51"/>
        <v>A</v>
      </c>
      <c r="DE6" s="97" t="str">
        <f t="shared" si="51"/>
        <v>A</v>
      </c>
      <c r="DF6" s="97" t="str">
        <f t="shared" si="51"/>
        <v>B</v>
      </c>
      <c r="DG6" s="97" t="str">
        <f t="shared" si="51"/>
        <v>A</v>
      </c>
      <c r="DH6" s="97" t="str">
        <f t="shared" si="51"/>
        <v>B</v>
      </c>
      <c r="DI6" s="97" t="str">
        <f t="shared" si="51"/>
        <v>B</v>
      </c>
      <c r="DJ6" s="97" t="str">
        <f t="shared" si="51"/>
        <v>B</v>
      </c>
      <c r="DK6" s="97" t="str">
        <f t="shared" si="51"/>
        <v>B</v>
      </c>
      <c r="DL6" s="97" t="str">
        <f t="shared" si="51"/>
        <v>A</v>
      </c>
      <c r="DM6" s="97" t="str">
        <f t="shared" si="51"/>
        <v>B</v>
      </c>
      <c r="DN6" s="97" t="str">
        <f t="shared" si="51"/>
        <v>B</v>
      </c>
      <c r="DO6" s="97" t="str">
        <f t="shared" si="51"/>
        <v>B</v>
      </c>
      <c r="DP6" s="97" t="str">
        <f t="shared" si="51"/>
        <v>B</v>
      </c>
      <c r="DQ6" s="97" t="str">
        <f t="shared" si="51"/>
        <v>B</v>
      </c>
      <c r="DR6" s="97" t="str">
        <f t="shared" si="51"/>
        <v>A</v>
      </c>
      <c r="DS6" s="97" t="str">
        <f t="shared" si="51"/>
        <v>B</v>
      </c>
      <c r="DT6" s="97" t="str">
        <f t="shared" si="51"/>
        <v>B</v>
      </c>
      <c r="DU6" s="97" t="str">
        <f t="shared" si="51"/>
        <v>B</v>
      </c>
      <c r="DV6" s="97" t="str">
        <f t="shared" si="51"/>
        <v>A</v>
      </c>
      <c r="DW6" s="97" t="str">
        <f t="shared" si="51"/>
        <v>A</v>
      </c>
      <c r="DX6" s="97" t="str">
        <f t="shared" si="51"/>
        <v>B</v>
      </c>
      <c r="DY6" s="97" t="str">
        <f t="shared" si="51"/>
        <v>B</v>
      </c>
      <c r="DZ6" s="97" t="str">
        <f t="shared" si="51"/>
        <v>A</v>
      </c>
      <c r="EA6" s="97" t="str">
        <f t="shared" si="51"/>
        <v>A</v>
      </c>
      <c r="EB6" s="97" t="str">
        <f t="shared" si="51"/>
        <v>A</v>
      </c>
      <c r="EC6" s="97" t="str">
        <f t="shared" si="51"/>
        <v>B</v>
      </c>
      <c r="ED6" s="97" t="str">
        <f t="shared" si="51"/>
        <v>B</v>
      </c>
      <c r="EE6" s="97" t="str">
        <f t="shared" si="51"/>
        <v>B</v>
      </c>
      <c r="EF6" s="97" t="str">
        <f t="shared" si="51"/>
        <v>B</v>
      </c>
      <c r="EG6" s="97" t="str">
        <f t="shared" si="51"/>
        <v>B</v>
      </c>
      <c r="EH6" s="97" t="str">
        <f t="shared" si="51"/>
        <v>B</v>
      </c>
      <c r="EI6" s="97" t="str">
        <f t="shared" si="51"/>
        <v>B</v>
      </c>
      <c r="EJ6" s="97" t="str">
        <f t="shared" si="51"/>
        <v>A</v>
      </c>
      <c r="EK6" s="97" t="str">
        <f t="shared" si="51"/>
        <v>A</v>
      </c>
      <c r="EL6" s="97" t="str">
        <f t="shared" si="51"/>
        <v>A</v>
      </c>
      <c r="EM6" s="97" t="str">
        <f t="shared" si="51"/>
        <v>A</v>
      </c>
      <c r="EN6" s="97" t="str">
        <f t="shared" si="51"/>
        <v>B</v>
      </c>
      <c r="EO6" s="97" t="str">
        <f t="shared" si="51"/>
        <v>B</v>
      </c>
      <c r="EP6" s="97" t="str">
        <f t="shared" si="51"/>
        <v>A</v>
      </c>
      <c r="EQ6" s="97" t="str">
        <f t="shared" si="51"/>
        <v>B</v>
      </c>
      <c r="ER6" s="97" t="str">
        <f t="shared" si="51"/>
        <v>B</v>
      </c>
      <c r="ES6" s="97" t="str">
        <f t="shared" si="51"/>
        <v>B</v>
      </c>
      <c r="ET6" s="97" t="str">
        <f t="shared" si="51"/>
        <v>B</v>
      </c>
      <c r="EU6" s="97" t="str">
        <f t="shared" si="51"/>
        <v>B</v>
      </c>
      <c r="EV6" s="97" t="str">
        <f t="shared" si="51"/>
        <v>B</v>
      </c>
      <c r="EW6" s="97" t="str">
        <f t="shared" si="51"/>
        <v>B</v>
      </c>
      <c r="EX6" s="97" t="str">
        <f t="shared" si="51"/>
        <v>B</v>
      </c>
      <c r="EY6" s="97" t="str">
        <f t="shared" si="51"/>
        <v>B</v>
      </c>
      <c r="EZ6" s="97" t="str">
        <f t="shared" si="51"/>
        <v>B</v>
      </c>
      <c r="FA6" s="97" t="str">
        <f t="shared" si="51"/>
        <v>B</v>
      </c>
      <c r="FB6" s="97" t="str">
        <f t="shared" si="51"/>
        <v>B</v>
      </c>
      <c r="FC6" s="97" t="str">
        <f t="shared" si="51"/>
        <v>B</v>
      </c>
      <c r="FD6" s="97" t="str">
        <f t="shared" si="51"/>
        <v>B</v>
      </c>
      <c r="FE6" s="97" t="str">
        <f t="shared" si="51"/>
        <v>B</v>
      </c>
      <c r="FF6" s="97" t="str">
        <f t="shared" si="51"/>
        <v>A</v>
      </c>
      <c r="FG6" s="97" t="str">
        <f t="shared" si="51"/>
        <v>A</v>
      </c>
      <c r="FH6" s="97" t="str">
        <f t="shared" si="51"/>
        <v>A</v>
      </c>
      <c r="FI6" s="97" t="str">
        <f t="shared" si="51"/>
        <v>B</v>
      </c>
      <c r="FJ6" s="97" t="str">
        <f t="shared" si="51"/>
        <v>B</v>
      </c>
      <c r="FK6" s="97" t="str">
        <f t="shared" si="51"/>
        <v>B</v>
      </c>
      <c r="FL6" s="97" t="str">
        <f t="shared" si="51"/>
        <v>B</v>
      </c>
      <c r="FM6" s="97" t="str">
        <f t="shared" si="51"/>
        <v>B</v>
      </c>
      <c r="FN6" s="97" t="str">
        <f t="shared" si="51"/>
        <v>B</v>
      </c>
      <c r="FO6" s="97" t="str">
        <f t="shared" si="51"/>
        <v>A</v>
      </c>
      <c r="FP6" s="97" t="str">
        <f t="shared" si="51"/>
        <v>B</v>
      </c>
      <c r="FQ6" s="97" t="str">
        <f t="shared" si="51"/>
        <v>B</v>
      </c>
      <c r="FR6" s="97" t="str">
        <f t="shared" si="51"/>
        <v>B</v>
      </c>
      <c r="FS6" s="97" t="str">
        <f t="shared" si="51"/>
        <v>B</v>
      </c>
      <c r="FT6" s="97" t="str">
        <f t="shared" si="51"/>
        <v>B</v>
      </c>
      <c r="FU6" s="97" t="str">
        <f t="shared" si="51"/>
        <v>B</v>
      </c>
      <c r="FV6" s="97" t="str">
        <f t="shared" si="51"/>
        <v>B</v>
      </c>
      <c r="FW6" s="97" t="str">
        <f t="shared" si="51"/>
        <v>B</v>
      </c>
      <c r="FX6" s="97" t="str">
        <f t="shared" si="51"/>
        <v>A</v>
      </c>
      <c r="FY6" s="97" t="str">
        <f t="shared" si="51"/>
        <v>B</v>
      </c>
      <c r="FZ6" s="97" t="str">
        <f t="shared" si="51"/>
        <v>A</v>
      </c>
      <c r="GA6" s="97" t="str">
        <f t="shared" si="51"/>
        <v>A</v>
      </c>
      <c r="GB6" s="97" t="str">
        <f t="shared" si="51"/>
        <v>A</v>
      </c>
      <c r="GC6" s="97" t="str">
        <f t="shared" si="51"/>
        <v>A</v>
      </c>
      <c r="GD6" s="97" t="str">
        <f t="shared" si="51"/>
        <v>A</v>
      </c>
      <c r="GE6" s="97" t="str">
        <f t="shared" si="51"/>
        <v>A</v>
      </c>
      <c r="GF6" s="97" t="str">
        <f t="shared" si="51"/>
        <v>A</v>
      </c>
      <c r="GG6" s="97" t="str">
        <f t="shared" si="51"/>
        <v>A</v>
      </c>
      <c r="GH6" s="97" t="str">
        <f t="shared" si="51"/>
        <v>B</v>
      </c>
      <c r="GI6" s="97" t="str">
        <f t="shared" si="51"/>
        <v>A</v>
      </c>
      <c r="GJ6" s="97" t="str">
        <f t="shared" si="51"/>
        <v>B</v>
      </c>
      <c r="GK6" s="97" t="str">
        <f t="shared" si="51"/>
        <v>A</v>
      </c>
      <c r="GL6" s="97" t="str">
        <f t="shared" si="51"/>
        <v>B</v>
      </c>
      <c r="GM6" s="97" t="str">
        <f t="shared" si="51"/>
        <v>A</v>
      </c>
      <c r="GN6" s="97" t="str">
        <f t="shared" si="51"/>
        <v>B</v>
      </c>
      <c r="GO6" s="97" t="str">
        <f t="shared" si="51"/>
        <v>B</v>
      </c>
      <c r="GP6" s="97" t="str">
        <f t="shared" si="51"/>
        <v>B</v>
      </c>
      <c r="GQ6" s="97" t="str">
        <f t="shared" si="51"/>
        <v>A</v>
      </c>
      <c r="GR6" s="97" t="str">
        <f t="shared" si="51"/>
        <v>A</v>
      </c>
      <c r="GS6" s="97" t="str">
        <f t="shared" si="51"/>
        <v>A</v>
      </c>
      <c r="GT6" s="97" t="str">
        <f t="shared" si="51"/>
        <v>A</v>
      </c>
      <c r="GU6" s="97" t="str">
        <f t="shared" si="51"/>
        <v>A</v>
      </c>
      <c r="GV6" s="97" t="str">
        <f t="shared" si="51"/>
        <v>A</v>
      </c>
      <c r="GW6" s="97" t="str">
        <f t="shared" si="51"/>
        <v>A</v>
      </c>
      <c r="GX6" s="97" t="str">
        <f t="shared" si="51"/>
        <v>A</v>
      </c>
      <c r="GY6" s="98"/>
      <c r="GZ6" s="97">
        <f t="shared" si="3"/>
        <v>40</v>
      </c>
      <c r="HA6" s="97">
        <f t="shared" si="4"/>
        <v>60</v>
      </c>
      <c r="HB6" s="90">
        <f t="shared" si="5"/>
        <v>100</v>
      </c>
      <c r="HC6" s="99"/>
      <c r="HD6" s="97">
        <f t="shared" si="6"/>
        <v>6</v>
      </c>
      <c r="HE6" s="97">
        <f t="shared" si="7"/>
        <v>5</v>
      </c>
      <c r="HF6" s="90">
        <f t="shared" si="8"/>
        <v>11</v>
      </c>
      <c r="HG6" s="99"/>
      <c r="HH6" s="97">
        <f t="shared" si="9"/>
        <v>4</v>
      </c>
      <c r="HI6" s="97">
        <f t="shared" si="10"/>
        <v>8</v>
      </c>
      <c r="HJ6" s="90">
        <f t="shared" si="11"/>
        <v>12</v>
      </c>
      <c r="HK6" s="99"/>
      <c r="HL6" s="97">
        <f t="shared" si="12"/>
        <v>5</v>
      </c>
      <c r="HM6" s="97">
        <f t="shared" si="13"/>
        <v>6</v>
      </c>
      <c r="HN6" s="90">
        <f t="shared" si="14"/>
        <v>11</v>
      </c>
      <c r="HO6" s="99"/>
      <c r="HP6" s="97">
        <f t="shared" si="15"/>
        <v>4</v>
      </c>
      <c r="HQ6" s="97">
        <f t="shared" si="16"/>
        <v>5</v>
      </c>
      <c r="HR6" s="90">
        <f t="shared" si="17"/>
        <v>9</v>
      </c>
      <c r="HS6" s="99"/>
      <c r="HT6" s="97">
        <f t="shared" si="18"/>
        <v>9</v>
      </c>
      <c r="HU6" s="97">
        <f t="shared" si="19"/>
        <v>10</v>
      </c>
      <c r="HV6" s="90">
        <f t="shared" si="20"/>
        <v>19</v>
      </c>
      <c r="HW6" s="99"/>
      <c r="HX6" s="97">
        <f t="shared" si="21"/>
        <v>3</v>
      </c>
      <c r="HY6" s="97">
        <f t="shared" si="22"/>
        <v>7</v>
      </c>
      <c r="HZ6" s="90">
        <f t="shared" si="23"/>
        <v>10</v>
      </c>
      <c r="IA6" s="99"/>
      <c r="IB6" s="97">
        <f t="shared" si="24"/>
        <v>4</v>
      </c>
      <c r="IC6" s="97">
        <f t="shared" si="25"/>
        <v>9</v>
      </c>
      <c r="ID6" s="90">
        <f t="shared" si="26"/>
        <v>13</v>
      </c>
      <c r="IE6" s="99"/>
      <c r="IF6" s="97">
        <f t="shared" si="27"/>
        <v>1</v>
      </c>
      <c r="IG6" s="97">
        <f t="shared" si="28"/>
        <v>4</v>
      </c>
      <c r="IH6" s="90">
        <f t="shared" si="29"/>
        <v>5</v>
      </c>
      <c r="II6" s="99"/>
      <c r="IJ6" s="97">
        <f t="shared" si="30"/>
        <v>0</v>
      </c>
      <c r="IK6" s="97">
        <f t="shared" si="31"/>
        <v>4</v>
      </c>
      <c r="IL6" s="90">
        <f t="shared" si="32"/>
        <v>4</v>
      </c>
      <c r="IM6" s="99"/>
      <c r="IN6" s="97">
        <f t="shared" si="33"/>
        <v>1</v>
      </c>
      <c r="IO6" s="97">
        <f t="shared" si="34"/>
        <v>2</v>
      </c>
      <c r="IP6" s="90">
        <f t="shared" si="35"/>
        <v>3</v>
      </c>
      <c r="IQ6" s="99"/>
      <c r="IR6" s="99"/>
      <c r="IS6" s="100">
        <f t="shared" si="36"/>
        <v>11</v>
      </c>
      <c r="IT6" s="100">
        <f t="shared" si="37"/>
        <v>12</v>
      </c>
      <c r="IU6" s="100">
        <f t="shared" si="38"/>
        <v>11</v>
      </c>
      <c r="IV6" s="100">
        <f t="shared" si="39"/>
        <v>9</v>
      </c>
      <c r="IW6" s="100">
        <f t="shared" si="40"/>
        <v>19</v>
      </c>
      <c r="IX6" s="100">
        <f t="shared" si="41"/>
        <v>10</v>
      </c>
      <c r="IY6" s="100">
        <f t="shared" si="42"/>
        <v>13</v>
      </c>
      <c r="IZ6" s="100">
        <f t="shared" si="43"/>
        <v>5</v>
      </c>
      <c r="JA6" s="100">
        <f t="shared" si="44"/>
        <v>4</v>
      </c>
      <c r="JB6" s="101">
        <f t="shared" si="45"/>
        <v>3</v>
      </c>
      <c r="JC6" s="102">
        <f t="shared" si="46"/>
        <v>97</v>
      </c>
      <c r="JD6" s="67">
        <f t="shared" si="50"/>
        <v>0</v>
      </c>
      <c r="JE6" s="67">
        <f t="shared" si="47"/>
        <v>2</v>
      </c>
      <c r="JF6" s="67">
        <f t="shared" si="48"/>
        <v>2</v>
      </c>
    </row>
    <row r="7">
      <c r="A7" s="103">
        <f>IFERROR(__xludf.DUMMYFUNCTION("""COMPUTED_VALUE"""),45920.35065865741)</f>
        <v>45920.35066</v>
      </c>
      <c r="B7" s="95" t="str">
        <f>IFERROR(__xludf.DUMMYFUNCTION("""COMPUTED_VALUE"""),"keyza qaireen")</f>
        <v>keyza qaireen</v>
      </c>
      <c r="C7" s="96" t="str">
        <f>IFERROR(__xludf.DUMMYFUNCTION("""COMPUTED_VALUE"""),"D250009")</f>
        <v>D250009</v>
      </c>
      <c r="D7" s="96" t="str">
        <f>IFERROR(__xludf.DUMMYFUNCTION("""COMPUTED_VALUE"""),"MTs Putri")</f>
        <v>MTs Putri</v>
      </c>
      <c r="E7" s="96" t="str">
        <f>IFERROR(__xludf.DUMMYFUNCTION("""COMPUTED_VALUE"""),"Ya")</f>
        <v>Ya</v>
      </c>
      <c r="F7" s="95" t="str">
        <f>IFERROR(__xludf.DUMMYFUNCTION("""COMPUTED_VALUE"""),"B Saya ingin melakukan apa saja sebaik mungkin.")</f>
        <v>B Saya ingin melakukan apa saja sebaik mungkin.</v>
      </c>
      <c r="G7" s="95" t="str">
        <f>IFERROR(__xludf.DUMMYFUNCTION("""COMPUTED_VALUE"""),"A Saya ingin setiap tulisan saya teliti, rapi, dan tersusun dengan baik.")</f>
        <v>A Saya ingin setiap tulisan saya teliti, rapi, dan tersusun dengan baik.</v>
      </c>
      <c r="H7" s="95" t="str">
        <f>IFERROR(__xludf.DUMMYFUNCTION("""COMPUTED_VALUE"""),"B Saya ingin menjadi orang yang diakui dalam suatu pekerjaan atau bidang khusus.")</f>
        <v>B Saya ingin menjadi orang yang diakui dalam suatu pekerjaan atau bidang khusus.</v>
      </c>
      <c r="I7" s="95" t="str">
        <f>IFERROR(__xludf.DUMMYFUNCTION("""COMPUTED_VALUE"""),"B Saya ingin bisa melakukan dengan baik meskipun tugas yang sulit.")</f>
        <v>B Saya ingin bisa melakukan dengan baik meskipun tugas yang sulit.</v>
      </c>
      <c r="J7" s="95" t="str">
        <f>IFERROR(__xludf.DUMMYFUNCTION("""COMPUTED_VALUE"""),"A Saya suka membantu teman-teman saya apabila mereka mengalami kesulitan.")</f>
        <v>A Saya suka membantu teman-teman saya apabila mereka mengalami kesulitan.</v>
      </c>
      <c r="K7" s="95" t="str">
        <f>IFERROR(__xludf.DUMMYFUNCTION("""COMPUTED_VALUE"""),"B Saya ingin mengatakan telah melakukan dengan baik sesuatu tugas yang sulit.")</f>
        <v>B Saya ingin mengatakan telah melakukan dengan baik sesuatu tugas yang sulit.</v>
      </c>
      <c r="L7" s="95" t="str">
        <f>IFERROR(__xludf.DUMMYFUNCTION("""COMPUTED_VALUE"""),"B Saya ingin mengatakan telah melakukan dengan baik sesuatu tugas yang sulit")</f>
        <v>B Saya ingin mengatakan telah melakukan dengan baik sesuatu tugas yang sulit</v>
      </c>
      <c r="M7" s="95" t="str">
        <f>IFERROR(__xludf.DUMMYFUNCTION("""COMPUTED_VALUE"""),"A Saya suka berbicara tentang hal-hal yang telah berhasil saya lakukan.")</f>
        <v>A Saya suka berbicara tentang hal-hal yang telah berhasil saya lakukan.</v>
      </c>
      <c r="N7" s="95" t="str">
        <f>IFERROR(__xludf.DUMMYFUNCTION("""COMPUTED_VALUE"""),"A Saya suka pergi dengan pakaian rapi agar lebih menarik perhatian orang lain.")</f>
        <v>A Saya suka pergi dengan pakaian rapi agar lebih menarik perhatian orang lain.</v>
      </c>
      <c r="O7" s="95" t="str">
        <f>IFERROR(__xludf.DUMMYFUNCTION("""COMPUTED_VALUE"""),"A Saya marah saat ada teman memperolok-olok hal-hal yang saya anggap bodoh.")</f>
        <v>A Saya marah saat ada teman memperolok-olok hal-hal yang saya anggap bodoh.</v>
      </c>
      <c r="P7" s="95" t="str">
        <f>IFERROR(__xludf.DUMMYFUNCTION("""COMPUTED_VALUE"""),"A Saya suka bercerita tentang hal-hal yang menegangkan atau menantang.")</f>
        <v>A Saya suka bercerita tentang hal-hal yang menegangkan atau menantang.</v>
      </c>
      <c r="Q7" s="95" t="str">
        <f>IFERROR(__xludf.DUMMYFUNCTION("""COMPUTED_VALUE"""),"B Saya merencanakan keperluan yang dibutuhkan sebelum bepergian.")</f>
        <v>B Saya merencanakan keperluan yang dibutuhkan sebelum bepergian.</v>
      </c>
      <c r="R7" s="95" t="str">
        <f>IFERROR(__xludf.DUMMYFUNCTION("""COMPUTED_VALUE"""),"B Saya suka barang-barang saya tersusun rapi dan teratur.")</f>
        <v>B Saya suka barang-barang saya tersusun rapi dan teratur.</v>
      </c>
      <c r="S7" s="95" t="str">
        <f>IFERROR(__xludf.DUMMYFUNCTION("""COMPUTED_VALUE"""),"A Saya ingin agar teman-teman pengertian bila saya mengalami kesukaran.")</f>
        <v>A Saya ingin agar teman-teman pengertian bila saya mengalami kesukaran.</v>
      </c>
      <c r="T7" s="95" t="str">
        <f>IFERROR(__xludf.DUMMYFUNCTION("""COMPUTED_VALUE"""),"B Saya ingin agar hidup saya teratur sesuai cita-cita saya.")</f>
        <v>B Saya ingin agar hidup saya teratur sesuai cita-cita saya.</v>
      </c>
      <c r="U7" s="95" t="str">
        <f>IFERROR(__xludf.DUMMYFUNCTION("""COMPUTED_VALUE"""),"B Saya suka menyimpan catatan secara rapi.")</f>
        <v>B Saya suka menyimpan catatan secara rapi.</v>
      </c>
      <c r="V7" s="95" t="str">
        <f>IFERROR(__xludf.DUMMYFUNCTION("""COMPUTED_VALUE"""),"A Saya suka belajar sampai malam untuk menyelesaikan suatu tugas.")</f>
        <v>A Saya suka belajar sampai malam untuk menyelesaikan suatu tugas.</v>
      </c>
      <c r="W7" s="95" t="str">
        <f>IFERROR(__xludf.DUMMYFUNCTION("""COMPUTED_VALUE"""),"A Saya suka melakukan kegiatan sesuai kondisi yang saya inginkan.")</f>
        <v>A Saya suka melakukan kegiatan sesuai kondisi yang saya inginkan.</v>
      </c>
      <c r="X7" s="95" t="str">
        <f>IFERROR(__xludf.DUMMYFUNCTION("""COMPUTED_VALUE"""),"A Saya suka merencanakan dan mengatur setiap apa yang harus saya lakukan.")</f>
        <v>A Saya suka merencanakan dan mengatur setiap apa yang harus saya lakukan.</v>
      </c>
      <c r="Y7" s="95" t="str">
        <f>IFERROR(__xludf.DUMMYFUNCTION("""COMPUTED_VALUE"""),"A Saya suka menyelesaikan tugas-tugas yang membutuhkan ketrampilan dan usaha.")</f>
        <v>A Saya suka menyelesaikan tugas-tugas yang membutuhkan ketrampilan dan usaha.</v>
      </c>
      <c r="Z7" s="95" t="str">
        <f>IFERROR(__xludf.DUMMYFUNCTION("""COMPUTED_VALUE"""),"A Saya ingin berhasil dengan belajar yang saya lakukan.")</f>
        <v>A Saya ingin berhasil dengan belajar yang saya lakukan.</v>
      </c>
      <c r="AA7" s="95" t="str">
        <f>IFERROR(__xludf.DUMMYFUNCTION("""COMPUTED_VALUE"""),"B Saya tidak suka pada orang yang berbuat seenaknya sendiri.")</f>
        <v>B Saya tidak suka pada orang yang berbuat seenaknya sendiri.</v>
      </c>
      <c r="AB7" s="95" t="str">
        <f>IFERROR(__xludf.DUMMYFUNCTION("""COMPUTED_VALUE"""),"B Saya ingin menyelesaikan pekerjaan satu persatu sebelum memulai yang lain.")</f>
        <v>B Saya ingin menyelesaikan pekerjaan satu persatu sebelum memulai yang lain.</v>
      </c>
      <c r="AC7" s="95" t="str">
        <f>IFERROR(__xludf.DUMMYFUNCTION("""COMPUTED_VALUE"""),"A Saya suka menyelesaikan setiap tugas meskipun membutuhkan waktu lama.")</f>
        <v>A Saya suka menyelesaikan setiap tugas meskipun membutuhkan waktu lama.</v>
      </c>
      <c r="AD7" s="95" t="str">
        <f>IFERROR(__xludf.DUMMYFUNCTION("""COMPUTED_VALUE"""),"A Saya suka bermurah hati terhadap teman-teman saya.")</f>
        <v>A Saya suka bermurah hati terhadap teman-teman saya.</v>
      </c>
      <c r="AE7" s="95" t="str">
        <f>IFERROR(__xludf.DUMMYFUNCTION("""COMPUTED_VALUE"""),"B Saya suka melakukan hal-hal yang dianggap orang lain tidak sesuai.")</f>
        <v>B Saya suka melakukan hal-hal yang dianggap orang lain tidak sesuai.</v>
      </c>
      <c r="AF7" s="95" t="str">
        <f>IFERROR(__xludf.DUMMYFUNCTION("""COMPUTED_VALUE"""),"A Saya ingin agar teman-teman mengerti bila saya mengalami kesukaran.")</f>
        <v>A Saya ingin agar teman-teman mengerti bila saya mengalami kesukaran.</v>
      </c>
      <c r="AG7" s="95" t="str">
        <f>IFERROR(__xludf.DUMMYFUNCTION("""COMPUTED_VALUE"""),"A Saya mengajari orang lain bagaimana mereka harus melakukan pekerjaan mereka.")</f>
        <v>A Saya mengajari orang lain bagaimana mereka harus melakukan pekerjaan mereka.</v>
      </c>
      <c r="AH7" s="95" t="str">
        <f>IFERROR(__xludf.DUMMYFUNCTION("""COMPUTED_VALUE"""),"B Saya ingin merasa bebas untuk melakukan apa yang saya kehendaki.")</f>
        <v>B Saya ingin merasa bebas untuk melakukan apa yang saya kehendaki.</v>
      </c>
      <c r="AI7" s="95" t="str">
        <f>IFERROR(__xludf.DUMMYFUNCTION("""COMPUTED_VALUE"""),"B Saya suka melakukan kegiatan sesuai kondisi yang saya inginkan.")</f>
        <v>B Saya suka melakukan kegiatan sesuai kondisi yang saya inginkan.</v>
      </c>
      <c r="AJ7" s="95" t="str">
        <f>IFERROR(__xludf.DUMMYFUNCTION("""COMPUTED_VALUE"""),"A Saya rasanya ingin membalas dendam bila seseorang menghina saya.")</f>
        <v>A Saya rasanya ingin membalas dendam bila seseorang menghina saya.</v>
      </c>
      <c r="AK7" s="95" t="str">
        <f>IFERROR(__xludf.DUMMYFUNCTION("""COMPUTED_VALUE"""),"B Bila saya harus melakukan suatu tugas, saya ingin mengerjakan sampai selesai.")</f>
        <v>B Bila saya harus melakukan suatu tugas, saya ingin mengerjakan sampai selesai.</v>
      </c>
      <c r="AL7" s="95" t="str">
        <f>IFERROR(__xludf.DUMMYFUNCTION("""COMPUTED_VALUE"""),"B Saya ingin menghindarkan gangguan bila saya sedang belajar.")</f>
        <v>B Saya ingin menghindarkan gangguan bila saya sedang belajar.</v>
      </c>
      <c r="AM7" s="95" t="str">
        <f>IFERROR(__xludf.DUMMYFUNCTION("""COMPUTED_VALUE"""),"B Saya suka belajar sampai malam untuk menyelesaikan suatu tugas.")</f>
        <v>B Saya suka belajar sampai malam untuk menyelesaikan suatu tugas.</v>
      </c>
      <c r="AN7" s="95" t="str">
        <f>IFERROR(__xludf.DUMMYFUNCTION("""COMPUTED_VALUE"""),"A Saya tidak suka pada orang yang semena-mena.")</f>
        <v>A Saya tidak suka pada orang yang semena-mena.</v>
      </c>
      <c r="AO7" s="95" t="str">
        <f>IFERROR(__xludf.DUMMYFUNCTION("""COMPUTED_VALUE"""),"A Saya suka berlaku sangat ramah terhadap teman-teman saya.")</f>
        <v>A Saya suka berlaku sangat ramah terhadap teman-teman saya.</v>
      </c>
      <c r="AP7" s="95" t="str">
        <f>IFERROR(__xludf.DUMMYFUNCTION("""COMPUTED_VALUE"""),"B Saya suka bertahan menghadapi satu masalah meskipun belum tentu berhasil.")</f>
        <v>B Saya suka bertahan menghadapi satu masalah meskipun belum tentu berhasil.</v>
      </c>
      <c r="AQ7" s="95" t="str">
        <f>IFERROR(__xludf.DUMMYFUNCTION("""COMPUTED_VALUE"""),"B Bila saya harus melakukan suatu tugas, saya ingin mengerjakan sampai selesai.")</f>
        <v>B Bila saya harus melakukan suatu tugas, saya ingin mengerjakan sampai selesai.</v>
      </c>
      <c r="AR7" s="95" t="str">
        <f>IFERROR(__xludf.DUMMYFUNCTION("""COMPUTED_VALUE"""),"A Saya suka menyimpan catatan secara rapi.")</f>
        <v>A Saya suka menyimpan catatan secara rapi.</v>
      </c>
      <c r="AS7" s="95" t="str">
        <f>IFERROR(__xludf.DUMMYFUNCTION("""COMPUTED_VALUE"""),"B Saya suka belajar sampai malam untuk menyelesaikan suatu tugas.")</f>
        <v>B Saya suka belajar sampai malam untuk menyelesaikan suatu tugas.</v>
      </c>
      <c r="AT7" s="95" t="str">
        <f>IFERROR(__xludf.DUMMYFUNCTION("""COMPUTED_VALUE"""),"A Saya ingin bisa melakukan dengan baik sesuatu pekerjaan sulit.")</f>
        <v>A Saya ingin bisa melakukan dengan baik sesuatu pekerjaan sulit.</v>
      </c>
      <c r="AU7" s="95" t="str">
        <f>IFERROR(__xludf.DUMMYFUNCTION("""COMPUTED_VALUE"""),"B Saya suka bermurah hati terhadap teman-teman saya.")</f>
        <v>B Saya suka bermurah hati terhadap teman-teman saya.</v>
      </c>
      <c r="AV7" s="95" t="str">
        <f>IFERROR(__xludf.DUMMYFUNCTION("""COMPUTED_VALUE"""),"B Saya suka menolong teman-teman saya.")</f>
        <v>B Saya suka menolong teman-teman saya.</v>
      </c>
      <c r="AW7" s="95" t="str">
        <f>IFERROR(__xludf.DUMMYFUNCTION("""COMPUTED_VALUE"""),"B Saya ingin teman-teman saya percaya bahwa saya bisa menolong mereka.")</f>
        <v>B Saya ingin teman-teman saya percaya bahwa saya bisa menolong mereka.</v>
      </c>
      <c r="AX7" s="95" t="str">
        <f>IFERROR(__xludf.DUMMYFUNCTION("""COMPUTED_VALUE"""),"B Saya suka memaafkan teman-teman saya yang menyakiti hati saya.")</f>
        <v>B Saya suka memaafkan teman-teman saya yang menyakiti hati saya.</v>
      </c>
      <c r="AY7" s="95" t="str">
        <f>IFERROR(__xludf.DUMMYFUNCTION("""COMPUTED_VALUE"""),"A Saya rasanya ingin marah saat tidak sesuai dengan hati.")</f>
        <v>A Saya rasanya ingin marah saat tidak sesuai dengan hati.</v>
      </c>
      <c r="AZ7" s="95" t="str">
        <f>IFERROR(__xludf.DUMMYFUNCTION("""COMPUTED_VALUE"""),"A Saya ingin agar teman-teman saya bersimpati dan menghibur saya bila saya sedih.")</f>
        <v>A Saya ingin agar teman-teman saya bersimpati dan menghibur saya bila saya sedih.</v>
      </c>
      <c r="BA7" s="95" t="str">
        <f>IFERROR(__xludf.DUMMYFUNCTION("""COMPUTED_VALUE"""),"B Saya suka memperlakukan orang lain dengan baik dan ramah.")</f>
        <v>B Saya suka memperlakukan orang lain dengan baik dan ramah.</v>
      </c>
      <c r="BB7" s="95" t="str">
        <f>IFERROR(__xludf.DUMMYFUNCTION("""COMPUTED_VALUE"""),"A Saya berkeinginan untuk bersama orang yang menarik bagi saya.")</f>
        <v>A Saya berkeinginan untuk bersama orang yang menarik bagi saya.</v>
      </c>
      <c r="BC7" s="95" t="str">
        <f>IFERROR(__xludf.DUMMYFUNCTION("""COMPUTED_VALUE"""),"B Saya suka membantu orang lain yang menurut saya perlu dikasihani.")</f>
        <v>B Saya suka membantu orang lain yang menurut saya perlu dikasihani.</v>
      </c>
      <c r="BD7" s="95" t="str">
        <f>IFERROR(__xludf.DUMMYFUNCTION("""COMPUTED_VALUE"""),"A Saya rasanya ingin menyalahkan orang lain bila keadaan tidak baik bagi saya.")</f>
        <v>A Saya rasanya ingin menyalahkan orang lain bila keadaan tidak baik bagi saya.</v>
      </c>
      <c r="BE7" s="95" t="str">
        <f>IFERROR(__xludf.DUMMYFUNCTION("""COMPUTED_VALUE"""),"A Saya suka mendengarkan atau menceritakan hal-hal yang sebaiknya tidak diceritakan.")</f>
        <v>A Saya suka mendengarkan atau menceritakan hal-hal yang sebaiknya tidak diceritakan.</v>
      </c>
      <c r="BF7" s="95" t="str">
        <f>IFERROR(__xludf.DUMMYFUNCTION("""COMPUTED_VALUE"""),"A Saya ingin orang lain memperhatikan dan berkomentar tentang penampilan saya.")</f>
        <v>A Saya ingin orang lain memperhatikan dan berkomentar tentang penampilan saya.</v>
      </c>
      <c r="BG7" s="95" t="str">
        <f>IFERROR(__xludf.DUMMYFUNCTION("""COMPUTED_VALUE"""),"A Saya ingin teman-teman banyak menunjukkan rasa sayang mereka terhadap saya.")</f>
        <v>A Saya ingin teman-teman banyak menunjukkan rasa sayang mereka terhadap saya.</v>
      </c>
      <c r="BH7" s="95" t="str">
        <f>IFERROR(__xludf.DUMMYFUNCTION("""COMPUTED_VALUE"""),"B Apabila saya berkumpul dalam kelompok, saya ingin dihargai teman-teman.")</f>
        <v>B Apabila saya berkumpul dalam kelompok, saya ingin dihargai teman-teman.</v>
      </c>
      <c r="BI7" s="95" t="str">
        <f>IFERROR(__xludf.DUMMYFUNCTION("""COMPUTED_VALUE"""),"A Saya suka bermurah hati terhadap teman-teman saya.")</f>
        <v>A Saya suka bermurah hati terhadap teman-teman saya.</v>
      </c>
      <c r="BJ7" s="95" t="str">
        <f>IFERROR(__xludf.DUMMYFUNCTION("""COMPUTED_VALUE"""),"A Saya ingin mengerjakan tugas sampai selesai.")</f>
        <v>A Saya ingin mengerjakan tugas sampai selesai.</v>
      </c>
      <c r="BK7" s="95" t="str">
        <f>IFERROR(__xludf.DUMMYFUNCTION("""COMPUTED_VALUE"""),"B Saya senang untuk diminta menyelesaikan pertentangan-pertentangan.")</f>
        <v>B Saya senang untuk diminta menyelesaikan pertentangan-pertentangan.</v>
      </c>
      <c r="BL7" s="95" t="str">
        <f>IFERROR(__xludf.DUMMYFUNCTION("""COMPUTED_VALUE"""),"A Saya suka belajar saya teratur dan ada waktu-waktu tertentu untuk belajar.")</f>
        <v>A Saya suka belajar saya teratur dan ada waktu-waktu tertentu untuk belajar.</v>
      </c>
      <c r="BM7" s="95" t="str">
        <f>IFERROR(__xludf.DUMMYFUNCTION("""COMPUTED_VALUE"""),"A Saya suka melakukan pekerjaan sebaik mungkin.")</f>
        <v>A Saya suka melakukan pekerjaan sebaik mungkin.</v>
      </c>
      <c r="BN7" s="95" t="str">
        <f>IFERROR(__xludf.DUMMYFUNCTION("""COMPUTED_VALUE"""),"B Saya ingin teman-teman memberi dorongan bila saya menghadapi kegagalan.")</f>
        <v>B Saya ingin teman-teman memberi dorongan bila saya menghadapi kegagalan.</v>
      </c>
      <c r="BO7" s="95" t="str">
        <f>IFERROR(__xludf.DUMMYFUNCTION("""COMPUTED_VALUE"""),"B Saya ingin diperlakukan dengan baik oleh teman-teman saya.")</f>
        <v>B Saya ingin diperlakukan dengan baik oleh teman-teman saya.</v>
      </c>
      <c r="BP7" s="95" t="str">
        <f>IFERROR(__xludf.DUMMYFUNCTION("""COMPUTED_VALUE"""),"A Saya ingin menyelesaikan sesuatu yang sangat penting artinya.")</f>
        <v>A Saya ingin menyelesaikan sesuatu yang sangat penting artinya.</v>
      </c>
      <c r="BQ7" s="95" t="str">
        <f>IFERROR(__xludf.DUMMYFUNCTION("""COMPUTED_VALUE"""),"A Saya ingin mengerjakannya tugas sampai selesai.")</f>
        <v>A Saya ingin mengerjakannya tugas sampai selesai.</v>
      </c>
      <c r="BR7" s="95" t="str">
        <f>IFERROR(__xludf.DUMMYFUNCTION("""COMPUTED_VALUE"""),"A Saya suka memaafkan teman-teman saya yang menyakiti hati saya.")</f>
        <v>A Saya suka memaafkan teman-teman saya yang menyakiti hati saya.</v>
      </c>
      <c r="BS7" s="95" t="str">
        <f>IFERROR(__xludf.DUMMYFUNCTION("""COMPUTED_VALUE"""),"A Saya suka menghindar dari tanggung jawab yang tidak saya inginkan.")</f>
        <v>A Saya suka menghindar dari tanggung jawab yang tidak saya inginkan.</v>
      </c>
      <c r="BT7" s="95" t="str">
        <f>IFERROR(__xludf.DUMMYFUNCTION("""COMPUTED_VALUE"""),"B Saya ingin teman-teman banyak menunjukkan rasa sayang mereka terhadap saya.")</f>
        <v>B Saya ingin teman-teman banyak menunjukkan rasa sayang mereka terhadap saya.</v>
      </c>
      <c r="BU7" s="95" t="str">
        <f>IFERROR(__xludf.DUMMYFUNCTION("""COMPUTED_VALUE"""),"A Saya kadang-kadang suka melakukan hal-hal yang dapat dipuji oleh orang lain.")</f>
        <v>A Saya kadang-kadang suka melakukan hal-hal yang dapat dipuji oleh orang lain.</v>
      </c>
      <c r="BV7" s="95" t="str">
        <f>IFERROR(__xludf.DUMMYFUNCTION("""COMPUTED_VALUE"""),"B Saya ingin teman-teman dengan gembira memberikan pertolongan kepada saya.")</f>
        <v>B Saya ingin teman-teman dengan gembira memberikan pertolongan kepada saya.</v>
      </c>
      <c r="BW7" s="95" t="str">
        <f>IFERROR(__xludf.DUMMYFUNCTION("""COMPUTED_VALUE"""),"B Saya ingin diperlakukan dengan baik oleh teman-teman saya.")</f>
        <v>B Saya ingin diperlakukan dengan baik oleh teman-teman saya.</v>
      </c>
      <c r="BX7" s="95" t="str">
        <f>IFERROR(__xludf.DUMMYFUNCTION("""COMPUTED_VALUE"""),"B Saya kadang-kadang suka melakukan hal-hal yang dapat dipuji oleh orang lain.")</f>
        <v>B Saya kadang-kadang suka melakukan hal-hal yang dapat dipuji oleh orang lain.</v>
      </c>
      <c r="BY7" s="95" t="str">
        <f>IFERROR(__xludf.DUMMYFUNCTION("""COMPUTED_VALUE"""),"A Saya suka melamun atau membayangkan hal-hal yang tidak jelas.")</f>
        <v>A Saya suka melamun atau membayangkan hal-hal yang tidak jelas.</v>
      </c>
      <c r="BZ7" s="95" t="str">
        <f>IFERROR(__xludf.DUMMYFUNCTION("""COMPUTED_VALUE"""),"B Saya suka diperhatikan, apabila saya ada di dalam suatu kelompok.")</f>
        <v>B Saya suka diperhatikan, apabila saya ada di dalam suatu kelompok.</v>
      </c>
      <c r="CA7" s="95" t="str">
        <f>IFERROR(__xludf.DUMMYFUNCTION("""COMPUTED_VALUE"""),"A Saya ingin teman-teman dengan gembira memberikan pertolongan kepada saya.")</f>
        <v>A Saya ingin teman-teman dengan gembira memberikan pertolongan kepada saya.</v>
      </c>
      <c r="CB7" s="95" t="str">
        <f>IFERROR(__xludf.DUMMYFUNCTION("""COMPUTED_VALUE"""),"B Saya suka berbicara tentang hal-hal yang telah saya capai.")</f>
        <v>B Saya suka berbicara tentang hal-hal yang telah saya capai.</v>
      </c>
      <c r="CC7" s="95" t="str">
        <f>IFERROR(__xludf.DUMMYFUNCTION("""COMPUTED_VALUE"""),"A Apabila saya berkumpul dalam kelompok, saya ingin dihargai teman-teman.")</f>
        <v>A Apabila saya berkumpul dalam kelompok, saya ingin dihargai teman-teman.</v>
      </c>
      <c r="CD7" s="95" t="str">
        <f>IFERROR(__xludf.DUMMYFUNCTION("""COMPUTED_VALUE"""),"A Saya suka menyelesaikan setiap tugas meskipun membutuhkan waktu lama.")</f>
        <v>A Saya suka menyelesaikan setiap tugas meskipun membutuhkan waktu lama.</v>
      </c>
      <c r="CE7" s="95" t="str">
        <f>IFERROR(__xludf.DUMMYFUNCTION("""COMPUTED_VALUE"""),"A Saya suka menyelesaikan setiap tugas belajar yang telah saya mulai.")</f>
        <v>A Saya suka menyelesaikan setiap tugas belajar yang telah saya mulai.</v>
      </c>
      <c r="CF7" s="95" t="str">
        <f>IFERROR(__xludf.DUMMYFUNCTION("""COMPUTED_VALUE"""),"A Saya ingin agar hidup saya teratur sesuai cita-cita saya.")</f>
        <v>A Saya ingin agar hidup saya teratur sesuai cita-cita saya.</v>
      </c>
      <c r="CG7" s="95" t="str">
        <f>IFERROR(__xludf.DUMMYFUNCTION("""COMPUTED_VALUE"""),"A Saya ingin berhasil dalam apa yang saya lakukan.")</f>
        <v>A Saya ingin berhasil dalam apa yang saya lakukan.</v>
      </c>
      <c r="CH7" s="95" t="str">
        <f>IFERROR(__xludf.DUMMYFUNCTION("""COMPUTED_VALUE"""),"A Saya ingin bisa melakukan dengan baik sesuatu pekerjaan sulit.")</f>
        <v>A Saya ingin bisa melakukan dengan baik sesuatu pekerjaan sulit.</v>
      </c>
      <c r="CI7" s="95" t="str">
        <f>IFERROR(__xludf.DUMMYFUNCTION("""COMPUTED_VALUE"""),"A Saya suka belajar saya teratur dan ada waktu-waktu tertentu untuk belajar.")</f>
        <v>A Saya suka belajar saya teratur dan ada waktu-waktu tertentu untuk belajar.</v>
      </c>
      <c r="CJ7" s="95" t="str">
        <f>IFERROR(__xludf.DUMMYFUNCTION("""COMPUTED_VALUE"""),"A Saya ingin tidak tergantung dari orang lain terhadap apa yang akan saya lakukan.")</f>
        <v>A Saya ingin tidak tergantung dari orang lain terhadap apa yang akan saya lakukan.</v>
      </c>
      <c r="CK7" s="95" t="str">
        <f>IFERROR(__xludf.DUMMYFUNCTION("""COMPUTED_VALUE"""),"B Saya senang ikut beraktivitas bersama teman sebaya saya.")</f>
        <v>B Saya senang ikut beraktivitas bersama teman sebaya saya.</v>
      </c>
      <c r="CL7" s="95" t="str">
        <f>IFERROR(__xludf.DUMMYFUNCTION("""COMPUTED_VALUE"""),"A Saya suka menolong teman-teman saya, apabila mereka dalam kesulitan.")</f>
        <v>A Saya suka menolong teman-teman saya, apabila mereka dalam kesulitan.</v>
      </c>
      <c r="CM7" s="95" t="str">
        <f>IFERROR(__xludf.DUMMYFUNCTION("""COMPUTED_VALUE"""),"B Saya merasa kagum pada seseorang.")</f>
        <v>B Saya merasa kagum pada seseorang.</v>
      </c>
      <c r="CN7" s="95" t="str">
        <f>IFERROR(__xludf.DUMMYFUNCTION("""COMPUTED_VALUE"""),"A Saya ingin diperlakukan dengan baik oleh teman-teman saya.")</f>
        <v>A Saya ingin diperlakukan dengan baik oleh teman-teman saya.</v>
      </c>
      <c r="CO7" s="95" t="str">
        <f>IFERROR(__xludf.DUMMYFUNCTION("""COMPUTED_VALUE"""),"B Saya suka memuji orang yang saya kagumi.")</f>
        <v>B Saya suka memuji orang yang saya kagumi.</v>
      </c>
      <c r="CP7" s="95" t="str">
        <f>IFERROR(__xludf.DUMMYFUNCTION("""COMPUTED_VALUE"""),"A Saya suka melamun atau membayangkan sesuatu sendirian.")</f>
        <v>A Saya suka melamun atau membayangkan sesuatu sendirian.</v>
      </c>
      <c r="CQ7" s="95" t="str">
        <f>IFERROR(__xludf.DUMMYFUNCTION("""COMPUTED_VALUE"""),"B Saya merasa kagum pada seseorang.")</f>
        <v>B Saya merasa kagum pada seseorang.</v>
      </c>
      <c r="CR7" s="95" t="str">
        <f>IFERROR(__xludf.DUMMYFUNCTION("""COMPUTED_VALUE"""),"B Saya rasanya ingin mengecam seseorang bila orang itu menjengkelkan.")</f>
        <v>B Saya rasanya ingin mengecam seseorang bila orang itu menjengkelkan.</v>
      </c>
      <c r="CS7" s="95" t="str">
        <f>IFERROR(__xludf.DUMMYFUNCTION("""COMPUTED_VALUE"""),"B Saya rasanya ingin membalas dendam bila seseorang menghina saya.")</f>
        <v>B Saya rasanya ingin membalas dendam bila seseorang menghina saya.</v>
      </c>
      <c r="CT7" s="95" t="str">
        <f>IFERROR(__xludf.DUMMYFUNCTION("""COMPUTED_VALUE"""),"A Saya ingin orang-orang memperhatikan komentar mengenai penampilan saya.")</f>
        <v>A Saya ingin orang-orang memperhatikan komentar mengenai penampilan saya.</v>
      </c>
      <c r="CU7" s="95" t="str">
        <f>IFERROR(__xludf.DUMMYFUNCTION("""COMPUTED_VALUE"""),"A Saya ingin diperlakukan dengan ramah oleh teman-teman saya.")</f>
        <v>A Saya ingin diperlakukan dengan ramah oleh teman-teman saya.</v>
      </c>
      <c r="CV7" s="95" t="str">
        <f>IFERROR(__xludf.DUMMYFUNCTION("""COMPUTED_VALUE"""),"A Saya ingin ditunjuk atau dipilih sebagai ketua dalam suatu kelompok.")</f>
        <v>A Saya ingin ditunjuk atau dipilih sebagai ketua dalam suatu kelompok.</v>
      </c>
      <c r="CW7" s="95" t="str">
        <f>IFERROR(__xludf.DUMMYFUNCTION("""COMPUTED_VALUE"""),"A Saya suka menolong teman-teman saya, apabila mereka dalam kesulitan.")</f>
        <v>A Saya suka menolong teman-teman saya, apabila mereka dalam kesulitan.</v>
      </c>
      <c r="CX7" s="95" t="str">
        <f>IFERROR(__xludf.DUMMYFUNCTION("""COMPUTED_VALUE"""),"A Saya suka belajar sampai malam untuk menyelesaikan suatu tugas.")</f>
        <v>A Saya suka belajar sampai malam untuk menyelesaikan suatu tugas.</v>
      </c>
      <c r="CY7" s="95" t="str">
        <f>IFERROR(__xludf.DUMMYFUNCTION("""COMPUTED_VALUE"""),"A Saya ingin tidak tergantung dari orang lain terhadap apa yang akan saya lakukan.")</f>
        <v>A Saya ingin tidak tergantung dari orang lain terhadap apa yang akan saya lakukan.</v>
      </c>
      <c r="CZ7" s="95" t="str">
        <f>IFERROR(__xludf.DUMMYFUNCTION("""COMPUTED_VALUE"""),"A Saya suka merencanakan dan mengatur setiap pekerjaan yang harus saya lakukan.")</f>
        <v>A Saya suka merencanakan dan mengatur setiap pekerjaan yang harus saya lakukan.</v>
      </c>
      <c r="DA7" s="95" t="str">
        <f>IFERROR(__xludf.DUMMYFUNCTION("""COMPUTED_VALUE"""),"A Saya ingin melakukan apa saja sebaik mungkin.")</f>
        <v>A Saya ingin melakukan apa saja sebaik mungkin.</v>
      </c>
      <c r="DB7" s="89" t="s">
        <v>23</v>
      </c>
      <c r="DC7" s="97" t="str">
        <f t="shared" ref="DC7:GX7" si="52">LEFT(F7,1)</f>
        <v>B</v>
      </c>
      <c r="DD7" s="97" t="str">
        <f t="shared" si="52"/>
        <v>A</v>
      </c>
      <c r="DE7" s="97" t="str">
        <f t="shared" si="52"/>
        <v>B</v>
      </c>
      <c r="DF7" s="97" t="str">
        <f t="shared" si="52"/>
        <v>B</v>
      </c>
      <c r="DG7" s="97" t="str">
        <f t="shared" si="52"/>
        <v>A</v>
      </c>
      <c r="DH7" s="97" t="str">
        <f t="shared" si="52"/>
        <v>B</v>
      </c>
      <c r="DI7" s="97" t="str">
        <f t="shared" si="52"/>
        <v>B</v>
      </c>
      <c r="DJ7" s="97" t="str">
        <f t="shared" si="52"/>
        <v>A</v>
      </c>
      <c r="DK7" s="97" t="str">
        <f t="shared" si="52"/>
        <v>A</v>
      </c>
      <c r="DL7" s="97" t="str">
        <f t="shared" si="52"/>
        <v>A</v>
      </c>
      <c r="DM7" s="97" t="str">
        <f t="shared" si="52"/>
        <v>A</v>
      </c>
      <c r="DN7" s="97" t="str">
        <f t="shared" si="52"/>
        <v>B</v>
      </c>
      <c r="DO7" s="97" t="str">
        <f t="shared" si="52"/>
        <v>B</v>
      </c>
      <c r="DP7" s="97" t="str">
        <f t="shared" si="52"/>
        <v>A</v>
      </c>
      <c r="DQ7" s="97" t="str">
        <f t="shared" si="52"/>
        <v>B</v>
      </c>
      <c r="DR7" s="97" t="str">
        <f t="shared" si="52"/>
        <v>B</v>
      </c>
      <c r="DS7" s="97" t="str">
        <f t="shared" si="52"/>
        <v>A</v>
      </c>
      <c r="DT7" s="97" t="str">
        <f t="shared" si="52"/>
        <v>A</v>
      </c>
      <c r="DU7" s="97" t="str">
        <f t="shared" si="52"/>
        <v>A</v>
      </c>
      <c r="DV7" s="97" t="str">
        <f t="shared" si="52"/>
        <v>A</v>
      </c>
      <c r="DW7" s="97" t="str">
        <f t="shared" si="52"/>
        <v>A</v>
      </c>
      <c r="DX7" s="97" t="str">
        <f t="shared" si="52"/>
        <v>B</v>
      </c>
      <c r="DY7" s="97" t="str">
        <f t="shared" si="52"/>
        <v>B</v>
      </c>
      <c r="DZ7" s="97" t="str">
        <f t="shared" si="52"/>
        <v>A</v>
      </c>
      <c r="EA7" s="97" t="str">
        <f t="shared" si="52"/>
        <v>A</v>
      </c>
      <c r="EB7" s="97" t="str">
        <f t="shared" si="52"/>
        <v>B</v>
      </c>
      <c r="EC7" s="97" t="str">
        <f t="shared" si="52"/>
        <v>A</v>
      </c>
      <c r="ED7" s="97" t="str">
        <f t="shared" si="52"/>
        <v>A</v>
      </c>
      <c r="EE7" s="97" t="str">
        <f t="shared" si="52"/>
        <v>B</v>
      </c>
      <c r="EF7" s="97" t="str">
        <f t="shared" si="52"/>
        <v>B</v>
      </c>
      <c r="EG7" s="97" t="str">
        <f t="shared" si="52"/>
        <v>A</v>
      </c>
      <c r="EH7" s="97" t="str">
        <f t="shared" si="52"/>
        <v>B</v>
      </c>
      <c r="EI7" s="97" t="str">
        <f t="shared" si="52"/>
        <v>B</v>
      </c>
      <c r="EJ7" s="97" t="str">
        <f t="shared" si="52"/>
        <v>B</v>
      </c>
      <c r="EK7" s="97" t="str">
        <f t="shared" si="52"/>
        <v>A</v>
      </c>
      <c r="EL7" s="97" t="str">
        <f t="shared" si="52"/>
        <v>A</v>
      </c>
      <c r="EM7" s="97" t="str">
        <f t="shared" si="52"/>
        <v>B</v>
      </c>
      <c r="EN7" s="97" t="str">
        <f t="shared" si="52"/>
        <v>B</v>
      </c>
      <c r="EO7" s="97" t="str">
        <f t="shared" si="52"/>
        <v>A</v>
      </c>
      <c r="EP7" s="97" t="str">
        <f t="shared" si="52"/>
        <v>B</v>
      </c>
      <c r="EQ7" s="97" t="str">
        <f t="shared" si="52"/>
        <v>A</v>
      </c>
      <c r="ER7" s="97" t="str">
        <f t="shared" si="52"/>
        <v>B</v>
      </c>
      <c r="ES7" s="97" t="str">
        <f t="shared" si="52"/>
        <v>B</v>
      </c>
      <c r="ET7" s="97" t="str">
        <f t="shared" si="52"/>
        <v>B</v>
      </c>
      <c r="EU7" s="97" t="str">
        <f t="shared" si="52"/>
        <v>B</v>
      </c>
      <c r="EV7" s="97" t="str">
        <f t="shared" si="52"/>
        <v>A</v>
      </c>
      <c r="EW7" s="97" t="str">
        <f t="shared" si="52"/>
        <v>A</v>
      </c>
      <c r="EX7" s="97" t="str">
        <f t="shared" si="52"/>
        <v>B</v>
      </c>
      <c r="EY7" s="97" t="str">
        <f t="shared" si="52"/>
        <v>A</v>
      </c>
      <c r="EZ7" s="97" t="str">
        <f t="shared" si="52"/>
        <v>B</v>
      </c>
      <c r="FA7" s="97" t="str">
        <f t="shared" si="52"/>
        <v>A</v>
      </c>
      <c r="FB7" s="97" t="str">
        <f t="shared" si="52"/>
        <v>A</v>
      </c>
      <c r="FC7" s="97" t="str">
        <f t="shared" si="52"/>
        <v>A</v>
      </c>
      <c r="FD7" s="97" t="str">
        <f t="shared" si="52"/>
        <v>A</v>
      </c>
      <c r="FE7" s="97" t="str">
        <f t="shared" si="52"/>
        <v>B</v>
      </c>
      <c r="FF7" s="97" t="str">
        <f t="shared" si="52"/>
        <v>A</v>
      </c>
      <c r="FG7" s="97" t="str">
        <f t="shared" si="52"/>
        <v>A</v>
      </c>
      <c r="FH7" s="97" t="str">
        <f t="shared" si="52"/>
        <v>B</v>
      </c>
      <c r="FI7" s="97" t="str">
        <f t="shared" si="52"/>
        <v>A</v>
      </c>
      <c r="FJ7" s="97" t="str">
        <f t="shared" si="52"/>
        <v>A</v>
      </c>
      <c r="FK7" s="97" t="str">
        <f t="shared" si="52"/>
        <v>B</v>
      </c>
      <c r="FL7" s="97" t="str">
        <f t="shared" si="52"/>
        <v>B</v>
      </c>
      <c r="FM7" s="97" t="str">
        <f t="shared" si="52"/>
        <v>A</v>
      </c>
      <c r="FN7" s="97" t="str">
        <f t="shared" si="52"/>
        <v>A</v>
      </c>
      <c r="FO7" s="97" t="str">
        <f t="shared" si="52"/>
        <v>A</v>
      </c>
      <c r="FP7" s="97" t="str">
        <f t="shared" si="52"/>
        <v>A</v>
      </c>
      <c r="FQ7" s="97" t="str">
        <f t="shared" si="52"/>
        <v>B</v>
      </c>
      <c r="FR7" s="97" t="str">
        <f t="shared" si="52"/>
        <v>A</v>
      </c>
      <c r="FS7" s="97" t="str">
        <f t="shared" si="52"/>
        <v>B</v>
      </c>
      <c r="FT7" s="97" t="str">
        <f t="shared" si="52"/>
        <v>B</v>
      </c>
      <c r="FU7" s="97" t="str">
        <f t="shared" si="52"/>
        <v>B</v>
      </c>
      <c r="FV7" s="97" t="str">
        <f t="shared" si="52"/>
        <v>A</v>
      </c>
      <c r="FW7" s="97" t="str">
        <f t="shared" si="52"/>
        <v>B</v>
      </c>
      <c r="FX7" s="97" t="str">
        <f t="shared" si="52"/>
        <v>A</v>
      </c>
      <c r="FY7" s="97" t="str">
        <f t="shared" si="52"/>
        <v>B</v>
      </c>
      <c r="FZ7" s="97" t="str">
        <f t="shared" si="52"/>
        <v>A</v>
      </c>
      <c r="GA7" s="97" t="str">
        <f t="shared" si="52"/>
        <v>A</v>
      </c>
      <c r="GB7" s="97" t="str">
        <f t="shared" si="52"/>
        <v>A</v>
      </c>
      <c r="GC7" s="97" t="str">
        <f t="shared" si="52"/>
        <v>A</v>
      </c>
      <c r="GD7" s="97" t="str">
        <f t="shared" si="52"/>
        <v>A</v>
      </c>
      <c r="GE7" s="97" t="str">
        <f t="shared" si="52"/>
        <v>A</v>
      </c>
      <c r="GF7" s="97" t="str">
        <f t="shared" si="52"/>
        <v>A</v>
      </c>
      <c r="GG7" s="97" t="str">
        <f t="shared" si="52"/>
        <v>A</v>
      </c>
      <c r="GH7" s="97" t="str">
        <f t="shared" si="52"/>
        <v>B</v>
      </c>
      <c r="GI7" s="97" t="str">
        <f t="shared" si="52"/>
        <v>A</v>
      </c>
      <c r="GJ7" s="97" t="str">
        <f t="shared" si="52"/>
        <v>B</v>
      </c>
      <c r="GK7" s="97" t="str">
        <f t="shared" si="52"/>
        <v>A</v>
      </c>
      <c r="GL7" s="97" t="str">
        <f t="shared" si="52"/>
        <v>B</v>
      </c>
      <c r="GM7" s="97" t="str">
        <f t="shared" si="52"/>
        <v>A</v>
      </c>
      <c r="GN7" s="97" t="str">
        <f t="shared" si="52"/>
        <v>B</v>
      </c>
      <c r="GO7" s="97" t="str">
        <f t="shared" si="52"/>
        <v>B</v>
      </c>
      <c r="GP7" s="97" t="str">
        <f t="shared" si="52"/>
        <v>B</v>
      </c>
      <c r="GQ7" s="97" t="str">
        <f t="shared" si="52"/>
        <v>A</v>
      </c>
      <c r="GR7" s="97" t="str">
        <f t="shared" si="52"/>
        <v>A</v>
      </c>
      <c r="GS7" s="97" t="str">
        <f t="shared" si="52"/>
        <v>A</v>
      </c>
      <c r="GT7" s="97" t="str">
        <f t="shared" si="52"/>
        <v>A</v>
      </c>
      <c r="GU7" s="97" t="str">
        <f t="shared" si="52"/>
        <v>A</v>
      </c>
      <c r="GV7" s="97" t="str">
        <f t="shared" si="52"/>
        <v>A</v>
      </c>
      <c r="GW7" s="97" t="str">
        <f t="shared" si="52"/>
        <v>A</v>
      </c>
      <c r="GX7" s="97" t="str">
        <f t="shared" si="52"/>
        <v>A</v>
      </c>
      <c r="GY7" s="98"/>
      <c r="GZ7" s="97">
        <f t="shared" si="3"/>
        <v>58</v>
      </c>
      <c r="HA7" s="97">
        <f t="shared" si="4"/>
        <v>42</v>
      </c>
      <c r="HB7" s="90">
        <f t="shared" si="5"/>
        <v>100</v>
      </c>
      <c r="HC7" s="99"/>
      <c r="HD7" s="97">
        <f t="shared" si="6"/>
        <v>7</v>
      </c>
      <c r="HE7" s="97">
        <f t="shared" si="7"/>
        <v>4</v>
      </c>
      <c r="HF7" s="90">
        <f t="shared" si="8"/>
        <v>11</v>
      </c>
      <c r="HG7" s="99"/>
      <c r="HH7" s="97">
        <f t="shared" si="9"/>
        <v>6</v>
      </c>
      <c r="HI7" s="97">
        <f t="shared" si="10"/>
        <v>4</v>
      </c>
      <c r="HJ7" s="90">
        <f t="shared" si="11"/>
        <v>10</v>
      </c>
      <c r="HK7" s="99"/>
      <c r="HL7" s="97">
        <f t="shared" si="12"/>
        <v>5</v>
      </c>
      <c r="HM7" s="97">
        <f t="shared" si="13"/>
        <v>5</v>
      </c>
      <c r="HN7" s="90">
        <f t="shared" si="14"/>
        <v>10</v>
      </c>
      <c r="HO7" s="99"/>
      <c r="HP7" s="97">
        <f t="shared" si="15"/>
        <v>6</v>
      </c>
      <c r="HQ7" s="97">
        <f t="shared" si="16"/>
        <v>6</v>
      </c>
      <c r="HR7" s="90">
        <f t="shared" si="17"/>
        <v>12</v>
      </c>
      <c r="HS7" s="99"/>
      <c r="HT7" s="97">
        <f t="shared" si="18"/>
        <v>8</v>
      </c>
      <c r="HU7" s="97">
        <f t="shared" si="19"/>
        <v>6</v>
      </c>
      <c r="HV7" s="90">
        <f t="shared" si="20"/>
        <v>14</v>
      </c>
      <c r="HW7" s="99"/>
      <c r="HX7" s="97">
        <f t="shared" si="21"/>
        <v>4</v>
      </c>
      <c r="HY7" s="97">
        <f t="shared" si="22"/>
        <v>2</v>
      </c>
      <c r="HZ7" s="90">
        <f t="shared" si="23"/>
        <v>6</v>
      </c>
      <c r="IA7" s="99"/>
      <c r="IB7" s="97">
        <f t="shared" si="24"/>
        <v>7</v>
      </c>
      <c r="IC7" s="97">
        <f t="shared" si="25"/>
        <v>5</v>
      </c>
      <c r="ID7" s="90">
        <f t="shared" si="26"/>
        <v>12</v>
      </c>
      <c r="IE7" s="99"/>
      <c r="IF7" s="97">
        <f t="shared" si="27"/>
        <v>5</v>
      </c>
      <c r="IG7" s="97">
        <f t="shared" si="28"/>
        <v>3</v>
      </c>
      <c r="IH7" s="90">
        <f t="shared" si="29"/>
        <v>8</v>
      </c>
      <c r="II7" s="99"/>
      <c r="IJ7" s="97">
        <f t="shared" si="30"/>
        <v>4</v>
      </c>
      <c r="IK7" s="97">
        <f t="shared" si="31"/>
        <v>4</v>
      </c>
      <c r="IL7" s="90">
        <f t="shared" si="32"/>
        <v>8</v>
      </c>
      <c r="IM7" s="99"/>
      <c r="IN7" s="97">
        <f t="shared" si="33"/>
        <v>4</v>
      </c>
      <c r="IO7" s="97">
        <f t="shared" si="34"/>
        <v>2</v>
      </c>
      <c r="IP7" s="90">
        <f t="shared" si="35"/>
        <v>6</v>
      </c>
      <c r="IQ7" s="99"/>
      <c r="IR7" s="99"/>
      <c r="IS7" s="100">
        <f t="shared" si="36"/>
        <v>11</v>
      </c>
      <c r="IT7" s="100">
        <f t="shared" si="37"/>
        <v>10</v>
      </c>
      <c r="IU7" s="100">
        <f t="shared" si="38"/>
        <v>10</v>
      </c>
      <c r="IV7" s="100">
        <f t="shared" si="39"/>
        <v>12</v>
      </c>
      <c r="IW7" s="100">
        <f t="shared" si="40"/>
        <v>14</v>
      </c>
      <c r="IX7" s="100">
        <f t="shared" si="41"/>
        <v>6</v>
      </c>
      <c r="IY7" s="100">
        <f t="shared" si="42"/>
        <v>12</v>
      </c>
      <c r="IZ7" s="100">
        <f t="shared" si="43"/>
        <v>8</v>
      </c>
      <c r="JA7" s="100">
        <f t="shared" si="44"/>
        <v>8</v>
      </c>
      <c r="JB7" s="101">
        <f t="shared" si="45"/>
        <v>6</v>
      </c>
      <c r="JC7" s="102">
        <f t="shared" si="46"/>
        <v>97</v>
      </c>
      <c r="JD7" s="67">
        <f t="shared" si="50"/>
        <v>0</v>
      </c>
      <c r="JE7" s="67">
        <f t="shared" si="47"/>
        <v>1</v>
      </c>
      <c r="JF7" s="67">
        <f t="shared" si="48"/>
        <v>1</v>
      </c>
    </row>
    <row r="8">
      <c r="A8" s="103">
        <f>IFERROR(__xludf.DUMMYFUNCTION("""COMPUTED_VALUE"""),45920.38862947917)</f>
        <v>45920.38863</v>
      </c>
      <c r="B8" s="95" t="str">
        <f>IFERROR(__xludf.DUMMYFUNCTION("""COMPUTED_VALUE"""),"Siti Azizah")</f>
        <v>Siti Azizah</v>
      </c>
      <c r="C8" s="96" t="str">
        <f>IFERROR(__xludf.DUMMYFUNCTION("""COMPUTED_VALUE"""),"D250007")</f>
        <v>D250007</v>
      </c>
      <c r="D8" s="96" t="str">
        <f>IFERROR(__xludf.DUMMYFUNCTION("""COMPUTED_VALUE"""),"MTs Putri")</f>
        <v>MTs Putri</v>
      </c>
      <c r="E8" s="96" t="str">
        <f>IFERROR(__xludf.DUMMYFUNCTION("""COMPUTED_VALUE"""),"Ya")</f>
        <v>Ya</v>
      </c>
      <c r="F8" s="95" t="str">
        <f>IFERROR(__xludf.DUMMYFUNCTION("""COMPUTED_VALUE"""),"B Saya ingin melakukan apa saja sebaik mungkin.")</f>
        <v>B Saya ingin melakukan apa saja sebaik mungkin.</v>
      </c>
      <c r="G8" s="95" t="str">
        <f>IFERROR(__xludf.DUMMYFUNCTION("""COMPUTED_VALUE"""),"A Saya ingin setiap tulisan saya teliti, rapi, dan tersusun dengan baik.")</f>
        <v>A Saya ingin setiap tulisan saya teliti, rapi, dan tersusun dengan baik.</v>
      </c>
      <c r="H8" s="95" t="str">
        <f>IFERROR(__xludf.DUMMYFUNCTION("""COMPUTED_VALUE"""),"B Saya ingin menjadi orang yang diakui dalam suatu pekerjaan atau bidang khusus.")</f>
        <v>B Saya ingin menjadi orang yang diakui dalam suatu pekerjaan atau bidang khusus.</v>
      </c>
      <c r="I8" s="95" t="str">
        <f>IFERROR(__xludf.DUMMYFUNCTION("""COMPUTED_VALUE"""),"B Saya ingin bisa melakukan dengan baik meskipun tugas yang sulit.")</f>
        <v>B Saya ingin bisa melakukan dengan baik meskipun tugas yang sulit.</v>
      </c>
      <c r="J8" s="95" t="str">
        <f>IFERROR(__xludf.DUMMYFUNCTION("""COMPUTED_VALUE"""),"A Saya suka membantu teman-teman saya apabila mereka mengalami kesulitan.")</f>
        <v>A Saya suka membantu teman-teman saya apabila mereka mengalami kesulitan.</v>
      </c>
      <c r="K8" s="95" t="str">
        <f>IFERROR(__xludf.DUMMYFUNCTION("""COMPUTED_VALUE"""),"B Saya ingin mengatakan telah melakukan dengan baik sesuatu tugas yang sulit.")</f>
        <v>B Saya ingin mengatakan telah melakukan dengan baik sesuatu tugas yang sulit.</v>
      </c>
      <c r="L8" s="95" t="str">
        <f>IFERROR(__xludf.DUMMYFUNCTION("""COMPUTED_VALUE"""),"B Saya ingin mengatakan telah melakukan dengan baik sesuatu tugas yang sulit")</f>
        <v>B Saya ingin mengatakan telah melakukan dengan baik sesuatu tugas yang sulit</v>
      </c>
      <c r="M8" s="95" t="str">
        <f>IFERROR(__xludf.DUMMYFUNCTION("""COMPUTED_VALUE"""),"A Saya suka berbicara tentang hal-hal yang telah berhasil saya lakukan.")</f>
        <v>A Saya suka berbicara tentang hal-hal yang telah berhasil saya lakukan.</v>
      </c>
      <c r="N8" s="95" t="str">
        <f>IFERROR(__xludf.DUMMYFUNCTION("""COMPUTED_VALUE"""),"B Saya suka memecahkan persoalan yang sukar bagi orang lain.")</f>
        <v>B Saya suka memecahkan persoalan yang sukar bagi orang lain.</v>
      </c>
      <c r="O8" s="95" t="str">
        <f>IFERROR(__xludf.DUMMYFUNCTION("""COMPUTED_VALUE"""),"A Saya marah saat ada teman memperolok-olok hal-hal yang saya anggap bodoh.")</f>
        <v>A Saya marah saat ada teman memperolok-olok hal-hal yang saya anggap bodoh.</v>
      </c>
      <c r="P8" s="95" t="str">
        <f>IFERROR(__xludf.DUMMYFUNCTION("""COMPUTED_VALUE"""),"B Saya ingin setiap belajar itu teratur dan direncanakan.")</f>
        <v>B Saya ingin setiap belajar itu teratur dan direncanakan.</v>
      </c>
      <c r="Q8" s="95" t="str">
        <f>IFERROR(__xludf.DUMMYFUNCTION("""COMPUTED_VALUE"""),"B Saya merencanakan keperluan yang dibutuhkan sebelum bepergian.")</f>
        <v>B Saya merencanakan keperluan yang dibutuhkan sebelum bepergian.</v>
      </c>
      <c r="R8" s="95" t="str">
        <f>IFERROR(__xludf.DUMMYFUNCTION("""COMPUTED_VALUE"""),"B Saya suka barang-barang saya tersusun rapi dan teratur.")</f>
        <v>B Saya suka barang-barang saya tersusun rapi dan teratur.</v>
      </c>
      <c r="S8" s="95" t="str">
        <f>IFERROR(__xludf.DUMMYFUNCTION("""COMPUTED_VALUE"""),"A Saya ingin agar teman-teman pengertian bila saya mengalami kesukaran.")</f>
        <v>A Saya ingin agar teman-teman pengertian bila saya mengalami kesukaran.</v>
      </c>
      <c r="T8" s="95" t="str">
        <f>IFERROR(__xludf.DUMMYFUNCTION("""COMPUTED_VALUE"""),"B Saya ingin agar hidup saya teratur sesuai cita-cita saya.")</f>
        <v>B Saya ingin agar hidup saya teratur sesuai cita-cita saya.</v>
      </c>
      <c r="U8" s="95" t="str">
        <f>IFERROR(__xludf.DUMMYFUNCTION("""COMPUTED_VALUE"""),"A Saya suka memberikan bantuan kepada teman-teman saya.")</f>
        <v>A Saya suka memberikan bantuan kepada teman-teman saya.</v>
      </c>
      <c r="V8" s="95" t="str">
        <f>IFERROR(__xludf.DUMMYFUNCTION("""COMPUTED_VALUE"""),"B Saya suka belajar saya teratur dan ada waktu-waktu tertentu untuk belajar.")</f>
        <v>B Saya suka belajar saya teratur dan ada waktu-waktu tertentu untuk belajar.</v>
      </c>
      <c r="W8" s="95" t="str">
        <f>IFERROR(__xludf.DUMMYFUNCTION("""COMPUTED_VALUE"""),"A Saya suka melakukan kegiatan sesuai kondisi yang saya inginkan.")</f>
        <v>A Saya suka melakukan kegiatan sesuai kondisi yang saya inginkan.</v>
      </c>
      <c r="X8" s="95" t="str">
        <f>IFERROR(__xludf.DUMMYFUNCTION("""COMPUTED_VALUE"""),"A Saya suka merencanakan dan mengatur setiap apa yang harus saya lakukan.")</f>
        <v>A Saya suka merencanakan dan mengatur setiap apa yang harus saya lakukan.</v>
      </c>
      <c r="Y8" s="95" t="str">
        <f>IFERROR(__xludf.DUMMYFUNCTION("""COMPUTED_VALUE"""),"B Saya senang merencanakan untuk masa depan.")</f>
        <v>B Saya senang merencanakan untuk masa depan.</v>
      </c>
      <c r="Z8" s="95" t="str">
        <f>IFERROR(__xludf.DUMMYFUNCTION("""COMPUTED_VALUE"""),"A Saya ingin berhasil dengan belajar yang saya lakukan.")</f>
        <v>A Saya ingin berhasil dengan belajar yang saya lakukan.</v>
      </c>
      <c r="AA8" s="95" t="str">
        <f>IFERROR(__xludf.DUMMYFUNCTION("""COMPUTED_VALUE"""),"B Saya tidak suka pada orang yang berbuat seenaknya sendiri.")</f>
        <v>B Saya tidak suka pada orang yang berbuat seenaknya sendiri.</v>
      </c>
      <c r="AB8" s="95" t="str">
        <f>IFERROR(__xludf.DUMMYFUNCTION("""COMPUTED_VALUE"""),"B Saya ingin menyelesaikan pekerjaan satu persatu sebelum memulai yang lain.")</f>
        <v>B Saya ingin menyelesaikan pekerjaan satu persatu sebelum memulai yang lain.</v>
      </c>
      <c r="AC8" s="95" t="str">
        <f>IFERROR(__xludf.DUMMYFUNCTION("""COMPUTED_VALUE"""),"B Saya suka melakukan kegiatan sesuai kondisi yang saya inginkan.")</f>
        <v>B Saya suka melakukan kegiatan sesuai kondisi yang saya inginkan.</v>
      </c>
      <c r="AD8" s="95" t="str">
        <f>IFERROR(__xludf.DUMMYFUNCTION("""COMPUTED_VALUE"""),"A Saya suka bermurah hati terhadap teman-teman saya.")</f>
        <v>A Saya suka bermurah hati terhadap teman-teman saya.</v>
      </c>
      <c r="AE8" s="95" t="str">
        <f>IFERROR(__xludf.DUMMYFUNCTION("""COMPUTED_VALUE"""),"A Saya ingin dianggap sebagai pemimpin oleh teman di kelompok.")</f>
        <v>A Saya ingin dianggap sebagai pemimpin oleh teman di kelompok.</v>
      </c>
      <c r="AF8" s="95" t="str">
        <f>IFERROR(__xludf.DUMMYFUNCTION("""COMPUTED_VALUE"""),"B Saya suka melakukan hal-hal dengan cara saya sendiri.")</f>
        <v>B Saya suka melakukan hal-hal dengan cara saya sendiri.</v>
      </c>
      <c r="AG8" s="95" t="str">
        <f>IFERROR(__xludf.DUMMYFUNCTION("""COMPUTED_VALUE"""),"A Saya mengajari orang lain bagaimana mereka harus melakukan pekerjaan mereka.")</f>
        <v>A Saya mengajari orang lain bagaimana mereka harus melakukan pekerjaan mereka.</v>
      </c>
      <c r="AH8" s="95" t="str">
        <f>IFERROR(__xludf.DUMMYFUNCTION("""COMPUTED_VALUE"""),"B Saya ingin merasa bebas untuk melakukan apa yang saya kehendaki.")</f>
        <v>B Saya ingin merasa bebas untuk melakukan apa yang saya kehendaki.</v>
      </c>
      <c r="AI8" s="95" t="str">
        <f>IFERROR(__xludf.DUMMYFUNCTION("""COMPUTED_VALUE"""),"B Saya suka melakukan kegiatan sesuai kondisi yang saya inginkan.")</f>
        <v>B Saya suka melakukan kegiatan sesuai kondisi yang saya inginkan.</v>
      </c>
      <c r="AJ8" s="95" t="str">
        <f>IFERROR(__xludf.DUMMYFUNCTION("""COMPUTED_VALUE"""),"B Saya suka bertahan menghadapi satu masalah meskipun belum tentu berhasil.")</f>
        <v>B Saya suka bertahan menghadapi satu masalah meskipun belum tentu berhasil.</v>
      </c>
      <c r="AK8" s="95" t="str">
        <f>IFERROR(__xludf.DUMMYFUNCTION("""COMPUTED_VALUE"""),"B Bila saya harus melakukan suatu tugas, saya ingin mengerjakan sampai selesai.")</f>
        <v>B Bila saya harus melakukan suatu tugas, saya ingin mengerjakan sampai selesai.</v>
      </c>
      <c r="AL8" s="95" t="str">
        <f>IFERROR(__xludf.DUMMYFUNCTION("""COMPUTED_VALUE"""),"A Saya suka berbicara tentang hal-hal yang telah saya capai.")</f>
        <v>A Saya suka berbicara tentang hal-hal yang telah saya capai.</v>
      </c>
      <c r="AM8" s="95" t="str">
        <f>IFERROR(__xludf.DUMMYFUNCTION("""COMPUTED_VALUE"""),"B Saya suka belajar sampai malam untuk menyelesaikan suatu tugas.")</f>
        <v>B Saya suka belajar sampai malam untuk menyelesaikan suatu tugas.</v>
      </c>
      <c r="AN8" s="95" t="str">
        <f>IFERROR(__xludf.DUMMYFUNCTION("""COMPUTED_VALUE"""),"A Saya tidak suka pada orang yang semena-mena.")</f>
        <v>A Saya tidak suka pada orang yang semena-mena.</v>
      </c>
      <c r="AO8" s="95" t="str">
        <f>IFERROR(__xludf.DUMMYFUNCTION("""COMPUTED_VALUE"""),"B Saya suka menyelesaikan setiap tugas meskipun membutuhkan waktu lama.")</f>
        <v>B Saya suka menyelesaikan setiap tugas meskipun membutuhkan waktu lama.</v>
      </c>
      <c r="AP8" s="95" t="str">
        <f>IFERROR(__xludf.DUMMYFUNCTION("""COMPUTED_VALUE"""),"B Saya suka bertahan menghadapi satu masalah meskipun belum tentu berhasil.")</f>
        <v>B Saya suka bertahan menghadapi satu masalah meskipun belum tentu berhasil.</v>
      </c>
      <c r="AQ8" s="95" t="str">
        <f>IFERROR(__xludf.DUMMYFUNCTION("""COMPUTED_VALUE"""),"B Bila saya harus melakukan suatu tugas, saya ingin mengerjakan sampai selesai.")</f>
        <v>B Bila saya harus melakukan suatu tugas, saya ingin mengerjakan sampai selesai.</v>
      </c>
      <c r="AR8" s="95" t="str">
        <f>IFERROR(__xludf.DUMMYFUNCTION("""COMPUTED_VALUE"""),"A Saya suka menyimpan catatan secara rapi.")</f>
        <v>A Saya suka menyimpan catatan secara rapi.</v>
      </c>
      <c r="AS8" s="95" t="str">
        <f>IFERROR(__xludf.DUMMYFUNCTION("""COMPUTED_VALUE"""),"A Saya ingin dapat menyelesaikan persoalan yang dianggap sukar bagi orang lain.")</f>
        <v>A Saya ingin dapat menyelesaikan persoalan yang dianggap sukar bagi orang lain.</v>
      </c>
      <c r="AT8" s="95" t="str">
        <f>IFERROR(__xludf.DUMMYFUNCTION("""COMPUTED_VALUE"""),"A Saya ingin bisa melakukan dengan baik sesuatu pekerjaan sulit.")</f>
        <v>A Saya ingin bisa melakukan dengan baik sesuatu pekerjaan sulit.</v>
      </c>
      <c r="AU8" s="95" t="str">
        <f>IFERROR(__xludf.DUMMYFUNCTION("""COMPUTED_VALUE"""),"A Saya ingin menyelesaikan pekerjaan satu persatu sebelum memulai yang lain.")</f>
        <v>A Saya ingin menyelesaikan pekerjaan satu persatu sebelum memulai yang lain.</v>
      </c>
      <c r="AV8" s="95" t="str">
        <f>IFERROR(__xludf.DUMMYFUNCTION("""COMPUTED_VALUE"""),"B Saya suka menolong teman-teman saya.")</f>
        <v>B Saya suka menolong teman-teman saya.</v>
      </c>
      <c r="AW8" s="95" t="str">
        <f>IFERROR(__xludf.DUMMYFUNCTION("""COMPUTED_VALUE"""),"B Saya ingin teman-teman saya percaya bahwa saya bisa menolong mereka.")</f>
        <v>B Saya ingin teman-teman saya percaya bahwa saya bisa menolong mereka.</v>
      </c>
      <c r="AX8" s="95" t="str">
        <f>IFERROR(__xludf.DUMMYFUNCTION("""COMPUTED_VALUE"""),"A Saya suka menolong teman-teman saya apabila mereka dalam kesulitan.")</f>
        <v>A Saya suka menolong teman-teman saya apabila mereka dalam kesulitan.</v>
      </c>
      <c r="AY8" s="95" t="str">
        <f>IFERROR(__xludf.DUMMYFUNCTION("""COMPUTED_VALUE"""),"B Saya suka menolong teman-teman saya apabila mereka dalam kesulitan.")</f>
        <v>B Saya suka menolong teman-teman saya apabila mereka dalam kesulitan.</v>
      </c>
      <c r="AZ8" s="95" t="str">
        <f>IFERROR(__xludf.DUMMYFUNCTION("""COMPUTED_VALUE"""),"B Saya suka menunjukkan simpati saya kepada teman-teman saya.")</f>
        <v>B Saya suka menunjukkan simpati saya kepada teman-teman saya.</v>
      </c>
      <c r="BA8" s="95" t="str">
        <f>IFERROR(__xludf.DUMMYFUNCTION("""COMPUTED_VALUE"""),"B Saya suka memperlakukan orang lain dengan baik dan ramah.")</f>
        <v>B Saya suka memperlakukan orang lain dengan baik dan ramah.</v>
      </c>
      <c r="BB8" s="95" t="str">
        <f>IFERROR(__xludf.DUMMYFUNCTION("""COMPUTED_VALUE"""),"B Saya suka bermurah hati terhadap teman-teman saya.")</f>
        <v>B Saya suka bermurah hati terhadap teman-teman saya.</v>
      </c>
      <c r="BC8" s="95" t="str">
        <f>IFERROR(__xludf.DUMMYFUNCTION("""COMPUTED_VALUE"""),"B Saya suka membantu orang lain yang menurut saya perlu dikasihani.")</f>
        <v>B Saya suka membantu orang lain yang menurut saya perlu dikasihani.</v>
      </c>
      <c r="BD8" s="95" t="str">
        <f>IFERROR(__xludf.DUMMYFUNCTION("""COMPUTED_VALUE"""),"B Saya suka bersikukuh dengan pendirian saya.")</f>
        <v>B Saya suka bersikukuh dengan pendirian saya.</v>
      </c>
      <c r="BE8" s="95" t="str">
        <f>IFERROR(__xludf.DUMMYFUNCTION("""COMPUTED_VALUE"""),"B Saya ingin orang lain melakukan apa yang saya kehendaki.")</f>
        <v>B Saya ingin orang lain melakukan apa yang saya kehendaki.</v>
      </c>
      <c r="BF8" s="95" t="str">
        <f>IFERROR(__xludf.DUMMYFUNCTION("""COMPUTED_VALUE"""),"B Bila saya dalam kelompok, saya ingin menentukan apa yang akan kita lakukan.")</f>
        <v>B Bila saya dalam kelompok, saya ingin menentukan apa yang akan kita lakukan.</v>
      </c>
      <c r="BG8" s="95" t="str">
        <f>IFERROR(__xludf.DUMMYFUNCTION("""COMPUTED_VALUE"""),"B Saya suka mengarahkan kepada orang lain apa yang harus dilakukan.")</f>
        <v>B Saya suka mengarahkan kepada orang lain apa yang harus dilakukan.</v>
      </c>
      <c r="BH8" s="95" t="str">
        <f>IFERROR(__xludf.DUMMYFUNCTION("""COMPUTED_VALUE"""),"A Saya suka menghindar dari situasi yang tidak saya harapkan.")</f>
        <v>A Saya suka menghindar dari situasi yang tidak saya harapkan.</v>
      </c>
      <c r="BI8" s="95" t="str">
        <f>IFERROR(__xludf.DUMMYFUNCTION("""COMPUTED_VALUE"""),"A Saya suka bermurah hati terhadap teman-teman saya.")</f>
        <v>A Saya suka bermurah hati terhadap teman-teman saya.</v>
      </c>
      <c r="BJ8" s="95" t="str">
        <f>IFERROR(__xludf.DUMMYFUNCTION("""COMPUTED_VALUE"""),"A Saya ingin mengerjakan tugas sampai selesai.")</f>
        <v>A Saya ingin mengerjakan tugas sampai selesai.</v>
      </c>
      <c r="BK8" s="95" t="str">
        <f>IFERROR(__xludf.DUMMYFUNCTION("""COMPUTED_VALUE"""),"A Saya ingin menyelesaikan pekerjaan satu persatu sebelum memulai yang lain.")</f>
        <v>A Saya ingin menyelesaikan pekerjaan satu persatu sebelum memulai yang lain.</v>
      </c>
      <c r="BL8" s="95" t="str">
        <f>IFERROR(__xludf.DUMMYFUNCTION("""COMPUTED_VALUE"""),"A Saya suka belajar saya teratur dan ada waktu-waktu tertentu untuk belajar.")</f>
        <v>A Saya suka belajar saya teratur dan ada waktu-waktu tertentu untuk belajar.</v>
      </c>
      <c r="BM8" s="95" t="str">
        <f>IFERROR(__xludf.DUMMYFUNCTION("""COMPUTED_VALUE"""),"B Saya ingin orang lain melakukan apa yang saya kehendaki.")</f>
        <v>B Saya ingin orang lain melakukan apa yang saya kehendaki.</v>
      </c>
      <c r="BN8" s="95" t="str">
        <f>IFERROR(__xludf.DUMMYFUNCTION("""COMPUTED_VALUE"""),"B Saya ingin teman-teman memberi dorongan bila saya menghadapi kegagalan.")</f>
        <v>B Saya ingin teman-teman memberi dorongan bila saya menghadapi kegagalan.</v>
      </c>
      <c r="BO8" s="95" t="str">
        <f>IFERROR(__xludf.DUMMYFUNCTION("""COMPUTED_VALUE"""),"B Saya ingin diperlakukan dengan baik oleh teman-teman saya.")</f>
        <v>B Saya ingin diperlakukan dengan baik oleh teman-teman saya.</v>
      </c>
      <c r="BP8" s="95" t="str">
        <f>IFERROR(__xludf.DUMMYFUNCTION("""COMPUTED_VALUE"""),"A Saya ingin menyelesaikan sesuatu yang sangat penting artinya.")</f>
        <v>A Saya ingin menyelesaikan sesuatu yang sangat penting artinya.</v>
      </c>
      <c r="BQ8" s="95" t="str">
        <f>IFERROR(__xludf.DUMMYFUNCTION("""COMPUTED_VALUE"""),"A Saya ingin mengerjakannya tugas sampai selesai.")</f>
        <v>A Saya ingin mengerjakannya tugas sampai selesai.</v>
      </c>
      <c r="BR8" s="95" t="str">
        <f>IFERROR(__xludf.DUMMYFUNCTION("""COMPUTED_VALUE"""),"B Saya ingin agar teman-teman saya bersimpati dan menghibur saya bila saya sedih.")</f>
        <v>B Saya ingin agar teman-teman saya bersimpati dan menghibur saya bila saya sedih.</v>
      </c>
      <c r="BS8" s="95" t="str">
        <f>IFERROR(__xludf.DUMMYFUNCTION("""COMPUTED_VALUE"""),"B Saya ingin teman-teman saya membantu saya bila saya mengalami kesulitan")</f>
        <v>B Saya ingin teman-teman saya membantu saya bila saya mengalami kesulitan</v>
      </c>
      <c r="BT8" s="95" t="str">
        <f>IFERROR(__xludf.DUMMYFUNCTION("""COMPUTED_VALUE"""),"B Saya ingin teman-teman banyak menunjukkan rasa sayang mereka terhadap saya.")</f>
        <v>B Saya ingin teman-teman banyak menunjukkan rasa sayang mereka terhadap saya.</v>
      </c>
      <c r="BU8" s="95" t="str">
        <f>IFERROR(__xludf.DUMMYFUNCTION("""COMPUTED_VALUE"""),"A Saya kadang-kadang suka melakukan hal-hal yang dapat dipuji oleh orang lain.")</f>
        <v>A Saya kadang-kadang suka melakukan hal-hal yang dapat dipuji oleh orang lain.</v>
      </c>
      <c r="BV8" s="95" t="str">
        <f>IFERROR(__xludf.DUMMYFUNCTION("""COMPUTED_VALUE"""),"B Saya ingin teman-teman dengan gembira memberikan pertolongan kepada saya.")</f>
        <v>B Saya ingin teman-teman dengan gembira memberikan pertolongan kepada saya.</v>
      </c>
      <c r="BW8" s="95" t="str">
        <f>IFERROR(__xludf.DUMMYFUNCTION("""COMPUTED_VALUE"""),"B Saya ingin diperlakukan dengan baik oleh teman-teman saya.")</f>
        <v>B Saya ingin diperlakukan dengan baik oleh teman-teman saya.</v>
      </c>
      <c r="BX8" s="95" t="str">
        <f>IFERROR(__xludf.DUMMYFUNCTION("""COMPUTED_VALUE"""),"B Saya kadang-kadang suka melakukan hal-hal yang dapat dipuji oleh orang lain.")</f>
        <v>B Saya kadang-kadang suka melakukan hal-hal yang dapat dipuji oleh orang lain.</v>
      </c>
      <c r="BY8" s="95" t="str">
        <f>IFERROR(__xludf.DUMMYFUNCTION("""COMPUTED_VALUE"""),"A Saya suka melamun atau membayangkan hal-hal yang tidak jelas.")</f>
        <v>A Saya suka melamun atau membayangkan hal-hal yang tidak jelas.</v>
      </c>
      <c r="BZ8" s="95" t="str">
        <f>IFERROR(__xludf.DUMMYFUNCTION("""COMPUTED_VALUE"""),"A Saya suka berkata yang artinya sulit dipahami oleh orang lain.")</f>
        <v>A Saya suka berkata yang artinya sulit dipahami oleh orang lain.</v>
      </c>
      <c r="CA8" s="95" t="str">
        <f>IFERROR(__xludf.DUMMYFUNCTION("""COMPUTED_VALUE"""),"A Saya ingin teman-teman dengan gembira memberikan pertolongan kepada saya.")</f>
        <v>A Saya ingin teman-teman dengan gembira memberikan pertolongan kepada saya.</v>
      </c>
      <c r="CB8" s="95" t="str">
        <f>IFERROR(__xludf.DUMMYFUNCTION("""COMPUTED_VALUE"""),"B Saya suka berbicara tentang hal-hal yang telah saya capai.")</f>
        <v>B Saya suka berbicara tentang hal-hal yang telah saya capai.</v>
      </c>
      <c r="CC8" s="95" t="str">
        <f>IFERROR(__xludf.DUMMYFUNCTION("""COMPUTED_VALUE"""),"A Apabila saya berkumpul dalam kelompok, saya ingin dihargai teman-teman.")</f>
        <v>A Apabila saya berkumpul dalam kelompok, saya ingin dihargai teman-teman.</v>
      </c>
      <c r="CD8" s="95" t="str">
        <f>IFERROR(__xludf.DUMMYFUNCTION("""COMPUTED_VALUE"""),"A Saya suka menyelesaikan setiap tugas meskipun membutuhkan waktu lama.")</f>
        <v>A Saya suka menyelesaikan setiap tugas meskipun membutuhkan waktu lama.</v>
      </c>
      <c r="CE8" s="95" t="str">
        <f>IFERROR(__xludf.DUMMYFUNCTION("""COMPUTED_VALUE"""),"A Saya suka menyelesaikan setiap tugas belajar yang telah saya mulai.")</f>
        <v>A Saya suka menyelesaikan setiap tugas belajar yang telah saya mulai.</v>
      </c>
      <c r="CF8" s="95" t="str">
        <f>IFERROR(__xludf.DUMMYFUNCTION("""COMPUTED_VALUE"""),"B Saya ingin orang lain memperhatikan dan berkomentar tentang penampilan saya.")</f>
        <v>B Saya ingin orang lain memperhatikan dan berkomentar tentang penampilan saya.</v>
      </c>
      <c r="CG8" s="95" t="str">
        <f>IFERROR(__xludf.DUMMYFUNCTION("""COMPUTED_VALUE"""),"A Saya ingin berhasil dalam apa yang saya lakukan.")</f>
        <v>A Saya ingin berhasil dalam apa yang saya lakukan.</v>
      </c>
      <c r="CH8" s="95" t="str">
        <f>IFERROR(__xludf.DUMMYFUNCTION("""COMPUTED_VALUE"""),"B Saya suka dengan orang yang berpenampilan menarik.")</f>
        <v>B Saya suka dengan orang yang berpenampilan menarik.</v>
      </c>
      <c r="CI8" s="95" t="str">
        <f>IFERROR(__xludf.DUMMYFUNCTION("""COMPUTED_VALUE"""),"A Saya suka belajar saya teratur dan ada waktu-waktu tertentu untuk belajar.")</f>
        <v>A Saya suka belajar saya teratur dan ada waktu-waktu tertentu untuk belajar.</v>
      </c>
      <c r="CJ8" s="95" t="str">
        <f>IFERROR(__xludf.DUMMYFUNCTION("""COMPUTED_VALUE"""),"A Saya ingin tidak tergantung dari orang lain terhadap apa yang akan saya lakukan.")</f>
        <v>A Saya ingin tidak tergantung dari orang lain terhadap apa yang akan saya lakukan.</v>
      </c>
      <c r="CK8" s="95" t="str">
        <f>IFERROR(__xludf.DUMMYFUNCTION("""COMPUTED_VALUE"""),"B Saya senang ikut beraktivitas bersama teman sebaya saya.")</f>
        <v>B Saya senang ikut beraktivitas bersama teman sebaya saya.</v>
      </c>
      <c r="CL8" s="95" t="str">
        <f>IFERROR(__xludf.DUMMYFUNCTION("""COMPUTED_VALUE"""),"B Saya berkeinginan untuk bersama teman yang menurut saya menarik.")</f>
        <v>B Saya berkeinginan untuk bersama teman yang menurut saya menarik.</v>
      </c>
      <c r="CM8" s="95" t="str">
        <f>IFERROR(__xludf.DUMMYFUNCTION("""COMPUTED_VALUE"""),"A Saya ingin ditunjuk atau dipilih sebagai ketua dalam suatu kelompok.")</f>
        <v>A Saya ingin ditunjuk atau dipilih sebagai ketua dalam suatu kelompok.</v>
      </c>
      <c r="CN8" s="95" t="str">
        <f>IFERROR(__xludf.DUMMYFUNCTION("""COMPUTED_VALUE"""),"A Saya ingin diperlakukan dengan baik oleh teman-teman saya.")</f>
        <v>A Saya ingin diperlakukan dengan baik oleh teman-teman saya.</v>
      </c>
      <c r="CO8" s="95" t="str">
        <f>IFERROR(__xludf.DUMMYFUNCTION("""COMPUTED_VALUE"""),"B Saya suka memuji orang yang saya kagumi.")</f>
        <v>B Saya suka memuji orang yang saya kagumi.</v>
      </c>
      <c r="CP8" s="95" t="str">
        <f>IFERROR(__xludf.DUMMYFUNCTION("""COMPUTED_VALUE"""),"A Saya suka melamun atau membayangkan sesuatu sendirian.")</f>
        <v>A Saya suka melamun atau membayangkan sesuatu sendirian.</v>
      </c>
      <c r="CQ8" s="95" t="str">
        <f>IFERROR(__xludf.DUMMYFUNCTION("""COMPUTED_VALUE"""),"B Saya merasa kagum pada seseorang.")</f>
        <v>B Saya merasa kagum pada seseorang.</v>
      </c>
      <c r="CR8" s="95" t="str">
        <f>IFERROR(__xludf.DUMMYFUNCTION("""COMPUTED_VALUE"""),"B Saya rasanya ingin mengecam seseorang bila orang itu menjengkelkan.")</f>
        <v>B Saya rasanya ingin mengecam seseorang bila orang itu menjengkelkan.</v>
      </c>
      <c r="CS8" s="95" t="str">
        <f>IFERROR(__xludf.DUMMYFUNCTION("""COMPUTED_VALUE"""),"B Saya rasanya ingin membalas dendam bila seseorang menghina saya.")</f>
        <v>B Saya rasanya ingin membalas dendam bila seseorang menghina saya.</v>
      </c>
      <c r="CT8" s="95" t="str">
        <f>IFERROR(__xludf.DUMMYFUNCTION("""COMPUTED_VALUE"""),"A Saya ingin orang-orang memperhatikan komentar mengenai penampilan saya.")</f>
        <v>A Saya ingin orang-orang memperhatikan komentar mengenai penampilan saya.</v>
      </c>
      <c r="CU8" s="95" t="str">
        <f>IFERROR(__xludf.DUMMYFUNCTION("""COMPUTED_VALUE"""),"A Saya ingin diperlakukan dengan ramah oleh teman-teman saya.")</f>
        <v>A Saya ingin diperlakukan dengan ramah oleh teman-teman saya.</v>
      </c>
      <c r="CV8" s="95" t="str">
        <f>IFERROR(__xludf.DUMMYFUNCTION("""COMPUTED_VALUE"""),"B Saya menyerang pendirian-pendirian yang bertentangan dengan pendirian saya.")</f>
        <v>B Saya menyerang pendirian-pendirian yang bertentangan dengan pendirian saya.</v>
      </c>
      <c r="CW8" s="95" t="str">
        <f>IFERROR(__xludf.DUMMYFUNCTION("""COMPUTED_VALUE"""),"B Saya mengatakan kepada orang lain bagaimana pendapat saya terhadap mereka.")</f>
        <v>B Saya mengatakan kepada orang lain bagaimana pendapat saya terhadap mereka.</v>
      </c>
      <c r="CX8" s="95" t="str">
        <f>IFERROR(__xludf.DUMMYFUNCTION("""COMPUTED_VALUE"""),"A Saya suka belajar sampai malam untuk menyelesaikan suatu tugas.")</f>
        <v>A Saya suka belajar sampai malam untuk menyelesaikan suatu tugas.</v>
      </c>
      <c r="CY8" s="95" t="str">
        <f>IFERROR(__xludf.DUMMYFUNCTION("""COMPUTED_VALUE"""),"A Saya ingin tidak tergantung dari orang lain terhadap apa yang akan saya lakukan.")</f>
        <v>A Saya ingin tidak tergantung dari orang lain terhadap apa yang akan saya lakukan.</v>
      </c>
      <c r="CZ8" s="95" t="str">
        <f>IFERROR(__xludf.DUMMYFUNCTION("""COMPUTED_VALUE"""),"A Saya suka merencanakan dan mengatur setiap pekerjaan yang harus saya lakukan.")</f>
        <v>A Saya suka merencanakan dan mengatur setiap pekerjaan yang harus saya lakukan.</v>
      </c>
      <c r="DA8" s="95" t="str">
        <f>IFERROR(__xludf.DUMMYFUNCTION("""COMPUTED_VALUE"""),"A Saya ingin melakukan apa saja sebaik mungkin.")</f>
        <v>A Saya ingin melakukan apa saja sebaik mungkin.</v>
      </c>
      <c r="DB8" s="89" t="s">
        <v>23</v>
      </c>
      <c r="DC8" s="97" t="str">
        <f t="shared" ref="DC8:GX8" si="53">LEFT(F8,1)</f>
        <v>B</v>
      </c>
      <c r="DD8" s="97" t="str">
        <f t="shared" si="53"/>
        <v>A</v>
      </c>
      <c r="DE8" s="97" t="str">
        <f t="shared" si="53"/>
        <v>B</v>
      </c>
      <c r="DF8" s="97" t="str">
        <f t="shared" si="53"/>
        <v>B</v>
      </c>
      <c r="DG8" s="97" t="str">
        <f t="shared" si="53"/>
        <v>A</v>
      </c>
      <c r="DH8" s="97" t="str">
        <f t="shared" si="53"/>
        <v>B</v>
      </c>
      <c r="DI8" s="97" t="str">
        <f t="shared" si="53"/>
        <v>B</v>
      </c>
      <c r="DJ8" s="97" t="str">
        <f t="shared" si="53"/>
        <v>A</v>
      </c>
      <c r="DK8" s="97" t="str">
        <f t="shared" si="53"/>
        <v>B</v>
      </c>
      <c r="DL8" s="97" t="str">
        <f t="shared" si="53"/>
        <v>A</v>
      </c>
      <c r="DM8" s="97" t="str">
        <f t="shared" si="53"/>
        <v>B</v>
      </c>
      <c r="DN8" s="97" t="str">
        <f t="shared" si="53"/>
        <v>B</v>
      </c>
      <c r="DO8" s="97" t="str">
        <f t="shared" si="53"/>
        <v>B</v>
      </c>
      <c r="DP8" s="97" t="str">
        <f t="shared" si="53"/>
        <v>A</v>
      </c>
      <c r="DQ8" s="97" t="str">
        <f t="shared" si="53"/>
        <v>B</v>
      </c>
      <c r="DR8" s="97" t="str">
        <f t="shared" si="53"/>
        <v>A</v>
      </c>
      <c r="DS8" s="97" t="str">
        <f t="shared" si="53"/>
        <v>B</v>
      </c>
      <c r="DT8" s="97" t="str">
        <f t="shared" si="53"/>
        <v>A</v>
      </c>
      <c r="DU8" s="97" t="str">
        <f t="shared" si="53"/>
        <v>A</v>
      </c>
      <c r="DV8" s="97" t="str">
        <f t="shared" si="53"/>
        <v>B</v>
      </c>
      <c r="DW8" s="97" t="str">
        <f t="shared" si="53"/>
        <v>A</v>
      </c>
      <c r="DX8" s="97" t="str">
        <f t="shared" si="53"/>
        <v>B</v>
      </c>
      <c r="DY8" s="97" t="str">
        <f t="shared" si="53"/>
        <v>B</v>
      </c>
      <c r="DZ8" s="97" t="str">
        <f t="shared" si="53"/>
        <v>B</v>
      </c>
      <c r="EA8" s="97" t="str">
        <f t="shared" si="53"/>
        <v>A</v>
      </c>
      <c r="EB8" s="97" t="str">
        <f t="shared" si="53"/>
        <v>A</v>
      </c>
      <c r="EC8" s="97" t="str">
        <f t="shared" si="53"/>
        <v>B</v>
      </c>
      <c r="ED8" s="97" t="str">
        <f t="shared" si="53"/>
        <v>A</v>
      </c>
      <c r="EE8" s="97" t="str">
        <f t="shared" si="53"/>
        <v>B</v>
      </c>
      <c r="EF8" s="97" t="str">
        <f t="shared" si="53"/>
        <v>B</v>
      </c>
      <c r="EG8" s="97" t="str">
        <f t="shared" si="53"/>
        <v>B</v>
      </c>
      <c r="EH8" s="97" t="str">
        <f t="shared" si="53"/>
        <v>B</v>
      </c>
      <c r="EI8" s="97" t="str">
        <f t="shared" si="53"/>
        <v>A</v>
      </c>
      <c r="EJ8" s="97" t="str">
        <f t="shared" si="53"/>
        <v>B</v>
      </c>
      <c r="EK8" s="97" t="str">
        <f t="shared" si="53"/>
        <v>A</v>
      </c>
      <c r="EL8" s="97" t="str">
        <f t="shared" si="53"/>
        <v>B</v>
      </c>
      <c r="EM8" s="97" t="str">
        <f t="shared" si="53"/>
        <v>B</v>
      </c>
      <c r="EN8" s="97" t="str">
        <f t="shared" si="53"/>
        <v>B</v>
      </c>
      <c r="EO8" s="97" t="str">
        <f t="shared" si="53"/>
        <v>A</v>
      </c>
      <c r="EP8" s="97" t="str">
        <f t="shared" si="53"/>
        <v>A</v>
      </c>
      <c r="EQ8" s="97" t="str">
        <f t="shared" si="53"/>
        <v>A</v>
      </c>
      <c r="ER8" s="97" t="str">
        <f t="shared" si="53"/>
        <v>A</v>
      </c>
      <c r="ES8" s="97" t="str">
        <f t="shared" si="53"/>
        <v>B</v>
      </c>
      <c r="ET8" s="97" t="str">
        <f t="shared" si="53"/>
        <v>B</v>
      </c>
      <c r="EU8" s="97" t="str">
        <f t="shared" si="53"/>
        <v>A</v>
      </c>
      <c r="EV8" s="97" t="str">
        <f t="shared" si="53"/>
        <v>B</v>
      </c>
      <c r="EW8" s="97" t="str">
        <f t="shared" si="53"/>
        <v>B</v>
      </c>
      <c r="EX8" s="97" t="str">
        <f t="shared" si="53"/>
        <v>B</v>
      </c>
      <c r="EY8" s="97" t="str">
        <f t="shared" si="53"/>
        <v>B</v>
      </c>
      <c r="EZ8" s="97" t="str">
        <f t="shared" si="53"/>
        <v>B</v>
      </c>
      <c r="FA8" s="97" t="str">
        <f t="shared" si="53"/>
        <v>B</v>
      </c>
      <c r="FB8" s="97" t="str">
        <f t="shared" si="53"/>
        <v>B</v>
      </c>
      <c r="FC8" s="97" t="str">
        <f t="shared" si="53"/>
        <v>B</v>
      </c>
      <c r="FD8" s="97" t="str">
        <f t="shared" si="53"/>
        <v>B</v>
      </c>
      <c r="FE8" s="97" t="str">
        <f t="shared" si="53"/>
        <v>A</v>
      </c>
      <c r="FF8" s="97" t="str">
        <f t="shared" si="53"/>
        <v>A</v>
      </c>
      <c r="FG8" s="97" t="str">
        <f t="shared" si="53"/>
        <v>A</v>
      </c>
      <c r="FH8" s="97" t="str">
        <f t="shared" si="53"/>
        <v>A</v>
      </c>
      <c r="FI8" s="97" t="str">
        <f t="shared" si="53"/>
        <v>A</v>
      </c>
      <c r="FJ8" s="97" t="str">
        <f t="shared" si="53"/>
        <v>B</v>
      </c>
      <c r="FK8" s="97" t="str">
        <f t="shared" si="53"/>
        <v>B</v>
      </c>
      <c r="FL8" s="97" t="str">
        <f t="shared" si="53"/>
        <v>B</v>
      </c>
      <c r="FM8" s="97" t="str">
        <f t="shared" si="53"/>
        <v>A</v>
      </c>
      <c r="FN8" s="97" t="str">
        <f t="shared" si="53"/>
        <v>A</v>
      </c>
      <c r="FO8" s="97" t="str">
        <f t="shared" si="53"/>
        <v>B</v>
      </c>
      <c r="FP8" s="97" t="str">
        <f t="shared" si="53"/>
        <v>B</v>
      </c>
      <c r="FQ8" s="97" t="str">
        <f t="shared" si="53"/>
        <v>B</v>
      </c>
      <c r="FR8" s="97" t="str">
        <f t="shared" si="53"/>
        <v>A</v>
      </c>
      <c r="FS8" s="97" t="str">
        <f t="shared" si="53"/>
        <v>B</v>
      </c>
      <c r="FT8" s="97" t="str">
        <f t="shared" si="53"/>
        <v>B</v>
      </c>
      <c r="FU8" s="97" t="str">
        <f t="shared" si="53"/>
        <v>B</v>
      </c>
      <c r="FV8" s="97" t="str">
        <f t="shared" si="53"/>
        <v>A</v>
      </c>
      <c r="FW8" s="97" t="str">
        <f t="shared" si="53"/>
        <v>A</v>
      </c>
      <c r="FX8" s="97" t="str">
        <f t="shared" si="53"/>
        <v>A</v>
      </c>
      <c r="FY8" s="97" t="str">
        <f t="shared" si="53"/>
        <v>B</v>
      </c>
      <c r="FZ8" s="97" t="str">
        <f t="shared" si="53"/>
        <v>A</v>
      </c>
      <c r="GA8" s="97" t="str">
        <f t="shared" si="53"/>
        <v>A</v>
      </c>
      <c r="GB8" s="97" t="str">
        <f t="shared" si="53"/>
        <v>A</v>
      </c>
      <c r="GC8" s="97" t="str">
        <f t="shared" si="53"/>
        <v>B</v>
      </c>
      <c r="GD8" s="97" t="str">
        <f t="shared" si="53"/>
        <v>A</v>
      </c>
      <c r="GE8" s="97" t="str">
        <f t="shared" si="53"/>
        <v>B</v>
      </c>
      <c r="GF8" s="97" t="str">
        <f t="shared" si="53"/>
        <v>A</v>
      </c>
      <c r="GG8" s="97" t="str">
        <f t="shared" si="53"/>
        <v>A</v>
      </c>
      <c r="GH8" s="97" t="str">
        <f t="shared" si="53"/>
        <v>B</v>
      </c>
      <c r="GI8" s="97" t="str">
        <f t="shared" si="53"/>
        <v>B</v>
      </c>
      <c r="GJ8" s="97" t="str">
        <f t="shared" si="53"/>
        <v>A</v>
      </c>
      <c r="GK8" s="97" t="str">
        <f t="shared" si="53"/>
        <v>A</v>
      </c>
      <c r="GL8" s="97" t="str">
        <f t="shared" si="53"/>
        <v>B</v>
      </c>
      <c r="GM8" s="97" t="str">
        <f t="shared" si="53"/>
        <v>A</v>
      </c>
      <c r="GN8" s="97" t="str">
        <f t="shared" si="53"/>
        <v>B</v>
      </c>
      <c r="GO8" s="97" t="str">
        <f t="shared" si="53"/>
        <v>B</v>
      </c>
      <c r="GP8" s="97" t="str">
        <f t="shared" si="53"/>
        <v>B</v>
      </c>
      <c r="GQ8" s="97" t="str">
        <f t="shared" si="53"/>
        <v>A</v>
      </c>
      <c r="GR8" s="97" t="str">
        <f t="shared" si="53"/>
        <v>A</v>
      </c>
      <c r="GS8" s="97" t="str">
        <f t="shared" si="53"/>
        <v>B</v>
      </c>
      <c r="GT8" s="97" t="str">
        <f t="shared" si="53"/>
        <v>B</v>
      </c>
      <c r="GU8" s="97" t="str">
        <f t="shared" si="53"/>
        <v>A</v>
      </c>
      <c r="GV8" s="97" t="str">
        <f t="shared" si="53"/>
        <v>A</v>
      </c>
      <c r="GW8" s="97" t="str">
        <f t="shared" si="53"/>
        <v>A</v>
      </c>
      <c r="GX8" s="97" t="str">
        <f t="shared" si="53"/>
        <v>A</v>
      </c>
      <c r="GY8" s="98"/>
      <c r="GZ8" s="97">
        <f t="shared" si="3"/>
        <v>45</v>
      </c>
      <c r="HA8" s="97">
        <f t="shared" si="4"/>
        <v>55</v>
      </c>
      <c r="HB8" s="90">
        <f t="shared" si="5"/>
        <v>100</v>
      </c>
      <c r="HC8" s="99"/>
      <c r="HD8" s="97">
        <f t="shared" si="6"/>
        <v>5</v>
      </c>
      <c r="HE8" s="97">
        <f t="shared" si="7"/>
        <v>5</v>
      </c>
      <c r="HF8" s="90">
        <f t="shared" si="8"/>
        <v>10</v>
      </c>
      <c r="HG8" s="99"/>
      <c r="HH8" s="97">
        <f t="shared" si="9"/>
        <v>6</v>
      </c>
      <c r="HI8" s="97">
        <f t="shared" si="10"/>
        <v>6</v>
      </c>
      <c r="HJ8" s="90">
        <f t="shared" si="11"/>
        <v>12</v>
      </c>
      <c r="HK8" s="99"/>
      <c r="HL8" s="97">
        <f t="shared" si="12"/>
        <v>6</v>
      </c>
      <c r="HM8" s="97">
        <f t="shared" si="13"/>
        <v>6</v>
      </c>
      <c r="HN8" s="90">
        <f t="shared" si="14"/>
        <v>12</v>
      </c>
      <c r="HO8" s="99"/>
      <c r="HP8" s="97">
        <f t="shared" si="15"/>
        <v>4</v>
      </c>
      <c r="HQ8" s="97">
        <f t="shared" si="16"/>
        <v>6</v>
      </c>
      <c r="HR8" s="90">
        <f t="shared" si="17"/>
        <v>10</v>
      </c>
      <c r="HS8" s="99"/>
      <c r="HT8" s="97">
        <f t="shared" si="18"/>
        <v>5</v>
      </c>
      <c r="HU8" s="97">
        <f t="shared" si="19"/>
        <v>7</v>
      </c>
      <c r="HV8" s="90">
        <f t="shared" si="20"/>
        <v>12</v>
      </c>
      <c r="HW8" s="99"/>
      <c r="HX8" s="97">
        <f t="shared" si="21"/>
        <v>3</v>
      </c>
      <c r="HY8" s="97">
        <f t="shared" si="22"/>
        <v>5</v>
      </c>
      <c r="HZ8" s="90">
        <f t="shared" si="23"/>
        <v>8</v>
      </c>
      <c r="IA8" s="99"/>
      <c r="IB8" s="97">
        <f t="shared" si="24"/>
        <v>4</v>
      </c>
      <c r="IC8" s="97">
        <f t="shared" si="25"/>
        <v>7</v>
      </c>
      <c r="ID8" s="90">
        <f t="shared" si="26"/>
        <v>11</v>
      </c>
      <c r="IE8" s="99"/>
      <c r="IF8" s="97">
        <f t="shared" si="27"/>
        <v>5</v>
      </c>
      <c r="IG8" s="97">
        <f t="shared" si="28"/>
        <v>3</v>
      </c>
      <c r="IH8" s="90">
        <f t="shared" si="29"/>
        <v>8</v>
      </c>
      <c r="II8" s="99"/>
      <c r="IJ8" s="97">
        <f t="shared" si="30"/>
        <v>1</v>
      </c>
      <c r="IK8" s="97">
        <f t="shared" si="31"/>
        <v>5</v>
      </c>
      <c r="IL8" s="90">
        <f t="shared" si="32"/>
        <v>6</v>
      </c>
      <c r="IM8" s="99"/>
      <c r="IN8" s="97">
        <f t="shared" si="33"/>
        <v>1</v>
      </c>
      <c r="IO8" s="97">
        <f t="shared" si="34"/>
        <v>4</v>
      </c>
      <c r="IP8" s="90">
        <f t="shared" si="35"/>
        <v>5</v>
      </c>
      <c r="IQ8" s="99"/>
      <c r="IR8" s="99"/>
      <c r="IS8" s="100">
        <f t="shared" si="36"/>
        <v>10</v>
      </c>
      <c r="IT8" s="100">
        <f t="shared" si="37"/>
        <v>12</v>
      </c>
      <c r="IU8" s="100">
        <f t="shared" si="38"/>
        <v>12</v>
      </c>
      <c r="IV8" s="100">
        <f t="shared" si="39"/>
        <v>10</v>
      </c>
      <c r="IW8" s="100">
        <f t="shared" si="40"/>
        <v>12</v>
      </c>
      <c r="IX8" s="100">
        <f t="shared" si="41"/>
        <v>8</v>
      </c>
      <c r="IY8" s="100">
        <f t="shared" si="42"/>
        <v>11</v>
      </c>
      <c r="IZ8" s="100">
        <f t="shared" si="43"/>
        <v>8</v>
      </c>
      <c r="JA8" s="100">
        <f t="shared" si="44"/>
        <v>6</v>
      </c>
      <c r="JB8" s="101">
        <f t="shared" si="45"/>
        <v>5</v>
      </c>
      <c r="JC8" s="102">
        <f t="shared" si="46"/>
        <v>94</v>
      </c>
      <c r="JD8" s="67">
        <f t="shared" si="50"/>
        <v>0</v>
      </c>
      <c r="JE8" s="67">
        <f t="shared" si="47"/>
        <v>1</v>
      </c>
      <c r="JF8" s="67">
        <f t="shared" si="48"/>
        <v>1</v>
      </c>
    </row>
    <row r="9">
      <c r="A9" s="103">
        <f>IFERROR(__xludf.DUMMYFUNCTION("""COMPUTED_VALUE"""),45920.44708013889)</f>
        <v>45920.44708</v>
      </c>
      <c r="B9" s="95" t="str">
        <f>IFERROR(__xludf.DUMMYFUNCTION("""COMPUTED_VALUE"""),"Aina Syahmina Givani")</f>
        <v>Aina Syahmina Givani</v>
      </c>
      <c r="C9" s="96" t="str">
        <f>IFERROR(__xludf.DUMMYFUNCTION("""COMPUTED_VALUE"""),"D250006")</f>
        <v>D250006</v>
      </c>
      <c r="D9" s="96" t="str">
        <f>IFERROR(__xludf.DUMMYFUNCTION("""COMPUTED_VALUE"""),"MTs Putri")</f>
        <v>MTs Putri</v>
      </c>
      <c r="E9" s="96" t="str">
        <f>IFERROR(__xludf.DUMMYFUNCTION("""COMPUTED_VALUE"""),"Ya")</f>
        <v>Ya</v>
      </c>
      <c r="F9" s="95" t="str">
        <f>IFERROR(__xludf.DUMMYFUNCTION("""COMPUTED_VALUE"""),"B Saya ingin melakukan apa saja sebaik mungkin.")</f>
        <v>B Saya ingin melakukan apa saja sebaik mungkin.</v>
      </c>
      <c r="G9" s="95" t="str">
        <f>IFERROR(__xludf.DUMMYFUNCTION("""COMPUTED_VALUE"""),"A Saya ingin setiap tulisan saya teliti, rapi, dan tersusun dengan baik.")</f>
        <v>A Saya ingin setiap tulisan saya teliti, rapi, dan tersusun dengan baik.</v>
      </c>
      <c r="H9" s="95" t="str">
        <f>IFERROR(__xludf.DUMMYFUNCTION("""COMPUTED_VALUE"""),"A Saya ingin berbuat sesuai kata hati saya.")</f>
        <v>A Saya ingin berbuat sesuai kata hati saya.</v>
      </c>
      <c r="I9" s="95" t="str">
        <f>IFERROR(__xludf.DUMMYFUNCTION("""COMPUTED_VALUE"""),"B Saya ingin bisa melakukan dengan baik meskipun tugas yang sulit.")</f>
        <v>B Saya ingin bisa melakukan dengan baik meskipun tugas yang sulit.</v>
      </c>
      <c r="J9" s="95" t="str">
        <f>IFERROR(__xludf.DUMMYFUNCTION("""COMPUTED_VALUE"""),"A Saya suka membantu teman-teman saya apabila mereka mengalami kesulitan.")</f>
        <v>A Saya suka membantu teman-teman saya apabila mereka mengalami kesulitan.</v>
      </c>
      <c r="K9" s="95" t="str">
        <f>IFERROR(__xludf.DUMMYFUNCTION("""COMPUTED_VALUE"""),"B Saya ingin mengatakan telah melakukan dengan baik sesuatu tugas yang sulit.")</f>
        <v>B Saya ingin mengatakan telah melakukan dengan baik sesuatu tugas yang sulit.</v>
      </c>
      <c r="L9" s="95" t="str">
        <f>IFERROR(__xludf.DUMMYFUNCTION("""COMPUTED_VALUE"""),"B Saya ingin mengatakan telah melakukan dengan baik sesuatu tugas yang sulit")</f>
        <v>B Saya ingin mengatakan telah melakukan dengan baik sesuatu tugas yang sulit</v>
      </c>
      <c r="M9" s="95" t="str">
        <f>IFERROR(__xludf.DUMMYFUNCTION("""COMPUTED_VALUE"""),"A Saya suka berbicara tentang hal-hal yang telah berhasil saya lakukan.")</f>
        <v>A Saya suka berbicara tentang hal-hal yang telah berhasil saya lakukan.</v>
      </c>
      <c r="N9" s="95" t="str">
        <f>IFERROR(__xludf.DUMMYFUNCTION("""COMPUTED_VALUE"""),"B Saya suka memecahkan persoalan yang sukar bagi orang lain.")</f>
        <v>B Saya suka memecahkan persoalan yang sukar bagi orang lain.</v>
      </c>
      <c r="O9" s="95" t="str">
        <f>IFERROR(__xludf.DUMMYFUNCTION("""COMPUTED_VALUE"""),"B Saya suka melakukan tugas sebaik mungkin.")</f>
        <v>B Saya suka melakukan tugas sebaik mungkin.</v>
      </c>
      <c r="P9" s="95" t="str">
        <f>IFERROR(__xludf.DUMMYFUNCTION("""COMPUTED_VALUE"""),"B Saya ingin setiap belajar itu teratur dan direncanakan.")</f>
        <v>B Saya ingin setiap belajar itu teratur dan direncanakan.</v>
      </c>
      <c r="Q9" s="95" t="str">
        <f>IFERROR(__xludf.DUMMYFUNCTION("""COMPUTED_VALUE"""),"B Saya merencanakan keperluan yang dibutuhkan sebelum bepergian.")</f>
        <v>B Saya merencanakan keperluan yang dibutuhkan sebelum bepergian.</v>
      </c>
      <c r="R9" s="95" t="str">
        <f>IFERROR(__xludf.DUMMYFUNCTION("""COMPUTED_VALUE"""),"B Saya suka barang-barang saya tersusun rapi dan teratur.")</f>
        <v>B Saya suka barang-barang saya tersusun rapi dan teratur.</v>
      </c>
      <c r="S9" s="95" t="str">
        <f>IFERROR(__xludf.DUMMYFUNCTION("""COMPUTED_VALUE"""),"B Saya suka membuat perencanaan sebelum memulai tugas yang sulit.")</f>
        <v>B Saya suka membuat perencanaan sebelum memulai tugas yang sulit.</v>
      </c>
      <c r="T9" s="95" t="str">
        <f>IFERROR(__xludf.DUMMYFUNCTION("""COMPUTED_VALUE"""),"B Saya ingin agar hidup saya teratur sesuai cita-cita saya.")</f>
        <v>B Saya ingin agar hidup saya teratur sesuai cita-cita saya.</v>
      </c>
      <c r="U9" s="95" t="str">
        <f>IFERROR(__xludf.DUMMYFUNCTION("""COMPUTED_VALUE"""),"A Saya suka memberikan bantuan kepada teman-teman saya.")</f>
        <v>A Saya suka memberikan bantuan kepada teman-teman saya.</v>
      </c>
      <c r="V9" s="95" t="str">
        <f>IFERROR(__xludf.DUMMYFUNCTION("""COMPUTED_VALUE"""),"A Saya suka belajar sampai malam untuk menyelesaikan suatu tugas.")</f>
        <v>A Saya suka belajar sampai malam untuk menyelesaikan suatu tugas.</v>
      </c>
      <c r="W9" s="95" t="str">
        <f>IFERROR(__xludf.DUMMYFUNCTION("""COMPUTED_VALUE"""),"B Saya ingin kegiatan itu teratur dan direncanakan.")</f>
        <v>B Saya ingin kegiatan itu teratur dan direncanakan.</v>
      </c>
      <c r="X9" s="95" t="str">
        <f>IFERROR(__xludf.DUMMYFUNCTION("""COMPUTED_VALUE"""),"A Saya suka merencanakan dan mengatur setiap apa yang harus saya lakukan.")</f>
        <v>A Saya suka merencanakan dan mengatur setiap apa yang harus saya lakukan.</v>
      </c>
      <c r="Y9" s="95" t="str">
        <f>IFERROR(__xludf.DUMMYFUNCTION("""COMPUTED_VALUE"""),"A Saya suka menyelesaikan tugas-tugas yang membutuhkan ketrampilan dan usaha.")</f>
        <v>A Saya suka menyelesaikan tugas-tugas yang membutuhkan ketrampilan dan usaha.</v>
      </c>
      <c r="Z9" s="95" t="str">
        <f>IFERROR(__xludf.DUMMYFUNCTION("""COMPUTED_VALUE"""),"A Saya ingin berhasil dengan belajar yang saya lakukan.")</f>
        <v>A Saya ingin berhasil dengan belajar yang saya lakukan.</v>
      </c>
      <c r="AA9" s="95" t="str">
        <f>IFERROR(__xludf.DUMMYFUNCTION("""COMPUTED_VALUE"""),"A Saya suka menyelesaikan tugas yang telah saya rencanakan.")</f>
        <v>A Saya suka menyelesaikan tugas yang telah saya rencanakan.</v>
      </c>
      <c r="AB9" s="95" t="str">
        <f>IFERROR(__xludf.DUMMYFUNCTION("""COMPUTED_VALUE"""),"B Saya ingin menyelesaikan pekerjaan satu persatu sebelum memulai yang lain.")</f>
        <v>B Saya ingin menyelesaikan pekerjaan satu persatu sebelum memulai yang lain.</v>
      </c>
      <c r="AC9" s="95" t="str">
        <f>IFERROR(__xludf.DUMMYFUNCTION("""COMPUTED_VALUE"""),"A Saya suka menyelesaikan setiap tugas meskipun membutuhkan waktu lama.")</f>
        <v>A Saya suka menyelesaikan setiap tugas meskipun membutuhkan waktu lama.</v>
      </c>
      <c r="AD9" s="95" t="str">
        <f>IFERROR(__xludf.DUMMYFUNCTION("""COMPUTED_VALUE"""),"B Saya suka menyatakan pendapat saya tentang berbagai hal.")</f>
        <v>B Saya suka menyatakan pendapat saya tentang berbagai hal.</v>
      </c>
      <c r="AE9" s="95" t="str">
        <f>IFERROR(__xludf.DUMMYFUNCTION("""COMPUTED_VALUE"""),"B Saya suka melakukan hal-hal yang dianggap orang lain tidak sesuai.")</f>
        <v>B Saya suka melakukan hal-hal yang dianggap orang lain tidak sesuai.</v>
      </c>
      <c r="AF9" s="95" t="str">
        <f>IFERROR(__xludf.DUMMYFUNCTION("""COMPUTED_VALUE"""),"B Saya suka melakukan hal-hal dengan cara saya sendiri.")</f>
        <v>B Saya suka melakukan hal-hal dengan cara saya sendiri.</v>
      </c>
      <c r="AG9" s="95" t="str">
        <f>IFERROR(__xludf.DUMMYFUNCTION("""COMPUTED_VALUE"""),"A Saya mengajari orang lain bagaimana mereka harus melakukan pekerjaan mereka.")</f>
        <v>A Saya mengajari orang lain bagaimana mereka harus melakukan pekerjaan mereka.</v>
      </c>
      <c r="AH9" s="95" t="str">
        <f>IFERROR(__xludf.DUMMYFUNCTION("""COMPUTED_VALUE"""),"A Saya suka membaca buku-buku tentang pergaulan remaja.")</f>
        <v>A Saya suka membaca buku-buku tentang pergaulan remaja.</v>
      </c>
      <c r="AI9" s="95" t="str">
        <f>IFERROR(__xludf.DUMMYFUNCTION("""COMPUTED_VALUE"""),"B Saya suka melakukan kegiatan sesuai kondisi yang saya inginkan.")</f>
        <v>B Saya suka melakukan kegiatan sesuai kondisi yang saya inginkan.</v>
      </c>
      <c r="AJ9" s="95" t="str">
        <f>IFERROR(__xludf.DUMMYFUNCTION("""COMPUTED_VALUE"""),"B Saya suka bertahan menghadapi satu masalah meskipun belum tentu berhasil.")</f>
        <v>B Saya suka bertahan menghadapi satu masalah meskipun belum tentu berhasil.</v>
      </c>
      <c r="AK9" s="95" t="str">
        <f>IFERROR(__xludf.DUMMYFUNCTION("""COMPUTED_VALUE"""),"B Bila saya harus melakukan suatu tugas, saya ingin mengerjakan sampai selesai.")</f>
        <v>B Bila saya harus melakukan suatu tugas, saya ingin mengerjakan sampai selesai.</v>
      </c>
      <c r="AL9" s="95" t="str">
        <f>IFERROR(__xludf.DUMMYFUNCTION("""COMPUTED_VALUE"""),"B Saya ingin menghindarkan gangguan bila saya sedang belajar.")</f>
        <v>B Saya ingin menghindarkan gangguan bila saya sedang belajar.</v>
      </c>
      <c r="AM9" s="95" t="str">
        <f>IFERROR(__xludf.DUMMYFUNCTION("""COMPUTED_VALUE"""),"B Saya suka belajar sampai malam untuk menyelesaikan suatu tugas.")</f>
        <v>B Saya suka belajar sampai malam untuk menyelesaikan suatu tugas.</v>
      </c>
      <c r="AN9" s="95" t="str">
        <f>IFERROR(__xludf.DUMMYFUNCTION("""COMPUTED_VALUE"""),"A Saya tidak suka pada orang yang semena-mena.")</f>
        <v>A Saya tidak suka pada orang yang semena-mena.</v>
      </c>
      <c r="AO9" s="95" t="str">
        <f>IFERROR(__xludf.DUMMYFUNCTION("""COMPUTED_VALUE"""),"A Saya suka berlaku sangat ramah terhadap teman-teman saya.")</f>
        <v>A Saya suka berlaku sangat ramah terhadap teman-teman saya.</v>
      </c>
      <c r="AP9" s="95" t="str">
        <f>IFERROR(__xludf.DUMMYFUNCTION("""COMPUTED_VALUE"""),"A Saya ingin mengerjakannya tugas sampai selesai.")</f>
        <v>A Saya ingin mengerjakannya tugas sampai selesai.</v>
      </c>
      <c r="AQ9" s="95" t="str">
        <f>IFERROR(__xludf.DUMMYFUNCTION("""COMPUTED_VALUE"""),"B Bila saya harus melakukan suatu tugas, saya ingin mengerjakan sampai selesai.")</f>
        <v>B Bila saya harus melakukan suatu tugas, saya ingin mengerjakan sampai selesai.</v>
      </c>
      <c r="AR9" s="95" t="str">
        <f>IFERROR(__xludf.DUMMYFUNCTION("""COMPUTED_VALUE"""),"B Saya suka belajar keras pada tiap pelajaran yang saya hadapi.")</f>
        <v>B Saya suka belajar keras pada tiap pelajaran yang saya hadapi.</v>
      </c>
      <c r="AS9" s="95" t="str">
        <f>IFERROR(__xludf.DUMMYFUNCTION("""COMPUTED_VALUE"""),"A Saya ingin dapat menyelesaikan persoalan yang dianggap sukar bagi orang lain.")</f>
        <v>A Saya ingin dapat menyelesaikan persoalan yang dianggap sukar bagi orang lain.</v>
      </c>
      <c r="AT9" s="95" t="str">
        <f>IFERROR(__xludf.DUMMYFUNCTION("""COMPUTED_VALUE"""),"B Saya suka membantu orang lain yang menurut saya perlu dikasihani.")</f>
        <v>B Saya suka membantu orang lain yang menurut saya perlu dikasihani.</v>
      </c>
      <c r="AU9" s="95" t="str">
        <f>IFERROR(__xludf.DUMMYFUNCTION("""COMPUTED_VALUE"""),"A Saya ingin menyelesaikan pekerjaan satu persatu sebelum memulai yang lain.")</f>
        <v>A Saya ingin menyelesaikan pekerjaan satu persatu sebelum memulai yang lain.</v>
      </c>
      <c r="AV9" s="95" t="str">
        <f>IFERROR(__xludf.DUMMYFUNCTION("""COMPUTED_VALUE"""),"B Saya suka menolong teman-teman saya.")</f>
        <v>B Saya suka menolong teman-teman saya.</v>
      </c>
      <c r="AW9" s="95" t="str">
        <f>IFERROR(__xludf.DUMMYFUNCTION("""COMPUTED_VALUE"""),"A Saya ingin mengerjakan tugas sampai selesai.")</f>
        <v>A Saya ingin mengerjakan tugas sampai selesai.</v>
      </c>
      <c r="AX9" s="95" t="str">
        <f>IFERROR(__xludf.DUMMYFUNCTION("""COMPUTED_VALUE"""),"A Saya suka menolong teman-teman saya apabila mereka dalam kesulitan.")</f>
        <v>A Saya suka menolong teman-teman saya apabila mereka dalam kesulitan.</v>
      </c>
      <c r="AY9" s="95" t="str">
        <f>IFERROR(__xludf.DUMMYFUNCTION("""COMPUTED_VALUE"""),"B Saya suka menolong teman-teman saya apabila mereka dalam kesulitan.")</f>
        <v>B Saya suka menolong teman-teman saya apabila mereka dalam kesulitan.</v>
      </c>
      <c r="AZ9" s="95" t="str">
        <f>IFERROR(__xludf.DUMMYFUNCTION("""COMPUTED_VALUE"""),"B Saya suka menunjukkan simpati saya kepada teman-teman saya.")</f>
        <v>B Saya suka menunjukkan simpati saya kepada teman-teman saya.</v>
      </c>
      <c r="BA9" s="95" t="str">
        <f>IFERROR(__xludf.DUMMYFUNCTION("""COMPUTED_VALUE"""),"A Saya suka menyatakan pendapat saya tentang berbagai hal.")</f>
        <v>A Saya suka menyatakan pendapat saya tentang berbagai hal.</v>
      </c>
      <c r="BB9" s="95" t="str">
        <f>IFERROR(__xludf.DUMMYFUNCTION("""COMPUTED_VALUE"""),"A Saya berkeinginan untuk bersama orang yang menarik bagi saya.")</f>
        <v>A Saya berkeinginan untuk bersama orang yang menarik bagi saya.</v>
      </c>
      <c r="BC9" s="95" t="str">
        <f>IFERROR(__xludf.DUMMYFUNCTION("""COMPUTED_VALUE"""),"B Saya suka membantu orang lain yang menurut saya perlu dikasihani.")</f>
        <v>B Saya suka membantu orang lain yang menurut saya perlu dikasihani.</v>
      </c>
      <c r="BD9" s="95" t="str">
        <f>IFERROR(__xludf.DUMMYFUNCTION("""COMPUTED_VALUE"""),"B Saya suka bersikukuh dengan pendirian saya.")</f>
        <v>B Saya suka bersikukuh dengan pendirian saya.</v>
      </c>
      <c r="BE9" s="95" t="str">
        <f>IFERROR(__xludf.DUMMYFUNCTION("""COMPUTED_VALUE"""),"B Saya ingin orang lain melakukan apa yang saya kehendaki.")</f>
        <v>B Saya ingin orang lain melakukan apa yang saya kehendaki.</v>
      </c>
      <c r="BF9" s="95" t="str">
        <f>IFERROR(__xludf.DUMMYFUNCTION("""COMPUTED_VALUE"""),"B Bila saya dalam kelompok, saya ingin menentukan apa yang akan kita lakukan.")</f>
        <v>B Bila saya dalam kelompok, saya ingin menentukan apa yang akan kita lakukan.</v>
      </c>
      <c r="BG9" s="95" t="str">
        <f>IFERROR(__xludf.DUMMYFUNCTION("""COMPUTED_VALUE"""),"B Saya suka mengarahkan kepada orang lain apa yang harus dilakukan.")</f>
        <v>B Saya suka mengarahkan kepada orang lain apa yang harus dilakukan.</v>
      </c>
      <c r="BH9" s="95" t="str">
        <f>IFERROR(__xludf.DUMMYFUNCTION("""COMPUTED_VALUE"""),"A Saya suka menghindar dari situasi yang tidak saya harapkan.")</f>
        <v>A Saya suka menghindar dari situasi yang tidak saya harapkan.</v>
      </c>
      <c r="BI9" s="95" t="str">
        <f>IFERROR(__xludf.DUMMYFUNCTION("""COMPUTED_VALUE"""),"A Saya suka bermurah hati terhadap teman-teman saya.")</f>
        <v>A Saya suka bermurah hati terhadap teman-teman saya.</v>
      </c>
      <c r="BJ9" s="95" t="str">
        <f>IFERROR(__xludf.DUMMYFUNCTION("""COMPUTED_VALUE"""),"A Saya ingin mengerjakan tugas sampai selesai.")</f>
        <v>A Saya ingin mengerjakan tugas sampai selesai.</v>
      </c>
      <c r="BK9" s="95" t="str">
        <f>IFERROR(__xludf.DUMMYFUNCTION("""COMPUTED_VALUE"""),"A Saya ingin menyelesaikan pekerjaan satu persatu sebelum memulai yang lain.")</f>
        <v>A Saya ingin menyelesaikan pekerjaan satu persatu sebelum memulai yang lain.</v>
      </c>
      <c r="BL9" s="95" t="str">
        <f>IFERROR(__xludf.DUMMYFUNCTION("""COMPUTED_VALUE"""),"A Saya suka belajar saya teratur dan ada waktu-waktu tertentu untuk belajar.")</f>
        <v>A Saya suka belajar saya teratur dan ada waktu-waktu tertentu untuk belajar.</v>
      </c>
      <c r="BM9" s="95" t="str">
        <f>IFERROR(__xludf.DUMMYFUNCTION("""COMPUTED_VALUE"""),"A Saya suka melakukan pekerjaan sebaik mungkin.")</f>
        <v>A Saya suka melakukan pekerjaan sebaik mungkin.</v>
      </c>
      <c r="BN9" s="95" t="str">
        <f>IFERROR(__xludf.DUMMYFUNCTION("""COMPUTED_VALUE"""),"A Saya suka mengerjakan teka-teki atau memecahkan persoalan sampai selesai.")</f>
        <v>A Saya suka mengerjakan teka-teki atau memecahkan persoalan sampai selesai.</v>
      </c>
      <c r="BO9" s="95" t="str">
        <f>IFERROR(__xludf.DUMMYFUNCTION("""COMPUTED_VALUE"""),"A Saya suka membuat perencanaan sebelum memulai belajar yang sulit.")</f>
        <v>A Saya suka membuat perencanaan sebelum memulai belajar yang sulit.</v>
      </c>
      <c r="BP9" s="95" t="str">
        <f>IFERROR(__xludf.DUMMYFUNCTION("""COMPUTED_VALUE"""),"A Saya ingin menyelesaikan sesuatu yang sangat penting artinya.")</f>
        <v>A Saya ingin menyelesaikan sesuatu yang sangat penting artinya.</v>
      </c>
      <c r="BQ9" s="95" t="str">
        <f>IFERROR(__xludf.DUMMYFUNCTION("""COMPUTED_VALUE"""),"A Saya ingin mengerjakannya tugas sampai selesai.")</f>
        <v>A Saya ingin mengerjakannya tugas sampai selesai.</v>
      </c>
      <c r="BR9" s="95" t="str">
        <f>IFERROR(__xludf.DUMMYFUNCTION("""COMPUTED_VALUE"""),"B Saya ingin agar teman-teman saya bersimpati dan menghibur saya bila saya sedih.")</f>
        <v>B Saya ingin agar teman-teman saya bersimpati dan menghibur saya bila saya sedih.</v>
      </c>
      <c r="BS9" s="95" t="str">
        <f>IFERROR(__xludf.DUMMYFUNCTION("""COMPUTED_VALUE"""),"B Saya ingin teman-teman saya membantu saya bila saya mengalami kesulitan")</f>
        <v>B Saya ingin teman-teman saya membantu saya bila saya mengalami kesulitan</v>
      </c>
      <c r="BT9" s="95" t="str">
        <f>IFERROR(__xludf.DUMMYFUNCTION("""COMPUTED_VALUE"""),"B Saya ingin teman-teman banyak menunjukkan rasa sayang mereka terhadap saya.")</f>
        <v>B Saya ingin teman-teman banyak menunjukkan rasa sayang mereka terhadap saya.</v>
      </c>
      <c r="BU9" s="95" t="str">
        <f>IFERROR(__xludf.DUMMYFUNCTION("""COMPUTED_VALUE"""),"A Saya kadang-kadang suka melakukan hal-hal yang dapat dipuji oleh orang lain.")</f>
        <v>A Saya kadang-kadang suka melakukan hal-hal yang dapat dipuji oleh orang lain.</v>
      </c>
      <c r="BV9" s="95" t="str">
        <f>IFERROR(__xludf.DUMMYFUNCTION("""COMPUTED_VALUE"""),"B Saya ingin teman-teman dengan gembira memberikan pertolongan kepada saya.")</f>
        <v>B Saya ingin teman-teman dengan gembira memberikan pertolongan kepada saya.</v>
      </c>
      <c r="BW9" s="95" t="str">
        <f>IFERROR(__xludf.DUMMYFUNCTION("""COMPUTED_VALUE"""),"B Saya ingin diperlakukan dengan baik oleh teman-teman saya.")</f>
        <v>B Saya ingin diperlakukan dengan baik oleh teman-teman saya.</v>
      </c>
      <c r="BX9" s="95" t="str">
        <f>IFERROR(__xludf.DUMMYFUNCTION("""COMPUTED_VALUE"""),"B Saya kadang-kadang suka melakukan hal-hal yang dapat dipuji oleh orang lain.")</f>
        <v>B Saya kadang-kadang suka melakukan hal-hal yang dapat dipuji oleh orang lain.</v>
      </c>
      <c r="BY9" s="95" t="str">
        <f>IFERROR(__xludf.DUMMYFUNCTION("""COMPUTED_VALUE"""),"B Saya ingin orang lain memperhatikan dan berkomentar tentang penampilan saya.")</f>
        <v>B Saya ingin orang lain memperhatikan dan berkomentar tentang penampilan saya.</v>
      </c>
      <c r="BZ9" s="95" t="str">
        <f>IFERROR(__xludf.DUMMYFUNCTION("""COMPUTED_VALUE"""),"B Saya suka diperhatikan, apabila saya ada di dalam suatu kelompok.")</f>
        <v>B Saya suka diperhatikan, apabila saya ada di dalam suatu kelompok.</v>
      </c>
      <c r="CA9" s="95" t="str">
        <f>IFERROR(__xludf.DUMMYFUNCTION("""COMPUTED_VALUE"""),"A Saya ingin teman-teman dengan gembira memberikan pertolongan kepada saya.")</f>
        <v>A Saya ingin teman-teman dengan gembira memberikan pertolongan kepada saya.</v>
      </c>
      <c r="CB9" s="95" t="str">
        <f>IFERROR(__xludf.DUMMYFUNCTION("""COMPUTED_VALUE"""),"B Saya suka berbicara tentang hal-hal yang telah saya capai.")</f>
        <v>B Saya suka berbicara tentang hal-hal yang telah saya capai.</v>
      </c>
      <c r="CC9" s="95" t="str">
        <f>IFERROR(__xludf.DUMMYFUNCTION("""COMPUTED_VALUE"""),"A Apabila saya berkumpul dalam kelompok, saya ingin dihargai teman-teman.")</f>
        <v>A Apabila saya berkumpul dalam kelompok, saya ingin dihargai teman-teman.</v>
      </c>
      <c r="CD9" s="95" t="str">
        <f>IFERROR(__xludf.DUMMYFUNCTION("""COMPUTED_VALUE"""),"A Saya suka menyelesaikan setiap tugas meskipun membutuhkan waktu lama.")</f>
        <v>A Saya suka menyelesaikan setiap tugas meskipun membutuhkan waktu lama.</v>
      </c>
      <c r="CE9" s="95" t="str">
        <f>IFERROR(__xludf.DUMMYFUNCTION("""COMPUTED_VALUE"""),"A Saya suka menyelesaikan setiap tugas belajar yang telah saya mulai.")</f>
        <v>A Saya suka menyelesaikan setiap tugas belajar yang telah saya mulai.</v>
      </c>
      <c r="CF9" s="95" t="str">
        <f>IFERROR(__xludf.DUMMYFUNCTION("""COMPUTED_VALUE"""),"A Saya ingin agar hidup saya teratur sesuai cita-cita saya.")</f>
        <v>A Saya ingin agar hidup saya teratur sesuai cita-cita saya.</v>
      </c>
      <c r="CG9" s="95" t="str">
        <f>IFERROR(__xludf.DUMMYFUNCTION("""COMPUTED_VALUE"""),"B Saya suka berbicara tentang hal-hal yang telah saya capai.")</f>
        <v>B Saya suka berbicara tentang hal-hal yang telah saya capai.</v>
      </c>
      <c r="CH9" s="95" t="str">
        <f>IFERROR(__xludf.DUMMYFUNCTION("""COMPUTED_VALUE"""),"A Saya ingin bisa melakukan dengan baik sesuatu pekerjaan sulit.")</f>
        <v>A Saya ingin bisa melakukan dengan baik sesuatu pekerjaan sulit.</v>
      </c>
      <c r="CI9" s="95" t="str">
        <f>IFERROR(__xludf.DUMMYFUNCTION("""COMPUTED_VALUE"""),"A Saya suka belajar saya teratur dan ada waktu-waktu tertentu untuk belajar.")</f>
        <v>A Saya suka belajar saya teratur dan ada waktu-waktu tertentu untuk belajar.</v>
      </c>
      <c r="CJ9" s="95" t="str">
        <f>IFERROR(__xludf.DUMMYFUNCTION("""COMPUTED_VALUE"""),"A Saya ingin tidak tergantung dari orang lain terhadap apa yang akan saya lakukan.")</f>
        <v>A Saya ingin tidak tergantung dari orang lain terhadap apa yang akan saya lakukan.</v>
      </c>
      <c r="CK9" s="95" t="str">
        <f>IFERROR(__xludf.DUMMYFUNCTION("""COMPUTED_VALUE"""),"B Saya senang ikut beraktivitas bersama teman sebaya saya.")</f>
        <v>B Saya senang ikut beraktivitas bersama teman sebaya saya.</v>
      </c>
      <c r="CL9" s="95" t="str">
        <f>IFERROR(__xludf.DUMMYFUNCTION("""COMPUTED_VALUE"""),"A Saya suka menolong teman-teman saya, apabila mereka dalam kesulitan.")</f>
        <v>A Saya suka menolong teman-teman saya, apabila mereka dalam kesulitan.</v>
      </c>
      <c r="CM9" s="95" t="str">
        <f>IFERROR(__xludf.DUMMYFUNCTION("""COMPUTED_VALUE"""),"A Saya ingin ditunjuk atau dipilih sebagai ketua dalam suatu kelompok.")</f>
        <v>A Saya ingin ditunjuk atau dipilih sebagai ketua dalam suatu kelompok.</v>
      </c>
      <c r="CN9" s="95" t="str">
        <f>IFERROR(__xludf.DUMMYFUNCTION("""COMPUTED_VALUE"""),"A Saya ingin diperlakukan dengan baik oleh teman-teman saya.")</f>
        <v>A Saya ingin diperlakukan dengan baik oleh teman-teman saya.</v>
      </c>
      <c r="CO9" s="95" t="str">
        <f>IFERROR(__xludf.DUMMYFUNCTION("""COMPUTED_VALUE"""),"A Saya suka menceritakan hal-hal lucu agar diperhatikan oleh orang lain.")</f>
        <v>A Saya suka menceritakan hal-hal lucu agar diperhatikan oleh orang lain.</v>
      </c>
      <c r="CP9" s="95" t="str">
        <f>IFERROR(__xludf.DUMMYFUNCTION("""COMPUTED_VALUE"""),"A Saya suka melamun atau membayangkan sesuatu sendirian.")</f>
        <v>A Saya suka melamun atau membayangkan sesuatu sendirian.</v>
      </c>
      <c r="CQ9" s="95" t="str">
        <f>IFERROR(__xludf.DUMMYFUNCTION("""COMPUTED_VALUE"""),"B Saya merasa kagum pada seseorang.")</f>
        <v>B Saya merasa kagum pada seseorang.</v>
      </c>
      <c r="CR9" s="95" t="str">
        <f>IFERROR(__xludf.DUMMYFUNCTION("""COMPUTED_VALUE"""),"B Saya rasanya ingin mengecam seseorang bila orang itu menjengkelkan.")</f>
        <v>B Saya rasanya ingin mengecam seseorang bila orang itu menjengkelkan.</v>
      </c>
      <c r="CS9" s="95" t="str">
        <f>IFERROR(__xludf.DUMMYFUNCTION("""COMPUTED_VALUE"""),"A Saya ingin terlihat menarik di depan teman-teman saya.")</f>
        <v>A Saya ingin terlihat menarik di depan teman-teman saya.</v>
      </c>
      <c r="CT9" s="95" t="str">
        <f>IFERROR(__xludf.DUMMYFUNCTION("""COMPUTED_VALUE"""),"A Saya ingin orang-orang memperhatikan komentar mengenai penampilan saya.")</f>
        <v>A Saya ingin orang-orang memperhatikan komentar mengenai penampilan saya.</v>
      </c>
      <c r="CU9" s="95" t="str">
        <f>IFERROR(__xludf.DUMMYFUNCTION("""COMPUTED_VALUE"""),"A Saya ingin diperlakukan dengan ramah oleh teman-teman saya.")</f>
        <v>A Saya ingin diperlakukan dengan ramah oleh teman-teman saya.</v>
      </c>
      <c r="CV9" s="95" t="str">
        <f>IFERROR(__xludf.DUMMYFUNCTION("""COMPUTED_VALUE"""),"A Saya ingin ditunjuk atau dipilih sebagai ketua dalam suatu kelompok.")</f>
        <v>A Saya ingin ditunjuk atau dipilih sebagai ketua dalam suatu kelompok.</v>
      </c>
      <c r="CW9" s="95" t="str">
        <f>IFERROR(__xludf.DUMMYFUNCTION("""COMPUTED_VALUE"""),"B Saya mengatakan kepada orang lain bagaimana pendapat saya terhadap mereka.")</f>
        <v>B Saya mengatakan kepada orang lain bagaimana pendapat saya terhadap mereka.</v>
      </c>
      <c r="CX9" s="95" t="str">
        <f>IFERROR(__xludf.DUMMYFUNCTION("""COMPUTED_VALUE"""),"A Saya suka belajar sampai malam untuk menyelesaikan suatu tugas.")</f>
        <v>A Saya suka belajar sampai malam untuk menyelesaikan suatu tugas.</v>
      </c>
      <c r="CY9" s="95" t="str">
        <f>IFERROR(__xludf.DUMMYFUNCTION("""COMPUTED_VALUE"""),"A Saya ingin tidak tergantung dari orang lain terhadap apa yang akan saya lakukan.")</f>
        <v>A Saya ingin tidak tergantung dari orang lain terhadap apa yang akan saya lakukan.</v>
      </c>
      <c r="CZ9" s="95" t="str">
        <f>IFERROR(__xludf.DUMMYFUNCTION("""COMPUTED_VALUE"""),"A Saya suka merencanakan dan mengatur setiap pekerjaan yang harus saya lakukan.")</f>
        <v>A Saya suka merencanakan dan mengatur setiap pekerjaan yang harus saya lakukan.</v>
      </c>
      <c r="DA9" s="95" t="str">
        <f>IFERROR(__xludf.DUMMYFUNCTION("""COMPUTED_VALUE"""),"A Saya ingin melakukan apa saja sebaik mungkin.")</f>
        <v>A Saya ingin melakukan apa saja sebaik mungkin.</v>
      </c>
      <c r="DB9" s="89" t="s">
        <v>23</v>
      </c>
      <c r="DC9" s="97" t="str">
        <f t="shared" ref="DC9:GX9" si="54">LEFT(F9,1)</f>
        <v>B</v>
      </c>
      <c r="DD9" s="97" t="str">
        <f t="shared" si="54"/>
        <v>A</v>
      </c>
      <c r="DE9" s="97" t="str">
        <f t="shared" si="54"/>
        <v>A</v>
      </c>
      <c r="DF9" s="97" t="str">
        <f t="shared" si="54"/>
        <v>B</v>
      </c>
      <c r="DG9" s="97" t="str">
        <f t="shared" si="54"/>
        <v>A</v>
      </c>
      <c r="DH9" s="97" t="str">
        <f t="shared" si="54"/>
        <v>B</v>
      </c>
      <c r="DI9" s="97" t="str">
        <f t="shared" si="54"/>
        <v>B</v>
      </c>
      <c r="DJ9" s="97" t="str">
        <f t="shared" si="54"/>
        <v>A</v>
      </c>
      <c r="DK9" s="97" t="str">
        <f t="shared" si="54"/>
        <v>B</v>
      </c>
      <c r="DL9" s="97" t="str">
        <f t="shared" si="54"/>
        <v>B</v>
      </c>
      <c r="DM9" s="97" t="str">
        <f t="shared" si="54"/>
        <v>B</v>
      </c>
      <c r="DN9" s="97" t="str">
        <f t="shared" si="54"/>
        <v>B</v>
      </c>
      <c r="DO9" s="97" t="str">
        <f t="shared" si="54"/>
        <v>B</v>
      </c>
      <c r="DP9" s="97" t="str">
        <f t="shared" si="54"/>
        <v>B</v>
      </c>
      <c r="DQ9" s="97" t="str">
        <f t="shared" si="54"/>
        <v>B</v>
      </c>
      <c r="DR9" s="97" t="str">
        <f t="shared" si="54"/>
        <v>A</v>
      </c>
      <c r="DS9" s="97" t="str">
        <f t="shared" si="54"/>
        <v>A</v>
      </c>
      <c r="DT9" s="97" t="str">
        <f t="shared" si="54"/>
        <v>B</v>
      </c>
      <c r="DU9" s="97" t="str">
        <f t="shared" si="54"/>
        <v>A</v>
      </c>
      <c r="DV9" s="97" t="str">
        <f t="shared" si="54"/>
        <v>A</v>
      </c>
      <c r="DW9" s="97" t="str">
        <f t="shared" si="54"/>
        <v>A</v>
      </c>
      <c r="DX9" s="97" t="str">
        <f t="shared" si="54"/>
        <v>A</v>
      </c>
      <c r="DY9" s="97" t="str">
        <f t="shared" si="54"/>
        <v>B</v>
      </c>
      <c r="DZ9" s="97" t="str">
        <f t="shared" si="54"/>
        <v>A</v>
      </c>
      <c r="EA9" s="97" t="str">
        <f t="shared" si="54"/>
        <v>B</v>
      </c>
      <c r="EB9" s="97" t="str">
        <f t="shared" si="54"/>
        <v>B</v>
      </c>
      <c r="EC9" s="97" t="str">
        <f t="shared" si="54"/>
        <v>B</v>
      </c>
      <c r="ED9" s="97" t="str">
        <f t="shared" si="54"/>
        <v>A</v>
      </c>
      <c r="EE9" s="97" t="str">
        <f t="shared" si="54"/>
        <v>A</v>
      </c>
      <c r="EF9" s="97" t="str">
        <f t="shared" si="54"/>
        <v>B</v>
      </c>
      <c r="EG9" s="97" t="str">
        <f t="shared" si="54"/>
        <v>B</v>
      </c>
      <c r="EH9" s="97" t="str">
        <f t="shared" si="54"/>
        <v>B</v>
      </c>
      <c r="EI9" s="97" t="str">
        <f t="shared" si="54"/>
        <v>B</v>
      </c>
      <c r="EJ9" s="97" t="str">
        <f t="shared" si="54"/>
        <v>B</v>
      </c>
      <c r="EK9" s="97" t="str">
        <f t="shared" si="54"/>
        <v>A</v>
      </c>
      <c r="EL9" s="97" t="str">
        <f t="shared" si="54"/>
        <v>A</v>
      </c>
      <c r="EM9" s="97" t="str">
        <f t="shared" si="54"/>
        <v>A</v>
      </c>
      <c r="EN9" s="97" t="str">
        <f t="shared" si="54"/>
        <v>B</v>
      </c>
      <c r="EO9" s="97" t="str">
        <f t="shared" si="54"/>
        <v>B</v>
      </c>
      <c r="EP9" s="97" t="str">
        <f t="shared" si="54"/>
        <v>A</v>
      </c>
      <c r="EQ9" s="97" t="str">
        <f t="shared" si="54"/>
        <v>B</v>
      </c>
      <c r="ER9" s="97" t="str">
        <f t="shared" si="54"/>
        <v>A</v>
      </c>
      <c r="ES9" s="97" t="str">
        <f t="shared" si="54"/>
        <v>B</v>
      </c>
      <c r="ET9" s="97" t="str">
        <f t="shared" si="54"/>
        <v>A</v>
      </c>
      <c r="EU9" s="97" t="str">
        <f t="shared" si="54"/>
        <v>A</v>
      </c>
      <c r="EV9" s="97" t="str">
        <f t="shared" si="54"/>
        <v>B</v>
      </c>
      <c r="EW9" s="97" t="str">
        <f t="shared" si="54"/>
        <v>B</v>
      </c>
      <c r="EX9" s="97" t="str">
        <f t="shared" si="54"/>
        <v>A</v>
      </c>
      <c r="EY9" s="97" t="str">
        <f t="shared" si="54"/>
        <v>A</v>
      </c>
      <c r="EZ9" s="97" t="str">
        <f t="shared" si="54"/>
        <v>B</v>
      </c>
      <c r="FA9" s="97" t="str">
        <f t="shared" si="54"/>
        <v>B</v>
      </c>
      <c r="FB9" s="97" t="str">
        <f t="shared" si="54"/>
        <v>B</v>
      </c>
      <c r="FC9" s="97" t="str">
        <f t="shared" si="54"/>
        <v>B</v>
      </c>
      <c r="FD9" s="97" t="str">
        <f t="shared" si="54"/>
        <v>B</v>
      </c>
      <c r="FE9" s="97" t="str">
        <f t="shared" si="54"/>
        <v>A</v>
      </c>
      <c r="FF9" s="97" t="str">
        <f t="shared" si="54"/>
        <v>A</v>
      </c>
      <c r="FG9" s="97" t="str">
        <f t="shared" si="54"/>
        <v>A</v>
      </c>
      <c r="FH9" s="97" t="str">
        <f t="shared" si="54"/>
        <v>A</v>
      </c>
      <c r="FI9" s="97" t="str">
        <f t="shared" si="54"/>
        <v>A</v>
      </c>
      <c r="FJ9" s="97" t="str">
        <f t="shared" si="54"/>
        <v>A</v>
      </c>
      <c r="FK9" s="97" t="str">
        <f t="shared" si="54"/>
        <v>A</v>
      </c>
      <c r="FL9" s="97" t="str">
        <f t="shared" si="54"/>
        <v>A</v>
      </c>
      <c r="FM9" s="97" t="str">
        <f t="shared" si="54"/>
        <v>A</v>
      </c>
      <c r="FN9" s="97" t="str">
        <f t="shared" si="54"/>
        <v>A</v>
      </c>
      <c r="FO9" s="97" t="str">
        <f t="shared" si="54"/>
        <v>B</v>
      </c>
      <c r="FP9" s="97" t="str">
        <f t="shared" si="54"/>
        <v>B</v>
      </c>
      <c r="FQ9" s="97" t="str">
        <f t="shared" si="54"/>
        <v>B</v>
      </c>
      <c r="FR9" s="97" t="str">
        <f t="shared" si="54"/>
        <v>A</v>
      </c>
      <c r="FS9" s="97" t="str">
        <f t="shared" si="54"/>
        <v>B</v>
      </c>
      <c r="FT9" s="97" t="str">
        <f t="shared" si="54"/>
        <v>B</v>
      </c>
      <c r="FU9" s="97" t="str">
        <f t="shared" si="54"/>
        <v>B</v>
      </c>
      <c r="FV9" s="97" t="str">
        <f t="shared" si="54"/>
        <v>B</v>
      </c>
      <c r="FW9" s="97" t="str">
        <f t="shared" si="54"/>
        <v>B</v>
      </c>
      <c r="FX9" s="97" t="str">
        <f t="shared" si="54"/>
        <v>A</v>
      </c>
      <c r="FY9" s="97" t="str">
        <f t="shared" si="54"/>
        <v>B</v>
      </c>
      <c r="FZ9" s="97" t="str">
        <f t="shared" si="54"/>
        <v>A</v>
      </c>
      <c r="GA9" s="97" t="str">
        <f t="shared" si="54"/>
        <v>A</v>
      </c>
      <c r="GB9" s="97" t="str">
        <f t="shared" si="54"/>
        <v>A</v>
      </c>
      <c r="GC9" s="97" t="str">
        <f t="shared" si="54"/>
        <v>A</v>
      </c>
      <c r="GD9" s="97" t="str">
        <f t="shared" si="54"/>
        <v>B</v>
      </c>
      <c r="GE9" s="97" t="str">
        <f t="shared" si="54"/>
        <v>A</v>
      </c>
      <c r="GF9" s="97" t="str">
        <f t="shared" si="54"/>
        <v>A</v>
      </c>
      <c r="GG9" s="97" t="str">
        <f t="shared" si="54"/>
        <v>A</v>
      </c>
      <c r="GH9" s="97" t="str">
        <f t="shared" si="54"/>
        <v>B</v>
      </c>
      <c r="GI9" s="97" t="str">
        <f t="shared" si="54"/>
        <v>A</v>
      </c>
      <c r="GJ9" s="97" t="str">
        <f t="shared" si="54"/>
        <v>A</v>
      </c>
      <c r="GK9" s="97" t="str">
        <f t="shared" si="54"/>
        <v>A</v>
      </c>
      <c r="GL9" s="97" t="str">
        <f t="shared" si="54"/>
        <v>A</v>
      </c>
      <c r="GM9" s="97" t="str">
        <f t="shared" si="54"/>
        <v>A</v>
      </c>
      <c r="GN9" s="97" t="str">
        <f t="shared" si="54"/>
        <v>B</v>
      </c>
      <c r="GO9" s="97" t="str">
        <f t="shared" si="54"/>
        <v>B</v>
      </c>
      <c r="GP9" s="97" t="str">
        <f t="shared" si="54"/>
        <v>A</v>
      </c>
      <c r="GQ9" s="97" t="str">
        <f t="shared" si="54"/>
        <v>A</v>
      </c>
      <c r="GR9" s="97" t="str">
        <f t="shared" si="54"/>
        <v>A</v>
      </c>
      <c r="GS9" s="97" t="str">
        <f t="shared" si="54"/>
        <v>A</v>
      </c>
      <c r="GT9" s="97" t="str">
        <f t="shared" si="54"/>
        <v>B</v>
      </c>
      <c r="GU9" s="97" t="str">
        <f t="shared" si="54"/>
        <v>A</v>
      </c>
      <c r="GV9" s="97" t="str">
        <f t="shared" si="54"/>
        <v>A</v>
      </c>
      <c r="GW9" s="97" t="str">
        <f t="shared" si="54"/>
        <v>A</v>
      </c>
      <c r="GX9" s="97" t="str">
        <f t="shared" si="54"/>
        <v>A</v>
      </c>
      <c r="GY9" s="98"/>
      <c r="GZ9" s="97">
        <f t="shared" si="3"/>
        <v>54</v>
      </c>
      <c r="HA9" s="97">
        <f t="shared" si="4"/>
        <v>46</v>
      </c>
      <c r="HB9" s="90">
        <f t="shared" si="5"/>
        <v>100</v>
      </c>
      <c r="HC9" s="99"/>
      <c r="HD9" s="97">
        <f t="shared" si="6"/>
        <v>7</v>
      </c>
      <c r="HE9" s="97">
        <f t="shared" si="7"/>
        <v>5</v>
      </c>
      <c r="HF9" s="90">
        <f t="shared" si="8"/>
        <v>12</v>
      </c>
      <c r="HG9" s="99"/>
      <c r="HH9" s="97">
        <f t="shared" si="9"/>
        <v>8</v>
      </c>
      <c r="HI9" s="97">
        <f t="shared" si="10"/>
        <v>6</v>
      </c>
      <c r="HJ9" s="90">
        <f t="shared" si="11"/>
        <v>14</v>
      </c>
      <c r="HK9" s="99"/>
      <c r="HL9" s="97">
        <f t="shared" si="12"/>
        <v>6</v>
      </c>
      <c r="HM9" s="97">
        <f t="shared" si="13"/>
        <v>5</v>
      </c>
      <c r="HN9" s="90">
        <f t="shared" si="14"/>
        <v>11</v>
      </c>
      <c r="HO9" s="99"/>
      <c r="HP9" s="97">
        <f t="shared" si="15"/>
        <v>7</v>
      </c>
      <c r="HQ9" s="97">
        <f t="shared" si="16"/>
        <v>6</v>
      </c>
      <c r="HR9" s="90">
        <f t="shared" si="17"/>
        <v>13</v>
      </c>
      <c r="HS9" s="99"/>
      <c r="HT9" s="97">
        <f t="shared" si="18"/>
        <v>6</v>
      </c>
      <c r="HU9" s="97">
        <f t="shared" si="19"/>
        <v>5</v>
      </c>
      <c r="HV9" s="90">
        <f t="shared" si="20"/>
        <v>11</v>
      </c>
      <c r="HW9" s="99"/>
      <c r="HX9" s="97">
        <f t="shared" si="21"/>
        <v>3</v>
      </c>
      <c r="HY9" s="97">
        <f t="shared" si="22"/>
        <v>4</v>
      </c>
      <c r="HZ9" s="90">
        <f t="shared" si="23"/>
        <v>7</v>
      </c>
      <c r="IA9" s="99"/>
      <c r="IB9" s="97">
        <f t="shared" si="24"/>
        <v>3</v>
      </c>
      <c r="IC9" s="97">
        <f t="shared" si="25"/>
        <v>5</v>
      </c>
      <c r="ID9" s="90">
        <f t="shared" si="26"/>
        <v>8</v>
      </c>
      <c r="IE9" s="99"/>
      <c r="IF9" s="97">
        <f t="shared" si="27"/>
        <v>6</v>
      </c>
      <c r="IG9" s="97">
        <f t="shared" si="28"/>
        <v>5</v>
      </c>
      <c r="IH9" s="90">
        <f t="shared" si="29"/>
        <v>11</v>
      </c>
      <c r="II9" s="99"/>
      <c r="IJ9" s="97">
        <f t="shared" si="30"/>
        <v>3</v>
      </c>
      <c r="IK9" s="97">
        <f t="shared" si="31"/>
        <v>2</v>
      </c>
      <c r="IL9" s="90">
        <f t="shared" si="32"/>
        <v>5</v>
      </c>
      <c r="IM9" s="99"/>
      <c r="IN9" s="97">
        <f t="shared" si="33"/>
        <v>0</v>
      </c>
      <c r="IO9" s="97">
        <f t="shared" si="34"/>
        <v>2</v>
      </c>
      <c r="IP9" s="90">
        <f t="shared" si="35"/>
        <v>2</v>
      </c>
      <c r="IQ9" s="99"/>
      <c r="IR9" s="99"/>
      <c r="IS9" s="100">
        <f t="shared" si="36"/>
        <v>12</v>
      </c>
      <c r="IT9" s="100">
        <f t="shared" si="37"/>
        <v>14</v>
      </c>
      <c r="IU9" s="100">
        <f t="shared" si="38"/>
        <v>11</v>
      </c>
      <c r="IV9" s="100">
        <f t="shared" si="39"/>
        <v>13</v>
      </c>
      <c r="IW9" s="100">
        <f t="shared" si="40"/>
        <v>11</v>
      </c>
      <c r="IX9" s="100">
        <f t="shared" si="41"/>
        <v>7</v>
      </c>
      <c r="IY9" s="100">
        <f t="shared" si="42"/>
        <v>8</v>
      </c>
      <c r="IZ9" s="100">
        <f t="shared" si="43"/>
        <v>11</v>
      </c>
      <c r="JA9" s="100">
        <f t="shared" si="44"/>
        <v>5</v>
      </c>
      <c r="JB9" s="101">
        <f t="shared" si="45"/>
        <v>2</v>
      </c>
      <c r="JC9" s="102">
        <f t="shared" si="46"/>
        <v>94</v>
      </c>
      <c r="JD9" s="67">
        <f t="shared" si="50"/>
        <v>0</v>
      </c>
      <c r="JE9" s="67">
        <f t="shared" si="47"/>
        <v>1</v>
      </c>
      <c r="JF9" s="67">
        <f t="shared" si="48"/>
        <v>1</v>
      </c>
    </row>
    <row r="10">
      <c r="A10" s="103">
        <f>IFERROR(__xludf.DUMMYFUNCTION("""COMPUTED_VALUE"""),45920.46490813658)</f>
        <v>45920.46491</v>
      </c>
      <c r="B10" s="95" t="str">
        <f>IFERROR(__xludf.DUMMYFUNCTION("""COMPUTED_VALUE"""),"Aisyah")</f>
        <v>Aisyah</v>
      </c>
      <c r="C10" s="96" t="str">
        <f>IFERROR(__xludf.DUMMYFUNCTION("""COMPUTED_VALUE"""),"D250005")</f>
        <v>D250005</v>
      </c>
      <c r="D10" s="96" t="str">
        <f>IFERROR(__xludf.DUMMYFUNCTION("""COMPUTED_VALUE"""),"MTs Putri")</f>
        <v>MTs Putri</v>
      </c>
      <c r="E10" s="96" t="str">
        <f>IFERROR(__xludf.DUMMYFUNCTION("""COMPUTED_VALUE"""),"Ya")</f>
        <v>Ya</v>
      </c>
      <c r="F10" s="95" t="str">
        <f>IFERROR(__xludf.DUMMYFUNCTION("""COMPUTED_VALUE"""),"B Saya ingin melakukan apa saja sebaik mungkin.")</f>
        <v>B Saya ingin melakukan apa saja sebaik mungkin.</v>
      </c>
      <c r="G10" s="95" t="str">
        <f>IFERROR(__xludf.DUMMYFUNCTION("""COMPUTED_VALUE"""),"A Saya ingin setiap tulisan saya teliti, rapi, dan tersusun dengan baik.")</f>
        <v>A Saya ingin setiap tulisan saya teliti, rapi, dan tersusun dengan baik.</v>
      </c>
      <c r="H10" s="95" t="str">
        <f>IFERROR(__xludf.DUMMYFUNCTION("""COMPUTED_VALUE"""),"B Saya ingin menjadi orang yang diakui dalam suatu pekerjaan atau bidang khusus.")</f>
        <v>B Saya ingin menjadi orang yang diakui dalam suatu pekerjaan atau bidang khusus.</v>
      </c>
      <c r="I10" s="95" t="str">
        <f>IFERROR(__xludf.DUMMYFUNCTION("""COMPUTED_VALUE"""),"A Saya suka belajar keras pada tiap pelajaran yang saya hadapi.")</f>
        <v>A Saya suka belajar keras pada tiap pelajaran yang saya hadapi.</v>
      </c>
      <c r="J10" s="95" t="str">
        <f>IFERROR(__xludf.DUMMYFUNCTION("""COMPUTED_VALUE"""),"A Saya suka membantu teman-teman saya apabila mereka mengalami kesulitan.")</f>
        <v>A Saya suka membantu teman-teman saya apabila mereka mengalami kesulitan.</v>
      </c>
      <c r="K10" s="95" t="str">
        <f>IFERROR(__xludf.DUMMYFUNCTION("""COMPUTED_VALUE"""),"B Saya ingin mengatakan telah melakukan dengan baik sesuatu tugas yang sulit.")</f>
        <v>B Saya ingin mengatakan telah melakukan dengan baik sesuatu tugas yang sulit.</v>
      </c>
      <c r="L10" s="95" t="str">
        <f>IFERROR(__xludf.DUMMYFUNCTION("""COMPUTED_VALUE"""),"B Saya ingin mengatakan telah melakukan dengan baik sesuatu tugas yang sulit")</f>
        <v>B Saya ingin mengatakan telah melakukan dengan baik sesuatu tugas yang sulit</v>
      </c>
      <c r="M10" s="95" t="str">
        <f>IFERROR(__xludf.DUMMYFUNCTION("""COMPUTED_VALUE"""),"B Saya ingin mengerjakan segala tugas lebih baik daripada orang lain.")</f>
        <v>B Saya ingin mengerjakan segala tugas lebih baik daripada orang lain.</v>
      </c>
      <c r="N10" s="95" t="str">
        <f>IFERROR(__xludf.DUMMYFUNCTION("""COMPUTED_VALUE"""),"B Saya suka memecahkan persoalan yang sukar bagi orang lain.")</f>
        <v>B Saya suka memecahkan persoalan yang sukar bagi orang lain.</v>
      </c>
      <c r="O10" s="95" t="str">
        <f>IFERROR(__xludf.DUMMYFUNCTION("""COMPUTED_VALUE"""),"B Saya suka melakukan tugas sebaik mungkin.")</f>
        <v>B Saya suka melakukan tugas sebaik mungkin.</v>
      </c>
      <c r="P10" s="95" t="str">
        <f>IFERROR(__xludf.DUMMYFUNCTION("""COMPUTED_VALUE"""),"B Saya ingin setiap belajar itu teratur dan direncanakan.")</f>
        <v>B Saya ingin setiap belajar itu teratur dan direncanakan.</v>
      </c>
      <c r="Q10" s="95" t="str">
        <f>IFERROR(__xludf.DUMMYFUNCTION("""COMPUTED_VALUE"""),"B Saya merencanakan keperluan yang dibutuhkan sebelum bepergian.")</f>
        <v>B Saya merencanakan keperluan yang dibutuhkan sebelum bepergian.</v>
      </c>
      <c r="R10" s="95" t="str">
        <f>IFERROR(__xludf.DUMMYFUNCTION("""COMPUTED_VALUE"""),"B Saya suka barang-barang saya tersusun rapi dan teratur.")</f>
        <v>B Saya suka barang-barang saya tersusun rapi dan teratur.</v>
      </c>
      <c r="S10" s="95" t="str">
        <f>IFERROR(__xludf.DUMMYFUNCTION("""COMPUTED_VALUE"""),"B Saya suka membuat perencanaan sebelum memulai tugas yang sulit.")</f>
        <v>B Saya suka membuat perencanaan sebelum memulai tugas yang sulit.</v>
      </c>
      <c r="T10" s="95" t="str">
        <f>IFERROR(__xludf.DUMMYFUNCTION("""COMPUTED_VALUE"""),"A Saya ingin menjadi salah seorang pemimpin dalam kelompok yang saya kenal.")</f>
        <v>A Saya ingin menjadi salah seorang pemimpin dalam kelompok yang saya kenal.</v>
      </c>
      <c r="U10" s="95" t="str">
        <f>IFERROR(__xludf.DUMMYFUNCTION("""COMPUTED_VALUE"""),"A Saya suka memberikan bantuan kepada teman-teman saya.")</f>
        <v>A Saya suka memberikan bantuan kepada teman-teman saya.</v>
      </c>
      <c r="V10" s="95" t="str">
        <f>IFERROR(__xludf.DUMMYFUNCTION("""COMPUTED_VALUE"""),"B Saya suka belajar saya teratur dan ada waktu-waktu tertentu untuk belajar.")</f>
        <v>B Saya suka belajar saya teratur dan ada waktu-waktu tertentu untuk belajar.</v>
      </c>
      <c r="W10" s="95" t="str">
        <f>IFERROR(__xludf.DUMMYFUNCTION("""COMPUTED_VALUE"""),"B Saya ingin kegiatan itu teratur dan direncanakan.")</f>
        <v>B Saya ingin kegiatan itu teratur dan direncanakan.</v>
      </c>
      <c r="X10" s="95" t="str">
        <f>IFERROR(__xludf.DUMMYFUNCTION("""COMPUTED_VALUE"""),"B Saya ingin agar hidup saya teratur sesuai cita-cita saya.")</f>
        <v>B Saya ingin agar hidup saya teratur sesuai cita-cita saya.</v>
      </c>
      <c r="Y10" s="95" t="str">
        <f>IFERROR(__xludf.DUMMYFUNCTION("""COMPUTED_VALUE"""),"A Saya suka menyelesaikan tugas-tugas yang membutuhkan ketrampilan dan usaha.")</f>
        <v>A Saya suka menyelesaikan tugas-tugas yang membutuhkan ketrampilan dan usaha.</v>
      </c>
      <c r="Z10" s="95" t="str">
        <f>IFERROR(__xludf.DUMMYFUNCTION("""COMPUTED_VALUE"""),"A Saya ingin berhasil dengan belajar yang saya lakukan.")</f>
        <v>A Saya ingin berhasil dengan belajar yang saya lakukan.</v>
      </c>
      <c r="AA10" s="95" t="str">
        <f>IFERROR(__xludf.DUMMYFUNCTION("""COMPUTED_VALUE"""),"A Saya suka menyelesaikan tugas yang telah saya rencanakan.")</f>
        <v>A Saya suka menyelesaikan tugas yang telah saya rencanakan.</v>
      </c>
      <c r="AB10" s="95" t="str">
        <f>IFERROR(__xludf.DUMMYFUNCTION("""COMPUTED_VALUE"""),"A Saya ingin tidak tergantung dari orang lain terhadap apa yang akan saya lakukan.")</f>
        <v>A Saya ingin tidak tergantung dari orang lain terhadap apa yang akan saya lakukan.</v>
      </c>
      <c r="AC10" s="95" t="str">
        <f>IFERROR(__xludf.DUMMYFUNCTION("""COMPUTED_VALUE"""),"A Saya suka menyelesaikan setiap tugas meskipun membutuhkan waktu lama.")</f>
        <v>A Saya suka menyelesaikan setiap tugas meskipun membutuhkan waktu lama.</v>
      </c>
      <c r="AD10" s="95" t="str">
        <f>IFERROR(__xludf.DUMMYFUNCTION("""COMPUTED_VALUE"""),"A Saya suka bermurah hati terhadap teman-teman saya.")</f>
        <v>A Saya suka bermurah hati terhadap teman-teman saya.</v>
      </c>
      <c r="AE10" s="95" t="str">
        <f>IFERROR(__xludf.DUMMYFUNCTION("""COMPUTED_VALUE"""),"A Saya ingin dianggap sebagai pemimpin oleh teman di kelompok.")</f>
        <v>A Saya ingin dianggap sebagai pemimpin oleh teman di kelompok.</v>
      </c>
      <c r="AF10" s="95" t="str">
        <f>IFERROR(__xludf.DUMMYFUNCTION("""COMPUTED_VALUE"""),"A Saya ingin agar teman-teman mengerti bila saya mengalami kesukaran.")</f>
        <v>A Saya ingin agar teman-teman mengerti bila saya mengalami kesukaran.</v>
      </c>
      <c r="AG10" s="95" t="str">
        <f>IFERROR(__xludf.DUMMYFUNCTION("""COMPUTED_VALUE"""),"A Saya mengajari orang lain bagaimana mereka harus melakukan pekerjaan mereka.")</f>
        <v>A Saya mengajari orang lain bagaimana mereka harus melakukan pekerjaan mereka.</v>
      </c>
      <c r="AH10" s="95" t="str">
        <f>IFERROR(__xludf.DUMMYFUNCTION("""COMPUTED_VALUE"""),"A Saya suka membaca buku-buku tentang pergaulan remaja.")</f>
        <v>A Saya suka membaca buku-buku tentang pergaulan remaja.</v>
      </c>
      <c r="AI10" s="95" t="str">
        <f>IFERROR(__xludf.DUMMYFUNCTION("""COMPUTED_VALUE"""),"B Saya suka melakukan kegiatan sesuai kondisi yang saya inginkan.")</f>
        <v>B Saya suka melakukan kegiatan sesuai kondisi yang saya inginkan.</v>
      </c>
      <c r="AJ10" s="95" t="str">
        <f>IFERROR(__xludf.DUMMYFUNCTION("""COMPUTED_VALUE"""),"B Saya suka bertahan menghadapi satu masalah meskipun belum tentu berhasil.")</f>
        <v>B Saya suka bertahan menghadapi satu masalah meskipun belum tentu berhasil.</v>
      </c>
      <c r="AK10" s="95" t="str">
        <f>IFERROR(__xludf.DUMMYFUNCTION("""COMPUTED_VALUE"""),"B Bila saya harus melakukan suatu tugas, saya ingin mengerjakan sampai selesai.")</f>
        <v>B Bila saya harus melakukan suatu tugas, saya ingin mengerjakan sampai selesai.</v>
      </c>
      <c r="AL10" s="95" t="str">
        <f>IFERROR(__xludf.DUMMYFUNCTION("""COMPUTED_VALUE"""),"B Saya ingin menghindarkan gangguan bila saya sedang belajar.")</f>
        <v>B Saya ingin menghindarkan gangguan bila saya sedang belajar.</v>
      </c>
      <c r="AM10" s="95" t="str">
        <f>IFERROR(__xludf.DUMMYFUNCTION("""COMPUTED_VALUE"""),"B Saya suka belajar sampai malam untuk menyelesaikan suatu tugas.")</f>
        <v>B Saya suka belajar sampai malam untuk menyelesaikan suatu tugas.</v>
      </c>
      <c r="AN10" s="95" t="str">
        <f>IFERROR(__xludf.DUMMYFUNCTION("""COMPUTED_VALUE"""),"B Saya ingin bekerja berjam-jam tanpa diganggu.")</f>
        <v>B Saya ingin bekerja berjam-jam tanpa diganggu.</v>
      </c>
      <c r="AO10" s="95" t="str">
        <f>IFERROR(__xludf.DUMMYFUNCTION("""COMPUTED_VALUE"""),"A Saya suka berlaku sangat ramah terhadap teman-teman saya.")</f>
        <v>A Saya suka berlaku sangat ramah terhadap teman-teman saya.</v>
      </c>
      <c r="AP10" s="95" t="str">
        <f>IFERROR(__xludf.DUMMYFUNCTION("""COMPUTED_VALUE"""),"A Saya ingin mengerjakannya tugas sampai selesai.")</f>
        <v>A Saya ingin mengerjakannya tugas sampai selesai.</v>
      </c>
      <c r="AQ10" s="95" t="str">
        <f>IFERROR(__xludf.DUMMYFUNCTION("""COMPUTED_VALUE"""),"A Saya ingin bisa mengerjakan segala sesuatu lebih baik daripada orang-orang lain.")</f>
        <v>A Saya ingin bisa mengerjakan segala sesuatu lebih baik daripada orang-orang lain.</v>
      </c>
      <c r="AR10" s="95" t="str">
        <f>IFERROR(__xludf.DUMMYFUNCTION("""COMPUTED_VALUE"""),"B Saya suka belajar keras pada tiap pelajaran yang saya hadapi.")</f>
        <v>B Saya suka belajar keras pada tiap pelajaran yang saya hadapi.</v>
      </c>
      <c r="AS10" s="95" t="str">
        <f>IFERROR(__xludf.DUMMYFUNCTION("""COMPUTED_VALUE"""),"B Saya suka belajar sampai malam untuk menyelesaikan suatu tugas.")</f>
        <v>B Saya suka belajar sampai malam untuk menyelesaikan suatu tugas.</v>
      </c>
      <c r="AT10" s="95" t="str">
        <f>IFERROR(__xludf.DUMMYFUNCTION("""COMPUTED_VALUE"""),"B Saya suka membantu orang lain yang menurut saya perlu dikasihani.")</f>
        <v>B Saya suka membantu orang lain yang menurut saya perlu dikasihani.</v>
      </c>
      <c r="AU10" s="95" t="str">
        <f>IFERROR(__xludf.DUMMYFUNCTION("""COMPUTED_VALUE"""),"B Saya suka bermurah hati terhadap teman-teman saya.")</f>
        <v>B Saya suka bermurah hati terhadap teman-teman saya.</v>
      </c>
      <c r="AV10" s="95" t="str">
        <f>IFERROR(__xludf.DUMMYFUNCTION("""COMPUTED_VALUE"""),"B Saya suka menolong teman-teman saya.")</f>
        <v>B Saya suka menolong teman-teman saya.</v>
      </c>
      <c r="AW10" s="95" t="str">
        <f>IFERROR(__xludf.DUMMYFUNCTION("""COMPUTED_VALUE"""),"B Saya ingin teman-teman saya percaya bahwa saya bisa menolong mereka.")</f>
        <v>B Saya ingin teman-teman saya percaya bahwa saya bisa menolong mereka.</v>
      </c>
      <c r="AX10" s="95" t="str">
        <f>IFERROR(__xludf.DUMMYFUNCTION("""COMPUTED_VALUE"""),"A Saya suka menolong teman-teman saya apabila mereka dalam kesulitan.")</f>
        <v>A Saya suka menolong teman-teman saya apabila mereka dalam kesulitan.</v>
      </c>
      <c r="AY10" s="95" t="str">
        <f>IFERROR(__xludf.DUMMYFUNCTION("""COMPUTED_VALUE"""),"B Saya suka menolong teman-teman saya apabila mereka dalam kesulitan.")</f>
        <v>B Saya suka menolong teman-teman saya apabila mereka dalam kesulitan.</v>
      </c>
      <c r="AZ10" s="95" t="str">
        <f>IFERROR(__xludf.DUMMYFUNCTION("""COMPUTED_VALUE"""),"B Saya suka menunjukkan simpati saya kepada teman-teman saya.")</f>
        <v>B Saya suka menunjukkan simpati saya kepada teman-teman saya.</v>
      </c>
      <c r="BA10" s="95" t="str">
        <f>IFERROR(__xludf.DUMMYFUNCTION("""COMPUTED_VALUE"""),"B Saya suka memperlakukan orang lain dengan baik dan ramah.")</f>
        <v>B Saya suka memperlakukan orang lain dengan baik dan ramah.</v>
      </c>
      <c r="BB10" s="95" t="str">
        <f>IFERROR(__xludf.DUMMYFUNCTION("""COMPUTED_VALUE"""),"B Saya suka bermurah hati terhadap teman-teman saya.")</f>
        <v>B Saya suka bermurah hati terhadap teman-teman saya.</v>
      </c>
      <c r="BC10" s="95" t="str">
        <f>IFERROR(__xludf.DUMMYFUNCTION("""COMPUTED_VALUE"""),"B Saya suka membantu orang lain yang menurut saya perlu dikasihani.")</f>
        <v>B Saya suka membantu orang lain yang menurut saya perlu dikasihani.</v>
      </c>
      <c r="BD10" s="95" t="str">
        <f>IFERROR(__xludf.DUMMYFUNCTION("""COMPUTED_VALUE"""),"B Saya suka bersikukuh dengan pendirian saya.")</f>
        <v>B Saya suka bersikukuh dengan pendirian saya.</v>
      </c>
      <c r="BE10" s="95" t="str">
        <f>IFERROR(__xludf.DUMMYFUNCTION("""COMPUTED_VALUE"""),"B Saya ingin orang lain melakukan apa yang saya kehendaki.")</f>
        <v>B Saya ingin orang lain melakukan apa yang saya kehendaki.</v>
      </c>
      <c r="BF10" s="95" t="str">
        <f>IFERROR(__xludf.DUMMYFUNCTION("""COMPUTED_VALUE"""),"A Saya ingin orang lain memperhatikan dan berkomentar tentang penampilan saya.")</f>
        <v>A Saya ingin orang lain memperhatikan dan berkomentar tentang penampilan saya.</v>
      </c>
      <c r="BG10" s="95" t="str">
        <f>IFERROR(__xludf.DUMMYFUNCTION("""COMPUTED_VALUE"""),"B Saya suka mengarahkan kepada orang lain apa yang harus dilakukan.")</f>
        <v>B Saya suka mengarahkan kepada orang lain apa yang harus dilakukan.</v>
      </c>
      <c r="BH10" s="95" t="str">
        <f>IFERROR(__xludf.DUMMYFUNCTION("""COMPUTED_VALUE"""),"B Apabila saya berkumpul dalam kelompok, saya ingin dihargai teman-teman.")</f>
        <v>B Apabila saya berkumpul dalam kelompok, saya ingin dihargai teman-teman.</v>
      </c>
      <c r="BI10" s="95" t="str">
        <f>IFERROR(__xludf.DUMMYFUNCTION("""COMPUTED_VALUE"""),"A Saya suka bermurah hati terhadap teman-teman saya.")</f>
        <v>A Saya suka bermurah hati terhadap teman-teman saya.</v>
      </c>
      <c r="BJ10" s="95" t="str">
        <f>IFERROR(__xludf.DUMMYFUNCTION("""COMPUTED_VALUE"""),"A Saya ingin mengerjakan tugas sampai selesai.")</f>
        <v>A Saya ingin mengerjakan tugas sampai selesai.</v>
      </c>
      <c r="BK10" s="95" t="str">
        <f>IFERROR(__xludf.DUMMYFUNCTION("""COMPUTED_VALUE"""),"A Saya ingin menyelesaikan pekerjaan satu persatu sebelum memulai yang lain.")</f>
        <v>A Saya ingin menyelesaikan pekerjaan satu persatu sebelum memulai yang lain.</v>
      </c>
      <c r="BL10" s="95" t="str">
        <f>IFERROR(__xludf.DUMMYFUNCTION("""COMPUTED_VALUE"""),"A Saya suka belajar saya teratur dan ada waktu-waktu tertentu untuk belajar.")</f>
        <v>A Saya suka belajar saya teratur dan ada waktu-waktu tertentu untuk belajar.</v>
      </c>
      <c r="BM10" s="95" t="str">
        <f>IFERROR(__xludf.DUMMYFUNCTION("""COMPUTED_VALUE"""),"A Saya suka melakukan pekerjaan sebaik mungkin.")</f>
        <v>A Saya suka melakukan pekerjaan sebaik mungkin.</v>
      </c>
      <c r="BN10" s="95" t="str">
        <f>IFERROR(__xludf.DUMMYFUNCTION("""COMPUTED_VALUE"""),"B Saya ingin teman-teman memberi dorongan bila saya menghadapi kegagalan.")</f>
        <v>B Saya ingin teman-teman memberi dorongan bila saya menghadapi kegagalan.</v>
      </c>
      <c r="BO10" s="95" t="str">
        <f>IFERROR(__xludf.DUMMYFUNCTION("""COMPUTED_VALUE"""),"B Saya ingin diperlakukan dengan baik oleh teman-teman saya.")</f>
        <v>B Saya ingin diperlakukan dengan baik oleh teman-teman saya.</v>
      </c>
      <c r="BP10" s="95" t="str">
        <f>IFERROR(__xludf.DUMMYFUNCTION("""COMPUTED_VALUE"""),"A Saya ingin menyelesaikan sesuatu yang sangat penting artinya.")</f>
        <v>A Saya ingin menyelesaikan sesuatu yang sangat penting artinya.</v>
      </c>
      <c r="BQ10" s="95" t="str">
        <f>IFERROR(__xludf.DUMMYFUNCTION("""COMPUTED_VALUE"""),"A Saya ingin mengerjakannya tugas sampai selesai.")</f>
        <v>A Saya ingin mengerjakannya tugas sampai selesai.</v>
      </c>
      <c r="BR10" s="95" t="str">
        <f>IFERROR(__xludf.DUMMYFUNCTION("""COMPUTED_VALUE"""),"A Saya suka memaafkan teman-teman saya yang menyakiti hati saya.")</f>
        <v>A Saya suka memaafkan teman-teman saya yang menyakiti hati saya.</v>
      </c>
      <c r="BS10" s="95" t="str">
        <f>IFERROR(__xludf.DUMMYFUNCTION("""COMPUTED_VALUE"""),"B Saya ingin teman-teman saya membantu saya bila saya mengalami kesulitan")</f>
        <v>B Saya ingin teman-teman saya membantu saya bila saya mengalami kesulitan</v>
      </c>
      <c r="BT10" s="95" t="str">
        <f>IFERROR(__xludf.DUMMYFUNCTION("""COMPUTED_VALUE"""),"B Saya ingin teman-teman banyak menunjukkan rasa sayang mereka terhadap saya.")</f>
        <v>B Saya ingin teman-teman banyak menunjukkan rasa sayang mereka terhadap saya.</v>
      </c>
      <c r="BU10" s="95" t="str">
        <f>IFERROR(__xludf.DUMMYFUNCTION("""COMPUTED_VALUE"""),"A Saya kadang-kadang suka melakukan hal-hal yang dapat dipuji oleh orang lain.")</f>
        <v>A Saya kadang-kadang suka melakukan hal-hal yang dapat dipuji oleh orang lain.</v>
      </c>
      <c r="BV10" s="95" t="str">
        <f>IFERROR(__xludf.DUMMYFUNCTION("""COMPUTED_VALUE"""),"B Saya ingin teman-teman dengan gembira memberikan pertolongan kepada saya.")</f>
        <v>B Saya ingin teman-teman dengan gembira memberikan pertolongan kepada saya.</v>
      </c>
      <c r="BW10" s="95" t="str">
        <f>IFERROR(__xludf.DUMMYFUNCTION("""COMPUTED_VALUE"""),"B Saya ingin diperlakukan dengan baik oleh teman-teman saya.")</f>
        <v>B Saya ingin diperlakukan dengan baik oleh teman-teman saya.</v>
      </c>
      <c r="BX10" s="95" t="str">
        <f>IFERROR(__xludf.DUMMYFUNCTION("""COMPUTED_VALUE"""),"B Saya kadang-kadang suka melakukan hal-hal yang dapat dipuji oleh orang lain.")</f>
        <v>B Saya kadang-kadang suka melakukan hal-hal yang dapat dipuji oleh orang lain.</v>
      </c>
      <c r="BY10" s="95" t="str">
        <f>IFERROR(__xludf.DUMMYFUNCTION("""COMPUTED_VALUE"""),"B Saya ingin orang lain memperhatikan dan berkomentar tentang penampilan saya.")</f>
        <v>B Saya ingin orang lain memperhatikan dan berkomentar tentang penampilan saya.</v>
      </c>
      <c r="BZ10" s="95" t="str">
        <f>IFERROR(__xludf.DUMMYFUNCTION("""COMPUTED_VALUE"""),"B Saya suka diperhatikan, apabila saya ada di dalam suatu kelompok.")</f>
        <v>B Saya suka diperhatikan, apabila saya ada di dalam suatu kelompok.</v>
      </c>
      <c r="CA10" s="95" t="str">
        <f>IFERROR(__xludf.DUMMYFUNCTION("""COMPUTED_VALUE"""),"A Saya ingin teman-teman dengan gembira memberikan pertolongan kepada saya.")</f>
        <v>A Saya ingin teman-teman dengan gembira memberikan pertolongan kepada saya.</v>
      </c>
      <c r="CB10" s="95" t="str">
        <f>IFERROR(__xludf.DUMMYFUNCTION("""COMPUTED_VALUE"""),"B Saya suka berbicara tentang hal-hal yang telah saya capai.")</f>
        <v>B Saya suka berbicara tentang hal-hal yang telah saya capai.</v>
      </c>
      <c r="CC10" s="95" t="str">
        <f>IFERROR(__xludf.DUMMYFUNCTION("""COMPUTED_VALUE"""),"A Apabila saya berkumpul dalam kelompok, saya ingin dihargai teman-teman.")</f>
        <v>A Apabila saya berkumpul dalam kelompok, saya ingin dihargai teman-teman.</v>
      </c>
      <c r="CD10" s="95" t="str">
        <f>IFERROR(__xludf.DUMMYFUNCTION("""COMPUTED_VALUE"""),"A Saya suka menyelesaikan setiap tugas meskipun membutuhkan waktu lama.")</f>
        <v>A Saya suka menyelesaikan setiap tugas meskipun membutuhkan waktu lama.</v>
      </c>
      <c r="CE10" s="95" t="str">
        <f>IFERROR(__xludf.DUMMYFUNCTION("""COMPUTED_VALUE"""),"A Saya suka menyelesaikan setiap tugas belajar yang telah saya mulai.")</f>
        <v>A Saya suka menyelesaikan setiap tugas belajar yang telah saya mulai.</v>
      </c>
      <c r="CF10" s="95" t="str">
        <f>IFERROR(__xludf.DUMMYFUNCTION("""COMPUTED_VALUE"""),"A Saya ingin agar hidup saya teratur sesuai cita-cita saya.")</f>
        <v>A Saya ingin agar hidup saya teratur sesuai cita-cita saya.</v>
      </c>
      <c r="CG10" s="95" t="str">
        <f>IFERROR(__xludf.DUMMYFUNCTION("""COMPUTED_VALUE"""),"A Saya ingin berhasil dalam apa yang saya lakukan.")</f>
        <v>A Saya ingin berhasil dalam apa yang saya lakukan.</v>
      </c>
      <c r="CH10" s="95" t="str">
        <f>IFERROR(__xludf.DUMMYFUNCTION("""COMPUTED_VALUE"""),"A Saya ingin bisa melakukan dengan baik sesuatu pekerjaan sulit.")</f>
        <v>A Saya ingin bisa melakukan dengan baik sesuatu pekerjaan sulit.</v>
      </c>
      <c r="CI10" s="95" t="str">
        <f>IFERROR(__xludf.DUMMYFUNCTION("""COMPUTED_VALUE"""),"A Saya suka belajar saya teratur dan ada waktu-waktu tertentu untuk belajar.")</f>
        <v>A Saya suka belajar saya teratur dan ada waktu-waktu tertentu untuk belajar.</v>
      </c>
      <c r="CJ10" s="95" t="str">
        <f>IFERROR(__xludf.DUMMYFUNCTION("""COMPUTED_VALUE"""),"A Saya ingin tidak tergantung dari orang lain terhadap apa yang akan saya lakukan.")</f>
        <v>A Saya ingin tidak tergantung dari orang lain terhadap apa yang akan saya lakukan.</v>
      </c>
      <c r="CK10" s="95" t="str">
        <f>IFERROR(__xludf.DUMMYFUNCTION("""COMPUTED_VALUE"""),"B Saya senang ikut beraktivitas bersama teman sebaya saya.")</f>
        <v>B Saya senang ikut beraktivitas bersama teman sebaya saya.</v>
      </c>
      <c r="CL10" s="95" t="str">
        <f>IFERROR(__xludf.DUMMYFUNCTION("""COMPUTED_VALUE"""),"A Saya suka menolong teman-teman saya, apabila mereka dalam kesulitan.")</f>
        <v>A Saya suka menolong teman-teman saya, apabila mereka dalam kesulitan.</v>
      </c>
      <c r="CM10" s="95" t="str">
        <f>IFERROR(__xludf.DUMMYFUNCTION("""COMPUTED_VALUE"""),"B Saya merasa kagum pada seseorang.")</f>
        <v>B Saya merasa kagum pada seseorang.</v>
      </c>
      <c r="CN10" s="95" t="str">
        <f>IFERROR(__xludf.DUMMYFUNCTION("""COMPUTED_VALUE"""),"A Saya ingin diperlakukan dengan baik oleh teman-teman saya.")</f>
        <v>A Saya ingin diperlakukan dengan baik oleh teman-teman saya.</v>
      </c>
      <c r="CO10" s="95" t="str">
        <f>IFERROR(__xludf.DUMMYFUNCTION("""COMPUTED_VALUE"""),"B Saya suka memuji orang yang saya kagumi.")</f>
        <v>B Saya suka memuji orang yang saya kagumi.</v>
      </c>
      <c r="CP10" s="95" t="str">
        <f>IFERROR(__xludf.DUMMYFUNCTION("""COMPUTED_VALUE"""),"B Saya ingin dianggap menarik oleh orang lain.")</f>
        <v>B Saya ingin dianggap menarik oleh orang lain.</v>
      </c>
      <c r="CQ10" s="95" t="str">
        <f>IFERROR(__xludf.DUMMYFUNCTION("""COMPUTED_VALUE"""),"B Saya merasa kagum pada seseorang.")</f>
        <v>B Saya merasa kagum pada seseorang.</v>
      </c>
      <c r="CR10" s="95" t="str">
        <f>IFERROR(__xludf.DUMMYFUNCTION("""COMPUTED_VALUE"""),"B Saya rasanya ingin mengecam seseorang bila orang itu menjengkelkan.")</f>
        <v>B Saya rasanya ingin mengecam seseorang bila orang itu menjengkelkan.</v>
      </c>
      <c r="CS10" s="95" t="str">
        <f>IFERROR(__xludf.DUMMYFUNCTION("""COMPUTED_VALUE"""),"A Saya ingin terlihat menarik di depan teman-teman saya.")</f>
        <v>A Saya ingin terlihat menarik di depan teman-teman saya.</v>
      </c>
      <c r="CT10" s="95" t="str">
        <f>IFERROR(__xludf.DUMMYFUNCTION("""COMPUTED_VALUE"""),"A Saya ingin orang-orang memperhatikan komentar mengenai penampilan saya.")</f>
        <v>A Saya ingin orang-orang memperhatikan komentar mengenai penampilan saya.</v>
      </c>
      <c r="CU10" s="95" t="str">
        <f>IFERROR(__xludf.DUMMYFUNCTION("""COMPUTED_VALUE"""),"A Saya ingin diperlakukan dengan ramah oleh teman-teman saya.")</f>
        <v>A Saya ingin diperlakukan dengan ramah oleh teman-teman saya.</v>
      </c>
      <c r="CV10" s="95" t="str">
        <f>IFERROR(__xludf.DUMMYFUNCTION("""COMPUTED_VALUE"""),"A Saya ingin ditunjuk atau dipilih sebagai ketua dalam suatu kelompok.")</f>
        <v>A Saya ingin ditunjuk atau dipilih sebagai ketua dalam suatu kelompok.</v>
      </c>
      <c r="CW10" s="95" t="str">
        <f>IFERROR(__xludf.DUMMYFUNCTION("""COMPUTED_VALUE"""),"A Saya suka menolong teman-teman saya, apabila mereka dalam kesulitan.")</f>
        <v>A Saya suka menolong teman-teman saya, apabila mereka dalam kesulitan.</v>
      </c>
      <c r="CX10" s="95" t="str">
        <f>IFERROR(__xludf.DUMMYFUNCTION("""COMPUTED_VALUE"""),"A Saya suka belajar sampai malam untuk menyelesaikan suatu tugas.")</f>
        <v>A Saya suka belajar sampai malam untuk menyelesaikan suatu tugas.</v>
      </c>
      <c r="CY10" s="95" t="str">
        <f>IFERROR(__xludf.DUMMYFUNCTION("""COMPUTED_VALUE"""),"A Saya ingin tidak tergantung dari orang lain terhadap apa yang akan saya lakukan.")</f>
        <v>A Saya ingin tidak tergantung dari orang lain terhadap apa yang akan saya lakukan.</v>
      </c>
      <c r="CZ10" s="95" t="str">
        <f>IFERROR(__xludf.DUMMYFUNCTION("""COMPUTED_VALUE"""),"A Saya suka merencanakan dan mengatur setiap pekerjaan yang harus saya lakukan.")</f>
        <v>A Saya suka merencanakan dan mengatur setiap pekerjaan yang harus saya lakukan.</v>
      </c>
      <c r="DA10" s="95" t="str">
        <f>IFERROR(__xludf.DUMMYFUNCTION("""COMPUTED_VALUE"""),"A Saya ingin melakukan apa saja sebaik mungkin.")</f>
        <v>A Saya ingin melakukan apa saja sebaik mungkin.</v>
      </c>
      <c r="DB10" s="89" t="s">
        <v>23</v>
      </c>
      <c r="DC10" s="97" t="str">
        <f t="shared" ref="DC10:GX10" si="55">LEFT(F10,1)</f>
        <v>B</v>
      </c>
      <c r="DD10" s="97" t="str">
        <f t="shared" si="55"/>
        <v>A</v>
      </c>
      <c r="DE10" s="97" t="str">
        <f t="shared" si="55"/>
        <v>B</v>
      </c>
      <c r="DF10" s="97" t="str">
        <f t="shared" si="55"/>
        <v>A</v>
      </c>
      <c r="DG10" s="97" t="str">
        <f t="shared" si="55"/>
        <v>A</v>
      </c>
      <c r="DH10" s="97" t="str">
        <f t="shared" si="55"/>
        <v>B</v>
      </c>
      <c r="DI10" s="97" t="str">
        <f t="shared" si="55"/>
        <v>B</v>
      </c>
      <c r="DJ10" s="97" t="str">
        <f t="shared" si="55"/>
        <v>B</v>
      </c>
      <c r="DK10" s="97" t="str">
        <f t="shared" si="55"/>
        <v>B</v>
      </c>
      <c r="DL10" s="97" t="str">
        <f t="shared" si="55"/>
        <v>B</v>
      </c>
      <c r="DM10" s="97" t="str">
        <f t="shared" si="55"/>
        <v>B</v>
      </c>
      <c r="DN10" s="97" t="str">
        <f t="shared" si="55"/>
        <v>B</v>
      </c>
      <c r="DO10" s="97" t="str">
        <f t="shared" si="55"/>
        <v>B</v>
      </c>
      <c r="DP10" s="97" t="str">
        <f t="shared" si="55"/>
        <v>B</v>
      </c>
      <c r="DQ10" s="97" t="str">
        <f t="shared" si="55"/>
        <v>A</v>
      </c>
      <c r="DR10" s="97" t="str">
        <f t="shared" si="55"/>
        <v>A</v>
      </c>
      <c r="DS10" s="97" t="str">
        <f t="shared" si="55"/>
        <v>B</v>
      </c>
      <c r="DT10" s="97" t="str">
        <f t="shared" si="55"/>
        <v>B</v>
      </c>
      <c r="DU10" s="97" t="str">
        <f t="shared" si="55"/>
        <v>B</v>
      </c>
      <c r="DV10" s="97" t="str">
        <f t="shared" si="55"/>
        <v>A</v>
      </c>
      <c r="DW10" s="97" t="str">
        <f t="shared" si="55"/>
        <v>A</v>
      </c>
      <c r="DX10" s="97" t="str">
        <f t="shared" si="55"/>
        <v>A</v>
      </c>
      <c r="DY10" s="97" t="str">
        <f t="shared" si="55"/>
        <v>A</v>
      </c>
      <c r="DZ10" s="97" t="str">
        <f t="shared" si="55"/>
        <v>A</v>
      </c>
      <c r="EA10" s="97" t="str">
        <f t="shared" si="55"/>
        <v>A</v>
      </c>
      <c r="EB10" s="97" t="str">
        <f t="shared" si="55"/>
        <v>A</v>
      </c>
      <c r="EC10" s="97" t="str">
        <f t="shared" si="55"/>
        <v>A</v>
      </c>
      <c r="ED10" s="97" t="str">
        <f t="shared" si="55"/>
        <v>A</v>
      </c>
      <c r="EE10" s="97" t="str">
        <f t="shared" si="55"/>
        <v>A</v>
      </c>
      <c r="EF10" s="97" t="str">
        <f t="shared" si="55"/>
        <v>B</v>
      </c>
      <c r="EG10" s="97" t="str">
        <f t="shared" si="55"/>
        <v>B</v>
      </c>
      <c r="EH10" s="97" t="str">
        <f t="shared" si="55"/>
        <v>B</v>
      </c>
      <c r="EI10" s="97" t="str">
        <f t="shared" si="55"/>
        <v>B</v>
      </c>
      <c r="EJ10" s="97" t="str">
        <f t="shared" si="55"/>
        <v>B</v>
      </c>
      <c r="EK10" s="97" t="str">
        <f t="shared" si="55"/>
        <v>B</v>
      </c>
      <c r="EL10" s="97" t="str">
        <f t="shared" si="55"/>
        <v>A</v>
      </c>
      <c r="EM10" s="97" t="str">
        <f t="shared" si="55"/>
        <v>A</v>
      </c>
      <c r="EN10" s="97" t="str">
        <f t="shared" si="55"/>
        <v>A</v>
      </c>
      <c r="EO10" s="97" t="str">
        <f t="shared" si="55"/>
        <v>B</v>
      </c>
      <c r="EP10" s="97" t="str">
        <f t="shared" si="55"/>
        <v>B</v>
      </c>
      <c r="EQ10" s="97" t="str">
        <f t="shared" si="55"/>
        <v>B</v>
      </c>
      <c r="ER10" s="97" t="str">
        <f t="shared" si="55"/>
        <v>B</v>
      </c>
      <c r="ES10" s="97" t="str">
        <f t="shared" si="55"/>
        <v>B</v>
      </c>
      <c r="ET10" s="97" t="str">
        <f t="shared" si="55"/>
        <v>B</v>
      </c>
      <c r="EU10" s="97" t="str">
        <f t="shared" si="55"/>
        <v>A</v>
      </c>
      <c r="EV10" s="97" t="str">
        <f t="shared" si="55"/>
        <v>B</v>
      </c>
      <c r="EW10" s="97" t="str">
        <f t="shared" si="55"/>
        <v>B</v>
      </c>
      <c r="EX10" s="97" t="str">
        <f t="shared" si="55"/>
        <v>B</v>
      </c>
      <c r="EY10" s="97" t="str">
        <f t="shared" si="55"/>
        <v>B</v>
      </c>
      <c r="EZ10" s="97" t="str">
        <f t="shared" si="55"/>
        <v>B</v>
      </c>
      <c r="FA10" s="97" t="str">
        <f t="shared" si="55"/>
        <v>B</v>
      </c>
      <c r="FB10" s="97" t="str">
        <f t="shared" si="55"/>
        <v>B</v>
      </c>
      <c r="FC10" s="97" t="str">
        <f t="shared" si="55"/>
        <v>A</v>
      </c>
      <c r="FD10" s="97" t="str">
        <f t="shared" si="55"/>
        <v>B</v>
      </c>
      <c r="FE10" s="97" t="str">
        <f t="shared" si="55"/>
        <v>B</v>
      </c>
      <c r="FF10" s="97" t="str">
        <f t="shared" si="55"/>
        <v>A</v>
      </c>
      <c r="FG10" s="97" t="str">
        <f t="shared" si="55"/>
        <v>A</v>
      </c>
      <c r="FH10" s="97" t="str">
        <f t="shared" si="55"/>
        <v>A</v>
      </c>
      <c r="FI10" s="97" t="str">
        <f t="shared" si="55"/>
        <v>A</v>
      </c>
      <c r="FJ10" s="97" t="str">
        <f t="shared" si="55"/>
        <v>A</v>
      </c>
      <c r="FK10" s="97" t="str">
        <f t="shared" si="55"/>
        <v>B</v>
      </c>
      <c r="FL10" s="97" t="str">
        <f t="shared" si="55"/>
        <v>B</v>
      </c>
      <c r="FM10" s="97" t="str">
        <f t="shared" si="55"/>
        <v>A</v>
      </c>
      <c r="FN10" s="97" t="str">
        <f t="shared" si="55"/>
        <v>A</v>
      </c>
      <c r="FO10" s="97" t="str">
        <f t="shared" si="55"/>
        <v>A</v>
      </c>
      <c r="FP10" s="97" t="str">
        <f t="shared" si="55"/>
        <v>B</v>
      </c>
      <c r="FQ10" s="97" t="str">
        <f t="shared" si="55"/>
        <v>B</v>
      </c>
      <c r="FR10" s="97" t="str">
        <f t="shared" si="55"/>
        <v>A</v>
      </c>
      <c r="FS10" s="97" t="str">
        <f t="shared" si="55"/>
        <v>B</v>
      </c>
      <c r="FT10" s="97" t="str">
        <f t="shared" si="55"/>
        <v>B</v>
      </c>
      <c r="FU10" s="97" t="str">
        <f t="shared" si="55"/>
        <v>B</v>
      </c>
      <c r="FV10" s="97" t="str">
        <f t="shared" si="55"/>
        <v>B</v>
      </c>
      <c r="FW10" s="97" t="str">
        <f t="shared" si="55"/>
        <v>B</v>
      </c>
      <c r="FX10" s="97" t="str">
        <f t="shared" si="55"/>
        <v>A</v>
      </c>
      <c r="FY10" s="97" t="str">
        <f t="shared" si="55"/>
        <v>B</v>
      </c>
      <c r="FZ10" s="97" t="str">
        <f t="shared" si="55"/>
        <v>A</v>
      </c>
      <c r="GA10" s="97" t="str">
        <f t="shared" si="55"/>
        <v>A</v>
      </c>
      <c r="GB10" s="97" t="str">
        <f t="shared" si="55"/>
        <v>A</v>
      </c>
      <c r="GC10" s="97" t="str">
        <f t="shared" si="55"/>
        <v>A</v>
      </c>
      <c r="GD10" s="97" t="str">
        <f t="shared" si="55"/>
        <v>A</v>
      </c>
      <c r="GE10" s="97" t="str">
        <f t="shared" si="55"/>
        <v>A</v>
      </c>
      <c r="GF10" s="97" t="str">
        <f t="shared" si="55"/>
        <v>A</v>
      </c>
      <c r="GG10" s="97" t="str">
        <f t="shared" si="55"/>
        <v>A</v>
      </c>
      <c r="GH10" s="97" t="str">
        <f t="shared" si="55"/>
        <v>B</v>
      </c>
      <c r="GI10" s="97" t="str">
        <f t="shared" si="55"/>
        <v>A</v>
      </c>
      <c r="GJ10" s="97" t="str">
        <f t="shared" si="55"/>
        <v>B</v>
      </c>
      <c r="GK10" s="97" t="str">
        <f t="shared" si="55"/>
        <v>A</v>
      </c>
      <c r="GL10" s="97" t="str">
        <f t="shared" si="55"/>
        <v>B</v>
      </c>
      <c r="GM10" s="97" t="str">
        <f t="shared" si="55"/>
        <v>B</v>
      </c>
      <c r="GN10" s="97" t="str">
        <f t="shared" si="55"/>
        <v>B</v>
      </c>
      <c r="GO10" s="97" t="str">
        <f t="shared" si="55"/>
        <v>B</v>
      </c>
      <c r="GP10" s="97" t="str">
        <f t="shared" si="55"/>
        <v>A</v>
      </c>
      <c r="GQ10" s="97" t="str">
        <f t="shared" si="55"/>
        <v>A</v>
      </c>
      <c r="GR10" s="97" t="str">
        <f t="shared" si="55"/>
        <v>A</v>
      </c>
      <c r="GS10" s="97" t="str">
        <f t="shared" si="55"/>
        <v>A</v>
      </c>
      <c r="GT10" s="97" t="str">
        <f t="shared" si="55"/>
        <v>A</v>
      </c>
      <c r="GU10" s="97" t="str">
        <f t="shared" si="55"/>
        <v>A</v>
      </c>
      <c r="GV10" s="97" t="str">
        <f t="shared" si="55"/>
        <v>A</v>
      </c>
      <c r="GW10" s="97" t="str">
        <f t="shared" si="55"/>
        <v>A</v>
      </c>
      <c r="GX10" s="97" t="str">
        <f t="shared" si="55"/>
        <v>A</v>
      </c>
      <c r="GY10" s="98"/>
      <c r="GZ10" s="97">
        <f t="shared" si="3"/>
        <v>49</v>
      </c>
      <c r="HA10" s="97">
        <f t="shared" si="4"/>
        <v>51</v>
      </c>
      <c r="HB10" s="90">
        <f t="shared" si="5"/>
        <v>100</v>
      </c>
      <c r="HC10" s="99"/>
      <c r="HD10" s="97">
        <f t="shared" si="6"/>
        <v>6</v>
      </c>
      <c r="HE10" s="97">
        <f t="shared" si="7"/>
        <v>6</v>
      </c>
      <c r="HF10" s="90">
        <f t="shared" si="8"/>
        <v>12</v>
      </c>
      <c r="HG10" s="99"/>
      <c r="HH10" s="97">
        <f t="shared" si="9"/>
        <v>6</v>
      </c>
      <c r="HI10" s="97">
        <f t="shared" si="10"/>
        <v>7</v>
      </c>
      <c r="HJ10" s="90">
        <f t="shared" si="11"/>
        <v>13</v>
      </c>
      <c r="HK10" s="99"/>
      <c r="HL10" s="97">
        <f t="shared" si="12"/>
        <v>6</v>
      </c>
      <c r="HM10" s="97">
        <f t="shared" si="13"/>
        <v>1</v>
      </c>
      <c r="HN10" s="90">
        <f t="shared" si="14"/>
        <v>7</v>
      </c>
      <c r="HO10" s="99"/>
      <c r="HP10" s="97">
        <f t="shared" si="15"/>
        <v>6</v>
      </c>
      <c r="HQ10" s="97">
        <f t="shared" si="16"/>
        <v>7</v>
      </c>
      <c r="HR10" s="90">
        <f t="shared" si="17"/>
        <v>13</v>
      </c>
      <c r="HS10" s="99"/>
      <c r="HT10" s="97">
        <f t="shared" si="18"/>
        <v>9</v>
      </c>
      <c r="HU10" s="97">
        <f t="shared" si="19"/>
        <v>9</v>
      </c>
      <c r="HV10" s="90">
        <f t="shared" si="20"/>
        <v>18</v>
      </c>
      <c r="HW10" s="99"/>
      <c r="HX10" s="97">
        <f t="shared" si="21"/>
        <v>3</v>
      </c>
      <c r="HY10" s="97">
        <f t="shared" si="22"/>
        <v>4</v>
      </c>
      <c r="HZ10" s="90">
        <f t="shared" si="23"/>
        <v>7</v>
      </c>
      <c r="IA10" s="99"/>
      <c r="IB10" s="97">
        <f t="shared" si="24"/>
        <v>4</v>
      </c>
      <c r="IC10" s="97">
        <f t="shared" si="25"/>
        <v>6</v>
      </c>
      <c r="ID10" s="90">
        <f t="shared" si="26"/>
        <v>10</v>
      </c>
      <c r="IE10" s="99"/>
      <c r="IF10" s="97">
        <f t="shared" si="27"/>
        <v>4</v>
      </c>
      <c r="IG10" s="97">
        <f t="shared" si="28"/>
        <v>4</v>
      </c>
      <c r="IH10" s="90">
        <f t="shared" si="29"/>
        <v>8</v>
      </c>
      <c r="II10" s="99"/>
      <c r="IJ10" s="97">
        <f t="shared" si="30"/>
        <v>2</v>
      </c>
      <c r="IK10" s="97">
        <f t="shared" si="31"/>
        <v>5</v>
      </c>
      <c r="IL10" s="90">
        <f t="shared" si="32"/>
        <v>7</v>
      </c>
      <c r="IM10" s="99"/>
      <c r="IN10" s="97">
        <f t="shared" si="33"/>
        <v>0</v>
      </c>
      <c r="IO10" s="97">
        <f t="shared" si="34"/>
        <v>1</v>
      </c>
      <c r="IP10" s="90">
        <f t="shared" si="35"/>
        <v>1</v>
      </c>
      <c r="IQ10" s="99"/>
      <c r="IR10" s="99"/>
      <c r="IS10" s="100">
        <f t="shared" si="36"/>
        <v>12</v>
      </c>
      <c r="IT10" s="100">
        <f t="shared" si="37"/>
        <v>13</v>
      </c>
      <c r="IU10" s="100">
        <f t="shared" si="38"/>
        <v>7</v>
      </c>
      <c r="IV10" s="100">
        <f t="shared" si="39"/>
        <v>13</v>
      </c>
      <c r="IW10" s="100">
        <f t="shared" si="40"/>
        <v>18</v>
      </c>
      <c r="IX10" s="100">
        <f t="shared" si="41"/>
        <v>7</v>
      </c>
      <c r="IY10" s="100">
        <f t="shared" si="42"/>
        <v>10</v>
      </c>
      <c r="IZ10" s="100">
        <f t="shared" si="43"/>
        <v>8</v>
      </c>
      <c r="JA10" s="100">
        <f t="shared" si="44"/>
        <v>7</v>
      </c>
      <c r="JB10" s="101">
        <f t="shared" si="45"/>
        <v>1</v>
      </c>
      <c r="JC10" s="102">
        <f t="shared" si="46"/>
        <v>96</v>
      </c>
      <c r="JD10" s="67">
        <f t="shared" si="50"/>
        <v>0</v>
      </c>
      <c r="JE10" s="67">
        <f t="shared" si="47"/>
        <v>1</v>
      </c>
      <c r="JF10" s="67">
        <f t="shared" si="48"/>
        <v>1</v>
      </c>
    </row>
    <row r="11">
      <c r="A11" s="103">
        <f>IFERROR(__xludf.DUMMYFUNCTION("""COMPUTED_VALUE"""),45920.471481875)</f>
        <v>45920.47148</v>
      </c>
      <c r="B11" s="95" t="str">
        <f>IFERROR(__xludf.DUMMYFUNCTION("""COMPUTED_VALUE"""),"Azka Ulinnuha")</f>
        <v>Azka Ulinnuha</v>
      </c>
      <c r="C11" s="96" t="str">
        <f>IFERROR(__xludf.DUMMYFUNCTION("""COMPUTED_VALUE"""),"B250009")</f>
        <v>B250009</v>
      </c>
      <c r="D11" s="96" t="str">
        <f>IFERROR(__xludf.DUMMYFUNCTION("""COMPUTED_VALUE"""),"IL Putra")</f>
        <v>IL Putra</v>
      </c>
      <c r="E11" s="96" t="str">
        <f>IFERROR(__xludf.DUMMYFUNCTION("""COMPUTED_VALUE"""),"Ya")</f>
        <v>Ya</v>
      </c>
      <c r="F11" s="95" t="str">
        <f>IFERROR(__xludf.DUMMYFUNCTION("""COMPUTED_VALUE"""),"A Saya ingin mengerjakan segala tugas lebih baik daripada orang lain.")</f>
        <v>A Saya ingin mengerjakan segala tugas lebih baik daripada orang lain.</v>
      </c>
      <c r="G11" s="95" t="str">
        <f>IFERROR(__xludf.DUMMYFUNCTION("""COMPUTED_VALUE"""),"A Saya ingin setiap tulisan saya teliti, rapi, dan tersusun dengan baik.")</f>
        <v>A Saya ingin setiap tulisan saya teliti, rapi, dan tersusun dengan baik.</v>
      </c>
      <c r="H11" s="95" t="str">
        <f>IFERROR(__xludf.DUMMYFUNCTION("""COMPUTED_VALUE"""),"B Saya ingin menjadi orang yang diakui dalam suatu pekerjaan atau bidang khusus.")</f>
        <v>B Saya ingin menjadi orang yang diakui dalam suatu pekerjaan atau bidang khusus.</v>
      </c>
      <c r="I11" s="95" t="str">
        <f>IFERROR(__xludf.DUMMYFUNCTION("""COMPUTED_VALUE"""),"A Saya suka belajar keras pada tiap pelajaran yang saya hadapi.")</f>
        <v>A Saya suka belajar keras pada tiap pelajaran yang saya hadapi.</v>
      </c>
      <c r="J11" s="95" t="str">
        <f>IFERROR(__xludf.DUMMYFUNCTION("""COMPUTED_VALUE"""),"B Saya ingin mengerjakan tugas sebaik mungkin.")</f>
        <v>B Saya ingin mengerjakan tugas sebaik mungkin.</v>
      </c>
      <c r="K11" s="95" t="str">
        <f>IFERROR(__xludf.DUMMYFUNCTION("""COMPUTED_VALUE"""),"B Saya ingin mengatakan telah melakukan dengan baik sesuatu tugas yang sulit.")</f>
        <v>B Saya ingin mengatakan telah melakukan dengan baik sesuatu tugas yang sulit.</v>
      </c>
      <c r="L11" s="95" t="str">
        <f>IFERROR(__xludf.DUMMYFUNCTION("""COMPUTED_VALUE"""),"B Saya ingin mengatakan telah melakukan dengan baik sesuatu tugas yang sulit")</f>
        <v>B Saya ingin mengatakan telah melakukan dengan baik sesuatu tugas yang sulit</v>
      </c>
      <c r="M11" s="95" t="str">
        <f>IFERROR(__xludf.DUMMYFUNCTION("""COMPUTED_VALUE"""),"A Saya suka berbicara tentang hal-hal yang telah berhasil saya lakukan.")</f>
        <v>A Saya suka berbicara tentang hal-hal yang telah berhasil saya lakukan.</v>
      </c>
      <c r="N11" s="95" t="str">
        <f>IFERROR(__xludf.DUMMYFUNCTION("""COMPUTED_VALUE"""),"A Saya suka pergi dengan pakaian rapi agar lebih menarik perhatian orang lain.")</f>
        <v>A Saya suka pergi dengan pakaian rapi agar lebih menarik perhatian orang lain.</v>
      </c>
      <c r="O11" s="95" t="str">
        <f>IFERROR(__xludf.DUMMYFUNCTION("""COMPUTED_VALUE"""),"A Saya marah saat ada teman memperolok-olok hal-hal yang saya anggap bodoh.")</f>
        <v>A Saya marah saat ada teman memperolok-olok hal-hal yang saya anggap bodoh.</v>
      </c>
      <c r="P11" s="95" t="str">
        <f>IFERROR(__xludf.DUMMYFUNCTION("""COMPUTED_VALUE"""),"A Saya suka bercerita tentang hal-hal yang menegangkan atau menantang.")</f>
        <v>A Saya suka bercerita tentang hal-hal yang menegangkan atau menantang.</v>
      </c>
      <c r="Q11" s="95" t="str">
        <f>IFERROR(__xludf.DUMMYFUNCTION("""COMPUTED_VALUE"""),"B Saya merencanakan keperluan yang dibutuhkan sebelum bepergian.")</f>
        <v>B Saya merencanakan keperluan yang dibutuhkan sebelum bepergian.</v>
      </c>
      <c r="R11" s="95" t="str">
        <f>IFERROR(__xludf.DUMMYFUNCTION("""COMPUTED_VALUE"""),"B Saya suka barang-barang saya tersusun rapi dan teratur.")</f>
        <v>B Saya suka barang-barang saya tersusun rapi dan teratur.</v>
      </c>
      <c r="S11" s="95" t="str">
        <f>IFERROR(__xludf.DUMMYFUNCTION("""COMPUTED_VALUE"""),"B Saya suka membuat perencanaan sebelum memulai tugas yang sulit.")</f>
        <v>B Saya suka membuat perencanaan sebelum memulai tugas yang sulit.</v>
      </c>
      <c r="T11" s="95" t="str">
        <f>IFERROR(__xludf.DUMMYFUNCTION("""COMPUTED_VALUE"""),"B Saya ingin agar hidup saya teratur sesuai cita-cita saya.")</f>
        <v>B Saya ingin agar hidup saya teratur sesuai cita-cita saya.</v>
      </c>
      <c r="U11" s="95" t="str">
        <f>IFERROR(__xludf.DUMMYFUNCTION("""COMPUTED_VALUE"""),"A Saya suka memberikan bantuan kepada teman-teman saya.")</f>
        <v>A Saya suka memberikan bantuan kepada teman-teman saya.</v>
      </c>
      <c r="V11" s="95" t="str">
        <f>IFERROR(__xludf.DUMMYFUNCTION("""COMPUTED_VALUE"""),"B Saya suka belajar saya teratur dan ada waktu-waktu tertentu untuk belajar.")</f>
        <v>B Saya suka belajar saya teratur dan ada waktu-waktu tertentu untuk belajar.</v>
      </c>
      <c r="W11" s="95" t="str">
        <f>IFERROR(__xludf.DUMMYFUNCTION("""COMPUTED_VALUE"""),"B Saya ingin kegiatan itu teratur dan direncanakan.")</f>
        <v>B Saya ingin kegiatan itu teratur dan direncanakan.</v>
      </c>
      <c r="X11" s="95" t="str">
        <f>IFERROR(__xludf.DUMMYFUNCTION("""COMPUTED_VALUE"""),"B Saya ingin agar hidup saya teratur sesuai cita-cita saya.")</f>
        <v>B Saya ingin agar hidup saya teratur sesuai cita-cita saya.</v>
      </c>
      <c r="Y11" s="95" t="str">
        <f>IFERROR(__xludf.DUMMYFUNCTION("""COMPUTED_VALUE"""),"B Saya senang merencanakan untuk masa depan.")</f>
        <v>B Saya senang merencanakan untuk masa depan.</v>
      </c>
      <c r="Z11" s="95" t="str">
        <f>IFERROR(__xludf.DUMMYFUNCTION("""COMPUTED_VALUE"""),"A Saya ingin berhasil dengan belajar yang saya lakukan.")</f>
        <v>A Saya ingin berhasil dengan belajar yang saya lakukan.</v>
      </c>
      <c r="AA11" s="95" t="str">
        <f>IFERROR(__xludf.DUMMYFUNCTION("""COMPUTED_VALUE"""),"B Saya tidak suka pada orang yang berbuat seenaknya sendiri.")</f>
        <v>B Saya tidak suka pada orang yang berbuat seenaknya sendiri.</v>
      </c>
      <c r="AB11" s="95" t="str">
        <f>IFERROR(__xludf.DUMMYFUNCTION("""COMPUTED_VALUE"""),"A Saya ingin tidak tergantung dari orang lain terhadap apa yang akan saya lakukan.")</f>
        <v>A Saya ingin tidak tergantung dari orang lain terhadap apa yang akan saya lakukan.</v>
      </c>
      <c r="AC11" s="95" t="str">
        <f>IFERROR(__xludf.DUMMYFUNCTION("""COMPUTED_VALUE"""),"B Saya suka melakukan kegiatan sesuai kondisi yang saya inginkan.")</f>
        <v>B Saya suka melakukan kegiatan sesuai kondisi yang saya inginkan.</v>
      </c>
      <c r="AD11" s="95" t="str">
        <f>IFERROR(__xludf.DUMMYFUNCTION("""COMPUTED_VALUE"""),"A Saya suka bermurah hati terhadap teman-teman saya.")</f>
        <v>A Saya suka bermurah hati terhadap teman-teman saya.</v>
      </c>
      <c r="AE11" s="95" t="str">
        <f>IFERROR(__xludf.DUMMYFUNCTION("""COMPUTED_VALUE"""),"B Saya suka melakukan hal-hal yang dianggap orang lain tidak sesuai.")</f>
        <v>B Saya suka melakukan hal-hal yang dianggap orang lain tidak sesuai.</v>
      </c>
      <c r="AF11" s="95" t="str">
        <f>IFERROR(__xludf.DUMMYFUNCTION("""COMPUTED_VALUE"""),"A Saya ingin agar teman-teman mengerti bila saya mengalami kesukaran.")</f>
        <v>A Saya ingin agar teman-teman mengerti bila saya mengalami kesukaran.</v>
      </c>
      <c r="AG11" s="95" t="str">
        <f>IFERROR(__xludf.DUMMYFUNCTION("""COMPUTED_VALUE"""),"B Saya ingin berhasil dengan tugas yang saya lakukan.")</f>
        <v>B Saya ingin berhasil dengan tugas yang saya lakukan.</v>
      </c>
      <c r="AH11" s="95" t="str">
        <f>IFERROR(__xludf.DUMMYFUNCTION("""COMPUTED_VALUE"""),"B Saya ingin merasa bebas untuk melakukan apa yang saya kehendaki.")</f>
        <v>B Saya ingin merasa bebas untuk melakukan apa yang saya kehendaki.</v>
      </c>
      <c r="AI11" s="95" t="str">
        <f>IFERROR(__xludf.DUMMYFUNCTION("""COMPUTED_VALUE"""),"B Saya suka melakukan kegiatan sesuai kondisi yang saya inginkan.")</f>
        <v>B Saya suka melakukan kegiatan sesuai kondisi yang saya inginkan.</v>
      </c>
      <c r="AJ11" s="95" t="str">
        <f>IFERROR(__xludf.DUMMYFUNCTION("""COMPUTED_VALUE"""),"A Saya rasanya ingin membalas dendam bila seseorang menghina saya.")</f>
        <v>A Saya rasanya ingin membalas dendam bila seseorang menghina saya.</v>
      </c>
      <c r="AK11" s="95" t="str">
        <f>IFERROR(__xludf.DUMMYFUNCTION("""COMPUTED_VALUE"""),"B Bila saya harus melakukan suatu tugas, saya ingin mengerjakan sampai selesai.")</f>
        <v>B Bila saya harus melakukan suatu tugas, saya ingin mengerjakan sampai selesai.</v>
      </c>
      <c r="AL11" s="95" t="str">
        <f>IFERROR(__xludf.DUMMYFUNCTION("""COMPUTED_VALUE"""),"B Saya ingin menghindarkan gangguan bila saya sedang belajar.")</f>
        <v>B Saya ingin menghindarkan gangguan bila saya sedang belajar.</v>
      </c>
      <c r="AM11" s="95" t="str">
        <f>IFERROR(__xludf.DUMMYFUNCTION("""COMPUTED_VALUE"""),"B Saya suka belajar sampai malam untuk menyelesaikan suatu tugas.")</f>
        <v>B Saya suka belajar sampai malam untuk menyelesaikan suatu tugas.</v>
      </c>
      <c r="AN11" s="95" t="str">
        <f>IFERROR(__xludf.DUMMYFUNCTION("""COMPUTED_VALUE"""),"B Saya ingin bekerja berjam-jam tanpa diganggu.")</f>
        <v>B Saya ingin bekerja berjam-jam tanpa diganggu.</v>
      </c>
      <c r="AO11" s="95" t="str">
        <f>IFERROR(__xludf.DUMMYFUNCTION("""COMPUTED_VALUE"""),"B Saya suka menyelesaikan setiap tugas meskipun membutuhkan waktu lama.")</f>
        <v>B Saya suka menyelesaikan setiap tugas meskipun membutuhkan waktu lama.</v>
      </c>
      <c r="AP11" s="95" t="str">
        <f>IFERROR(__xludf.DUMMYFUNCTION("""COMPUTED_VALUE"""),"A Saya ingin mengerjakannya tugas sampai selesai.")</f>
        <v>A Saya ingin mengerjakannya tugas sampai selesai.</v>
      </c>
      <c r="AQ11" s="95" t="str">
        <f>IFERROR(__xludf.DUMMYFUNCTION("""COMPUTED_VALUE"""),"A Saya ingin bisa mengerjakan segala sesuatu lebih baik daripada orang-orang lain.")</f>
        <v>A Saya ingin bisa mengerjakan segala sesuatu lebih baik daripada orang-orang lain.</v>
      </c>
      <c r="AR11" s="95" t="str">
        <f>IFERROR(__xludf.DUMMYFUNCTION("""COMPUTED_VALUE"""),"B Saya suka belajar keras pada tiap pelajaran yang saya hadapi.")</f>
        <v>B Saya suka belajar keras pada tiap pelajaran yang saya hadapi.</v>
      </c>
      <c r="AS11" s="95" t="str">
        <f>IFERROR(__xludf.DUMMYFUNCTION("""COMPUTED_VALUE"""),"A Saya ingin dapat menyelesaikan persoalan yang dianggap sukar bagi orang lain.")</f>
        <v>A Saya ingin dapat menyelesaikan persoalan yang dianggap sukar bagi orang lain.</v>
      </c>
      <c r="AT11" s="95" t="str">
        <f>IFERROR(__xludf.DUMMYFUNCTION("""COMPUTED_VALUE"""),"B Saya suka membantu orang lain yang menurut saya perlu dikasihani.")</f>
        <v>B Saya suka membantu orang lain yang menurut saya perlu dikasihani.</v>
      </c>
      <c r="AU11" s="95" t="str">
        <f>IFERROR(__xludf.DUMMYFUNCTION("""COMPUTED_VALUE"""),"A Saya ingin menyelesaikan pekerjaan satu persatu sebelum memulai yang lain.")</f>
        <v>A Saya ingin menyelesaikan pekerjaan satu persatu sebelum memulai yang lain.</v>
      </c>
      <c r="AV11" s="95" t="str">
        <f>IFERROR(__xludf.DUMMYFUNCTION("""COMPUTED_VALUE"""),"A Saya ingin merasa bebas untuk melakukan apa yang saya kehendaki.")</f>
        <v>A Saya ingin merasa bebas untuk melakukan apa yang saya kehendaki.</v>
      </c>
      <c r="AW11" s="95" t="str">
        <f>IFERROR(__xludf.DUMMYFUNCTION("""COMPUTED_VALUE"""),"A Saya ingin mengerjakan tugas sampai selesai.")</f>
        <v>A Saya ingin mengerjakan tugas sampai selesai.</v>
      </c>
      <c r="AX11" s="95" t="str">
        <f>IFERROR(__xludf.DUMMYFUNCTION("""COMPUTED_VALUE"""),"A Saya suka menolong teman-teman saya apabila mereka dalam kesulitan.")</f>
        <v>A Saya suka menolong teman-teman saya apabila mereka dalam kesulitan.</v>
      </c>
      <c r="AY11" s="95" t="str">
        <f>IFERROR(__xludf.DUMMYFUNCTION("""COMPUTED_VALUE"""),"A Saya rasanya ingin marah saat tidak sesuai dengan hati.")</f>
        <v>A Saya rasanya ingin marah saat tidak sesuai dengan hati.</v>
      </c>
      <c r="AZ11" s="95" t="str">
        <f>IFERROR(__xludf.DUMMYFUNCTION("""COMPUTED_VALUE"""),"A Saya ingin agar teman-teman saya bersimpati dan menghibur saya bila saya sedih.")</f>
        <v>A Saya ingin agar teman-teman saya bersimpati dan menghibur saya bila saya sedih.</v>
      </c>
      <c r="BA11" s="95" t="str">
        <f>IFERROR(__xludf.DUMMYFUNCTION("""COMPUTED_VALUE"""),"B Saya suka memperlakukan orang lain dengan baik dan ramah.")</f>
        <v>B Saya suka memperlakukan orang lain dengan baik dan ramah.</v>
      </c>
      <c r="BB11" s="95" t="str">
        <f>IFERROR(__xludf.DUMMYFUNCTION("""COMPUTED_VALUE"""),"A Saya berkeinginan untuk bersama orang yang menarik bagi saya.")</f>
        <v>A Saya berkeinginan untuk bersama orang yang menarik bagi saya.</v>
      </c>
      <c r="BC11" s="95" t="str">
        <f>IFERROR(__xludf.DUMMYFUNCTION("""COMPUTED_VALUE"""),"A Saya rasanya ingin mengecam seseorang bila orang itu menjengkelkan.")</f>
        <v>A Saya rasanya ingin mengecam seseorang bila orang itu menjengkelkan.</v>
      </c>
      <c r="BD11" s="95" t="str">
        <f>IFERROR(__xludf.DUMMYFUNCTION("""COMPUTED_VALUE"""),"B Saya suka bersikukuh dengan pendirian saya.")</f>
        <v>B Saya suka bersikukuh dengan pendirian saya.</v>
      </c>
      <c r="BE11" s="95" t="str">
        <f>IFERROR(__xludf.DUMMYFUNCTION("""COMPUTED_VALUE"""),"B Saya ingin orang lain melakukan apa yang saya kehendaki.")</f>
        <v>B Saya ingin orang lain melakukan apa yang saya kehendaki.</v>
      </c>
      <c r="BF11" s="95" t="str">
        <f>IFERROR(__xludf.DUMMYFUNCTION("""COMPUTED_VALUE"""),"B Bila saya dalam kelompok, saya ingin menentukan apa yang akan kita lakukan.")</f>
        <v>B Bila saya dalam kelompok, saya ingin menentukan apa yang akan kita lakukan.</v>
      </c>
      <c r="BG11" s="95" t="str">
        <f>IFERROR(__xludf.DUMMYFUNCTION("""COMPUTED_VALUE"""),"A Saya ingin teman-teman banyak menunjukkan rasa sayang mereka terhadap saya.")</f>
        <v>A Saya ingin teman-teman banyak menunjukkan rasa sayang mereka terhadap saya.</v>
      </c>
      <c r="BH11" s="95" t="str">
        <f>IFERROR(__xludf.DUMMYFUNCTION("""COMPUTED_VALUE"""),"B Apabila saya berkumpul dalam kelompok, saya ingin dihargai teman-teman.")</f>
        <v>B Apabila saya berkumpul dalam kelompok, saya ingin dihargai teman-teman.</v>
      </c>
      <c r="BI11" s="95" t="str">
        <f>IFERROR(__xludf.DUMMYFUNCTION("""COMPUTED_VALUE"""),"A Saya suka bermurah hati terhadap teman-teman saya.")</f>
        <v>A Saya suka bermurah hati terhadap teman-teman saya.</v>
      </c>
      <c r="BJ11" s="95" t="str">
        <f>IFERROR(__xludf.DUMMYFUNCTION("""COMPUTED_VALUE"""),"A Saya ingin mengerjakan tugas sampai selesai.")</f>
        <v>A Saya ingin mengerjakan tugas sampai selesai.</v>
      </c>
      <c r="BK11" s="95" t="str">
        <f>IFERROR(__xludf.DUMMYFUNCTION("""COMPUTED_VALUE"""),"A Saya ingin menyelesaikan pekerjaan satu persatu sebelum memulai yang lain.")</f>
        <v>A Saya ingin menyelesaikan pekerjaan satu persatu sebelum memulai yang lain.</v>
      </c>
      <c r="BL11" s="95" t="str">
        <f>IFERROR(__xludf.DUMMYFUNCTION("""COMPUTED_VALUE"""),"A Saya suka belajar saya teratur dan ada waktu-waktu tertentu untuk belajar.")</f>
        <v>A Saya suka belajar saya teratur dan ada waktu-waktu tertentu untuk belajar.</v>
      </c>
      <c r="BM11" s="95" t="str">
        <f>IFERROR(__xludf.DUMMYFUNCTION("""COMPUTED_VALUE"""),"A Saya suka melakukan pekerjaan sebaik mungkin.")</f>
        <v>A Saya suka melakukan pekerjaan sebaik mungkin.</v>
      </c>
      <c r="BN11" s="95" t="str">
        <f>IFERROR(__xludf.DUMMYFUNCTION("""COMPUTED_VALUE"""),"A Saya suka mengerjakan teka-teki atau memecahkan persoalan sampai selesai.")</f>
        <v>A Saya suka mengerjakan teka-teki atau memecahkan persoalan sampai selesai.</v>
      </c>
      <c r="BO11" s="95" t="str">
        <f>IFERROR(__xludf.DUMMYFUNCTION("""COMPUTED_VALUE"""),"B Saya ingin diperlakukan dengan baik oleh teman-teman saya.")</f>
        <v>B Saya ingin diperlakukan dengan baik oleh teman-teman saya.</v>
      </c>
      <c r="BP11" s="95" t="str">
        <f>IFERROR(__xludf.DUMMYFUNCTION("""COMPUTED_VALUE"""),"A Saya ingin menyelesaikan sesuatu yang sangat penting artinya.")</f>
        <v>A Saya ingin menyelesaikan sesuatu yang sangat penting artinya.</v>
      </c>
      <c r="BQ11" s="95" t="str">
        <f>IFERROR(__xludf.DUMMYFUNCTION("""COMPUTED_VALUE"""),"A Saya ingin mengerjakannya tugas sampai selesai.")</f>
        <v>A Saya ingin mengerjakannya tugas sampai selesai.</v>
      </c>
      <c r="BR11" s="95" t="str">
        <f>IFERROR(__xludf.DUMMYFUNCTION("""COMPUTED_VALUE"""),"A Saya suka memaafkan teman-teman saya yang menyakiti hati saya.")</f>
        <v>A Saya suka memaafkan teman-teman saya yang menyakiti hati saya.</v>
      </c>
      <c r="BS11" s="95" t="str">
        <f>IFERROR(__xludf.DUMMYFUNCTION("""COMPUTED_VALUE"""),"B Saya ingin teman-teman saya membantu saya bila saya mengalami kesulitan")</f>
        <v>B Saya ingin teman-teman saya membantu saya bila saya mengalami kesulitan</v>
      </c>
      <c r="BT11" s="95" t="str">
        <f>IFERROR(__xludf.DUMMYFUNCTION("""COMPUTED_VALUE"""),"B Saya ingin teman-teman banyak menunjukkan rasa sayang mereka terhadap saya.")</f>
        <v>B Saya ingin teman-teman banyak menunjukkan rasa sayang mereka terhadap saya.</v>
      </c>
      <c r="BU11" s="95" t="str">
        <f>IFERROR(__xludf.DUMMYFUNCTION("""COMPUTED_VALUE"""),"A Saya kadang-kadang suka melakukan hal-hal yang dapat dipuji oleh orang lain.")</f>
        <v>A Saya kadang-kadang suka melakukan hal-hal yang dapat dipuji oleh orang lain.</v>
      </c>
      <c r="BV11" s="95" t="str">
        <f>IFERROR(__xludf.DUMMYFUNCTION("""COMPUTED_VALUE"""),"B Saya ingin teman-teman dengan gembira memberikan pertolongan kepada saya.")</f>
        <v>B Saya ingin teman-teman dengan gembira memberikan pertolongan kepada saya.</v>
      </c>
      <c r="BW11" s="95" t="str">
        <f>IFERROR(__xludf.DUMMYFUNCTION("""COMPUTED_VALUE"""),"B Saya ingin diperlakukan dengan baik oleh teman-teman saya.")</f>
        <v>B Saya ingin diperlakukan dengan baik oleh teman-teman saya.</v>
      </c>
      <c r="BX11" s="95" t="str">
        <f>IFERROR(__xludf.DUMMYFUNCTION("""COMPUTED_VALUE"""),"B Saya kadang-kadang suka melakukan hal-hal yang dapat dipuji oleh orang lain.")</f>
        <v>B Saya kadang-kadang suka melakukan hal-hal yang dapat dipuji oleh orang lain.</v>
      </c>
      <c r="BY11" s="95" t="str">
        <f>IFERROR(__xludf.DUMMYFUNCTION("""COMPUTED_VALUE"""),"A Saya suka melamun atau membayangkan hal-hal yang tidak jelas.")</f>
        <v>A Saya suka melamun atau membayangkan hal-hal yang tidak jelas.</v>
      </c>
      <c r="BZ11" s="95" t="str">
        <f>IFERROR(__xludf.DUMMYFUNCTION("""COMPUTED_VALUE"""),"A Saya suka berkata yang artinya sulit dipahami oleh orang lain.")</f>
        <v>A Saya suka berkata yang artinya sulit dipahami oleh orang lain.</v>
      </c>
      <c r="CA11" s="95" t="str">
        <f>IFERROR(__xludf.DUMMYFUNCTION("""COMPUTED_VALUE"""),"B Saya suka mengajukan pertanyaan agar orang lain memperhatikan saya.")</f>
        <v>B Saya suka mengajukan pertanyaan agar orang lain memperhatikan saya.</v>
      </c>
      <c r="CB11" s="95" t="str">
        <f>IFERROR(__xludf.DUMMYFUNCTION("""COMPUTED_VALUE"""),"B Saya suka berbicara tentang hal-hal yang telah saya capai.")</f>
        <v>B Saya suka berbicara tentang hal-hal yang telah saya capai.</v>
      </c>
      <c r="CC11" s="95" t="str">
        <f>IFERROR(__xludf.DUMMYFUNCTION("""COMPUTED_VALUE"""),"A Apabila saya berkumpul dalam kelompok, saya ingin dihargai teman-teman.")</f>
        <v>A Apabila saya berkumpul dalam kelompok, saya ingin dihargai teman-teman.</v>
      </c>
      <c r="CD11" s="95" t="str">
        <f>IFERROR(__xludf.DUMMYFUNCTION("""COMPUTED_VALUE"""),"A Saya suka menyelesaikan setiap tugas meskipun membutuhkan waktu lama.")</f>
        <v>A Saya suka menyelesaikan setiap tugas meskipun membutuhkan waktu lama.</v>
      </c>
      <c r="CE11" s="95" t="str">
        <f>IFERROR(__xludf.DUMMYFUNCTION("""COMPUTED_VALUE"""),"A Saya suka menyelesaikan setiap tugas belajar yang telah saya mulai.")</f>
        <v>A Saya suka menyelesaikan setiap tugas belajar yang telah saya mulai.</v>
      </c>
      <c r="CF11" s="95" t="str">
        <f>IFERROR(__xludf.DUMMYFUNCTION("""COMPUTED_VALUE"""),"A Saya ingin agar hidup saya teratur sesuai cita-cita saya.")</f>
        <v>A Saya ingin agar hidup saya teratur sesuai cita-cita saya.</v>
      </c>
      <c r="CG11" s="95" t="str">
        <f>IFERROR(__xludf.DUMMYFUNCTION("""COMPUTED_VALUE"""),"A Saya ingin berhasil dalam apa yang saya lakukan.")</f>
        <v>A Saya ingin berhasil dalam apa yang saya lakukan.</v>
      </c>
      <c r="CH11" s="95" t="str">
        <f>IFERROR(__xludf.DUMMYFUNCTION("""COMPUTED_VALUE"""),"A Saya ingin bisa melakukan dengan baik sesuatu pekerjaan sulit.")</f>
        <v>A Saya ingin bisa melakukan dengan baik sesuatu pekerjaan sulit.</v>
      </c>
      <c r="CI11" s="95" t="str">
        <f>IFERROR(__xludf.DUMMYFUNCTION("""COMPUTED_VALUE"""),"A Saya suka belajar saya teratur dan ada waktu-waktu tertentu untuk belajar.")</f>
        <v>A Saya suka belajar saya teratur dan ada waktu-waktu tertentu untuk belajar.</v>
      </c>
      <c r="CJ11" s="95" t="str">
        <f>IFERROR(__xludf.DUMMYFUNCTION("""COMPUTED_VALUE"""),"A Saya ingin tidak tergantung dari orang lain terhadap apa yang akan saya lakukan.")</f>
        <v>A Saya ingin tidak tergantung dari orang lain terhadap apa yang akan saya lakukan.</v>
      </c>
      <c r="CK11" s="95" t="str">
        <f>IFERROR(__xludf.DUMMYFUNCTION("""COMPUTED_VALUE"""),"B Saya senang ikut beraktivitas bersama teman sebaya saya.")</f>
        <v>B Saya senang ikut beraktivitas bersama teman sebaya saya.</v>
      </c>
      <c r="CL11" s="95" t="str">
        <f>IFERROR(__xludf.DUMMYFUNCTION("""COMPUTED_VALUE"""),"B Saya berkeinginan untuk bersama teman yang menurut saya menarik.")</f>
        <v>B Saya berkeinginan untuk bersama teman yang menurut saya menarik.</v>
      </c>
      <c r="CM11" s="95" t="str">
        <f>IFERROR(__xludf.DUMMYFUNCTION("""COMPUTED_VALUE"""),"B Saya merasa kagum pada seseorang.")</f>
        <v>B Saya merasa kagum pada seseorang.</v>
      </c>
      <c r="CN11" s="95" t="str">
        <f>IFERROR(__xludf.DUMMYFUNCTION("""COMPUTED_VALUE"""),"A Saya ingin diperlakukan dengan baik oleh teman-teman saya.")</f>
        <v>A Saya ingin diperlakukan dengan baik oleh teman-teman saya.</v>
      </c>
      <c r="CO11" s="95" t="str">
        <f>IFERROR(__xludf.DUMMYFUNCTION("""COMPUTED_VALUE"""),"A Saya suka menceritakan hal-hal lucu agar diperhatikan oleh orang lain.")</f>
        <v>A Saya suka menceritakan hal-hal lucu agar diperhatikan oleh orang lain.</v>
      </c>
      <c r="CP11" s="95" t="str">
        <f>IFERROR(__xludf.DUMMYFUNCTION("""COMPUTED_VALUE"""),"A Saya suka melamun atau membayangkan sesuatu sendirian.")</f>
        <v>A Saya suka melamun atau membayangkan sesuatu sendirian.</v>
      </c>
      <c r="CQ11" s="95" t="str">
        <f>IFERROR(__xludf.DUMMYFUNCTION("""COMPUTED_VALUE"""),"B Saya merasa kagum pada seseorang.")</f>
        <v>B Saya merasa kagum pada seseorang.</v>
      </c>
      <c r="CR11" s="95" t="str">
        <f>IFERROR(__xludf.DUMMYFUNCTION("""COMPUTED_VALUE"""),"B Saya rasanya ingin mengecam seseorang bila orang itu menjengkelkan.")</f>
        <v>B Saya rasanya ingin mengecam seseorang bila orang itu menjengkelkan.</v>
      </c>
      <c r="CS11" s="95" t="str">
        <f>IFERROR(__xludf.DUMMYFUNCTION("""COMPUTED_VALUE"""),"B Saya rasanya ingin membalas dendam bila seseorang menghina saya.")</f>
        <v>B Saya rasanya ingin membalas dendam bila seseorang menghina saya.</v>
      </c>
      <c r="CT11" s="95" t="str">
        <f>IFERROR(__xludf.DUMMYFUNCTION("""COMPUTED_VALUE"""),"A Saya ingin orang-orang memperhatikan komentar mengenai penampilan saya.")</f>
        <v>A Saya ingin orang-orang memperhatikan komentar mengenai penampilan saya.</v>
      </c>
      <c r="CU11" s="95" t="str">
        <f>IFERROR(__xludf.DUMMYFUNCTION("""COMPUTED_VALUE"""),"A Saya ingin diperlakukan dengan ramah oleh teman-teman saya.")</f>
        <v>A Saya ingin diperlakukan dengan ramah oleh teman-teman saya.</v>
      </c>
      <c r="CV11" s="95" t="str">
        <f>IFERROR(__xludf.DUMMYFUNCTION("""COMPUTED_VALUE"""),"A Saya ingin ditunjuk atau dipilih sebagai ketua dalam suatu kelompok.")</f>
        <v>A Saya ingin ditunjuk atau dipilih sebagai ketua dalam suatu kelompok.</v>
      </c>
      <c r="CW11" s="95" t="str">
        <f>IFERROR(__xludf.DUMMYFUNCTION("""COMPUTED_VALUE"""),"B Saya mengatakan kepada orang lain bagaimana pendapat saya terhadap mereka.")</f>
        <v>B Saya mengatakan kepada orang lain bagaimana pendapat saya terhadap mereka.</v>
      </c>
      <c r="CX11" s="95" t="str">
        <f>IFERROR(__xludf.DUMMYFUNCTION("""COMPUTED_VALUE"""),"A Saya suka belajar sampai malam untuk menyelesaikan suatu tugas.")</f>
        <v>A Saya suka belajar sampai malam untuk menyelesaikan suatu tugas.</v>
      </c>
      <c r="CY11" s="95" t="str">
        <f>IFERROR(__xludf.DUMMYFUNCTION("""COMPUTED_VALUE"""),"A Saya ingin tidak tergantung dari orang lain terhadap apa yang akan saya lakukan.")</f>
        <v>A Saya ingin tidak tergantung dari orang lain terhadap apa yang akan saya lakukan.</v>
      </c>
      <c r="CZ11" s="95" t="str">
        <f>IFERROR(__xludf.DUMMYFUNCTION("""COMPUTED_VALUE"""),"A Saya suka merencanakan dan mengatur setiap pekerjaan yang harus saya lakukan.")</f>
        <v>A Saya suka merencanakan dan mengatur setiap pekerjaan yang harus saya lakukan.</v>
      </c>
      <c r="DA11" s="95" t="str">
        <f>IFERROR(__xludf.DUMMYFUNCTION("""COMPUTED_VALUE"""),"A Saya ingin melakukan apa saja sebaik mungkin.")</f>
        <v>A Saya ingin melakukan apa saja sebaik mungkin.</v>
      </c>
      <c r="DB11" s="89" t="s">
        <v>23</v>
      </c>
      <c r="DC11" s="97" t="str">
        <f t="shared" ref="DC11:GX11" si="56">LEFT(F11,1)</f>
        <v>A</v>
      </c>
      <c r="DD11" s="97" t="str">
        <f t="shared" si="56"/>
        <v>A</v>
      </c>
      <c r="DE11" s="97" t="str">
        <f t="shared" si="56"/>
        <v>B</v>
      </c>
      <c r="DF11" s="97" t="str">
        <f t="shared" si="56"/>
        <v>A</v>
      </c>
      <c r="DG11" s="97" t="str">
        <f t="shared" si="56"/>
        <v>B</v>
      </c>
      <c r="DH11" s="97" t="str">
        <f t="shared" si="56"/>
        <v>B</v>
      </c>
      <c r="DI11" s="97" t="str">
        <f t="shared" si="56"/>
        <v>B</v>
      </c>
      <c r="DJ11" s="97" t="str">
        <f t="shared" si="56"/>
        <v>A</v>
      </c>
      <c r="DK11" s="97" t="str">
        <f t="shared" si="56"/>
        <v>A</v>
      </c>
      <c r="DL11" s="97" t="str">
        <f t="shared" si="56"/>
        <v>A</v>
      </c>
      <c r="DM11" s="97" t="str">
        <f t="shared" si="56"/>
        <v>A</v>
      </c>
      <c r="DN11" s="97" t="str">
        <f t="shared" si="56"/>
        <v>B</v>
      </c>
      <c r="DO11" s="97" t="str">
        <f t="shared" si="56"/>
        <v>B</v>
      </c>
      <c r="DP11" s="97" t="str">
        <f t="shared" si="56"/>
        <v>B</v>
      </c>
      <c r="DQ11" s="97" t="str">
        <f t="shared" si="56"/>
        <v>B</v>
      </c>
      <c r="DR11" s="97" t="str">
        <f t="shared" si="56"/>
        <v>A</v>
      </c>
      <c r="DS11" s="97" t="str">
        <f t="shared" si="56"/>
        <v>B</v>
      </c>
      <c r="DT11" s="97" t="str">
        <f t="shared" si="56"/>
        <v>B</v>
      </c>
      <c r="DU11" s="97" t="str">
        <f t="shared" si="56"/>
        <v>B</v>
      </c>
      <c r="DV11" s="97" t="str">
        <f t="shared" si="56"/>
        <v>B</v>
      </c>
      <c r="DW11" s="97" t="str">
        <f t="shared" si="56"/>
        <v>A</v>
      </c>
      <c r="DX11" s="97" t="str">
        <f t="shared" si="56"/>
        <v>B</v>
      </c>
      <c r="DY11" s="97" t="str">
        <f t="shared" si="56"/>
        <v>A</v>
      </c>
      <c r="DZ11" s="97" t="str">
        <f t="shared" si="56"/>
        <v>B</v>
      </c>
      <c r="EA11" s="97" t="str">
        <f t="shared" si="56"/>
        <v>A</v>
      </c>
      <c r="EB11" s="97" t="str">
        <f t="shared" si="56"/>
        <v>B</v>
      </c>
      <c r="EC11" s="97" t="str">
        <f t="shared" si="56"/>
        <v>A</v>
      </c>
      <c r="ED11" s="97" t="str">
        <f t="shared" si="56"/>
        <v>B</v>
      </c>
      <c r="EE11" s="97" t="str">
        <f t="shared" si="56"/>
        <v>B</v>
      </c>
      <c r="EF11" s="97" t="str">
        <f t="shared" si="56"/>
        <v>B</v>
      </c>
      <c r="EG11" s="97" t="str">
        <f t="shared" si="56"/>
        <v>A</v>
      </c>
      <c r="EH11" s="97" t="str">
        <f t="shared" si="56"/>
        <v>B</v>
      </c>
      <c r="EI11" s="97" t="str">
        <f t="shared" si="56"/>
        <v>B</v>
      </c>
      <c r="EJ11" s="97" t="str">
        <f t="shared" si="56"/>
        <v>B</v>
      </c>
      <c r="EK11" s="97" t="str">
        <f t="shared" si="56"/>
        <v>B</v>
      </c>
      <c r="EL11" s="97" t="str">
        <f t="shared" si="56"/>
        <v>B</v>
      </c>
      <c r="EM11" s="97" t="str">
        <f t="shared" si="56"/>
        <v>A</v>
      </c>
      <c r="EN11" s="97" t="str">
        <f t="shared" si="56"/>
        <v>A</v>
      </c>
      <c r="EO11" s="97" t="str">
        <f t="shared" si="56"/>
        <v>B</v>
      </c>
      <c r="EP11" s="97" t="str">
        <f t="shared" si="56"/>
        <v>A</v>
      </c>
      <c r="EQ11" s="97" t="str">
        <f t="shared" si="56"/>
        <v>B</v>
      </c>
      <c r="ER11" s="97" t="str">
        <f t="shared" si="56"/>
        <v>A</v>
      </c>
      <c r="ES11" s="97" t="str">
        <f t="shared" si="56"/>
        <v>A</v>
      </c>
      <c r="ET11" s="97" t="str">
        <f t="shared" si="56"/>
        <v>A</v>
      </c>
      <c r="EU11" s="97" t="str">
        <f t="shared" si="56"/>
        <v>A</v>
      </c>
      <c r="EV11" s="97" t="str">
        <f t="shared" si="56"/>
        <v>A</v>
      </c>
      <c r="EW11" s="97" t="str">
        <f t="shared" si="56"/>
        <v>A</v>
      </c>
      <c r="EX11" s="97" t="str">
        <f t="shared" si="56"/>
        <v>B</v>
      </c>
      <c r="EY11" s="97" t="str">
        <f t="shared" si="56"/>
        <v>A</v>
      </c>
      <c r="EZ11" s="97" t="str">
        <f t="shared" si="56"/>
        <v>A</v>
      </c>
      <c r="FA11" s="97" t="str">
        <f t="shared" si="56"/>
        <v>B</v>
      </c>
      <c r="FB11" s="97" t="str">
        <f t="shared" si="56"/>
        <v>B</v>
      </c>
      <c r="FC11" s="97" t="str">
        <f t="shared" si="56"/>
        <v>B</v>
      </c>
      <c r="FD11" s="97" t="str">
        <f t="shared" si="56"/>
        <v>A</v>
      </c>
      <c r="FE11" s="97" t="str">
        <f t="shared" si="56"/>
        <v>B</v>
      </c>
      <c r="FF11" s="97" t="str">
        <f t="shared" si="56"/>
        <v>A</v>
      </c>
      <c r="FG11" s="97" t="str">
        <f t="shared" si="56"/>
        <v>A</v>
      </c>
      <c r="FH11" s="97" t="str">
        <f t="shared" si="56"/>
        <v>A</v>
      </c>
      <c r="FI11" s="97" t="str">
        <f t="shared" si="56"/>
        <v>A</v>
      </c>
      <c r="FJ11" s="97" t="str">
        <f t="shared" si="56"/>
        <v>A</v>
      </c>
      <c r="FK11" s="97" t="str">
        <f t="shared" si="56"/>
        <v>A</v>
      </c>
      <c r="FL11" s="97" t="str">
        <f t="shared" si="56"/>
        <v>B</v>
      </c>
      <c r="FM11" s="97" t="str">
        <f t="shared" si="56"/>
        <v>A</v>
      </c>
      <c r="FN11" s="97" t="str">
        <f t="shared" si="56"/>
        <v>A</v>
      </c>
      <c r="FO11" s="97" t="str">
        <f t="shared" si="56"/>
        <v>A</v>
      </c>
      <c r="FP11" s="97" t="str">
        <f t="shared" si="56"/>
        <v>B</v>
      </c>
      <c r="FQ11" s="97" t="str">
        <f t="shared" si="56"/>
        <v>B</v>
      </c>
      <c r="FR11" s="97" t="str">
        <f t="shared" si="56"/>
        <v>A</v>
      </c>
      <c r="FS11" s="97" t="str">
        <f t="shared" si="56"/>
        <v>B</v>
      </c>
      <c r="FT11" s="97" t="str">
        <f t="shared" si="56"/>
        <v>B</v>
      </c>
      <c r="FU11" s="97" t="str">
        <f t="shared" si="56"/>
        <v>B</v>
      </c>
      <c r="FV11" s="97" t="str">
        <f t="shared" si="56"/>
        <v>A</v>
      </c>
      <c r="FW11" s="97" t="str">
        <f t="shared" si="56"/>
        <v>A</v>
      </c>
      <c r="FX11" s="97" t="str">
        <f t="shared" si="56"/>
        <v>B</v>
      </c>
      <c r="FY11" s="97" t="str">
        <f t="shared" si="56"/>
        <v>B</v>
      </c>
      <c r="FZ11" s="97" t="str">
        <f t="shared" si="56"/>
        <v>A</v>
      </c>
      <c r="GA11" s="97" t="str">
        <f t="shared" si="56"/>
        <v>A</v>
      </c>
      <c r="GB11" s="97" t="str">
        <f t="shared" si="56"/>
        <v>A</v>
      </c>
      <c r="GC11" s="97" t="str">
        <f t="shared" si="56"/>
        <v>A</v>
      </c>
      <c r="GD11" s="97" t="str">
        <f t="shared" si="56"/>
        <v>A</v>
      </c>
      <c r="GE11" s="97" t="str">
        <f t="shared" si="56"/>
        <v>A</v>
      </c>
      <c r="GF11" s="97" t="str">
        <f t="shared" si="56"/>
        <v>A</v>
      </c>
      <c r="GG11" s="97" t="str">
        <f t="shared" si="56"/>
        <v>A</v>
      </c>
      <c r="GH11" s="97" t="str">
        <f t="shared" si="56"/>
        <v>B</v>
      </c>
      <c r="GI11" s="97" t="str">
        <f t="shared" si="56"/>
        <v>B</v>
      </c>
      <c r="GJ11" s="97" t="str">
        <f t="shared" si="56"/>
        <v>B</v>
      </c>
      <c r="GK11" s="97" t="str">
        <f t="shared" si="56"/>
        <v>A</v>
      </c>
      <c r="GL11" s="97" t="str">
        <f t="shared" si="56"/>
        <v>A</v>
      </c>
      <c r="GM11" s="97" t="str">
        <f t="shared" si="56"/>
        <v>A</v>
      </c>
      <c r="GN11" s="97" t="str">
        <f t="shared" si="56"/>
        <v>B</v>
      </c>
      <c r="GO11" s="97" t="str">
        <f t="shared" si="56"/>
        <v>B</v>
      </c>
      <c r="GP11" s="97" t="str">
        <f t="shared" si="56"/>
        <v>B</v>
      </c>
      <c r="GQ11" s="97" t="str">
        <f t="shared" si="56"/>
        <v>A</v>
      </c>
      <c r="GR11" s="97" t="str">
        <f t="shared" si="56"/>
        <v>A</v>
      </c>
      <c r="GS11" s="97" t="str">
        <f t="shared" si="56"/>
        <v>A</v>
      </c>
      <c r="GT11" s="97" t="str">
        <f t="shared" si="56"/>
        <v>B</v>
      </c>
      <c r="GU11" s="97" t="str">
        <f t="shared" si="56"/>
        <v>A</v>
      </c>
      <c r="GV11" s="97" t="str">
        <f t="shared" si="56"/>
        <v>A</v>
      </c>
      <c r="GW11" s="97" t="str">
        <f t="shared" si="56"/>
        <v>A</v>
      </c>
      <c r="GX11" s="97" t="str">
        <f t="shared" si="56"/>
        <v>A</v>
      </c>
      <c r="GY11" s="98"/>
      <c r="GZ11" s="97">
        <f t="shared" si="3"/>
        <v>55</v>
      </c>
      <c r="HA11" s="97">
        <f t="shared" si="4"/>
        <v>45</v>
      </c>
      <c r="HB11" s="90">
        <f t="shared" si="5"/>
        <v>100</v>
      </c>
      <c r="HC11" s="99"/>
      <c r="HD11" s="97">
        <f t="shared" si="6"/>
        <v>7</v>
      </c>
      <c r="HE11" s="97">
        <f t="shared" si="7"/>
        <v>4</v>
      </c>
      <c r="HF11" s="90">
        <f t="shared" si="8"/>
        <v>11</v>
      </c>
      <c r="HG11" s="99"/>
      <c r="HH11" s="97">
        <f t="shared" si="9"/>
        <v>6</v>
      </c>
      <c r="HI11" s="97">
        <f t="shared" si="10"/>
        <v>8</v>
      </c>
      <c r="HJ11" s="90">
        <f t="shared" si="11"/>
        <v>14</v>
      </c>
      <c r="HK11" s="99"/>
      <c r="HL11" s="97">
        <f t="shared" si="12"/>
        <v>7</v>
      </c>
      <c r="HM11" s="97">
        <f t="shared" si="13"/>
        <v>6</v>
      </c>
      <c r="HN11" s="90">
        <f t="shared" si="14"/>
        <v>13</v>
      </c>
      <c r="HO11" s="99"/>
      <c r="HP11" s="97">
        <f t="shared" si="15"/>
        <v>6</v>
      </c>
      <c r="HQ11" s="97">
        <f t="shared" si="16"/>
        <v>6</v>
      </c>
      <c r="HR11" s="90">
        <f t="shared" si="17"/>
        <v>12</v>
      </c>
      <c r="HS11" s="99"/>
      <c r="HT11" s="97">
        <f t="shared" si="18"/>
        <v>5</v>
      </c>
      <c r="HU11" s="97">
        <f t="shared" si="19"/>
        <v>2</v>
      </c>
      <c r="HV11" s="90">
        <f t="shared" si="20"/>
        <v>7</v>
      </c>
      <c r="HW11" s="99"/>
      <c r="HX11" s="97">
        <f t="shared" si="21"/>
        <v>2</v>
      </c>
      <c r="HY11" s="97">
        <f t="shared" si="22"/>
        <v>4</v>
      </c>
      <c r="HZ11" s="90">
        <f t="shared" si="23"/>
        <v>6</v>
      </c>
      <c r="IA11" s="99"/>
      <c r="IB11" s="97">
        <f t="shared" si="24"/>
        <v>5</v>
      </c>
      <c r="IC11" s="97">
        <f t="shared" si="25"/>
        <v>5</v>
      </c>
      <c r="ID11" s="90">
        <f t="shared" si="26"/>
        <v>10</v>
      </c>
      <c r="IE11" s="99"/>
      <c r="IF11" s="97">
        <f t="shared" si="27"/>
        <v>4</v>
      </c>
      <c r="IG11" s="97">
        <f t="shared" si="28"/>
        <v>3</v>
      </c>
      <c r="IH11" s="90">
        <f t="shared" si="29"/>
        <v>7</v>
      </c>
      <c r="II11" s="99"/>
      <c r="IJ11" s="97">
        <f t="shared" si="30"/>
        <v>3</v>
      </c>
      <c r="IK11" s="97">
        <f t="shared" si="31"/>
        <v>4</v>
      </c>
      <c r="IL11" s="90">
        <f t="shared" si="32"/>
        <v>7</v>
      </c>
      <c r="IM11" s="99"/>
      <c r="IN11" s="97">
        <f t="shared" si="33"/>
        <v>4</v>
      </c>
      <c r="IO11" s="97">
        <f t="shared" si="34"/>
        <v>3</v>
      </c>
      <c r="IP11" s="90">
        <f t="shared" si="35"/>
        <v>7</v>
      </c>
      <c r="IQ11" s="99"/>
      <c r="IR11" s="99"/>
      <c r="IS11" s="100">
        <f t="shared" si="36"/>
        <v>11</v>
      </c>
      <c r="IT11" s="100">
        <f t="shared" si="37"/>
        <v>14</v>
      </c>
      <c r="IU11" s="100">
        <f t="shared" si="38"/>
        <v>13</v>
      </c>
      <c r="IV11" s="100">
        <f t="shared" si="39"/>
        <v>12</v>
      </c>
      <c r="IW11" s="100">
        <f t="shared" si="40"/>
        <v>7</v>
      </c>
      <c r="IX11" s="100">
        <f t="shared" si="41"/>
        <v>6</v>
      </c>
      <c r="IY11" s="100">
        <f t="shared" si="42"/>
        <v>10</v>
      </c>
      <c r="IZ11" s="100">
        <f t="shared" si="43"/>
        <v>7</v>
      </c>
      <c r="JA11" s="100">
        <f t="shared" si="44"/>
        <v>7</v>
      </c>
      <c r="JB11" s="101">
        <f t="shared" si="45"/>
        <v>7</v>
      </c>
      <c r="JC11" s="102">
        <f t="shared" si="46"/>
        <v>94</v>
      </c>
      <c r="JD11" s="67">
        <f t="shared" si="50"/>
        <v>0</v>
      </c>
      <c r="JE11" s="67">
        <f t="shared" si="47"/>
        <v>1</v>
      </c>
      <c r="JF11" s="67">
        <f t="shared" si="48"/>
        <v>1</v>
      </c>
    </row>
    <row r="12">
      <c r="A12" s="103">
        <f>IFERROR(__xludf.DUMMYFUNCTION("""COMPUTED_VALUE"""),45920.683451944446)</f>
        <v>45920.68345</v>
      </c>
      <c r="B12" s="95" t="str">
        <f>IFERROR(__xludf.DUMMYFUNCTION("""COMPUTED_VALUE"""),"Sarah Afifa")</f>
        <v>Sarah Afifa</v>
      </c>
      <c r="C12" s="96" t="str">
        <f>IFERROR(__xludf.DUMMYFUNCTION("""COMPUTED_VALUE"""),"D250015")</f>
        <v>D250015</v>
      </c>
      <c r="D12" s="96" t="str">
        <f>IFERROR(__xludf.DUMMYFUNCTION("""COMPUTED_VALUE"""),"MTs Putri")</f>
        <v>MTs Putri</v>
      </c>
      <c r="E12" s="96" t="str">
        <f>IFERROR(__xludf.DUMMYFUNCTION("""COMPUTED_VALUE"""),"Ya")</f>
        <v>Ya</v>
      </c>
      <c r="F12" s="95" t="str">
        <f>IFERROR(__xludf.DUMMYFUNCTION("""COMPUTED_VALUE"""),"A Saya ingin mengerjakan segala tugas lebih baik daripada orang lain.")</f>
        <v>A Saya ingin mengerjakan segala tugas lebih baik daripada orang lain.</v>
      </c>
      <c r="G12" s="95" t="str">
        <f>IFERROR(__xludf.DUMMYFUNCTION("""COMPUTED_VALUE"""),"B Saya ingin menyelesaikan tugas yang segera dikumpulkan.")</f>
        <v>B Saya ingin menyelesaikan tugas yang segera dikumpulkan.</v>
      </c>
      <c r="H12" s="95" t="str">
        <f>IFERROR(__xludf.DUMMYFUNCTION("""COMPUTED_VALUE"""),"B Saya ingin menjadi orang yang diakui dalam suatu pekerjaan atau bidang khusus.")</f>
        <v>B Saya ingin menjadi orang yang diakui dalam suatu pekerjaan atau bidang khusus.</v>
      </c>
      <c r="I12" s="95" t="str">
        <f>IFERROR(__xludf.DUMMYFUNCTION("""COMPUTED_VALUE"""),"B Saya ingin bisa melakukan dengan baik meskipun tugas yang sulit.")</f>
        <v>B Saya ingin bisa melakukan dengan baik meskipun tugas yang sulit.</v>
      </c>
      <c r="J12" s="95" t="str">
        <f>IFERROR(__xludf.DUMMYFUNCTION("""COMPUTED_VALUE"""),"A Saya suka membantu teman-teman saya apabila mereka mengalami kesulitan.")</f>
        <v>A Saya suka membantu teman-teman saya apabila mereka mengalami kesulitan.</v>
      </c>
      <c r="K12" s="95" t="str">
        <f>IFERROR(__xludf.DUMMYFUNCTION("""COMPUTED_VALUE"""),"B Saya ingin mengatakan telah melakukan dengan baik sesuatu tugas yang sulit.")</f>
        <v>B Saya ingin mengatakan telah melakukan dengan baik sesuatu tugas yang sulit.</v>
      </c>
      <c r="L12" s="95" t="str">
        <f>IFERROR(__xludf.DUMMYFUNCTION("""COMPUTED_VALUE"""),"B Saya ingin mengatakan telah melakukan dengan baik sesuatu tugas yang sulit")</f>
        <v>B Saya ingin mengatakan telah melakukan dengan baik sesuatu tugas yang sulit</v>
      </c>
      <c r="M12" s="95" t="str">
        <f>IFERROR(__xludf.DUMMYFUNCTION("""COMPUTED_VALUE"""),"B Saya ingin mengerjakan segala tugas lebih baik daripada orang lain.")</f>
        <v>B Saya ingin mengerjakan segala tugas lebih baik daripada orang lain.</v>
      </c>
      <c r="N12" s="95" t="str">
        <f>IFERROR(__xludf.DUMMYFUNCTION("""COMPUTED_VALUE"""),"B Saya suka memecahkan persoalan yang sukar bagi orang lain.")</f>
        <v>B Saya suka memecahkan persoalan yang sukar bagi orang lain.</v>
      </c>
      <c r="O12" s="95" t="str">
        <f>IFERROR(__xludf.DUMMYFUNCTION("""COMPUTED_VALUE"""),"B Saya suka melakukan tugas sebaik mungkin.")</f>
        <v>B Saya suka melakukan tugas sebaik mungkin.</v>
      </c>
      <c r="P12" s="95" t="str">
        <f>IFERROR(__xludf.DUMMYFUNCTION("""COMPUTED_VALUE"""),"B Saya ingin setiap belajar itu teratur dan direncanakan.")</f>
        <v>B Saya ingin setiap belajar itu teratur dan direncanakan.</v>
      </c>
      <c r="Q12" s="95" t="str">
        <f>IFERROR(__xludf.DUMMYFUNCTION("""COMPUTED_VALUE"""),"B Saya merencanakan keperluan yang dibutuhkan sebelum bepergian.")</f>
        <v>B Saya merencanakan keperluan yang dibutuhkan sebelum bepergian.</v>
      </c>
      <c r="R12" s="95" t="str">
        <f>IFERROR(__xludf.DUMMYFUNCTION("""COMPUTED_VALUE"""),"B Saya suka barang-barang saya tersusun rapi dan teratur.")</f>
        <v>B Saya suka barang-barang saya tersusun rapi dan teratur.</v>
      </c>
      <c r="S12" s="95" t="str">
        <f>IFERROR(__xludf.DUMMYFUNCTION("""COMPUTED_VALUE"""),"A Saya ingin agar teman-teman pengertian bila saya mengalami kesukaran.")</f>
        <v>A Saya ingin agar teman-teman pengertian bila saya mengalami kesukaran.</v>
      </c>
      <c r="T12" s="95" t="str">
        <f>IFERROR(__xludf.DUMMYFUNCTION("""COMPUTED_VALUE"""),"B Saya ingin agar hidup saya teratur sesuai cita-cita saya.")</f>
        <v>B Saya ingin agar hidup saya teratur sesuai cita-cita saya.</v>
      </c>
      <c r="U12" s="95" t="str">
        <f>IFERROR(__xludf.DUMMYFUNCTION("""COMPUTED_VALUE"""),"B Saya suka menyimpan catatan secara rapi.")</f>
        <v>B Saya suka menyimpan catatan secara rapi.</v>
      </c>
      <c r="V12" s="95" t="str">
        <f>IFERROR(__xludf.DUMMYFUNCTION("""COMPUTED_VALUE"""),"B Saya suka belajar saya teratur dan ada waktu-waktu tertentu untuk belajar.")</f>
        <v>B Saya suka belajar saya teratur dan ada waktu-waktu tertentu untuk belajar.</v>
      </c>
      <c r="W12" s="95" t="str">
        <f>IFERROR(__xludf.DUMMYFUNCTION("""COMPUTED_VALUE"""),"B Saya ingin kegiatan itu teratur dan direncanakan.")</f>
        <v>B Saya ingin kegiatan itu teratur dan direncanakan.</v>
      </c>
      <c r="X12" s="95" t="str">
        <f>IFERROR(__xludf.DUMMYFUNCTION("""COMPUTED_VALUE"""),"B Saya ingin agar hidup saya teratur sesuai cita-cita saya.")</f>
        <v>B Saya ingin agar hidup saya teratur sesuai cita-cita saya.</v>
      </c>
      <c r="Y12" s="95" t="str">
        <f>IFERROR(__xludf.DUMMYFUNCTION("""COMPUTED_VALUE"""),"A Saya suka menyelesaikan tugas-tugas yang membutuhkan ketrampilan dan usaha.")</f>
        <v>A Saya suka menyelesaikan tugas-tugas yang membutuhkan ketrampilan dan usaha.</v>
      </c>
      <c r="Z12" s="95" t="str">
        <f>IFERROR(__xludf.DUMMYFUNCTION("""COMPUTED_VALUE"""),"A Saya ingin berhasil dengan belajar yang saya lakukan.")</f>
        <v>A Saya ingin berhasil dengan belajar yang saya lakukan.</v>
      </c>
      <c r="AA12" s="95" t="str">
        <f>IFERROR(__xludf.DUMMYFUNCTION("""COMPUTED_VALUE"""),"B Saya tidak suka pada orang yang berbuat seenaknya sendiri.")</f>
        <v>B Saya tidak suka pada orang yang berbuat seenaknya sendiri.</v>
      </c>
      <c r="AB12" s="95" t="str">
        <f>IFERROR(__xludf.DUMMYFUNCTION("""COMPUTED_VALUE"""),"B Saya ingin menyelesaikan pekerjaan satu persatu sebelum memulai yang lain.")</f>
        <v>B Saya ingin menyelesaikan pekerjaan satu persatu sebelum memulai yang lain.</v>
      </c>
      <c r="AC12" s="95" t="str">
        <f>IFERROR(__xludf.DUMMYFUNCTION("""COMPUTED_VALUE"""),"B Saya suka melakukan kegiatan sesuai kondisi yang saya inginkan.")</f>
        <v>B Saya suka melakukan kegiatan sesuai kondisi yang saya inginkan.</v>
      </c>
      <c r="AD12" s="95" t="str">
        <f>IFERROR(__xludf.DUMMYFUNCTION("""COMPUTED_VALUE"""),"A Saya suka bermurah hati terhadap teman-teman saya.")</f>
        <v>A Saya suka bermurah hati terhadap teman-teman saya.</v>
      </c>
      <c r="AE12" s="95" t="str">
        <f>IFERROR(__xludf.DUMMYFUNCTION("""COMPUTED_VALUE"""),"B Saya suka melakukan hal-hal yang dianggap orang lain tidak sesuai.")</f>
        <v>B Saya suka melakukan hal-hal yang dianggap orang lain tidak sesuai.</v>
      </c>
      <c r="AF12" s="95" t="str">
        <f>IFERROR(__xludf.DUMMYFUNCTION("""COMPUTED_VALUE"""),"A Saya ingin agar teman-teman mengerti bila saya mengalami kesukaran.")</f>
        <v>A Saya ingin agar teman-teman mengerti bila saya mengalami kesukaran.</v>
      </c>
      <c r="AG12" s="95" t="str">
        <f>IFERROR(__xludf.DUMMYFUNCTION("""COMPUTED_VALUE"""),"B Saya ingin berhasil dengan tugas yang saya lakukan.")</f>
        <v>B Saya ingin berhasil dengan tugas yang saya lakukan.</v>
      </c>
      <c r="AH12" s="95" t="str">
        <f>IFERROR(__xludf.DUMMYFUNCTION("""COMPUTED_VALUE"""),"A Saya suka membaca buku-buku tentang pergaulan remaja.")</f>
        <v>A Saya suka membaca buku-buku tentang pergaulan remaja.</v>
      </c>
      <c r="AI12" s="95" t="str">
        <f>IFERROR(__xludf.DUMMYFUNCTION("""COMPUTED_VALUE"""),"B Saya suka melakukan kegiatan sesuai kondisi yang saya inginkan.")</f>
        <v>B Saya suka melakukan kegiatan sesuai kondisi yang saya inginkan.</v>
      </c>
      <c r="AJ12" s="95" t="str">
        <f>IFERROR(__xludf.DUMMYFUNCTION("""COMPUTED_VALUE"""),"B Saya suka bertahan menghadapi satu masalah meskipun belum tentu berhasil.")</f>
        <v>B Saya suka bertahan menghadapi satu masalah meskipun belum tentu berhasil.</v>
      </c>
      <c r="AK12" s="95" t="str">
        <f>IFERROR(__xludf.DUMMYFUNCTION("""COMPUTED_VALUE"""),"B Bila saya harus melakukan suatu tugas, saya ingin mengerjakan sampai selesai.")</f>
        <v>B Bila saya harus melakukan suatu tugas, saya ingin mengerjakan sampai selesai.</v>
      </c>
      <c r="AL12" s="95" t="str">
        <f>IFERROR(__xludf.DUMMYFUNCTION("""COMPUTED_VALUE"""),"B Saya ingin menghindarkan gangguan bila saya sedang belajar.")</f>
        <v>B Saya ingin menghindarkan gangguan bila saya sedang belajar.</v>
      </c>
      <c r="AM12" s="95" t="str">
        <f>IFERROR(__xludf.DUMMYFUNCTION("""COMPUTED_VALUE"""),"A Saya ingin teman-teman saya merasa kasihan pada saya apabila saya sakit.")</f>
        <v>A Saya ingin teman-teman saya merasa kasihan pada saya apabila saya sakit.</v>
      </c>
      <c r="AN12" s="95" t="str">
        <f>IFERROR(__xludf.DUMMYFUNCTION("""COMPUTED_VALUE"""),"A Saya tidak suka pada orang yang semena-mena.")</f>
        <v>A Saya tidak suka pada orang yang semena-mena.</v>
      </c>
      <c r="AO12" s="95" t="str">
        <f>IFERROR(__xludf.DUMMYFUNCTION("""COMPUTED_VALUE"""),"A Saya suka berlaku sangat ramah terhadap teman-teman saya.")</f>
        <v>A Saya suka berlaku sangat ramah terhadap teman-teman saya.</v>
      </c>
      <c r="AP12" s="95" t="str">
        <f>IFERROR(__xludf.DUMMYFUNCTION("""COMPUTED_VALUE"""),"B Saya suka bertahan menghadapi satu masalah meskipun belum tentu berhasil.")</f>
        <v>B Saya suka bertahan menghadapi satu masalah meskipun belum tentu berhasil.</v>
      </c>
      <c r="AQ12" s="95" t="str">
        <f>IFERROR(__xludf.DUMMYFUNCTION("""COMPUTED_VALUE"""),"A Saya ingin bisa mengerjakan segala sesuatu lebih baik daripada orang-orang lain.")</f>
        <v>A Saya ingin bisa mengerjakan segala sesuatu lebih baik daripada orang-orang lain.</v>
      </c>
      <c r="AR12" s="95" t="str">
        <f>IFERROR(__xludf.DUMMYFUNCTION("""COMPUTED_VALUE"""),"A Saya suka menyimpan catatan secara rapi.")</f>
        <v>A Saya suka menyimpan catatan secara rapi.</v>
      </c>
      <c r="AS12" s="95" t="str">
        <f>IFERROR(__xludf.DUMMYFUNCTION("""COMPUTED_VALUE"""),"A Saya ingin dapat menyelesaikan persoalan yang dianggap sukar bagi orang lain.")</f>
        <v>A Saya ingin dapat menyelesaikan persoalan yang dianggap sukar bagi orang lain.</v>
      </c>
      <c r="AT12" s="95" t="str">
        <f>IFERROR(__xludf.DUMMYFUNCTION("""COMPUTED_VALUE"""),"B Saya suka membantu orang lain yang menurut saya perlu dikasihani.")</f>
        <v>B Saya suka membantu orang lain yang menurut saya perlu dikasihani.</v>
      </c>
      <c r="AU12" s="95" t="str">
        <f>IFERROR(__xludf.DUMMYFUNCTION("""COMPUTED_VALUE"""),"A Saya ingin menyelesaikan pekerjaan satu persatu sebelum memulai yang lain.")</f>
        <v>A Saya ingin menyelesaikan pekerjaan satu persatu sebelum memulai yang lain.</v>
      </c>
      <c r="AV12" s="95" t="str">
        <f>IFERROR(__xludf.DUMMYFUNCTION("""COMPUTED_VALUE"""),"B Saya suka menolong teman-teman saya.")</f>
        <v>B Saya suka menolong teman-teman saya.</v>
      </c>
      <c r="AW12" s="95" t="str">
        <f>IFERROR(__xludf.DUMMYFUNCTION("""COMPUTED_VALUE"""),"A Saya ingin mengerjakan tugas sampai selesai.")</f>
        <v>A Saya ingin mengerjakan tugas sampai selesai.</v>
      </c>
      <c r="AX12" s="95" t="str">
        <f>IFERROR(__xludf.DUMMYFUNCTION("""COMPUTED_VALUE"""),"B Saya suka memaafkan teman-teman saya yang menyakiti hati saya.")</f>
        <v>B Saya suka memaafkan teman-teman saya yang menyakiti hati saya.</v>
      </c>
      <c r="AY12" s="95" t="str">
        <f>IFERROR(__xludf.DUMMYFUNCTION("""COMPUTED_VALUE"""),"B Saya suka menolong teman-teman saya apabila mereka dalam kesulitan.")</f>
        <v>B Saya suka menolong teman-teman saya apabila mereka dalam kesulitan.</v>
      </c>
      <c r="AZ12" s="95" t="str">
        <f>IFERROR(__xludf.DUMMYFUNCTION("""COMPUTED_VALUE"""),"B Saya suka menunjukkan simpati saya kepada teman-teman saya.")</f>
        <v>B Saya suka menunjukkan simpati saya kepada teman-teman saya.</v>
      </c>
      <c r="BA12" s="95" t="str">
        <f>IFERROR(__xludf.DUMMYFUNCTION("""COMPUTED_VALUE"""),"B Saya suka memperlakukan orang lain dengan baik dan ramah.")</f>
        <v>B Saya suka memperlakukan orang lain dengan baik dan ramah.</v>
      </c>
      <c r="BB12" s="95" t="str">
        <f>IFERROR(__xludf.DUMMYFUNCTION("""COMPUTED_VALUE"""),"B Saya suka bermurah hati terhadap teman-teman saya.")</f>
        <v>B Saya suka bermurah hati terhadap teman-teman saya.</v>
      </c>
      <c r="BC12" s="95" t="str">
        <f>IFERROR(__xludf.DUMMYFUNCTION("""COMPUTED_VALUE"""),"B Saya suka membantu orang lain yang menurut saya perlu dikasihani.")</f>
        <v>B Saya suka membantu orang lain yang menurut saya perlu dikasihani.</v>
      </c>
      <c r="BD12" s="95" t="str">
        <f>IFERROR(__xludf.DUMMYFUNCTION("""COMPUTED_VALUE"""),"B Saya suka bersikukuh dengan pendirian saya.")</f>
        <v>B Saya suka bersikukuh dengan pendirian saya.</v>
      </c>
      <c r="BE12" s="95" t="str">
        <f>IFERROR(__xludf.DUMMYFUNCTION("""COMPUTED_VALUE"""),"A Saya suka mendengarkan atau menceritakan hal-hal yang sebaiknya tidak diceritakan.")</f>
        <v>A Saya suka mendengarkan atau menceritakan hal-hal yang sebaiknya tidak diceritakan.</v>
      </c>
      <c r="BF12" s="95" t="str">
        <f>IFERROR(__xludf.DUMMYFUNCTION("""COMPUTED_VALUE"""),"B Bila saya dalam kelompok, saya ingin menentukan apa yang akan kita lakukan.")</f>
        <v>B Bila saya dalam kelompok, saya ingin menentukan apa yang akan kita lakukan.</v>
      </c>
      <c r="BG12" s="95" t="str">
        <f>IFERROR(__xludf.DUMMYFUNCTION("""COMPUTED_VALUE"""),"A Saya ingin teman-teman banyak menunjukkan rasa sayang mereka terhadap saya.")</f>
        <v>A Saya ingin teman-teman banyak menunjukkan rasa sayang mereka terhadap saya.</v>
      </c>
      <c r="BH12" s="95" t="str">
        <f>IFERROR(__xludf.DUMMYFUNCTION("""COMPUTED_VALUE"""),"B Apabila saya berkumpul dalam kelompok, saya ingin dihargai teman-teman.")</f>
        <v>B Apabila saya berkumpul dalam kelompok, saya ingin dihargai teman-teman.</v>
      </c>
      <c r="BI12" s="95" t="str">
        <f>IFERROR(__xludf.DUMMYFUNCTION("""COMPUTED_VALUE"""),"A Saya suka bermurah hati terhadap teman-teman saya.")</f>
        <v>A Saya suka bermurah hati terhadap teman-teman saya.</v>
      </c>
      <c r="BJ12" s="95" t="str">
        <f>IFERROR(__xludf.DUMMYFUNCTION("""COMPUTED_VALUE"""),"A Saya ingin mengerjakan tugas sampai selesai.")</f>
        <v>A Saya ingin mengerjakan tugas sampai selesai.</v>
      </c>
      <c r="BK12" s="95" t="str">
        <f>IFERROR(__xludf.DUMMYFUNCTION("""COMPUTED_VALUE"""),"A Saya ingin menyelesaikan pekerjaan satu persatu sebelum memulai yang lain.")</f>
        <v>A Saya ingin menyelesaikan pekerjaan satu persatu sebelum memulai yang lain.</v>
      </c>
      <c r="BL12" s="95" t="str">
        <f>IFERROR(__xludf.DUMMYFUNCTION("""COMPUTED_VALUE"""),"A Saya suka belajar saya teratur dan ada waktu-waktu tertentu untuk belajar.")</f>
        <v>A Saya suka belajar saya teratur dan ada waktu-waktu tertentu untuk belajar.</v>
      </c>
      <c r="BM12" s="95" t="str">
        <f>IFERROR(__xludf.DUMMYFUNCTION("""COMPUTED_VALUE"""),"A Saya suka melakukan pekerjaan sebaik mungkin.")</f>
        <v>A Saya suka melakukan pekerjaan sebaik mungkin.</v>
      </c>
      <c r="BN12" s="95" t="str">
        <f>IFERROR(__xludf.DUMMYFUNCTION("""COMPUTED_VALUE"""),"A Saya suka mengerjakan teka-teki atau memecahkan persoalan sampai selesai.")</f>
        <v>A Saya suka mengerjakan teka-teki atau memecahkan persoalan sampai selesai.</v>
      </c>
      <c r="BO12" s="95" t="str">
        <f>IFERROR(__xludf.DUMMYFUNCTION("""COMPUTED_VALUE"""),"B Saya ingin diperlakukan dengan baik oleh teman-teman saya.")</f>
        <v>B Saya ingin diperlakukan dengan baik oleh teman-teman saya.</v>
      </c>
      <c r="BP12" s="95" t="str">
        <f>IFERROR(__xludf.DUMMYFUNCTION("""COMPUTED_VALUE"""),"A Saya ingin menyelesaikan sesuatu yang sangat penting artinya.")</f>
        <v>A Saya ingin menyelesaikan sesuatu yang sangat penting artinya.</v>
      </c>
      <c r="BQ12" s="95" t="str">
        <f>IFERROR(__xludf.DUMMYFUNCTION("""COMPUTED_VALUE"""),"A Saya ingin mengerjakannya tugas sampai selesai.")</f>
        <v>A Saya ingin mengerjakannya tugas sampai selesai.</v>
      </c>
      <c r="BR12" s="95" t="str">
        <f>IFERROR(__xludf.DUMMYFUNCTION("""COMPUTED_VALUE"""),"A Saya suka memaafkan teman-teman saya yang menyakiti hati saya.")</f>
        <v>A Saya suka memaafkan teman-teman saya yang menyakiti hati saya.</v>
      </c>
      <c r="BS12" s="95" t="str">
        <f>IFERROR(__xludf.DUMMYFUNCTION("""COMPUTED_VALUE"""),"B Saya ingin teman-teman saya membantu saya bila saya mengalami kesulitan")</f>
        <v>B Saya ingin teman-teman saya membantu saya bila saya mengalami kesulitan</v>
      </c>
      <c r="BT12" s="95" t="str">
        <f>IFERROR(__xludf.DUMMYFUNCTION("""COMPUTED_VALUE"""),"B Saya ingin teman-teman banyak menunjukkan rasa sayang mereka terhadap saya.")</f>
        <v>B Saya ingin teman-teman banyak menunjukkan rasa sayang mereka terhadap saya.</v>
      </c>
      <c r="BU12" s="95" t="str">
        <f>IFERROR(__xludf.DUMMYFUNCTION("""COMPUTED_VALUE"""),"B Saya ingin agar teman-teman saya merasa kasihan pada saya apabila saya sakit.")</f>
        <v>B Saya ingin agar teman-teman saya merasa kasihan pada saya apabila saya sakit.</v>
      </c>
      <c r="BV12" s="95" t="str">
        <f>IFERROR(__xludf.DUMMYFUNCTION("""COMPUTED_VALUE"""),"B Saya ingin teman-teman dengan gembira memberikan pertolongan kepada saya.")</f>
        <v>B Saya ingin teman-teman dengan gembira memberikan pertolongan kepada saya.</v>
      </c>
      <c r="BW12" s="95" t="str">
        <f>IFERROR(__xludf.DUMMYFUNCTION("""COMPUTED_VALUE"""),"B Saya ingin diperlakukan dengan baik oleh teman-teman saya.")</f>
        <v>B Saya ingin diperlakukan dengan baik oleh teman-teman saya.</v>
      </c>
      <c r="BX12" s="95" t="str">
        <f>IFERROR(__xludf.DUMMYFUNCTION("""COMPUTED_VALUE"""),"A Saya ingin memperolok-olok orang yang saya anggap melakukan tindakan bodoh.")</f>
        <v>A Saya ingin memperolok-olok orang yang saya anggap melakukan tindakan bodoh.</v>
      </c>
      <c r="BY12" s="95" t="str">
        <f>IFERROR(__xludf.DUMMYFUNCTION("""COMPUTED_VALUE"""),"A Saya suka melamun atau membayangkan hal-hal yang tidak jelas.")</f>
        <v>A Saya suka melamun atau membayangkan hal-hal yang tidak jelas.</v>
      </c>
      <c r="BZ12" s="95" t="str">
        <f>IFERROR(__xludf.DUMMYFUNCTION("""COMPUTED_VALUE"""),"B Saya suka diperhatikan, apabila saya ada di dalam suatu kelompok.")</f>
        <v>B Saya suka diperhatikan, apabila saya ada di dalam suatu kelompok.</v>
      </c>
      <c r="CA12" s="95" t="str">
        <f>IFERROR(__xludf.DUMMYFUNCTION("""COMPUTED_VALUE"""),"A Saya ingin teman-teman dengan gembira memberikan pertolongan kepada saya.")</f>
        <v>A Saya ingin teman-teman dengan gembira memberikan pertolongan kepada saya.</v>
      </c>
      <c r="CB12" s="95" t="str">
        <f>IFERROR(__xludf.DUMMYFUNCTION("""COMPUTED_VALUE"""),"B Saya suka berbicara tentang hal-hal yang telah saya capai.")</f>
        <v>B Saya suka berbicara tentang hal-hal yang telah saya capai.</v>
      </c>
      <c r="CC12" s="95" t="str">
        <f>IFERROR(__xludf.DUMMYFUNCTION("""COMPUTED_VALUE"""),"A Apabila saya berkumpul dalam kelompok, saya ingin dihargai teman-teman.")</f>
        <v>A Apabila saya berkumpul dalam kelompok, saya ingin dihargai teman-teman.</v>
      </c>
      <c r="CD12" s="95" t="str">
        <f>IFERROR(__xludf.DUMMYFUNCTION("""COMPUTED_VALUE"""),"A Saya suka menyelesaikan setiap tugas meskipun membutuhkan waktu lama.")</f>
        <v>A Saya suka menyelesaikan setiap tugas meskipun membutuhkan waktu lama.</v>
      </c>
      <c r="CE12" s="95" t="str">
        <f>IFERROR(__xludf.DUMMYFUNCTION("""COMPUTED_VALUE"""),"A Saya suka menyelesaikan setiap tugas belajar yang telah saya mulai.")</f>
        <v>A Saya suka menyelesaikan setiap tugas belajar yang telah saya mulai.</v>
      </c>
      <c r="CF12" s="95" t="str">
        <f>IFERROR(__xludf.DUMMYFUNCTION("""COMPUTED_VALUE"""),"A Saya ingin agar hidup saya teratur sesuai cita-cita saya.")</f>
        <v>A Saya ingin agar hidup saya teratur sesuai cita-cita saya.</v>
      </c>
      <c r="CG12" s="95" t="str">
        <f>IFERROR(__xludf.DUMMYFUNCTION("""COMPUTED_VALUE"""),"A Saya ingin berhasil dalam apa yang saya lakukan.")</f>
        <v>A Saya ingin berhasil dalam apa yang saya lakukan.</v>
      </c>
      <c r="CH12" s="95" t="str">
        <f>IFERROR(__xludf.DUMMYFUNCTION("""COMPUTED_VALUE"""),"A Saya ingin bisa melakukan dengan baik sesuatu pekerjaan sulit.")</f>
        <v>A Saya ingin bisa melakukan dengan baik sesuatu pekerjaan sulit.</v>
      </c>
      <c r="CI12" s="95" t="str">
        <f>IFERROR(__xludf.DUMMYFUNCTION("""COMPUTED_VALUE"""),"A Saya suka belajar saya teratur dan ada waktu-waktu tertentu untuk belajar.")</f>
        <v>A Saya suka belajar saya teratur dan ada waktu-waktu tertentu untuk belajar.</v>
      </c>
      <c r="CJ12" s="95" t="str">
        <f>IFERROR(__xludf.DUMMYFUNCTION("""COMPUTED_VALUE"""),"A Saya ingin tidak tergantung dari orang lain terhadap apa yang akan saya lakukan.")</f>
        <v>A Saya ingin tidak tergantung dari orang lain terhadap apa yang akan saya lakukan.</v>
      </c>
      <c r="CK12" s="95" t="str">
        <f>IFERROR(__xludf.DUMMYFUNCTION("""COMPUTED_VALUE"""),"A Saya suka bertahan menghadapi satu masalah, meskipun belum tentu berhasil.")</f>
        <v>A Saya suka bertahan menghadapi satu masalah, meskipun belum tentu berhasil.</v>
      </c>
      <c r="CL12" s="95" t="str">
        <f>IFERROR(__xludf.DUMMYFUNCTION("""COMPUTED_VALUE"""),"A Saya suka menolong teman-teman saya, apabila mereka dalam kesulitan.")</f>
        <v>A Saya suka menolong teman-teman saya, apabila mereka dalam kesulitan.</v>
      </c>
      <c r="CM12" s="95" t="str">
        <f>IFERROR(__xludf.DUMMYFUNCTION("""COMPUTED_VALUE"""),"B Saya merasa kagum pada seseorang.")</f>
        <v>B Saya merasa kagum pada seseorang.</v>
      </c>
      <c r="CN12" s="95" t="str">
        <f>IFERROR(__xludf.DUMMYFUNCTION("""COMPUTED_VALUE"""),"A Saya ingin diperlakukan dengan baik oleh teman-teman saya.")</f>
        <v>A Saya ingin diperlakukan dengan baik oleh teman-teman saya.</v>
      </c>
      <c r="CO12" s="95" t="str">
        <f>IFERROR(__xludf.DUMMYFUNCTION("""COMPUTED_VALUE"""),"B Saya suka memuji orang yang saya kagumi.")</f>
        <v>B Saya suka memuji orang yang saya kagumi.</v>
      </c>
      <c r="CP12" s="95" t="str">
        <f>IFERROR(__xludf.DUMMYFUNCTION("""COMPUTED_VALUE"""),"A Saya suka melamun atau membayangkan sesuatu sendirian.")</f>
        <v>A Saya suka melamun atau membayangkan sesuatu sendirian.</v>
      </c>
      <c r="CQ12" s="95" t="str">
        <f>IFERROR(__xludf.DUMMYFUNCTION("""COMPUTED_VALUE"""),"B Saya merasa kagum pada seseorang.")</f>
        <v>B Saya merasa kagum pada seseorang.</v>
      </c>
      <c r="CR12" s="95" t="str">
        <f>IFERROR(__xludf.DUMMYFUNCTION("""COMPUTED_VALUE"""),"B Saya rasanya ingin mengecam seseorang bila orang itu menjengkelkan.")</f>
        <v>B Saya rasanya ingin mengecam seseorang bila orang itu menjengkelkan.</v>
      </c>
      <c r="CS12" s="95" t="str">
        <f>IFERROR(__xludf.DUMMYFUNCTION("""COMPUTED_VALUE"""),"A Saya ingin terlihat menarik di depan teman-teman saya.")</f>
        <v>A Saya ingin terlihat menarik di depan teman-teman saya.</v>
      </c>
      <c r="CT12" s="95" t="str">
        <f>IFERROR(__xludf.DUMMYFUNCTION("""COMPUTED_VALUE"""),"A Saya ingin orang-orang memperhatikan komentar mengenai penampilan saya.")</f>
        <v>A Saya ingin orang-orang memperhatikan komentar mengenai penampilan saya.</v>
      </c>
      <c r="CU12" s="95" t="str">
        <f>IFERROR(__xludf.DUMMYFUNCTION("""COMPUTED_VALUE"""),"A Saya ingin diperlakukan dengan ramah oleh teman-teman saya.")</f>
        <v>A Saya ingin diperlakukan dengan ramah oleh teman-teman saya.</v>
      </c>
      <c r="CV12" s="95" t="str">
        <f>IFERROR(__xludf.DUMMYFUNCTION("""COMPUTED_VALUE"""),"A Saya ingin ditunjuk atau dipilih sebagai ketua dalam suatu kelompok.")</f>
        <v>A Saya ingin ditunjuk atau dipilih sebagai ketua dalam suatu kelompok.</v>
      </c>
      <c r="CW12" s="95" t="str">
        <f>IFERROR(__xludf.DUMMYFUNCTION("""COMPUTED_VALUE"""),"A Saya suka menolong teman-teman saya, apabila mereka dalam kesulitan.")</f>
        <v>A Saya suka menolong teman-teman saya, apabila mereka dalam kesulitan.</v>
      </c>
      <c r="CX12" s="95" t="str">
        <f>IFERROR(__xludf.DUMMYFUNCTION("""COMPUTED_VALUE"""),"A Saya suka belajar sampai malam untuk menyelesaikan suatu tugas.")</f>
        <v>A Saya suka belajar sampai malam untuk menyelesaikan suatu tugas.</v>
      </c>
      <c r="CY12" s="95" t="str">
        <f>IFERROR(__xludf.DUMMYFUNCTION("""COMPUTED_VALUE"""),"A Saya ingin tidak tergantung dari orang lain terhadap apa yang akan saya lakukan.")</f>
        <v>A Saya ingin tidak tergantung dari orang lain terhadap apa yang akan saya lakukan.</v>
      </c>
      <c r="CZ12" s="95" t="str">
        <f>IFERROR(__xludf.DUMMYFUNCTION("""COMPUTED_VALUE"""),"A Saya suka merencanakan dan mengatur setiap pekerjaan yang harus saya lakukan.")</f>
        <v>A Saya suka merencanakan dan mengatur setiap pekerjaan yang harus saya lakukan.</v>
      </c>
      <c r="DA12" s="95" t="str">
        <f>IFERROR(__xludf.DUMMYFUNCTION("""COMPUTED_VALUE"""),"A Saya ingin melakukan apa saja sebaik mungkin.")</f>
        <v>A Saya ingin melakukan apa saja sebaik mungkin.</v>
      </c>
      <c r="DB12" s="89" t="s">
        <v>23</v>
      </c>
      <c r="DC12" s="97" t="str">
        <f t="shared" ref="DC12:GX12" si="57">LEFT(F12,1)</f>
        <v>A</v>
      </c>
      <c r="DD12" s="97" t="str">
        <f t="shared" si="57"/>
        <v>B</v>
      </c>
      <c r="DE12" s="97" t="str">
        <f t="shared" si="57"/>
        <v>B</v>
      </c>
      <c r="DF12" s="97" t="str">
        <f t="shared" si="57"/>
        <v>B</v>
      </c>
      <c r="DG12" s="97" t="str">
        <f t="shared" si="57"/>
        <v>A</v>
      </c>
      <c r="DH12" s="97" t="str">
        <f t="shared" si="57"/>
        <v>B</v>
      </c>
      <c r="DI12" s="97" t="str">
        <f t="shared" si="57"/>
        <v>B</v>
      </c>
      <c r="DJ12" s="97" t="str">
        <f t="shared" si="57"/>
        <v>B</v>
      </c>
      <c r="DK12" s="97" t="str">
        <f t="shared" si="57"/>
        <v>B</v>
      </c>
      <c r="DL12" s="97" t="str">
        <f t="shared" si="57"/>
        <v>B</v>
      </c>
      <c r="DM12" s="97" t="str">
        <f t="shared" si="57"/>
        <v>B</v>
      </c>
      <c r="DN12" s="97" t="str">
        <f t="shared" si="57"/>
        <v>B</v>
      </c>
      <c r="DO12" s="97" t="str">
        <f t="shared" si="57"/>
        <v>B</v>
      </c>
      <c r="DP12" s="97" t="str">
        <f t="shared" si="57"/>
        <v>A</v>
      </c>
      <c r="DQ12" s="97" t="str">
        <f t="shared" si="57"/>
        <v>B</v>
      </c>
      <c r="DR12" s="97" t="str">
        <f t="shared" si="57"/>
        <v>B</v>
      </c>
      <c r="DS12" s="97" t="str">
        <f t="shared" si="57"/>
        <v>B</v>
      </c>
      <c r="DT12" s="97" t="str">
        <f t="shared" si="57"/>
        <v>B</v>
      </c>
      <c r="DU12" s="97" t="str">
        <f t="shared" si="57"/>
        <v>B</v>
      </c>
      <c r="DV12" s="97" t="str">
        <f t="shared" si="57"/>
        <v>A</v>
      </c>
      <c r="DW12" s="97" t="str">
        <f t="shared" si="57"/>
        <v>A</v>
      </c>
      <c r="DX12" s="97" t="str">
        <f t="shared" si="57"/>
        <v>B</v>
      </c>
      <c r="DY12" s="97" t="str">
        <f t="shared" si="57"/>
        <v>B</v>
      </c>
      <c r="DZ12" s="97" t="str">
        <f t="shared" si="57"/>
        <v>B</v>
      </c>
      <c r="EA12" s="97" t="str">
        <f t="shared" si="57"/>
        <v>A</v>
      </c>
      <c r="EB12" s="97" t="str">
        <f t="shared" si="57"/>
        <v>B</v>
      </c>
      <c r="EC12" s="97" t="str">
        <f t="shared" si="57"/>
        <v>A</v>
      </c>
      <c r="ED12" s="97" t="str">
        <f t="shared" si="57"/>
        <v>B</v>
      </c>
      <c r="EE12" s="97" t="str">
        <f t="shared" si="57"/>
        <v>A</v>
      </c>
      <c r="EF12" s="97" t="str">
        <f t="shared" si="57"/>
        <v>B</v>
      </c>
      <c r="EG12" s="97" t="str">
        <f t="shared" si="57"/>
        <v>B</v>
      </c>
      <c r="EH12" s="97" t="str">
        <f t="shared" si="57"/>
        <v>B</v>
      </c>
      <c r="EI12" s="97" t="str">
        <f t="shared" si="57"/>
        <v>B</v>
      </c>
      <c r="EJ12" s="97" t="str">
        <f t="shared" si="57"/>
        <v>A</v>
      </c>
      <c r="EK12" s="97" t="str">
        <f t="shared" si="57"/>
        <v>A</v>
      </c>
      <c r="EL12" s="97" t="str">
        <f t="shared" si="57"/>
        <v>A</v>
      </c>
      <c r="EM12" s="97" t="str">
        <f t="shared" si="57"/>
        <v>B</v>
      </c>
      <c r="EN12" s="97" t="str">
        <f t="shared" si="57"/>
        <v>A</v>
      </c>
      <c r="EO12" s="97" t="str">
        <f t="shared" si="57"/>
        <v>A</v>
      </c>
      <c r="EP12" s="97" t="str">
        <f t="shared" si="57"/>
        <v>A</v>
      </c>
      <c r="EQ12" s="97" t="str">
        <f t="shared" si="57"/>
        <v>B</v>
      </c>
      <c r="ER12" s="97" t="str">
        <f t="shared" si="57"/>
        <v>A</v>
      </c>
      <c r="ES12" s="97" t="str">
        <f t="shared" si="57"/>
        <v>B</v>
      </c>
      <c r="ET12" s="97" t="str">
        <f t="shared" si="57"/>
        <v>A</v>
      </c>
      <c r="EU12" s="97" t="str">
        <f t="shared" si="57"/>
        <v>B</v>
      </c>
      <c r="EV12" s="97" t="str">
        <f t="shared" si="57"/>
        <v>B</v>
      </c>
      <c r="EW12" s="97" t="str">
        <f t="shared" si="57"/>
        <v>B</v>
      </c>
      <c r="EX12" s="97" t="str">
        <f t="shared" si="57"/>
        <v>B</v>
      </c>
      <c r="EY12" s="97" t="str">
        <f t="shared" si="57"/>
        <v>B</v>
      </c>
      <c r="EZ12" s="97" t="str">
        <f t="shared" si="57"/>
        <v>B</v>
      </c>
      <c r="FA12" s="97" t="str">
        <f t="shared" si="57"/>
        <v>B</v>
      </c>
      <c r="FB12" s="97" t="str">
        <f t="shared" si="57"/>
        <v>A</v>
      </c>
      <c r="FC12" s="97" t="str">
        <f t="shared" si="57"/>
        <v>B</v>
      </c>
      <c r="FD12" s="97" t="str">
        <f t="shared" si="57"/>
        <v>A</v>
      </c>
      <c r="FE12" s="97" t="str">
        <f t="shared" si="57"/>
        <v>B</v>
      </c>
      <c r="FF12" s="97" t="str">
        <f t="shared" si="57"/>
        <v>A</v>
      </c>
      <c r="FG12" s="97" t="str">
        <f t="shared" si="57"/>
        <v>A</v>
      </c>
      <c r="FH12" s="97" t="str">
        <f t="shared" si="57"/>
        <v>A</v>
      </c>
      <c r="FI12" s="97" t="str">
        <f t="shared" si="57"/>
        <v>A</v>
      </c>
      <c r="FJ12" s="97" t="str">
        <f t="shared" si="57"/>
        <v>A</v>
      </c>
      <c r="FK12" s="97" t="str">
        <f t="shared" si="57"/>
        <v>A</v>
      </c>
      <c r="FL12" s="97" t="str">
        <f t="shared" si="57"/>
        <v>B</v>
      </c>
      <c r="FM12" s="97" t="str">
        <f t="shared" si="57"/>
        <v>A</v>
      </c>
      <c r="FN12" s="97" t="str">
        <f t="shared" si="57"/>
        <v>A</v>
      </c>
      <c r="FO12" s="97" t="str">
        <f t="shared" si="57"/>
        <v>A</v>
      </c>
      <c r="FP12" s="97" t="str">
        <f t="shared" si="57"/>
        <v>B</v>
      </c>
      <c r="FQ12" s="97" t="str">
        <f t="shared" si="57"/>
        <v>B</v>
      </c>
      <c r="FR12" s="97" t="str">
        <f t="shared" si="57"/>
        <v>B</v>
      </c>
      <c r="FS12" s="97" t="str">
        <f t="shared" si="57"/>
        <v>B</v>
      </c>
      <c r="FT12" s="97" t="str">
        <f t="shared" si="57"/>
        <v>B</v>
      </c>
      <c r="FU12" s="97" t="str">
        <f t="shared" si="57"/>
        <v>A</v>
      </c>
      <c r="FV12" s="97" t="str">
        <f t="shared" si="57"/>
        <v>A</v>
      </c>
      <c r="FW12" s="97" t="str">
        <f t="shared" si="57"/>
        <v>B</v>
      </c>
      <c r="FX12" s="97" t="str">
        <f t="shared" si="57"/>
        <v>A</v>
      </c>
      <c r="FY12" s="97" t="str">
        <f t="shared" si="57"/>
        <v>B</v>
      </c>
      <c r="FZ12" s="97" t="str">
        <f t="shared" si="57"/>
        <v>A</v>
      </c>
      <c r="GA12" s="97" t="str">
        <f t="shared" si="57"/>
        <v>A</v>
      </c>
      <c r="GB12" s="97" t="str">
        <f t="shared" si="57"/>
        <v>A</v>
      </c>
      <c r="GC12" s="97" t="str">
        <f t="shared" si="57"/>
        <v>A</v>
      </c>
      <c r="GD12" s="97" t="str">
        <f t="shared" si="57"/>
        <v>A</v>
      </c>
      <c r="GE12" s="97" t="str">
        <f t="shared" si="57"/>
        <v>A</v>
      </c>
      <c r="GF12" s="97" t="str">
        <f t="shared" si="57"/>
        <v>A</v>
      </c>
      <c r="GG12" s="97" t="str">
        <f t="shared" si="57"/>
        <v>A</v>
      </c>
      <c r="GH12" s="97" t="str">
        <f t="shared" si="57"/>
        <v>A</v>
      </c>
      <c r="GI12" s="97" t="str">
        <f t="shared" si="57"/>
        <v>A</v>
      </c>
      <c r="GJ12" s="97" t="str">
        <f t="shared" si="57"/>
        <v>B</v>
      </c>
      <c r="GK12" s="97" t="str">
        <f t="shared" si="57"/>
        <v>A</v>
      </c>
      <c r="GL12" s="97" t="str">
        <f t="shared" si="57"/>
        <v>B</v>
      </c>
      <c r="GM12" s="97" t="str">
        <f t="shared" si="57"/>
        <v>A</v>
      </c>
      <c r="GN12" s="97" t="str">
        <f t="shared" si="57"/>
        <v>B</v>
      </c>
      <c r="GO12" s="97" t="str">
        <f t="shared" si="57"/>
        <v>B</v>
      </c>
      <c r="GP12" s="97" t="str">
        <f t="shared" si="57"/>
        <v>A</v>
      </c>
      <c r="GQ12" s="97" t="str">
        <f t="shared" si="57"/>
        <v>A</v>
      </c>
      <c r="GR12" s="97" t="str">
        <f t="shared" si="57"/>
        <v>A</v>
      </c>
      <c r="GS12" s="97" t="str">
        <f t="shared" si="57"/>
        <v>A</v>
      </c>
      <c r="GT12" s="97" t="str">
        <f t="shared" si="57"/>
        <v>A</v>
      </c>
      <c r="GU12" s="97" t="str">
        <f t="shared" si="57"/>
        <v>A</v>
      </c>
      <c r="GV12" s="97" t="str">
        <f t="shared" si="57"/>
        <v>A</v>
      </c>
      <c r="GW12" s="97" t="str">
        <f t="shared" si="57"/>
        <v>A</v>
      </c>
      <c r="GX12" s="97" t="str">
        <f t="shared" si="57"/>
        <v>A</v>
      </c>
      <c r="GY12" s="98"/>
      <c r="GZ12" s="97">
        <f t="shared" si="3"/>
        <v>51</v>
      </c>
      <c r="HA12" s="97">
        <f t="shared" si="4"/>
        <v>49</v>
      </c>
      <c r="HB12" s="90">
        <f t="shared" si="5"/>
        <v>100</v>
      </c>
      <c r="HC12" s="99"/>
      <c r="HD12" s="97">
        <f t="shared" si="6"/>
        <v>8</v>
      </c>
      <c r="HE12" s="97">
        <f t="shared" si="7"/>
        <v>8</v>
      </c>
      <c r="HF12" s="90">
        <f t="shared" si="8"/>
        <v>16</v>
      </c>
      <c r="HG12" s="99"/>
      <c r="HH12" s="97">
        <f t="shared" si="9"/>
        <v>6</v>
      </c>
      <c r="HI12" s="97">
        <f t="shared" si="10"/>
        <v>8</v>
      </c>
      <c r="HJ12" s="90">
        <f t="shared" si="11"/>
        <v>14</v>
      </c>
      <c r="HK12" s="99"/>
      <c r="HL12" s="97">
        <f t="shared" si="12"/>
        <v>6</v>
      </c>
      <c r="HM12" s="97">
        <f t="shared" si="13"/>
        <v>6</v>
      </c>
      <c r="HN12" s="90">
        <f t="shared" si="14"/>
        <v>12</v>
      </c>
      <c r="HO12" s="99"/>
      <c r="HP12" s="97">
        <f t="shared" si="15"/>
        <v>6</v>
      </c>
      <c r="HQ12" s="97">
        <f t="shared" si="16"/>
        <v>4</v>
      </c>
      <c r="HR12" s="90">
        <f t="shared" si="17"/>
        <v>10</v>
      </c>
      <c r="HS12" s="99"/>
      <c r="HT12" s="97">
        <f t="shared" si="18"/>
        <v>8</v>
      </c>
      <c r="HU12" s="97">
        <f t="shared" si="19"/>
        <v>8</v>
      </c>
      <c r="HV12" s="90">
        <f t="shared" si="20"/>
        <v>16</v>
      </c>
      <c r="HW12" s="99"/>
      <c r="HX12" s="97">
        <f t="shared" si="21"/>
        <v>2</v>
      </c>
      <c r="HY12" s="97">
        <f t="shared" si="22"/>
        <v>3</v>
      </c>
      <c r="HZ12" s="90">
        <f t="shared" si="23"/>
        <v>5</v>
      </c>
      <c r="IA12" s="99"/>
      <c r="IB12" s="97">
        <f t="shared" si="24"/>
        <v>7</v>
      </c>
      <c r="IC12" s="97">
        <f t="shared" si="25"/>
        <v>6</v>
      </c>
      <c r="ID12" s="90">
        <f t="shared" si="26"/>
        <v>13</v>
      </c>
      <c r="IE12" s="99"/>
      <c r="IF12" s="97">
        <f t="shared" si="27"/>
        <v>1</v>
      </c>
      <c r="IG12" s="97">
        <f t="shared" si="28"/>
        <v>2</v>
      </c>
      <c r="IH12" s="90">
        <f t="shared" si="29"/>
        <v>3</v>
      </c>
      <c r="II12" s="99"/>
      <c r="IJ12" s="97">
        <f t="shared" si="30"/>
        <v>4</v>
      </c>
      <c r="IK12" s="97">
        <f t="shared" si="31"/>
        <v>3</v>
      </c>
      <c r="IL12" s="90">
        <f t="shared" si="32"/>
        <v>7</v>
      </c>
      <c r="IM12" s="99"/>
      <c r="IN12" s="97">
        <f t="shared" si="33"/>
        <v>1</v>
      </c>
      <c r="IO12" s="97">
        <f t="shared" si="34"/>
        <v>1</v>
      </c>
      <c r="IP12" s="90">
        <f t="shared" si="35"/>
        <v>2</v>
      </c>
      <c r="IQ12" s="99"/>
      <c r="IR12" s="99"/>
      <c r="IS12" s="100">
        <f t="shared" si="36"/>
        <v>16</v>
      </c>
      <c r="IT12" s="100">
        <f t="shared" si="37"/>
        <v>14</v>
      </c>
      <c r="IU12" s="100">
        <f t="shared" si="38"/>
        <v>12</v>
      </c>
      <c r="IV12" s="100">
        <f t="shared" si="39"/>
        <v>10</v>
      </c>
      <c r="IW12" s="100">
        <f t="shared" si="40"/>
        <v>16</v>
      </c>
      <c r="IX12" s="100">
        <f t="shared" si="41"/>
        <v>5</v>
      </c>
      <c r="IY12" s="100">
        <f t="shared" si="42"/>
        <v>13</v>
      </c>
      <c r="IZ12" s="100">
        <f t="shared" si="43"/>
        <v>3</v>
      </c>
      <c r="JA12" s="100">
        <f t="shared" si="44"/>
        <v>7</v>
      </c>
      <c r="JB12" s="101">
        <f t="shared" si="45"/>
        <v>2</v>
      </c>
      <c r="JC12" s="102">
        <f t="shared" si="46"/>
        <v>98</v>
      </c>
      <c r="JD12" s="67">
        <f t="shared" si="50"/>
        <v>0</v>
      </c>
      <c r="JE12" s="67">
        <f t="shared" si="47"/>
        <v>1</v>
      </c>
      <c r="JF12" s="67">
        <f t="shared" si="48"/>
        <v>1</v>
      </c>
    </row>
    <row r="13">
      <c r="A13" s="103">
        <f>IFERROR(__xludf.DUMMYFUNCTION("""COMPUTED_VALUE"""),45920.7273887037)</f>
        <v>45920.72739</v>
      </c>
      <c r="B13" s="95" t="str">
        <f>IFERROR(__xludf.DUMMYFUNCTION("""COMPUTED_VALUE"""),"Ambia Addaruqutni Julpasa")</f>
        <v>Ambia Addaruqutni Julpasa</v>
      </c>
      <c r="C13" s="96" t="str">
        <f>IFERROR(__xludf.DUMMYFUNCTION("""COMPUTED_VALUE"""),"A250066")</f>
        <v>A250066</v>
      </c>
      <c r="D13" s="96" t="str">
        <f>IFERROR(__xludf.DUMMYFUNCTION("""COMPUTED_VALUE"""),"MTs Putra")</f>
        <v>MTs Putra</v>
      </c>
      <c r="E13" s="96" t="str">
        <f>IFERROR(__xludf.DUMMYFUNCTION("""COMPUTED_VALUE"""),"Ya")</f>
        <v>Ya</v>
      </c>
      <c r="F13" s="95" t="str">
        <f>IFERROR(__xludf.DUMMYFUNCTION("""COMPUTED_VALUE"""),"B Saya ingin melakukan apa saja sebaik mungkin.")</f>
        <v>B Saya ingin melakukan apa saja sebaik mungkin.</v>
      </c>
      <c r="G13" s="95" t="str">
        <f>IFERROR(__xludf.DUMMYFUNCTION("""COMPUTED_VALUE"""),"A Saya ingin setiap tulisan saya teliti, rapi, dan tersusun dengan baik.")</f>
        <v>A Saya ingin setiap tulisan saya teliti, rapi, dan tersusun dengan baik.</v>
      </c>
      <c r="H13" s="95" t="str">
        <f>IFERROR(__xludf.DUMMYFUNCTION("""COMPUTED_VALUE"""),"A Saya ingin berbuat sesuai kata hati saya.")</f>
        <v>A Saya ingin berbuat sesuai kata hati saya.</v>
      </c>
      <c r="I13" s="95" t="str">
        <f>IFERROR(__xludf.DUMMYFUNCTION("""COMPUTED_VALUE"""),"B Saya ingin bisa melakukan dengan baik meskipun tugas yang sulit.")</f>
        <v>B Saya ingin bisa melakukan dengan baik meskipun tugas yang sulit.</v>
      </c>
      <c r="J13" s="95" t="str">
        <f>IFERROR(__xludf.DUMMYFUNCTION("""COMPUTED_VALUE"""),"A Saya suka membantu teman-teman saya apabila mereka mengalami kesulitan.")</f>
        <v>A Saya suka membantu teman-teman saya apabila mereka mengalami kesulitan.</v>
      </c>
      <c r="K13" s="95" t="str">
        <f>IFERROR(__xludf.DUMMYFUNCTION("""COMPUTED_VALUE"""),"B Saya ingin mengatakan telah melakukan dengan baik sesuatu tugas yang sulit.")</f>
        <v>B Saya ingin mengatakan telah melakukan dengan baik sesuatu tugas yang sulit.</v>
      </c>
      <c r="L13" s="95" t="str">
        <f>IFERROR(__xludf.DUMMYFUNCTION("""COMPUTED_VALUE"""),"B Saya ingin mengatakan telah melakukan dengan baik sesuatu tugas yang sulit")</f>
        <v>B Saya ingin mengatakan telah melakukan dengan baik sesuatu tugas yang sulit</v>
      </c>
      <c r="M13" s="95" t="str">
        <f>IFERROR(__xludf.DUMMYFUNCTION("""COMPUTED_VALUE"""),"A Saya suka berbicara tentang hal-hal yang telah berhasil saya lakukan.")</f>
        <v>A Saya suka berbicara tentang hal-hal yang telah berhasil saya lakukan.</v>
      </c>
      <c r="N13" s="95" t="str">
        <f>IFERROR(__xludf.DUMMYFUNCTION("""COMPUTED_VALUE"""),"B Saya suka memecahkan persoalan yang sukar bagi orang lain.")</f>
        <v>B Saya suka memecahkan persoalan yang sukar bagi orang lain.</v>
      </c>
      <c r="O13" s="95" t="str">
        <f>IFERROR(__xludf.DUMMYFUNCTION("""COMPUTED_VALUE"""),"B Saya suka melakukan tugas sebaik mungkin.")</f>
        <v>B Saya suka melakukan tugas sebaik mungkin.</v>
      </c>
      <c r="P13" s="95" t="str">
        <f>IFERROR(__xludf.DUMMYFUNCTION("""COMPUTED_VALUE"""),"B Saya ingin setiap belajar itu teratur dan direncanakan.")</f>
        <v>B Saya ingin setiap belajar itu teratur dan direncanakan.</v>
      </c>
      <c r="Q13" s="95" t="str">
        <f>IFERROR(__xludf.DUMMYFUNCTION("""COMPUTED_VALUE"""),"B Saya merencanakan keperluan yang dibutuhkan sebelum bepergian.")</f>
        <v>B Saya merencanakan keperluan yang dibutuhkan sebelum bepergian.</v>
      </c>
      <c r="R13" s="95" t="str">
        <f>IFERROR(__xludf.DUMMYFUNCTION("""COMPUTED_VALUE"""),"B Saya suka barang-barang saya tersusun rapi dan teratur.")</f>
        <v>B Saya suka barang-barang saya tersusun rapi dan teratur.</v>
      </c>
      <c r="S13" s="95" t="str">
        <f>IFERROR(__xludf.DUMMYFUNCTION("""COMPUTED_VALUE"""),"B Saya suka membuat perencanaan sebelum memulai tugas yang sulit.")</f>
        <v>B Saya suka membuat perencanaan sebelum memulai tugas yang sulit.</v>
      </c>
      <c r="T13" s="95" t="str">
        <f>IFERROR(__xludf.DUMMYFUNCTION("""COMPUTED_VALUE"""),"B Saya ingin agar hidup saya teratur sesuai cita-cita saya.")</f>
        <v>B Saya ingin agar hidup saya teratur sesuai cita-cita saya.</v>
      </c>
      <c r="U13" s="95" t="str">
        <f>IFERROR(__xludf.DUMMYFUNCTION("""COMPUTED_VALUE"""),"A Saya suka memberikan bantuan kepada teman-teman saya.")</f>
        <v>A Saya suka memberikan bantuan kepada teman-teman saya.</v>
      </c>
      <c r="V13" s="95" t="str">
        <f>IFERROR(__xludf.DUMMYFUNCTION("""COMPUTED_VALUE"""),"A Saya suka belajar sampai malam untuk menyelesaikan suatu tugas.")</f>
        <v>A Saya suka belajar sampai malam untuk menyelesaikan suatu tugas.</v>
      </c>
      <c r="W13" s="95" t="str">
        <f>IFERROR(__xludf.DUMMYFUNCTION("""COMPUTED_VALUE"""),"B Saya ingin kegiatan itu teratur dan direncanakan.")</f>
        <v>B Saya ingin kegiatan itu teratur dan direncanakan.</v>
      </c>
      <c r="X13" s="95" t="str">
        <f>IFERROR(__xludf.DUMMYFUNCTION("""COMPUTED_VALUE"""),"B Saya ingin agar hidup saya teratur sesuai cita-cita saya.")</f>
        <v>B Saya ingin agar hidup saya teratur sesuai cita-cita saya.</v>
      </c>
      <c r="Y13" s="95" t="str">
        <f>IFERROR(__xludf.DUMMYFUNCTION("""COMPUTED_VALUE"""),"B Saya senang merencanakan untuk masa depan.")</f>
        <v>B Saya senang merencanakan untuk masa depan.</v>
      </c>
      <c r="Z13" s="95" t="str">
        <f>IFERROR(__xludf.DUMMYFUNCTION("""COMPUTED_VALUE"""),"A Saya ingin berhasil dengan belajar yang saya lakukan.")</f>
        <v>A Saya ingin berhasil dengan belajar yang saya lakukan.</v>
      </c>
      <c r="AA13" s="95" t="str">
        <f>IFERROR(__xludf.DUMMYFUNCTION("""COMPUTED_VALUE"""),"A Saya suka menyelesaikan tugas yang telah saya rencanakan.")</f>
        <v>A Saya suka menyelesaikan tugas yang telah saya rencanakan.</v>
      </c>
      <c r="AB13" s="95" t="str">
        <f>IFERROR(__xludf.DUMMYFUNCTION("""COMPUTED_VALUE"""),"B Saya ingin menyelesaikan pekerjaan satu persatu sebelum memulai yang lain.")</f>
        <v>B Saya ingin menyelesaikan pekerjaan satu persatu sebelum memulai yang lain.</v>
      </c>
      <c r="AC13" s="95" t="str">
        <f>IFERROR(__xludf.DUMMYFUNCTION("""COMPUTED_VALUE"""),"A Saya suka menyelesaikan setiap tugas meskipun membutuhkan waktu lama.")</f>
        <v>A Saya suka menyelesaikan setiap tugas meskipun membutuhkan waktu lama.</v>
      </c>
      <c r="AD13" s="95" t="str">
        <f>IFERROR(__xludf.DUMMYFUNCTION("""COMPUTED_VALUE"""),"A Saya suka bermurah hati terhadap teman-teman saya.")</f>
        <v>A Saya suka bermurah hati terhadap teman-teman saya.</v>
      </c>
      <c r="AE13" s="95" t="str">
        <f>IFERROR(__xludf.DUMMYFUNCTION("""COMPUTED_VALUE"""),"A Saya ingin dianggap sebagai pemimpin oleh teman di kelompok.")</f>
        <v>A Saya ingin dianggap sebagai pemimpin oleh teman di kelompok.</v>
      </c>
      <c r="AF13" s="95" t="str">
        <f>IFERROR(__xludf.DUMMYFUNCTION("""COMPUTED_VALUE"""),"B Saya suka melakukan hal-hal dengan cara saya sendiri.")</f>
        <v>B Saya suka melakukan hal-hal dengan cara saya sendiri.</v>
      </c>
      <c r="AG13" s="95" t="str">
        <f>IFERROR(__xludf.DUMMYFUNCTION("""COMPUTED_VALUE"""),"B Saya ingin berhasil dengan tugas yang saya lakukan.")</f>
        <v>B Saya ingin berhasil dengan tugas yang saya lakukan.</v>
      </c>
      <c r="AH13" s="95" t="str">
        <f>IFERROR(__xludf.DUMMYFUNCTION("""COMPUTED_VALUE"""),"A Saya suka membaca buku-buku tentang pergaulan remaja.")</f>
        <v>A Saya suka membaca buku-buku tentang pergaulan remaja.</v>
      </c>
      <c r="AI13" s="95" t="str">
        <f>IFERROR(__xludf.DUMMYFUNCTION("""COMPUTED_VALUE"""),"B Saya suka melakukan kegiatan sesuai kondisi yang saya inginkan.")</f>
        <v>B Saya suka melakukan kegiatan sesuai kondisi yang saya inginkan.</v>
      </c>
      <c r="AJ13" s="95" t="str">
        <f>IFERROR(__xludf.DUMMYFUNCTION("""COMPUTED_VALUE"""),"B Saya suka bertahan menghadapi satu masalah meskipun belum tentu berhasil.")</f>
        <v>B Saya suka bertahan menghadapi satu masalah meskipun belum tentu berhasil.</v>
      </c>
      <c r="AK13" s="95" t="str">
        <f>IFERROR(__xludf.DUMMYFUNCTION("""COMPUTED_VALUE"""),"B Bila saya harus melakukan suatu tugas, saya ingin mengerjakan sampai selesai.")</f>
        <v>B Bila saya harus melakukan suatu tugas, saya ingin mengerjakan sampai selesai.</v>
      </c>
      <c r="AL13" s="95" t="str">
        <f>IFERROR(__xludf.DUMMYFUNCTION("""COMPUTED_VALUE"""),"B Saya ingin menghindarkan gangguan bila saya sedang belajar.")</f>
        <v>B Saya ingin menghindarkan gangguan bila saya sedang belajar.</v>
      </c>
      <c r="AM13" s="95" t="str">
        <f>IFERROR(__xludf.DUMMYFUNCTION("""COMPUTED_VALUE"""),"B Saya suka belajar sampai malam untuk menyelesaikan suatu tugas.")</f>
        <v>B Saya suka belajar sampai malam untuk menyelesaikan suatu tugas.</v>
      </c>
      <c r="AN13" s="95" t="str">
        <f>IFERROR(__xludf.DUMMYFUNCTION("""COMPUTED_VALUE"""),"B Saya ingin bekerja berjam-jam tanpa diganggu.")</f>
        <v>B Saya ingin bekerja berjam-jam tanpa diganggu.</v>
      </c>
      <c r="AO13" s="95" t="str">
        <f>IFERROR(__xludf.DUMMYFUNCTION("""COMPUTED_VALUE"""),"A Saya suka berlaku sangat ramah terhadap teman-teman saya.")</f>
        <v>A Saya suka berlaku sangat ramah terhadap teman-teman saya.</v>
      </c>
      <c r="AP13" s="95" t="str">
        <f>IFERROR(__xludf.DUMMYFUNCTION("""COMPUTED_VALUE"""),"A Saya ingin mengerjakannya tugas sampai selesai.")</f>
        <v>A Saya ingin mengerjakannya tugas sampai selesai.</v>
      </c>
      <c r="AQ13" s="95" t="str">
        <f>IFERROR(__xludf.DUMMYFUNCTION("""COMPUTED_VALUE"""),"B Bila saya harus melakukan suatu tugas, saya ingin mengerjakan sampai selesai.")</f>
        <v>B Bila saya harus melakukan suatu tugas, saya ingin mengerjakan sampai selesai.</v>
      </c>
      <c r="AR13" s="95" t="str">
        <f>IFERROR(__xludf.DUMMYFUNCTION("""COMPUTED_VALUE"""),"A Saya suka menyimpan catatan secara rapi.")</f>
        <v>A Saya suka menyimpan catatan secara rapi.</v>
      </c>
      <c r="AS13" s="95" t="str">
        <f>IFERROR(__xludf.DUMMYFUNCTION("""COMPUTED_VALUE"""),"B Saya suka belajar sampai malam untuk menyelesaikan suatu tugas.")</f>
        <v>B Saya suka belajar sampai malam untuk menyelesaikan suatu tugas.</v>
      </c>
      <c r="AT13" s="95" t="str">
        <f>IFERROR(__xludf.DUMMYFUNCTION("""COMPUTED_VALUE"""),"A Saya ingin bisa melakukan dengan baik sesuatu pekerjaan sulit.")</f>
        <v>A Saya ingin bisa melakukan dengan baik sesuatu pekerjaan sulit.</v>
      </c>
      <c r="AU13" s="95" t="str">
        <f>IFERROR(__xludf.DUMMYFUNCTION("""COMPUTED_VALUE"""),"B Saya suka bermurah hati terhadap teman-teman saya.")</f>
        <v>B Saya suka bermurah hati terhadap teman-teman saya.</v>
      </c>
      <c r="AV13" s="95" t="str">
        <f>IFERROR(__xludf.DUMMYFUNCTION("""COMPUTED_VALUE"""),"B Saya suka menolong teman-teman saya.")</f>
        <v>B Saya suka menolong teman-teman saya.</v>
      </c>
      <c r="AW13" s="95" t="str">
        <f>IFERROR(__xludf.DUMMYFUNCTION("""COMPUTED_VALUE"""),"A Saya ingin mengerjakan tugas sampai selesai.")</f>
        <v>A Saya ingin mengerjakan tugas sampai selesai.</v>
      </c>
      <c r="AX13" s="95" t="str">
        <f>IFERROR(__xludf.DUMMYFUNCTION("""COMPUTED_VALUE"""),"B Saya suka memaafkan teman-teman saya yang menyakiti hati saya.")</f>
        <v>B Saya suka memaafkan teman-teman saya yang menyakiti hati saya.</v>
      </c>
      <c r="AY13" s="95" t="str">
        <f>IFERROR(__xludf.DUMMYFUNCTION("""COMPUTED_VALUE"""),"B Saya suka menolong teman-teman saya apabila mereka dalam kesulitan.")</f>
        <v>B Saya suka menolong teman-teman saya apabila mereka dalam kesulitan.</v>
      </c>
      <c r="AZ13" s="95" t="str">
        <f>IFERROR(__xludf.DUMMYFUNCTION("""COMPUTED_VALUE"""),"B Saya suka menunjukkan simpati saya kepada teman-teman saya.")</f>
        <v>B Saya suka menunjukkan simpati saya kepada teman-teman saya.</v>
      </c>
      <c r="BA13" s="95" t="str">
        <f>IFERROR(__xludf.DUMMYFUNCTION("""COMPUTED_VALUE"""),"B Saya suka memperlakukan orang lain dengan baik dan ramah.")</f>
        <v>B Saya suka memperlakukan orang lain dengan baik dan ramah.</v>
      </c>
      <c r="BB13" s="95" t="str">
        <f>IFERROR(__xludf.DUMMYFUNCTION("""COMPUTED_VALUE"""),"B Saya suka bermurah hati terhadap teman-teman saya.")</f>
        <v>B Saya suka bermurah hati terhadap teman-teman saya.</v>
      </c>
      <c r="BC13" s="95" t="str">
        <f>IFERROR(__xludf.DUMMYFUNCTION("""COMPUTED_VALUE"""),"B Saya suka membantu orang lain yang menurut saya perlu dikasihani.")</f>
        <v>B Saya suka membantu orang lain yang menurut saya perlu dikasihani.</v>
      </c>
      <c r="BD13" s="95" t="str">
        <f>IFERROR(__xludf.DUMMYFUNCTION("""COMPUTED_VALUE"""),"B Saya suka bersikukuh dengan pendirian saya.")</f>
        <v>B Saya suka bersikukuh dengan pendirian saya.</v>
      </c>
      <c r="BE13" s="95" t="str">
        <f>IFERROR(__xludf.DUMMYFUNCTION("""COMPUTED_VALUE"""),"B Saya ingin orang lain melakukan apa yang saya kehendaki.")</f>
        <v>B Saya ingin orang lain melakukan apa yang saya kehendaki.</v>
      </c>
      <c r="BF13" s="95" t="str">
        <f>IFERROR(__xludf.DUMMYFUNCTION("""COMPUTED_VALUE"""),"B Bila saya dalam kelompok, saya ingin menentukan apa yang akan kita lakukan.")</f>
        <v>B Bila saya dalam kelompok, saya ingin menentukan apa yang akan kita lakukan.</v>
      </c>
      <c r="BG13" s="95" t="str">
        <f>IFERROR(__xludf.DUMMYFUNCTION("""COMPUTED_VALUE"""),"B Saya suka mengarahkan kepada orang lain apa yang harus dilakukan.")</f>
        <v>B Saya suka mengarahkan kepada orang lain apa yang harus dilakukan.</v>
      </c>
      <c r="BH13" s="95" t="str">
        <f>IFERROR(__xludf.DUMMYFUNCTION("""COMPUTED_VALUE"""),"B Apabila saya berkumpul dalam kelompok, saya ingin dihargai teman-teman.")</f>
        <v>B Apabila saya berkumpul dalam kelompok, saya ingin dihargai teman-teman.</v>
      </c>
      <c r="BI13" s="95" t="str">
        <f>IFERROR(__xludf.DUMMYFUNCTION("""COMPUTED_VALUE"""),"A Saya suka bermurah hati terhadap teman-teman saya.")</f>
        <v>A Saya suka bermurah hati terhadap teman-teman saya.</v>
      </c>
      <c r="BJ13" s="95" t="str">
        <f>IFERROR(__xludf.DUMMYFUNCTION("""COMPUTED_VALUE"""),"A Saya ingin mengerjakan tugas sampai selesai.")</f>
        <v>A Saya ingin mengerjakan tugas sampai selesai.</v>
      </c>
      <c r="BK13" s="95" t="str">
        <f>IFERROR(__xludf.DUMMYFUNCTION("""COMPUTED_VALUE"""),"A Saya ingin menyelesaikan pekerjaan satu persatu sebelum memulai yang lain.")</f>
        <v>A Saya ingin menyelesaikan pekerjaan satu persatu sebelum memulai yang lain.</v>
      </c>
      <c r="BL13" s="95" t="str">
        <f>IFERROR(__xludf.DUMMYFUNCTION("""COMPUTED_VALUE"""),"A Saya suka belajar saya teratur dan ada waktu-waktu tertentu untuk belajar.")</f>
        <v>A Saya suka belajar saya teratur dan ada waktu-waktu tertentu untuk belajar.</v>
      </c>
      <c r="BM13" s="95" t="str">
        <f>IFERROR(__xludf.DUMMYFUNCTION("""COMPUTED_VALUE"""),"A Saya suka melakukan pekerjaan sebaik mungkin.")</f>
        <v>A Saya suka melakukan pekerjaan sebaik mungkin.</v>
      </c>
      <c r="BN13" s="95" t="str">
        <f>IFERROR(__xludf.DUMMYFUNCTION("""COMPUTED_VALUE"""),"A Saya suka mengerjakan teka-teki atau memecahkan persoalan sampai selesai.")</f>
        <v>A Saya suka mengerjakan teka-teki atau memecahkan persoalan sampai selesai.</v>
      </c>
      <c r="BO13" s="95" t="str">
        <f>IFERROR(__xludf.DUMMYFUNCTION("""COMPUTED_VALUE"""),"A Saya suka membuat perencanaan sebelum memulai belajar yang sulit.")</f>
        <v>A Saya suka membuat perencanaan sebelum memulai belajar yang sulit.</v>
      </c>
      <c r="BP13" s="95" t="str">
        <f>IFERROR(__xludf.DUMMYFUNCTION("""COMPUTED_VALUE"""),"A Saya ingin menyelesaikan sesuatu yang sangat penting artinya.")</f>
        <v>A Saya ingin menyelesaikan sesuatu yang sangat penting artinya.</v>
      </c>
      <c r="BQ13" s="95" t="str">
        <f>IFERROR(__xludf.DUMMYFUNCTION("""COMPUTED_VALUE"""),"A Saya ingin mengerjakannya tugas sampai selesai.")</f>
        <v>A Saya ingin mengerjakannya tugas sampai selesai.</v>
      </c>
      <c r="BR13" s="95" t="str">
        <f>IFERROR(__xludf.DUMMYFUNCTION("""COMPUTED_VALUE"""),"A Saya suka memaafkan teman-teman saya yang menyakiti hati saya.")</f>
        <v>A Saya suka memaafkan teman-teman saya yang menyakiti hati saya.</v>
      </c>
      <c r="BS13" s="95" t="str">
        <f>IFERROR(__xludf.DUMMYFUNCTION("""COMPUTED_VALUE"""),"B Saya ingin teman-teman saya membantu saya bila saya mengalami kesulitan")</f>
        <v>B Saya ingin teman-teman saya membantu saya bila saya mengalami kesulitan</v>
      </c>
      <c r="BT13" s="95" t="str">
        <f>IFERROR(__xludf.DUMMYFUNCTION("""COMPUTED_VALUE"""),"B Saya ingin teman-teman banyak menunjukkan rasa sayang mereka terhadap saya.")</f>
        <v>B Saya ingin teman-teman banyak menunjukkan rasa sayang mereka terhadap saya.</v>
      </c>
      <c r="BU13" s="95" t="str">
        <f>IFERROR(__xludf.DUMMYFUNCTION("""COMPUTED_VALUE"""),"A Saya kadang-kadang suka melakukan hal-hal yang dapat dipuji oleh orang lain.")</f>
        <v>A Saya kadang-kadang suka melakukan hal-hal yang dapat dipuji oleh orang lain.</v>
      </c>
      <c r="BV13" s="95" t="str">
        <f>IFERROR(__xludf.DUMMYFUNCTION("""COMPUTED_VALUE"""),"B Saya ingin teman-teman dengan gembira memberikan pertolongan kepada saya.")</f>
        <v>B Saya ingin teman-teman dengan gembira memberikan pertolongan kepada saya.</v>
      </c>
      <c r="BW13" s="95" t="str">
        <f>IFERROR(__xludf.DUMMYFUNCTION("""COMPUTED_VALUE"""),"B Saya ingin diperlakukan dengan baik oleh teman-teman saya.")</f>
        <v>B Saya ingin diperlakukan dengan baik oleh teman-teman saya.</v>
      </c>
      <c r="BX13" s="95" t="str">
        <f>IFERROR(__xludf.DUMMYFUNCTION("""COMPUTED_VALUE"""),"B Saya kadang-kadang suka melakukan hal-hal yang dapat dipuji oleh orang lain.")</f>
        <v>B Saya kadang-kadang suka melakukan hal-hal yang dapat dipuji oleh orang lain.</v>
      </c>
      <c r="BY13" s="95" t="str">
        <f>IFERROR(__xludf.DUMMYFUNCTION("""COMPUTED_VALUE"""),"A Saya suka melamun atau membayangkan hal-hal yang tidak jelas.")</f>
        <v>A Saya suka melamun atau membayangkan hal-hal yang tidak jelas.</v>
      </c>
      <c r="BZ13" s="95" t="str">
        <f>IFERROR(__xludf.DUMMYFUNCTION("""COMPUTED_VALUE"""),"A Saya suka berkata yang artinya sulit dipahami oleh orang lain.")</f>
        <v>A Saya suka berkata yang artinya sulit dipahami oleh orang lain.</v>
      </c>
      <c r="CA13" s="95" t="str">
        <f>IFERROR(__xludf.DUMMYFUNCTION("""COMPUTED_VALUE"""),"B Saya suka mengajukan pertanyaan agar orang lain memperhatikan saya.")</f>
        <v>B Saya suka mengajukan pertanyaan agar orang lain memperhatikan saya.</v>
      </c>
      <c r="CB13" s="95" t="str">
        <f>IFERROR(__xludf.DUMMYFUNCTION("""COMPUTED_VALUE"""),"B Saya suka berbicara tentang hal-hal yang telah saya capai.")</f>
        <v>B Saya suka berbicara tentang hal-hal yang telah saya capai.</v>
      </c>
      <c r="CC13" s="95" t="str">
        <f>IFERROR(__xludf.DUMMYFUNCTION("""COMPUTED_VALUE"""),"B Saya suka menceritakan hal-hal lucu agar diperhatikan oleh orang lain.")</f>
        <v>B Saya suka menceritakan hal-hal lucu agar diperhatikan oleh orang lain.</v>
      </c>
      <c r="CD13" s="95" t="str">
        <f>IFERROR(__xludf.DUMMYFUNCTION("""COMPUTED_VALUE"""),"A Saya suka menyelesaikan setiap tugas meskipun membutuhkan waktu lama.")</f>
        <v>A Saya suka menyelesaikan setiap tugas meskipun membutuhkan waktu lama.</v>
      </c>
      <c r="CE13" s="95" t="str">
        <f>IFERROR(__xludf.DUMMYFUNCTION("""COMPUTED_VALUE"""),"A Saya suka menyelesaikan setiap tugas belajar yang telah saya mulai.")</f>
        <v>A Saya suka menyelesaikan setiap tugas belajar yang telah saya mulai.</v>
      </c>
      <c r="CF13" s="95" t="str">
        <f>IFERROR(__xludf.DUMMYFUNCTION("""COMPUTED_VALUE"""),"A Saya ingin agar hidup saya teratur sesuai cita-cita saya.")</f>
        <v>A Saya ingin agar hidup saya teratur sesuai cita-cita saya.</v>
      </c>
      <c r="CG13" s="95" t="str">
        <f>IFERROR(__xludf.DUMMYFUNCTION("""COMPUTED_VALUE"""),"A Saya ingin berhasil dalam apa yang saya lakukan.")</f>
        <v>A Saya ingin berhasil dalam apa yang saya lakukan.</v>
      </c>
      <c r="CH13" s="95" t="str">
        <f>IFERROR(__xludf.DUMMYFUNCTION("""COMPUTED_VALUE"""),"A Saya ingin bisa melakukan dengan baik sesuatu pekerjaan sulit.")</f>
        <v>A Saya ingin bisa melakukan dengan baik sesuatu pekerjaan sulit.</v>
      </c>
      <c r="CI13" s="95" t="str">
        <f>IFERROR(__xludf.DUMMYFUNCTION("""COMPUTED_VALUE"""),"A Saya suka belajar saya teratur dan ada waktu-waktu tertentu untuk belajar.")</f>
        <v>A Saya suka belajar saya teratur dan ada waktu-waktu tertentu untuk belajar.</v>
      </c>
      <c r="CJ13" s="95" t="str">
        <f>IFERROR(__xludf.DUMMYFUNCTION("""COMPUTED_VALUE"""),"A Saya ingin tidak tergantung dari orang lain terhadap apa yang akan saya lakukan.")</f>
        <v>A Saya ingin tidak tergantung dari orang lain terhadap apa yang akan saya lakukan.</v>
      </c>
      <c r="CK13" s="95" t="str">
        <f>IFERROR(__xludf.DUMMYFUNCTION("""COMPUTED_VALUE"""),"A Saya suka bertahan menghadapi satu masalah, meskipun belum tentu berhasil.")</f>
        <v>A Saya suka bertahan menghadapi satu masalah, meskipun belum tentu berhasil.</v>
      </c>
      <c r="CL13" s="95" t="str">
        <f>IFERROR(__xludf.DUMMYFUNCTION("""COMPUTED_VALUE"""),"A Saya suka menolong teman-teman saya, apabila mereka dalam kesulitan.")</f>
        <v>A Saya suka menolong teman-teman saya, apabila mereka dalam kesulitan.</v>
      </c>
      <c r="CM13" s="95" t="str">
        <f>IFERROR(__xludf.DUMMYFUNCTION("""COMPUTED_VALUE"""),"B Saya merasa kagum pada seseorang.")</f>
        <v>B Saya merasa kagum pada seseorang.</v>
      </c>
      <c r="CN13" s="95" t="str">
        <f>IFERROR(__xludf.DUMMYFUNCTION("""COMPUTED_VALUE"""),"A Saya ingin diperlakukan dengan baik oleh teman-teman saya.")</f>
        <v>A Saya ingin diperlakukan dengan baik oleh teman-teman saya.</v>
      </c>
      <c r="CO13" s="95" t="str">
        <f>IFERROR(__xludf.DUMMYFUNCTION("""COMPUTED_VALUE"""),"B Saya suka memuji orang yang saya kagumi.")</f>
        <v>B Saya suka memuji orang yang saya kagumi.</v>
      </c>
      <c r="CP13" s="95" t="str">
        <f>IFERROR(__xludf.DUMMYFUNCTION("""COMPUTED_VALUE"""),"A Saya suka melamun atau membayangkan sesuatu sendirian.")</f>
        <v>A Saya suka melamun atau membayangkan sesuatu sendirian.</v>
      </c>
      <c r="CQ13" s="95" t="str">
        <f>IFERROR(__xludf.DUMMYFUNCTION("""COMPUTED_VALUE"""),"B Saya merasa kagum pada seseorang.")</f>
        <v>B Saya merasa kagum pada seseorang.</v>
      </c>
      <c r="CR13" s="95" t="str">
        <f>IFERROR(__xludf.DUMMYFUNCTION("""COMPUTED_VALUE"""),"B Saya rasanya ingin mengecam seseorang bila orang itu menjengkelkan.")</f>
        <v>B Saya rasanya ingin mengecam seseorang bila orang itu menjengkelkan.</v>
      </c>
      <c r="CS13" s="95" t="str">
        <f>IFERROR(__xludf.DUMMYFUNCTION("""COMPUTED_VALUE"""),"B Saya rasanya ingin membalas dendam bila seseorang menghina saya.")</f>
        <v>B Saya rasanya ingin membalas dendam bila seseorang menghina saya.</v>
      </c>
      <c r="CT13" s="95" t="str">
        <f>IFERROR(__xludf.DUMMYFUNCTION("""COMPUTED_VALUE"""),"B Saya saat marah rasanya ingin melemparkan dan merusak barang-barang.")</f>
        <v>B Saya saat marah rasanya ingin melemparkan dan merusak barang-barang.</v>
      </c>
      <c r="CU13" s="95" t="str">
        <f>IFERROR(__xludf.DUMMYFUNCTION("""COMPUTED_VALUE"""),"B Saya ingin menyalahkan orang lain bila keadaan tidak baik bagi saya.")</f>
        <v>B Saya ingin menyalahkan orang lain bila keadaan tidak baik bagi saya.</v>
      </c>
      <c r="CV13" s="95" t="str">
        <f>IFERROR(__xludf.DUMMYFUNCTION("""COMPUTED_VALUE"""),"A Saya ingin ditunjuk atau dipilih sebagai ketua dalam suatu kelompok.")</f>
        <v>A Saya ingin ditunjuk atau dipilih sebagai ketua dalam suatu kelompok.</v>
      </c>
      <c r="CW13" s="95" t="str">
        <f>IFERROR(__xludf.DUMMYFUNCTION("""COMPUTED_VALUE"""),"B Saya mengatakan kepada orang lain bagaimana pendapat saya terhadap mereka.")</f>
        <v>B Saya mengatakan kepada orang lain bagaimana pendapat saya terhadap mereka.</v>
      </c>
      <c r="CX13" s="95" t="str">
        <f>IFERROR(__xludf.DUMMYFUNCTION("""COMPUTED_VALUE"""),"A Saya suka belajar sampai malam untuk menyelesaikan suatu tugas.")</f>
        <v>A Saya suka belajar sampai malam untuk menyelesaikan suatu tugas.</v>
      </c>
      <c r="CY13" s="95" t="str">
        <f>IFERROR(__xludf.DUMMYFUNCTION("""COMPUTED_VALUE"""),"A Saya ingin tidak tergantung dari orang lain terhadap apa yang akan saya lakukan.")</f>
        <v>A Saya ingin tidak tergantung dari orang lain terhadap apa yang akan saya lakukan.</v>
      </c>
      <c r="CZ13" s="95" t="str">
        <f>IFERROR(__xludf.DUMMYFUNCTION("""COMPUTED_VALUE"""),"A Saya suka merencanakan dan mengatur setiap pekerjaan yang harus saya lakukan.")</f>
        <v>A Saya suka merencanakan dan mengatur setiap pekerjaan yang harus saya lakukan.</v>
      </c>
      <c r="DA13" s="95" t="str">
        <f>IFERROR(__xludf.DUMMYFUNCTION("""COMPUTED_VALUE"""),"A Saya ingin melakukan apa saja sebaik mungkin.")</f>
        <v>A Saya ingin melakukan apa saja sebaik mungkin.</v>
      </c>
      <c r="DB13" s="89" t="s">
        <v>23</v>
      </c>
      <c r="DC13" s="97" t="str">
        <f t="shared" ref="DC13:GX13" si="58">LEFT(F13,1)</f>
        <v>B</v>
      </c>
      <c r="DD13" s="97" t="str">
        <f t="shared" si="58"/>
        <v>A</v>
      </c>
      <c r="DE13" s="97" t="str">
        <f t="shared" si="58"/>
        <v>A</v>
      </c>
      <c r="DF13" s="97" t="str">
        <f t="shared" si="58"/>
        <v>B</v>
      </c>
      <c r="DG13" s="97" t="str">
        <f t="shared" si="58"/>
        <v>A</v>
      </c>
      <c r="DH13" s="97" t="str">
        <f t="shared" si="58"/>
        <v>B</v>
      </c>
      <c r="DI13" s="97" t="str">
        <f t="shared" si="58"/>
        <v>B</v>
      </c>
      <c r="DJ13" s="97" t="str">
        <f t="shared" si="58"/>
        <v>A</v>
      </c>
      <c r="DK13" s="97" t="str">
        <f t="shared" si="58"/>
        <v>B</v>
      </c>
      <c r="DL13" s="97" t="str">
        <f t="shared" si="58"/>
        <v>B</v>
      </c>
      <c r="DM13" s="97" t="str">
        <f t="shared" si="58"/>
        <v>B</v>
      </c>
      <c r="DN13" s="97" t="str">
        <f t="shared" si="58"/>
        <v>B</v>
      </c>
      <c r="DO13" s="97" t="str">
        <f t="shared" si="58"/>
        <v>B</v>
      </c>
      <c r="DP13" s="97" t="str">
        <f t="shared" si="58"/>
        <v>B</v>
      </c>
      <c r="DQ13" s="97" t="str">
        <f t="shared" si="58"/>
        <v>B</v>
      </c>
      <c r="DR13" s="97" t="str">
        <f t="shared" si="58"/>
        <v>A</v>
      </c>
      <c r="DS13" s="97" t="str">
        <f t="shared" si="58"/>
        <v>A</v>
      </c>
      <c r="DT13" s="97" t="str">
        <f t="shared" si="58"/>
        <v>B</v>
      </c>
      <c r="DU13" s="97" t="str">
        <f t="shared" si="58"/>
        <v>B</v>
      </c>
      <c r="DV13" s="97" t="str">
        <f t="shared" si="58"/>
        <v>B</v>
      </c>
      <c r="DW13" s="97" t="str">
        <f t="shared" si="58"/>
        <v>A</v>
      </c>
      <c r="DX13" s="97" t="str">
        <f t="shared" si="58"/>
        <v>A</v>
      </c>
      <c r="DY13" s="97" t="str">
        <f t="shared" si="58"/>
        <v>B</v>
      </c>
      <c r="DZ13" s="97" t="str">
        <f t="shared" si="58"/>
        <v>A</v>
      </c>
      <c r="EA13" s="97" t="str">
        <f t="shared" si="58"/>
        <v>A</v>
      </c>
      <c r="EB13" s="97" t="str">
        <f t="shared" si="58"/>
        <v>A</v>
      </c>
      <c r="EC13" s="97" t="str">
        <f t="shared" si="58"/>
        <v>B</v>
      </c>
      <c r="ED13" s="97" t="str">
        <f t="shared" si="58"/>
        <v>B</v>
      </c>
      <c r="EE13" s="97" t="str">
        <f t="shared" si="58"/>
        <v>A</v>
      </c>
      <c r="EF13" s="97" t="str">
        <f t="shared" si="58"/>
        <v>B</v>
      </c>
      <c r="EG13" s="97" t="str">
        <f t="shared" si="58"/>
        <v>B</v>
      </c>
      <c r="EH13" s="97" t="str">
        <f t="shared" si="58"/>
        <v>B</v>
      </c>
      <c r="EI13" s="97" t="str">
        <f t="shared" si="58"/>
        <v>B</v>
      </c>
      <c r="EJ13" s="97" t="str">
        <f t="shared" si="58"/>
        <v>B</v>
      </c>
      <c r="EK13" s="97" t="str">
        <f t="shared" si="58"/>
        <v>B</v>
      </c>
      <c r="EL13" s="97" t="str">
        <f t="shared" si="58"/>
        <v>A</v>
      </c>
      <c r="EM13" s="97" t="str">
        <f t="shared" si="58"/>
        <v>A</v>
      </c>
      <c r="EN13" s="97" t="str">
        <f t="shared" si="58"/>
        <v>B</v>
      </c>
      <c r="EO13" s="97" t="str">
        <f t="shared" si="58"/>
        <v>A</v>
      </c>
      <c r="EP13" s="97" t="str">
        <f t="shared" si="58"/>
        <v>B</v>
      </c>
      <c r="EQ13" s="97" t="str">
        <f t="shared" si="58"/>
        <v>A</v>
      </c>
      <c r="ER13" s="97" t="str">
        <f t="shared" si="58"/>
        <v>B</v>
      </c>
      <c r="ES13" s="97" t="str">
        <f t="shared" si="58"/>
        <v>B</v>
      </c>
      <c r="ET13" s="97" t="str">
        <f t="shared" si="58"/>
        <v>A</v>
      </c>
      <c r="EU13" s="97" t="str">
        <f t="shared" si="58"/>
        <v>B</v>
      </c>
      <c r="EV13" s="97" t="str">
        <f t="shared" si="58"/>
        <v>B</v>
      </c>
      <c r="EW13" s="97" t="str">
        <f t="shared" si="58"/>
        <v>B</v>
      </c>
      <c r="EX13" s="97" t="str">
        <f t="shared" si="58"/>
        <v>B</v>
      </c>
      <c r="EY13" s="97" t="str">
        <f t="shared" si="58"/>
        <v>B</v>
      </c>
      <c r="EZ13" s="97" t="str">
        <f t="shared" si="58"/>
        <v>B</v>
      </c>
      <c r="FA13" s="97" t="str">
        <f t="shared" si="58"/>
        <v>B</v>
      </c>
      <c r="FB13" s="97" t="str">
        <f t="shared" si="58"/>
        <v>B</v>
      </c>
      <c r="FC13" s="97" t="str">
        <f t="shared" si="58"/>
        <v>B</v>
      </c>
      <c r="FD13" s="97" t="str">
        <f t="shared" si="58"/>
        <v>B</v>
      </c>
      <c r="FE13" s="97" t="str">
        <f t="shared" si="58"/>
        <v>B</v>
      </c>
      <c r="FF13" s="97" t="str">
        <f t="shared" si="58"/>
        <v>A</v>
      </c>
      <c r="FG13" s="97" t="str">
        <f t="shared" si="58"/>
        <v>A</v>
      </c>
      <c r="FH13" s="97" t="str">
        <f t="shared" si="58"/>
        <v>A</v>
      </c>
      <c r="FI13" s="97" t="str">
        <f t="shared" si="58"/>
        <v>A</v>
      </c>
      <c r="FJ13" s="97" t="str">
        <f t="shared" si="58"/>
        <v>A</v>
      </c>
      <c r="FK13" s="97" t="str">
        <f t="shared" si="58"/>
        <v>A</v>
      </c>
      <c r="FL13" s="97" t="str">
        <f t="shared" si="58"/>
        <v>A</v>
      </c>
      <c r="FM13" s="97" t="str">
        <f t="shared" si="58"/>
        <v>A</v>
      </c>
      <c r="FN13" s="97" t="str">
        <f t="shared" si="58"/>
        <v>A</v>
      </c>
      <c r="FO13" s="97" t="str">
        <f t="shared" si="58"/>
        <v>A</v>
      </c>
      <c r="FP13" s="97" t="str">
        <f t="shared" si="58"/>
        <v>B</v>
      </c>
      <c r="FQ13" s="97" t="str">
        <f t="shared" si="58"/>
        <v>B</v>
      </c>
      <c r="FR13" s="97" t="str">
        <f t="shared" si="58"/>
        <v>A</v>
      </c>
      <c r="FS13" s="97" t="str">
        <f t="shared" si="58"/>
        <v>B</v>
      </c>
      <c r="FT13" s="97" t="str">
        <f t="shared" si="58"/>
        <v>B</v>
      </c>
      <c r="FU13" s="97" t="str">
        <f t="shared" si="58"/>
        <v>B</v>
      </c>
      <c r="FV13" s="97" t="str">
        <f t="shared" si="58"/>
        <v>A</v>
      </c>
      <c r="FW13" s="97" t="str">
        <f t="shared" si="58"/>
        <v>A</v>
      </c>
      <c r="FX13" s="97" t="str">
        <f t="shared" si="58"/>
        <v>B</v>
      </c>
      <c r="FY13" s="97" t="str">
        <f t="shared" si="58"/>
        <v>B</v>
      </c>
      <c r="FZ13" s="97" t="str">
        <f t="shared" si="58"/>
        <v>B</v>
      </c>
      <c r="GA13" s="97" t="str">
        <f t="shared" si="58"/>
        <v>A</v>
      </c>
      <c r="GB13" s="97" t="str">
        <f t="shared" si="58"/>
        <v>A</v>
      </c>
      <c r="GC13" s="97" t="str">
        <f t="shared" si="58"/>
        <v>A</v>
      </c>
      <c r="GD13" s="97" t="str">
        <f t="shared" si="58"/>
        <v>A</v>
      </c>
      <c r="GE13" s="97" t="str">
        <f t="shared" si="58"/>
        <v>A</v>
      </c>
      <c r="GF13" s="97" t="str">
        <f t="shared" si="58"/>
        <v>A</v>
      </c>
      <c r="GG13" s="97" t="str">
        <f t="shared" si="58"/>
        <v>A</v>
      </c>
      <c r="GH13" s="97" t="str">
        <f t="shared" si="58"/>
        <v>A</v>
      </c>
      <c r="GI13" s="97" t="str">
        <f t="shared" si="58"/>
        <v>A</v>
      </c>
      <c r="GJ13" s="97" t="str">
        <f t="shared" si="58"/>
        <v>B</v>
      </c>
      <c r="GK13" s="97" t="str">
        <f t="shared" si="58"/>
        <v>A</v>
      </c>
      <c r="GL13" s="97" t="str">
        <f t="shared" si="58"/>
        <v>B</v>
      </c>
      <c r="GM13" s="97" t="str">
        <f t="shared" si="58"/>
        <v>A</v>
      </c>
      <c r="GN13" s="97" t="str">
        <f t="shared" si="58"/>
        <v>B</v>
      </c>
      <c r="GO13" s="97" t="str">
        <f t="shared" si="58"/>
        <v>B</v>
      </c>
      <c r="GP13" s="97" t="str">
        <f t="shared" si="58"/>
        <v>B</v>
      </c>
      <c r="GQ13" s="97" t="str">
        <f t="shared" si="58"/>
        <v>B</v>
      </c>
      <c r="GR13" s="97" t="str">
        <f t="shared" si="58"/>
        <v>B</v>
      </c>
      <c r="GS13" s="97" t="str">
        <f t="shared" si="58"/>
        <v>A</v>
      </c>
      <c r="GT13" s="97" t="str">
        <f t="shared" si="58"/>
        <v>B</v>
      </c>
      <c r="GU13" s="97" t="str">
        <f t="shared" si="58"/>
        <v>A</v>
      </c>
      <c r="GV13" s="97" t="str">
        <f t="shared" si="58"/>
        <v>A</v>
      </c>
      <c r="GW13" s="97" t="str">
        <f t="shared" si="58"/>
        <v>A</v>
      </c>
      <c r="GX13" s="97" t="str">
        <f t="shared" si="58"/>
        <v>A</v>
      </c>
      <c r="GY13" s="98"/>
      <c r="GZ13" s="97">
        <f t="shared" si="3"/>
        <v>46</v>
      </c>
      <c r="HA13" s="97">
        <f t="shared" si="4"/>
        <v>54</v>
      </c>
      <c r="HB13" s="90">
        <f t="shared" si="5"/>
        <v>100</v>
      </c>
      <c r="HC13" s="99"/>
      <c r="HD13" s="97">
        <f t="shared" si="6"/>
        <v>7</v>
      </c>
      <c r="HE13" s="97">
        <f t="shared" si="7"/>
        <v>5</v>
      </c>
      <c r="HF13" s="90">
        <f t="shared" si="8"/>
        <v>12</v>
      </c>
      <c r="HG13" s="99"/>
      <c r="HH13" s="97">
        <f t="shared" si="9"/>
        <v>8</v>
      </c>
      <c r="HI13" s="97">
        <f t="shared" si="10"/>
        <v>8</v>
      </c>
      <c r="HJ13" s="90">
        <f t="shared" si="11"/>
        <v>16</v>
      </c>
      <c r="HK13" s="99"/>
      <c r="HL13" s="97">
        <f t="shared" si="12"/>
        <v>6</v>
      </c>
      <c r="HM13" s="97">
        <f t="shared" si="13"/>
        <v>4</v>
      </c>
      <c r="HN13" s="90">
        <f t="shared" si="14"/>
        <v>10</v>
      </c>
      <c r="HO13" s="99"/>
      <c r="HP13" s="97">
        <f t="shared" si="15"/>
        <v>8</v>
      </c>
      <c r="HQ13" s="97">
        <f t="shared" si="16"/>
        <v>7</v>
      </c>
      <c r="HR13" s="90">
        <f t="shared" si="17"/>
        <v>15</v>
      </c>
      <c r="HS13" s="99"/>
      <c r="HT13" s="97">
        <f t="shared" si="18"/>
        <v>7</v>
      </c>
      <c r="HU13" s="97">
        <f t="shared" si="19"/>
        <v>8</v>
      </c>
      <c r="HV13" s="90">
        <f t="shared" si="20"/>
        <v>15</v>
      </c>
      <c r="HW13" s="99"/>
      <c r="HX13" s="97">
        <f t="shared" si="21"/>
        <v>2</v>
      </c>
      <c r="HY13" s="97">
        <f t="shared" si="22"/>
        <v>5</v>
      </c>
      <c r="HZ13" s="90">
        <f t="shared" si="23"/>
        <v>7</v>
      </c>
      <c r="IA13" s="99"/>
      <c r="IB13" s="97">
        <f t="shared" si="24"/>
        <v>1</v>
      </c>
      <c r="IC13" s="97">
        <f t="shared" si="25"/>
        <v>4</v>
      </c>
      <c r="ID13" s="90">
        <f t="shared" si="26"/>
        <v>5</v>
      </c>
      <c r="IE13" s="99"/>
      <c r="IF13" s="97">
        <f t="shared" si="27"/>
        <v>2</v>
      </c>
      <c r="IG13" s="97">
        <f t="shared" si="28"/>
        <v>4</v>
      </c>
      <c r="IH13" s="90">
        <f t="shared" si="29"/>
        <v>6</v>
      </c>
      <c r="II13" s="99"/>
      <c r="IJ13" s="97">
        <f t="shared" si="30"/>
        <v>2</v>
      </c>
      <c r="IK13" s="97">
        <f t="shared" si="31"/>
        <v>3</v>
      </c>
      <c r="IL13" s="90">
        <f t="shared" si="32"/>
        <v>5</v>
      </c>
      <c r="IM13" s="99"/>
      <c r="IN13" s="97">
        <f t="shared" si="33"/>
        <v>0</v>
      </c>
      <c r="IO13" s="97">
        <f t="shared" si="34"/>
        <v>5</v>
      </c>
      <c r="IP13" s="90">
        <f t="shared" si="35"/>
        <v>5</v>
      </c>
      <c r="IQ13" s="99"/>
      <c r="IR13" s="99"/>
      <c r="IS13" s="100">
        <f t="shared" si="36"/>
        <v>12</v>
      </c>
      <c r="IT13" s="100">
        <f t="shared" si="37"/>
        <v>16</v>
      </c>
      <c r="IU13" s="100">
        <f t="shared" si="38"/>
        <v>10</v>
      </c>
      <c r="IV13" s="100">
        <f t="shared" si="39"/>
        <v>15</v>
      </c>
      <c r="IW13" s="100">
        <f t="shared" si="40"/>
        <v>15</v>
      </c>
      <c r="IX13" s="100">
        <f t="shared" si="41"/>
        <v>7</v>
      </c>
      <c r="IY13" s="100">
        <f t="shared" si="42"/>
        <v>5</v>
      </c>
      <c r="IZ13" s="100">
        <f t="shared" si="43"/>
        <v>6</v>
      </c>
      <c r="JA13" s="100">
        <f t="shared" si="44"/>
        <v>5</v>
      </c>
      <c r="JB13" s="101">
        <f t="shared" si="45"/>
        <v>5</v>
      </c>
      <c r="JC13" s="102">
        <f t="shared" si="46"/>
        <v>96</v>
      </c>
      <c r="JD13" s="67">
        <f t="shared" si="50"/>
        <v>0</v>
      </c>
      <c r="JE13" s="67">
        <f t="shared" si="47"/>
        <v>0</v>
      </c>
      <c r="JF13" s="67">
        <f t="shared" si="48"/>
        <v>0</v>
      </c>
    </row>
    <row r="14">
      <c r="A14" s="103">
        <f>IFERROR(__xludf.DUMMYFUNCTION("""COMPUTED_VALUE"""),45921.288916087964)</f>
        <v>45921.28892</v>
      </c>
      <c r="B14" s="95" t="str">
        <f>IFERROR(__xludf.DUMMYFUNCTION("""COMPUTED_VALUE"""),"ABU REIHAN AL FAJRI")</f>
        <v>ABU REIHAN AL FAJRI</v>
      </c>
      <c r="C14" s="96" t="str">
        <f>IFERROR(__xludf.DUMMYFUNCTION("""COMPUTED_VALUE"""),"A250025")</f>
        <v>A250025</v>
      </c>
      <c r="D14" s="96" t="str">
        <f>IFERROR(__xludf.DUMMYFUNCTION("""COMPUTED_VALUE"""),"MTs Putra")</f>
        <v>MTs Putra</v>
      </c>
      <c r="E14" s="96" t="str">
        <f>IFERROR(__xludf.DUMMYFUNCTION("""COMPUTED_VALUE"""),"Ya")</f>
        <v>Ya</v>
      </c>
      <c r="F14" s="95" t="str">
        <f>IFERROR(__xludf.DUMMYFUNCTION("""COMPUTED_VALUE"""),"B Saya ingin melakukan apa saja sebaik mungkin.")</f>
        <v>B Saya ingin melakukan apa saja sebaik mungkin.</v>
      </c>
      <c r="G14" s="95" t="str">
        <f>IFERROR(__xludf.DUMMYFUNCTION("""COMPUTED_VALUE"""),"A Saya ingin setiap tulisan saya teliti, rapi, dan tersusun dengan baik.")</f>
        <v>A Saya ingin setiap tulisan saya teliti, rapi, dan tersusun dengan baik.</v>
      </c>
      <c r="H14" s="95" t="str">
        <f>IFERROR(__xludf.DUMMYFUNCTION("""COMPUTED_VALUE"""),"B Saya ingin menjadi orang yang diakui dalam suatu pekerjaan atau bidang khusus.")</f>
        <v>B Saya ingin menjadi orang yang diakui dalam suatu pekerjaan atau bidang khusus.</v>
      </c>
      <c r="I14" s="95" t="str">
        <f>IFERROR(__xludf.DUMMYFUNCTION("""COMPUTED_VALUE"""),"B Saya ingin bisa melakukan dengan baik meskipun tugas yang sulit.")</f>
        <v>B Saya ingin bisa melakukan dengan baik meskipun tugas yang sulit.</v>
      </c>
      <c r="J14" s="95" t="str">
        <f>IFERROR(__xludf.DUMMYFUNCTION("""COMPUTED_VALUE"""),"A Saya suka membantu teman-teman saya apabila mereka mengalami kesulitan.")</f>
        <v>A Saya suka membantu teman-teman saya apabila mereka mengalami kesulitan.</v>
      </c>
      <c r="K14" s="95" t="str">
        <f>IFERROR(__xludf.DUMMYFUNCTION("""COMPUTED_VALUE"""),"B Saya ingin mengatakan telah melakukan dengan baik sesuatu tugas yang sulit.")</f>
        <v>B Saya ingin mengatakan telah melakukan dengan baik sesuatu tugas yang sulit.</v>
      </c>
      <c r="L14" s="95" t="str">
        <f>IFERROR(__xludf.DUMMYFUNCTION("""COMPUTED_VALUE"""),"B Saya ingin mengatakan telah melakukan dengan baik sesuatu tugas yang sulit")</f>
        <v>B Saya ingin mengatakan telah melakukan dengan baik sesuatu tugas yang sulit</v>
      </c>
      <c r="M14" s="95" t="str">
        <f>IFERROR(__xludf.DUMMYFUNCTION("""COMPUTED_VALUE"""),"B Saya ingin mengerjakan segala tugas lebih baik daripada orang lain.")</f>
        <v>B Saya ingin mengerjakan segala tugas lebih baik daripada orang lain.</v>
      </c>
      <c r="N14" s="95" t="str">
        <f>IFERROR(__xludf.DUMMYFUNCTION("""COMPUTED_VALUE"""),"B Saya suka memecahkan persoalan yang sukar bagi orang lain.")</f>
        <v>B Saya suka memecahkan persoalan yang sukar bagi orang lain.</v>
      </c>
      <c r="O14" s="95" t="str">
        <f>IFERROR(__xludf.DUMMYFUNCTION("""COMPUTED_VALUE"""),"B Saya suka melakukan tugas sebaik mungkin.")</f>
        <v>B Saya suka melakukan tugas sebaik mungkin.</v>
      </c>
      <c r="P14" s="95" t="str">
        <f>IFERROR(__xludf.DUMMYFUNCTION("""COMPUTED_VALUE"""),"B Saya ingin setiap belajar itu teratur dan direncanakan.")</f>
        <v>B Saya ingin setiap belajar itu teratur dan direncanakan.</v>
      </c>
      <c r="Q14" s="95" t="str">
        <f>IFERROR(__xludf.DUMMYFUNCTION("""COMPUTED_VALUE"""),"B Saya merencanakan keperluan yang dibutuhkan sebelum bepergian.")</f>
        <v>B Saya merencanakan keperluan yang dibutuhkan sebelum bepergian.</v>
      </c>
      <c r="R14" s="95" t="str">
        <f>IFERROR(__xludf.DUMMYFUNCTION("""COMPUTED_VALUE"""),"B Saya suka barang-barang saya tersusun rapi dan teratur.")</f>
        <v>B Saya suka barang-barang saya tersusun rapi dan teratur.</v>
      </c>
      <c r="S14" s="95" t="str">
        <f>IFERROR(__xludf.DUMMYFUNCTION("""COMPUTED_VALUE"""),"B Saya suka membuat perencanaan sebelum memulai tugas yang sulit.")</f>
        <v>B Saya suka membuat perencanaan sebelum memulai tugas yang sulit.</v>
      </c>
      <c r="T14" s="95" t="str">
        <f>IFERROR(__xludf.DUMMYFUNCTION("""COMPUTED_VALUE"""),"B Saya ingin agar hidup saya teratur sesuai cita-cita saya.")</f>
        <v>B Saya ingin agar hidup saya teratur sesuai cita-cita saya.</v>
      </c>
      <c r="U14" s="95" t="str">
        <f>IFERROR(__xludf.DUMMYFUNCTION("""COMPUTED_VALUE"""),"B Saya suka menyimpan catatan secara rapi.")</f>
        <v>B Saya suka menyimpan catatan secara rapi.</v>
      </c>
      <c r="V14" s="95" t="str">
        <f>IFERROR(__xludf.DUMMYFUNCTION("""COMPUTED_VALUE"""),"B Saya suka belajar saya teratur dan ada waktu-waktu tertentu untuk belajar.")</f>
        <v>B Saya suka belajar saya teratur dan ada waktu-waktu tertentu untuk belajar.</v>
      </c>
      <c r="W14" s="95" t="str">
        <f>IFERROR(__xludf.DUMMYFUNCTION("""COMPUTED_VALUE"""),"B Saya ingin kegiatan itu teratur dan direncanakan.")</f>
        <v>B Saya ingin kegiatan itu teratur dan direncanakan.</v>
      </c>
      <c r="X14" s="95" t="str">
        <f>IFERROR(__xludf.DUMMYFUNCTION("""COMPUTED_VALUE"""),"A Saya suka merencanakan dan mengatur setiap apa yang harus saya lakukan.")</f>
        <v>A Saya suka merencanakan dan mengatur setiap apa yang harus saya lakukan.</v>
      </c>
      <c r="Y14" s="95" t="str">
        <f>IFERROR(__xludf.DUMMYFUNCTION("""COMPUTED_VALUE"""),"A Saya suka menyelesaikan tugas-tugas yang membutuhkan ketrampilan dan usaha.")</f>
        <v>A Saya suka menyelesaikan tugas-tugas yang membutuhkan ketrampilan dan usaha.</v>
      </c>
      <c r="Z14" s="95" t="str">
        <f>IFERROR(__xludf.DUMMYFUNCTION("""COMPUTED_VALUE"""),"A Saya ingin berhasil dengan belajar yang saya lakukan.")</f>
        <v>A Saya ingin berhasil dengan belajar yang saya lakukan.</v>
      </c>
      <c r="AA14" s="95" t="str">
        <f>IFERROR(__xludf.DUMMYFUNCTION("""COMPUTED_VALUE"""),"A Saya suka menyelesaikan tugas yang telah saya rencanakan.")</f>
        <v>A Saya suka menyelesaikan tugas yang telah saya rencanakan.</v>
      </c>
      <c r="AB14" s="95" t="str">
        <f>IFERROR(__xludf.DUMMYFUNCTION("""COMPUTED_VALUE"""),"B Saya ingin menyelesaikan pekerjaan satu persatu sebelum memulai yang lain.")</f>
        <v>B Saya ingin menyelesaikan pekerjaan satu persatu sebelum memulai yang lain.</v>
      </c>
      <c r="AC14" s="95" t="str">
        <f>IFERROR(__xludf.DUMMYFUNCTION("""COMPUTED_VALUE"""),"A Saya suka menyelesaikan setiap tugas meskipun membutuhkan waktu lama.")</f>
        <v>A Saya suka menyelesaikan setiap tugas meskipun membutuhkan waktu lama.</v>
      </c>
      <c r="AD14" s="95" t="str">
        <f>IFERROR(__xludf.DUMMYFUNCTION("""COMPUTED_VALUE"""),"B Saya suka menyatakan pendapat saya tentang berbagai hal.")</f>
        <v>B Saya suka menyatakan pendapat saya tentang berbagai hal.</v>
      </c>
      <c r="AE14" s="95" t="str">
        <f>IFERROR(__xludf.DUMMYFUNCTION("""COMPUTED_VALUE"""),"A Saya ingin dianggap sebagai pemimpin oleh teman di kelompok.")</f>
        <v>A Saya ingin dianggap sebagai pemimpin oleh teman di kelompok.</v>
      </c>
      <c r="AF14" s="95" t="str">
        <f>IFERROR(__xludf.DUMMYFUNCTION("""COMPUTED_VALUE"""),"B Saya suka melakukan hal-hal dengan cara saya sendiri.")</f>
        <v>B Saya suka melakukan hal-hal dengan cara saya sendiri.</v>
      </c>
      <c r="AG14" s="95" t="str">
        <f>IFERROR(__xludf.DUMMYFUNCTION("""COMPUTED_VALUE"""),"B Saya ingin berhasil dengan tugas yang saya lakukan.")</f>
        <v>B Saya ingin berhasil dengan tugas yang saya lakukan.</v>
      </c>
      <c r="AH14" s="95" t="str">
        <f>IFERROR(__xludf.DUMMYFUNCTION("""COMPUTED_VALUE"""),"A Saya suka membaca buku-buku tentang pergaulan remaja.")</f>
        <v>A Saya suka membaca buku-buku tentang pergaulan remaja.</v>
      </c>
      <c r="AI14" s="95" t="str">
        <f>IFERROR(__xludf.DUMMYFUNCTION("""COMPUTED_VALUE"""),"B Saya suka melakukan kegiatan sesuai kondisi yang saya inginkan.")</f>
        <v>B Saya suka melakukan kegiatan sesuai kondisi yang saya inginkan.</v>
      </c>
      <c r="AJ14" s="95" t="str">
        <f>IFERROR(__xludf.DUMMYFUNCTION("""COMPUTED_VALUE"""),"B Saya suka bertahan menghadapi satu masalah meskipun belum tentu berhasil.")</f>
        <v>B Saya suka bertahan menghadapi satu masalah meskipun belum tentu berhasil.</v>
      </c>
      <c r="AK14" s="95" t="str">
        <f>IFERROR(__xludf.DUMMYFUNCTION("""COMPUTED_VALUE"""),"B Bila saya harus melakukan suatu tugas, saya ingin mengerjakan sampai selesai.")</f>
        <v>B Bila saya harus melakukan suatu tugas, saya ingin mengerjakan sampai selesai.</v>
      </c>
      <c r="AL14" s="95" t="str">
        <f>IFERROR(__xludf.DUMMYFUNCTION("""COMPUTED_VALUE"""),"B Saya ingin menghindarkan gangguan bila saya sedang belajar.")</f>
        <v>B Saya ingin menghindarkan gangguan bila saya sedang belajar.</v>
      </c>
      <c r="AM14" s="95" t="str">
        <f>IFERROR(__xludf.DUMMYFUNCTION("""COMPUTED_VALUE"""),"B Saya suka belajar sampai malam untuk menyelesaikan suatu tugas.")</f>
        <v>B Saya suka belajar sampai malam untuk menyelesaikan suatu tugas.</v>
      </c>
      <c r="AN14" s="95" t="str">
        <f>IFERROR(__xludf.DUMMYFUNCTION("""COMPUTED_VALUE"""),"A Saya tidak suka pada orang yang semena-mena.")</f>
        <v>A Saya tidak suka pada orang yang semena-mena.</v>
      </c>
      <c r="AO14" s="95" t="str">
        <f>IFERROR(__xludf.DUMMYFUNCTION("""COMPUTED_VALUE"""),"A Saya suka berlaku sangat ramah terhadap teman-teman saya.")</f>
        <v>A Saya suka berlaku sangat ramah terhadap teman-teman saya.</v>
      </c>
      <c r="AP14" s="95" t="str">
        <f>IFERROR(__xludf.DUMMYFUNCTION("""COMPUTED_VALUE"""),"A Saya ingin mengerjakannya tugas sampai selesai.")</f>
        <v>A Saya ingin mengerjakannya tugas sampai selesai.</v>
      </c>
      <c r="AQ14" s="95" t="str">
        <f>IFERROR(__xludf.DUMMYFUNCTION("""COMPUTED_VALUE"""),"B Bila saya harus melakukan suatu tugas, saya ingin mengerjakan sampai selesai.")</f>
        <v>B Bila saya harus melakukan suatu tugas, saya ingin mengerjakan sampai selesai.</v>
      </c>
      <c r="AR14" s="95" t="str">
        <f>IFERROR(__xludf.DUMMYFUNCTION("""COMPUTED_VALUE"""),"A Saya suka menyimpan catatan secara rapi.")</f>
        <v>A Saya suka menyimpan catatan secara rapi.</v>
      </c>
      <c r="AS14" s="95" t="str">
        <f>IFERROR(__xludf.DUMMYFUNCTION("""COMPUTED_VALUE"""),"A Saya ingin dapat menyelesaikan persoalan yang dianggap sukar bagi orang lain.")</f>
        <v>A Saya ingin dapat menyelesaikan persoalan yang dianggap sukar bagi orang lain.</v>
      </c>
      <c r="AT14" s="95" t="str">
        <f>IFERROR(__xludf.DUMMYFUNCTION("""COMPUTED_VALUE"""),"A Saya ingin bisa melakukan dengan baik sesuatu pekerjaan sulit.")</f>
        <v>A Saya ingin bisa melakukan dengan baik sesuatu pekerjaan sulit.</v>
      </c>
      <c r="AU14" s="95" t="str">
        <f>IFERROR(__xludf.DUMMYFUNCTION("""COMPUTED_VALUE"""),"A Saya ingin menyelesaikan pekerjaan satu persatu sebelum memulai yang lain.")</f>
        <v>A Saya ingin menyelesaikan pekerjaan satu persatu sebelum memulai yang lain.</v>
      </c>
      <c r="AV14" s="95" t="str">
        <f>IFERROR(__xludf.DUMMYFUNCTION("""COMPUTED_VALUE"""),"B Saya suka menolong teman-teman saya.")</f>
        <v>B Saya suka menolong teman-teman saya.</v>
      </c>
      <c r="AW14" s="95" t="str">
        <f>IFERROR(__xludf.DUMMYFUNCTION("""COMPUTED_VALUE"""),"A Saya ingin mengerjakan tugas sampai selesai.")</f>
        <v>A Saya ingin mengerjakan tugas sampai selesai.</v>
      </c>
      <c r="AX14" s="95" t="str">
        <f>IFERROR(__xludf.DUMMYFUNCTION("""COMPUTED_VALUE"""),"A Saya suka menolong teman-teman saya apabila mereka dalam kesulitan.")</f>
        <v>A Saya suka menolong teman-teman saya apabila mereka dalam kesulitan.</v>
      </c>
      <c r="AY14" s="95" t="str">
        <f>IFERROR(__xludf.DUMMYFUNCTION("""COMPUTED_VALUE"""),"B Saya suka menolong teman-teman saya apabila mereka dalam kesulitan.")</f>
        <v>B Saya suka menolong teman-teman saya apabila mereka dalam kesulitan.</v>
      </c>
      <c r="AZ14" s="95" t="str">
        <f>IFERROR(__xludf.DUMMYFUNCTION("""COMPUTED_VALUE"""),"B Saya suka menunjukkan simpati saya kepada teman-teman saya.")</f>
        <v>B Saya suka menunjukkan simpati saya kepada teman-teman saya.</v>
      </c>
      <c r="BA14" s="95" t="str">
        <f>IFERROR(__xludf.DUMMYFUNCTION("""COMPUTED_VALUE"""),"B Saya suka memperlakukan orang lain dengan baik dan ramah.")</f>
        <v>B Saya suka memperlakukan orang lain dengan baik dan ramah.</v>
      </c>
      <c r="BB14" s="95" t="str">
        <f>IFERROR(__xludf.DUMMYFUNCTION("""COMPUTED_VALUE"""),"A Saya berkeinginan untuk bersama orang yang menarik bagi saya.")</f>
        <v>A Saya berkeinginan untuk bersama orang yang menarik bagi saya.</v>
      </c>
      <c r="BC14" s="95" t="str">
        <f>IFERROR(__xludf.DUMMYFUNCTION("""COMPUTED_VALUE"""),"B Saya suka membantu orang lain yang menurut saya perlu dikasihani.")</f>
        <v>B Saya suka membantu orang lain yang menurut saya perlu dikasihani.</v>
      </c>
      <c r="BD14" s="95" t="str">
        <f>IFERROR(__xludf.DUMMYFUNCTION("""COMPUTED_VALUE"""),"B Saya suka bersikukuh dengan pendirian saya.")</f>
        <v>B Saya suka bersikukuh dengan pendirian saya.</v>
      </c>
      <c r="BE14" s="95" t="str">
        <f>IFERROR(__xludf.DUMMYFUNCTION("""COMPUTED_VALUE"""),"A Saya suka mendengarkan atau menceritakan hal-hal yang sebaiknya tidak diceritakan.")</f>
        <v>A Saya suka mendengarkan atau menceritakan hal-hal yang sebaiknya tidak diceritakan.</v>
      </c>
      <c r="BF14" s="95" t="str">
        <f>IFERROR(__xludf.DUMMYFUNCTION("""COMPUTED_VALUE"""),"B Bila saya dalam kelompok, saya ingin menentukan apa yang akan kita lakukan.")</f>
        <v>B Bila saya dalam kelompok, saya ingin menentukan apa yang akan kita lakukan.</v>
      </c>
      <c r="BG14" s="95" t="str">
        <f>IFERROR(__xludf.DUMMYFUNCTION("""COMPUTED_VALUE"""),"B Saya suka mengarahkan kepada orang lain apa yang harus dilakukan.")</f>
        <v>B Saya suka mengarahkan kepada orang lain apa yang harus dilakukan.</v>
      </c>
      <c r="BH14" s="95" t="str">
        <f>IFERROR(__xludf.DUMMYFUNCTION("""COMPUTED_VALUE"""),"A Saya suka menghindar dari situasi yang tidak saya harapkan.")</f>
        <v>A Saya suka menghindar dari situasi yang tidak saya harapkan.</v>
      </c>
      <c r="BI14" s="95" t="str">
        <f>IFERROR(__xludf.DUMMYFUNCTION("""COMPUTED_VALUE"""),"A Saya suka bermurah hati terhadap teman-teman saya.")</f>
        <v>A Saya suka bermurah hati terhadap teman-teman saya.</v>
      </c>
      <c r="BJ14" s="95" t="str">
        <f>IFERROR(__xludf.DUMMYFUNCTION("""COMPUTED_VALUE"""),"A Saya ingin mengerjakan tugas sampai selesai.")</f>
        <v>A Saya ingin mengerjakan tugas sampai selesai.</v>
      </c>
      <c r="BK14" s="95" t="str">
        <f>IFERROR(__xludf.DUMMYFUNCTION("""COMPUTED_VALUE"""),"A Saya ingin menyelesaikan pekerjaan satu persatu sebelum memulai yang lain.")</f>
        <v>A Saya ingin menyelesaikan pekerjaan satu persatu sebelum memulai yang lain.</v>
      </c>
      <c r="BL14" s="95" t="str">
        <f>IFERROR(__xludf.DUMMYFUNCTION("""COMPUTED_VALUE"""),"A Saya suka belajar saya teratur dan ada waktu-waktu tertentu untuk belajar.")</f>
        <v>A Saya suka belajar saya teratur dan ada waktu-waktu tertentu untuk belajar.</v>
      </c>
      <c r="BM14" s="95" t="str">
        <f>IFERROR(__xludf.DUMMYFUNCTION("""COMPUTED_VALUE"""),"A Saya suka melakukan pekerjaan sebaik mungkin.")</f>
        <v>A Saya suka melakukan pekerjaan sebaik mungkin.</v>
      </c>
      <c r="BN14" s="95" t="str">
        <f>IFERROR(__xludf.DUMMYFUNCTION("""COMPUTED_VALUE"""),"A Saya suka mengerjakan teka-teki atau memecahkan persoalan sampai selesai.")</f>
        <v>A Saya suka mengerjakan teka-teki atau memecahkan persoalan sampai selesai.</v>
      </c>
      <c r="BO14" s="95" t="str">
        <f>IFERROR(__xludf.DUMMYFUNCTION("""COMPUTED_VALUE"""),"A Saya suka membuat perencanaan sebelum memulai belajar yang sulit.")</f>
        <v>A Saya suka membuat perencanaan sebelum memulai belajar yang sulit.</v>
      </c>
      <c r="BP14" s="95" t="str">
        <f>IFERROR(__xludf.DUMMYFUNCTION("""COMPUTED_VALUE"""),"A Saya ingin menyelesaikan sesuatu yang sangat penting artinya.")</f>
        <v>A Saya ingin menyelesaikan sesuatu yang sangat penting artinya.</v>
      </c>
      <c r="BQ14" s="95" t="str">
        <f>IFERROR(__xludf.DUMMYFUNCTION("""COMPUTED_VALUE"""),"A Saya ingin mengerjakannya tugas sampai selesai.")</f>
        <v>A Saya ingin mengerjakannya tugas sampai selesai.</v>
      </c>
      <c r="BR14" s="95" t="str">
        <f>IFERROR(__xludf.DUMMYFUNCTION("""COMPUTED_VALUE"""),"A Saya suka memaafkan teman-teman saya yang menyakiti hati saya.")</f>
        <v>A Saya suka memaafkan teman-teman saya yang menyakiti hati saya.</v>
      </c>
      <c r="BS14" s="95" t="str">
        <f>IFERROR(__xludf.DUMMYFUNCTION("""COMPUTED_VALUE"""),"B Saya ingin teman-teman saya membantu saya bila saya mengalami kesulitan")</f>
        <v>B Saya ingin teman-teman saya membantu saya bila saya mengalami kesulitan</v>
      </c>
      <c r="BT14" s="95" t="str">
        <f>IFERROR(__xludf.DUMMYFUNCTION("""COMPUTED_VALUE"""),"B Saya ingin teman-teman banyak menunjukkan rasa sayang mereka terhadap saya.")</f>
        <v>B Saya ingin teman-teman banyak menunjukkan rasa sayang mereka terhadap saya.</v>
      </c>
      <c r="BU14" s="95" t="str">
        <f>IFERROR(__xludf.DUMMYFUNCTION("""COMPUTED_VALUE"""),"A Saya kadang-kadang suka melakukan hal-hal yang dapat dipuji oleh orang lain.")</f>
        <v>A Saya kadang-kadang suka melakukan hal-hal yang dapat dipuji oleh orang lain.</v>
      </c>
      <c r="BV14" s="95" t="str">
        <f>IFERROR(__xludf.DUMMYFUNCTION("""COMPUTED_VALUE"""),"B Saya ingin teman-teman dengan gembira memberikan pertolongan kepada saya.")</f>
        <v>B Saya ingin teman-teman dengan gembira memberikan pertolongan kepada saya.</v>
      </c>
      <c r="BW14" s="95" t="str">
        <f>IFERROR(__xludf.DUMMYFUNCTION("""COMPUTED_VALUE"""),"B Saya ingin diperlakukan dengan baik oleh teman-teman saya.")</f>
        <v>B Saya ingin diperlakukan dengan baik oleh teman-teman saya.</v>
      </c>
      <c r="BX14" s="95" t="str">
        <f>IFERROR(__xludf.DUMMYFUNCTION("""COMPUTED_VALUE"""),"B Saya kadang-kadang suka melakukan hal-hal yang dapat dipuji oleh orang lain.")</f>
        <v>B Saya kadang-kadang suka melakukan hal-hal yang dapat dipuji oleh orang lain.</v>
      </c>
      <c r="BY14" s="95" t="str">
        <f>IFERROR(__xludf.DUMMYFUNCTION("""COMPUTED_VALUE"""),"B Saya ingin orang lain memperhatikan dan berkomentar tentang penampilan saya.")</f>
        <v>B Saya ingin orang lain memperhatikan dan berkomentar tentang penampilan saya.</v>
      </c>
      <c r="BZ14" s="95" t="str">
        <f>IFERROR(__xludf.DUMMYFUNCTION("""COMPUTED_VALUE"""),"B Saya suka diperhatikan, apabila saya ada di dalam suatu kelompok.")</f>
        <v>B Saya suka diperhatikan, apabila saya ada di dalam suatu kelompok.</v>
      </c>
      <c r="CA14" s="95" t="str">
        <f>IFERROR(__xludf.DUMMYFUNCTION("""COMPUTED_VALUE"""),"A Saya ingin teman-teman dengan gembira memberikan pertolongan kepada saya.")</f>
        <v>A Saya ingin teman-teman dengan gembira memberikan pertolongan kepada saya.</v>
      </c>
      <c r="CB14" s="95" t="str">
        <f>IFERROR(__xludf.DUMMYFUNCTION("""COMPUTED_VALUE"""),"A Saya suka menghindar dari tanggung jawab yang tidak saya inginkan.")</f>
        <v>A Saya suka menghindar dari tanggung jawab yang tidak saya inginkan.</v>
      </c>
      <c r="CC14" s="95" t="str">
        <f>IFERROR(__xludf.DUMMYFUNCTION("""COMPUTED_VALUE"""),"A Apabila saya berkumpul dalam kelompok, saya ingin dihargai teman-teman.")</f>
        <v>A Apabila saya berkumpul dalam kelompok, saya ingin dihargai teman-teman.</v>
      </c>
      <c r="CD14" s="95" t="str">
        <f>IFERROR(__xludf.DUMMYFUNCTION("""COMPUTED_VALUE"""),"A Saya suka menyelesaikan setiap tugas meskipun membutuhkan waktu lama.")</f>
        <v>A Saya suka menyelesaikan setiap tugas meskipun membutuhkan waktu lama.</v>
      </c>
      <c r="CE14" s="95" t="str">
        <f>IFERROR(__xludf.DUMMYFUNCTION("""COMPUTED_VALUE"""),"A Saya suka menyelesaikan setiap tugas belajar yang telah saya mulai.")</f>
        <v>A Saya suka menyelesaikan setiap tugas belajar yang telah saya mulai.</v>
      </c>
      <c r="CF14" s="95" t="str">
        <f>IFERROR(__xludf.DUMMYFUNCTION("""COMPUTED_VALUE"""),"A Saya ingin agar hidup saya teratur sesuai cita-cita saya.")</f>
        <v>A Saya ingin agar hidup saya teratur sesuai cita-cita saya.</v>
      </c>
      <c r="CG14" s="95" t="str">
        <f>IFERROR(__xludf.DUMMYFUNCTION("""COMPUTED_VALUE"""),"A Saya ingin berhasil dalam apa yang saya lakukan.")</f>
        <v>A Saya ingin berhasil dalam apa yang saya lakukan.</v>
      </c>
      <c r="CH14" s="95" t="str">
        <f>IFERROR(__xludf.DUMMYFUNCTION("""COMPUTED_VALUE"""),"A Saya ingin bisa melakukan dengan baik sesuatu pekerjaan sulit.")</f>
        <v>A Saya ingin bisa melakukan dengan baik sesuatu pekerjaan sulit.</v>
      </c>
      <c r="CI14" s="95" t="str">
        <f>IFERROR(__xludf.DUMMYFUNCTION("""COMPUTED_VALUE"""),"A Saya suka belajar saya teratur dan ada waktu-waktu tertentu untuk belajar.")</f>
        <v>A Saya suka belajar saya teratur dan ada waktu-waktu tertentu untuk belajar.</v>
      </c>
      <c r="CJ14" s="95" t="str">
        <f>IFERROR(__xludf.DUMMYFUNCTION("""COMPUTED_VALUE"""),"A Saya ingin tidak tergantung dari orang lain terhadap apa yang akan saya lakukan.")</f>
        <v>A Saya ingin tidak tergantung dari orang lain terhadap apa yang akan saya lakukan.</v>
      </c>
      <c r="CK14" s="95" t="str">
        <f>IFERROR(__xludf.DUMMYFUNCTION("""COMPUTED_VALUE"""),"B Saya senang ikut beraktivitas bersama teman sebaya saya.")</f>
        <v>B Saya senang ikut beraktivitas bersama teman sebaya saya.</v>
      </c>
      <c r="CL14" s="95" t="str">
        <f>IFERROR(__xludf.DUMMYFUNCTION("""COMPUTED_VALUE"""),"A Saya suka menolong teman-teman saya, apabila mereka dalam kesulitan.")</f>
        <v>A Saya suka menolong teman-teman saya, apabila mereka dalam kesulitan.</v>
      </c>
      <c r="CM14" s="95" t="str">
        <f>IFERROR(__xludf.DUMMYFUNCTION("""COMPUTED_VALUE"""),"A Saya ingin ditunjuk atau dipilih sebagai ketua dalam suatu kelompok.")</f>
        <v>A Saya ingin ditunjuk atau dipilih sebagai ketua dalam suatu kelompok.</v>
      </c>
      <c r="CN14" s="95" t="str">
        <f>IFERROR(__xludf.DUMMYFUNCTION("""COMPUTED_VALUE"""),"A Saya ingin diperlakukan dengan baik oleh teman-teman saya.")</f>
        <v>A Saya ingin diperlakukan dengan baik oleh teman-teman saya.</v>
      </c>
      <c r="CO14" s="95" t="str">
        <f>IFERROR(__xludf.DUMMYFUNCTION("""COMPUTED_VALUE"""),"A Saya suka menceritakan hal-hal lucu agar diperhatikan oleh orang lain.")</f>
        <v>A Saya suka menceritakan hal-hal lucu agar diperhatikan oleh orang lain.</v>
      </c>
      <c r="CP14" s="95" t="str">
        <f>IFERROR(__xludf.DUMMYFUNCTION("""COMPUTED_VALUE"""),"B Saya ingin dianggap menarik oleh orang lain.")</f>
        <v>B Saya ingin dianggap menarik oleh orang lain.</v>
      </c>
      <c r="CQ14" s="95" t="str">
        <f>IFERROR(__xludf.DUMMYFUNCTION("""COMPUTED_VALUE"""),"A Saya ingin menggertak orang bila saya berbeda pendapat dengan mereka.")</f>
        <v>A Saya ingin menggertak orang bila saya berbeda pendapat dengan mereka.</v>
      </c>
      <c r="CR14" s="95" t="str">
        <f>IFERROR(__xludf.DUMMYFUNCTION("""COMPUTED_VALUE"""),"B Saya rasanya ingin mengecam seseorang bila orang itu menjengkelkan.")</f>
        <v>B Saya rasanya ingin mengecam seseorang bila orang itu menjengkelkan.</v>
      </c>
      <c r="CS14" s="95" t="str">
        <f>IFERROR(__xludf.DUMMYFUNCTION("""COMPUTED_VALUE"""),"A Saya ingin terlihat menarik di depan teman-teman saya.")</f>
        <v>A Saya ingin terlihat menarik di depan teman-teman saya.</v>
      </c>
      <c r="CT14" s="95" t="str">
        <f>IFERROR(__xludf.DUMMYFUNCTION("""COMPUTED_VALUE"""),"A Saya ingin orang-orang memperhatikan komentar mengenai penampilan saya.")</f>
        <v>A Saya ingin orang-orang memperhatikan komentar mengenai penampilan saya.</v>
      </c>
      <c r="CU14" s="95" t="str">
        <f>IFERROR(__xludf.DUMMYFUNCTION("""COMPUTED_VALUE"""),"A Saya ingin diperlakukan dengan ramah oleh teman-teman saya.")</f>
        <v>A Saya ingin diperlakukan dengan ramah oleh teman-teman saya.</v>
      </c>
      <c r="CV14" s="95" t="str">
        <f>IFERROR(__xludf.DUMMYFUNCTION("""COMPUTED_VALUE"""),"A Saya ingin ditunjuk atau dipilih sebagai ketua dalam suatu kelompok.")</f>
        <v>A Saya ingin ditunjuk atau dipilih sebagai ketua dalam suatu kelompok.</v>
      </c>
      <c r="CW14" s="95" t="str">
        <f>IFERROR(__xludf.DUMMYFUNCTION("""COMPUTED_VALUE"""),"A Saya suka menolong teman-teman saya, apabila mereka dalam kesulitan.")</f>
        <v>A Saya suka menolong teman-teman saya, apabila mereka dalam kesulitan.</v>
      </c>
      <c r="CX14" s="95" t="str">
        <f>IFERROR(__xludf.DUMMYFUNCTION("""COMPUTED_VALUE"""),"A Saya suka belajar sampai malam untuk menyelesaikan suatu tugas.")</f>
        <v>A Saya suka belajar sampai malam untuk menyelesaikan suatu tugas.</v>
      </c>
      <c r="CY14" s="95" t="str">
        <f>IFERROR(__xludf.DUMMYFUNCTION("""COMPUTED_VALUE"""),"A Saya ingin tidak tergantung dari orang lain terhadap apa yang akan saya lakukan.")</f>
        <v>A Saya ingin tidak tergantung dari orang lain terhadap apa yang akan saya lakukan.</v>
      </c>
      <c r="CZ14" s="95" t="str">
        <f>IFERROR(__xludf.DUMMYFUNCTION("""COMPUTED_VALUE"""),"A Saya suka merencanakan dan mengatur setiap pekerjaan yang harus saya lakukan.")</f>
        <v>A Saya suka merencanakan dan mengatur setiap pekerjaan yang harus saya lakukan.</v>
      </c>
      <c r="DA14" s="95" t="str">
        <f>IFERROR(__xludf.DUMMYFUNCTION("""COMPUTED_VALUE"""),"A Saya ingin melakukan apa saja sebaik mungkin.")</f>
        <v>A Saya ingin melakukan apa saja sebaik mungkin.</v>
      </c>
      <c r="DB14" s="89" t="s">
        <v>23</v>
      </c>
      <c r="DC14" s="97" t="str">
        <f t="shared" ref="DC14:GX14" si="59">LEFT(F14,1)</f>
        <v>B</v>
      </c>
      <c r="DD14" s="97" t="str">
        <f t="shared" si="59"/>
        <v>A</v>
      </c>
      <c r="DE14" s="97" t="str">
        <f t="shared" si="59"/>
        <v>B</v>
      </c>
      <c r="DF14" s="97" t="str">
        <f t="shared" si="59"/>
        <v>B</v>
      </c>
      <c r="DG14" s="97" t="str">
        <f t="shared" si="59"/>
        <v>A</v>
      </c>
      <c r="DH14" s="97" t="str">
        <f t="shared" si="59"/>
        <v>B</v>
      </c>
      <c r="DI14" s="97" t="str">
        <f t="shared" si="59"/>
        <v>B</v>
      </c>
      <c r="DJ14" s="97" t="str">
        <f t="shared" si="59"/>
        <v>B</v>
      </c>
      <c r="DK14" s="97" t="str">
        <f t="shared" si="59"/>
        <v>B</v>
      </c>
      <c r="DL14" s="97" t="str">
        <f t="shared" si="59"/>
        <v>B</v>
      </c>
      <c r="DM14" s="97" t="str">
        <f t="shared" si="59"/>
        <v>B</v>
      </c>
      <c r="DN14" s="97" t="str">
        <f t="shared" si="59"/>
        <v>B</v>
      </c>
      <c r="DO14" s="97" t="str">
        <f t="shared" si="59"/>
        <v>B</v>
      </c>
      <c r="DP14" s="97" t="str">
        <f t="shared" si="59"/>
        <v>B</v>
      </c>
      <c r="DQ14" s="97" t="str">
        <f t="shared" si="59"/>
        <v>B</v>
      </c>
      <c r="DR14" s="97" t="str">
        <f t="shared" si="59"/>
        <v>B</v>
      </c>
      <c r="DS14" s="97" t="str">
        <f t="shared" si="59"/>
        <v>B</v>
      </c>
      <c r="DT14" s="97" t="str">
        <f t="shared" si="59"/>
        <v>B</v>
      </c>
      <c r="DU14" s="97" t="str">
        <f t="shared" si="59"/>
        <v>A</v>
      </c>
      <c r="DV14" s="97" t="str">
        <f t="shared" si="59"/>
        <v>A</v>
      </c>
      <c r="DW14" s="97" t="str">
        <f t="shared" si="59"/>
        <v>A</v>
      </c>
      <c r="DX14" s="97" t="str">
        <f t="shared" si="59"/>
        <v>A</v>
      </c>
      <c r="DY14" s="97" t="str">
        <f t="shared" si="59"/>
        <v>B</v>
      </c>
      <c r="DZ14" s="97" t="str">
        <f t="shared" si="59"/>
        <v>A</v>
      </c>
      <c r="EA14" s="97" t="str">
        <f t="shared" si="59"/>
        <v>B</v>
      </c>
      <c r="EB14" s="97" t="str">
        <f t="shared" si="59"/>
        <v>A</v>
      </c>
      <c r="EC14" s="97" t="str">
        <f t="shared" si="59"/>
        <v>B</v>
      </c>
      <c r="ED14" s="97" t="str">
        <f t="shared" si="59"/>
        <v>B</v>
      </c>
      <c r="EE14" s="97" t="str">
        <f t="shared" si="59"/>
        <v>A</v>
      </c>
      <c r="EF14" s="97" t="str">
        <f t="shared" si="59"/>
        <v>B</v>
      </c>
      <c r="EG14" s="97" t="str">
        <f t="shared" si="59"/>
        <v>B</v>
      </c>
      <c r="EH14" s="97" t="str">
        <f t="shared" si="59"/>
        <v>B</v>
      </c>
      <c r="EI14" s="97" t="str">
        <f t="shared" si="59"/>
        <v>B</v>
      </c>
      <c r="EJ14" s="97" t="str">
        <f t="shared" si="59"/>
        <v>B</v>
      </c>
      <c r="EK14" s="97" t="str">
        <f t="shared" si="59"/>
        <v>A</v>
      </c>
      <c r="EL14" s="97" t="str">
        <f t="shared" si="59"/>
        <v>A</v>
      </c>
      <c r="EM14" s="97" t="str">
        <f t="shared" si="59"/>
        <v>A</v>
      </c>
      <c r="EN14" s="97" t="str">
        <f t="shared" si="59"/>
        <v>B</v>
      </c>
      <c r="EO14" s="97" t="str">
        <f t="shared" si="59"/>
        <v>A</v>
      </c>
      <c r="EP14" s="97" t="str">
        <f t="shared" si="59"/>
        <v>A</v>
      </c>
      <c r="EQ14" s="97" t="str">
        <f t="shared" si="59"/>
        <v>A</v>
      </c>
      <c r="ER14" s="97" t="str">
        <f t="shared" si="59"/>
        <v>A</v>
      </c>
      <c r="ES14" s="97" t="str">
        <f t="shared" si="59"/>
        <v>B</v>
      </c>
      <c r="ET14" s="97" t="str">
        <f t="shared" si="59"/>
        <v>A</v>
      </c>
      <c r="EU14" s="97" t="str">
        <f t="shared" si="59"/>
        <v>A</v>
      </c>
      <c r="EV14" s="97" t="str">
        <f t="shared" si="59"/>
        <v>B</v>
      </c>
      <c r="EW14" s="97" t="str">
        <f t="shared" si="59"/>
        <v>B</v>
      </c>
      <c r="EX14" s="97" t="str">
        <f t="shared" si="59"/>
        <v>B</v>
      </c>
      <c r="EY14" s="97" t="str">
        <f t="shared" si="59"/>
        <v>A</v>
      </c>
      <c r="EZ14" s="97" t="str">
        <f t="shared" si="59"/>
        <v>B</v>
      </c>
      <c r="FA14" s="97" t="str">
        <f t="shared" si="59"/>
        <v>B</v>
      </c>
      <c r="FB14" s="97" t="str">
        <f t="shared" si="59"/>
        <v>A</v>
      </c>
      <c r="FC14" s="97" t="str">
        <f t="shared" si="59"/>
        <v>B</v>
      </c>
      <c r="FD14" s="97" t="str">
        <f t="shared" si="59"/>
        <v>B</v>
      </c>
      <c r="FE14" s="97" t="str">
        <f t="shared" si="59"/>
        <v>A</v>
      </c>
      <c r="FF14" s="97" t="str">
        <f t="shared" si="59"/>
        <v>A</v>
      </c>
      <c r="FG14" s="97" t="str">
        <f t="shared" si="59"/>
        <v>A</v>
      </c>
      <c r="FH14" s="97" t="str">
        <f t="shared" si="59"/>
        <v>A</v>
      </c>
      <c r="FI14" s="97" t="str">
        <f t="shared" si="59"/>
        <v>A</v>
      </c>
      <c r="FJ14" s="97" t="str">
        <f t="shared" si="59"/>
        <v>A</v>
      </c>
      <c r="FK14" s="97" t="str">
        <f t="shared" si="59"/>
        <v>A</v>
      </c>
      <c r="FL14" s="97" t="str">
        <f t="shared" si="59"/>
        <v>A</v>
      </c>
      <c r="FM14" s="97" t="str">
        <f t="shared" si="59"/>
        <v>A</v>
      </c>
      <c r="FN14" s="97" t="str">
        <f t="shared" si="59"/>
        <v>A</v>
      </c>
      <c r="FO14" s="97" t="str">
        <f t="shared" si="59"/>
        <v>A</v>
      </c>
      <c r="FP14" s="97" t="str">
        <f t="shared" si="59"/>
        <v>B</v>
      </c>
      <c r="FQ14" s="97" t="str">
        <f t="shared" si="59"/>
        <v>B</v>
      </c>
      <c r="FR14" s="97" t="str">
        <f t="shared" si="59"/>
        <v>A</v>
      </c>
      <c r="FS14" s="97" t="str">
        <f t="shared" si="59"/>
        <v>B</v>
      </c>
      <c r="FT14" s="97" t="str">
        <f t="shared" si="59"/>
        <v>B</v>
      </c>
      <c r="FU14" s="97" t="str">
        <f t="shared" si="59"/>
        <v>B</v>
      </c>
      <c r="FV14" s="97" t="str">
        <f t="shared" si="59"/>
        <v>B</v>
      </c>
      <c r="FW14" s="97" t="str">
        <f t="shared" si="59"/>
        <v>B</v>
      </c>
      <c r="FX14" s="97" t="str">
        <f t="shared" si="59"/>
        <v>A</v>
      </c>
      <c r="FY14" s="97" t="str">
        <f t="shared" si="59"/>
        <v>A</v>
      </c>
      <c r="FZ14" s="97" t="str">
        <f t="shared" si="59"/>
        <v>A</v>
      </c>
      <c r="GA14" s="97" t="str">
        <f t="shared" si="59"/>
        <v>A</v>
      </c>
      <c r="GB14" s="97" t="str">
        <f t="shared" si="59"/>
        <v>A</v>
      </c>
      <c r="GC14" s="97" t="str">
        <f t="shared" si="59"/>
        <v>A</v>
      </c>
      <c r="GD14" s="97" t="str">
        <f t="shared" si="59"/>
        <v>A</v>
      </c>
      <c r="GE14" s="97" t="str">
        <f t="shared" si="59"/>
        <v>A</v>
      </c>
      <c r="GF14" s="97" t="str">
        <f t="shared" si="59"/>
        <v>A</v>
      </c>
      <c r="GG14" s="97" t="str">
        <f t="shared" si="59"/>
        <v>A</v>
      </c>
      <c r="GH14" s="97" t="str">
        <f t="shared" si="59"/>
        <v>B</v>
      </c>
      <c r="GI14" s="97" t="str">
        <f t="shared" si="59"/>
        <v>A</v>
      </c>
      <c r="GJ14" s="97" t="str">
        <f t="shared" si="59"/>
        <v>A</v>
      </c>
      <c r="GK14" s="97" t="str">
        <f t="shared" si="59"/>
        <v>A</v>
      </c>
      <c r="GL14" s="97" t="str">
        <f t="shared" si="59"/>
        <v>A</v>
      </c>
      <c r="GM14" s="97" t="str">
        <f t="shared" si="59"/>
        <v>B</v>
      </c>
      <c r="GN14" s="97" t="str">
        <f t="shared" si="59"/>
        <v>A</v>
      </c>
      <c r="GO14" s="97" t="str">
        <f t="shared" si="59"/>
        <v>B</v>
      </c>
      <c r="GP14" s="97" t="str">
        <f t="shared" si="59"/>
        <v>A</v>
      </c>
      <c r="GQ14" s="97" t="str">
        <f t="shared" si="59"/>
        <v>A</v>
      </c>
      <c r="GR14" s="97" t="str">
        <f t="shared" si="59"/>
        <v>A</v>
      </c>
      <c r="GS14" s="97" t="str">
        <f t="shared" si="59"/>
        <v>A</v>
      </c>
      <c r="GT14" s="97" t="str">
        <f t="shared" si="59"/>
        <v>A</v>
      </c>
      <c r="GU14" s="97" t="str">
        <f t="shared" si="59"/>
        <v>A</v>
      </c>
      <c r="GV14" s="97" t="str">
        <f t="shared" si="59"/>
        <v>A</v>
      </c>
      <c r="GW14" s="97" t="str">
        <f t="shared" si="59"/>
        <v>A</v>
      </c>
      <c r="GX14" s="97" t="str">
        <f t="shared" si="59"/>
        <v>A</v>
      </c>
      <c r="GY14" s="98"/>
      <c r="GZ14" s="97">
        <f t="shared" si="3"/>
        <v>56</v>
      </c>
      <c r="HA14" s="97">
        <f t="shared" si="4"/>
        <v>44</v>
      </c>
      <c r="HB14" s="90">
        <f t="shared" si="5"/>
        <v>100</v>
      </c>
      <c r="HC14" s="99"/>
      <c r="HD14" s="97">
        <f t="shared" si="6"/>
        <v>9</v>
      </c>
      <c r="HE14" s="97">
        <f t="shared" si="7"/>
        <v>7</v>
      </c>
      <c r="HF14" s="90">
        <f t="shared" si="8"/>
        <v>16</v>
      </c>
      <c r="HG14" s="99"/>
      <c r="HH14" s="97">
        <f t="shared" si="9"/>
        <v>9</v>
      </c>
      <c r="HI14" s="97">
        <f t="shared" si="10"/>
        <v>8</v>
      </c>
      <c r="HJ14" s="90">
        <f t="shared" si="11"/>
        <v>17</v>
      </c>
      <c r="HK14" s="99"/>
      <c r="HL14" s="97">
        <f t="shared" si="12"/>
        <v>5</v>
      </c>
      <c r="HM14" s="97">
        <f t="shared" si="13"/>
        <v>5</v>
      </c>
      <c r="HN14" s="90">
        <f t="shared" si="14"/>
        <v>10</v>
      </c>
      <c r="HO14" s="99"/>
      <c r="HP14" s="97">
        <f t="shared" si="15"/>
        <v>6</v>
      </c>
      <c r="HQ14" s="97">
        <f t="shared" si="16"/>
        <v>5</v>
      </c>
      <c r="HR14" s="90">
        <f t="shared" si="17"/>
        <v>11</v>
      </c>
      <c r="HS14" s="99"/>
      <c r="HT14" s="97">
        <f t="shared" si="18"/>
        <v>7</v>
      </c>
      <c r="HU14" s="97">
        <f t="shared" si="19"/>
        <v>5</v>
      </c>
      <c r="HV14" s="90">
        <f t="shared" si="20"/>
        <v>12</v>
      </c>
      <c r="HW14" s="99"/>
      <c r="HX14" s="97">
        <f t="shared" si="21"/>
        <v>5</v>
      </c>
      <c r="HY14" s="97">
        <f t="shared" si="22"/>
        <v>3</v>
      </c>
      <c r="HZ14" s="90">
        <f t="shared" si="23"/>
        <v>8</v>
      </c>
      <c r="IA14" s="99"/>
      <c r="IB14" s="97">
        <f t="shared" si="24"/>
        <v>3</v>
      </c>
      <c r="IC14" s="97">
        <f t="shared" si="25"/>
        <v>4</v>
      </c>
      <c r="ID14" s="90">
        <f t="shared" si="26"/>
        <v>7</v>
      </c>
      <c r="IE14" s="99"/>
      <c r="IF14" s="97">
        <f t="shared" si="27"/>
        <v>3</v>
      </c>
      <c r="IG14" s="97">
        <f t="shared" si="28"/>
        <v>3</v>
      </c>
      <c r="IH14" s="90">
        <f t="shared" si="29"/>
        <v>6</v>
      </c>
      <c r="II14" s="99"/>
      <c r="IJ14" s="97">
        <f t="shared" si="30"/>
        <v>4</v>
      </c>
      <c r="IK14" s="97">
        <f t="shared" si="31"/>
        <v>2</v>
      </c>
      <c r="IL14" s="90">
        <f t="shared" si="32"/>
        <v>6</v>
      </c>
      <c r="IM14" s="99"/>
      <c r="IN14" s="97">
        <f t="shared" si="33"/>
        <v>1</v>
      </c>
      <c r="IO14" s="97">
        <f t="shared" si="34"/>
        <v>1</v>
      </c>
      <c r="IP14" s="90">
        <f t="shared" si="35"/>
        <v>2</v>
      </c>
      <c r="IQ14" s="99"/>
      <c r="IR14" s="99"/>
      <c r="IS14" s="100">
        <f t="shared" si="36"/>
        <v>16</v>
      </c>
      <c r="IT14" s="100">
        <f t="shared" si="37"/>
        <v>17</v>
      </c>
      <c r="IU14" s="100">
        <f t="shared" si="38"/>
        <v>10</v>
      </c>
      <c r="IV14" s="100">
        <f t="shared" si="39"/>
        <v>11</v>
      </c>
      <c r="IW14" s="100">
        <f t="shared" si="40"/>
        <v>12</v>
      </c>
      <c r="IX14" s="100">
        <f t="shared" si="41"/>
        <v>8</v>
      </c>
      <c r="IY14" s="100">
        <f t="shared" si="42"/>
        <v>7</v>
      </c>
      <c r="IZ14" s="100">
        <f t="shared" si="43"/>
        <v>6</v>
      </c>
      <c r="JA14" s="100">
        <f t="shared" si="44"/>
        <v>6</v>
      </c>
      <c r="JB14" s="101">
        <f t="shared" si="45"/>
        <v>2</v>
      </c>
      <c r="JC14" s="102">
        <f t="shared" si="46"/>
        <v>95</v>
      </c>
      <c r="JD14" s="67">
        <f t="shared" si="50"/>
        <v>0</v>
      </c>
      <c r="JE14" s="67">
        <f t="shared" si="47"/>
        <v>0</v>
      </c>
      <c r="JF14" s="67">
        <f t="shared" si="48"/>
        <v>0</v>
      </c>
    </row>
    <row r="15">
      <c r="A15" s="103">
        <f>IFERROR(__xludf.DUMMYFUNCTION("""COMPUTED_VALUE"""),45921.35770216435)</f>
        <v>45921.3577</v>
      </c>
      <c r="B15" s="95" t="str">
        <f>IFERROR(__xludf.DUMMYFUNCTION("""COMPUTED_VALUE"""),"Adibah saefulloh")</f>
        <v>Adibah saefulloh</v>
      </c>
      <c r="C15" s="96" t="str">
        <f>IFERROR(__xludf.DUMMYFUNCTION("""COMPUTED_VALUE"""),"D250003")</f>
        <v>D250003</v>
      </c>
      <c r="D15" s="96" t="str">
        <f>IFERROR(__xludf.DUMMYFUNCTION("""COMPUTED_VALUE"""),"MTs Putri")</f>
        <v>MTs Putri</v>
      </c>
      <c r="E15" s="96" t="str">
        <f>IFERROR(__xludf.DUMMYFUNCTION("""COMPUTED_VALUE"""),"Ya")</f>
        <v>Ya</v>
      </c>
      <c r="F15" s="95" t="str">
        <f>IFERROR(__xludf.DUMMYFUNCTION("""COMPUTED_VALUE"""),"B Saya ingin melakukan apa saja sebaik mungkin.")</f>
        <v>B Saya ingin melakukan apa saja sebaik mungkin.</v>
      </c>
      <c r="G15" s="95" t="str">
        <f>IFERROR(__xludf.DUMMYFUNCTION("""COMPUTED_VALUE"""),"A Saya ingin setiap tulisan saya teliti, rapi, dan tersusun dengan baik.")</f>
        <v>A Saya ingin setiap tulisan saya teliti, rapi, dan tersusun dengan baik.</v>
      </c>
      <c r="H15" s="95" t="str">
        <f>IFERROR(__xludf.DUMMYFUNCTION("""COMPUTED_VALUE"""),"A Saya ingin berbuat sesuai kata hati saya.")</f>
        <v>A Saya ingin berbuat sesuai kata hati saya.</v>
      </c>
      <c r="I15" s="95" t="str">
        <f>IFERROR(__xludf.DUMMYFUNCTION("""COMPUTED_VALUE"""),"B Saya ingin bisa melakukan dengan baik meskipun tugas yang sulit.")</f>
        <v>B Saya ingin bisa melakukan dengan baik meskipun tugas yang sulit.</v>
      </c>
      <c r="J15" s="95" t="str">
        <f>IFERROR(__xludf.DUMMYFUNCTION("""COMPUTED_VALUE"""),"A Saya suka membantu teman-teman saya apabila mereka mengalami kesulitan.")</f>
        <v>A Saya suka membantu teman-teman saya apabila mereka mengalami kesulitan.</v>
      </c>
      <c r="K15" s="95" t="str">
        <f>IFERROR(__xludf.DUMMYFUNCTION("""COMPUTED_VALUE"""),"A Saya ingin menjadi pemimpin dalam suatu kelompok.")</f>
        <v>A Saya ingin menjadi pemimpin dalam suatu kelompok.</v>
      </c>
      <c r="L15" s="95" t="str">
        <f>IFERROR(__xludf.DUMMYFUNCTION("""COMPUTED_VALUE"""),"A Saya ingin menjadi pemimpin dalam suatu kelompok")</f>
        <v>A Saya ingin menjadi pemimpin dalam suatu kelompok</v>
      </c>
      <c r="M15" s="95" t="str">
        <f>IFERROR(__xludf.DUMMYFUNCTION("""COMPUTED_VALUE"""),"A Saya suka berbicara tentang hal-hal yang telah berhasil saya lakukan.")</f>
        <v>A Saya suka berbicara tentang hal-hal yang telah berhasil saya lakukan.</v>
      </c>
      <c r="N15" s="95" t="str">
        <f>IFERROR(__xludf.DUMMYFUNCTION("""COMPUTED_VALUE"""),"B Saya suka memecahkan persoalan yang sukar bagi orang lain.")</f>
        <v>B Saya suka memecahkan persoalan yang sukar bagi orang lain.</v>
      </c>
      <c r="O15" s="95" t="str">
        <f>IFERROR(__xludf.DUMMYFUNCTION("""COMPUTED_VALUE"""),"B Saya suka melakukan tugas sebaik mungkin.")</f>
        <v>B Saya suka melakukan tugas sebaik mungkin.</v>
      </c>
      <c r="P15" s="95" t="str">
        <f>IFERROR(__xludf.DUMMYFUNCTION("""COMPUTED_VALUE"""),"B Saya ingin setiap belajar itu teratur dan direncanakan.")</f>
        <v>B Saya ingin setiap belajar itu teratur dan direncanakan.</v>
      </c>
      <c r="Q15" s="95" t="str">
        <f>IFERROR(__xludf.DUMMYFUNCTION("""COMPUTED_VALUE"""),"B Saya merencanakan keperluan yang dibutuhkan sebelum bepergian.")</f>
        <v>B Saya merencanakan keperluan yang dibutuhkan sebelum bepergian.</v>
      </c>
      <c r="R15" s="95" t="str">
        <f>IFERROR(__xludf.DUMMYFUNCTION("""COMPUTED_VALUE"""),"B Saya suka barang-barang saya tersusun rapi dan teratur.")</f>
        <v>B Saya suka barang-barang saya tersusun rapi dan teratur.</v>
      </c>
      <c r="S15" s="95" t="str">
        <f>IFERROR(__xludf.DUMMYFUNCTION("""COMPUTED_VALUE"""),"A Saya ingin agar teman-teman pengertian bila saya mengalami kesukaran.")</f>
        <v>A Saya ingin agar teman-teman pengertian bila saya mengalami kesukaran.</v>
      </c>
      <c r="T15" s="95" t="str">
        <f>IFERROR(__xludf.DUMMYFUNCTION("""COMPUTED_VALUE"""),"B Saya ingin agar hidup saya teratur sesuai cita-cita saya.")</f>
        <v>B Saya ingin agar hidup saya teratur sesuai cita-cita saya.</v>
      </c>
      <c r="U15" s="95" t="str">
        <f>IFERROR(__xludf.DUMMYFUNCTION("""COMPUTED_VALUE"""),"A Saya suka memberikan bantuan kepada teman-teman saya.")</f>
        <v>A Saya suka memberikan bantuan kepada teman-teman saya.</v>
      </c>
      <c r="V15" s="95" t="str">
        <f>IFERROR(__xludf.DUMMYFUNCTION("""COMPUTED_VALUE"""),"B Saya suka belajar saya teratur dan ada waktu-waktu tertentu untuk belajar.")</f>
        <v>B Saya suka belajar saya teratur dan ada waktu-waktu tertentu untuk belajar.</v>
      </c>
      <c r="W15" s="95" t="str">
        <f>IFERROR(__xludf.DUMMYFUNCTION("""COMPUTED_VALUE"""),"B Saya ingin kegiatan itu teratur dan direncanakan.")</f>
        <v>B Saya ingin kegiatan itu teratur dan direncanakan.</v>
      </c>
      <c r="X15" s="95" t="str">
        <f>IFERROR(__xludf.DUMMYFUNCTION("""COMPUTED_VALUE"""),"B Saya ingin agar hidup saya teratur sesuai cita-cita saya.")</f>
        <v>B Saya ingin agar hidup saya teratur sesuai cita-cita saya.</v>
      </c>
      <c r="Y15" s="95" t="str">
        <f>IFERROR(__xludf.DUMMYFUNCTION("""COMPUTED_VALUE"""),"A Saya suka menyelesaikan tugas-tugas yang membutuhkan ketrampilan dan usaha.")</f>
        <v>A Saya suka menyelesaikan tugas-tugas yang membutuhkan ketrampilan dan usaha.</v>
      </c>
      <c r="Z15" s="95" t="str">
        <f>IFERROR(__xludf.DUMMYFUNCTION("""COMPUTED_VALUE"""),"B Saya ingin merasa bebas untuk melakukan apa yang saya inginkan.")</f>
        <v>B Saya ingin merasa bebas untuk melakukan apa yang saya inginkan.</v>
      </c>
      <c r="AA15" s="95" t="str">
        <f>IFERROR(__xludf.DUMMYFUNCTION("""COMPUTED_VALUE"""),"B Saya tidak suka pada orang yang berbuat seenaknya sendiri.")</f>
        <v>B Saya tidak suka pada orang yang berbuat seenaknya sendiri.</v>
      </c>
      <c r="AB15" s="95" t="str">
        <f>IFERROR(__xludf.DUMMYFUNCTION("""COMPUTED_VALUE"""),"B Saya ingin menyelesaikan pekerjaan satu persatu sebelum memulai yang lain.")</f>
        <v>B Saya ingin menyelesaikan pekerjaan satu persatu sebelum memulai yang lain.</v>
      </c>
      <c r="AC15" s="95" t="str">
        <f>IFERROR(__xludf.DUMMYFUNCTION("""COMPUTED_VALUE"""),"A Saya suka menyelesaikan setiap tugas meskipun membutuhkan waktu lama.")</f>
        <v>A Saya suka menyelesaikan setiap tugas meskipun membutuhkan waktu lama.</v>
      </c>
      <c r="AD15" s="95" t="str">
        <f>IFERROR(__xludf.DUMMYFUNCTION("""COMPUTED_VALUE"""),"A Saya suka bermurah hati terhadap teman-teman saya.")</f>
        <v>A Saya suka bermurah hati terhadap teman-teman saya.</v>
      </c>
      <c r="AE15" s="95" t="str">
        <f>IFERROR(__xludf.DUMMYFUNCTION("""COMPUTED_VALUE"""),"A Saya ingin dianggap sebagai pemimpin oleh teman di kelompok.")</f>
        <v>A Saya ingin dianggap sebagai pemimpin oleh teman di kelompok.</v>
      </c>
      <c r="AF15" s="95" t="str">
        <f>IFERROR(__xludf.DUMMYFUNCTION("""COMPUTED_VALUE"""),"A Saya ingin agar teman-teman mengerti bila saya mengalami kesukaran.")</f>
        <v>A Saya ingin agar teman-teman mengerti bila saya mengalami kesukaran.</v>
      </c>
      <c r="AG15" s="95" t="str">
        <f>IFERROR(__xludf.DUMMYFUNCTION("""COMPUTED_VALUE"""),"A Saya mengajari orang lain bagaimana mereka harus melakukan pekerjaan mereka.")</f>
        <v>A Saya mengajari orang lain bagaimana mereka harus melakukan pekerjaan mereka.</v>
      </c>
      <c r="AH15" s="95" t="str">
        <f>IFERROR(__xludf.DUMMYFUNCTION("""COMPUTED_VALUE"""),"B Saya ingin merasa bebas untuk melakukan apa yang saya kehendaki.")</f>
        <v>B Saya ingin merasa bebas untuk melakukan apa yang saya kehendaki.</v>
      </c>
      <c r="AI15" s="95" t="str">
        <f>IFERROR(__xludf.DUMMYFUNCTION("""COMPUTED_VALUE"""),"B Saya suka melakukan kegiatan sesuai kondisi yang saya inginkan.")</f>
        <v>B Saya suka melakukan kegiatan sesuai kondisi yang saya inginkan.</v>
      </c>
      <c r="AJ15" s="95" t="str">
        <f>IFERROR(__xludf.DUMMYFUNCTION("""COMPUTED_VALUE"""),"B Saya suka bertahan menghadapi satu masalah meskipun belum tentu berhasil.")</f>
        <v>B Saya suka bertahan menghadapi satu masalah meskipun belum tentu berhasil.</v>
      </c>
      <c r="AK15" s="95" t="str">
        <f>IFERROR(__xludf.DUMMYFUNCTION("""COMPUTED_VALUE"""),"B Bila saya harus melakukan suatu tugas, saya ingin mengerjakan sampai selesai.")</f>
        <v>B Bila saya harus melakukan suatu tugas, saya ingin mengerjakan sampai selesai.</v>
      </c>
      <c r="AL15" s="95" t="str">
        <f>IFERROR(__xludf.DUMMYFUNCTION("""COMPUTED_VALUE"""),"A Saya suka berbicara tentang hal-hal yang telah saya capai.")</f>
        <v>A Saya suka berbicara tentang hal-hal yang telah saya capai.</v>
      </c>
      <c r="AM15" s="95" t="str">
        <f>IFERROR(__xludf.DUMMYFUNCTION("""COMPUTED_VALUE"""),"B Saya suka belajar sampai malam untuk menyelesaikan suatu tugas.")</f>
        <v>B Saya suka belajar sampai malam untuk menyelesaikan suatu tugas.</v>
      </c>
      <c r="AN15" s="95" t="str">
        <f>IFERROR(__xludf.DUMMYFUNCTION("""COMPUTED_VALUE"""),"A Saya tidak suka pada orang yang semena-mena.")</f>
        <v>A Saya tidak suka pada orang yang semena-mena.</v>
      </c>
      <c r="AO15" s="95" t="str">
        <f>IFERROR(__xludf.DUMMYFUNCTION("""COMPUTED_VALUE"""),"B Saya suka menyelesaikan setiap tugas meskipun membutuhkan waktu lama.")</f>
        <v>B Saya suka menyelesaikan setiap tugas meskipun membutuhkan waktu lama.</v>
      </c>
      <c r="AP15" s="95" t="str">
        <f>IFERROR(__xludf.DUMMYFUNCTION("""COMPUTED_VALUE"""),"A Saya ingin mengerjakannya tugas sampai selesai.")</f>
        <v>A Saya ingin mengerjakannya tugas sampai selesai.</v>
      </c>
      <c r="AQ15" s="95" t="str">
        <f>IFERROR(__xludf.DUMMYFUNCTION("""COMPUTED_VALUE"""),"B Bila saya harus melakukan suatu tugas, saya ingin mengerjakan sampai selesai.")</f>
        <v>B Bila saya harus melakukan suatu tugas, saya ingin mengerjakan sampai selesai.</v>
      </c>
      <c r="AR15" s="95" t="str">
        <f>IFERROR(__xludf.DUMMYFUNCTION("""COMPUTED_VALUE"""),"B Saya suka belajar keras pada tiap pelajaran yang saya hadapi.")</f>
        <v>B Saya suka belajar keras pada tiap pelajaran yang saya hadapi.</v>
      </c>
      <c r="AS15" s="95" t="str">
        <f>IFERROR(__xludf.DUMMYFUNCTION("""COMPUTED_VALUE"""),"B Saya suka belajar sampai malam untuk menyelesaikan suatu tugas.")</f>
        <v>B Saya suka belajar sampai malam untuk menyelesaikan suatu tugas.</v>
      </c>
      <c r="AT15" s="95" t="str">
        <f>IFERROR(__xludf.DUMMYFUNCTION("""COMPUTED_VALUE"""),"B Saya suka membantu orang lain yang menurut saya perlu dikasihani.")</f>
        <v>B Saya suka membantu orang lain yang menurut saya perlu dikasihani.</v>
      </c>
      <c r="AU15" s="95" t="str">
        <f>IFERROR(__xludf.DUMMYFUNCTION("""COMPUTED_VALUE"""),"B Saya suka bermurah hati terhadap teman-teman saya.")</f>
        <v>B Saya suka bermurah hati terhadap teman-teman saya.</v>
      </c>
      <c r="AV15" s="95" t="str">
        <f>IFERROR(__xludf.DUMMYFUNCTION("""COMPUTED_VALUE"""),"B Saya suka menolong teman-teman saya.")</f>
        <v>B Saya suka menolong teman-teman saya.</v>
      </c>
      <c r="AW15" s="95" t="str">
        <f>IFERROR(__xludf.DUMMYFUNCTION("""COMPUTED_VALUE"""),"B Saya ingin teman-teman saya percaya bahwa saya bisa menolong mereka.")</f>
        <v>B Saya ingin teman-teman saya percaya bahwa saya bisa menolong mereka.</v>
      </c>
      <c r="AX15" s="95" t="str">
        <f>IFERROR(__xludf.DUMMYFUNCTION("""COMPUTED_VALUE"""),"B Saya suka memaafkan teman-teman saya yang menyakiti hati saya.")</f>
        <v>B Saya suka memaafkan teman-teman saya yang menyakiti hati saya.</v>
      </c>
      <c r="AY15" s="95" t="str">
        <f>IFERROR(__xludf.DUMMYFUNCTION("""COMPUTED_VALUE"""),"B Saya suka menolong teman-teman saya apabila mereka dalam kesulitan.")</f>
        <v>B Saya suka menolong teman-teman saya apabila mereka dalam kesulitan.</v>
      </c>
      <c r="AZ15" s="95" t="str">
        <f>IFERROR(__xludf.DUMMYFUNCTION("""COMPUTED_VALUE"""),"B Saya suka menunjukkan simpati saya kepada teman-teman saya.")</f>
        <v>B Saya suka menunjukkan simpati saya kepada teman-teman saya.</v>
      </c>
      <c r="BA15" s="95" t="str">
        <f>IFERROR(__xludf.DUMMYFUNCTION("""COMPUTED_VALUE"""),"B Saya suka memperlakukan orang lain dengan baik dan ramah.")</f>
        <v>B Saya suka memperlakukan orang lain dengan baik dan ramah.</v>
      </c>
      <c r="BB15" s="95" t="str">
        <f>IFERROR(__xludf.DUMMYFUNCTION("""COMPUTED_VALUE"""),"B Saya suka bermurah hati terhadap teman-teman saya.")</f>
        <v>B Saya suka bermurah hati terhadap teman-teman saya.</v>
      </c>
      <c r="BC15" s="95" t="str">
        <f>IFERROR(__xludf.DUMMYFUNCTION("""COMPUTED_VALUE"""),"B Saya suka membantu orang lain yang menurut saya perlu dikasihani.")</f>
        <v>B Saya suka membantu orang lain yang menurut saya perlu dikasihani.</v>
      </c>
      <c r="BD15" s="95" t="str">
        <f>IFERROR(__xludf.DUMMYFUNCTION("""COMPUTED_VALUE"""),"B Saya suka bersikukuh dengan pendirian saya.")</f>
        <v>B Saya suka bersikukuh dengan pendirian saya.</v>
      </c>
      <c r="BE15" s="95" t="str">
        <f>IFERROR(__xludf.DUMMYFUNCTION("""COMPUTED_VALUE"""),"B Saya ingin orang lain melakukan apa yang saya kehendaki.")</f>
        <v>B Saya ingin orang lain melakukan apa yang saya kehendaki.</v>
      </c>
      <c r="BF15" s="95" t="str">
        <f>IFERROR(__xludf.DUMMYFUNCTION("""COMPUTED_VALUE"""),"B Bila saya dalam kelompok, saya ingin menentukan apa yang akan kita lakukan.")</f>
        <v>B Bila saya dalam kelompok, saya ingin menentukan apa yang akan kita lakukan.</v>
      </c>
      <c r="BG15" s="95" t="str">
        <f>IFERROR(__xludf.DUMMYFUNCTION("""COMPUTED_VALUE"""),"A Saya ingin teman-teman banyak menunjukkan rasa sayang mereka terhadap saya.")</f>
        <v>A Saya ingin teman-teman banyak menunjukkan rasa sayang mereka terhadap saya.</v>
      </c>
      <c r="BH15" s="95" t="str">
        <f>IFERROR(__xludf.DUMMYFUNCTION("""COMPUTED_VALUE"""),"B Apabila saya berkumpul dalam kelompok, saya ingin dihargai teman-teman.")</f>
        <v>B Apabila saya berkumpul dalam kelompok, saya ingin dihargai teman-teman.</v>
      </c>
      <c r="BI15" s="95" t="str">
        <f>IFERROR(__xludf.DUMMYFUNCTION("""COMPUTED_VALUE"""),"A Saya suka bermurah hati terhadap teman-teman saya.")</f>
        <v>A Saya suka bermurah hati terhadap teman-teman saya.</v>
      </c>
      <c r="BJ15" s="95" t="str">
        <f>IFERROR(__xludf.DUMMYFUNCTION("""COMPUTED_VALUE"""),"A Saya ingin mengerjakan tugas sampai selesai.")</f>
        <v>A Saya ingin mengerjakan tugas sampai selesai.</v>
      </c>
      <c r="BK15" s="95" t="str">
        <f>IFERROR(__xludf.DUMMYFUNCTION("""COMPUTED_VALUE"""),"B Saya senang untuk diminta menyelesaikan pertentangan-pertentangan.")</f>
        <v>B Saya senang untuk diminta menyelesaikan pertentangan-pertentangan.</v>
      </c>
      <c r="BL15" s="95" t="str">
        <f>IFERROR(__xludf.DUMMYFUNCTION("""COMPUTED_VALUE"""),"A Saya suka belajar saya teratur dan ada waktu-waktu tertentu untuk belajar.")</f>
        <v>A Saya suka belajar saya teratur dan ada waktu-waktu tertentu untuk belajar.</v>
      </c>
      <c r="BM15" s="95" t="str">
        <f>IFERROR(__xludf.DUMMYFUNCTION("""COMPUTED_VALUE"""),"A Saya suka melakukan pekerjaan sebaik mungkin.")</f>
        <v>A Saya suka melakukan pekerjaan sebaik mungkin.</v>
      </c>
      <c r="BN15" s="95" t="str">
        <f>IFERROR(__xludf.DUMMYFUNCTION("""COMPUTED_VALUE"""),"B Saya ingin teman-teman memberi dorongan bila saya menghadapi kegagalan.")</f>
        <v>B Saya ingin teman-teman memberi dorongan bila saya menghadapi kegagalan.</v>
      </c>
      <c r="BO15" s="95" t="str">
        <f>IFERROR(__xludf.DUMMYFUNCTION("""COMPUTED_VALUE"""),"B Saya ingin diperlakukan dengan baik oleh teman-teman saya.")</f>
        <v>B Saya ingin diperlakukan dengan baik oleh teman-teman saya.</v>
      </c>
      <c r="BP15" s="95" t="str">
        <f>IFERROR(__xludf.DUMMYFUNCTION("""COMPUTED_VALUE"""),"A Saya ingin menyelesaikan sesuatu yang sangat penting artinya.")</f>
        <v>A Saya ingin menyelesaikan sesuatu yang sangat penting artinya.</v>
      </c>
      <c r="BQ15" s="95" t="str">
        <f>IFERROR(__xludf.DUMMYFUNCTION("""COMPUTED_VALUE"""),"A Saya ingin mengerjakannya tugas sampai selesai.")</f>
        <v>A Saya ingin mengerjakannya tugas sampai selesai.</v>
      </c>
      <c r="BR15" s="95" t="str">
        <f>IFERROR(__xludf.DUMMYFUNCTION("""COMPUTED_VALUE"""),"B Saya ingin agar teman-teman saya bersimpati dan menghibur saya bila saya sedih.")</f>
        <v>B Saya ingin agar teman-teman saya bersimpati dan menghibur saya bila saya sedih.</v>
      </c>
      <c r="BS15" s="95" t="str">
        <f>IFERROR(__xludf.DUMMYFUNCTION("""COMPUTED_VALUE"""),"B Saya ingin teman-teman saya membantu saya bila saya mengalami kesulitan")</f>
        <v>B Saya ingin teman-teman saya membantu saya bila saya mengalami kesulitan</v>
      </c>
      <c r="BT15" s="95" t="str">
        <f>IFERROR(__xludf.DUMMYFUNCTION("""COMPUTED_VALUE"""),"B Saya ingin teman-teman banyak menunjukkan rasa sayang mereka terhadap saya.")</f>
        <v>B Saya ingin teman-teman banyak menunjukkan rasa sayang mereka terhadap saya.</v>
      </c>
      <c r="BU15" s="95" t="str">
        <f>IFERROR(__xludf.DUMMYFUNCTION("""COMPUTED_VALUE"""),"B Saya ingin agar teman-teman saya merasa kasihan pada saya apabila saya sakit.")</f>
        <v>B Saya ingin agar teman-teman saya merasa kasihan pada saya apabila saya sakit.</v>
      </c>
      <c r="BV15" s="95" t="str">
        <f>IFERROR(__xludf.DUMMYFUNCTION("""COMPUTED_VALUE"""),"B Saya ingin teman-teman dengan gembira memberikan pertolongan kepada saya.")</f>
        <v>B Saya ingin teman-teman dengan gembira memberikan pertolongan kepada saya.</v>
      </c>
      <c r="BW15" s="95" t="str">
        <f>IFERROR(__xludf.DUMMYFUNCTION("""COMPUTED_VALUE"""),"B Saya ingin diperlakukan dengan baik oleh teman-teman saya.")</f>
        <v>B Saya ingin diperlakukan dengan baik oleh teman-teman saya.</v>
      </c>
      <c r="BX15" s="95" t="str">
        <f>IFERROR(__xludf.DUMMYFUNCTION("""COMPUTED_VALUE"""),"B Saya kadang-kadang suka melakukan hal-hal yang dapat dipuji oleh orang lain.")</f>
        <v>B Saya kadang-kadang suka melakukan hal-hal yang dapat dipuji oleh orang lain.</v>
      </c>
      <c r="BY15" s="95" t="str">
        <f>IFERROR(__xludf.DUMMYFUNCTION("""COMPUTED_VALUE"""),"A Saya suka melamun atau membayangkan hal-hal yang tidak jelas.")</f>
        <v>A Saya suka melamun atau membayangkan hal-hal yang tidak jelas.</v>
      </c>
      <c r="BZ15" s="95" t="str">
        <f>IFERROR(__xludf.DUMMYFUNCTION("""COMPUTED_VALUE"""),"A Saya suka berkata yang artinya sulit dipahami oleh orang lain.")</f>
        <v>A Saya suka berkata yang artinya sulit dipahami oleh orang lain.</v>
      </c>
      <c r="CA15" s="95" t="str">
        <f>IFERROR(__xludf.DUMMYFUNCTION("""COMPUTED_VALUE"""),"A Saya ingin teman-teman dengan gembira memberikan pertolongan kepada saya.")</f>
        <v>A Saya ingin teman-teman dengan gembira memberikan pertolongan kepada saya.</v>
      </c>
      <c r="CB15" s="95" t="str">
        <f>IFERROR(__xludf.DUMMYFUNCTION("""COMPUTED_VALUE"""),"B Saya suka berbicara tentang hal-hal yang telah saya capai.")</f>
        <v>B Saya suka berbicara tentang hal-hal yang telah saya capai.</v>
      </c>
      <c r="CC15" s="95" t="str">
        <f>IFERROR(__xludf.DUMMYFUNCTION("""COMPUTED_VALUE"""),"A Apabila saya berkumpul dalam kelompok, saya ingin dihargai teman-teman.")</f>
        <v>A Apabila saya berkumpul dalam kelompok, saya ingin dihargai teman-teman.</v>
      </c>
      <c r="CD15" s="95" t="str">
        <f>IFERROR(__xludf.DUMMYFUNCTION("""COMPUTED_VALUE"""),"A Saya suka menyelesaikan setiap tugas meskipun membutuhkan waktu lama.")</f>
        <v>A Saya suka menyelesaikan setiap tugas meskipun membutuhkan waktu lama.</v>
      </c>
      <c r="CE15" s="95" t="str">
        <f>IFERROR(__xludf.DUMMYFUNCTION("""COMPUTED_VALUE"""),"A Saya suka menyelesaikan setiap tugas belajar yang telah saya mulai.")</f>
        <v>A Saya suka menyelesaikan setiap tugas belajar yang telah saya mulai.</v>
      </c>
      <c r="CF15" s="95" t="str">
        <f>IFERROR(__xludf.DUMMYFUNCTION("""COMPUTED_VALUE"""),"A Saya ingin agar hidup saya teratur sesuai cita-cita saya.")</f>
        <v>A Saya ingin agar hidup saya teratur sesuai cita-cita saya.</v>
      </c>
      <c r="CG15" s="95" t="str">
        <f>IFERROR(__xludf.DUMMYFUNCTION("""COMPUTED_VALUE"""),"A Saya ingin berhasil dalam apa yang saya lakukan.")</f>
        <v>A Saya ingin berhasil dalam apa yang saya lakukan.</v>
      </c>
      <c r="CH15" s="95" t="str">
        <f>IFERROR(__xludf.DUMMYFUNCTION("""COMPUTED_VALUE"""),"A Saya ingin bisa melakukan dengan baik sesuatu pekerjaan sulit.")</f>
        <v>A Saya ingin bisa melakukan dengan baik sesuatu pekerjaan sulit.</v>
      </c>
      <c r="CI15" s="95" t="str">
        <f>IFERROR(__xludf.DUMMYFUNCTION("""COMPUTED_VALUE"""),"A Saya suka belajar saya teratur dan ada waktu-waktu tertentu untuk belajar.")</f>
        <v>A Saya suka belajar saya teratur dan ada waktu-waktu tertentu untuk belajar.</v>
      </c>
      <c r="CJ15" s="95" t="str">
        <f>IFERROR(__xludf.DUMMYFUNCTION("""COMPUTED_VALUE"""),"A Saya ingin tidak tergantung dari orang lain terhadap apa yang akan saya lakukan.")</f>
        <v>A Saya ingin tidak tergantung dari orang lain terhadap apa yang akan saya lakukan.</v>
      </c>
      <c r="CK15" s="95" t="str">
        <f>IFERROR(__xludf.DUMMYFUNCTION("""COMPUTED_VALUE"""),"B Saya senang ikut beraktivitas bersama teman sebaya saya.")</f>
        <v>B Saya senang ikut beraktivitas bersama teman sebaya saya.</v>
      </c>
      <c r="CL15" s="95" t="str">
        <f>IFERROR(__xludf.DUMMYFUNCTION("""COMPUTED_VALUE"""),"A Saya suka menolong teman-teman saya, apabila mereka dalam kesulitan.")</f>
        <v>A Saya suka menolong teman-teman saya, apabila mereka dalam kesulitan.</v>
      </c>
      <c r="CM15" s="95" t="str">
        <f>IFERROR(__xludf.DUMMYFUNCTION("""COMPUTED_VALUE"""),"B Saya merasa kagum pada seseorang.")</f>
        <v>B Saya merasa kagum pada seseorang.</v>
      </c>
      <c r="CN15" s="95" t="str">
        <f>IFERROR(__xludf.DUMMYFUNCTION("""COMPUTED_VALUE"""),"A Saya ingin diperlakukan dengan baik oleh teman-teman saya.")</f>
        <v>A Saya ingin diperlakukan dengan baik oleh teman-teman saya.</v>
      </c>
      <c r="CO15" s="95" t="str">
        <f>IFERROR(__xludf.DUMMYFUNCTION("""COMPUTED_VALUE"""),"B Saya suka memuji orang yang saya kagumi.")</f>
        <v>B Saya suka memuji orang yang saya kagumi.</v>
      </c>
      <c r="CP15" s="95" t="str">
        <f>IFERROR(__xludf.DUMMYFUNCTION("""COMPUTED_VALUE"""),"A Saya suka melamun atau membayangkan sesuatu sendirian.")</f>
        <v>A Saya suka melamun atau membayangkan sesuatu sendirian.</v>
      </c>
      <c r="CQ15" s="95" t="str">
        <f>IFERROR(__xludf.DUMMYFUNCTION("""COMPUTED_VALUE"""),"B Saya merasa kagum pada seseorang.")</f>
        <v>B Saya merasa kagum pada seseorang.</v>
      </c>
      <c r="CR15" s="95" t="str">
        <f>IFERROR(__xludf.DUMMYFUNCTION("""COMPUTED_VALUE"""),"B Saya rasanya ingin mengecam seseorang bila orang itu menjengkelkan.")</f>
        <v>B Saya rasanya ingin mengecam seseorang bila orang itu menjengkelkan.</v>
      </c>
      <c r="CS15" s="95" t="str">
        <f>IFERROR(__xludf.DUMMYFUNCTION("""COMPUTED_VALUE"""),"B Saya rasanya ingin membalas dendam bila seseorang menghina saya.")</f>
        <v>B Saya rasanya ingin membalas dendam bila seseorang menghina saya.</v>
      </c>
      <c r="CT15" s="95" t="str">
        <f>IFERROR(__xludf.DUMMYFUNCTION("""COMPUTED_VALUE"""),"B Saya saat marah rasanya ingin melemparkan dan merusak barang-barang.")</f>
        <v>B Saya saat marah rasanya ingin melemparkan dan merusak barang-barang.</v>
      </c>
      <c r="CU15" s="95" t="str">
        <f>IFERROR(__xludf.DUMMYFUNCTION("""COMPUTED_VALUE"""),"A Saya ingin diperlakukan dengan ramah oleh teman-teman saya.")</f>
        <v>A Saya ingin diperlakukan dengan ramah oleh teman-teman saya.</v>
      </c>
      <c r="CV15" s="95" t="str">
        <f>IFERROR(__xludf.DUMMYFUNCTION("""COMPUTED_VALUE"""),"B Saya menyerang pendirian-pendirian yang bertentangan dengan pendirian saya.")</f>
        <v>B Saya menyerang pendirian-pendirian yang bertentangan dengan pendirian saya.</v>
      </c>
      <c r="CW15" s="95" t="str">
        <f>IFERROR(__xludf.DUMMYFUNCTION("""COMPUTED_VALUE"""),"A Saya suka menolong teman-teman saya, apabila mereka dalam kesulitan.")</f>
        <v>A Saya suka menolong teman-teman saya, apabila mereka dalam kesulitan.</v>
      </c>
      <c r="CX15" s="95" t="str">
        <f>IFERROR(__xludf.DUMMYFUNCTION("""COMPUTED_VALUE"""),"A Saya suka belajar sampai malam untuk menyelesaikan suatu tugas.")</f>
        <v>A Saya suka belajar sampai malam untuk menyelesaikan suatu tugas.</v>
      </c>
      <c r="CY15" s="95" t="str">
        <f>IFERROR(__xludf.DUMMYFUNCTION("""COMPUTED_VALUE"""),"A Saya ingin tidak tergantung dari orang lain terhadap apa yang akan saya lakukan.")</f>
        <v>A Saya ingin tidak tergantung dari orang lain terhadap apa yang akan saya lakukan.</v>
      </c>
      <c r="CZ15" s="95" t="str">
        <f>IFERROR(__xludf.DUMMYFUNCTION("""COMPUTED_VALUE"""),"A Saya suka merencanakan dan mengatur setiap pekerjaan yang harus saya lakukan.")</f>
        <v>A Saya suka merencanakan dan mengatur setiap pekerjaan yang harus saya lakukan.</v>
      </c>
      <c r="DA15" s="95" t="str">
        <f>IFERROR(__xludf.DUMMYFUNCTION("""COMPUTED_VALUE"""),"A Saya ingin melakukan apa saja sebaik mungkin.")</f>
        <v>A Saya ingin melakukan apa saja sebaik mungkin.</v>
      </c>
      <c r="DB15" s="89" t="s">
        <v>23</v>
      </c>
      <c r="DC15" s="97" t="str">
        <f t="shared" ref="DC15:GX15" si="60">LEFT(F15,1)</f>
        <v>B</v>
      </c>
      <c r="DD15" s="97" t="str">
        <f t="shared" si="60"/>
        <v>A</v>
      </c>
      <c r="DE15" s="97" t="str">
        <f t="shared" si="60"/>
        <v>A</v>
      </c>
      <c r="DF15" s="97" t="str">
        <f t="shared" si="60"/>
        <v>B</v>
      </c>
      <c r="DG15" s="97" t="str">
        <f t="shared" si="60"/>
        <v>A</v>
      </c>
      <c r="DH15" s="97" t="str">
        <f t="shared" si="60"/>
        <v>A</v>
      </c>
      <c r="DI15" s="97" t="str">
        <f t="shared" si="60"/>
        <v>A</v>
      </c>
      <c r="DJ15" s="97" t="str">
        <f t="shared" si="60"/>
        <v>A</v>
      </c>
      <c r="DK15" s="97" t="str">
        <f t="shared" si="60"/>
        <v>B</v>
      </c>
      <c r="DL15" s="97" t="str">
        <f t="shared" si="60"/>
        <v>B</v>
      </c>
      <c r="DM15" s="97" t="str">
        <f t="shared" si="60"/>
        <v>B</v>
      </c>
      <c r="DN15" s="97" t="str">
        <f t="shared" si="60"/>
        <v>B</v>
      </c>
      <c r="DO15" s="97" t="str">
        <f t="shared" si="60"/>
        <v>B</v>
      </c>
      <c r="DP15" s="97" t="str">
        <f t="shared" si="60"/>
        <v>A</v>
      </c>
      <c r="DQ15" s="97" t="str">
        <f t="shared" si="60"/>
        <v>B</v>
      </c>
      <c r="DR15" s="97" t="str">
        <f t="shared" si="60"/>
        <v>A</v>
      </c>
      <c r="DS15" s="97" t="str">
        <f t="shared" si="60"/>
        <v>B</v>
      </c>
      <c r="DT15" s="97" t="str">
        <f t="shared" si="60"/>
        <v>B</v>
      </c>
      <c r="DU15" s="97" t="str">
        <f t="shared" si="60"/>
        <v>B</v>
      </c>
      <c r="DV15" s="97" t="str">
        <f t="shared" si="60"/>
        <v>A</v>
      </c>
      <c r="DW15" s="97" t="str">
        <f t="shared" si="60"/>
        <v>B</v>
      </c>
      <c r="DX15" s="97" t="str">
        <f t="shared" si="60"/>
        <v>B</v>
      </c>
      <c r="DY15" s="97" t="str">
        <f t="shared" si="60"/>
        <v>B</v>
      </c>
      <c r="DZ15" s="97" t="str">
        <f t="shared" si="60"/>
        <v>A</v>
      </c>
      <c r="EA15" s="97" t="str">
        <f t="shared" si="60"/>
        <v>A</v>
      </c>
      <c r="EB15" s="97" t="str">
        <f t="shared" si="60"/>
        <v>A</v>
      </c>
      <c r="EC15" s="97" t="str">
        <f t="shared" si="60"/>
        <v>A</v>
      </c>
      <c r="ED15" s="97" t="str">
        <f t="shared" si="60"/>
        <v>A</v>
      </c>
      <c r="EE15" s="97" t="str">
        <f t="shared" si="60"/>
        <v>B</v>
      </c>
      <c r="EF15" s="97" t="str">
        <f t="shared" si="60"/>
        <v>B</v>
      </c>
      <c r="EG15" s="97" t="str">
        <f t="shared" si="60"/>
        <v>B</v>
      </c>
      <c r="EH15" s="97" t="str">
        <f t="shared" si="60"/>
        <v>B</v>
      </c>
      <c r="EI15" s="97" t="str">
        <f t="shared" si="60"/>
        <v>A</v>
      </c>
      <c r="EJ15" s="97" t="str">
        <f t="shared" si="60"/>
        <v>B</v>
      </c>
      <c r="EK15" s="97" t="str">
        <f t="shared" si="60"/>
        <v>A</v>
      </c>
      <c r="EL15" s="97" t="str">
        <f t="shared" si="60"/>
        <v>B</v>
      </c>
      <c r="EM15" s="97" t="str">
        <f t="shared" si="60"/>
        <v>A</v>
      </c>
      <c r="EN15" s="97" t="str">
        <f t="shared" si="60"/>
        <v>B</v>
      </c>
      <c r="EO15" s="97" t="str">
        <f t="shared" si="60"/>
        <v>B</v>
      </c>
      <c r="EP15" s="97" t="str">
        <f t="shared" si="60"/>
        <v>B</v>
      </c>
      <c r="EQ15" s="97" t="str">
        <f t="shared" si="60"/>
        <v>B</v>
      </c>
      <c r="ER15" s="97" t="str">
        <f t="shared" si="60"/>
        <v>B</v>
      </c>
      <c r="ES15" s="97" t="str">
        <f t="shared" si="60"/>
        <v>B</v>
      </c>
      <c r="ET15" s="97" t="str">
        <f t="shared" si="60"/>
        <v>B</v>
      </c>
      <c r="EU15" s="97" t="str">
        <f t="shared" si="60"/>
        <v>B</v>
      </c>
      <c r="EV15" s="97" t="str">
        <f t="shared" si="60"/>
        <v>B</v>
      </c>
      <c r="EW15" s="97" t="str">
        <f t="shared" si="60"/>
        <v>B</v>
      </c>
      <c r="EX15" s="97" t="str">
        <f t="shared" si="60"/>
        <v>B</v>
      </c>
      <c r="EY15" s="97" t="str">
        <f t="shared" si="60"/>
        <v>B</v>
      </c>
      <c r="EZ15" s="97" t="str">
        <f t="shared" si="60"/>
        <v>B</v>
      </c>
      <c r="FA15" s="97" t="str">
        <f t="shared" si="60"/>
        <v>B</v>
      </c>
      <c r="FB15" s="97" t="str">
        <f t="shared" si="60"/>
        <v>B</v>
      </c>
      <c r="FC15" s="97" t="str">
        <f t="shared" si="60"/>
        <v>B</v>
      </c>
      <c r="FD15" s="97" t="str">
        <f t="shared" si="60"/>
        <v>A</v>
      </c>
      <c r="FE15" s="97" t="str">
        <f t="shared" si="60"/>
        <v>B</v>
      </c>
      <c r="FF15" s="97" t="str">
        <f t="shared" si="60"/>
        <v>A</v>
      </c>
      <c r="FG15" s="97" t="str">
        <f t="shared" si="60"/>
        <v>A</v>
      </c>
      <c r="FH15" s="97" t="str">
        <f t="shared" si="60"/>
        <v>B</v>
      </c>
      <c r="FI15" s="97" t="str">
        <f t="shared" si="60"/>
        <v>A</v>
      </c>
      <c r="FJ15" s="97" t="str">
        <f t="shared" si="60"/>
        <v>A</v>
      </c>
      <c r="FK15" s="97" t="str">
        <f t="shared" si="60"/>
        <v>B</v>
      </c>
      <c r="FL15" s="97" t="str">
        <f t="shared" si="60"/>
        <v>B</v>
      </c>
      <c r="FM15" s="97" t="str">
        <f t="shared" si="60"/>
        <v>A</v>
      </c>
      <c r="FN15" s="97" t="str">
        <f t="shared" si="60"/>
        <v>A</v>
      </c>
      <c r="FO15" s="97" t="str">
        <f t="shared" si="60"/>
        <v>B</v>
      </c>
      <c r="FP15" s="97" t="str">
        <f t="shared" si="60"/>
        <v>B</v>
      </c>
      <c r="FQ15" s="97" t="str">
        <f t="shared" si="60"/>
        <v>B</v>
      </c>
      <c r="FR15" s="97" t="str">
        <f t="shared" si="60"/>
        <v>B</v>
      </c>
      <c r="FS15" s="97" t="str">
        <f t="shared" si="60"/>
        <v>B</v>
      </c>
      <c r="FT15" s="97" t="str">
        <f t="shared" si="60"/>
        <v>B</v>
      </c>
      <c r="FU15" s="97" t="str">
        <f t="shared" si="60"/>
        <v>B</v>
      </c>
      <c r="FV15" s="97" t="str">
        <f t="shared" si="60"/>
        <v>A</v>
      </c>
      <c r="FW15" s="97" t="str">
        <f t="shared" si="60"/>
        <v>A</v>
      </c>
      <c r="FX15" s="97" t="str">
        <f t="shared" si="60"/>
        <v>A</v>
      </c>
      <c r="FY15" s="97" t="str">
        <f t="shared" si="60"/>
        <v>B</v>
      </c>
      <c r="FZ15" s="97" t="str">
        <f t="shared" si="60"/>
        <v>A</v>
      </c>
      <c r="GA15" s="97" t="str">
        <f t="shared" si="60"/>
        <v>A</v>
      </c>
      <c r="GB15" s="97" t="str">
        <f t="shared" si="60"/>
        <v>A</v>
      </c>
      <c r="GC15" s="97" t="str">
        <f t="shared" si="60"/>
        <v>A</v>
      </c>
      <c r="GD15" s="97" t="str">
        <f t="shared" si="60"/>
        <v>A</v>
      </c>
      <c r="GE15" s="97" t="str">
        <f t="shared" si="60"/>
        <v>A</v>
      </c>
      <c r="GF15" s="97" t="str">
        <f t="shared" si="60"/>
        <v>A</v>
      </c>
      <c r="GG15" s="97" t="str">
        <f t="shared" si="60"/>
        <v>A</v>
      </c>
      <c r="GH15" s="97" t="str">
        <f t="shared" si="60"/>
        <v>B</v>
      </c>
      <c r="GI15" s="97" t="str">
        <f t="shared" si="60"/>
        <v>A</v>
      </c>
      <c r="GJ15" s="97" t="str">
        <f t="shared" si="60"/>
        <v>B</v>
      </c>
      <c r="GK15" s="97" t="str">
        <f t="shared" si="60"/>
        <v>A</v>
      </c>
      <c r="GL15" s="97" t="str">
        <f t="shared" si="60"/>
        <v>B</v>
      </c>
      <c r="GM15" s="97" t="str">
        <f t="shared" si="60"/>
        <v>A</v>
      </c>
      <c r="GN15" s="97" t="str">
        <f t="shared" si="60"/>
        <v>B</v>
      </c>
      <c r="GO15" s="97" t="str">
        <f t="shared" si="60"/>
        <v>B</v>
      </c>
      <c r="GP15" s="97" t="str">
        <f t="shared" si="60"/>
        <v>B</v>
      </c>
      <c r="GQ15" s="97" t="str">
        <f t="shared" si="60"/>
        <v>B</v>
      </c>
      <c r="GR15" s="97" t="str">
        <f t="shared" si="60"/>
        <v>A</v>
      </c>
      <c r="GS15" s="97" t="str">
        <f t="shared" si="60"/>
        <v>B</v>
      </c>
      <c r="GT15" s="97" t="str">
        <f t="shared" si="60"/>
        <v>A</v>
      </c>
      <c r="GU15" s="97" t="str">
        <f t="shared" si="60"/>
        <v>A</v>
      </c>
      <c r="GV15" s="97" t="str">
        <f t="shared" si="60"/>
        <v>A</v>
      </c>
      <c r="GW15" s="97" t="str">
        <f t="shared" si="60"/>
        <v>A</v>
      </c>
      <c r="GX15" s="97" t="str">
        <f t="shared" si="60"/>
        <v>A</v>
      </c>
      <c r="GY15" s="98"/>
      <c r="GZ15" s="97">
        <f t="shared" si="3"/>
        <v>44</v>
      </c>
      <c r="HA15" s="97">
        <f t="shared" si="4"/>
        <v>56</v>
      </c>
      <c r="HB15" s="90">
        <f t="shared" si="5"/>
        <v>100</v>
      </c>
      <c r="HC15" s="99"/>
      <c r="HD15" s="97">
        <f t="shared" si="6"/>
        <v>5</v>
      </c>
      <c r="HE15" s="97">
        <f t="shared" si="7"/>
        <v>3</v>
      </c>
      <c r="HF15" s="90">
        <f t="shared" si="8"/>
        <v>8</v>
      </c>
      <c r="HG15" s="99"/>
      <c r="HH15" s="97">
        <f t="shared" si="9"/>
        <v>5</v>
      </c>
      <c r="HI15" s="97">
        <f t="shared" si="10"/>
        <v>7</v>
      </c>
      <c r="HJ15" s="90">
        <f t="shared" si="11"/>
        <v>12</v>
      </c>
      <c r="HK15" s="99"/>
      <c r="HL15" s="97">
        <f t="shared" si="12"/>
        <v>5</v>
      </c>
      <c r="HM15" s="97">
        <f t="shared" si="13"/>
        <v>5</v>
      </c>
      <c r="HN15" s="90">
        <f t="shared" si="14"/>
        <v>10</v>
      </c>
      <c r="HO15" s="99"/>
      <c r="HP15" s="97">
        <f t="shared" si="15"/>
        <v>5</v>
      </c>
      <c r="HQ15" s="97">
        <f t="shared" si="16"/>
        <v>7</v>
      </c>
      <c r="HR15" s="90">
        <f t="shared" si="17"/>
        <v>12</v>
      </c>
      <c r="HS15" s="99"/>
      <c r="HT15" s="97">
        <f t="shared" si="18"/>
        <v>7</v>
      </c>
      <c r="HU15" s="97">
        <f t="shared" si="19"/>
        <v>10</v>
      </c>
      <c r="HV15" s="90">
        <f t="shared" si="20"/>
        <v>17</v>
      </c>
      <c r="HW15" s="99"/>
      <c r="HX15" s="97">
        <f t="shared" si="21"/>
        <v>3</v>
      </c>
      <c r="HY15" s="97">
        <f t="shared" si="22"/>
        <v>5</v>
      </c>
      <c r="HZ15" s="90">
        <f t="shared" si="23"/>
        <v>8</v>
      </c>
      <c r="IA15" s="99"/>
      <c r="IB15" s="97">
        <f t="shared" si="24"/>
        <v>7</v>
      </c>
      <c r="IC15" s="97">
        <f t="shared" si="25"/>
        <v>8</v>
      </c>
      <c r="ID15" s="90">
        <f t="shared" si="26"/>
        <v>15</v>
      </c>
      <c r="IE15" s="99"/>
      <c r="IF15" s="97">
        <f t="shared" si="27"/>
        <v>3</v>
      </c>
      <c r="IG15" s="97">
        <f t="shared" si="28"/>
        <v>2</v>
      </c>
      <c r="IH15" s="90">
        <f t="shared" si="29"/>
        <v>5</v>
      </c>
      <c r="II15" s="99"/>
      <c r="IJ15" s="97">
        <f t="shared" si="30"/>
        <v>1</v>
      </c>
      <c r="IK15" s="97">
        <f t="shared" si="31"/>
        <v>4</v>
      </c>
      <c r="IL15" s="90">
        <f t="shared" si="32"/>
        <v>5</v>
      </c>
      <c r="IM15" s="99"/>
      <c r="IN15" s="97">
        <f t="shared" si="33"/>
        <v>0</v>
      </c>
      <c r="IO15" s="97">
        <f t="shared" si="34"/>
        <v>4</v>
      </c>
      <c r="IP15" s="90">
        <f t="shared" si="35"/>
        <v>4</v>
      </c>
      <c r="IQ15" s="99"/>
      <c r="IR15" s="99"/>
      <c r="IS15" s="100">
        <f t="shared" si="36"/>
        <v>8</v>
      </c>
      <c r="IT15" s="100">
        <f t="shared" si="37"/>
        <v>12</v>
      </c>
      <c r="IU15" s="100">
        <f t="shared" si="38"/>
        <v>10</v>
      </c>
      <c r="IV15" s="100">
        <f t="shared" si="39"/>
        <v>12</v>
      </c>
      <c r="IW15" s="100">
        <f t="shared" si="40"/>
        <v>17</v>
      </c>
      <c r="IX15" s="100">
        <f t="shared" si="41"/>
        <v>8</v>
      </c>
      <c r="IY15" s="100">
        <f t="shared" si="42"/>
        <v>15</v>
      </c>
      <c r="IZ15" s="100">
        <f t="shared" si="43"/>
        <v>5</v>
      </c>
      <c r="JA15" s="100">
        <f t="shared" si="44"/>
        <v>5</v>
      </c>
      <c r="JB15" s="101">
        <f t="shared" si="45"/>
        <v>4</v>
      </c>
      <c r="JC15" s="102">
        <f t="shared" si="46"/>
        <v>96</v>
      </c>
      <c r="JD15" s="67">
        <f t="shared" si="50"/>
        <v>0</v>
      </c>
      <c r="JE15" s="67">
        <f t="shared" si="47"/>
        <v>1</v>
      </c>
      <c r="JF15" s="67">
        <f t="shared" si="48"/>
        <v>1</v>
      </c>
    </row>
    <row r="16">
      <c r="A16" s="103">
        <f>IFERROR(__xludf.DUMMYFUNCTION("""COMPUTED_VALUE"""),45921.363634560184)</f>
        <v>45921.36363</v>
      </c>
      <c r="B16" s="95" t="str">
        <f>IFERROR(__xludf.DUMMYFUNCTION("""COMPUTED_VALUE"""),"SHAKIRA NUR AISYAH")</f>
        <v>SHAKIRA NUR AISYAH</v>
      </c>
      <c r="C16" s="96" t="str">
        <f>IFERROR(__xludf.DUMMYFUNCTION("""COMPUTED_VALUE"""),"D250008")</f>
        <v>D250008</v>
      </c>
      <c r="D16" s="96" t="str">
        <f>IFERROR(__xludf.DUMMYFUNCTION("""COMPUTED_VALUE"""),"MTs Putri")</f>
        <v>MTs Putri</v>
      </c>
      <c r="E16" s="96" t="str">
        <f>IFERROR(__xludf.DUMMYFUNCTION("""COMPUTED_VALUE"""),"Ya")</f>
        <v>Ya</v>
      </c>
      <c r="F16" s="95" t="str">
        <f>IFERROR(__xludf.DUMMYFUNCTION("""COMPUTED_VALUE"""),"A Saya ingin mengerjakan segala tugas lebih baik daripada orang lain.")</f>
        <v>A Saya ingin mengerjakan segala tugas lebih baik daripada orang lain.</v>
      </c>
      <c r="G16" s="95" t="str">
        <f>IFERROR(__xludf.DUMMYFUNCTION("""COMPUTED_VALUE"""),"A Saya ingin setiap tulisan saya teliti, rapi, dan tersusun dengan baik.")</f>
        <v>A Saya ingin setiap tulisan saya teliti, rapi, dan tersusun dengan baik.</v>
      </c>
      <c r="H16" s="95" t="str">
        <f>IFERROR(__xludf.DUMMYFUNCTION("""COMPUTED_VALUE"""),"A Saya ingin berbuat sesuai kata hati saya.")</f>
        <v>A Saya ingin berbuat sesuai kata hati saya.</v>
      </c>
      <c r="I16" s="95" t="str">
        <f>IFERROR(__xludf.DUMMYFUNCTION("""COMPUTED_VALUE"""),"B Saya ingin bisa melakukan dengan baik meskipun tugas yang sulit.")</f>
        <v>B Saya ingin bisa melakukan dengan baik meskipun tugas yang sulit.</v>
      </c>
      <c r="J16" s="95" t="str">
        <f>IFERROR(__xludf.DUMMYFUNCTION("""COMPUTED_VALUE"""),"A Saya suka membantu teman-teman saya apabila mereka mengalami kesulitan.")</f>
        <v>A Saya suka membantu teman-teman saya apabila mereka mengalami kesulitan.</v>
      </c>
      <c r="K16" s="95" t="str">
        <f>IFERROR(__xludf.DUMMYFUNCTION("""COMPUTED_VALUE"""),"B Saya ingin mengatakan telah melakukan dengan baik sesuatu tugas yang sulit.")</f>
        <v>B Saya ingin mengatakan telah melakukan dengan baik sesuatu tugas yang sulit.</v>
      </c>
      <c r="L16" s="95" t="str">
        <f>IFERROR(__xludf.DUMMYFUNCTION("""COMPUTED_VALUE"""),"A Saya ingin menjadi pemimpin dalam suatu kelompok")</f>
        <v>A Saya ingin menjadi pemimpin dalam suatu kelompok</v>
      </c>
      <c r="M16" s="95" t="str">
        <f>IFERROR(__xludf.DUMMYFUNCTION("""COMPUTED_VALUE"""),"A Saya suka berbicara tentang hal-hal yang telah berhasil saya lakukan.")</f>
        <v>A Saya suka berbicara tentang hal-hal yang telah berhasil saya lakukan.</v>
      </c>
      <c r="N16" s="95" t="str">
        <f>IFERROR(__xludf.DUMMYFUNCTION("""COMPUTED_VALUE"""),"B Saya suka memecahkan persoalan yang sukar bagi orang lain.")</f>
        <v>B Saya suka memecahkan persoalan yang sukar bagi orang lain.</v>
      </c>
      <c r="O16" s="95" t="str">
        <f>IFERROR(__xludf.DUMMYFUNCTION("""COMPUTED_VALUE"""),"B Saya suka melakukan tugas sebaik mungkin.")</f>
        <v>B Saya suka melakukan tugas sebaik mungkin.</v>
      </c>
      <c r="P16" s="95" t="str">
        <f>IFERROR(__xludf.DUMMYFUNCTION("""COMPUTED_VALUE"""),"B Saya ingin setiap belajar itu teratur dan direncanakan.")</f>
        <v>B Saya ingin setiap belajar itu teratur dan direncanakan.</v>
      </c>
      <c r="Q16" s="95" t="str">
        <f>IFERROR(__xludf.DUMMYFUNCTION("""COMPUTED_VALUE"""),"B Saya merencanakan keperluan yang dibutuhkan sebelum bepergian.")</f>
        <v>B Saya merencanakan keperluan yang dibutuhkan sebelum bepergian.</v>
      </c>
      <c r="R16" s="95" t="str">
        <f>IFERROR(__xludf.DUMMYFUNCTION("""COMPUTED_VALUE"""),"B Saya suka barang-barang saya tersusun rapi dan teratur.")</f>
        <v>B Saya suka barang-barang saya tersusun rapi dan teratur.</v>
      </c>
      <c r="S16" s="95" t="str">
        <f>IFERROR(__xludf.DUMMYFUNCTION("""COMPUTED_VALUE"""),"B Saya suka membuat perencanaan sebelum memulai tugas yang sulit.")</f>
        <v>B Saya suka membuat perencanaan sebelum memulai tugas yang sulit.</v>
      </c>
      <c r="T16" s="95" t="str">
        <f>IFERROR(__xludf.DUMMYFUNCTION("""COMPUTED_VALUE"""),"B Saya ingin agar hidup saya teratur sesuai cita-cita saya.")</f>
        <v>B Saya ingin agar hidup saya teratur sesuai cita-cita saya.</v>
      </c>
      <c r="U16" s="95" t="str">
        <f>IFERROR(__xludf.DUMMYFUNCTION("""COMPUTED_VALUE"""),"A Saya suka memberikan bantuan kepada teman-teman saya.")</f>
        <v>A Saya suka memberikan bantuan kepada teman-teman saya.</v>
      </c>
      <c r="V16" s="95" t="str">
        <f>IFERROR(__xludf.DUMMYFUNCTION("""COMPUTED_VALUE"""),"B Saya suka belajar saya teratur dan ada waktu-waktu tertentu untuk belajar.")</f>
        <v>B Saya suka belajar saya teratur dan ada waktu-waktu tertentu untuk belajar.</v>
      </c>
      <c r="W16" s="95" t="str">
        <f>IFERROR(__xludf.DUMMYFUNCTION("""COMPUTED_VALUE"""),"B Saya ingin kegiatan itu teratur dan direncanakan.")</f>
        <v>B Saya ingin kegiatan itu teratur dan direncanakan.</v>
      </c>
      <c r="X16" s="95" t="str">
        <f>IFERROR(__xludf.DUMMYFUNCTION("""COMPUTED_VALUE"""),"A Saya suka merencanakan dan mengatur setiap apa yang harus saya lakukan.")</f>
        <v>A Saya suka merencanakan dan mengatur setiap apa yang harus saya lakukan.</v>
      </c>
      <c r="Y16" s="95" t="str">
        <f>IFERROR(__xludf.DUMMYFUNCTION("""COMPUTED_VALUE"""),"A Saya suka menyelesaikan tugas-tugas yang membutuhkan ketrampilan dan usaha.")</f>
        <v>A Saya suka menyelesaikan tugas-tugas yang membutuhkan ketrampilan dan usaha.</v>
      </c>
      <c r="Z16" s="95" t="str">
        <f>IFERROR(__xludf.DUMMYFUNCTION("""COMPUTED_VALUE"""),"A Saya ingin berhasil dengan belajar yang saya lakukan.")</f>
        <v>A Saya ingin berhasil dengan belajar yang saya lakukan.</v>
      </c>
      <c r="AA16" s="95" t="str">
        <f>IFERROR(__xludf.DUMMYFUNCTION("""COMPUTED_VALUE"""),"B Saya tidak suka pada orang yang berbuat seenaknya sendiri.")</f>
        <v>B Saya tidak suka pada orang yang berbuat seenaknya sendiri.</v>
      </c>
      <c r="AB16" s="95" t="str">
        <f>IFERROR(__xludf.DUMMYFUNCTION("""COMPUTED_VALUE"""),"B Saya ingin menyelesaikan pekerjaan satu persatu sebelum memulai yang lain.")</f>
        <v>B Saya ingin menyelesaikan pekerjaan satu persatu sebelum memulai yang lain.</v>
      </c>
      <c r="AC16" s="95" t="str">
        <f>IFERROR(__xludf.DUMMYFUNCTION("""COMPUTED_VALUE"""),"A Saya suka menyelesaikan setiap tugas meskipun membutuhkan waktu lama.")</f>
        <v>A Saya suka menyelesaikan setiap tugas meskipun membutuhkan waktu lama.</v>
      </c>
      <c r="AD16" s="95" t="str">
        <f>IFERROR(__xludf.DUMMYFUNCTION("""COMPUTED_VALUE"""),"A Saya suka bermurah hati terhadap teman-teman saya.")</f>
        <v>A Saya suka bermurah hati terhadap teman-teman saya.</v>
      </c>
      <c r="AE16" s="95" t="str">
        <f>IFERROR(__xludf.DUMMYFUNCTION("""COMPUTED_VALUE"""),"A Saya ingin dianggap sebagai pemimpin oleh teman di kelompok.")</f>
        <v>A Saya ingin dianggap sebagai pemimpin oleh teman di kelompok.</v>
      </c>
      <c r="AF16" s="95" t="str">
        <f>IFERROR(__xludf.DUMMYFUNCTION("""COMPUTED_VALUE"""),"B Saya suka melakukan hal-hal dengan cara saya sendiri.")</f>
        <v>B Saya suka melakukan hal-hal dengan cara saya sendiri.</v>
      </c>
      <c r="AG16" s="95" t="str">
        <f>IFERROR(__xludf.DUMMYFUNCTION("""COMPUTED_VALUE"""),"B Saya ingin berhasil dengan tugas yang saya lakukan.")</f>
        <v>B Saya ingin berhasil dengan tugas yang saya lakukan.</v>
      </c>
      <c r="AH16" s="95" t="str">
        <f>IFERROR(__xludf.DUMMYFUNCTION("""COMPUTED_VALUE"""),"B Saya ingin merasa bebas untuk melakukan apa yang saya kehendaki.")</f>
        <v>B Saya ingin merasa bebas untuk melakukan apa yang saya kehendaki.</v>
      </c>
      <c r="AI16" s="95" t="str">
        <f>IFERROR(__xludf.DUMMYFUNCTION("""COMPUTED_VALUE"""),"B Saya suka melakukan kegiatan sesuai kondisi yang saya inginkan.")</f>
        <v>B Saya suka melakukan kegiatan sesuai kondisi yang saya inginkan.</v>
      </c>
      <c r="AJ16" s="95" t="str">
        <f>IFERROR(__xludf.DUMMYFUNCTION("""COMPUTED_VALUE"""),"B Saya suka bertahan menghadapi satu masalah meskipun belum tentu berhasil.")</f>
        <v>B Saya suka bertahan menghadapi satu masalah meskipun belum tentu berhasil.</v>
      </c>
      <c r="AK16" s="95" t="str">
        <f>IFERROR(__xludf.DUMMYFUNCTION("""COMPUTED_VALUE"""),"B Bila saya harus melakukan suatu tugas, saya ingin mengerjakan sampai selesai.")</f>
        <v>B Bila saya harus melakukan suatu tugas, saya ingin mengerjakan sampai selesai.</v>
      </c>
      <c r="AL16" s="95" t="str">
        <f>IFERROR(__xludf.DUMMYFUNCTION("""COMPUTED_VALUE"""),"B Saya ingin menghindarkan gangguan bila saya sedang belajar.")</f>
        <v>B Saya ingin menghindarkan gangguan bila saya sedang belajar.</v>
      </c>
      <c r="AM16" s="95" t="str">
        <f>IFERROR(__xludf.DUMMYFUNCTION("""COMPUTED_VALUE"""),"B Saya suka belajar sampai malam untuk menyelesaikan suatu tugas.")</f>
        <v>B Saya suka belajar sampai malam untuk menyelesaikan suatu tugas.</v>
      </c>
      <c r="AN16" s="95" t="str">
        <f>IFERROR(__xludf.DUMMYFUNCTION("""COMPUTED_VALUE"""),"A Saya tidak suka pada orang yang semena-mena.")</f>
        <v>A Saya tidak suka pada orang yang semena-mena.</v>
      </c>
      <c r="AO16" s="95" t="str">
        <f>IFERROR(__xludf.DUMMYFUNCTION("""COMPUTED_VALUE"""),"A Saya suka berlaku sangat ramah terhadap teman-teman saya.")</f>
        <v>A Saya suka berlaku sangat ramah terhadap teman-teman saya.</v>
      </c>
      <c r="AP16" s="95" t="str">
        <f>IFERROR(__xludf.DUMMYFUNCTION("""COMPUTED_VALUE"""),"A Saya ingin mengerjakannya tugas sampai selesai.")</f>
        <v>A Saya ingin mengerjakannya tugas sampai selesai.</v>
      </c>
      <c r="AQ16" s="95" t="str">
        <f>IFERROR(__xludf.DUMMYFUNCTION("""COMPUTED_VALUE"""),"B Bila saya harus melakukan suatu tugas, saya ingin mengerjakan sampai selesai.")</f>
        <v>B Bila saya harus melakukan suatu tugas, saya ingin mengerjakan sampai selesai.</v>
      </c>
      <c r="AR16" s="95" t="str">
        <f>IFERROR(__xludf.DUMMYFUNCTION("""COMPUTED_VALUE"""),"A Saya suka menyimpan catatan secara rapi.")</f>
        <v>A Saya suka menyimpan catatan secara rapi.</v>
      </c>
      <c r="AS16" s="95" t="str">
        <f>IFERROR(__xludf.DUMMYFUNCTION("""COMPUTED_VALUE"""),"B Saya suka belajar sampai malam untuk menyelesaikan suatu tugas.")</f>
        <v>B Saya suka belajar sampai malam untuk menyelesaikan suatu tugas.</v>
      </c>
      <c r="AT16" s="95" t="str">
        <f>IFERROR(__xludf.DUMMYFUNCTION("""COMPUTED_VALUE"""),"A Saya ingin bisa melakukan dengan baik sesuatu pekerjaan sulit.")</f>
        <v>A Saya ingin bisa melakukan dengan baik sesuatu pekerjaan sulit.</v>
      </c>
      <c r="AU16" s="95" t="str">
        <f>IFERROR(__xludf.DUMMYFUNCTION("""COMPUTED_VALUE"""),"B Saya suka bermurah hati terhadap teman-teman saya.")</f>
        <v>B Saya suka bermurah hati terhadap teman-teman saya.</v>
      </c>
      <c r="AV16" s="95" t="str">
        <f>IFERROR(__xludf.DUMMYFUNCTION("""COMPUTED_VALUE"""),"B Saya suka menolong teman-teman saya.")</f>
        <v>B Saya suka menolong teman-teman saya.</v>
      </c>
      <c r="AW16" s="95" t="str">
        <f>IFERROR(__xludf.DUMMYFUNCTION("""COMPUTED_VALUE"""),"A Saya ingin mengerjakan tugas sampai selesai.")</f>
        <v>A Saya ingin mengerjakan tugas sampai selesai.</v>
      </c>
      <c r="AX16" s="95" t="str">
        <f>IFERROR(__xludf.DUMMYFUNCTION("""COMPUTED_VALUE"""),"A Saya suka menolong teman-teman saya apabila mereka dalam kesulitan.")</f>
        <v>A Saya suka menolong teman-teman saya apabila mereka dalam kesulitan.</v>
      </c>
      <c r="AY16" s="95" t="str">
        <f>IFERROR(__xludf.DUMMYFUNCTION("""COMPUTED_VALUE"""),"B Saya suka menolong teman-teman saya apabila mereka dalam kesulitan.")</f>
        <v>B Saya suka menolong teman-teman saya apabila mereka dalam kesulitan.</v>
      </c>
      <c r="AZ16" s="95" t="str">
        <f>IFERROR(__xludf.DUMMYFUNCTION("""COMPUTED_VALUE"""),"B Saya suka menunjukkan simpati saya kepada teman-teman saya.")</f>
        <v>B Saya suka menunjukkan simpati saya kepada teman-teman saya.</v>
      </c>
      <c r="BA16" s="95" t="str">
        <f>IFERROR(__xludf.DUMMYFUNCTION("""COMPUTED_VALUE"""),"B Saya suka memperlakukan orang lain dengan baik dan ramah.")</f>
        <v>B Saya suka memperlakukan orang lain dengan baik dan ramah.</v>
      </c>
      <c r="BB16" s="95" t="str">
        <f>IFERROR(__xludf.DUMMYFUNCTION("""COMPUTED_VALUE"""),"B Saya suka bermurah hati terhadap teman-teman saya.")</f>
        <v>B Saya suka bermurah hati terhadap teman-teman saya.</v>
      </c>
      <c r="BC16" s="95" t="str">
        <f>IFERROR(__xludf.DUMMYFUNCTION("""COMPUTED_VALUE"""),"B Saya suka membantu orang lain yang menurut saya perlu dikasihani.")</f>
        <v>B Saya suka membantu orang lain yang menurut saya perlu dikasihani.</v>
      </c>
      <c r="BD16" s="95" t="str">
        <f>IFERROR(__xludf.DUMMYFUNCTION("""COMPUTED_VALUE"""),"B Saya suka bersikukuh dengan pendirian saya.")</f>
        <v>B Saya suka bersikukuh dengan pendirian saya.</v>
      </c>
      <c r="BE16" s="95" t="str">
        <f>IFERROR(__xludf.DUMMYFUNCTION("""COMPUTED_VALUE"""),"A Saya suka mendengarkan atau menceritakan hal-hal yang sebaiknya tidak diceritakan.")</f>
        <v>A Saya suka mendengarkan atau menceritakan hal-hal yang sebaiknya tidak diceritakan.</v>
      </c>
      <c r="BF16" s="95" t="str">
        <f>IFERROR(__xludf.DUMMYFUNCTION("""COMPUTED_VALUE"""),"B Bila saya dalam kelompok, saya ingin menentukan apa yang akan kita lakukan.")</f>
        <v>B Bila saya dalam kelompok, saya ingin menentukan apa yang akan kita lakukan.</v>
      </c>
      <c r="BG16" s="95" t="str">
        <f>IFERROR(__xludf.DUMMYFUNCTION("""COMPUTED_VALUE"""),"A Saya ingin teman-teman banyak menunjukkan rasa sayang mereka terhadap saya.")</f>
        <v>A Saya ingin teman-teman banyak menunjukkan rasa sayang mereka terhadap saya.</v>
      </c>
      <c r="BH16" s="95" t="str">
        <f>IFERROR(__xludf.DUMMYFUNCTION("""COMPUTED_VALUE"""),"A Saya suka menghindar dari situasi yang tidak saya harapkan.")</f>
        <v>A Saya suka menghindar dari situasi yang tidak saya harapkan.</v>
      </c>
      <c r="BI16" s="95" t="str">
        <f>IFERROR(__xludf.DUMMYFUNCTION("""COMPUTED_VALUE"""),"A Saya suka bermurah hati terhadap teman-teman saya.")</f>
        <v>A Saya suka bermurah hati terhadap teman-teman saya.</v>
      </c>
      <c r="BJ16" s="95" t="str">
        <f>IFERROR(__xludf.DUMMYFUNCTION("""COMPUTED_VALUE"""),"A Saya ingin mengerjakan tugas sampai selesai.")</f>
        <v>A Saya ingin mengerjakan tugas sampai selesai.</v>
      </c>
      <c r="BK16" s="95" t="str">
        <f>IFERROR(__xludf.DUMMYFUNCTION("""COMPUTED_VALUE"""),"A Saya ingin menyelesaikan pekerjaan satu persatu sebelum memulai yang lain.")</f>
        <v>A Saya ingin menyelesaikan pekerjaan satu persatu sebelum memulai yang lain.</v>
      </c>
      <c r="BL16" s="95" t="str">
        <f>IFERROR(__xludf.DUMMYFUNCTION("""COMPUTED_VALUE"""),"A Saya suka belajar saya teratur dan ada waktu-waktu tertentu untuk belajar.")</f>
        <v>A Saya suka belajar saya teratur dan ada waktu-waktu tertentu untuk belajar.</v>
      </c>
      <c r="BM16" s="95" t="str">
        <f>IFERROR(__xludf.DUMMYFUNCTION("""COMPUTED_VALUE"""),"A Saya suka melakukan pekerjaan sebaik mungkin.")</f>
        <v>A Saya suka melakukan pekerjaan sebaik mungkin.</v>
      </c>
      <c r="BN16" s="95" t="str">
        <f>IFERROR(__xludf.DUMMYFUNCTION("""COMPUTED_VALUE"""),"A Saya suka mengerjakan teka-teki atau memecahkan persoalan sampai selesai.")</f>
        <v>A Saya suka mengerjakan teka-teki atau memecahkan persoalan sampai selesai.</v>
      </c>
      <c r="BO16" s="95" t="str">
        <f>IFERROR(__xludf.DUMMYFUNCTION("""COMPUTED_VALUE"""),"A Saya suka membuat perencanaan sebelum memulai belajar yang sulit.")</f>
        <v>A Saya suka membuat perencanaan sebelum memulai belajar yang sulit.</v>
      </c>
      <c r="BP16" s="95" t="str">
        <f>IFERROR(__xludf.DUMMYFUNCTION("""COMPUTED_VALUE"""),"A Saya ingin menyelesaikan sesuatu yang sangat penting artinya.")</f>
        <v>A Saya ingin menyelesaikan sesuatu yang sangat penting artinya.</v>
      </c>
      <c r="BQ16" s="95" t="str">
        <f>IFERROR(__xludf.DUMMYFUNCTION("""COMPUTED_VALUE"""),"A Saya ingin mengerjakannya tugas sampai selesai.")</f>
        <v>A Saya ingin mengerjakannya tugas sampai selesai.</v>
      </c>
      <c r="BR16" s="95" t="str">
        <f>IFERROR(__xludf.DUMMYFUNCTION("""COMPUTED_VALUE"""),"A Saya suka memaafkan teman-teman saya yang menyakiti hati saya.")</f>
        <v>A Saya suka memaafkan teman-teman saya yang menyakiti hati saya.</v>
      </c>
      <c r="BS16" s="95" t="str">
        <f>IFERROR(__xludf.DUMMYFUNCTION("""COMPUTED_VALUE"""),"B Saya ingin teman-teman saya membantu saya bila saya mengalami kesulitan")</f>
        <v>B Saya ingin teman-teman saya membantu saya bila saya mengalami kesulitan</v>
      </c>
      <c r="BT16" s="95" t="str">
        <f>IFERROR(__xludf.DUMMYFUNCTION("""COMPUTED_VALUE"""),"B Saya ingin teman-teman banyak menunjukkan rasa sayang mereka terhadap saya.")</f>
        <v>B Saya ingin teman-teman banyak menunjukkan rasa sayang mereka terhadap saya.</v>
      </c>
      <c r="BU16" s="95" t="str">
        <f>IFERROR(__xludf.DUMMYFUNCTION("""COMPUTED_VALUE"""),"A Saya kadang-kadang suka melakukan hal-hal yang dapat dipuji oleh orang lain.")</f>
        <v>A Saya kadang-kadang suka melakukan hal-hal yang dapat dipuji oleh orang lain.</v>
      </c>
      <c r="BV16" s="95" t="str">
        <f>IFERROR(__xludf.DUMMYFUNCTION("""COMPUTED_VALUE"""),"B Saya ingin teman-teman dengan gembira memberikan pertolongan kepada saya.")</f>
        <v>B Saya ingin teman-teman dengan gembira memberikan pertolongan kepada saya.</v>
      </c>
      <c r="BW16" s="95" t="str">
        <f>IFERROR(__xludf.DUMMYFUNCTION("""COMPUTED_VALUE"""),"B Saya ingin diperlakukan dengan baik oleh teman-teman saya.")</f>
        <v>B Saya ingin diperlakukan dengan baik oleh teman-teman saya.</v>
      </c>
      <c r="BX16" s="95" t="str">
        <f>IFERROR(__xludf.DUMMYFUNCTION("""COMPUTED_VALUE"""),"B Saya kadang-kadang suka melakukan hal-hal yang dapat dipuji oleh orang lain.")</f>
        <v>B Saya kadang-kadang suka melakukan hal-hal yang dapat dipuji oleh orang lain.</v>
      </c>
      <c r="BY16" s="95" t="str">
        <f>IFERROR(__xludf.DUMMYFUNCTION("""COMPUTED_VALUE"""),"A Saya suka melamun atau membayangkan hal-hal yang tidak jelas.")</f>
        <v>A Saya suka melamun atau membayangkan hal-hal yang tidak jelas.</v>
      </c>
      <c r="BZ16" s="95" t="str">
        <f>IFERROR(__xludf.DUMMYFUNCTION("""COMPUTED_VALUE"""),"A Saya suka berkata yang artinya sulit dipahami oleh orang lain.")</f>
        <v>A Saya suka berkata yang artinya sulit dipahami oleh orang lain.</v>
      </c>
      <c r="CA16" s="95" t="str">
        <f>IFERROR(__xludf.DUMMYFUNCTION("""COMPUTED_VALUE"""),"A Saya ingin teman-teman dengan gembira memberikan pertolongan kepada saya.")</f>
        <v>A Saya ingin teman-teman dengan gembira memberikan pertolongan kepada saya.</v>
      </c>
      <c r="CB16" s="95" t="str">
        <f>IFERROR(__xludf.DUMMYFUNCTION("""COMPUTED_VALUE"""),"B Saya suka berbicara tentang hal-hal yang telah saya capai.")</f>
        <v>B Saya suka berbicara tentang hal-hal yang telah saya capai.</v>
      </c>
      <c r="CC16" s="95" t="str">
        <f>IFERROR(__xludf.DUMMYFUNCTION("""COMPUTED_VALUE"""),"B Saya suka menceritakan hal-hal lucu agar diperhatikan oleh orang lain.")</f>
        <v>B Saya suka menceritakan hal-hal lucu agar diperhatikan oleh orang lain.</v>
      </c>
      <c r="CD16" s="95" t="str">
        <f>IFERROR(__xludf.DUMMYFUNCTION("""COMPUTED_VALUE"""),"A Saya suka menyelesaikan setiap tugas meskipun membutuhkan waktu lama.")</f>
        <v>A Saya suka menyelesaikan setiap tugas meskipun membutuhkan waktu lama.</v>
      </c>
      <c r="CE16" s="95" t="str">
        <f>IFERROR(__xludf.DUMMYFUNCTION("""COMPUTED_VALUE"""),"A Saya suka menyelesaikan setiap tugas belajar yang telah saya mulai.")</f>
        <v>A Saya suka menyelesaikan setiap tugas belajar yang telah saya mulai.</v>
      </c>
      <c r="CF16" s="95" t="str">
        <f>IFERROR(__xludf.DUMMYFUNCTION("""COMPUTED_VALUE"""),"A Saya ingin agar hidup saya teratur sesuai cita-cita saya.")</f>
        <v>A Saya ingin agar hidup saya teratur sesuai cita-cita saya.</v>
      </c>
      <c r="CG16" s="95" t="str">
        <f>IFERROR(__xludf.DUMMYFUNCTION("""COMPUTED_VALUE"""),"A Saya ingin berhasil dalam apa yang saya lakukan.")</f>
        <v>A Saya ingin berhasil dalam apa yang saya lakukan.</v>
      </c>
      <c r="CH16" s="95" t="str">
        <f>IFERROR(__xludf.DUMMYFUNCTION("""COMPUTED_VALUE"""),"A Saya ingin bisa melakukan dengan baik sesuatu pekerjaan sulit.")</f>
        <v>A Saya ingin bisa melakukan dengan baik sesuatu pekerjaan sulit.</v>
      </c>
      <c r="CI16" s="95" t="str">
        <f>IFERROR(__xludf.DUMMYFUNCTION("""COMPUTED_VALUE"""),"A Saya suka belajar saya teratur dan ada waktu-waktu tertentu untuk belajar.")</f>
        <v>A Saya suka belajar saya teratur dan ada waktu-waktu tertentu untuk belajar.</v>
      </c>
      <c r="CJ16" s="95" t="str">
        <f>IFERROR(__xludf.DUMMYFUNCTION("""COMPUTED_VALUE"""),"A Saya ingin tidak tergantung dari orang lain terhadap apa yang akan saya lakukan.")</f>
        <v>A Saya ingin tidak tergantung dari orang lain terhadap apa yang akan saya lakukan.</v>
      </c>
      <c r="CK16" s="95" t="str">
        <f>IFERROR(__xludf.DUMMYFUNCTION("""COMPUTED_VALUE"""),"A Saya suka bertahan menghadapi satu masalah, meskipun belum tentu berhasil.")</f>
        <v>A Saya suka bertahan menghadapi satu masalah, meskipun belum tentu berhasil.</v>
      </c>
      <c r="CL16" s="95" t="str">
        <f>IFERROR(__xludf.DUMMYFUNCTION("""COMPUTED_VALUE"""),"A Saya suka menolong teman-teman saya, apabila mereka dalam kesulitan.")</f>
        <v>A Saya suka menolong teman-teman saya, apabila mereka dalam kesulitan.</v>
      </c>
      <c r="CM16" s="95" t="str">
        <f>IFERROR(__xludf.DUMMYFUNCTION("""COMPUTED_VALUE"""),"B Saya merasa kagum pada seseorang.")</f>
        <v>B Saya merasa kagum pada seseorang.</v>
      </c>
      <c r="CN16" s="95" t="str">
        <f>IFERROR(__xludf.DUMMYFUNCTION("""COMPUTED_VALUE"""),"A Saya ingin diperlakukan dengan baik oleh teman-teman saya.")</f>
        <v>A Saya ingin diperlakukan dengan baik oleh teman-teman saya.</v>
      </c>
      <c r="CO16" s="95" t="str">
        <f>IFERROR(__xludf.DUMMYFUNCTION("""COMPUTED_VALUE"""),"B Saya suka memuji orang yang saya kagumi.")</f>
        <v>B Saya suka memuji orang yang saya kagumi.</v>
      </c>
      <c r="CP16" s="95" t="str">
        <f>IFERROR(__xludf.DUMMYFUNCTION("""COMPUTED_VALUE"""),"A Saya suka melamun atau membayangkan sesuatu sendirian.")</f>
        <v>A Saya suka melamun atau membayangkan sesuatu sendirian.</v>
      </c>
      <c r="CQ16" s="95" t="str">
        <f>IFERROR(__xludf.DUMMYFUNCTION("""COMPUTED_VALUE"""),"B Saya merasa kagum pada seseorang.")</f>
        <v>B Saya merasa kagum pada seseorang.</v>
      </c>
      <c r="CR16" s="95" t="str">
        <f>IFERROR(__xludf.DUMMYFUNCTION("""COMPUTED_VALUE"""),"A Saya ingin memperolok-olok orang yang saya anggap melakukan tindakan bodoh.")</f>
        <v>A Saya ingin memperolok-olok orang yang saya anggap melakukan tindakan bodoh.</v>
      </c>
      <c r="CS16" s="95" t="str">
        <f>IFERROR(__xludf.DUMMYFUNCTION("""COMPUTED_VALUE"""),"A Saya ingin terlihat menarik di depan teman-teman saya.")</f>
        <v>A Saya ingin terlihat menarik di depan teman-teman saya.</v>
      </c>
      <c r="CT16" s="95" t="str">
        <f>IFERROR(__xludf.DUMMYFUNCTION("""COMPUTED_VALUE"""),"A Saya ingin orang-orang memperhatikan komentar mengenai penampilan saya.")</f>
        <v>A Saya ingin orang-orang memperhatikan komentar mengenai penampilan saya.</v>
      </c>
      <c r="CU16" s="95" t="str">
        <f>IFERROR(__xludf.DUMMYFUNCTION("""COMPUTED_VALUE"""),"A Saya ingin diperlakukan dengan ramah oleh teman-teman saya.")</f>
        <v>A Saya ingin diperlakukan dengan ramah oleh teman-teman saya.</v>
      </c>
      <c r="CV16" s="95" t="str">
        <f>IFERROR(__xludf.DUMMYFUNCTION("""COMPUTED_VALUE"""),"B Saya menyerang pendirian-pendirian yang bertentangan dengan pendirian saya.")</f>
        <v>B Saya menyerang pendirian-pendirian yang bertentangan dengan pendirian saya.</v>
      </c>
      <c r="CW16" s="95" t="str">
        <f>IFERROR(__xludf.DUMMYFUNCTION("""COMPUTED_VALUE"""),"A Saya suka menolong teman-teman saya, apabila mereka dalam kesulitan.")</f>
        <v>A Saya suka menolong teman-teman saya, apabila mereka dalam kesulitan.</v>
      </c>
      <c r="CX16" s="95" t="str">
        <f>IFERROR(__xludf.DUMMYFUNCTION("""COMPUTED_VALUE"""),"A Saya suka belajar sampai malam untuk menyelesaikan suatu tugas.")</f>
        <v>A Saya suka belajar sampai malam untuk menyelesaikan suatu tugas.</v>
      </c>
      <c r="CY16" s="95" t="str">
        <f>IFERROR(__xludf.DUMMYFUNCTION("""COMPUTED_VALUE"""),"A Saya ingin tidak tergantung dari orang lain terhadap apa yang akan saya lakukan.")</f>
        <v>A Saya ingin tidak tergantung dari orang lain terhadap apa yang akan saya lakukan.</v>
      </c>
      <c r="CZ16" s="95" t="str">
        <f>IFERROR(__xludf.DUMMYFUNCTION("""COMPUTED_VALUE"""),"A Saya suka merencanakan dan mengatur setiap pekerjaan yang harus saya lakukan.")</f>
        <v>A Saya suka merencanakan dan mengatur setiap pekerjaan yang harus saya lakukan.</v>
      </c>
      <c r="DA16" s="95" t="str">
        <f>IFERROR(__xludf.DUMMYFUNCTION("""COMPUTED_VALUE"""),"A Saya ingin melakukan apa saja sebaik mungkin.")</f>
        <v>A Saya ingin melakukan apa saja sebaik mungkin.</v>
      </c>
      <c r="DB16" s="89" t="s">
        <v>23</v>
      </c>
      <c r="DC16" s="97" t="str">
        <f t="shared" ref="DC16:GX16" si="61">LEFT(F16,1)</f>
        <v>A</v>
      </c>
      <c r="DD16" s="97" t="str">
        <f t="shared" si="61"/>
        <v>A</v>
      </c>
      <c r="DE16" s="97" t="str">
        <f t="shared" si="61"/>
        <v>A</v>
      </c>
      <c r="DF16" s="97" t="str">
        <f t="shared" si="61"/>
        <v>B</v>
      </c>
      <c r="DG16" s="97" t="str">
        <f t="shared" si="61"/>
        <v>A</v>
      </c>
      <c r="DH16" s="97" t="str">
        <f t="shared" si="61"/>
        <v>B</v>
      </c>
      <c r="DI16" s="97" t="str">
        <f t="shared" si="61"/>
        <v>A</v>
      </c>
      <c r="DJ16" s="97" t="str">
        <f t="shared" si="61"/>
        <v>A</v>
      </c>
      <c r="DK16" s="97" t="str">
        <f t="shared" si="61"/>
        <v>B</v>
      </c>
      <c r="DL16" s="97" t="str">
        <f t="shared" si="61"/>
        <v>B</v>
      </c>
      <c r="DM16" s="97" t="str">
        <f t="shared" si="61"/>
        <v>B</v>
      </c>
      <c r="DN16" s="97" t="str">
        <f t="shared" si="61"/>
        <v>B</v>
      </c>
      <c r="DO16" s="97" t="str">
        <f t="shared" si="61"/>
        <v>B</v>
      </c>
      <c r="DP16" s="97" t="str">
        <f t="shared" si="61"/>
        <v>B</v>
      </c>
      <c r="DQ16" s="97" t="str">
        <f t="shared" si="61"/>
        <v>B</v>
      </c>
      <c r="DR16" s="97" t="str">
        <f t="shared" si="61"/>
        <v>A</v>
      </c>
      <c r="DS16" s="97" t="str">
        <f t="shared" si="61"/>
        <v>B</v>
      </c>
      <c r="DT16" s="97" t="str">
        <f t="shared" si="61"/>
        <v>B</v>
      </c>
      <c r="DU16" s="97" t="str">
        <f t="shared" si="61"/>
        <v>A</v>
      </c>
      <c r="DV16" s="97" t="str">
        <f t="shared" si="61"/>
        <v>A</v>
      </c>
      <c r="DW16" s="97" t="str">
        <f t="shared" si="61"/>
        <v>A</v>
      </c>
      <c r="DX16" s="97" t="str">
        <f t="shared" si="61"/>
        <v>B</v>
      </c>
      <c r="DY16" s="97" t="str">
        <f t="shared" si="61"/>
        <v>B</v>
      </c>
      <c r="DZ16" s="97" t="str">
        <f t="shared" si="61"/>
        <v>A</v>
      </c>
      <c r="EA16" s="97" t="str">
        <f t="shared" si="61"/>
        <v>A</v>
      </c>
      <c r="EB16" s="97" t="str">
        <f t="shared" si="61"/>
        <v>A</v>
      </c>
      <c r="EC16" s="97" t="str">
        <f t="shared" si="61"/>
        <v>B</v>
      </c>
      <c r="ED16" s="97" t="str">
        <f t="shared" si="61"/>
        <v>B</v>
      </c>
      <c r="EE16" s="97" t="str">
        <f t="shared" si="61"/>
        <v>B</v>
      </c>
      <c r="EF16" s="97" t="str">
        <f t="shared" si="61"/>
        <v>B</v>
      </c>
      <c r="EG16" s="97" t="str">
        <f t="shared" si="61"/>
        <v>B</v>
      </c>
      <c r="EH16" s="97" t="str">
        <f t="shared" si="61"/>
        <v>B</v>
      </c>
      <c r="EI16" s="97" t="str">
        <f t="shared" si="61"/>
        <v>B</v>
      </c>
      <c r="EJ16" s="97" t="str">
        <f t="shared" si="61"/>
        <v>B</v>
      </c>
      <c r="EK16" s="97" t="str">
        <f t="shared" si="61"/>
        <v>A</v>
      </c>
      <c r="EL16" s="97" t="str">
        <f t="shared" si="61"/>
        <v>A</v>
      </c>
      <c r="EM16" s="97" t="str">
        <f t="shared" si="61"/>
        <v>A</v>
      </c>
      <c r="EN16" s="97" t="str">
        <f t="shared" si="61"/>
        <v>B</v>
      </c>
      <c r="EO16" s="97" t="str">
        <f t="shared" si="61"/>
        <v>A</v>
      </c>
      <c r="EP16" s="97" t="str">
        <f t="shared" si="61"/>
        <v>B</v>
      </c>
      <c r="EQ16" s="97" t="str">
        <f t="shared" si="61"/>
        <v>A</v>
      </c>
      <c r="ER16" s="97" t="str">
        <f t="shared" si="61"/>
        <v>B</v>
      </c>
      <c r="ES16" s="97" t="str">
        <f t="shared" si="61"/>
        <v>B</v>
      </c>
      <c r="ET16" s="97" t="str">
        <f t="shared" si="61"/>
        <v>A</v>
      </c>
      <c r="EU16" s="97" t="str">
        <f t="shared" si="61"/>
        <v>A</v>
      </c>
      <c r="EV16" s="97" t="str">
        <f t="shared" si="61"/>
        <v>B</v>
      </c>
      <c r="EW16" s="97" t="str">
        <f t="shared" si="61"/>
        <v>B</v>
      </c>
      <c r="EX16" s="97" t="str">
        <f t="shared" si="61"/>
        <v>B</v>
      </c>
      <c r="EY16" s="97" t="str">
        <f t="shared" si="61"/>
        <v>B</v>
      </c>
      <c r="EZ16" s="97" t="str">
        <f t="shared" si="61"/>
        <v>B</v>
      </c>
      <c r="FA16" s="97" t="str">
        <f t="shared" si="61"/>
        <v>B</v>
      </c>
      <c r="FB16" s="97" t="str">
        <f t="shared" si="61"/>
        <v>A</v>
      </c>
      <c r="FC16" s="97" t="str">
        <f t="shared" si="61"/>
        <v>B</v>
      </c>
      <c r="FD16" s="97" t="str">
        <f t="shared" si="61"/>
        <v>A</v>
      </c>
      <c r="FE16" s="97" t="str">
        <f t="shared" si="61"/>
        <v>A</v>
      </c>
      <c r="FF16" s="97" t="str">
        <f t="shared" si="61"/>
        <v>A</v>
      </c>
      <c r="FG16" s="97" t="str">
        <f t="shared" si="61"/>
        <v>A</v>
      </c>
      <c r="FH16" s="97" t="str">
        <f t="shared" si="61"/>
        <v>A</v>
      </c>
      <c r="FI16" s="97" t="str">
        <f t="shared" si="61"/>
        <v>A</v>
      </c>
      <c r="FJ16" s="97" t="str">
        <f t="shared" si="61"/>
        <v>A</v>
      </c>
      <c r="FK16" s="97" t="str">
        <f t="shared" si="61"/>
        <v>A</v>
      </c>
      <c r="FL16" s="97" t="str">
        <f t="shared" si="61"/>
        <v>A</v>
      </c>
      <c r="FM16" s="97" t="str">
        <f t="shared" si="61"/>
        <v>A</v>
      </c>
      <c r="FN16" s="97" t="str">
        <f t="shared" si="61"/>
        <v>A</v>
      </c>
      <c r="FO16" s="97" t="str">
        <f t="shared" si="61"/>
        <v>A</v>
      </c>
      <c r="FP16" s="97" t="str">
        <f t="shared" si="61"/>
        <v>B</v>
      </c>
      <c r="FQ16" s="97" t="str">
        <f t="shared" si="61"/>
        <v>B</v>
      </c>
      <c r="FR16" s="97" t="str">
        <f t="shared" si="61"/>
        <v>A</v>
      </c>
      <c r="FS16" s="97" t="str">
        <f t="shared" si="61"/>
        <v>B</v>
      </c>
      <c r="FT16" s="97" t="str">
        <f t="shared" si="61"/>
        <v>B</v>
      </c>
      <c r="FU16" s="97" t="str">
        <f t="shared" si="61"/>
        <v>B</v>
      </c>
      <c r="FV16" s="97" t="str">
        <f t="shared" si="61"/>
        <v>A</v>
      </c>
      <c r="FW16" s="97" t="str">
        <f t="shared" si="61"/>
        <v>A</v>
      </c>
      <c r="FX16" s="97" t="str">
        <f t="shared" si="61"/>
        <v>A</v>
      </c>
      <c r="FY16" s="97" t="str">
        <f t="shared" si="61"/>
        <v>B</v>
      </c>
      <c r="FZ16" s="97" t="str">
        <f t="shared" si="61"/>
        <v>B</v>
      </c>
      <c r="GA16" s="97" t="str">
        <f t="shared" si="61"/>
        <v>A</v>
      </c>
      <c r="GB16" s="97" t="str">
        <f t="shared" si="61"/>
        <v>A</v>
      </c>
      <c r="GC16" s="97" t="str">
        <f t="shared" si="61"/>
        <v>A</v>
      </c>
      <c r="GD16" s="97" t="str">
        <f t="shared" si="61"/>
        <v>A</v>
      </c>
      <c r="GE16" s="97" t="str">
        <f t="shared" si="61"/>
        <v>A</v>
      </c>
      <c r="GF16" s="97" t="str">
        <f t="shared" si="61"/>
        <v>A</v>
      </c>
      <c r="GG16" s="97" t="str">
        <f t="shared" si="61"/>
        <v>A</v>
      </c>
      <c r="GH16" s="97" t="str">
        <f t="shared" si="61"/>
        <v>A</v>
      </c>
      <c r="GI16" s="97" t="str">
        <f t="shared" si="61"/>
        <v>A</v>
      </c>
      <c r="GJ16" s="97" t="str">
        <f t="shared" si="61"/>
        <v>B</v>
      </c>
      <c r="GK16" s="97" t="str">
        <f t="shared" si="61"/>
        <v>A</v>
      </c>
      <c r="GL16" s="97" t="str">
        <f t="shared" si="61"/>
        <v>B</v>
      </c>
      <c r="GM16" s="97" t="str">
        <f t="shared" si="61"/>
        <v>A</v>
      </c>
      <c r="GN16" s="97" t="str">
        <f t="shared" si="61"/>
        <v>B</v>
      </c>
      <c r="GO16" s="97" t="str">
        <f t="shared" si="61"/>
        <v>A</v>
      </c>
      <c r="GP16" s="97" t="str">
        <f t="shared" si="61"/>
        <v>A</v>
      </c>
      <c r="GQ16" s="97" t="str">
        <f t="shared" si="61"/>
        <v>A</v>
      </c>
      <c r="GR16" s="97" t="str">
        <f t="shared" si="61"/>
        <v>A</v>
      </c>
      <c r="GS16" s="97" t="str">
        <f t="shared" si="61"/>
        <v>B</v>
      </c>
      <c r="GT16" s="97" t="str">
        <f t="shared" si="61"/>
        <v>A</v>
      </c>
      <c r="GU16" s="97" t="str">
        <f t="shared" si="61"/>
        <v>A</v>
      </c>
      <c r="GV16" s="97" t="str">
        <f t="shared" si="61"/>
        <v>A</v>
      </c>
      <c r="GW16" s="97" t="str">
        <f t="shared" si="61"/>
        <v>A</v>
      </c>
      <c r="GX16" s="97" t="str">
        <f t="shared" si="61"/>
        <v>A</v>
      </c>
      <c r="GY16" s="98"/>
      <c r="GZ16" s="97">
        <f t="shared" si="3"/>
        <v>57</v>
      </c>
      <c r="HA16" s="97">
        <f t="shared" si="4"/>
        <v>43</v>
      </c>
      <c r="HB16" s="90">
        <f t="shared" si="5"/>
        <v>100</v>
      </c>
      <c r="HC16" s="99"/>
      <c r="HD16" s="97">
        <f t="shared" si="6"/>
        <v>8</v>
      </c>
      <c r="HE16" s="97">
        <f t="shared" si="7"/>
        <v>4</v>
      </c>
      <c r="HF16" s="90">
        <f t="shared" si="8"/>
        <v>12</v>
      </c>
      <c r="HG16" s="99"/>
      <c r="HH16" s="97">
        <f t="shared" si="9"/>
        <v>7</v>
      </c>
      <c r="HI16" s="97">
        <f t="shared" si="10"/>
        <v>7</v>
      </c>
      <c r="HJ16" s="90">
        <f t="shared" si="11"/>
        <v>14</v>
      </c>
      <c r="HK16" s="99"/>
      <c r="HL16" s="97">
        <f t="shared" si="12"/>
        <v>6</v>
      </c>
      <c r="HM16" s="97">
        <f t="shared" si="13"/>
        <v>6</v>
      </c>
      <c r="HN16" s="90">
        <f t="shared" si="14"/>
        <v>12</v>
      </c>
      <c r="HO16" s="99"/>
      <c r="HP16" s="97">
        <f t="shared" si="15"/>
        <v>7</v>
      </c>
      <c r="HQ16" s="97">
        <f t="shared" si="16"/>
        <v>6</v>
      </c>
      <c r="HR16" s="90">
        <f t="shared" si="17"/>
        <v>13</v>
      </c>
      <c r="HS16" s="99"/>
      <c r="HT16" s="97">
        <f t="shared" si="18"/>
        <v>8</v>
      </c>
      <c r="HU16" s="97">
        <f t="shared" si="19"/>
        <v>7</v>
      </c>
      <c r="HV16" s="90">
        <f t="shared" si="20"/>
        <v>15</v>
      </c>
      <c r="HW16" s="99"/>
      <c r="HX16" s="97">
        <f t="shared" si="21"/>
        <v>2</v>
      </c>
      <c r="HY16" s="97">
        <f t="shared" si="22"/>
        <v>2</v>
      </c>
      <c r="HZ16" s="90">
        <f t="shared" si="23"/>
        <v>4</v>
      </c>
      <c r="IA16" s="99"/>
      <c r="IB16" s="97">
        <f t="shared" si="24"/>
        <v>5</v>
      </c>
      <c r="IC16" s="97">
        <f t="shared" si="25"/>
        <v>4</v>
      </c>
      <c r="ID16" s="90">
        <f t="shared" si="26"/>
        <v>9</v>
      </c>
      <c r="IE16" s="99"/>
      <c r="IF16" s="97">
        <f t="shared" si="27"/>
        <v>3</v>
      </c>
      <c r="IG16" s="97">
        <f t="shared" si="28"/>
        <v>3</v>
      </c>
      <c r="IH16" s="90">
        <f t="shared" si="29"/>
        <v>6</v>
      </c>
      <c r="II16" s="99"/>
      <c r="IJ16" s="97">
        <f t="shared" si="30"/>
        <v>3</v>
      </c>
      <c r="IK16" s="97">
        <f t="shared" si="31"/>
        <v>3</v>
      </c>
      <c r="IL16" s="90">
        <f t="shared" si="32"/>
        <v>6</v>
      </c>
      <c r="IM16" s="99"/>
      <c r="IN16" s="97">
        <f t="shared" si="33"/>
        <v>0</v>
      </c>
      <c r="IO16" s="97">
        <f t="shared" si="34"/>
        <v>1</v>
      </c>
      <c r="IP16" s="90">
        <f t="shared" si="35"/>
        <v>1</v>
      </c>
      <c r="IQ16" s="99"/>
      <c r="IR16" s="99"/>
      <c r="IS16" s="100">
        <f t="shared" si="36"/>
        <v>12</v>
      </c>
      <c r="IT16" s="100">
        <f t="shared" si="37"/>
        <v>14</v>
      </c>
      <c r="IU16" s="100">
        <f t="shared" si="38"/>
        <v>12</v>
      </c>
      <c r="IV16" s="100">
        <f t="shared" si="39"/>
        <v>13</v>
      </c>
      <c r="IW16" s="100">
        <f t="shared" si="40"/>
        <v>15</v>
      </c>
      <c r="IX16" s="100">
        <f t="shared" si="41"/>
        <v>4</v>
      </c>
      <c r="IY16" s="100">
        <f t="shared" si="42"/>
        <v>9</v>
      </c>
      <c r="IZ16" s="100">
        <f t="shared" si="43"/>
        <v>6</v>
      </c>
      <c r="JA16" s="100">
        <f t="shared" si="44"/>
        <v>6</v>
      </c>
      <c r="JB16" s="101">
        <f t="shared" si="45"/>
        <v>1</v>
      </c>
      <c r="JC16" s="102">
        <f t="shared" si="46"/>
        <v>92</v>
      </c>
      <c r="JD16" s="67">
        <f t="shared" si="50"/>
        <v>0</v>
      </c>
      <c r="JE16" s="67">
        <f t="shared" si="47"/>
        <v>0</v>
      </c>
      <c r="JF16" s="67">
        <f t="shared" si="48"/>
        <v>0</v>
      </c>
    </row>
    <row r="17">
      <c r="A17" s="103">
        <f>IFERROR(__xludf.DUMMYFUNCTION("""COMPUTED_VALUE"""),45921.398545034725)</f>
        <v>45921.39855</v>
      </c>
      <c r="B17" s="95" t="str">
        <f>IFERROR(__xludf.DUMMYFUNCTION("""COMPUTED_VALUE"""),"Adya Wiguna")</f>
        <v>Adya Wiguna</v>
      </c>
      <c r="C17" s="96" t="str">
        <f>IFERROR(__xludf.DUMMYFUNCTION("""COMPUTED_VALUE"""),"A250013")</f>
        <v>A250013</v>
      </c>
      <c r="D17" s="96" t="str">
        <f>IFERROR(__xludf.DUMMYFUNCTION("""COMPUTED_VALUE"""),"MTs Putra")</f>
        <v>MTs Putra</v>
      </c>
      <c r="E17" s="96" t="str">
        <f>IFERROR(__xludf.DUMMYFUNCTION("""COMPUTED_VALUE"""),"Ya")</f>
        <v>Ya</v>
      </c>
      <c r="F17" s="95" t="str">
        <f>IFERROR(__xludf.DUMMYFUNCTION("""COMPUTED_VALUE"""),"A Saya ingin mengerjakan segala tugas lebih baik daripada orang lain.")</f>
        <v>A Saya ingin mengerjakan segala tugas lebih baik daripada orang lain.</v>
      </c>
      <c r="G17" s="95" t="str">
        <f>IFERROR(__xludf.DUMMYFUNCTION("""COMPUTED_VALUE"""),"A Saya ingin setiap tulisan saya teliti, rapi, dan tersusun dengan baik.")</f>
        <v>A Saya ingin setiap tulisan saya teliti, rapi, dan tersusun dengan baik.</v>
      </c>
      <c r="H17" s="95" t="str">
        <f>IFERROR(__xludf.DUMMYFUNCTION("""COMPUTED_VALUE"""),"B Saya ingin menjadi orang yang diakui dalam suatu pekerjaan atau bidang khusus.")</f>
        <v>B Saya ingin menjadi orang yang diakui dalam suatu pekerjaan atau bidang khusus.</v>
      </c>
      <c r="I17" s="95" t="str">
        <f>IFERROR(__xludf.DUMMYFUNCTION("""COMPUTED_VALUE"""),"A Saya suka belajar keras pada tiap pelajaran yang saya hadapi.")</f>
        <v>A Saya suka belajar keras pada tiap pelajaran yang saya hadapi.</v>
      </c>
      <c r="J17" s="95" t="str">
        <f>IFERROR(__xludf.DUMMYFUNCTION("""COMPUTED_VALUE"""),"A Saya suka membantu teman-teman saya apabila mereka mengalami kesulitan.")</f>
        <v>A Saya suka membantu teman-teman saya apabila mereka mengalami kesulitan.</v>
      </c>
      <c r="K17" s="95" t="str">
        <f>IFERROR(__xludf.DUMMYFUNCTION("""COMPUTED_VALUE"""),"B Saya ingin mengatakan telah melakukan dengan baik sesuatu tugas yang sulit.")</f>
        <v>B Saya ingin mengatakan telah melakukan dengan baik sesuatu tugas yang sulit.</v>
      </c>
      <c r="L17" s="95" t="str">
        <f>IFERROR(__xludf.DUMMYFUNCTION("""COMPUTED_VALUE"""),"B Saya ingin mengatakan telah melakukan dengan baik sesuatu tugas yang sulit")</f>
        <v>B Saya ingin mengatakan telah melakukan dengan baik sesuatu tugas yang sulit</v>
      </c>
      <c r="M17" s="95" t="str">
        <f>IFERROR(__xludf.DUMMYFUNCTION("""COMPUTED_VALUE"""),"A Saya suka berbicara tentang hal-hal yang telah berhasil saya lakukan.")</f>
        <v>A Saya suka berbicara tentang hal-hal yang telah berhasil saya lakukan.</v>
      </c>
      <c r="N17" s="95" t="str">
        <f>IFERROR(__xludf.DUMMYFUNCTION("""COMPUTED_VALUE"""),"A Saya suka pergi dengan pakaian rapi agar lebih menarik perhatian orang lain.")</f>
        <v>A Saya suka pergi dengan pakaian rapi agar lebih menarik perhatian orang lain.</v>
      </c>
      <c r="O17" s="95" t="str">
        <f>IFERROR(__xludf.DUMMYFUNCTION("""COMPUTED_VALUE"""),"B Saya suka melakukan tugas sebaik mungkin.")</f>
        <v>B Saya suka melakukan tugas sebaik mungkin.</v>
      </c>
      <c r="P17" s="95" t="str">
        <f>IFERROR(__xludf.DUMMYFUNCTION("""COMPUTED_VALUE"""),"A Saya suka bercerita tentang hal-hal yang menegangkan atau menantang.")</f>
        <v>A Saya suka bercerita tentang hal-hal yang menegangkan atau menantang.</v>
      </c>
      <c r="Q17" s="95" t="str">
        <f>IFERROR(__xludf.DUMMYFUNCTION("""COMPUTED_VALUE"""),"A Saya mulai suka dengan lawan jenis.")</f>
        <v>A Saya mulai suka dengan lawan jenis.</v>
      </c>
      <c r="R17" s="95" t="str">
        <f>IFERROR(__xludf.DUMMYFUNCTION("""COMPUTED_VALUE"""),"B Saya suka barang-barang saya tersusun rapi dan teratur.")</f>
        <v>B Saya suka barang-barang saya tersusun rapi dan teratur.</v>
      </c>
      <c r="S17" s="95" t="str">
        <f>IFERROR(__xludf.DUMMYFUNCTION("""COMPUTED_VALUE"""),"A Saya ingin agar teman-teman pengertian bila saya mengalami kesukaran.")</f>
        <v>A Saya ingin agar teman-teman pengertian bila saya mengalami kesukaran.</v>
      </c>
      <c r="T17" s="95" t="str">
        <f>IFERROR(__xludf.DUMMYFUNCTION("""COMPUTED_VALUE"""),"B Saya ingin agar hidup saya teratur sesuai cita-cita saya.")</f>
        <v>B Saya ingin agar hidup saya teratur sesuai cita-cita saya.</v>
      </c>
      <c r="U17" s="95" t="str">
        <f>IFERROR(__xludf.DUMMYFUNCTION("""COMPUTED_VALUE"""),"A Saya suka memberikan bantuan kepada teman-teman saya.")</f>
        <v>A Saya suka memberikan bantuan kepada teman-teman saya.</v>
      </c>
      <c r="V17" s="95" t="str">
        <f>IFERROR(__xludf.DUMMYFUNCTION("""COMPUTED_VALUE"""),"B Saya suka belajar saya teratur dan ada waktu-waktu tertentu untuk belajar.")</f>
        <v>B Saya suka belajar saya teratur dan ada waktu-waktu tertentu untuk belajar.</v>
      </c>
      <c r="W17" s="95" t="str">
        <f>IFERROR(__xludf.DUMMYFUNCTION("""COMPUTED_VALUE"""),"A Saya suka melakukan kegiatan sesuai kondisi yang saya inginkan.")</f>
        <v>A Saya suka melakukan kegiatan sesuai kondisi yang saya inginkan.</v>
      </c>
      <c r="X17" s="95" t="str">
        <f>IFERROR(__xludf.DUMMYFUNCTION("""COMPUTED_VALUE"""),"A Saya suka merencanakan dan mengatur setiap apa yang harus saya lakukan.")</f>
        <v>A Saya suka merencanakan dan mengatur setiap apa yang harus saya lakukan.</v>
      </c>
      <c r="Y17" s="95" t="str">
        <f>IFERROR(__xludf.DUMMYFUNCTION("""COMPUTED_VALUE"""),"A Saya suka menyelesaikan tugas-tugas yang membutuhkan ketrampilan dan usaha.")</f>
        <v>A Saya suka menyelesaikan tugas-tugas yang membutuhkan ketrampilan dan usaha.</v>
      </c>
      <c r="Z17" s="95" t="str">
        <f>IFERROR(__xludf.DUMMYFUNCTION("""COMPUTED_VALUE"""),"A Saya ingin berhasil dengan belajar yang saya lakukan.")</f>
        <v>A Saya ingin berhasil dengan belajar yang saya lakukan.</v>
      </c>
      <c r="AA17" s="95" t="str">
        <f>IFERROR(__xludf.DUMMYFUNCTION("""COMPUTED_VALUE"""),"A Saya suka menyelesaikan tugas yang telah saya rencanakan.")</f>
        <v>A Saya suka menyelesaikan tugas yang telah saya rencanakan.</v>
      </c>
      <c r="AB17" s="95" t="str">
        <f>IFERROR(__xludf.DUMMYFUNCTION("""COMPUTED_VALUE"""),"A Saya ingin tidak tergantung dari orang lain terhadap apa yang akan saya lakukan.")</f>
        <v>A Saya ingin tidak tergantung dari orang lain terhadap apa yang akan saya lakukan.</v>
      </c>
      <c r="AC17" s="95" t="str">
        <f>IFERROR(__xludf.DUMMYFUNCTION("""COMPUTED_VALUE"""),"B Saya suka melakukan kegiatan sesuai kondisi yang saya inginkan.")</f>
        <v>B Saya suka melakukan kegiatan sesuai kondisi yang saya inginkan.</v>
      </c>
      <c r="AD17" s="95" t="str">
        <f>IFERROR(__xludf.DUMMYFUNCTION("""COMPUTED_VALUE"""),"B Saya suka menyatakan pendapat saya tentang berbagai hal.")</f>
        <v>B Saya suka menyatakan pendapat saya tentang berbagai hal.</v>
      </c>
      <c r="AE17" s="95" t="str">
        <f>IFERROR(__xludf.DUMMYFUNCTION("""COMPUTED_VALUE"""),"A Saya ingin dianggap sebagai pemimpin oleh teman di kelompok.")</f>
        <v>A Saya ingin dianggap sebagai pemimpin oleh teman di kelompok.</v>
      </c>
      <c r="AF17" s="95" t="str">
        <f>IFERROR(__xludf.DUMMYFUNCTION("""COMPUTED_VALUE"""),"A Saya ingin agar teman-teman mengerti bila saya mengalami kesukaran.")</f>
        <v>A Saya ingin agar teman-teman mengerti bila saya mengalami kesukaran.</v>
      </c>
      <c r="AG17" s="95" t="str">
        <f>IFERROR(__xludf.DUMMYFUNCTION("""COMPUTED_VALUE"""),"A Saya mengajari orang lain bagaimana mereka harus melakukan pekerjaan mereka.")</f>
        <v>A Saya mengajari orang lain bagaimana mereka harus melakukan pekerjaan mereka.</v>
      </c>
      <c r="AH17" s="95" t="str">
        <f>IFERROR(__xludf.DUMMYFUNCTION("""COMPUTED_VALUE"""),"A Saya suka membaca buku-buku tentang pergaulan remaja.")</f>
        <v>A Saya suka membaca buku-buku tentang pergaulan remaja.</v>
      </c>
      <c r="AI17" s="95" t="str">
        <f>IFERROR(__xludf.DUMMYFUNCTION("""COMPUTED_VALUE"""),"B Saya suka melakukan kegiatan sesuai kondisi yang saya inginkan.")</f>
        <v>B Saya suka melakukan kegiatan sesuai kondisi yang saya inginkan.</v>
      </c>
      <c r="AJ17" s="95" t="str">
        <f>IFERROR(__xludf.DUMMYFUNCTION("""COMPUTED_VALUE"""),"B Saya suka bertahan menghadapi satu masalah meskipun belum tentu berhasil.")</f>
        <v>B Saya suka bertahan menghadapi satu masalah meskipun belum tentu berhasil.</v>
      </c>
      <c r="AK17" s="95" t="str">
        <f>IFERROR(__xludf.DUMMYFUNCTION("""COMPUTED_VALUE"""),"A Saya suka bercerita tentang hal-hal pribadi yang seharusnya tidak perlu diketahui orang lain.")</f>
        <v>A Saya suka bercerita tentang hal-hal pribadi yang seharusnya tidak perlu diketahui orang lain.</v>
      </c>
      <c r="AL17" s="95" t="str">
        <f>IFERROR(__xludf.DUMMYFUNCTION("""COMPUTED_VALUE"""),"A Saya suka berbicara tentang hal-hal yang telah saya capai.")</f>
        <v>A Saya suka berbicara tentang hal-hal yang telah saya capai.</v>
      </c>
      <c r="AM17" s="95" t="str">
        <f>IFERROR(__xludf.DUMMYFUNCTION("""COMPUTED_VALUE"""),"B Saya suka belajar sampai malam untuk menyelesaikan suatu tugas.")</f>
        <v>B Saya suka belajar sampai malam untuk menyelesaikan suatu tugas.</v>
      </c>
      <c r="AN17" s="95" t="str">
        <f>IFERROR(__xludf.DUMMYFUNCTION("""COMPUTED_VALUE"""),"A Saya tidak suka pada orang yang semena-mena.")</f>
        <v>A Saya tidak suka pada orang yang semena-mena.</v>
      </c>
      <c r="AO17" s="95" t="str">
        <f>IFERROR(__xludf.DUMMYFUNCTION("""COMPUTED_VALUE"""),"A Saya suka berlaku sangat ramah terhadap teman-teman saya.")</f>
        <v>A Saya suka berlaku sangat ramah terhadap teman-teman saya.</v>
      </c>
      <c r="AP17" s="95" t="str">
        <f>IFERROR(__xludf.DUMMYFUNCTION("""COMPUTED_VALUE"""),"B Saya suka bertahan menghadapi satu masalah meskipun belum tentu berhasil.")</f>
        <v>B Saya suka bertahan menghadapi satu masalah meskipun belum tentu berhasil.</v>
      </c>
      <c r="AQ17" s="95" t="str">
        <f>IFERROR(__xludf.DUMMYFUNCTION("""COMPUTED_VALUE"""),"A Saya ingin bisa mengerjakan segala sesuatu lebih baik daripada orang-orang lain.")</f>
        <v>A Saya ingin bisa mengerjakan segala sesuatu lebih baik daripada orang-orang lain.</v>
      </c>
      <c r="AR17" s="95" t="str">
        <f>IFERROR(__xludf.DUMMYFUNCTION("""COMPUTED_VALUE"""),"B Saya suka belajar keras pada tiap pelajaran yang saya hadapi.")</f>
        <v>B Saya suka belajar keras pada tiap pelajaran yang saya hadapi.</v>
      </c>
      <c r="AS17" s="95" t="str">
        <f>IFERROR(__xludf.DUMMYFUNCTION("""COMPUTED_VALUE"""),"A Saya ingin dapat menyelesaikan persoalan yang dianggap sukar bagi orang lain.")</f>
        <v>A Saya ingin dapat menyelesaikan persoalan yang dianggap sukar bagi orang lain.</v>
      </c>
      <c r="AT17" s="95" t="str">
        <f>IFERROR(__xludf.DUMMYFUNCTION("""COMPUTED_VALUE"""),"A Saya ingin bisa melakukan dengan baik sesuatu pekerjaan sulit.")</f>
        <v>A Saya ingin bisa melakukan dengan baik sesuatu pekerjaan sulit.</v>
      </c>
      <c r="AU17" s="95" t="str">
        <f>IFERROR(__xludf.DUMMYFUNCTION("""COMPUTED_VALUE"""),"B Saya suka bermurah hati terhadap teman-teman saya.")</f>
        <v>B Saya suka bermurah hati terhadap teman-teman saya.</v>
      </c>
      <c r="AV17" s="95" t="str">
        <f>IFERROR(__xludf.DUMMYFUNCTION("""COMPUTED_VALUE"""),"B Saya suka menolong teman-teman saya.")</f>
        <v>B Saya suka menolong teman-teman saya.</v>
      </c>
      <c r="AW17" s="95" t="str">
        <f>IFERROR(__xludf.DUMMYFUNCTION("""COMPUTED_VALUE"""),"B Saya ingin teman-teman saya percaya bahwa saya bisa menolong mereka.")</f>
        <v>B Saya ingin teman-teman saya percaya bahwa saya bisa menolong mereka.</v>
      </c>
      <c r="AX17" s="95" t="str">
        <f>IFERROR(__xludf.DUMMYFUNCTION("""COMPUTED_VALUE"""),"B Saya suka memaafkan teman-teman saya yang menyakiti hati saya.")</f>
        <v>B Saya suka memaafkan teman-teman saya yang menyakiti hati saya.</v>
      </c>
      <c r="AY17" s="95" t="str">
        <f>IFERROR(__xludf.DUMMYFUNCTION("""COMPUTED_VALUE"""),"B Saya suka menolong teman-teman saya apabila mereka dalam kesulitan.")</f>
        <v>B Saya suka menolong teman-teman saya apabila mereka dalam kesulitan.</v>
      </c>
      <c r="AZ17" s="95" t="str">
        <f>IFERROR(__xludf.DUMMYFUNCTION("""COMPUTED_VALUE"""),"B Saya suka menunjukkan simpati saya kepada teman-teman saya.")</f>
        <v>B Saya suka menunjukkan simpati saya kepada teman-teman saya.</v>
      </c>
      <c r="BA17" s="95" t="str">
        <f>IFERROR(__xludf.DUMMYFUNCTION("""COMPUTED_VALUE"""),"B Saya suka memperlakukan orang lain dengan baik dan ramah.")</f>
        <v>B Saya suka memperlakukan orang lain dengan baik dan ramah.</v>
      </c>
      <c r="BB17" s="95" t="str">
        <f>IFERROR(__xludf.DUMMYFUNCTION("""COMPUTED_VALUE"""),"B Saya suka bermurah hati terhadap teman-teman saya.")</f>
        <v>B Saya suka bermurah hati terhadap teman-teman saya.</v>
      </c>
      <c r="BC17" s="95" t="str">
        <f>IFERROR(__xludf.DUMMYFUNCTION("""COMPUTED_VALUE"""),"B Saya suka membantu orang lain yang menurut saya perlu dikasihani.")</f>
        <v>B Saya suka membantu orang lain yang menurut saya perlu dikasihani.</v>
      </c>
      <c r="BD17" s="95" t="str">
        <f>IFERROR(__xludf.DUMMYFUNCTION("""COMPUTED_VALUE"""),"B Saya suka bersikukuh dengan pendirian saya.")</f>
        <v>B Saya suka bersikukuh dengan pendirian saya.</v>
      </c>
      <c r="BE17" s="95" t="str">
        <f>IFERROR(__xludf.DUMMYFUNCTION("""COMPUTED_VALUE"""),"A Saya suka mendengarkan atau menceritakan hal-hal yang sebaiknya tidak diceritakan.")</f>
        <v>A Saya suka mendengarkan atau menceritakan hal-hal yang sebaiknya tidak diceritakan.</v>
      </c>
      <c r="BF17" s="95" t="str">
        <f>IFERROR(__xludf.DUMMYFUNCTION("""COMPUTED_VALUE"""),"B Bila saya dalam kelompok, saya ingin menentukan apa yang akan kita lakukan.")</f>
        <v>B Bila saya dalam kelompok, saya ingin menentukan apa yang akan kita lakukan.</v>
      </c>
      <c r="BG17" s="95" t="str">
        <f>IFERROR(__xludf.DUMMYFUNCTION("""COMPUTED_VALUE"""),"A Saya ingin teman-teman banyak menunjukkan rasa sayang mereka terhadap saya.")</f>
        <v>A Saya ingin teman-teman banyak menunjukkan rasa sayang mereka terhadap saya.</v>
      </c>
      <c r="BH17" s="95" t="str">
        <f>IFERROR(__xludf.DUMMYFUNCTION("""COMPUTED_VALUE"""),"A Saya suka menghindar dari situasi yang tidak saya harapkan.")</f>
        <v>A Saya suka menghindar dari situasi yang tidak saya harapkan.</v>
      </c>
      <c r="BI17" s="95" t="str">
        <f>IFERROR(__xludf.DUMMYFUNCTION("""COMPUTED_VALUE"""),"A Saya suka bermurah hati terhadap teman-teman saya.")</f>
        <v>A Saya suka bermurah hati terhadap teman-teman saya.</v>
      </c>
      <c r="BJ17" s="95" t="str">
        <f>IFERROR(__xludf.DUMMYFUNCTION("""COMPUTED_VALUE"""),"B Saya ingin menjadi pemimpin dalam kelompok di mana saya ada di situ")</f>
        <v>B Saya ingin menjadi pemimpin dalam kelompok di mana saya ada di situ</v>
      </c>
      <c r="BK17" s="95" t="str">
        <f>IFERROR(__xludf.DUMMYFUNCTION("""COMPUTED_VALUE"""),"B Saya senang untuk diminta menyelesaikan pertentangan-pertentangan.")</f>
        <v>B Saya senang untuk diminta menyelesaikan pertentangan-pertentangan.</v>
      </c>
      <c r="BL17" s="95" t="str">
        <f>IFERROR(__xludf.DUMMYFUNCTION("""COMPUTED_VALUE"""),"A Saya suka belajar saya teratur dan ada waktu-waktu tertentu untuk belajar.")</f>
        <v>A Saya suka belajar saya teratur dan ada waktu-waktu tertentu untuk belajar.</v>
      </c>
      <c r="BM17" s="95" t="str">
        <f>IFERROR(__xludf.DUMMYFUNCTION("""COMPUTED_VALUE"""),"A Saya suka melakukan pekerjaan sebaik mungkin.")</f>
        <v>A Saya suka melakukan pekerjaan sebaik mungkin.</v>
      </c>
      <c r="BN17" s="95" t="str">
        <f>IFERROR(__xludf.DUMMYFUNCTION("""COMPUTED_VALUE"""),"B Saya ingin teman-teman memberi dorongan bila saya menghadapi kegagalan.")</f>
        <v>B Saya ingin teman-teman memberi dorongan bila saya menghadapi kegagalan.</v>
      </c>
      <c r="BO17" s="95" t="str">
        <f>IFERROR(__xludf.DUMMYFUNCTION("""COMPUTED_VALUE"""),"A Saya suka membuat perencanaan sebelum memulai belajar yang sulit.")</f>
        <v>A Saya suka membuat perencanaan sebelum memulai belajar yang sulit.</v>
      </c>
      <c r="BP17" s="95" t="str">
        <f>IFERROR(__xludf.DUMMYFUNCTION("""COMPUTED_VALUE"""),"A Saya ingin menyelesaikan sesuatu yang sangat penting artinya.")</f>
        <v>A Saya ingin menyelesaikan sesuatu yang sangat penting artinya.</v>
      </c>
      <c r="BQ17" s="95" t="str">
        <f>IFERROR(__xludf.DUMMYFUNCTION("""COMPUTED_VALUE"""),"B Saya ingin agar teman-teman menceritakan diri saya apabila saya sakit.")</f>
        <v>B Saya ingin agar teman-teman menceritakan diri saya apabila saya sakit.</v>
      </c>
      <c r="BR17" s="95" t="str">
        <f>IFERROR(__xludf.DUMMYFUNCTION("""COMPUTED_VALUE"""),"A Saya suka memaafkan teman-teman saya yang menyakiti hati saya.")</f>
        <v>A Saya suka memaafkan teman-teman saya yang menyakiti hati saya.</v>
      </c>
      <c r="BS17" s="95" t="str">
        <f>IFERROR(__xludf.DUMMYFUNCTION("""COMPUTED_VALUE"""),"B Saya ingin teman-teman saya membantu saya bila saya mengalami kesulitan")</f>
        <v>B Saya ingin teman-teman saya membantu saya bila saya mengalami kesulitan</v>
      </c>
      <c r="BT17" s="95" t="str">
        <f>IFERROR(__xludf.DUMMYFUNCTION("""COMPUTED_VALUE"""),"B Saya ingin teman-teman banyak menunjukkan rasa sayang mereka terhadap saya.")</f>
        <v>B Saya ingin teman-teman banyak menunjukkan rasa sayang mereka terhadap saya.</v>
      </c>
      <c r="BU17" s="95" t="str">
        <f>IFERROR(__xludf.DUMMYFUNCTION("""COMPUTED_VALUE"""),"A Saya kadang-kadang suka melakukan hal-hal yang dapat dipuji oleh orang lain.")</f>
        <v>A Saya kadang-kadang suka melakukan hal-hal yang dapat dipuji oleh orang lain.</v>
      </c>
      <c r="BV17" s="95" t="str">
        <f>IFERROR(__xludf.DUMMYFUNCTION("""COMPUTED_VALUE"""),"A Saya ingin dianggap menarik oleh orang lain.")</f>
        <v>A Saya ingin dianggap menarik oleh orang lain.</v>
      </c>
      <c r="BW17" s="95" t="str">
        <f>IFERROR(__xludf.DUMMYFUNCTION("""COMPUTED_VALUE"""),"B Saya ingin diperlakukan dengan baik oleh teman-teman saya.")</f>
        <v>B Saya ingin diperlakukan dengan baik oleh teman-teman saya.</v>
      </c>
      <c r="BX17" s="95" t="str">
        <f>IFERROR(__xludf.DUMMYFUNCTION("""COMPUTED_VALUE"""),"B Saya kadang-kadang suka melakukan hal-hal yang dapat dipuji oleh orang lain.")</f>
        <v>B Saya kadang-kadang suka melakukan hal-hal yang dapat dipuji oleh orang lain.</v>
      </c>
      <c r="BY17" s="95" t="str">
        <f>IFERROR(__xludf.DUMMYFUNCTION("""COMPUTED_VALUE"""),"A Saya suka melamun atau membayangkan hal-hal yang tidak jelas.")</f>
        <v>A Saya suka melamun atau membayangkan hal-hal yang tidak jelas.</v>
      </c>
      <c r="BZ17" s="95" t="str">
        <f>IFERROR(__xludf.DUMMYFUNCTION("""COMPUTED_VALUE"""),"A Saya suka berkata yang artinya sulit dipahami oleh orang lain.")</f>
        <v>A Saya suka berkata yang artinya sulit dipahami oleh orang lain.</v>
      </c>
      <c r="CA17" s="95" t="str">
        <f>IFERROR(__xludf.DUMMYFUNCTION("""COMPUTED_VALUE"""),"A Saya ingin teman-teman dengan gembira memberikan pertolongan kepada saya.")</f>
        <v>A Saya ingin teman-teman dengan gembira memberikan pertolongan kepada saya.</v>
      </c>
      <c r="CB17" s="95" t="str">
        <f>IFERROR(__xludf.DUMMYFUNCTION("""COMPUTED_VALUE"""),"B Saya suka berbicara tentang hal-hal yang telah saya capai.")</f>
        <v>B Saya suka berbicara tentang hal-hal yang telah saya capai.</v>
      </c>
      <c r="CC17" s="95" t="str">
        <f>IFERROR(__xludf.DUMMYFUNCTION("""COMPUTED_VALUE"""),"B Saya suka menceritakan hal-hal lucu agar diperhatikan oleh orang lain.")</f>
        <v>B Saya suka menceritakan hal-hal lucu agar diperhatikan oleh orang lain.</v>
      </c>
      <c r="CD17" s="95" t="str">
        <f>IFERROR(__xludf.DUMMYFUNCTION("""COMPUTED_VALUE"""),"B Saya suka berkata yang artinya sulit dipahami oleh orang lain.")</f>
        <v>B Saya suka berkata yang artinya sulit dipahami oleh orang lain.</v>
      </c>
      <c r="CE17" s="95" t="str">
        <f>IFERROR(__xludf.DUMMYFUNCTION("""COMPUTED_VALUE"""),"B Saya kadang-kadang suka melakukan hal-hal yang dapat dipuji oleh orang lain.")</f>
        <v>B Saya kadang-kadang suka melakukan hal-hal yang dapat dipuji oleh orang lain.</v>
      </c>
      <c r="CF17" s="95" t="str">
        <f>IFERROR(__xludf.DUMMYFUNCTION("""COMPUTED_VALUE"""),"A Saya ingin agar hidup saya teratur sesuai cita-cita saya.")</f>
        <v>A Saya ingin agar hidup saya teratur sesuai cita-cita saya.</v>
      </c>
      <c r="CG17" s="95" t="str">
        <f>IFERROR(__xludf.DUMMYFUNCTION("""COMPUTED_VALUE"""),"B Saya suka berbicara tentang hal-hal yang telah saya capai.")</f>
        <v>B Saya suka berbicara tentang hal-hal yang telah saya capai.</v>
      </c>
      <c r="CH17" s="95" t="str">
        <f>IFERROR(__xludf.DUMMYFUNCTION("""COMPUTED_VALUE"""),"A Saya ingin bisa melakukan dengan baik sesuatu pekerjaan sulit.")</f>
        <v>A Saya ingin bisa melakukan dengan baik sesuatu pekerjaan sulit.</v>
      </c>
      <c r="CI17" s="95" t="str">
        <f>IFERROR(__xludf.DUMMYFUNCTION("""COMPUTED_VALUE"""),"A Saya suka belajar saya teratur dan ada waktu-waktu tertentu untuk belajar.")</f>
        <v>A Saya suka belajar saya teratur dan ada waktu-waktu tertentu untuk belajar.</v>
      </c>
      <c r="CJ17" s="95" t="str">
        <f>IFERROR(__xludf.DUMMYFUNCTION("""COMPUTED_VALUE"""),"B Saya suka kalau bercerita tentang hal-hal pribadi yang seharusnya tidak perlu diketahui orang lain.")</f>
        <v>B Saya suka kalau bercerita tentang hal-hal pribadi yang seharusnya tidak perlu diketahui orang lain.</v>
      </c>
      <c r="CK17" s="95" t="str">
        <f>IFERROR(__xludf.DUMMYFUNCTION("""COMPUTED_VALUE"""),"B Saya senang ikut beraktivitas bersama teman sebaya saya.")</f>
        <v>B Saya senang ikut beraktivitas bersama teman sebaya saya.</v>
      </c>
      <c r="CL17" s="95" t="str">
        <f>IFERROR(__xludf.DUMMYFUNCTION("""COMPUTED_VALUE"""),"A Saya suka menolong teman-teman saya, apabila mereka dalam kesulitan.")</f>
        <v>A Saya suka menolong teman-teman saya, apabila mereka dalam kesulitan.</v>
      </c>
      <c r="CM17" s="95" t="str">
        <f>IFERROR(__xludf.DUMMYFUNCTION("""COMPUTED_VALUE"""),"B Saya merasa kagum pada seseorang.")</f>
        <v>B Saya merasa kagum pada seseorang.</v>
      </c>
      <c r="CN17" s="95" t="str">
        <f>IFERROR(__xludf.DUMMYFUNCTION("""COMPUTED_VALUE"""),"A Saya ingin diperlakukan dengan baik oleh teman-teman saya.")</f>
        <v>A Saya ingin diperlakukan dengan baik oleh teman-teman saya.</v>
      </c>
      <c r="CO17" s="95" t="str">
        <f>IFERROR(__xludf.DUMMYFUNCTION("""COMPUTED_VALUE"""),"B Saya suka memuji orang yang saya kagumi.")</f>
        <v>B Saya suka memuji orang yang saya kagumi.</v>
      </c>
      <c r="CP17" s="95" t="str">
        <f>IFERROR(__xludf.DUMMYFUNCTION("""COMPUTED_VALUE"""),"A Saya suka melamun atau membayangkan sesuatu sendirian.")</f>
        <v>A Saya suka melamun atau membayangkan sesuatu sendirian.</v>
      </c>
      <c r="CQ17" s="95" t="str">
        <f>IFERROR(__xludf.DUMMYFUNCTION("""COMPUTED_VALUE"""),"B Saya merasa kagum pada seseorang.")</f>
        <v>B Saya merasa kagum pada seseorang.</v>
      </c>
      <c r="CR17" s="95" t="str">
        <f>IFERROR(__xludf.DUMMYFUNCTION("""COMPUTED_VALUE"""),"B Saya rasanya ingin mengecam seseorang bila orang itu menjengkelkan.")</f>
        <v>B Saya rasanya ingin mengecam seseorang bila orang itu menjengkelkan.</v>
      </c>
      <c r="CS17" s="95" t="str">
        <f>IFERROR(__xludf.DUMMYFUNCTION("""COMPUTED_VALUE"""),"A Saya ingin terlihat menarik di depan teman-teman saya.")</f>
        <v>A Saya ingin terlihat menarik di depan teman-teman saya.</v>
      </c>
      <c r="CT17" s="95" t="str">
        <f>IFERROR(__xludf.DUMMYFUNCTION("""COMPUTED_VALUE"""),"A Saya ingin orang-orang memperhatikan komentar mengenai penampilan saya.")</f>
        <v>A Saya ingin orang-orang memperhatikan komentar mengenai penampilan saya.</v>
      </c>
      <c r="CU17" s="95" t="str">
        <f>IFERROR(__xludf.DUMMYFUNCTION("""COMPUTED_VALUE"""),"A Saya ingin diperlakukan dengan ramah oleh teman-teman saya.")</f>
        <v>A Saya ingin diperlakukan dengan ramah oleh teman-teman saya.</v>
      </c>
      <c r="CV17" s="95" t="str">
        <f>IFERROR(__xludf.DUMMYFUNCTION("""COMPUTED_VALUE"""),"B Saya menyerang pendirian-pendirian yang bertentangan dengan pendirian saya.")</f>
        <v>B Saya menyerang pendirian-pendirian yang bertentangan dengan pendirian saya.</v>
      </c>
      <c r="CW17" s="95" t="str">
        <f>IFERROR(__xludf.DUMMYFUNCTION("""COMPUTED_VALUE"""),"B Saya mengatakan kepada orang lain bagaimana pendapat saya terhadap mereka.")</f>
        <v>B Saya mengatakan kepada orang lain bagaimana pendapat saya terhadap mereka.</v>
      </c>
      <c r="CX17" s="95" t="str">
        <f>IFERROR(__xludf.DUMMYFUNCTION("""COMPUTED_VALUE"""),"A Saya suka belajar sampai malam untuk menyelesaikan suatu tugas.")</f>
        <v>A Saya suka belajar sampai malam untuk menyelesaikan suatu tugas.</v>
      </c>
      <c r="CY17" s="95" t="str">
        <f>IFERROR(__xludf.DUMMYFUNCTION("""COMPUTED_VALUE"""),"A Saya ingin tidak tergantung dari orang lain terhadap apa yang akan saya lakukan.")</f>
        <v>A Saya ingin tidak tergantung dari orang lain terhadap apa yang akan saya lakukan.</v>
      </c>
      <c r="CZ17" s="95" t="str">
        <f>IFERROR(__xludf.DUMMYFUNCTION("""COMPUTED_VALUE"""),"A Saya suka merencanakan dan mengatur setiap pekerjaan yang harus saya lakukan.")</f>
        <v>A Saya suka merencanakan dan mengatur setiap pekerjaan yang harus saya lakukan.</v>
      </c>
      <c r="DA17" s="95" t="str">
        <f>IFERROR(__xludf.DUMMYFUNCTION("""COMPUTED_VALUE"""),"A Saya ingin melakukan apa saja sebaik mungkin.")</f>
        <v>A Saya ingin melakukan apa saja sebaik mungkin.</v>
      </c>
      <c r="DB17" s="89" t="s">
        <v>23</v>
      </c>
      <c r="DC17" s="97" t="str">
        <f t="shared" ref="DC17:GX17" si="62">LEFT(F17,1)</f>
        <v>A</v>
      </c>
      <c r="DD17" s="97" t="str">
        <f t="shared" si="62"/>
        <v>A</v>
      </c>
      <c r="DE17" s="97" t="str">
        <f t="shared" si="62"/>
        <v>B</v>
      </c>
      <c r="DF17" s="97" t="str">
        <f t="shared" si="62"/>
        <v>A</v>
      </c>
      <c r="DG17" s="97" t="str">
        <f t="shared" si="62"/>
        <v>A</v>
      </c>
      <c r="DH17" s="97" t="str">
        <f t="shared" si="62"/>
        <v>B</v>
      </c>
      <c r="DI17" s="97" t="str">
        <f t="shared" si="62"/>
        <v>B</v>
      </c>
      <c r="DJ17" s="97" t="str">
        <f t="shared" si="62"/>
        <v>A</v>
      </c>
      <c r="DK17" s="97" t="str">
        <f t="shared" si="62"/>
        <v>A</v>
      </c>
      <c r="DL17" s="97" t="str">
        <f t="shared" si="62"/>
        <v>B</v>
      </c>
      <c r="DM17" s="97" t="str">
        <f t="shared" si="62"/>
        <v>A</v>
      </c>
      <c r="DN17" s="97" t="str">
        <f t="shared" si="62"/>
        <v>A</v>
      </c>
      <c r="DO17" s="97" t="str">
        <f t="shared" si="62"/>
        <v>B</v>
      </c>
      <c r="DP17" s="97" t="str">
        <f t="shared" si="62"/>
        <v>A</v>
      </c>
      <c r="DQ17" s="97" t="str">
        <f t="shared" si="62"/>
        <v>B</v>
      </c>
      <c r="DR17" s="97" t="str">
        <f t="shared" si="62"/>
        <v>A</v>
      </c>
      <c r="DS17" s="97" t="str">
        <f t="shared" si="62"/>
        <v>B</v>
      </c>
      <c r="DT17" s="97" t="str">
        <f t="shared" si="62"/>
        <v>A</v>
      </c>
      <c r="DU17" s="97" t="str">
        <f t="shared" si="62"/>
        <v>A</v>
      </c>
      <c r="DV17" s="97" t="str">
        <f t="shared" si="62"/>
        <v>A</v>
      </c>
      <c r="DW17" s="97" t="str">
        <f t="shared" si="62"/>
        <v>A</v>
      </c>
      <c r="DX17" s="97" t="str">
        <f t="shared" si="62"/>
        <v>A</v>
      </c>
      <c r="DY17" s="97" t="str">
        <f t="shared" si="62"/>
        <v>A</v>
      </c>
      <c r="DZ17" s="97" t="str">
        <f t="shared" si="62"/>
        <v>B</v>
      </c>
      <c r="EA17" s="97" t="str">
        <f t="shared" si="62"/>
        <v>B</v>
      </c>
      <c r="EB17" s="97" t="str">
        <f t="shared" si="62"/>
        <v>A</v>
      </c>
      <c r="EC17" s="97" t="str">
        <f t="shared" si="62"/>
        <v>A</v>
      </c>
      <c r="ED17" s="97" t="str">
        <f t="shared" si="62"/>
        <v>A</v>
      </c>
      <c r="EE17" s="97" t="str">
        <f t="shared" si="62"/>
        <v>A</v>
      </c>
      <c r="EF17" s="97" t="str">
        <f t="shared" si="62"/>
        <v>B</v>
      </c>
      <c r="EG17" s="97" t="str">
        <f t="shared" si="62"/>
        <v>B</v>
      </c>
      <c r="EH17" s="97" t="str">
        <f t="shared" si="62"/>
        <v>A</v>
      </c>
      <c r="EI17" s="97" t="str">
        <f t="shared" si="62"/>
        <v>A</v>
      </c>
      <c r="EJ17" s="97" t="str">
        <f t="shared" si="62"/>
        <v>B</v>
      </c>
      <c r="EK17" s="97" t="str">
        <f t="shared" si="62"/>
        <v>A</v>
      </c>
      <c r="EL17" s="97" t="str">
        <f t="shared" si="62"/>
        <v>A</v>
      </c>
      <c r="EM17" s="97" t="str">
        <f t="shared" si="62"/>
        <v>B</v>
      </c>
      <c r="EN17" s="97" t="str">
        <f t="shared" si="62"/>
        <v>A</v>
      </c>
      <c r="EO17" s="97" t="str">
        <f t="shared" si="62"/>
        <v>B</v>
      </c>
      <c r="EP17" s="97" t="str">
        <f t="shared" si="62"/>
        <v>A</v>
      </c>
      <c r="EQ17" s="97" t="str">
        <f t="shared" si="62"/>
        <v>A</v>
      </c>
      <c r="ER17" s="97" t="str">
        <f t="shared" si="62"/>
        <v>B</v>
      </c>
      <c r="ES17" s="97" t="str">
        <f t="shared" si="62"/>
        <v>B</v>
      </c>
      <c r="ET17" s="97" t="str">
        <f t="shared" si="62"/>
        <v>B</v>
      </c>
      <c r="EU17" s="97" t="str">
        <f t="shared" si="62"/>
        <v>B</v>
      </c>
      <c r="EV17" s="97" t="str">
        <f t="shared" si="62"/>
        <v>B</v>
      </c>
      <c r="EW17" s="97" t="str">
        <f t="shared" si="62"/>
        <v>B</v>
      </c>
      <c r="EX17" s="97" t="str">
        <f t="shared" si="62"/>
        <v>B</v>
      </c>
      <c r="EY17" s="97" t="str">
        <f t="shared" si="62"/>
        <v>B</v>
      </c>
      <c r="EZ17" s="97" t="str">
        <f t="shared" si="62"/>
        <v>B</v>
      </c>
      <c r="FA17" s="97" t="str">
        <f t="shared" si="62"/>
        <v>B</v>
      </c>
      <c r="FB17" s="97" t="str">
        <f t="shared" si="62"/>
        <v>A</v>
      </c>
      <c r="FC17" s="97" t="str">
        <f t="shared" si="62"/>
        <v>B</v>
      </c>
      <c r="FD17" s="97" t="str">
        <f t="shared" si="62"/>
        <v>A</v>
      </c>
      <c r="FE17" s="97" t="str">
        <f t="shared" si="62"/>
        <v>A</v>
      </c>
      <c r="FF17" s="97" t="str">
        <f t="shared" si="62"/>
        <v>A</v>
      </c>
      <c r="FG17" s="97" t="str">
        <f t="shared" si="62"/>
        <v>B</v>
      </c>
      <c r="FH17" s="97" t="str">
        <f t="shared" si="62"/>
        <v>B</v>
      </c>
      <c r="FI17" s="97" t="str">
        <f t="shared" si="62"/>
        <v>A</v>
      </c>
      <c r="FJ17" s="97" t="str">
        <f t="shared" si="62"/>
        <v>A</v>
      </c>
      <c r="FK17" s="97" t="str">
        <f t="shared" si="62"/>
        <v>B</v>
      </c>
      <c r="FL17" s="97" t="str">
        <f t="shared" si="62"/>
        <v>A</v>
      </c>
      <c r="FM17" s="97" t="str">
        <f t="shared" si="62"/>
        <v>A</v>
      </c>
      <c r="FN17" s="97" t="str">
        <f t="shared" si="62"/>
        <v>B</v>
      </c>
      <c r="FO17" s="97" t="str">
        <f t="shared" si="62"/>
        <v>A</v>
      </c>
      <c r="FP17" s="97" t="str">
        <f t="shared" si="62"/>
        <v>B</v>
      </c>
      <c r="FQ17" s="97" t="str">
        <f t="shared" si="62"/>
        <v>B</v>
      </c>
      <c r="FR17" s="97" t="str">
        <f t="shared" si="62"/>
        <v>A</v>
      </c>
      <c r="FS17" s="97" t="str">
        <f t="shared" si="62"/>
        <v>A</v>
      </c>
      <c r="FT17" s="97" t="str">
        <f t="shared" si="62"/>
        <v>B</v>
      </c>
      <c r="FU17" s="97" t="str">
        <f t="shared" si="62"/>
        <v>B</v>
      </c>
      <c r="FV17" s="97" t="str">
        <f t="shared" si="62"/>
        <v>A</v>
      </c>
      <c r="FW17" s="97" t="str">
        <f t="shared" si="62"/>
        <v>A</v>
      </c>
      <c r="FX17" s="97" t="str">
        <f t="shared" si="62"/>
        <v>A</v>
      </c>
      <c r="FY17" s="97" t="str">
        <f t="shared" si="62"/>
        <v>B</v>
      </c>
      <c r="FZ17" s="97" t="str">
        <f t="shared" si="62"/>
        <v>B</v>
      </c>
      <c r="GA17" s="97" t="str">
        <f t="shared" si="62"/>
        <v>B</v>
      </c>
      <c r="GB17" s="97" t="str">
        <f t="shared" si="62"/>
        <v>B</v>
      </c>
      <c r="GC17" s="97" t="str">
        <f t="shared" si="62"/>
        <v>A</v>
      </c>
      <c r="GD17" s="97" t="str">
        <f t="shared" si="62"/>
        <v>B</v>
      </c>
      <c r="GE17" s="97" t="str">
        <f t="shared" si="62"/>
        <v>A</v>
      </c>
      <c r="GF17" s="97" t="str">
        <f t="shared" si="62"/>
        <v>A</v>
      </c>
      <c r="GG17" s="97" t="str">
        <f t="shared" si="62"/>
        <v>B</v>
      </c>
      <c r="GH17" s="97" t="str">
        <f t="shared" si="62"/>
        <v>B</v>
      </c>
      <c r="GI17" s="97" t="str">
        <f t="shared" si="62"/>
        <v>A</v>
      </c>
      <c r="GJ17" s="97" t="str">
        <f t="shared" si="62"/>
        <v>B</v>
      </c>
      <c r="GK17" s="97" t="str">
        <f t="shared" si="62"/>
        <v>A</v>
      </c>
      <c r="GL17" s="97" t="str">
        <f t="shared" si="62"/>
        <v>B</v>
      </c>
      <c r="GM17" s="97" t="str">
        <f t="shared" si="62"/>
        <v>A</v>
      </c>
      <c r="GN17" s="97" t="str">
        <f t="shared" si="62"/>
        <v>B</v>
      </c>
      <c r="GO17" s="97" t="str">
        <f t="shared" si="62"/>
        <v>B</v>
      </c>
      <c r="GP17" s="97" t="str">
        <f t="shared" si="62"/>
        <v>A</v>
      </c>
      <c r="GQ17" s="97" t="str">
        <f t="shared" si="62"/>
        <v>A</v>
      </c>
      <c r="GR17" s="97" t="str">
        <f t="shared" si="62"/>
        <v>A</v>
      </c>
      <c r="GS17" s="97" t="str">
        <f t="shared" si="62"/>
        <v>B</v>
      </c>
      <c r="GT17" s="97" t="str">
        <f t="shared" si="62"/>
        <v>B</v>
      </c>
      <c r="GU17" s="97" t="str">
        <f t="shared" si="62"/>
        <v>A</v>
      </c>
      <c r="GV17" s="97" t="str">
        <f t="shared" si="62"/>
        <v>A</v>
      </c>
      <c r="GW17" s="97" t="str">
        <f t="shared" si="62"/>
        <v>A</v>
      </c>
      <c r="GX17" s="97" t="str">
        <f t="shared" si="62"/>
        <v>A</v>
      </c>
      <c r="GY17" s="98"/>
      <c r="GZ17" s="97">
        <f t="shared" si="3"/>
        <v>54</v>
      </c>
      <c r="HA17" s="97">
        <f t="shared" si="4"/>
        <v>46</v>
      </c>
      <c r="HB17" s="90">
        <f t="shared" si="5"/>
        <v>100</v>
      </c>
      <c r="HC17" s="99"/>
      <c r="HD17" s="97">
        <f t="shared" si="6"/>
        <v>7</v>
      </c>
      <c r="HE17" s="97">
        <f t="shared" si="7"/>
        <v>4</v>
      </c>
      <c r="HF17" s="90">
        <f t="shared" si="8"/>
        <v>11</v>
      </c>
      <c r="HG17" s="99"/>
      <c r="HH17" s="97">
        <f t="shared" si="9"/>
        <v>7</v>
      </c>
      <c r="HI17" s="97">
        <f t="shared" si="10"/>
        <v>3</v>
      </c>
      <c r="HJ17" s="90">
        <f t="shared" si="11"/>
        <v>10</v>
      </c>
      <c r="HK17" s="99"/>
      <c r="HL17" s="97">
        <f t="shared" si="12"/>
        <v>4</v>
      </c>
      <c r="HM17" s="97">
        <f t="shared" si="13"/>
        <v>3</v>
      </c>
      <c r="HN17" s="90">
        <f t="shared" si="14"/>
        <v>7</v>
      </c>
      <c r="HO17" s="99"/>
      <c r="HP17" s="97">
        <f t="shared" si="15"/>
        <v>2</v>
      </c>
      <c r="HQ17" s="97">
        <f t="shared" si="16"/>
        <v>4</v>
      </c>
      <c r="HR17" s="90">
        <f t="shared" si="17"/>
        <v>6</v>
      </c>
      <c r="HS17" s="99"/>
      <c r="HT17" s="97">
        <f t="shared" si="18"/>
        <v>6</v>
      </c>
      <c r="HU17" s="97">
        <f t="shared" si="19"/>
        <v>9</v>
      </c>
      <c r="HV17" s="90">
        <f t="shared" si="20"/>
        <v>15</v>
      </c>
      <c r="HW17" s="99"/>
      <c r="HX17" s="97">
        <f t="shared" si="21"/>
        <v>2</v>
      </c>
      <c r="HY17" s="97">
        <f t="shared" si="22"/>
        <v>4</v>
      </c>
      <c r="HZ17" s="90">
        <f t="shared" si="23"/>
        <v>6</v>
      </c>
      <c r="IA17" s="99"/>
      <c r="IB17" s="97">
        <f t="shared" si="24"/>
        <v>6</v>
      </c>
      <c r="IC17" s="97">
        <f t="shared" si="25"/>
        <v>5</v>
      </c>
      <c r="ID17" s="90">
        <f t="shared" si="26"/>
        <v>11</v>
      </c>
      <c r="IE17" s="99"/>
      <c r="IF17" s="97">
        <f t="shared" si="27"/>
        <v>5</v>
      </c>
      <c r="IG17" s="97">
        <f t="shared" si="28"/>
        <v>6</v>
      </c>
      <c r="IH17" s="90">
        <f t="shared" si="29"/>
        <v>11</v>
      </c>
      <c r="II17" s="99"/>
      <c r="IJ17" s="97">
        <f t="shared" si="30"/>
        <v>8</v>
      </c>
      <c r="IK17" s="97">
        <f t="shared" si="31"/>
        <v>5</v>
      </c>
      <c r="IL17" s="90">
        <f t="shared" si="32"/>
        <v>13</v>
      </c>
      <c r="IM17" s="99"/>
      <c r="IN17" s="97">
        <f t="shared" si="33"/>
        <v>1</v>
      </c>
      <c r="IO17" s="97">
        <f t="shared" si="34"/>
        <v>3</v>
      </c>
      <c r="IP17" s="90">
        <f t="shared" si="35"/>
        <v>4</v>
      </c>
      <c r="IQ17" s="99"/>
      <c r="IR17" s="99"/>
      <c r="IS17" s="100">
        <f t="shared" si="36"/>
        <v>11</v>
      </c>
      <c r="IT17" s="100">
        <f t="shared" si="37"/>
        <v>10</v>
      </c>
      <c r="IU17" s="100">
        <f t="shared" si="38"/>
        <v>7</v>
      </c>
      <c r="IV17" s="100">
        <f t="shared" si="39"/>
        <v>6</v>
      </c>
      <c r="IW17" s="100">
        <f t="shared" si="40"/>
        <v>15</v>
      </c>
      <c r="IX17" s="100">
        <f t="shared" si="41"/>
        <v>6</v>
      </c>
      <c r="IY17" s="100">
        <f t="shared" si="42"/>
        <v>11</v>
      </c>
      <c r="IZ17" s="100">
        <f t="shared" si="43"/>
        <v>11</v>
      </c>
      <c r="JA17" s="100">
        <f t="shared" si="44"/>
        <v>13</v>
      </c>
      <c r="JB17" s="101">
        <f t="shared" si="45"/>
        <v>4</v>
      </c>
      <c r="JC17" s="102">
        <f t="shared" si="46"/>
        <v>94</v>
      </c>
      <c r="JD17" s="67">
        <f t="shared" si="50"/>
        <v>0</v>
      </c>
      <c r="JE17" s="67">
        <f t="shared" si="47"/>
        <v>3</v>
      </c>
      <c r="JF17" s="67">
        <f t="shared" si="48"/>
        <v>3</v>
      </c>
    </row>
    <row r="18">
      <c r="A18" s="103">
        <f>IFERROR(__xludf.DUMMYFUNCTION("""COMPUTED_VALUE"""),45921.45061434028)</f>
        <v>45921.45061</v>
      </c>
      <c r="B18" s="95" t="str">
        <f>IFERROR(__xludf.DUMMYFUNCTION("""COMPUTED_VALUE"""),"Muhamad Umar Ali")</f>
        <v>Muhamad Umar Ali</v>
      </c>
      <c r="C18" s="96" t="str">
        <f>IFERROR(__xludf.DUMMYFUNCTION("""COMPUTED_VALUE"""),"A250020")</f>
        <v>A250020</v>
      </c>
      <c r="D18" s="96" t="str">
        <f>IFERROR(__xludf.DUMMYFUNCTION("""COMPUTED_VALUE"""),"MTs Putra")</f>
        <v>MTs Putra</v>
      </c>
      <c r="E18" s="96" t="str">
        <f>IFERROR(__xludf.DUMMYFUNCTION("""COMPUTED_VALUE"""),"Ya")</f>
        <v>Ya</v>
      </c>
      <c r="F18" s="95" t="str">
        <f>IFERROR(__xludf.DUMMYFUNCTION("""COMPUTED_VALUE"""),"B Saya ingin melakukan apa saja sebaik mungkin.")</f>
        <v>B Saya ingin melakukan apa saja sebaik mungkin.</v>
      </c>
      <c r="G18" s="95" t="str">
        <f>IFERROR(__xludf.DUMMYFUNCTION("""COMPUTED_VALUE"""),"A Saya ingin setiap tulisan saya teliti, rapi, dan tersusun dengan baik.")</f>
        <v>A Saya ingin setiap tulisan saya teliti, rapi, dan tersusun dengan baik.</v>
      </c>
      <c r="H18" s="95" t="str">
        <f>IFERROR(__xludf.DUMMYFUNCTION("""COMPUTED_VALUE"""),"A Saya ingin berbuat sesuai kata hati saya.")</f>
        <v>A Saya ingin berbuat sesuai kata hati saya.</v>
      </c>
      <c r="I18" s="95" t="str">
        <f>IFERROR(__xludf.DUMMYFUNCTION("""COMPUTED_VALUE"""),"A Saya suka belajar keras pada tiap pelajaran yang saya hadapi.")</f>
        <v>A Saya suka belajar keras pada tiap pelajaran yang saya hadapi.</v>
      </c>
      <c r="J18" s="95" t="str">
        <f>IFERROR(__xludf.DUMMYFUNCTION("""COMPUTED_VALUE"""),"A Saya suka membantu teman-teman saya apabila mereka mengalami kesulitan.")</f>
        <v>A Saya suka membantu teman-teman saya apabila mereka mengalami kesulitan.</v>
      </c>
      <c r="K18" s="95" t="str">
        <f>IFERROR(__xludf.DUMMYFUNCTION("""COMPUTED_VALUE"""),"B Saya ingin mengatakan telah melakukan dengan baik sesuatu tugas yang sulit.")</f>
        <v>B Saya ingin mengatakan telah melakukan dengan baik sesuatu tugas yang sulit.</v>
      </c>
      <c r="L18" s="95" t="str">
        <f>IFERROR(__xludf.DUMMYFUNCTION("""COMPUTED_VALUE"""),"B Saya ingin mengatakan telah melakukan dengan baik sesuatu tugas yang sulit")</f>
        <v>B Saya ingin mengatakan telah melakukan dengan baik sesuatu tugas yang sulit</v>
      </c>
      <c r="M18" s="95" t="str">
        <f>IFERROR(__xludf.DUMMYFUNCTION("""COMPUTED_VALUE"""),"B Saya ingin mengerjakan segala tugas lebih baik daripada orang lain.")</f>
        <v>B Saya ingin mengerjakan segala tugas lebih baik daripada orang lain.</v>
      </c>
      <c r="N18" s="95" t="str">
        <f>IFERROR(__xludf.DUMMYFUNCTION("""COMPUTED_VALUE"""),"B Saya suka memecahkan persoalan yang sukar bagi orang lain.")</f>
        <v>B Saya suka memecahkan persoalan yang sukar bagi orang lain.</v>
      </c>
      <c r="O18" s="95" t="str">
        <f>IFERROR(__xludf.DUMMYFUNCTION("""COMPUTED_VALUE"""),"B Saya suka melakukan tugas sebaik mungkin.")</f>
        <v>B Saya suka melakukan tugas sebaik mungkin.</v>
      </c>
      <c r="P18" s="95" t="str">
        <f>IFERROR(__xludf.DUMMYFUNCTION("""COMPUTED_VALUE"""),"B Saya ingin setiap belajar itu teratur dan direncanakan.")</f>
        <v>B Saya ingin setiap belajar itu teratur dan direncanakan.</v>
      </c>
      <c r="Q18" s="95" t="str">
        <f>IFERROR(__xludf.DUMMYFUNCTION("""COMPUTED_VALUE"""),"B Saya merencanakan keperluan yang dibutuhkan sebelum bepergian.")</f>
        <v>B Saya merencanakan keperluan yang dibutuhkan sebelum bepergian.</v>
      </c>
      <c r="R18" s="95" t="str">
        <f>IFERROR(__xludf.DUMMYFUNCTION("""COMPUTED_VALUE"""),"B Saya suka barang-barang saya tersusun rapi dan teratur.")</f>
        <v>B Saya suka barang-barang saya tersusun rapi dan teratur.</v>
      </c>
      <c r="S18" s="95" t="str">
        <f>IFERROR(__xludf.DUMMYFUNCTION("""COMPUTED_VALUE"""),"B Saya suka membuat perencanaan sebelum memulai tugas yang sulit.")</f>
        <v>B Saya suka membuat perencanaan sebelum memulai tugas yang sulit.</v>
      </c>
      <c r="T18" s="95" t="str">
        <f>IFERROR(__xludf.DUMMYFUNCTION("""COMPUTED_VALUE"""),"B Saya ingin agar hidup saya teratur sesuai cita-cita saya.")</f>
        <v>B Saya ingin agar hidup saya teratur sesuai cita-cita saya.</v>
      </c>
      <c r="U18" s="95" t="str">
        <f>IFERROR(__xludf.DUMMYFUNCTION("""COMPUTED_VALUE"""),"A Saya suka memberikan bantuan kepada teman-teman saya.")</f>
        <v>A Saya suka memberikan bantuan kepada teman-teman saya.</v>
      </c>
      <c r="V18" s="95" t="str">
        <f>IFERROR(__xludf.DUMMYFUNCTION("""COMPUTED_VALUE"""),"B Saya suka belajar saya teratur dan ada waktu-waktu tertentu untuk belajar.")</f>
        <v>B Saya suka belajar saya teratur dan ada waktu-waktu tertentu untuk belajar.</v>
      </c>
      <c r="W18" s="95" t="str">
        <f>IFERROR(__xludf.DUMMYFUNCTION("""COMPUTED_VALUE"""),"B Saya ingin kegiatan itu teratur dan direncanakan.")</f>
        <v>B Saya ingin kegiatan itu teratur dan direncanakan.</v>
      </c>
      <c r="X18" s="95" t="str">
        <f>IFERROR(__xludf.DUMMYFUNCTION("""COMPUTED_VALUE"""),"A Saya suka merencanakan dan mengatur setiap apa yang harus saya lakukan.")</f>
        <v>A Saya suka merencanakan dan mengatur setiap apa yang harus saya lakukan.</v>
      </c>
      <c r="Y18" s="95" t="str">
        <f>IFERROR(__xludf.DUMMYFUNCTION("""COMPUTED_VALUE"""),"A Saya suka menyelesaikan tugas-tugas yang membutuhkan ketrampilan dan usaha.")</f>
        <v>A Saya suka menyelesaikan tugas-tugas yang membutuhkan ketrampilan dan usaha.</v>
      </c>
      <c r="Z18" s="95" t="str">
        <f>IFERROR(__xludf.DUMMYFUNCTION("""COMPUTED_VALUE"""),"A Saya ingin berhasil dengan belajar yang saya lakukan.")</f>
        <v>A Saya ingin berhasil dengan belajar yang saya lakukan.</v>
      </c>
      <c r="AA18" s="95" t="str">
        <f>IFERROR(__xludf.DUMMYFUNCTION("""COMPUTED_VALUE"""),"B Saya tidak suka pada orang yang berbuat seenaknya sendiri.")</f>
        <v>B Saya tidak suka pada orang yang berbuat seenaknya sendiri.</v>
      </c>
      <c r="AB18" s="95" t="str">
        <f>IFERROR(__xludf.DUMMYFUNCTION("""COMPUTED_VALUE"""),"A Saya ingin tidak tergantung dari orang lain terhadap apa yang akan saya lakukan.")</f>
        <v>A Saya ingin tidak tergantung dari orang lain terhadap apa yang akan saya lakukan.</v>
      </c>
      <c r="AC18" s="95" t="str">
        <f>IFERROR(__xludf.DUMMYFUNCTION("""COMPUTED_VALUE"""),"A Saya suka menyelesaikan setiap tugas meskipun membutuhkan waktu lama.")</f>
        <v>A Saya suka menyelesaikan setiap tugas meskipun membutuhkan waktu lama.</v>
      </c>
      <c r="AD18" s="95" t="str">
        <f>IFERROR(__xludf.DUMMYFUNCTION("""COMPUTED_VALUE"""),"A Saya suka bermurah hati terhadap teman-teman saya.")</f>
        <v>A Saya suka bermurah hati terhadap teman-teman saya.</v>
      </c>
      <c r="AE18" s="95" t="str">
        <f>IFERROR(__xludf.DUMMYFUNCTION("""COMPUTED_VALUE"""),"A Saya ingin dianggap sebagai pemimpin oleh teman di kelompok.")</f>
        <v>A Saya ingin dianggap sebagai pemimpin oleh teman di kelompok.</v>
      </c>
      <c r="AF18" s="95" t="str">
        <f>IFERROR(__xludf.DUMMYFUNCTION("""COMPUTED_VALUE"""),"B Saya suka melakukan hal-hal dengan cara saya sendiri.")</f>
        <v>B Saya suka melakukan hal-hal dengan cara saya sendiri.</v>
      </c>
      <c r="AG18" s="95" t="str">
        <f>IFERROR(__xludf.DUMMYFUNCTION("""COMPUTED_VALUE"""),"A Saya mengajari orang lain bagaimana mereka harus melakukan pekerjaan mereka.")</f>
        <v>A Saya mengajari orang lain bagaimana mereka harus melakukan pekerjaan mereka.</v>
      </c>
      <c r="AH18" s="95" t="str">
        <f>IFERROR(__xludf.DUMMYFUNCTION("""COMPUTED_VALUE"""),"A Saya suka membaca buku-buku tentang pergaulan remaja.")</f>
        <v>A Saya suka membaca buku-buku tentang pergaulan remaja.</v>
      </c>
      <c r="AI18" s="95" t="str">
        <f>IFERROR(__xludf.DUMMYFUNCTION("""COMPUTED_VALUE"""),"B Saya suka melakukan kegiatan sesuai kondisi yang saya inginkan.")</f>
        <v>B Saya suka melakukan kegiatan sesuai kondisi yang saya inginkan.</v>
      </c>
      <c r="AJ18" s="95" t="str">
        <f>IFERROR(__xludf.DUMMYFUNCTION("""COMPUTED_VALUE"""),"B Saya suka bertahan menghadapi satu masalah meskipun belum tentu berhasil.")</f>
        <v>B Saya suka bertahan menghadapi satu masalah meskipun belum tentu berhasil.</v>
      </c>
      <c r="AK18" s="95" t="str">
        <f>IFERROR(__xludf.DUMMYFUNCTION("""COMPUTED_VALUE"""),"B Bila saya harus melakukan suatu tugas, saya ingin mengerjakan sampai selesai.")</f>
        <v>B Bila saya harus melakukan suatu tugas, saya ingin mengerjakan sampai selesai.</v>
      </c>
      <c r="AL18" s="95" t="str">
        <f>IFERROR(__xludf.DUMMYFUNCTION("""COMPUTED_VALUE"""),"B Saya ingin menghindarkan gangguan bila saya sedang belajar.")</f>
        <v>B Saya ingin menghindarkan gangguan bila saya sedang belajar.</v>
      </c>
      <c r="AM18" s="95" t="str">
        <f>IFERROR(__xludf.DUMMYFUNCTION("""COMPUTED_VALUE"""),"B Saya suka belajar sampai malam untuk menyelesaikan suatu tugas.")</f>
        <v>B Saya suka belajar sampai malam untuk menyelesaikan suatu tugas.</v>
      </c>
      <c r="AN18" s="95" t="str">
        <f>IFERROR(__xludf.DUMMYFUNCTION("""COMPUTED_VALUE"""),"A Saya tidak suka pada orang yang semena-mena.")</f>
        <v>A Saya tidak suka pada orang yang semena-mena.</v>
      </c>
      <c r="AO18" s="95" t="str">
        <f>IFERROR(__xludf.DUMMYFUNCTION("""COMPUTED_VALUE"""),"A Saya suka berlaku sangat ramah terhadap teman-teman saya.")</f>
        <v>A Saya suka berlaku sangat ramah terhadap teman-teman saya.</v>
      </c>
      <c r="AP18" s="95" t="str">
        <f>IFERROR(__xludf.DUMMYFUNCTION("""COMPUTED_VALUE"""),"B Saya suka bertahan menghadapi satu masalah meskipun belum tentu berhasil.")</f>
        <v>B Saya suka bertahan menghadapi satu masalah meskipun belum tentu berhasil.</v>
      </c>
      <c r="AQ18" s="95" t="str">
        <f>IFERROR(__xludf.DUMMYFUNCTION("""COMPUTED_VALUE"""),"B Bila saya harus melakukan suatu tugas, saya ingin mengerjakan sampai selesai.")</f>
        <v>B Bila saya harus melakukan suatu tugas, saya ingin mengerjakan sampai selesai.</v>
      </c>
      <c r="AR18" s="95" t="str">
        <f>IFERROR(__xludf.DUMMYFUNCTION("""COMPUTED_VALUE"""),"B Saya suka belajar keras pada tiap pelajaran yang saya hadapi.")</f>
        <v>B Saya suka belajar keras pada tiap pelajaran yang saya hadapi.</v>
      </c>
      <c r="AS18" s="95" t="str">
        <f>IFERROR(__xludf.DUMMYFUNCTION("""COMPUTED_VALUE"""),"B Saya suka belajar sampai malam untuk menyelesaikan suatu tugas.")</f>
        <v>B Saya suka belajar sampai malam untuk menyelesaikan suatu tugas.</v>
      </c>
      <c r="AT18" s="95" t="str">
        <f>IFERROR(__xludf.DUMMYFUNCTION("""COMPUTED_VALUE"""),"A Saya ingin bisa melakukan dengan baik sesuatu pekerjaan sulit.")</f>
        <v>A Saya ingin bisa melakukan dengan baik sesuatu pekerjaan sulit.</v>
      </c>
      <c r="AU18" s="95" t="str">
        <f>IFERROR(__xludf.DUMMYFUNCTION("""COMPUTED_VALUE"""),"B Saya suka bermurah hati terhadap teman-teman saya.")</f>
        <v>B Saya suka bermurah hati terhadap teman-teman saya.</v>
      </c>
      <c r="AV18" s="95" t="str">
        <f>IFERROR(__xludf.DUMMYFUNCTION("""COMPUTED_VALUE"""),"B Saya suka menolong teman-teman saya.")</f>
        <v>B Saya suka menolong teman-teman saya.</v>
      </c>
      <c r="AW18" s="95" t="str">
        <f>IFERROR(__xludf.DUMMYFUNCTION("""COMPUTED_VALUE"""),"B Saya ingin teman-teman saya percaya bahwa saya bisa menolong mereka.")</f>
        <v>B Saya ingin teman-teman saya percaya bahwa saya bisa menolong mereka.</v>
      </c>
      <c r="AX18" s="95" t="str">
        <f>IFERROR(__xludf.DUMMYFUNCTION("""COMPUTED_VALUE"""),"A Saya suka menolong teman-teman saya apabila mereka dalam kesulitan.")</f>
        <v>A Saya suka menolong teman-teman saya apabila mereka dalam kesulitan.</v>
      </c>
      <c r="AY18" s="95" t="str">
        <f>IFERROR(__xludf.DUMMYFUNCTION("""COMPUTED_VALUE"""),"B Saya suka menolong teman-teman saya apabila mereka dalam kesulitan.")</f>
        <v>B Saya suka menolong teman-teman saya apabila mereka dalam kesulitan.</v>
      </c>
      <c r="AZ18" s="95" t="str">
        <f>IFERROR(__xludf.DUMMYFUNCTION("""COMPUTED_VALUE"""),"A Saya ingin agar teman-teman saya bersimpati dan menghibur saya bila saya sedih.")</f>
        <v>A Saya ingin agar teman-teman saya bersimpati dan menghibur saya bila saya sedih.</v>
      </c>
      <c r="BA18" s="95" t="str">
        <f>IFERROR(__xludf.DUMMYFUNCTION("""COMPUTED_VALUE"""),"B Saya suka memperlakukan orang lain dengan baik dan ramah.")</f>
        <v>B Saya suka memperlakukan orang lain dengan baik dan ramah.</v>
      </c>
      <c r="BB18" s="95" t="str">
        <f>IFERROR(__xludf.DUMMYFUNCTION("""COMPUTED_VALUE"""),"B Saya suka bermurah hati terhadap teman-teman saya.")</f>
        <v>B Saya suka bermurah hati terhadap teman-teman saya.</v>
      </c>
      <c r="BC18" s="95" t="str">
        <f>IFERROR(__xludf.DUMMYFUNCTION("""COMPUTED_VALUE"""),"B Saya suka membantu orang lain yang menurut saya perlu dikasihani.")</f>
        <v>B Saya suka membantu orang lain yang menurut saya perlu dikasihani.</v>
      </c>
      <c r="BD18" s="95" t="str">
        <f>IFERROR(__xludf.DUMMYFUNCTION("""COMPUTED_VALUE"""),"A Saya rasanya ingin menyalahkan orang lain bila keadaan tidak baik bagi saya.")</f>
        <v>A Saya rasanya ingin menyalahkan orang lain bila keadaan tidak baik bagi saya.</v>
      </c>
      <c r="BE18" s="95" t="str">
        <f>IFERROR(__xludf.DUMMYFUNCTION("""COMPUTED_VALUE"""),"A Saya suka mendengarkan atau menceritakan hal-hal yang sebaiknya tidak diceritakan.")</f>
        <v>A Saya suka mendengarkan atau menceritakan hal-hal yang sebaiknya tidak diceritakan.</v>
      </c>
      <c r="BF18" s="95" t="str">
        <f>IFERROR(__xludf.DUMMYFUNCTION("""COMPUTED_VALUE"""),"B Bila saya dalam kelompok, saya ingin menentukan apa yang akan kita lakukan.")</f>
        <v>B Bila saya dalam kelompok, saya ingin menentukan apa yang akan kita lakukan.</v>
      </c>
      <c r="BG18" s="95" t="str">
        <f>IFERROR(__xludf.DUMMYFUNCTION("""COMPUTED_VALUE"""),"B Saya suka mengarahkan kepada orang lain apa yang harus dilakukan.")</f>
        <v>B Saya suka mengarahkan kepada orang lain apa yang harus dilakukan.</v>
      </c>
      <c r="BH18" s="95" t="str">
        <f>IFERROR(__xludf.DUMMYFUNCTION("""COMPUTED_VALUE"""),"B Apabila saya berkumpul dalam kelompok, saya ingin dihargai teman-teman.")</f>
        <v>B Apabila saya berkumpul dalam kelompok, saya ingin dihargai teman-teman.</v>
      </c>
      <c r="BI18" s="95" t="str">
        <f>IFERROR(__xludf.DUMMYFUNCTION("""COMPUTED_VALUE"""),"A Saya suka bermurah hati terhadap teman-teman saya.")</f>
        <v>A Saya suka bermurah hati terhadap teman-teman saya.</v>
      </c>
      <c r="BJ18" s="95" t="str">
        <f>IFERROR(__xludf.DUMMYFUNCTION("""COMPUTED_VALUE"""),"A Saya ingin mengerjakan tugas sampai selesai.")</f>
        <v>A Saya ingin mengerjakan tugas sampai selesai.</v>
      </c>
      <c r="BK18" s="95" t="str">
        <f>IFERROR(__xludf.DUMMYFUNCTION("""COMPUTED_VALUE"""),"A Saya ingin menyelesaikan pekerjaan satu persatu sebelum memulai yang lain.")</f>
        <v>A Saya ingin menyelesaikan pekerjaan satu persatu sebelum memulai yang lain.</v>
      </c>
      <c r="BL18" s="95" t="str">
        <f>IFERROR(__xludf.DUMMYFUNCTION("""COMPUTED_VALUE"""),"A Saya suka belajar saya teratur dan ada waktu-waktu tertentu untuk belajar.")</f>
        <v>A Saya suka belajar saya teratur dan ada waktu-waktu tertentu untuk belajar.</v>
      </c>
      <c r="BM18" s="95" t="str">
        <f>IFERROR(__xludf.DUMMYFUNCTION("""COMPUTED_VALUE"""),"A Saya suka melakukan pekerjaan sebaik mungkin.")</f>
        <v>A Saya suka melakukan pekerjaan sebaik mungkin.</v>
      </c>
      <c r="BN18" s="95" t="str">
        <f>IFERROR(__xludf.DUMMYFUNCTION("""COMPUTED_VALUE"""),"B Saya ingin teman-teman memberi dorongan bila saya menghadapi kegagalan.")</f>
        <v>B Saya ingin teman-teman memberi dorongan bila saya menghadapi kegagalan.</v>
      </c>
      <c r="BO18" s="95" t="str">
        <f>IFERROR(__xludf.DUMMYFUNCTION("""COMPUTED_VALUE"""),"B Saya ingin diperlakukan dengan baik oleh teman-teman saya.")</f>
        <v>B Saya ingin diperlakukan dengan baik oleh teman-teman saya.</v>
      </c>
      <c r="BP18" s="95" t="str">
        <f>IFERROR(__xludf.DUMMYFUNCTION("""COMPUTED_VALUE"""),"B Saya ingin teman-teman saya merasa kasihan pada saya apabila saya sakit.")</f>
        <v>B Saya ingin teman-teman saya merasa kasihan pada saya apabila saya sakit.</v>
      </c>
      <c r="BQ18" s="95" t="str">
        <f>IFERROR(__xludf.DUMMYFUNCTION("""COMPUTED_VALUE"""),"A Saya ingin mengerjakannya tugas sampai selesai.")</f>
        <v>A Saya ingin mengerjakannya tugas sampai selesai.</v>
      </c>
      <c r="BR18" s="95" t="str">
        <f>IFERROR(__xludf.DUMMYFUNCTION("""COMPUTED_VALUE"""),"A Saya suka memaafkan teman-teman saya yang menyakiti hati saya.")</f>
        <v>A Saya suka memaafkan teman-teman saya yang menyakiti hati saya.</v>
      </c>
      <c r="BS18" s="95" t="str">
        <f>IFERROR(__xludf.DUMMYFUNCTION("""COMPUTED_VALUE"""),"B Saya ingin teman-teman saya membantu saya bila saya mengalami kesulitan")</f>
        <v>B Saya ingin teman-teman saya membantu saya bila saya mengalami kesulitan</v>
      </c>
      <c r="BT18" s="95" t="str">
        <f>IFERROR(__xludf.DUMMYFUNCTION("""COMPUTED_VALUE"""),"B Saya ingin teman-teman banyak menunjukkan rasa sayang mereka terhadap saya.")</f>
        <v>B Saya ingin teman-teman banyak menunjukkan rasa sayang mereka terhadap saya.</v>
      </c>
      <c r="BU18" s="95" t="str">
        <f>IFERROR(__xludf.DUMMYFUNCTION("""COMPUTED_VALUE"""),"B Saya ingin agar teman-teman saya merasa kasihan pada saya apabila saya sakit.")</f>
        <v>B Saya ingin agar teman-teman saya merasa kasihan pada saya apabila saya sakit.</v>
      </c>
      <c r="BV18" s="95" t="str">
        <f>IFERROR(__xludf.DUMMYFUNCTION("""COMPUTED_VALUE"""),"B Saya ingin teman-teman dengan gembira memberikan pertolongan kepada saya.")</f>
        <v>B Saya ingin teman-teman dengan gembira memberikan pertolongan kepada saya.</v>
      </c>
      <c r="BW18" s="95" t="str">
        <f>IFERROR(__xludf.DUMMYFUNCTION("""COMPUTED_VALUE"""),"B Saya ingin diperlakukan dengan baik oleh teman-teman saya.")</f>
        <v>B Saya ingin diperlakukan dengan baik oleh teman-teman saya.</v>
      </c>
      <c r="BX18" s="95" t="str">
        <f>IFERROR(__xludf.DUMMYFUNCTION("""COMPUTED_VALUE"""),"B Saya kadang-kadang suka melakukan hal-hal yang dapat dipuji oleh orang lain.")</f>
        <v>B Saya kadang-kadang suka melakukan hal-hal yang dapat dipuji oleh orang lain.</v>
      </c>
      <c r="BY18" s="95" t="str">
        <f>IFERROR(__xludf.DUMMYFUNCTION("""COMPUTED_VALUE"""),"B Saya ingin orang lain memperhatikan dan berkomentar tentang penampilan saya.")</f>
        <v>B Saya ingin orang lain memperhatikan dan berkomentar tentang penampilan saya.</v>
      </c>
      <c r="BZ18" s="95" t="str">
        <f>IFERROR(__xludf.DUMMYFUNCTION("""COMPUTED_VALUE"""),"A Saya suka berkata yang artinya sulit dipahami oleh orang lain.")</f>
        <v>A Saya suka berkata yang artinya sulit dipahami oleh orang lain.</v>
      </c>
      <c r="CA18" s="95" t="str">
        <f>IFERROR(__xludf.DUMMYFUNCTION("""COMPUTED_VALUE"""),"A Saya ingin teman-teman dengan gembira memberikan pertolongan kepada saya.")</f>
        <v>A Saya ingin teman-teman dengan gembira memberikan pertolongan kepada saya.</v>
      </c>
      <c r="CB18" s="95" t="str">
        <f>IFERROR(__xludf.DUMMYFUNCTION("""COMPUTED_VALUE"""),"B Saya suka berbicara tentang hal-hal yang telah saya capai.")</f>
        <v>B Saya suka berbicara tentang hal-hal yang telah saya capai.</v>
      </c>
      <c r="CC18" s="95" t="str">
        <f>IFERROR(__xludf.DUMMYFUNCTION("""COMPUTED_VALUE"""),"B Saya suka menceritakan hal-hal lucu agar diperhatikan oleh orang lain.")</f>
        <v>B Saya suka menceritakan hal-hal lucu agar diperhatikan oleh orang lain.</v>
      </c>
      <c r="CD18" s="95" t="str">
        <f>IFERROR(__xludf.DUMMYFUNCTION("""COMPUTED_VALUE"""),"B Saya suka berkata yang artinya sulit dipahami oleh orang lain.")</f>
        <v>B Saya suka berkata yang artinya sulit dipahami oleh orang lain.</v>
      </c>
      <c r="CE18" s="95" t="str">
        <f>IFERROR(__xludf.DUMMYFUNCTION("""COMPUTED_VALUE"""),"B Saya kadang-kadang suka melakukan hal-hal yang dapat dipuji oleh orang lain.")</f>
        <v>B Saya kadang-kadang suka melakukan hal-hal yang dapat dipuji oleh orang lain.</v>
      </c>
      <c r="CF18" s="95" t="str">
        <f>IFERROR(__xludf.DUMMYFUNCTION("""COMPUTED_VALUE"""),"A Saya ingin agar hidup saya teratur sesuai cita-cita saya.")</f>
        <v>A Saya ingin agar hidup saya teratur sesuai cita-cita saya.</v>
      </c>
      <c r="CG18" s="95" t="str">
        <f>IFERROR(__xludf.DUMMYFUNCTION("""COMPUTED_VALUE"""),"A Saya ingin berhasil dalam apa yang saya lakukan.")</f>
        <v>A Saya ingin berhasil dalam apa yang saya lakukan.</v>
      </c>
      <c r="CH18" s="95" t="str">
        <f>IFERROR(__xludf.DUMMYFUNCTION("""COMPUTED_VALUE"""),"A Saya ingin bisa melakukan dengan baik sesuatu pekerjaan sulit.")</f>
        <v>A Saya ingin bisa melakukan dengan baik sesuatu pekerjaan sulit.</v>
      </c>
      <c r="CI18" s="95" t="str">
        <f>IFERROR(__xludf.DUMMYFUNCTION("""COMPUTED_VALUE"""),"A Saya suka belajar saya teratur dan ada waktu-waktu tertentu untuk belajar.")</f>
        <v>A Saya suka belajar saya teratur dan ada waktu-waktu tertentu untuk belajar.</v>
      </c>
      <c r="CJ18" s="95" t="str">
        <f>IFERROR(__xludf.DUMMYFUNCTION("""COMPUTED_VALUE"""),"A Saya ingin tidak tergantung dari orang lain terhadap apa yang akan saya lakukan.")</f>
        <v>A Saya ingin tidak tergantung dari orang lain terhadap apa yang akan saya lakukan.</v>
      </c>
      <c r="CK18" s="95" t="str">
        <f>IFERROR(__xludf.DUMMYFUNCTION("""COMPUTED_VALUE"""),"B Saya senang ikut beraktivitas bersama teman sebaya saya.")</f>
        <v>B Saya senang ikut beraktivitas bersama teman sebaya saya.</v>
      </c>
      <c r="CL18" s="95" t="str">
        <f>IFERROR(__xludf.DUMMYFUNCTION("""COMPUTED_VALUE"""),"A Saya suka menolong teman-teman saya, apabila mereka dalam kesulitan.")</f>
        <v>A Saya suka menolong teman-teman saya, apabila mereka dalam kesulitan.</v>
      </c>
      <c r="CM18" s="95" t="str">
        <f>IFERROR(__xludf.DUMMYFUNCTION("""COMPUTED_VALUE"""),"A Saya ingin ditunjuk atau dipilih sebagai ketua dalam suatu kelompok.")</f>
        <v>A Saya ingin ditunjuk atau dipilih sebagai ketua dalam suatu kelompok.</v>
      </c>
      <c r="CN18" s="95" t="str">
        <f>IFERROR(__xludf.DUMMYFUNCTION("""COMPUTED_VALUE"""),"A Saya ingin diperlakukan dengan baik oleh teman-teman saya.")</f>
        <v>A Saya ingin diperlakukan dengan baik oleh teman-teman saya.</v>
      </c>
      <c r="CO18" s="95" t="str">
        <f>IFERROR(__xludf.DUMMYFUNCTION("""COMPUTED_VALUE"""),"A Saya suka menceritakan hal-hal lucu agar diperhatikan oleh orang lain.")</f>
        <v>A Saya suka menceritakan hal-hal lucu agar diperhatikan oleh orang lain.</v>
      </c>
      <c r="CP18" s="95" t="str">
        <f>IFERROR(__xludf.DUMMYFUNCTION("""COMPUTED_VALUE"""),"A Saya suka melamun atau membayangkan sesuatu sendirian.")</f>
        <v>A Saya suka melamun atau membayangkan sesuatu sendirian.</v>
      </c>
      <c r="CQ18" s="95" t="str">
        <f>IFERROR(__xludf.DUMMYFUNCTION("""COMPUTED_VALUE"""),"B Saya merasa kagum pada seseorang.")</f>
        <v>B Saya merasa kagum pada seseorang.</v>
      </c>
      <c r="CR18" s="95" t="str">
        <f>IFERROR(__xludf.DUMMYFUNCTION("""COMPUTED_VALUE"""),"B Saya rasanya ingin mengecam seseorang bila orang itu menjengkelkan.")</f>
        <v>B Saya rasanya ingin mengecam seseorang bila orang itu menjengkelkan.</v>
      </c>
      <c r="CS18" s="95" t="str">
        <f>IFERROR(__xludf.DUMMYFUNCTION("""COMPUTED_VALUE"""),"A Saya ingin terlihat menarik di depan teman-teman saya.")</f>
        <v>A Saya ingin terlihat menarik di depan teman-teman saya.</v>
      </c>
      <c r="CT18" s="95" t="str">
        <f>IFERROR(__xludf.DUMMYFUNCTION("""COMPUTED_VALUE"""),"B Saya saat marah rasanya ingin melemparkan dan merusak barang-barang.")</f>
        <v>B Saya saat marah rasanya ingin melemparkan dan merusak barang-barang.</v>
      </c>
      <c r="CU18" s="95" t="str">
        <f>IFERROR(__xludf.DUMMYFUNCTION("""COMPUTED_VALUE"""),"A Saya ingin diperlakukan dengan ramah oleh teman-teman saya.")</f>
        <v>A Saya ingin diperlakukan dengan ramah oleh teman-teman saya.</v>
      </c>
      <c r="CV18" s="95" t="str">
        <f>IFERROR(__xludf.DUMMYFUNCTION("""COMPUTED_VALUE"""),"A Saya ingin ditunjuk atau dipilih sebagai ketua dalam suatu kelompok.")</f>
        <v>A Saya ingin ditunjuk atau dipilih sebagai ketua dalam suatu kelompok.</v>
      </c>
      <c r="CW18" s="95" t="str">
        <f>IFERROR(__xludf.DUMMYFUNCTION("""COMPUTED_VALUE"""),"B Saya mengatakan kepada orang lain bagaimana pendapat saya terhadap mereka.")</f>
        <v>B Saya mengatakan kepada orang lain bagaimana pendapat saya terhadap mereka.</v>
      </c>
      <c r="CX18" s="95" t="str">
        <f>IFERROR(__xludf.DUMMYFUNCTION("""COMPUTED_VALUE"""),"A Saya suka belajar sampai malam untuk menyelesaikan suatu tugas.")</f>
        <v>A Saya suka belajar sampai malam untuk menyelesaikan suatu tugas.</v>
      </c>
      <c r="CY18" s="95" t="str">
        <f>IFERROR(__xludf.DUMMYFUNCTION("""COMPUTED_VALUE"""),"A Saya ingin tidak tergantung dari orang lain terhadap apa yang akan saya lakukan.")</f>
        <v>A Saya ingin tidak tergantung dari orang lain terhadap apa yang akan saya lakukan.</v>
      </c>
      <c r="CZ18" s="95" t="str">
        <f>IFERROR(__xludf.DUMMYFUNCTION("""COMPUTED_VALUE"""),"A Saya suka merencanakan dan mengatur setiap pekerjaan yang harus saya lakukan.")</f>
        <v>A Saya suka merencanakan dan mengatur setiap pekerjaan yang harus saya lakukan.</v>
      </c>
      <c r="DA18" s="95" t="str">
        <f>IFERROR(__xludf.DUMMYFUNCTION("""COMPUTED_VALUE"""),"A Saya ingin melakukan apa saja sebaik mungkin.")</f>
        <v>A Saya ingin melakukan apa saja sebaik mungkin.</v>
      </c>
      <c r="DB18" s="89" t="s">
        <v>23</v>
      </c>
      <c r="DC18" s="97" t="str">
        <f t="shared" ref="DC18:GX18" si="63">LEFT(F18,1)</f>
        <v>B</v>
      </c>
      <c r="DD18" s="97" t="str">
        <f t="shared" si="63"/>
        <v>A</v>
      </c>
      <c r="DE18" s="97" t="str">
        <f t="shared" si="63"/>
        <v>A</v>
      </c>
      <c r="DF18" s="97" t="str">
        <f t="shared" si="63"/>
        <v>A</v>
      </c>
      <c r="DG18" s="97" t="str">
        <f t="shared" si="63"/>
        <v>A</v>
      </c>
      <c r="DH18" s="97" t="str">
        <f t="shared" si="63"/>
        <v>B</v>
      </c>
      <c r="DI18" s="97" t="str">
        <f t="shared" si="63"/>
        <v>B</v>
      </c>
      <c r="DJ18" s="97" t="str">
        <f t="shared" si="63"/>
        <v>B</v>
      </c>
      <c r="DK18" s="97" t="str">
        <f t="shared" si="63"/>
        <v>B</v>
      </c>
      <c r="DL18" s="97" t="str">
        <f t="shared" si="63"/>
        <v>B</v>
      </c>
      <c r="DM18" s="97" t="str">
        <f t="shared" si="63"/>
        <v>B</v>
      </c>
      <c r="DN18" s="97" t="str">
        <f t="shared" si="63"/>
        <v>B</v>
      </c>
      <c r="DO18" s="97" t="str">
        <f t="shared" si="63"/>
        <v>B</v>
      </c>
      <c r="DP18" s="97" t="str">
        <f t="shared" si="63"/>
        <v>B</v>
      </c>
      <c r="DQ18" s="97" t="str">
        <f t="shared" si="63"/>
        <v>B</v>
      </c>
      <c r="DR18" s="97" t="str">
        <f t="shared" si="63"/>
        <v>A</v>
      </c>
      <c r="DS18" s="97" t="str">
        <f t="shared" si="63"/>
        <v>B</v>
      </c>
      <c r="DT18" s="97" t="str">
        <f t="shared" si="63"/>
        <v>B</v>
      </c>
      <c r="DU18" s="97" t="str">
        <f t="shared" si="63"/>
        <v>A</v>
      </c>
      <c r="DV18" s="97" t="str">
        <f t="shared" si="63"/>
        <v>A</v>
      </c>
      <c r="DW18" s="97" t="str">
        <f t="shared" si="63"/>
        <v>A</v>
      </c>
      <c r="DX18" s="97" t="str">
        <f t="shared" si="63"/>
        <v>B</v>
      </c>
      <c r="DY18" s="97" t="str">
        <f t="shared" si="63"/>
        <v>A</v>
      </c>
      <c r="DZ18" s="97" t="str">
        <f t="shared" si="63"/>
        <v>A</v>
      </c>
      <c r="EA18" s="97" t="str">
        <f t="shared" si="63"/>
        <v>A</v>
      </c>
      <c r="EB18" s="97" t="str">
        <f t="shared" si="63"/>
        <v>A</v>
      </c>
      <c r="EC18" s="97" t="str">
        <f t="shared" si="63"/>
        <v>B</v>
      </c>
      <c r="ED18" s="97" t="str">
        <f t="shared" si="63"/>
        <v>A</v>
      </c>
      <c r="EE18" s="97" t="str">
        <f t="shared" si="63"/>
        <v>A</v>
      </c>
      <c r="EF18" s="97" t="str">
        <f t="shared" si="63"/>
        <v>B</v>
      </c>
      <c r="EG18" s="97" t="str">
        <f t="shared" si="63"/>
        <v>B</v>
      </c>
      <c r="EH18" s="97" t="str">
        <f t="shared" si="63"/>
        <v>B</v>
      </c>
      <c r="EI18" s="97" t="str">
        <f t="shared" si="63"/>
        <v>B</v>
      </c>
      <c r="EJ18" s="97" t="str">
        <f t="shared" si="63"/>
        <v>B</v>
      </c>
      <c r="EK18" s="97" t="str">
        <f t="shared" si="63"/>
        <v>A</v>
      </c>
      <c r="EL18" s="97" t="str">
        <f t="shared" si="63"/>
        <v>A</v>
      </c>
      <c r="EM18" s="97" t="str">
        <f t="shared" si="63"/>
        <v>B</v>
      </c>
      <c r="EN18" s="97" t="str">
        <f t="shared" si="63"/>
        <v>B</v>
      </c>
      <c r="EO18" s="97" t="str">
        <f t="shared" si="63"/>
        <v>B</v>
      </c>
      <c r="EP18" s="97" t="str">
        <f t="shared" si="63"/>
        <v>B</v>
      </c>
      <c r="EQ18" s="97" t="str">
        <f t="shared" si="63"/>
        <v>A</v>
      </c>
      <c r="ER18" s="97" t="str">
        <f t="shared" si="63"/>
        <v>B</v>
      </c>
      <c r="ES18" s="97" t="str">
        <f t="shared" si="63"/>
        <v>B</v>
      </c>
      <c r="ET18" s="97" t="str">
        <f t="shared" si="63"/>
        <v>B</v>
      </c>
      <c r="EU18" s="97" t="str">
        <f t="shared" si="63"/>
        <v>A</v>
      </c>
      <c r="EV18" s="97" t="str">
        <f t="shared" si="63"/>
        <v>B</v>
      </c>
      <c r="EW18" s="97" t="str">
        <f t="shared" si="63"/>
        <v>A</v>
      </c>
      <c r="EX18" s="97" t="str">
        <f t="shared" si="63"/>
        <v>B</v>
      </c>
      <c r="EY18" s="97" t="str">
        <f t="shared" si="63"/>
        <v>B</v>
      </c>
      <c r="EZ18" s="97" t="str">
        <f t="shared" si="63"/>
        <v>B</v>
      </c>
      <c r="FA18" s="97" t="str">
        <f t="shared" si="63"/>
        <v>A</v>
      </c>
      <c r="FB18" s="97" t="str">
        <f t="shared" si="63"/>
        <v>A</v>
      </c>
      <c r="FC18" s="97" t="str">
        <f t="shared" si="63"/>
        <v>B</v>
      </c>
      <c r="FD18" s="97" t="str">
        <f t="shared" si="63"/>
        <v>B</v>
      </c>
      <c r="FE18" s="97" t="str">
        <f t="shared" si="63"/>
        <v>B</v>
      </c>
      <c r="FF18" s="97" t="str">
        <f t="shared" si="63"/>
        <v>A</v>
      </c>
      <c r="FG18" s="97" t="str">
        <f t="shared" si="63"/>
        <v>A</v>
      </c>
      <c r="FH18" s="97" t="str">
        <f t="shared" si="63"/>
        <v>A</v>
      </c>
      <c r="FI18" s="97" t="str">
        <f t="shared" si="63"/>
        <v>A</v>
      </c>
      <c r="FJ18" s="97" t="str">
        <f t="shared" si="63"/>
        <v>A</v>
      </c>
      <c r="FK18" s="97" t="str">
        <f t="shared" si="63"/>
        <v>B</v>
      </c>
      <c r="FL18" s="97" t="str">
        <f t="shared" si="63"/>
        <v>B</v>
      </c>
      <c r="FM18" s="97" t="str">
        <f t="shared" si="63"/>
        <v>B</v>
      </c>
      <c r="FN18" s="97" t="str">
        <f t="shared" si="63"/>
        <v>A</v>
      </c>
      <c r="FO18" s="97" t="str">
        <f t="shared" si="63"/>
        <v>A</v>
      </c>
      <c r="FP18" s="97" t="str">
        <f t="shared" si="63"/>
        <v>B</v>
      </c>
      <c r="FQ18" s="97" t="str">
        <f t="shared" si="63"/>
        <v>B</v>
      </c>
      <c r="FR18" s="97" t="str">
        <f t="shared" si="63"/>
        <v>B</v>
      </c>
      <c r="FS18" s="97" t="str">
        <f t="shared" si="63"/>
        <v>B</v>
      </c>
      <c r="FT18" s="97" t="str">
        <f t="shared" si="63"/>
        <v>B</v>
      </c>
      <c r="FU18" s="97" t="str">
        <f t="shared" si="63"/>
        <v>B</v>
      </c>
      <c r="FV18" s="97" t="str">
        <f t="shared" si="63"/>
        <v>B</v>
      </c>
      <c r="FW18" s="97" t="str">
        <f t="shared" si="63"/>
        <v>A</v>
      </c>
      <c r="FX18" s="97" t="str">
        <f t="shared" si="63"/>
        <v>A</v>
      </c>
      <c r="FY18" s="97" t="str">
        <f t="shared" si="63"/>
        <v>B</v>
      </c>
      <c r="FZ18" s="97" t="str">
        <f t="shared" si="63"/>
        <v>B</v>
      </c>
      <c r="GA18" s="97" t="str">
        <f t="shared" si="63"/>
        <v>B</v>
      </c>
      <c r="GB18" s="97" t="str">
        <f t="shared" si="63"/>
        <v>B</v>
      </c>
      <c r="GC18" s="97" t="str">
        <f t="shared" si="63"/>
        <v>A</v>
      </c>
      <c r="GD18" s="97" t="str">
        <f t="shared" si="63"/>
        <v>A</v>
      </c>
      <c r="GE18" s="97" t="str">
        <f t="shared" si="63"/>
        <v>A</v>
      </c>
      <c r="GF18" s="97" t="str">
        <f t="shared" si="63"/>
        <v>A</v>
      </c>
      <c r="GG18" s="97" t="str">
        <f t="shared" si="63"/>
        <v>A</v>
      </c>
      <c r="GH18" s="97" t="str">
        <f t="shared" si="63"/>
        <v>B</v>
      </c>
      <c r="GI18" s="97" t="str">
        <f t="shared" si="63"/>
        <v>A</v>
      </c>
      <c r="GJ18" s="97" t="str">
        <f t="shared" si="63"/>
        <v>A</v>
      </c>
      <c r="GK18" s="97" t="str">
        <f t="shared" si="63"/>
        <v>A</v>
      </c>
      <c r="GL18" s="97" t="str">
        <f t="shared" si="63"/>
        <v>A</v>
      </c>
      <c r="GM18" s="97" t="str">
        <f t="shared" si="63"/>
        <v>A</v>
      </c>
      <c r="GN18" s="97" t="str">
        <f t="shared" si="63"/>
        <v>B</v>
      </c>
      <c r="GO18" s="97" t="str">
        <f t="shared" si="63"/>
        <v>B</v>
      </c>
      <c r="GP18" s="97" t="str">
        <f t="shared" si="63"/>
        <v>A</v>
      </c>
      <c r="GQ18" s="97" t="str">
        <f t="shared" si="63"/>
        <v>B</v>
      </c>
      <c r="GR18" s="97" t="str">
        <f t="shared" si="63"/>
        <v>A</v>
      </c>
      <c r="GS18" s="97" t="str">
        <f t="shared" si="63"/>
        <v>A</v>
      </c>
      <c r="GT18" s="97" t="str">
        <f t="shared" si="63"/>
        <v>B</v>
      </c>
      <c r="GU18" s="97" t="str">
        <f t="shared" si="63"/>
        <v>A</v>
      </c>
      <c r="GV18" s="97" t="str">
        <f t="shared" si="63"/>
        <v>A</v>
      </c>
      <c r="GW18" s="97" t="str">
        <f t="shared" si="63"/>
        <v>A</v>
      </c>
      <c r="GX18" s="97" t="str">
        <f t="shared" si="63"/>
        <v>A</v>
      </c>
      <c r="GY18" s="98"/>
      <c r="GZ18" s="97">
        <f t="shared" si="3"/>
        <v>47</v>
      </c>
      <c r="HA18" s="97">
        <f t="shared" si="4"/>
        <v>53</v>
      </c>
      <c r="HB18" s="90">
        <f t="shared" si="5"/>
        <v>100</v>
      </c>
      <c r="HC18" s="99"/>
      <c r="HD18" s="97">
        <f t="shared" si="6"/>
        <v>7</v>
      </c>
      <c r="HE18" s="97">
        <f t="shared" si="7"/>
        <v>5</v>
      </c>
      <c r="HF18" s="90">
        <f t="shared" si="8"/>
        <v>12</v>
      </c>
      <c r="HG18" s="99"/>
      <c r="HH18" s="97">
        <f t="shared" si="9"/>
        <v>5</v>
      </c>
      <c r="HI18" s="97">
        <f t="shared" si="10"/>
        <v>7</v>
      </c>
      <c r="HJ18" s="90">
        <f t="shared" si="11"/>
        <v>12</v>
      </c>
      <c r="HK18" s="99"/>
      <c r="HL18" s="97">
        <f t="shared" si="12"/>
        <v>4</v>
      </c>
      <c r="HM18" s="97">
        <f t="shared" si="13"/>
        <v>3</v>
      </c>
      <c r="HN18" s="90">
        <f t="shared" si="14"/>
        <v>7</v>
      </c>
      <c r="HO18" s="99"/>
      <c r="HP18" s="97">
        <f t="shared" si="15"/>
        <v>5</v>
      </c>
      <c r="HQ18" s="97">
        <f t="shared" si="16"/>
        <v>8</v>
      </c>
      <c r="HR18" s="90">
        <f t="shared" si="17"/>
        <v>13</v>
      </c>
      <c r="HS18" s="99"/>
      <c r="HT18" s="97">
        <f t="shared" si="18"/>
        <v>7</v>
      </c>
      <c r="HU18" s="97">
        <f t="shared" si="19"/>
        <v>7</v>
      </c>
      <c r="HV18" s="90">
        <f t="shared" si="20"/>
        <v>14</v>
      </c>
      <c r="HW18" s="99"/>
      <c r="HX18" s="97">
        <f t="shared" si="21"/>
        <v>4</v>
      </c>
      <c r="HY18" s="97">
        <f t="shared" si="22"/>
        <v>3</v>
      </c>
      <c r="HZ18" s="90">
        <f t="shared" si="23"/>
        <v>7</v>
      </c>
      <c r="IA18" s="99"/>
      <c r="IB18" s="97">
        <f t="shared" si="24"/>
        <v>4</v>
      </c>
      <c r="IC18" s="97">
        <f t="shared" si="25"/>
        <v>8</v>
      </c>
      <c r="ID18" s="90">
        <f t="shared" si="26"/>
        <v>12</v>
      </c>
      <c r="IE18" s="99"/>
      <c r="IF18" s="97">
        <f t="shared" si="27"/>
        <v>2</v>
      </c>
      <c r="IG18" s="97">
        <f t="shared" si="28"/>
        <v>6</v>
      </c>
      <c r="IH18" s="90">
        <f t="shared" si="29"/>
        <v>8</v>
      </c>
      <c r="II18" s="99"/>
      <c r="IJ18" s="97">
        <f t="shared" si="30"/>
        <v>3</v>
      </c>
      <c r="IK18" s="97">
        <f t="shared" si="31"/>
        <v>2</v>
      </c>
      <c r="IL18" s="90">
        <f t="shared" si="32"/>
        <v>5</v>
      </c>
      <c r="IM18" s="99"/>
      <c r="IN18" s="97">
        <f t="shared" si="33"/>
        <v>1</v>
      </c>
      <c r="IO18" s="97">
        <f t="shared" si="34"/>
        <v>3</v>
      </c>
      <c r="IP18" s="90">
        <f t="shared" si="35"/>
        <v>4</v>
      </c>
      <c r="IQ18" s="99"/>
      <c r="IR18" s="99"/>
      <c r="IS18" s="100">
        <f t="shared" si="36"/>
        <v>12</v>
      </c>
      <c r="IT18" s="100">
        <f t="shared" si="37"/>
        <v>12</v>
      </c>
      <c r="IU18" s="100">
        <f t="shared" si="38"/>
        <v>7</v>
      </c>
      <c r="IV18" s="100">
        <f t="shared" si="39"/>
        <v>13</v>
      </c>
      <c r="IW18" s="100">
        <f t="shared" si="40"/>
        <v>14</v>
      </c>
      <c r="IX18" s="100">
        <f t="shared" si="41"/>
        <v>7</v>
      </c>
      <c r="IY18" s="100">
        <f t="shared" si="42"/>
        <v>12</v>
      </c>
      <c r="IZ18" s="100">
        <f t="shared" si="43"/>
        <v>8</v>
      </c>
      <c r="JA18" s="100">
        <f t="shared" si="44"/>
        <v>5</v>
      </c>
      <c r="JB18" s="101">
        <f t="shared" si="45"/>
        <v>4</v>
      </c>
      <c r="JC18" s="102">
        <f t="shared" si="46"/>
        <v>94</v>
      </c>
      <c r="JD18" s="67">
        <f t="shared" si="50"/>
        <v>0</v>
      </c>
      <c r="JE18" s="67">
        <f t="shared" si="47"/>
        <v>1</v>
      </c>
      <c r="JF18" s="67">
        <f t="shared" si="48"/>
        <v>1</v>
      </c>
    </row>
    <row r="19">
      <c r="A19" s="103">
        <f>IFERROR(__xludf.DUMMYFUNCTION("""COMPUTED_VALUE"""),45921.45151396991)</f>
        <v>45921.45151</v>
      </c>
      <c r="B19" s="95" t="str">
        <f>IFERROR(__xludf.DUMMYFUNCTION("""COMPUTED_VALUE"""),"Muhamad Usman Ali")</f>
        <v>Muhamad Usman Ali</v>
      </c>
      <c r="C19" s="96" t="str">
        <f>IFERROR(__xludf.DUMMYFUNCTION("""COMPUTED_VALUE"""),"A250018")</f>
        <v>A250018</v>
      </c>
      <c r="D19" s="96" t="str">
        <f>IFERROR(__xludf.DUMMYFUNCTION("""COMPUTED_VALUE"""),"MTs Putra")</f>
        <v>MTs Putra</v>
      </c>
      <c r="E19" s="96" t="str">
        <f>IFERROR(__xludf.DUMMYFUNCTION("""COMPUTED_VALUE"""),"Ya")</f>
        <v>Ya</v>
      </c>
      <c r="F19" s="95" t="str">
        <f>IFERROR(__xludf.DUMMYFUNCTION("""COMPUTED_VALUE"""),"B Saya ingin melakukan apa saja sebaik mungkin.")</f>
        <v>B Saya ingin melakukan apa saja sebaik mungkin.</v>
      </c>
      <c r="G19" s="95" t="str">
        <f>IFERROR(__xludf.DUMMYFUNCTION("""COMPUTED_VALUE"""),"A Saya ingin setiap tulisan saya teliti, rapi, dan tersusun dengan baik.")</f>
        <v>A Saya ingin setiap tulisan saya teliti, rapi, dan tersusun dengan baik.</v>
      </c>
      <c r="H19" s="95" t="str">
        <f>IFERROR(__xludf.DUMMYFUNCTION("""COMPUTED_VALUE"""),"B Saya ingin menjadi orang yang diakui dalam suatu pekerjaan atau bidang khusus.")</f>
        <v>B Saya ingin menjadi orang yang diakui dalam suatu pekerjaan atau bidang khusus.</v>
      </c>
      <c r="I19" s="95" t="str">
        <f>IFERROR(__xludf.DUMMYFUNCTION("""COMPUTED_VALUE"""),"A Saya suka belajar keras pada tiap pelajaran yang saya hadapi.")</f>
        <v>A Saya suka belajar keras pada tiap pelajaran yang saya hadapi.</v>
      </c>
      <c r="J19" s="95" t="str">
        <f>IFERROR(__xludf.DUMMYFUNCTION("""COMPUTED_VALUE"""),"A Saya suka membantu teman-teman saya apabila mereka mengalami kesulitan.")</f>
        <v>A Saya suka membantu teman-teman saya apabila mereka mengalami kesulitan.</v>
      </c>
      <c r="K19" s="95" t="str">
        <f>IFERROR(__xludf.DUMMYFUNCTION("""COMPUTED_VALUE"""),"B Saya ingin mengatakan telah melakukan dengan baik sesuatu tugas yang sulit.")</f>
        <v>B Saya ingin mengatakan telah melakukan dengan baik sesuatu tugas yang sulit.</v>
      </c>
      <c r="L19" s="95" t="str">
        <f>IFERROR(__xludf.DUMMYFUNCTION("""COMPUTED_VALUE"""),"B Saya ingin mengatakan telah melakukan dengan baik sesuatu tugas yang sulit")</f>
        <v>B Saya ingin mengatakan telah melakukan dengan baik sesuatu tugas yang sulit</v>
      </c>
      <c r="M19" s="95" t="str">
        <f>IFERROR(__xludf.DUMMYFUNCTION("""COMPUTED_VALUE"""),"A Saya suka berbicara tentang hal-hal yang telah berhasil saya lakukan.")</f>
        <v>A Saya suka berbicara tentang hal-hal yang telah berhasil saya lakukan.</v>
      </c>
      <c r="N19" s="95" t="str">
        <f>IFERROR(__xludf.DUMMYFUNCTION("""COMPUTED_VALUE"""),"B Saya suka memecahkan persoalan yang sukar bagi orang lain.")</f>
        <v>B Saya suka memecahkan persoalan yang sukar bagi orang lain.</v>
      </c>
      <c r="O19" s="95" t="str">
        <f>IFERROR(__xludf.DUMMYFUNCTION("""COMPUTED_VALUE"""),"B Saya suka melakukan tugas sebaik mungkin.")</f>
        <v>B Saya suka melakukan tugas sebaik mungkin.</v>
      </c>
      <c r="P19" s="95" t="str">
        <f>IFERROR(__xludf.DUMMYFUNCTION("""COMPUTED_VALUE"""),"A Saya suka bercerita tentang hal-hal yang menegangkan atau menantang.")</f>
        <v>A Saya suka bercerita tentang hal-hal yang menegangkan atau menantang.</v>
      </c>
      <c r="Q19" s="95" t="str">
        <f>IFERROR(__xludf.DUMMYFUNCTION("""COMPUTED_VALUE"""),"B Saya merencanakan keperluan yang dibutuhkan sebelum bepergian.")</f>
        <v>B Saya merencanakan keperluan yang dibutuhkan sebelum bepergian.</v>
      </c>
      <c r="R19" s="95" t="str">
        <f>IFERROR(__xludf.DUMMYFUNCTION("""COMPUTED_VALUE"""),"B Saya suka barang-barang saya tersusun rapi dan teratur.")</f>
        <v>B Saya suka barang-barang saya tersusun rapi dan teratur.</v>
      </c>
      <c r="S19" s="95" t="str">
        <f>IFERROR(__xludf.DUMMYFUNCTION("""COMPUTED_VALUE"""),"B Saya suka membuat perencanaan sebelum memulai tugas yang sulit.")</f>
        <v>B Saya suka membuat perencanaan sebelum memulai tugas yang sulit.</v>
      </c>
      <c r="T19" s="95" t="str">
        <f>IFERROR(__xludf.DUMMYFUNCTION("""COMPUTED_VALUE"""),"B Saya ingin agar hidup saya teratur sesuai cita-cita saya.")</f>
        <v>B Saya ingin agar hidup saya teratur sesuai cita-cita saya.</v>
      </c>
      <c r="U19" s="95" t="str">
        <f>IFERROR(__xludf.DUMMYFUNCTION("""COMPUTED_VALUE"""),"A Saya suka memberikan bantuan kepada teman-teman saya.")</f>
        <v>A Saya suka memberikan bantuan kepada teman-teman saya.</v>
      </c>
      <c r="V19" s="95" t="str">
        <f>IFERROR(__xludf.DUMMYFUNCTION("""COMPUTED_VALUE"""),"B Saya suka belajar saya teratur dan ada waktu-waktu tertentu untuk belajar.")</f>
        <v>B Saya suka belajar saya teratur dan ada waktu-waktu tertentu untuk belajar.</v>
      </c>
      <c r="W19" s="95" t="str">
        <f>IFERROR(__xludf.DUMMYFUNCTION("""COMPUTED_VALUE"""),"A Saya suka melakukan kegiatan sesuai kondisi yang saya inginkan.")</f>
        <v>A Saya suka melakukan kegiatan sesuai kondisi yang saya inginkan.</v>
      </c>
      <c r="X19" s="95" t="str">
        <f>IFERROR(__xludf.DUMMYFUNCTION("""COMPUTED_VALUE"""),"A Saya suka merencanakan dan mengatur setiap apa yang harus saya lakukan.")</f>
        <v>A Saya suka merencanakan dan mengatur setiap apa yang harus saya lakukan.</v>
      </c>
      <c r="Y19" s="95" t="str">
        <f>IFERROR(__xludf.DUMMYFUNCTION("""COMPUTED_VALUE"""),"B Saya senang merencanakan untuk masa depan.")</f>
        <v>B Saya senang merencanakan untuk masa depan.</v>
      </c>
      <c r="Z19" s="95" t="str">
        <f>IFERROR(__xludf.DUMMYFUNCTION("""COMPUTED_VALUE"""),"A Saya ingin berhasil dengan belajar yang saya lakukan.")</f>
        <v>A Saya ingin berhasil dengan belajar yang saya lakukan.</v>
      </c>
      <c r="AA19" s="95" t="str">
        <f>IFERROR(__xludf.DUMMYFUNCTION("""COMPUTED_VALUE"""),"B Saya tidak suka pada orang yang berbuat seenaknya sendiri.")</f>
        <v>B Saya tidak suka pada orang yang berbuat seenaknya sendiri.</v>
      </c>
      <c r="AB19" s="95" t="str">
        <f>IFERROR(__xludf.DUMMYFUNCTION("""COMPUTED_VALUE"""),"A Saya ingin tidak tergantung dari orang lain terhadap apa yang akan saya lakukan.")</f>
        <v>A Saya ingin tidak tergantung dari orang lain terhadap apa yang akan saya lakukan.</v>
      </c>
      <c r="AC19" s="95" t="str">
        <f>IFERROR(__xludf.DUMMYFUNCTION("""COMPUTED_VALUE"""),"A Saya suka menyelesaikan setiap tugas meskipun membutuhkan waktu lama.")</f>
        <v>A Saya suka menyelesaikan setiap tugas meskipun membutuhkan waktu lama.</v>
      </c>
      <c r="AD19" s="95" t="str">
        <f>IFERROR(__xludf.DUMMYFUNCTION("""COMPUTED_VALUE"""),"A Saya suka bermurah hati terhadap teman-teman saya.")</f>
        <v>A Saya suka bermurah hati terhadap teman-teman saya.</v>
      </c>
      <c r="AE19" s="95" t="str">
        <f>IFERROR(__xludf.DUMMYFUNCTION("""COMPUTED_VALUE"""),"A Saya ingin dianggap sebagai pemimpin oleh teman di kelompok.")</f>
        <v>A Saya ingin dianggap sebagai pemimpin oleh teman di kelompok.</v>
      </c>
      <c r="AF19" s="95" t="str">
        <f>IFERROR(__xludf.DUMMYFUNCTION("""COMPUTED_VALUE"""),"A Saya ingin agar teman-teman mengerti bila saya mengalami kesukaran.")</f>
        <v>A Saya ingin agar teman-teman mengerti bila saya mengalami kesukaran.</v>
      </c>
      <c r="AG19" s="95" t="str">
        <f>IFERROR(__xludf.DUMMYFUNCTION("""COMPUTED_VALUE"""),"A Saya mengajari orang lain bagaimana mereka harus melakukan pekerjaan mereka.")</f>
        <v>A Saya mengajari orang lain bagaimana mereka harus melakukan pekerjaan mereka.</v>
      </c>
      <c r="AH19" s="95" t="str">
        <f>IFERROR(__xludf.DUMMYFUNCTION("""COMPUTED_VALUE"""),"B Saya ingin merasa bebas untuk melakukan apa yang saya kehendaki.")</f>
        <v>B Saya ingin merasa bebas untuk melakukan apa yang saya kehendaki.</v>
      </c>
      <c r="AI19" s="95" t="str">
        <f>IFERROR(__xludf.DUMMYFUNCTION("""COMPUTED_VALUE"""),"B Saya suka melakukan kegiatan sesuai kondisi yang saya inginkan.")</f>
        <v>B Saya suka melakukan kegiatan sesuai kondisi yang saya inginkan.</v>
      </c>
      <c r="AJ19" s="95" t="str">
        <f>IFERROR(__xludf.DUMMYFUNCTION("""COMPUTED_VALUE"""),"B Saya suka bertahan menghadapi satu masalah meskipun belum tentu berhasil.")</f>
        <v>B Saya suka bertahan menghadapi satu masalah meskipun belum tentu berhasil.</v>
      </c>
      <c r="AK19" s="95" t="str">
        <f>IFERROR(__xludf.DUMMYFUNCTION("""COMPUTED_VALUE"""),"B Bila saya harus melakukan suatu tugas, saya ingin mengerjakan sampai selesai.")</f>
        <v>B Bila saya harus melakukan suatu tugas, saya ingin mengerjakan sampai selesai.</v>
      </c>
      <c r="AL19" s="95" t="str">
        <f>IFERROR(__xludf.DUMMYFUNCTION("""COMPUTED_VALUE"""),"B Saya ingin menghindarkan gangguan bila saya sedang belajar.")</f>
        <v>B Saya ingin menghindarkan gangguan bila saya sedang belajar.</v>
      </c>
      <c r="AM19" s="95" t="str">
        <f>IFERROR(__xludf.DUMMYFUNCTION("""COMPUTED_VALUE"""),"B Saya suka belajar sampai malam untuk menyelesaikan suatu tugas.")</f>
        <v>B Saya suka belajar sampai malam untuk menyelesaikan suatu tugas.</v>
      </c>
      <c r="AN19" s="95" t="str">
        <f>IFERROR(__xludf.DUMMYFUNCTION("""COMPUTED_VALUE"""),"A Saya tidak suka pada orang yang semena-mena.")</f>
        <v>A Saya tidak suka pada orang yang semena-mena.</v>
      </c>
      <c r="AO19" s="95" t="str">
        <f>IFERROR(__xludf.DUMMYFUNCTION("""COMPUTED_VALUE"""),"A Saya suka berlaku sangat ramah terhadap teman-teman saya.")</f>
        <v>A Saya suka berlaku sangat ramah terhadap teman-teman saya.</v>
      </c>
      <c r="AP19" s="95" t="str">
        <f>IFERROR(__xludf.DUMMYFUNCTION("""COMPUTED_VALUE"""),"B Saya suka bertahan menghadapi satu masalah meskipun belum tentu berhasil.")</f>
        <v>B Saya suka bertahan menghadapi satu masalah meskipun belum tentu berhasil.</v>
      </c>
      <c r="AQ19" s="95" t="str">
        <f>IFERROR(__xludf.DUMMYFUNCTION("""COMPUTED_VALUE"""),"B Bila saya harus melakukan suatu tugas, saya ingin mengerjakan sampai selesai.")</f>
        <v>B Bila saya harus melakukan suatu tugas, saya ingin mengerjakan sampai selesai.</v>
      </c>
      <c r="AR19" s="95" t="str">
        <f>IFERROR(__xludf.DUMMYFUNCTION("""COMPUTED_VALUE"""),"B Saya suka belajar keras pada tiap pelajaran yang saya hadapi.")</f>
        <v>B Saya suka belajar keras pada tiap pelajaran yang saya hadapi.</v>
      </c>
      <c r="AS19" s="95" t="str">
        <f>IFERROR(__xludf.DUMMYFUNCTION("""COMPUTED_VALUE"""),"A Saya ingin dapat menyelesaikan persoalan yang dianggap sukar bagi orang lain.")</f>
        <v>A Saya ingin dapat menyelesaikan persoalan yang dianggap sukar bagi orang lain.</v>
      </c>
      <c r="AT19" s="95" t="str">
        <f>IFERROR(__xludf.DUMMYFUNCTION("""COMPUTED_VALUE"""),"A Saya ingin bisa melakukan dengan baik sesuatu pekerjaan sulit.")</f>
        <v>A Saya ingin bisa melakukan dengan baik sesuatu pekerjaan sulit.</v>
      </c>
      <c r="AU19" s="95" t="str">
        <f>IFERROR(__xludf.DUMMYFUNCTION("""COMPUTED_VALUE"""),"B Saya suka bermurah hati terhadap teman-teman saya.")</f>
        <v>B Saya suka bermurah hati terhadap teman-teman saya.</v>
      </c>
      <c r="AV19" s="95" t="str">
        <f>IFERROR(__xludf.DUMMYFUNCTION("""COMPUTED_VALUE"""),"B Saya suka menolong teman-teman saya.")</f>
        <v>B Saya suka menolong teman-teman saya.</v>
      </c>
      <c r="AW19" s="95" t="str">
        <f>IFERROR(__xludf.DUMMYFUNCTION("""COMPUTED_VALUE"""),"B Saya ingin teman-teman saya percaya bahwa saya bisa menolong mereka.")</f>
        <v>B Saya ingin teman-teman saya percaya bahwa saya bisa menolong mereka.</v>
      </c>
      <c r="AX19" s="95" t="str">
        <f>IFERROR(__xludf.DUMMYFUNCTION("""COMPUTED_VALUE"""),"B Saya suka memaafkan teman-teman saya yang menyakiti hati saya.")</f>
        <v>B Saya suka memaafkan teman-teman saya yang menyakiti hati saya.</v>
      </c>
      <c r="AY19" s="95" t="str">
        <f>IFERROR(__xludf.DUMMYFUNCTION("""COMPUTED_VALUE"""),"B Saya suka menolong teman-teman saya apabila mereka dalam kesulitan.")</f>
        <v>B Saya suka menolong teman-teman saya apabila mereka dalam kesulitan.</v>
      </c>
      <c r="AZ19" s="95" t="str">
        <f>IFERROR(__xludf.DUMMYFUNCTION("""COMPUTED_VALUE"""),"B Saya suka menunjukkan simpati saya kepada teman-teman saya.")</f>
        <v>B Saya suka menunjukkan simpati saya kepada teman-teman saya.</v>
      </c>
      <c r="BA19" s="95" t="str">
        <f>IFERROR(__xludf.DUMMYFUNCTION("""COMPUTED_VALUE"""),"B Saya suka memperlakukan orang lain dengan baik dan ramah.")</f>
        <v>B Saya suka memperlakukan orang lain dengan baik dan ramah.</v>
      </c>
      <c r="BB19" s="95" t="str">
        <f>IFERROR(__xludf.DUMMYFUNCTION("""COMPUTED_VALUE"""),"B Saya suka bermurah hati terhadap teman-teman saya.")</f>
        <v>B Saya suka bermurah hati terhadap teman-teman saya.</v>
      </c>
      <c r="BC19" s="95" t="str">
        <f>IFERROR(__xludf.DUMMYFUNCTION("""COMPUTED_VALUE"""),"B Saya suka membantu orang lain yang menurut saya perlu dikasihani.")</f>
        <v>B Saya suka membantu orang lain yang menurut saya perlu dikasihani.</v>
      </c>
      <c r="BD19" s="95" t="str">
        <f>IFERROR(__xludf.DUMMYFUNCTION("""COMPUTED_VALUE"""),"B Saya suka bersikukuh dengan pendirian saya.")</f>
        <v>B Saya suka bersikukuh dengan pendirian saya.</v>
      </c>
      <c r="BE19" s="95" t="str">
        <f>IFERROR(__xludf.DUMMYFUNCTION("""COMPUTED_VALUE"""),"A Saya suka mendengarkan atau menceritakan hal-hal yang sebaiknya tidak diceritakan.")</f>
        <v>A Saya suka mendengarkan atau menceritakan hal-hal yang sebaiknya tidak diceritakan.</v>
      </c>
      <c r="BF19" s="95" t="str">
        <f>IFERROR(__xludf.DUMMYFUNCTION("""COMPUTED_VALUE"""),"A Saya ingin orang lain memperhatikan dan berkomentar tentang penampilan saya.")</f>
        <v>A Saya ingin orang lain memperhatikan dan berkomentar tentang penampilan saya.</v>
      </c>
      <c r="BG19" s="95" t="str">
        <f>IFERROR(__xludf.DUMMYFUNCTION("""COMPUTED_VALUE"""),"B Saya suka mengarahkan kepada orang lain apa yang harus dilakukan.")</f>
        <v>B Saya suka mengarahkan kepada orang lain apa yang harus dilakukan.</v>
      </c>
      <c r="BH19" s="95" t="str">
        <f>IFERROR(__xludf.DUMMYFUNCTION("""COMPUTED_VALUE"""),"B Apabila saya berkumpul dalam kelompok, saya ingin dihargai teman-teman.")</f>
        <v>B Apabila saya berkumpul dalam kelompok, saya ingin dihargai teman-teman.</v>
      </c>
      <c r="BI19" s="95" t="str">
        <f>IFERROR(__xludf.DUMMYFUNCTION("""COMPUTED_VALUE"""),"A Saya suka bermurah hati terhadap teman-teman saya.")</f>
        <v>A Saya suka bermurah hati terhadap teman-teman saya.</v>
      </c>
      <c r="BJ19" s="95" t="str">
        <f>IFERROR(__xludf.DUMMYFUNCTION("""COMPUTED_VALUE"""),"A Saya ingin mengerjakan tugas sampai selesai.")</f>
        <v>A Saya ingin mengerjakan tugas sampai selesai.</v>
      </c>
      <c r="BK19" s="95" t="str">
        <f>IFERROR(__xludf.DUMMYFUNCTION("""COMPUTED_VALUE"""),"B Saya senang untuk diminta menyelesaikan pertentangan-pertentangan.")</f>
        <v>B Saya senang untuk diminta menyelesaikan pertentangan-pertentangan.</v>
      </c>
      <c r="BL19" s="95" t="str">
        <f>IFERROR(__xludf.DUMMYFUNCTION("""COMPUTED_VALUE"""),"A Saya suka belajar saya teratur dan ada waktu-waktu tertentu untuk belajar.")</f>
        <v>A Saya suka belajar saya teratur dan ada waktu-waktu tertentu untuk belajar.</v>
      </c>
      <c r="BM19" s="95" t="str">
        <f>IFERROR(__xludf.DUMMYFUNCTION("""COMPUTED_VALUE"""),"A Saya suka melakukan pekerjaan sebaik mungkin.")</f>
        <v>A Saya suka melakukan pekerjaan sebaik mungkin.</v>
      </c>
      <c r="BN19" s="95" t="str">
        <f>IFERROR(__xludf.DUMMYFUNCTION("""COMPUTED_VALUE"""),"B Saya ingin teman-teman memberi dorongan bila saya menghadapi kegagalan.")</f>
        <v>B Saya ingin teman-teman memberi dorongan bila saya menghadapi kegagalan.</v>
      </c>
      <c r="BO19" s="95" t="str">
        <f>IFERROR(__xludf.DUMMYFUNCTION("""COMPUTED_VALUE"""),"B Saya ingin diperlakukan dengan baik oleh teman-teman saya.")</f>
        <v>B Saya ingin diperlakukan dengan baik oleh teman-teman saya.</v>
      </c>
      <c r="BP19" s="95" t="str">
        <f>IFERROR(__xludf.DUMMYFUNCTION("""COMPUTED_VALUE"""),"A Saya ingin menyelesaikan sesuatu yang sangat penting artinya.")</f>
        <v>A Saya ingin menyelesaikan sesuatu yang sangat penting artinya.</v>
      </c>
      <c r="BQ19" s="95" t="str">
        <f>IFERROR(__xludf.DUMMYFUNCTION("""COMPUTED_VALUE"""),"A Saya ingin mengerjakannya tugas sampai selesai.")</f>
        <v>A Saya ingin mengerjakannya tugas sampai selesai.</v>
      </c>
      <c r="BR19" s="95" t="str">
        <f>IFERROR(__xludf.DUMMYFUNCTION("""COMPUTED_VALUE"""),"A Saya suka memaafkan teman-teman saya yang menyakiti hati saya.")</f>
        <v>A Saya suka memaafkan teman-teman saya yang menyakiti hati saya.</v>
      </c>
      <c r="BS19" s="95" t="str">
        <f>IFERROR(__xludf.DUMMYFUNCTION("""COMPUTED_VALUE"""),"B Saya ingin teman-teman saya membantu saya bila saya mengalami kesulitan")</f>
        <v>B Saya ingin teman-teman saya membantu saya bila saya mengalami kesulitan</v>
      </c>
      <c r="BT19" s="95" t="str">
        <f>IFERROR(__xludf.DUMMYFUNCTION("""COMPUTED_VALUE"""),"B Saya ingin teman-teman banyak menunjukkan rasa sayang mereka terhadap saya.")</f>
        <v>B Saya ingin teman-teman banyak menunjukkan rasa sayang mereka terhadap saya.</v>
      </c>
      <c r="BU19" s="95" t="str">
        <f>IFERROR(__xludf.DUMMYFUNCTION("""COMPUTED_VALUE"""),"A Saya kadang-kadang suka melakukan hal-hal yang dapat dipuji oleh orang lain.")</f>
        <v>A Saya kadang-kadang suka melakukan hal-hal yang dapat dipuji oleh orang lain.</v>
      </c>
      <c r="BV19" s="95" t="str">
        <f>IFERROR(__xludf.DUMMYFUNCTION("""COMPUTED_VALUE"""),"B Saya ingin teman-teman dengan gembira memberikan pertolongan kepada saya.")</f>
        <v>B Saya ingin teman-teman dengan gembira memberikan pertolongan kepada saya.</v>
      </c>
      <c r="BW19" s="95" t="str">
        <f>IFERROR(__xludf.DUMMYFUNCTION("""COMPUTED_VALUE"""),"B Saya ingin diperlakukan dengan baik oleh teman-teman saya.")</f>
        <v>B Saya ingin diperlakukan dengan baik oleh teman-teman saya.</v>
      </c>
      <c r="BX19" s="95" t="str">
        <f>IFERROR(__xludf.DUMMYFUNCTION("""COMPUTED_VALUE"""),"B Saya kadang-kadang suka melakukan hal-hal yang dapat dipuji oleh orang lain.")</f>
        <v>B Saya kadang-kadang suka melakukan hal-hal yang dapat dipuji oleh orang lain.</v>
      </c>
      <c r="BY19" s="95" t="str">
        <f>IFERROR(__xludf.DUMMYFUNCTION("""COMPUTED_VALUE"""),"B Saya ingin orang lain memperhatikan dan berkomentar tentang penampilan saya.")</f>
        <v>B Saya ingin orang lain memperhatikan dan berkomentar tentang penampilan saya.</v>
      </c>
      <c r="BZ19" s="95" t="str">
        <f>IFERROR(__xludf.DUMMYFUNCTION("""COMPUTED_VALUE"""),"B Saya suka diperhatikan, apabila saya ada di dalam suatu kelompok.")</f>
        <v>B Saya suka diperhatikan, apabila saya ada di dalam suatu kelompok.</v>
      </c>
      <c r="CA19" s="95" t="str">
        <f>IFERROR(__xludf.DUMMYFUNCTION("""COMPUTED_VALUE"""),"A Saya ingin teman-teman dengan gembira memberikan pertolongan kepada saya.")</f>
        <v>A Saya ingin teman-teman dengan gembira memberikan pertolongan kepada saya.</v>
      </c>
      <c r="CB19" s="95" t="str">
        <f>IFERROR(__xludf.DUMMYFUNCTION("""COMPUTED_VALUE"""),"B Saya suka berbicara tentang hal-hal yang telah saya capai.")</f>
        <v>B Saya suka berbicara tentang hal-hal yang telah saya capai.</v>
      </c>
      <c r="CC19" s="95" t="str">
        <f>IFERROR(__xludf.DUMMYFUNCTION("""COMPUTED_VALUE"""),"A Apabila saya berkumpul dalam kelompok, saya ingin dihargai teman-teman.")</f>
        <v>A Apabila saya berkumpul dalam kelompok, saya ingin dihargai teman-teman.</v>
      </c>
      <c r="CD19" s="95" t="str">
        <f>IFERROR(__xludf.DUMMYFUNCTION("""COMPUTED_VALUE"""),"A Saya suka menyelesaikan setiap tugas meskipun membutuhkan waktu lama.")</f>
        <v>A Saya suka menyelesaikan setiap tugas meskipun membutuhkan waktu lama.</v>
      </c>
      <c r="CE19" s="95" t="str">
        <f>IFERROR(__xludf.DUMMYFUNCTION("""COMPUTED_VALUE"""),"B Saya kadang-kadang suka melakukan hal-hal yang dapat dipuji oleh orang lain.")</f>
        <v>B Saya kadang-kadang suka melakukan hal-hal yang dapat dipuji oleh orang lain.</v>
      </c>
      <c r="CF19" s="95" t="str">
        <f>IFERROR(__xludf.DUMMYFUNCTION("""COMPUTED_VALUE"""),"A Saya ingin agar hidup saya teratur sesuai cita-cita saya.")</f>
        <v>A Saya ingin agar hidup saya teratur sesuai cita-cita saya.</v>
      </c>
      <c r="CG19" s="95" t="str">
        <f>IFERROR(__xludf.DUMMYFUNCTION("""COMPUTED_VALUE"""),"A Saya ingin berhasil dalam apa yang saya lakukan.")</f>
        <v>A Saya ingin berhasil dalam apa yang saya lakukan.</v>
      </c>
      <c r="CH19" s="95" t="str">
        <f>IFERROR(__xludf.DUMMYFUNCTION("""COMPUTED_VALUE"""),"A Saya ingin bisa melakukan dengan baik sesuatu pekerjaan sulit.")</f>
        <v>A Saya ingin bisa melakukan dengan baik sesuatu pekerjaan sulit.</v>
      </c>
      <c r="CI19" s="95" t="str">
        <f>IFERROR(__xludf.DUMMYFUNCTION("""COMPUTED_VALUE"""),"A Saya suka belajar saya teratur dan ada waktu-waktu tertentu untuk belajar.")</f>
        <v>A Saya suka belajar saya teratur dan ada waktu-waktu tertentu untuk belajar.</v>
      </c>
      <c r="CJ19" s="95" t="str">
        <f>IFERROR(__xludf.DUMMYFUNCTION("""COMPUTED_VALUE"""),"A Saya ingin tidak tergantung dari orang lain terhadap apa yang akan saya lakukan.")</f>
        <v>A Saya ingin tidak tergantung dari orang lain terhadap apa yang akan saya lakukan.</v>
      </c>
      <c r="CK19" s="95" t="str">
        <f>IFERROR(__xludf.DUMMYFUNCTION("""COMPUTED_VALUE"""),"A Saya suka bertahan menghadapi satu masalah, meskipun belum tentu berhasil.")</f>
        <v>A Saya suka bertahan menghadapi satu masalah, meskipun belum tentu berhasil.</v>
      </c>
      <c r="CL19" s="95" t="str">
        <f>IFERROR(__xludf.DUMMYFUNCTION("""COMPUTED_VALUE"""),"A Saya suka menolong teman-teman saya, apabila mereka dalam kesulitan.")</f>
        <v>A Saya suka menolong teman-teman saya, apabila mereka dalam kesulitan.</v>
      </c>
      <c r="CM19" s="95" t="str">
        <f>IFERROR(__xludf.DUMMYFUNCTION("""COMPUTED_VALUE"""),"B Saya merasa kagum pada seseorang.")</f>
        <v>B Saya merasa kagum pada seseorang.</v>
      </c>
      <c r="CN19" s="95" t="str">
        <f>IFERROR(__xludf.DUMMYFUNCTION("""COMPUTED_VALUE"""),"A Saya ingin diperlakukan dengan baik oleh teman-teman saya.")</f>
        <v>A Saya ingin diperlakukan dengan baik oleh teman-teman saya.</v>
      </c>
      <c r="CO19" s="95" t="str">
        <f>IFERROR(__xludf.DUMMYFUNCTION("""COMPUTED_VALUE"""),"B Saya suka memuji orang yang saya kagumi.")</f>
        <v>B Saya suka memuji orang yang saya kagumi.</v>
      </c>
      <c r="CP19" s="95" t="str">
        <f>IFERROR(__xludf.DUMMYFUNCTION("""COMPUTED_VALUE"""),"A Saya suka melamun atau membayangkan sesuatu sendirian.")</f>
        <v>A Saya suka melamun atau membayangkan sesuatu sendirian.</v>
      </c>
      <c r="CQ19" s="95" t="str">
        <f>IFERROR(__xludf.DUMMYFUNCTION("""COMPUTED_VALUE"""),"B Saya merasa kagum pada seseorang.")</f>
        <v>B Saya merasa kagum pada seseorang.</v>
      </c>
      <c r="CR19" s="95" t="str">
        <f>IFERROR(__xludf.DUMMYFUNCTION("""COMPUTED_VALUE"""),"B Saya rasanya ingin mengecam seseorang bila orang itu menjengkelkan.")</f>
        <v>B Saya rasanya ingin mengecam seseorang bila orang itu menjengkelkan.</v>
      </c>
      <c r="CS19" s="95" t="str">
        <f>IFERROR(__xludf.DUMMYFUNCTION("""COMPUTED_VALUE"""),"A Saya ingin terlihat menarik di depan teman-teman saya.")</f>
        <v>A Saya ingin terlihat menarik di depan teman-teman saya.</v>
      </c>
      <c r="CT19" s="95" t="str">
        <f>IFERROR(__xludf.DUMMYFUNCTION("""COMPUTED_VALUE"""),"A Saya ingin orang-orang memperhatikan komentar mengenai penampilan saya.")</f>
        <v>A Saya ingin orang-orang memperhatikan komentar mengenai penampilan saya.</v>
      </c>
      <c r="CU19" s="95" t="str">
        <f>IFERROR(__xludf.DUMMYFUNCTION("""COMPUTED_VALUE"""),"A Saya ingin diperlakukan dengan ramah oleh teman-teman saya.")</f>
        <v>A Saya ingin diperlakukan dengan ramah oleh teman-teman saya.</v>
      </c>
      <c r="CV19" s="95" t="str">
        <f>IFERROR(__xludf.DUMMYFUNCTION("""COMPUTED_VALUE"""),"A Saya ingin ditunjuk atau dipilih sebagai ketua dalam suatu kelompok.")</f>
        <v>A Saya ingin ditunjuk atau dipilih sebagai ketua dalam suatu kelompok.</v>
      </c>
      <c r="CW19" s="95" t="str">
        <f>IFERROR(__xludf.DUMMYFUNCTION("""COMPUTED_VALUE"""),"A Saya suka menolong teman-teman saya, apabila mereka dalam kesulitan.")</f>
        <v>A Saya suka menolong teman-teman saya, apabila mereka dalam kesulitan.</v>
      </c>
      <c r="CX19" s="95" t="str">
        <f>IFERROR(__xludf.DUMMYFUNCTION("""COMPUTED_VALUE"""),"A Saya suka belajar sampai malam untuk menyelesaikan suatu tugas.")</f>
        <v>A Saya suka belajar sampai malam untuk menyelesaikan suatu tugas.</v>
      </c>
      <c r="CY19" s="95" t="str">
        <f>IFERROR(__xludf.DUMMYFUNCTION("""COMPUTED_VALUE"""),"A Saya ingin tidak tergantung dari orang lain terhadap apa yang akan saya lakukan.")</f>
        <v>A Saya ingin tidak tergantung dari orang lain terhadap apa yang akan saya lakukan.</v>
      </c>
      <c r="CZ19" s="95" t="str">
        <f>IFERROR(__xludf.DUMMYFUNCTION("""COMPUTED_VALUE"""),"A Saya suka merencanakan dan mengatur setiap pekerjaan yang harus saya lakukan.")</f>
        <v>A Saya suka merencanakan dan mengatur setiap pekerjaan yang harus saya lakukan.</v>
      </c>
      <c r="DA19" s="95" t="str">
        <f>IFERROR(__xludf.DUMMYFUNCTION("""COMPUTED_VALUE"""),"A Saya ingin melakukan apa saja sebaik mungkin.")</f>
        <v>A Saya ingin melakukan apa saja sebaik mungkin.</v>
      </c>
      <c r="DB19" s="89" t="s">
        <v>23</v>
      </c>
      <c r="DC19" s="97" t="str">
        <f t="shared" ref="DC19:GX19" si="64">LEFT(F19,1)</f>
        <v>B</v>
      </c>
      <c r="DD19" s="97" t="str">
        <f t="shared" si="64"/>
        <v>A</v>
      </c>
      <c r="DE19" s="97" t="str">
        <f t="shared" si="64"/>
        <v>B</v>
      </c>
      <c r="DF19" s="97" t="str">
        <f t="shared" si="64"/>
        <v>A</v>
      </c>
      <c r="DG19" s="97" t="str">
        <f t="shared" si="64"/>
        <v>A</v>
      </c>
      <c r="DH19" s="97" t="str">
        <f t="shared" si="64"/>
        <v>B</v>
      </c>
      <c r="DI19" s="97" t="str">
        <f t="shared" si="64"/>
        <v>B</v>
      </c>
      <c r="DJ19" s="97" t="str">
        <f t="shared" si="64"/>
        <v>A</v>
      </c>
      <c r="DK19" s="97" t="str">
        <f t="shared" si="64"/>
        <v>B</v>
      </c>
      <c r="DL19" s="97" t="str">
        <f t="shared" si="64"/>
        <v>B</v>
      </c>
      <c r="DM19" s="97" t="str">
        <f t="shared" si="64"/>
        <v>A</v>
      </c>
      <c r="DN19" s="97" t="str">
        <f t="shared" si="64"/>
        <v>B</v>
      </c>
      <c r="DO19" s="97" t="str">
        <f t="shared" si="64"/>
        <v>B</v>
      </c>
      <c r="DP19" s="97" t="str">
        <f t="shared" si="64"/>
        <v>B</v>
      </c>
      <c r="DQ19" s="97" t="str">
        <f t="shared" si="64"/>
        <v>B</v>
      </c>
      <c r="DR19" s="97" t="str">
        <f t="shared" si="64"/>
        <v>A</v>
      </c>
      <c r="DS19" s="97" t="str">
        <f t="shared" si="64"/>
        <v>B</v>
      </c>
      <c r="DT19" s="97" t="str">
        <f t="shared" si="64"/>
        <v>A</v>
      </c>
      <c r="DU19" s="97" t="str">
        <f t="shared" si="64"/>
        <v>A</v>
      </c>
      <c r="DV19" s="97" t="str">
        <f t="shared" si="64"/>
        <v>B</v>
      </c>
      <c r="DW19" s="97" t="str">
        <f t="shared" si="64"/>
        <v>A</v>
      </c>
      <c r="DX19" s="97" t="str">
        <f t="shared" si="64"/>
        <v>B</v>
      </c>
      <c r="DY19" s="97" t="str">
        <f t="shared" si="64"/>
        <v>A</v>
      </c>
      <c r="DZ19" s="97" t="str">
        <f t="shared" si="64"/>
        <v>A</v>
      </c>
      <c r="EA19" s="97" t="str">
        <f t="shared" si="64"/>
        <v>A</v>
      </c>
      <c r="EB19" s="97" t="str">
        <f t="shared" si="64"/>
        <v>A</v>
      </c>
      <c r="EC19" s="97" t="str">
        <f t="shared" si="64"/>
        <v>A</v>
      </c>
      <c r="ED19" s="97" t="str">
        <f t="shared" si="64"/>
        <v>A</v>
      </c>
      <c r="EE19" s="97" t="str">
        <f t="shared" si="64"/>
        <v>B</v>
      </c>
      <c r="EF19" s="97" t="str">
        <f t="shared" si="64"/>
        <v>B</v>
      </c>
      <c r="EG19" s="97" t="str">
        <f t="shared" si="64"/>
        <v>B</v>
      </c>
      <c r="EH19" s="97" t="str">
        <f t="shared" si="64"/>
        <v>B</v>
      </c>
      <c r="EI19" s="97" t="str">
        <f t="shared" si="64"/>
        <v>B</v>
      </c>
      <c r="EJ19" s="97" t="str">
        <f t="shared" si="64"/>
        <v>B</v>
      </c>
      <c r="EK19" s="97" t="str">
        <f t="shared" si="64"/>
        <v>A</v>
      </c>
      <c r="EL19" s="97" t="str">
        <f t="shared" si="64"/>
        <v>A</v>
      </c>
      <c r="EM19" s="97" t="str">
        <f t="shared" si="64"/>
        <v>B</v>
      </c>
      <c r="EN19" s="97" t="str">
        <f t="shared" si="64"/>
        <v>B</v>
      </c>
      <c r="EO19" s="97" t="str">
        <f t="shared" si="64"/>
        <v>B</v>
      </c>
      <c r="EP19" s="97" t="str">
        <f t="shared" si="64"/>
        <v>A</v>
      </c>
      <c r="EQ19" s="97" t="str">
        <f t="shared" si="64"/>
        <v>A</v>
      </c>
      <c r="ER19" s="97" t="str">
        <f t="shared" si="64"/>
        <v>B</v>
      </c>
      <c r="ES19" s="97" t="str">
        <f t="shared" si="64"/>
        <v>B</v>
      </c>
      <c r="ET19" s="97" t="str">
        <f t="shared" si="64"/>
        <v>B</v>
      </c>
      <c r="EU19" s="97" t="str">
        <f t="shared" si="64"/>
        <v>B</v>
      </c>
      <c r="EV19" s="97" t="str">
        <f t="shared" si="64"/>
        <v>B</v>
      </c>
      <c r="EW19" s="97" t="str">
        <f t="shared" si="64"/>
        <v>B</v>
      </c>
      <c r="EX19" s="97" t="str">
        <f t="shared" si="64"/>
        <v>B</v>
      </c>
      <c r="EY19" s="97" t="str">
        <f t="shared" si="64"/>
        <v>B</v>
      </c>
      <c r="EZ19" s="97" t="str">
        <f t="shared" si="64"/>
        <v>B</v>
      </c>
      <c r="FA19" s="97" t="str">
        <f t="shared" si="64"/>
        <v>B</v>
      </c>
      <c r="FB19" s="97" t="str">
        <f t="shared" si="64"/>
        <v>A</v>
      </c>
      <c r="FC19" s="97" t="str">
        <f t="shared" si="64"/>
        <v>A</v>
      </c>
      <c r="FD19" s="97" t="str">
        <f t="shared" si="64"/>
        <v>B</v>
      </c>
      <c r="FE19" s="97" t="str">
        <f t="shared" si="64"/>
        <v>B</v>
      </c>
      <c r="FF19" s="97" t="str">
        <f t="shared" si="64"/>
        <v>A</v>
      </c>
      <c r="FG19" s="97" t="str">
        <f t="shared" si="64"/>
        <v>A</v>
      </c>
      <c r="FH19" s="97" t="str">
        <f t="shared" si="64"/>
        <v>B</v>
      </c>
      <c r="FI19" s="97" t="str">
        <f t="shared" si="64"/>
        <v>A</v>
      </c>
      <c r="FJ19" s="97" t="str">
        <f t="shared" si="64"/>
        <v>A</v>
      </c>
      <c r="FK19" s="97" t="str">
        <f t="shared" si="64"/>
        <v>B</v>
      </c>
      <c r="FL19" s="97" t="str">
        <f t="shared" si="64"/>
        <v>B</v>
      </c>
      <c r="FM19" s="97" t="str">
        <f t="shared" si="64"/>
        <v>A</v>
      </c>
      <c r="FN19" s="97" t="str">
        <f t="shared" si="64"/>
        <v>A</v>
      </c>
      <c r="FO19" s="97" t="str">
        <f t="shared" si="64"/>
        <v>A</v>
      </c>
      <c r="FP19" s="97" t="str">
        <f t="shared" si="64"/>
        <v>B</v>
      </c>
      <c r="FQ19" s="97" t="str">
        <f t="shared" si="64"/>
        <v>B</v>
      </c>
      <c r="FR19" s="97" t="str">
        <f t="shared" si="64"/>
        <v>A</v>
      </c>
      <c r="FS19" s="97" t="str">
        <f t="shared" si="64"/>
        <v>B</v>
      </c>
      <c r="FT19" s="97" t="str">
        <f t="shared" si="64"/>
        <v>B</v>
      </c>
      <c r="FU19" s="97" t="str">
        <f t="shared" si="64"/>
        <v>B</v>
      </c>
      <c r="FV19" s="97" t="str">
        <f t="shared" si="64"/>
        <v>B</v>
      </c>
      <c r="FW19" s="97" t="str">
        <f t="shared" si="64"/>
        <v>B</v>
      </c>
      <c r="FX19" s="97" t="str">
        <f t="shared" si="64"/>
        <v>A</v>
      </c>
      <c r="FY19" s="97" t="str">
        <f t="shared" si="64"/>
        <v>B</v>
      </c>
      <c r="FZ19" s="97" t="str">
        <f t="shared" si="64"/>
        <v>A</v>
      </c>
      <c r="GA19" s="97" t="str">
        <f t="shared" si="64"/>
        <v>A</v>
      </c>
      <c r="GB19" s="97" t="str">
        <f t="shared" si="64"/>
        <v>B</v>
      </c>
      <c r="GC19" s="97" t="str">
        <f t="shared" si="64"/>
        <v>A</v>
      </c>
      <c r="GD19" s="97" t="str">
        <f t="shared" si="64"/>
        <v>A</v>
      </c>
      <c r="GE19" s="97" t="str">
        <f t="shared" si="64"/>
        <v>A</v>
      </c>
      <c r="GF19" s="97" t="str">
        <f t="shared" si="64"/>
        <v>A</v>
      </c>
      <c r="GG19" s="97" t="str">
        <f t="shared" si="64"/>
        <v>A</v>
      </c>
      <c r="GH19" s="97" t="str">
        <f t="shared" si="64"/>
        <v>A</v>
      </c>
      <c r="GI19" s="97" t="str">
        <f t="shared" si="64"/>
        <v>A</v>
      </c>
      <c r="GJ19" s="97" t="str">
        <f t="shared" si="64"/>
        <v>B</v>
      </c>
      <c r="GK19" s="97" t="str">
        <f t="shared" si="64"/>
        <v>A</v>
      </c>
      <c r="GL19" s="97" t="str">
        <f t="shared" si="64"/>
        <v>B</v>
      </c>
      <c r="GM19" s="97" t="str">
        <f t="shared" si="64"/>
        <v>A</v>
      </c>
      <c r="GN19" s="97" t="str">
        <f t="shared" si="64"/>
        <v>B</v>
      </c>
      <c r="GO19" s="97" t="str">
        <f t="shared" si="64"/>
        <v>B</v>
      </c>
      <c r="GP19" s="97" t="str">
        <f t="shared" si="64"/>
        <v>A</v>
      </c>
      <c r="GQ19" s="97" t="str">
        <f t="shared" si="64"/>
        <v>A</v>
      </c>
      <c r="GR19" s="97" t="str">
        <f t="shared" si="64"/>
        <v>A</v>
      </c>
      <c r="GS19" s="97" t="str">
        <f t="shared" si="64"/>
        <v>A</v>
      </c>
      <c r="GT19" s="97" t="str">
        <f t="shared" si="64"/>
        <v>A</v>
      </c>
      <c r="GU19" s="97" t="str">
        <f t="shared" si="64"/>
        <v>A</v>
      </c>
      <c r="GV19" s="97" t="str">
        <f t="shared" si="64"/>
        <v>A</v>
      </c>
      <c r="GW19" s="97" t="str">
        <f t="shared" si="64"/>
        <v>A</v>
      </c>
      <c r="GX19" s="97" t="str">
        <f t="shared" si="64"/>
        <v>A</v>
      </c>
      <c r="GY19" s="98"/>
      <c r="GZ19" s="97">
        <f t="shared" si="3"/>
        <v>50</v>
      </c>
      <c r="HA19" s="97">
        <f t="shared" si="4"/>
        <v>50</v>
      </c>
      <c r="HB19" s="90">
        <f t="shared" si="5"/>
        <v>100</v>
      </c>
      <c r="HC19" s="99"/>
      <c r="HD19" s="97">
        <f t="shared" si="6"/>
        <v>7</v>
      </c>
      <c r="HE19" s="97">
        <f t="shared" si="7"/>
        <v>5</v>
      </c>
      <c r="HF19" s="90">
        <f t="shared" si="8"/>
        <v>12</v>
      </c>
      <c r="HG19" s="99"/>
      <c r="HH19" s="97">
        <f t="shared" si="9"/>
        <v>5</v>
      </c>
      <c r="HI19" s="97">
        <f t="shared" si="10"/>
        <v>6</v>
      </c>
      <c r="HJ19" s="90">
        <f t="shared" si="11"/>
        <v>11</v>
      </c>
      <c r="HK19" s="99"/>
      <c r="HL19" s="97">
        <f t="shared" si="12"/>
        <v>4</v>
      </c>
      <c r="HM19" s="97">
        <f t="shared" si="13"/>
        <v>3</v>
      </c>
      <c r="HN19" s="90">
        <f t="shared" si="14"/>
        <v>7</v>
      </c>
      <c r="HO19" s="99"/>
      <c r="HP19" s="97">
        <f t="shared" si="15"/>
        <v>7</v>
      </c>
      <c r="HQ19" s="97">
        <f t="shared" si="16"/>
        <v>7</v>
      </c>
      <c r="HR19" s="90">
        <f t="shared" si="17"/>
        <v>14</v>
      </c>
      <c r="HS19" s="99"/>
      <c r="HT19" s="97">
        <f t="shared" si="18"/>
        <v>9</v>
      </c>
      <c r="HU19" s="97">
        <f t="shared" si="19"/>
        <v>9</v>
      </c>
      <c r="HV19" s="90">
        <f t="shared" si="20"/>
        <v>18</v>
      </c>
      <c r="HW19" s="99"/>
      <c r="HX19" s="97">
        <f t="shared" si="21"/>
        <v>3</v>
      </c>
      <c r="HY19" s="97">
        <f t="shared" si="22"/>
        <v>4</v>
      </c>
      <c r="HZ19" s="90">
        <f t="shared" si="23"/>
        <v>7</v>
      </c>
      <c r="IA19" s="99"/>
      <c r="IB19" s="97">
        <f t="shared" si="24"/>
        <v>4</v>
      </c>
      <c r="IC19" s="97">
        <f t="shared" si="25"/>
        <v>6</v>
      </c>
      <c r="ID19" s="90">
        <f t="shared" si="26"/>
        <v>10</v>
      </c>
      <c r="IE19" s="99"/>
      <c r="IF19" s="97">
        <f t="shared" si="27"/>
        <v>5</v>
      </c>
      <c r="IG19" s="97">
        <f t="shared" si="28"/>
        <v>5</v>
      </c>
      <c r="IH19" s="90">
        <f t="shared" si="29"/>
        <v>10</v>
      </c>
      <c r="II19" s="99"/>
      <c r="IJ19" s="97">
        <f t="shared" si="30"/>
        <v>2</v>
      </c>
      <c r="IK19" s="97">
        <f t="shared" si="31"/>
        <v>3</v>
      </c>
      <c r="IL19" s="90">
        <f t="shared" si="32"/>
        <v>5</v>
      </c>
      <c r="IM19" s="99"/>
      <c r="IN19" s="97">
        <f t="shared" si="33"/>
        <v>1</v>
      </c>
      <c r="IO19" s="97">
        <f t="shared" si="34"/>
        <v>1</v>
      </c>
      <c r="IP19" s="90">
        <f t="shared" si="35"/>
        <v>2</v>
      </c>
      <c r="IQ19" s="99"/>
      <c r="IR19" s="99"/>
      <c r="IS19" s="100">
        <f t="shared" si="36"/>
        <v>12</v>
      </c>
      <c r="IT19" s="100">
        <f t="shared" si="37"/>
        <v>11</v>
      </c>
      <c r="IU19" s="100">
        <f t="shared" si="38"/>
        <v>7</v>
      </c>
      <c r="IV19" s="100">
        <f t="shared" si="39"/>
        <v>14</v>
      </c>
      <c r="IW19" s="100">
        <f t="shared" si="40"/>
        <v>18</v>
      </c>
      <c r="IX19" s="100">
        <f t="shared" si="41"/>
        <v>7</v>
      </c>
      <c r="IY19" s="100">
        <f t="shared" si="42"/>
        <v>10</v>
      </c>
      <c r="IZ19" s="100">
        <f t="shared" si="43"/>
        <v>10</v>
      </c>
      <c r="JA19" s="100">
        <f t="shared" si="44"/>
        <v>5</v>
      </c>
      <c r="JB19" s="101">
        <f t="shared" si="45"/>
        <v>2</v>
      </c>
      <c r="JC19" s="102">
        <f t="shared" si="46"/>
        <v>96</v>
      </c>
      <c r="JD19" s="67">
        <f t="shared" si="50"/>
        <v>0</v>
      </c>
      <c r="JE19" s="67">
        <f t="shared" si="47"/>
        <v>2</v>
      </c>
      <c r="JF19" s="67">
        <f t="shared" si="48"/>
        <v>2</v>
      </c>
    </row>
    <row r="20">
      <c r="A20" s="103">
        <f>IFERROR(__xludf.DUMMYFUNCTION("""COMPUTED_VALUE"""),45923.72953596065)</f>
        <v>45923.72954</v>
      </c>
      <c r="B20" s="95" t="str">
        <f>IFERROR(__xludf.DUMMYFUNCTION("""COMPUTED_VALUE"""),"Faeyza Izzatul Khairy")</f>
        <v>Faeyza Izzatul Khairy</v>
      </c>
      <c r="C20" s="96" t="str">
        <f>IFERROR(__xludf.DUMMYFUNCTION("""COMPUTED_VALUE"""),"A250016")</f>
        <v>A250016</v>
      </c>
      <c r="D20" s="96" t="str">
        <f>IFERROR(__xludf.DUMMYFUNCTION("""COMPUTED_VALUE"""),"MTs Putra")</f>
        <v>MTs Putra</v>
      </c>
      <c r="E20" s="96" t="str">
        <f>IFERROR(__xludf.DUMMYFUNCTION("""COMPUTED_VALUE"""),"Ya")</f>
        <v>Ya</v>
      </c>
      <c r="F20" s="95" t="str">
        <f>IFERROR(__xludf.DUMMYFUNCTION("""COMPUTED_VALUE"""),"B Saya ingin melakukan apa saja sebaik mungkin.")</f>
        <v>B Saya ingin melakukan apa saja sebaik mungkin.</v>
      </c>
      <c r="G20" s="95" t="str">
        <f>IFERROR(__xludf.DUMMYFUNCTION("""COMPUTED_VALUE"""),"A Saya ingin setiap tulisan saya teliti, rapi, dan tersusun dengan baik.")</f>
        <v>A Saya ingin setiap tulisan saya teliti, rapi, dan tersusun dengan baik.</v>
      </c>
      <c r="H20" s="95" t="str">
        <f>IFERROR(__xludf.DUMMYFUNCTION("""COMPUTED_VALUE"""),"A Saya ingin berbuat sesuai kata hati saya.")</f>
        <v>A Saya ingin berbuat sesuai kata hati saya.</v>
      </c>
      <c r="I20" s="95" t="str">
        <f>IFERROR(__xludf.DUMMYFUNCTION("""COMPUTED_VALUE"""),"B Saya ingin bisa melakukan dengan baik meskipun tugas yang sulit.")</f>
        <v>B Saya ingin bisa melakukan dengan baik meskipun tugas yang sulit.</v>
      </c>
      <c r="J20" s="95" t="str">
        <f>IFERROR(__xludf.DUMMYFUNCTION("""COMPUTED_VALUE"""),"A Saya suka membantu teman-teman saya apabila mereka mengalami kesulitan.")</f>
        <v>A Saya suka membantu teman-teman saya apabila mereka mengalami kesulitan.</v>
      </c>
      <c r="K20" s="95" t="str">
        <f>IFERROR(__xludf.DUMMYFUNCTION("""COMPUTED_VALUE"""),"A Saya ingin menjadi pemimpin dalam suatu kelompok.")</f>
        <v>A Saya ingin menjadi pemimpin dalam suatu kelompok.</v>
      </c>
      <c r="L20" s="95" t="str">
        <f>IFERROR(__xludf.DUMMYFUNCTION("""COMPUTED_VALUE"""),"A Saya ingin menjadi pemimpin dalam suatu kelompok")</f>
        <v>A Saya ingin menjadi pemimpin dalam suatu kelompok</v>
      </c>
      <c r="M20" s="95" t="str">
        <f>IFERROR(__xludf.DUMMYFUNCTION("""COMPUTED_VALUE"""),"B Saya ingin mengerjakan segala tugas lebih baik daripada orang lain.")</f>
        <v>B Saya ingin mengerjakan segala tugas lebih baik daripada orang lain.</v>
      </c>
      <c r="N20" s="95" t="str">
        <f>IFERROR(__xludf.DUMMYFUNCTION("""COMPUTED_VALUE"""),"B Saya suka memecahkan persoalan yang sukar bagi orang lain.")</f>
        <v>B Saya suka memecahkan persoalan yang sukar bagi orang lain.</v>
      </c>
      <c r="O20" s="95" t="str">
        <f>IFERROR(__xludf.DUMMYFUNCTION("""COMPUTED_VALUE"""),"A Saya marah saat ada teman memperolok-olok hal-hal yang saya anggap bodoh.")</f>
        <v>A Saya marah saat ada teman memperolok-olok hal-hal yang saya anggap bodoh.</v>
      </c>
      <c r="P20" s="95" t="str">
        <f>IFERROR(__xludf.DUMMYFUNCTION("""COMPUTED_VALUE"""),"B Saya ingin setiap belajar itu teratur dan direncanakan.")</f>
        <v>B Saya ingin setiap belajar itu teratur dan direncanakan.</v>
      </c>
      <c r="Q20" s="95" t="str">
        <f>IFERROR(__xludf.DUMMYFUNCTION("""COMPUTED_VALUE"""),"A Saya mulai suka dengan lawan jenis.")</f>
        <v>A Saya mulai suka dengan lawan jenis.</v>
      </c>
      <c r="R20" s="95" t="str">
        <f>IFERROR(__xludf.DUMMYFUNCTION("""COMPUTED_VALUE"""),"B Saya suka barang-barang saya tersusun rapi dan teratur.")</f>
        <v>B Saya suka barang-barang saya tersusun rapi dan teratur.</v>
      </c>
      <c r="S20" s="95" t="str">
        <f>IFERROR(__xludf.DUMMYFUNCTION("""COMPUTED_VALUE"""),"B Saya suka membuat perencanaan sebelum memulai tugas yang sulit.")</f>
        <v>B Saya suka membuat perencanaan sebelum memulai tugas yang sulit.</v>
      </c>
      <c r="T20" s="95" t="str">
        <f>IFERROR(__xludf.DUMMYFUNCTION("""COMPUTED_VALUE"""),"A Saya ingin menjadi salah seorang pemimpin dalam kelompok yang saya kenal.")</f>
        <v>A Saya ingin menjadi salah seorang pemimpin dalam kelompok yang saya kenal.</v>
      </c>
      <c r="U20" s="95" t="str">
        <f>IFERROR(__xludf.DUMMYFUNCTION("""COMPUTED_VALUE"""),"A Saya suka memberikan bantuan kepada teman-teman saya.")</f>
        <v>A Saya suka memberikan bantuan kepada teman-teman saya.</v>
      </c>
      <c r="V20" s="95" t="str">
        <f>IFERROR(__xludf.DUMMYFUNCTION("""COMPUTED_VALUE"""),"B Saya suka belajar saya teratur dan ada waktu-waktu tertentu untuk belajar.")</f>
        <v>B Saya suka belajar saya teratur dan ada waktu-waktu tertentu untuk belajar.</v>
      </c>
      <c r="W20" s="95" t="str">
        <f>IFERROR(__xludf.DUMMYFUNCTION("""COMPUTED_VALUE"""),"A Saya suka melakukan kegiatan sesuai kondisi yang saya inginkan.")</f>
        <v>A Saya suka melakukan kegiatan sesuai kondisi yang saya inginkan.</v>
      </c>
      <c r="X20" s="95" t="str">
        <f>IFERROR(__xludf.DUMMYFUNCTION("""COMPUTED_VALUE"""),"A Saya suka merencanakan dan mengatur setiap apa yang harus saya lakukan.")</f>
        <v>A Saya suka merencanakan dan mengatur setiap apa yang harus saya lakukan.</v>
      </c>
      <c r="Y20" s="95" t="str">
        <f>IFERROR(__xludf.DUMMYFUNCTION("""COMPUTED_VALUE"""),"B Saya senang merencanakan untuk masa depan.")</f>
        <v>B Saya senang merencanakan untuk masa depan.</v>
      </c>
      <c r="Z20" s="95" t="str">
        <f>IFERROR(__xludf.DUMMYFUNCTION("""COMPUTED_VALUE"""),"A Saya ingin berhasil dengan belajar yang saya lakukan.")</f>
        <v>A Saya ingin berhasil dengan belajar yang saya lakukan.</v>
      </c>
      <c r="AA20" s="95" t="str">
        <f>IFERROR(__xludf.DUMMYFUNCTION("""COMPUTED_VALUE"""),"B Saya tidak suka pada orang yang berbuat seenaknya sendiri.")</f>
        <v>B Saya tidak suka pada orang yang berbuat seenaknya sendiri.</v>
      </c>
      <c r="AB20" s="95" t="str">
        <f>IFERROR(__xludf.DUMMYFUNCTION("""COMPUTED_VALUE"""),"A Saya ingin tidak tergantung dari orang lain terhadap apa yang akan saya lakukan.")</f>
        <v>A Saya ingin tidak tergantung dari orang lain terhadap apa yang akan saya lakukan.</v>
      </c>
      <c r="AC20" s="95" t="str">
        <f>IFERROR(__xludf.DUMMYFUNCTION("""COMPUTED_VALUE"""),"A Saya suka menyelesaikan setiap tugas meskipun membutuhkan waktu lama.")</f>
        <v>A Saya suka menyelesaikan setiap tugas meskipun membutuhkan waktu lama.</v>
      </c>
      <c r="AD20" s="95" t="str">
        <f>IFERROR(__xludf.DUMMYFUNCTION("""COMPUTED_VALUE"""),"B Saya suka menyatakan pendapat saya tentang berbagai hal.")</f>
        <v>B Saya suka menyatakan pendapat saya tentang berbagai hal.</v>
      </c>
      <c r="AE20" s="95" t="str">
        <f>IFERROR(__xludf.DUMMYFUNCTION("""COMPUTED_VALUE"""),"A Saya ingin dianggap sebagai pemimpin oleh teman di kelompok.")</f>
        <v>A Saya ingin dianggap sebagai pemimpin oleh teman di kelompok.</v>
      </c>
      <c r="AF20" s="95" t="str">
        <f>IFERROR(__xludf.DUMMYFUNCTION("""COMPUTED_VALUE"""),"B Saya suka melakukan hal-hal dengan cara saya sendiri.")</f>
        <v>B Saya suka melakukan hal-hal dengan cara saya sendiri.</v>
      </c>
      <c r="AG20" s="95" t="str">
        <f>IFERROR(__xludf.DUMMYFUNCTION("""COMPUTED_VALUE"""),"B Saya ingin berhasil dengan tugas yang saya lakukan.")</f>
        <v>B Saya ingin berhasil dengan tugas yang saya lakukan.</v>
      </c>
      <c r="AH20" s="95" t="str">
        <f>IFERROR(__xludf.DUMMYFUNCTION("""COMPUTED_VALUE"""),"B Saya ingin merasa bebas untuk melakukan apa yang saya kehendaki.")</f>
        <v>B Saya ingin merasa bebas untuk melakukan apa yang saya kehendaki.</v>
      </c>
      <c r="AI20" s="95" t="str">
        <f>IFERROR(__xludf.DUMMYFUNCTION("""COMPUTED_VALUE"""),"B Saya suka melakukan kegiatan sesuai kondisi yang saya inginkan.")</f>
        <v>B Saya suka melakukan kegiatan sesuai kondisi yang saya inginkan.</v>
      </c>
      <c r="AJ20" s="95" t="str">
        <f>IFERROR(__xludf.DUMMYFUNCTION("""COMPUTED_VALUE"""),"B Saya suka bertahan menghadapi satu masalah meskipun belum tentu berhasil.")</f>
        <v>B Saya suka bertahan menghadapi satu masalah meskipun belum tentu berhasil.</v>
      </c>
      <c r="AK20" s="95" t="str">
        <f>IFERROR(__xludf.DUMMYFUNCTION("""COMPUTED_VALUE"""),"B Bila saya harus melakukan suatu tugas, saya ingin mengerjakan sampai selesai.")</f>
        <v>B Bila saya harus melakukan suatu tugas, saya ingin mengerjakan sampai selesai.</v>
      </c>
      <c r="AL20" s="95" t="str">
        <f>IFERROR(__xludf.DUMMYFUNCTION("""COMPUTED_VALUE"""),"B Saya ingin menghindarkan gangguan bila saya sedang belajar.")</f>
        <v>B Saya ingin menghindarkan gangguan bila saya sedang belajar.</v>
      </c>
      <c r="AM20" s="95" t="str">
        <f>IFERROR(__xludf.DUMMYFUNCTION("""COMPUTED_VALUE"""),"B Saya suka belajar sampai malam untuk menyelesaikan suatu tugas.")</f>
        <v>B Saya suka belajar sampai malam untuk menyelesaikan suatu tugas.</v>
      </c>
      <c r="AN20" s="95" t="str">
        <f>IFERROR(__xludf.DUMMYFUNCTION("""COMPUTED_VALUE"""),"A Saya tidak suka pada orang yang semena-mena.")</f>
        <v>A Saya tidak suka pada orang yang semena-mena.</v>
      </c>
      <c r="AO20" s="95" t="str">
        <f>IFERROR(__xludf.DUMMYFUNCTION("""COMPUTED_VALUE"""),"B Saya suka menyelesaikan setiap tugas meskipun membutuhkan waktu lama.")</f>
        <v>B Saya suka menyelesaikan setiap tugas meskipun membutuhkan waktu lama.</v>
      </c>
      <c r="AP20" s="95" t="str">
        <f>IFERROR(__xludf.DUMMYFUNCTION("""COMPUTED_VALUE"""),"B Saya suka bertahan menghadapi satu masalah meskipun belum tentu berhasil.")</f>
        <v>B Saya suka bertahan menghadapi satu masalah meskipun belum tentu berhasil.</v>
      </c>
      <c r="AQ20" s="95" t="str">
        <f>IFERROR(__xludf.DUMMYFUNCTION("""COMPUTED_VALUE"""),"B Bila saya harus melakukan suatu tugas, saya ingin mengerjakan sampai selesai.")</f>
        <v>B Bila saya harus melakukan suatu tugas, saya ingin mengerjakan sampai selesai.</v>
      </c>
      <c r="AR20" s="95" t="str">
        <f>IFERROR(__xludf.DUMMYFUNCTION("""COMPUTED_VALUE"""),"B Saya suka belajar keras pada tiap pelajaran yang saya hadapi.")</f>
        <v>B Saya suka belajar keras pada tiap pelajaran yang saya hadapi.</v>
      </c>
      <c r="AS20" s="95" t="str">
        <f>IFERROR(__xludf.DUMMYFUNCTION("""COMPUTED_VALUE"""),"A Saya ingin dapat menyelesaikan persoalan yang dianggap sukar bagi orang lain.")</f>
        <v>A Saya ingin dapat menyelesaikan persoalan yang dianggap sukar bagi orang lain.</v>
      </c>
      <c r="AT20" s="95" t="str">
        <f>IFERROR(__xludf.DUMMYFUNCTION("""COMPUTED_VALUE"""),"B Saya suka membantu orang lain yang menurut saya perlu dikasihani.")</f>
        <v>B Saya suka membantu orang lain yang menurut saya perlu dikasihani.</v>
      </c>
      <c r="AU20" s="95" t="str">
        <f>IFERROR(__xludf.DUMMYFUNCTION("""COMPUTED_VALUE"""),"B Saya suka bermurah hati terhadap teman-teman saya.")</f>
        <v>B Saya suka bermurah hati terhadap teman-teman saya.</v>
      </c>
      <c r="AV20" s="95" t="str">
        <f>IFERROR(__xludf.DUMMYFUNCTION("""COMPUTED_VALUE"""),"B Saya suka menolong teman-teman saya.")</f>
        <v>B Saya suka menolong teman-teman saya.</v>
      </c>
      <c r="AW20" s="95" t="str">
        <f>IFERROR(__xludf.DUMMYFUNCTION("""COMPUTED_VALUE"""),"B Saya ingin teman-teman saya percaya bahwa saya bisa menolong mereka.")</f>
        <v>B Saya ingin teman-teman saya percaya bahwa saya bisa menolong mereka.</v>
      </c>
      <c r="AX20" s="95" t="str">
        <f>IFERROR(__xludf.DUMMYFUNCTION("""COMPUTED_VALUE"""),"A Saya suka menolong teman-teman saya apabila mereka dalam kesulitan.")</f>
        <v>A Saya suka menolong teman-teman saya apabila mereka dalam kesulitan.</v>
      </c>
      <c r="AY20" s="95" t="str">
        <f>IFERROR(__xludf.DUMMYFUNCTION("""COMPUTED_VALUE"""),"A Saya rasanya ingin marah saat tidak sesuai dengan hati.")</f>
        <v>A Saya rasanya ingin marah saat tidak sesuai dengan hati.</v>
      </c>
      <c r="AZ20" s="95" t="str">
        <f>IFERROR(__xludf.DUMMYFUNCTION("""COMPUTED_VALUE"""),"B Saya suka menunjukkan simpati saya kepada teman-teman saya.")</f>
        <v>B Saya suka menunjukkan simpati saya kepada teman-teman saya.</v>
      </c>
      <c r="BA20" s="95" t="str">
        <f>IFERROR(__xludf.DUMMYFUNCTION("""COMPUTED_VALUE"""),"A Saya suka menyatakan pendapat saya tentang berbagai hal.")</f>
        <v>A Saya suka menyatakan pendapat saya tentang berbagai hal.</v>
      </c>
      <c r="BB20" s="95" t="str">
        <f>IFERROR(__xludf.DUMMYFUNCTION("""COMPUTED_VALUE"""),"B Saya suka bermurah hati terhadap teman-teman saya.")</f>
        <v>B Saya suka bermurah hati terhadap teman-teman saya.</v>
      </c>
      <c r="BC20" s="95" t="str">
        <f>IFERROR(__xludf.DUMMYFUNCTION("""COMPUTED_VALUE"""),"A Saya rasanya ingin mengecam seseorang bila orang itu menjengkelkan.")</f>
        <v>A Saya rasanya ingin mengecam seseorang bila orang itu menjengkelkan.</v>
      </c>
      <c r="BD20" s="95" t="str">
        <f>IFERROR(__xludf.DUMMYFUNCTION("""COMPUTED_VALUE"""),"B Saya suka bersikukuh dengan pendirian saya.")</f>
        <v>B Saya suka bersikukuh dengan pendirian saya.</v>
      </c>
      <c r="BE20" s="95" t="str">
        <f>IFERROR(__xludf.DUMMYFUNCTION("""COMPUTED_VALUE"""),"A Saya suka mendengarkan atau menceritakan hal-hal yang sebaiknya tidak diceritakan.")</f>
        <v>A Saya suka mendengarkan atau menceritakan hal-hal yang sebaiknya tidak diceritakan.</v>
      </c>
      <c r="BF20" s="95" t="str">
        <f>IFERROR(__xludf.DUMMYFUNCTION("""COMPUTED_VALUE"""),"B Bila saya dalam kelompok, saya ingin menentukan apa yang akan kita lakukan.")</f>
        <v>B Bila saya dalam kelompok, saya ingin menentukan apa yang akan kita lakukan.</v>
      </c>
      <c r="BG20" s="95" t="str">
        <f>IFERROR(__xludf.DUMMYFUNCTION("""COMPUTED_VALUE"""),"B Saya suka mengarahkan kepada orang lain apa yang harus dilakukan.")</f>
        <v>B Saya suka mengarahkan kepada orang lain apa yang harus dilakukan.</v>
      </c>
      <c r="BH20" s="95" t="str">
        <f>IFERROR(__xludf.DUMMYFUNCTION("""COMPUTED_VALUE"""),"A Saya suka menghindar dari situasi yang tidak saya harapkan.")</f>
        <v>A Saya suka menghindar dari situasi yang tidak saya harapkan.</v>
      </c>
      <c r="BI20" s="95" t="str">
        <f>IFERROR(__xludf.DUMMYFUNCTION("""COMPUTED_VALUE"""),"A Saya suka bermurah hati terhadap teman-teman saya.")</f>
        <v>A Saya suka bermurah hati terhadap teman-teman saya.</v>
      </c>
      <c r="BJ20" s="95" t="str">
        <f>IFERROR(__xludf.DUMMYFUNCTION("""COMPUTED_VALUE"""),"B Saya ingin menjadi pemimpin dalam kelompok di mana saya ada di situ")</f>
        <v>B Saya ingin menjadi pemimpin dalam kelompok di mana saya ada di situ</v>
      </c>
      <c r="BK20" s="95" t="str">
        <f>IFERROR(__xludf.DUMMYFUNCTION("""COMPUTED_VALUE"""),"B Saya senang untuk diminta menyelesaikan pertentangan-pertentangan.")</f>
        <v>B Saya senang untuk diminta menyelesaikan pertentangan-pertentangan.</v>
      </c>
      <c r="BL20" s="95" t="str">
        <f>IFERROR(__xludf.DUMMYFUNCTION("""COMPUTED_VALUE"""),"B Saya suka bersikukuh dengan pendirian saya.")</f>
        <v>B Saya suka bersikukuh dengan pendirian saya.</v>
      </c>
      <c r="BM20" s="95" t="str">
        <f>IFERROR(__xludf.DUMMYFUNCTION("""COMPUTED_VALUE"""),"A Saya suka melakukan pekerjaan sebaik mungkin.")</f>
        <v>A Saya suka melakukan pekerjaan sebaik mungkin.</v>
      </c>
      <c r="BN20" s="95" t="str">
        <f>IFERROR(__xludf.DUMMYFUNCTION("""COMPUTED_VALUE"""),"A Saya suka mengerjakan teka-teki atau memecahkan persoalan sampai selesai.")</f>
        <v>A Saya suka mengerjakan teka-teki atau memecahkan persoalan sampai selesai.</v>
      </c>
      <c r="BO20" s="95" t="str">
        <f>IFERROR(__xludf.DUMMYFUNCTION("""COMPUTED_VALUE"""),"B Saya ingin diperlakukan dengan baik oleh teman-teman saya.")</f>
        <v>B Saya ingin diperlakukan dengan baik oleh teman-teman saya.</v>
      </c>
      <c r="BP20" s="95" t="str">
        <f>IFERROR(__xludf.DUMMYFUNCTION("""COMPUTED_VALUE"""),"A Saya ingin menyelesaikan sesuatu yang sangat penting artinya.")</f>
        <v>A Saya ingin menyelesaikan sesuatu yang sangat penting artinya.</v>
      </c>
      <c r="BQ20" s="95" t="str">
        <f>IFERROR(__xludf.DUMMYFUNCTION("""COMPUTED_VALUE"""),"A Saya ingin mengerjakannya tugas sampai selesai.")</f>
        <v>A Saya ingin mengerjakannya tugas sampai selesai.</v>
      </c>
      <c r="BR20" s="95" t="str">
        <f>IFERROR(__xludf.DUMMYFUNCTION("""COMPUTED_VALUE"""),"B Saya ingin agar teman-teman saya bersimpati dan menghibur saya bila saya sedih.")</f>
        <v>B Saya ingin agar teman-teman saya bersimpati dan menghibur saya bila saya sedih.</v>
      </c>
      <c r="BS20" s="95" t="str">
        <f>IFERROR(__xludf.DUMMYFUNCTION("""COMPUTED_VALUE"""),"B Saya ingin teman-teman saya membantu saya bila saya mengalami kesulitan")</f>
        <v>B Saya ingin teman-teman saya membantu saya bila saya mengalami kesulitan</v>
      </c>
      <c r="BT20" s="95" t="str">
        <f>IFERROR(__xludf.DUMMYFUNCTION("""COMPUTED_VALUE"""),"B Saya ingin teman-teman banyak menunjukkan rasa sayang mereka terhadap saya.")</f>
        <v>B Saya ingin teman-teman banyak menunjukkan rasa sayang mereka terhadap saya.</v>
      </c>
      <c r="BU20" s="95" t="str">
        <f>IFERROR(__xludf.DUMMYFUNCTION("""COMPUTED_VALUE"""),"B Saya ingin agar teman-teman saya merasa kasihan pada saya apabila saya sakit.")</f>
        <v>B Saya ingin agar teman-teman saya merasa kasihan pada saya apabila saya sakit.</v>
      </c>
      <c r="BV20" s="95" t="str">
        <f>IFERROR(__xludf.DUMMYFUNCTION("""COMPUTED_VALUE"""),"B Saya ingin teman-teman dengan gembira memberikan pertolongan kepada saya.")</f>
        <v>B Saya ingin teman-teman dengan gembira memberikan pertolongan kepada saya.</v>
      </c>
      <c r="BW20" s="95" t="str">
        <f>IFERROR(__xludf.DUMMYFUNCTION("""COMPUTED_VALUE"""),"B Saya ingin diperlakukan dengan baik oleh teman-teman saya.")</f>
        <v>B Saya ingin diperlakukan dengan baik oleh teman-teman saya.</v>
      </c>
      <c r="BX20" s="95" t="str">
        <f>IFERROR(__xludf.DUMMYFUNCTION("""COMPUTED_VALUE"""),"B Saya kadang-kadang suka melakukan hal-hal yang dapat dipuji oleh orang lain.")</f>
        <v>B Saya kadang-kadang suka melakukan hal-hal yang dapat dipuji oleh orang lain.</v>
      </c>
      <c r="BY20" s="95" t="str">
        <f>IFERROR(__xludf.DUMMYFUNCTION("""COMPUTED_VALUE"""),"A Saya suka melamun atau membayangkan hal-hal yang tidak jelas.")</f>
        <v>A Saya suka melamun atau membayangkan hal-hal yang tidak jelas.</v>
      </c>
      <c r="BZ20" s="95" t="str">
        <f>IFERROR(__xludf.DUMMYFUNCTION("""COMPUTED_VALUE"""),"A Saya suka berkata yang artinya sulit dipahami oleh orang lain.")</f>
        <v>A Saya suka berkata yang artinya sulit dipahami oleh orang lain.</v>
      </c>
      <c r="CA20" s="95" t="str">
        <f>IFERROR(__xludf.DUMMYFUNCTION("""COMPUTED_VALUE"""),"A Saya ingin teman-teman dengan gembira memberikan pertolongan kepada saya.")</f>
        <v>A Saya ingin teman-teman dengan gembira memberikan pertolongan kepada saya.</v>
      </c>
      <c r="CB20" s="95" t="str">
        <f>IFERROR(__xludf.DUMMYFUNCTION("""COMPUTED_VALUE"""),"A Saya suka menghindar dari tanggung jawab yang tidak saya inginkan.")</f>
        <v>A Saya suka menghindar dari tanggung jawab yang tidak saya inginkan.</v>
      </c>
      <c r="CC20" s="95" t="str">
        <f>IFERROR(__xludf.DUMMYFUNCTION("""COMPUTED_VALUE"""),"A Apabila saya berkumpul dalam kelompok, saya ingin dihargai teman-teman.")</f>
        <v>A Apabila saya berkumpul dalam kelompok, saya ingin dihargai teman-teman.</v>
      </c>
      <c r="CD20" s="95" t="str">
        <f>IFERROR(__xludf.DUMMYFUNCTION("""COMPUTED_VALUE"""),"A Saya suka menyelesaikan setiap tugas meskipun membutuhkan waktu lama.")</f>
        <v>A Saya suka menyelesaikan setiap tugas meskipun membutuhkan waktu lama.</v>
      </c>
      <c r="CE20" s="95" t="str">
        <f>IFERROR(__xludf.DUMMYFUNCTION("""COMPUTED_VALUE"""),"B Saya kadang-kadang suka melakukan hal-hal yang dapat dipuji oleh orang lain.")</f>
        <v>B Saya kadang-kadang suka melakukan hal-hal yang dapat dipuji oleh orang lain.</v>
      </c>
      <c r="CF20" s="95" t="str">
        <f>IFERROR(__xludf.DUMMYFUNCTION("""COMPUTED_VALUE"""),"A Saya ingin agar hidup saya teratur sesuai cita-cita saya.")</f>
        <v>A Saya ingin agar hidup saya teratur sesuai cita-cita saya.</v>
      </c>
      <c r="CG20" s="95" t="str">
        <f>IFERROR(__xludf.DUMMYFUNCTION("""COMPUTED_VALUE"""),"A Saya ingin berhasil dalam apa yang saya lakukan.")</f>
        <v>A Saya ingin berhasil dalam apa yang saya lakukan.</v>
      </c>
      <c r="CH20" s="95" t="str">
        <f>IFERROR(__xludf.DUMMYFUNCTION("""COMPUTED_VALUE"""),"A Saya ingin bisa melakukan dengan baik sesuatu pekerjaan sulit.")</f>
        <v>A Saya ingin bisa melakukan dengan baik sesuatu pekerjaan sulit.</v>
      </c>
      <c r="CI20" s="95" t="str">
        <f>IFERROR(__xludf.DUMMYFUNCTION("""COMPUTED_VALUE"""),"B Saya ingin dianggap menarik oleh orang lain.")</f>
        <v>B Saya ingin dianggap menarik oleh orang lain.</v>
      </c>
      <c r="CJ20" s="95" t="str">
        <f>IFERROR(__xludf.DUMMYFUNCTION("""COMPUTED_VALUE"""),"A Saya ingin tidak tergantung dari orang lain terhadap apa yang akan saya lakukan.")</f>
        <v>A Saya ingin tidak tergantung dari orang lain terhadap apa yang akan saya lakukan.</v>
      </c>
      <c r="CK20" s="95" t="str">
        <f>IFERROR(__xludf.DUMMYFUNCTION("""COMPUTED_VALUE"""),"B Saya senang ikut beraktivitas bersama teman sebaya saya.")</f>
        <v>B Saya senang ikut beraktivitas bersama teman sebaya saya.</v>
      </c>
      <c r="CL20" s="95" t="str">
        <f>IFERROR(__xludf.DUMMYFUNCTION("""COMPUTED_VALUE"""),"A Saya suka menolong teman-teman saya, apabila mereka dalam kesulitan.")</f>
        <v>A Saya suka menolong teman-teman saya, apabila mereka dalam kesulitan.</v>
      </c>
      <c r="CM20" s="95" t="str">
        <f>IFERROR(__xludf.DUMMYFUNCTION("""COMPUTED_VALUE"""),"A Saya ingin ditunjuk atau dipilih sebagai ketua dalam suatu kelompok.")</f>
        <v>A Saya ingin ditunjuk atau dipilih sebagai ketua dalam suatu kelompok.</v>
      </c>
      <c r="CN20" s="95" t="str">
        <f>IFERROR(__xludf.DUMMYFUNCTION("""COMPUTED_VALUE"""),"A Saya ingin diperlakukan dengan baik oleh teman-teman saya.")</f>
        <v>A Saya ingin diperlakukan dengan baik oleh teman-teman saya.</v>
      </c>
      <c r="CO20" s="95" t="str">
        <f>IFERROR(__xludf.DUMMYFUNCTION("""COMPUTED_VALUE"""),"B Saya suka memuji orang yang saya kagumi.")</f>
        <v>B Saya suka memuji orang yang saya kagumi.</v>
      </c>
      <c r="CP20" s="95" t="str">
        <f>IFERROR(__xludf.DUMMYFUNCTION("""COMPUTED_VALUE"""),"B Saya ingin dianggap menarik oleh orang lain.")</f>
        <v>B Saya ingin dianggap menarik oleh orang lain.</v>
      </c>
      <c r="CQ20" s="95" t="str">
        <f>IFERROR(__xludf.DUMMYFUNCTION("""COMPUTED_VALUE"""),"A Saya ingin menggertak orang bila saya berbeda pendapat dengan mereka.")</f>
        <v>A Saya ingin menggertak orang bila saya berbeda pendapat dengan mereka.</v>
      </c>
      <c r="CR20" s="95" t="str">
        <f>IFERROR(__xludf.DUMMYFUNCTION("""COMPUTED_VALUE"""),"B Saya rasanya ingin mengecam seseorang bila orang itu menjengkelkan.")</f>
        <v>B Saya rasanya ingin mengecam seseorang bila orang itu menjengkelkan.</v>
      </c>
      <c r="CS20" s="95" t="str">
        <f>IFERROR(__xludf.DUMMYFUNCTION("""COMPUTED_VALUE"""),"B Saya rasanya ingin membalas dendam bila seseorang menghina saya.")</f>
        <v>B Saya rasanya ingin membalas dendam bila seseorang menghina saya.</v>
      </c>
      <c r="CT20" s="95" t="str">
        <f>IFERROR(__xludf.DUMMYFUNCTION("""COMPUTED_VALUE"""),"A Saya ingin orang-orang memperhatikan komentar mengenai penampilan saya.")</f>
        <v>A Saya ingin orang-orang memperhatikan komentar mengenai penampilan saya.</v>
      </c>
      <c r="CU20" s="95" t="str">
        <f>IFERROR(__xludf.DUMMYFUNCTION("""COMPUTED_VALUE"""),"A Saya ingin diperlakukan dengan ramah oleh teman-teman saya.")</f>
        <v>A Saya ingin diperlakukan dengan ramah oleh teman-teman saya.</v>
      </c>
      <c r="CV20" s="95" t="str">
        <f>IFERROR(__xludf.DUMMYFUNCTION("""COMPUTED_VALUE"""),"A Saya ingin ditunjuk atau dipilih sebagai ketua dalam suatu kelompok.")</f>
        <v>A Saya ingin ditunjuk atau dipilih sebagai ketua dalam suatu kelompok.</v>
      </c>
      <c r="CW20" s="95" t="str">
        <f>IFERROR(__xludf.DUMMYFUNCTION("""COMPUTED_VALUE"""),"B Saya mengatakan kepada orang lain bagaimana pendapat saya terhadap mereka.")</f>
        <v>B Saya mengatakan kepada orang lain bagaimana pendapat saya terhadap mereka.</v>
      </c>
      <c r="CX20" s="95" t="str">
        <f>IFERROR(__xludf.DUMMYFUNCTION("""COMPUTED_VALUE"""),"A Saya suka belajar sampai malam untuk menyelesaikan suatu tugas.")</f>
        <v>A Saya suka belajar sampai malam untuk menyelesaikan suatu tugas.</v>
      </c>
      <c r="CY20" s="95" t="str">
        <f>IFERROR(__xludf.DUMMYFUNCTION("""COMPUTED_VALUE"""),"A Saya ingin tidak tergantung dari orang lain terhadap apa yang akan saya lakukan.")</f>
        <v>A Saya ingin tidak tergantung dari orang lain terhadap apa yang akan saya lakukan.</v>
      </c>
      <c r="CZ20" s="95" t="str">
        <f>IFERROR(__xludf.DUMMYFUNCTION("""COMPUTED_VALUE"""),"A Saya suka merencanakan dan mengatur setiap pekerjaan yang harus saya lakukan.")</f>
        <v>A Saya suka merencanakan dan mengatur setiap pekerjaan yang harus saya lakukan.</v>
      </c>
      <c r="DA20" s="95" t="str">
        <f>IFERROR(__xludf.DUMMYFUNCTION("""COMPUTED_VALUE"""),"A Saya ingin melakukan apa saja sebaik mungkin.")</f>
        <v>A Saya ingin melakukan apa saja sebaik mungkin.</v>
      </c>
      <c r="DB20" s="89" t="s">
        <v>23</v>
      </c>
      <c r="DC20" s="97" t="str">
        <f t="shared" ref="DC20:GX20" si="65">LEFT(F20,1)</f>
        <v>B</v>
      </c>
      <c r="DD20" s="97" t="str">
        <f t="shared" si="65"/>
        <v>A</v>
      </c>
      <c r="DE20" s="97" t="str">
        <f t="shared" si="65"/>
        <v>A</v>
      </c>
      <c r="DF20" s="97" t="str">
        <f t="shared" si="65"/>
        <v>B</v>
      </c>
      <c r="DG20" s="97" t="str">
        <f t="shared" si="65"/>
        <v>A</v>
      </c>
      <c r="DH20" s="97" t="str">
        <f t="shared" si="65"/>
        <v>A</v>
      </c>
      <c r="DI20" s="97" t="str">
        <f t="shared" si="65"/>
        <v>A</v>
      </c>
      <c r="DJ20" s="97" t="str">
        <f t="shared" si="65"/>
        <v>B</v>
      </c>
      <c r="DK20" s="97" t="str">
        <f t="shared" si="65"/>
        <v>B</v>
      </c>
      <c r="DL20" s="97" t="str">
        <f t="shared" si="65"/>
        <v>A</v>
      </c>
      <c r="DM20" s="97" t="str">
        <f t="shared" si="65"/>
        <v>B</v>
      </c>
      <c r="DN20" s="97" t="str">
        <f t="shared" si="65"/>
        <v>A</v>
      </c>
      <c r="DO20" s="97" t="str">
        <f t="shared" si="65"/>
        <v>B</v>
      </c>
      <c r="DP20" s="97" t="str">
        <f t="shared" si="65"/>
        <v>B</v>
      </c>
      <c r="DQ20" s="97" t="str">
        <f t="shared" si="65"/>
        <v>A</v>
      </c>
      <c r="DR20" s="97" t="str">
        <f t="shared" si="65"/>
        <v>A</v>
      </c>
      <c r="DS20" s="97" t="str">
        <f t="shared" si="65"/>
        <v>B</v>
      </c>
      <c r="DT20" s="97" t="str">
        <f t="shared" si="65"/>
        <v>A</v>
      </c>
      <c r="DU20" s="97" t="str">
        <f t="shared" si="65"/>
        <v>A</v>
      </c>
      <c r="DV20" s="97" t="str">
        <f t="shared" si="65"/>
        <v>B</v>
      </c>
      <c r="DW20" s="97" t="str">
        <f t="shared" si="65"/>
        <v>A</v>
      </c>
      <c r="DX20" s="97" t="str">
        <f t="shared" si="65"/>
        <v>B</v>
      </c>
      <c r="DY20" s="97" t="str">
        <f t="shared" si="65"/>
        <v>A</v>
      </c>
      <c r="DZ20" s="97" t="str">
        <f t="shared" si="65"/>
        <v>A</v>
      </c>
      <c r="EA20" s="97" t="str">
        <f t="shared" si="65"/>
        <v>B</v>
      </c>
      <c r="EB20" s="97" t="str">
        <f t="shared" si="65"/>
        <v>A</v>
      </c>
      <c r="EC20" s="97" t="str">
        <f t="shared" si="65"/>
        <v>B</v>
      </c>
      <c r="ED20" s="97" t="str">
        <f t="shared" si="65"/>
        <v>B</v>
      </c>
      <c r="EE20" s="97" t="str">
        <f t="shared" si="65"/>
        <v>B</v>
      </c>
      <c r="EF20" s="97" t="str">
        <f t="shared" si="65"/>
        <v>B</v>
      </c>
      <c r="EG20" s="97" t="str">
        <f t="shared" si="65"/>
        <v>B</v>
      </c>
      <c r="EH20" s="97" t="str">
        <f t="shared" si="65"/>
        <v>B</v>
      </c>
      <c r="EI20" s="97" t="str">
        <f t="shared" si="65"/>
        <v>B</v>
      </c>
      <c r="EJ20" s="97" t="str">
        <f t="shared" si="65"/>
        <v>B</v>
      </c>
      <c r="EK20" s="97" t="str">
        <f t="shared" si="65"/>
        <v>A</v>
      </c>
      <c r="EL20" s="97" t="str">
        <f t="shared" si="65"/>
        <v>B</v>
      </c>
      <c r="EM20" s="97" t="str">
        <f t="shared" si="65"/>
        <v>B</v>
      </c>
      <c r="EN20" s="97" t="str">
        <f t="shared" si="65"/>
        <v>B</v>
      </c>
      <c r="EO20" s="97" t="str">
        <f t="shared" si="65"/>
        <v>B</v>
      </c>
      <c r="EP20" s="97" t="str">
        <f t="shared" si="65"/>
        <v>A</v>
      </c>
      <c r="EQ20" s="97" t="str">
        <f t="shared" si="65"/>
        <v>B</v>
      </c>
      <c r="ER20" s="97" t="str">
        <f t="shared" si="65"/>
        <v>B</v>
      </c>
      <c r="ES20" s="97" t="str">
        <f t="shared" si="65"/>
        <v>B</v>
      </c>
      <c r="ET20" s="97" t="str">
        <f t="shared" si="65"/>
        <v>B</v>
      </c>
      <c r="EU20" s="97" t="str">
        <f t="shared" si="65"/>
        <v>A</v>
      </c>
      <c r="EV20" s="97" t="str">
        <f t="shared" si="65"/>
        <v>A</v>
      </c>
      <c r="EW20" s="97" t="str">
        <f t="shared" si="65"/>
        <v>B</v>
      </c>
      <c r="EX20" s="97" t="str">
        <f t="shared" si="65"/>
        <v>A</v>
      </c>
      <c r="EY20" s="97" t="str">
        <f t="shared" si="65"/>
        <v>B</v>
      </c>
      <c r="EZ20" s="97" t="str">
        <f t="shared" si="65"/>
        <v>A</v>
      </c>
      <c r="FA20" s="97" t="str">
        <f t="shared" si="65"/>
        <v>B</v>
      </c>
      <c r="FB20" s="97" t="str">
        <f t="shared" si="65"/>
        <v>A</v>
      </c>
      <c r="FC20" s="97" t="str">
        <f t="shared" si="65"/>
        <v>B</v>
      </c>
      <c r="FD20" s="97" t="str">
        <f t="shared" si="65"/>
        <v>B</v>
      </c>
      <c r="FE20" s="97" t="str">
        <f t="shared" si="65"/>
        <v>A</v>
      </c>
      <c r="FF20" s="97" t="str">
        <f t="shared" si="65"/>
        <v>A</v>
      </c>
      <c r="FG20" s="97" t="str">
        <f t="shared" si="65"/>
        <v>B</v>
      </c>
      <c r="FH20" s="97" t="str">
        <f t="shared" si="65"/>
        <v>B</v>
      </c>
      <c r="FI20" s="97" t="str">
        <f t="shared" si="65"/>
        <v>B</v>
      </c>
      <c r="FJ20" s="97" t="str">
        <f t="shared" si="65"/>
        <v>A</v>
      </c>
      <c r="FK20" s="97" t="str">
        <f t="shared" si="65"/>
        <v>A</v>
      </c>
      <c r="FL20" s="97" t="str">
        <f t="shared" si="65"/>
        <v>B</v>
      </c>
      <c r="FM20" s="97" t="str">
        <f t="shared" si="65"/>
        <v>A</v>
      </c>
      <c r="FN20" s="97" t="str">
        <f t="shared" si="65"/>
        <v>A</v>
      </c>
      <c r="FO20" s="97" t="str">
        <f t="shared" si="65"/>
        <v>B</v>
      </c>
      <c r="FP20" s="97" t="str">
        <f t="shared" si="65"/>
        <v>B</v>
      </c>
      <c r="FQ20" s="97" t="str">
        <f t="shared" si="65"/>
        <v>B</v>
      </c>
      <c r="FR20" s="97" t="str">
        <f t="shared" si="65"/>
        <v>B</v>
      </c>
      <c r="FS20" s="97" t="str">
        <f t="shared" si="65"/>
        <v>B</v>
      </c>
      <c r="FT20" s="97" t="str">
        <f t="shared" si="65"/>
        <v>B</v>
      </c>
      <c r="FU20" s="97" t="str">
        <f t="shared" si="65"/>
        <v>B</v>
      </c>
      <c r="FV20" s="97" t="str">
        <f t="shared" si="65"/>
        <v>A</v>
      </c>
      <c r="FW20" s="97" t="str">
        <f t="shared" si="65"/>
        <v>A</v>
      </c>
      <c r="FX20" s="97" t="str">
        <f t="shared" si="65"/>
        <v>A</v>
      </c>
      <c r="FY20" s="97" t="str">
        <f t="shared" si="65"/>
        <v>A</v>
      </c>
      <c r="FZ20" s="97" t="str">
        <f t="shared" si="65"/>
        <v>A</v>
      </c>
      <c r="GA20" s="97" t="str">
        <f t="shared" si="65"/>
        <v>A</v>
      </c>
      <c r="GB20" s="97" t="str">
        <f t="shared" si="65"/>
        <v>B</v>
      </c>
      <c r="GC20" s="97" t="str">
        <f t="shared" si="65"/>
        <v>A</v>
      </c>
      <c r="GD20" s="97" t="str">
        <f t="shared" si="65"/>
        <v>A</v>
      </c>
      <c r="GE20" s="97" t="str">
        <f t="shared" si="65"/>
        <v>A</v>
      </c>
      <c r="GF20" s="97" t="str">
        <f t="shared" si="65"/>
        <v>B</v>
      </c>
      <c r="GG20" s="97" t="str">
        <f t="shared" si="65"/>
        <v>A</v>
      </c>
      <c r="GH20" s="97" t="str">
        <f t="shared" si="65"/>
        <v>B</v>
      </c>
      <c r="GI20" s="97" t="str">
        <f t="shared" si="65"/>
        <v>A</v>
      </c>
      <c r="GJ20" s="97" t="str">
        <f t="shared" si="65"/>
        <v>A</v>
      </c>
      <c r="GK20" s="97" t="str">
        <f t="shared" si="65"/>
        <v>A</v>
      </c>
      <c r="GL20" s="97" t="str">
        <f t="shared" si="65"/>
        <v>B</v>
      </c>
      <c r="GM20" s="97" t="str">
        <f t="shared" si="65"/>
        <v>B</v>
      </c>
      <c r="GN20" s="97" t="str">
        <f t="shared" si="65"/>
        <v>A</v>
      </c>
      <c r="GO20" s="97" t="str">
        <f t="shared" si="65"/>
        <v>B</v>
      </c>
      <c r="GP20" s="97" t="str">
        <f t="shared" si="65"/>
        <v>B</v>
      </c>
      <c r="GQ20" s="97" t="str">
        <f t="shared" si="65"/>
        <v>A</v>
      </c>
      <c r="GR20" s="97" t="str">
        <f t="shared" si="65"/>
        <v>A</v>
      </c>
      <c r="GS20" s="97" t="str">
        <f t="shared" si="65"/>
        <v>A</v>
      </c>
      <c r="GT20" s="97" t="str">
        <f t="shared" si="65"/>
        <v>B</v>
      </c>
      <c r="GU20" s="97" t="str">
        <f t="shared" si="65"/>
        <v>A</v>
      </c>
      <c r="GV20" s="97" t="str">
        <f t="shared" si="65"/>
        <v>A</v>
      </c>
      <c r="GW20" s="97" t="str">
        <f t="shared" si="65"/>
        <v>A</v>
      </c>
      <c r="GX20" s="97" t="str">
        <f t="shared" si="65"/>
        <v>A</v>
      </c>
      <c r="GY20" s="98"/>
      <c r="GZ20" s="97">
        <f t="shared" si="3"/>
        <v>49</v>
      </c>
      <c r="HA20" s="97">
        <f t="shared" si="4"/>
        <v>51</v>
      </c>
      <c r="HB20" s="90">
        <f t="shared" si="5"/>
        <v>100</v>
      </c>
      <c r="HC20" s="99"/>
      <c r="HD20" s="97">
        <f t="shared" si="6"/>
        <v>7</v>
      </c>
      <c r="HE20" s="97">
        <f t="shared" si="7"/>
        <v>3</v>
      </c>
      <c r="HF20" s="90">
        <f t="shared" si="8"/>
        <v>10</v>
      </c>
      <c r="HG20" s="99"/>
      <c r="HH20" s="97">
        <f t="shared" si="9"/>
        <v>3</v>
      </c>
      <c r="HI20" s="97">
        <f t="shared" si="10"/>
        <v>5</v>
      </c>
      <c r="HJ20" s="90">
        <f t="shared" si="11"/>
        <v>8</v>
      </c>
      <c r="HK20" s="99"/>
      <c r="HL20" s="97">
        <f t="shared" si="12"/>
        <v>5</v>
      </c>
      <c r="HM20" s="97">
        <f t="shared" si="13"/>
        <v>6</v>
      </c>
      <c r="HN20" s="90">
        <f t="shared" si="14"/>
        <v>11</v>
      </c>
      <c r="HO20" s="99"/>
      <c r="HP20" s="97">
        <f t="shared" si="15"/>
        <v>4</v>
      </c>
      <c r="HQ20" s="97">
        <f t="shared" si="16"/>
        <v>8</v>
      </c>
      <c r="HR20" s="90">
        <f t="shared" si="17"/>
        <v>12</v>
      </c>
      <c r="HS20" s="99"/>
      <c r="HT20" s="97">
        <f t="shared" si="18"/>
        <v>5</v>
      </c>
      <c r="HU20" s="97">
        <f t="shared" si="19"/>
        <v>6</v>
      </c>
      <c r="HV20" s="90">
        <f t="shared" si="20"/>
        <v>11</v>
      </c>
      <c r="HW20" s="99"/>
      <c r="HX20" s="97">
        <f t="shared" si="21"/>
        <v>8</v>
      </c>
      <c r="HY20" s="97">
        <f t="shared" si="22"/>
        <v>6</v>
      </c>
      <c r="HZ20" s="90">
        <f t="shared" si="23"/>
        <v>14</v>
      </c>
      <c r="IA20" s="99"/>
      <c r="IB20" s="97">
        <f t="shared" si="24"/>
        <v>4</v>
      </c>
      <c r="IC20" s="97">
        <f t="shared" si="25"/>
        <v>7</v>
      </c>
      <c r="ID20" s="90">
        <f t="shared" si="26"/>
        <v>11</v>
      </c>
      <c r="IE20" s="99"/>
      <c r="IF20" s="97">
        <f t="shared" si="27"/>
        <v>2</v>
      </c>
      <c r="IG20" s="97">
        <f t="shared" si="28"/>
        <v>2</v>
      </c>
      <c r="IH20" s="90">
        <f t="shared" si="29"/>
        <v>4</v>
      </c>
      <c r="II20" s="99"/>
      <c r="IJ20" s="97">
        <f t="shared" si="30"/>
        <v>3</v>
      </c>
      <c r="IK20" s="97">
        <f t="shared" si="31"/>
        <v>4</v>
      </c>
      <c r="IL20" s="90">
        <f t="shared" si="32"/>
        <v>7</v>
      </c>
      <c r="IM20" s="99"/>
      <c r="IN20" s="97">
        <f t="shared" si="33"/>
        <v>3</v>
      </c>
      <c r="IO20" s="97">
        <f t="shared" si="34"/>
        <v>3</v>
      </c>
      <c r="IP20" s="90">
        <f t="shared" si="35"/>
        <v>6</v>
      </c>
      <c r="IQ20" s="99"/>
      <c r="IR20" s="99"/>
      <c r="IS20" s="100">
        <f t="shared" si="36"/>
        <v>10</v>
      </c>
      <c r="IT20" s="100">
        <f t="shared" si="37"/>
        <v>8</v>
      </c>
      <c r="IU20" s="100">
        <f t="shared" si="38"/>
        <v>11</v>
      </c>
      <c r="IV20" s="100">
        <f t="shared" si="39"/>
        <v>12</v>
      </c>
      <c r="IW20" s="100">
        <f t="shared" si="40"/>
        <v>11</v>
      </c>
      <c r="IX20" s="100">
        <f t="shared" si="41"/>
        <v>14</v>
      </c>
      <c r="IY20" s="100">
        <f t="shared" si="42"/>
        <v>11</v>
      </c>
      <c r="IZ20" s="100">
        <f t="shared" si="43"/>
        <v>4</v>
      </c>
      <c r="JA20" s="100">
        <f t="shared" si="44"/>
        <v>7</v>
      </c>
      <c r="JB20" s="101">
        <f t="shared" si="45"/>
        <v>6</v>
      </c>
      <c r="JC20" s="102">
        <f t="shared" si="46"/>
        <v>94</v>
      </c>
      <c r="JD20" s="67">
        <f t="shared" si="50"/>
        <v>0</v>
      </c>
      <c r="JE20" s="67">
        <f t="shared" si="47"/>
        <v>2</v>
      </c>
      <c r="JF20" s="67">
        <f t="shared" si="48"/>
        <v>2</v>
      </c>
    </row>
    <row r="21">
      <c r="A21" s="103">
        <f>IFERROR(__xludf.DUMMYFUNCTION("""COMPUTED_VALUE"""),45924.39986885416)</f>
        <v>45924.39987</v>
      </c>
      <c r="B21" s="95" t="str">
        <f>IFERROR(__xludf.DUMMYFUNCTION("""COMPUTED_VALUE"""),"Haneef Abdurahman")</f>
        <v>Haneef Abdurahman</v>
      </c>
      <c r="C21" s="96" t="str">
        <f>IFERROR(__xludf.DUMMYFUNCTION("""COMPUTED_VALUE"""),"A250012")</f>
        <v>A250012</v>
      </c>
      <c r="D21" s="96" t="str">
        <f>IFERROR(__xludf.DUMMYFUNCTION("""COMPUTED_VALUE"""),"MTs Putra")</f>
        <v>MTs Putra</v>
      </c>
      <c r="E21" s="96" t="str">
        <f>IFERROR(__xludf.DUMMYFUNCTION("""COMPUTED_VALUE"""),"Ya")</f>
        <v>Ya</v>
      </c>
      <c r="F21" s="95" t="str">
        <f>IFERROR(__xludf.DUMMYFUNCTION("""COMPUTED_VALUE"""),"A Saya ingin mengerjakan segala tugas lebih baik daripada orang lain.")</f>
        <v>A Saya ingin mengerjakan segala tugas lebih baik daripada orang lain.</v>
      </c>
      <c r="G21" s="95" t="str">
        <f>IFERROR(__xludf.DUMMYFUNCTION("""COMPUTED_VALUE"""),"A Saya ingin setiap tulisan saya teliti, rapi, dan tersusun dengan baik.")</f>
        <v>A Saya ingin setiap tulisan saya teliti, rapi, dan tersusun dengan baik.</v>
      </c>
      <c r="H21" s="95" t="str">
        <f>IFERROR(__xludf.DUMMYFUNCTION("""COMPUTED_VALUE"""),"B Saya ingin menjadi orang yang diakui dalam suatu pekerjaan atau bidang khusus.")</f>
        <v>B Saya ingin menjadi orang yang diakui dalam suatu pekerjaan atau bidang khusus.</v>
      </c>
      <c r="I21" s="95" t="str">
        <f>IFERROR(__xludf.DUMMYFUNCTION("""COMPUTED_VALUE"""),"B Saya ingin bisa melakukan dengan baik meskipun tugas yang sulit.")</f>
        <v>B Saya ingin bisa melakukan dengan baik meskipun tugas yang sulit.</v>
      </c>
      <c r="J21" s="95" t="str">
        <f>IFERROR(__xludf.DUMMYFUNCTION("""COMPUTED_VALUE"""),"A Saya suka membantu teman-teman saya apabila mereka mengalami kesulitan.")</f>
        <v>A Saya suka membantu teman-teman saya apabila mereka mengalami kesulitan.</v>
      </c>
      <c r="K21" s="95" t="str">
        <f>IFERROR(__xludf.DUMMYFUNCTION("""COMPUTED_VALUE"""),"B Saya ingin mengatakan telah melakukan dengan baik sesuatu tugas yang sulit.")</f>
        <v>B Saya ingin mengatakan telah melakukan dengan baik sesuatu tugas yang sulit.</v>
      </c>
      <c r="L21" s="95" t="str">
        <f>IFERROR(__xludf.DUMMYFUNCTION("""COMPUTED_VALUE"""),"B Saya ingin mengatakan telah melakukan dengan baik sesuatu tugas yang sulit")</f>
        <v>B Saya ingin mengatakan telah melakukan dengan baik sesuatu tugas yang sulit</v>
      </c>
      <c r="M21" s="95" t="str">
        <f>IFERROR(__xludf.DUMMYFUNCTION("""COMPUTED_VALUE"""),"A Saya suka berbicara tentang hal-hal yang telah berhasil saya lakukan.")</f>
        <v>A Saya suka berbicara tentang hal-hal yang telah berhasil saya lakukan.</v>
      </c>
      <c r="N21" s="95" t="str">
        <f>IFERROR(__xludf.DUMMYFUNCTION("""COMPUTED_VALUE"""),"B Saya suka memecahkan persoalan yang sukar bagi orang lain.")</f>
        <v>B Saya suka memecahkan persoalan yang sukar bagi orang lain.</v>
      </c>
      <c r="O21" s="95" t="str">
        <f>IFERROR(__xludf.DUMMYFUNCTION("""COMPUTED_VALUE"""),"B Saya suka melakukan tugas sebaik mungkin.")</f>
        <v>B Saya suka melakukan tugas sebaik mungkin.</v>
      </c>
      <c r="P21" s="95" t="str">
        <f>IFERROR(__xludf.DUMMYFUNCTION("""COMPUTED_VALUE"""),"B Saya ingin setiap belajar itu teratur dan direncanakan.")</f>
        <v>B Saya ingin setiap belajar itu teratur dan direncanakan.</v>
      </c>
      <c r="Q21" s="95" t="str">
        <f>IFERROR(__xludf.DUMMYFUNCTION("""COMPUTED_VALUE"""),"B Saya merencanakan keperluan yang dibutuhkan sebelum bepergian.")</f>
        <v>B Saya merencanakan keperluan yang dibutuhkan sebelum bepergian.</v>
      </c>
      <c r="R21" s="95" t="str">
        <f>IFERROR(__xludf.DUMMYFUNCTION("""COMPUTED_VALUE"""),"B Saya suka barang-barang saya tersusun rapi dan teratur.")</f>
        <v>B Saya suka barang-barang saya tersusun rapi dan teratur.</v>
      </c>
      <c r="S21" s="95" t="str">
        <f>IFERROR(__xludf.DUMMYFUNCTION("""COMPUTED_VALUE"""),"B Saya suka membuat perencanaan sebelum memulai tugas yang sulit.")</f>
        <v>B Saya suka membuat perencanaan sebelum memulai tugas yang sulit.</v>
      </c>
      <c r="T21" s="95" t="str">
        <f>IFERROR(__xludf.DUMMYFUNCTION("""COMPUTED_VALUE"""),"B Saya ingin agar hidup saya teratur sesuai cita-cita saya.")</f>
        <v>B Saya ingin agar hidup saya teratur sesuai cita-cita saya.</v>
      </c>
      <c r="U21" s="95" t="str">
        <f>IFERROR(__xludf.DUMMYFUNCTION("""COMPUTED_VALUE"""),"A Saya suka memberikan bantuan kepada teman-teman saya.")</f>
        <v>A Saya suka memberikan bantuan kepada teman-teman saya.</v>
      </c>
      <c r="V21" s="95" t="str">
        <f>IFERROR(__xludf.DUMMYFUNCTION("""COMPUTED_VALUE"""),"B Saya suka belajar saya teratur dan ada waktu-waktu tertentu untuk belajar.")</f>
        <v>B Saya suka belajar saya teratur dan ada waktu-waktu tertentu untuk belajar.</v>
      </c>
      <c r="W21" s="95" t="str">
        <f>IFERROR(__xludf.DUMMYFUNCTION("""COMPUTED_VALUE"""),"B Saya ingin kegiatan itu teratur dan direncanakan.")</f>
        <v>B Saya ingin kegiatan itu teratur dan direncanakan.</v>
      </c>
      <c r="X21" s="95" t="str">
        <f>IFERROR(__xludf.DUMMYFUNCTION("""COMPUTED_VALUE"""),"B Saya ingin agar hidup saya teratur sesuai cita-cita saya.")</f>
        <v>B Saya ingin agar hidup saya teratur sesuai cita-cita saya.</v>
      </c>
      <c r="Y21" s="95" t="str">
        <f>IFERROR(__xludf.DUMMYFUNCTION("""COMPUTED_VALUE"""),"A Saya suka menyelesaikan tugas-tugas yang membutuhkan ketrampilan dan usaha.")</f>
        <v>A Saya suka menyelesaikan tugas-tugas yang membutuhkan ketrampilan dan usaha.</v>
      </c>
      <c r="Z21" s="95" t="str">
        <f>IFERROR(__xludf.DUMMYFUNCTION("""COMPUTED_VALUE"""),"A Saya ingin berhasil dengan belajar yang saya lakukan.")</f>
        <v>A Saya ingin berhasil dengan belajar yang saya lakukan.</v>
      </c>
      <c r="AA21" s="95" t="str">
        <f>IFERROR(__xludf.DUMMYFUNCTION("""COMPUTED_VALUE"""),"B Saya tidak suka pada orang yang berbuat seenaknya sendiri.")</f>
        <v>B Saya tidak suka pada orang yang berbuat seenaknya sendiri.</v>
      </c>
      <c r="AB21" s="95" t="str">
        <f>IFERROR(__xludf.DUMMYFUNCTION("""COMPUTED_VALUE"""),"A Saya ingin tidak tergantung dari orang lain terhadap apa yang akan saya lakukan.")</f>
        <v>A Saya ingin tidak tergantung dari orang lain terhadap apa yang akan saya lakukan.</v>
      </c>
      <c r="AC21" s="95" t="str">
        <f>IFERROR(__xludf.DUMMYFUNCTION("""COMPUTED_VALUE"""),"A Saya suka menyelesaikan setiap tugas meskipun membutuhkan waktu lama.")</f>
        <v>A Saya suka menyelesaikan setiap tugas meskipun membutuhkan waktu lama.</v>
      </c>
      <c r="AD21" s="95" t="str">
        <f>IFERROR(__xludf.DUMMYFUNCTION("""COMPUTED_VALUE"""),"A Saya suka bermurah hati terhadap teman-teman saya.")</f>
        <v>A Saya suka bermurah hati terhadap teman-teman saya.</v>
      </c>
      <c r="AE21" s="95" t="str">
        <f>IFERROR(__xludf.DUMMYFUNCTION("""COMPUTED_VALUE"""),"A Saya ingin dianggap sebagai pemimpin oleh teman di kelompok.")</f>
        <v>A Saya ingin dianggap sebagai pemimpin oleh teman di kelompok.</v>
      </c>
      <c r="AF21" s="95" t="str">
        <f>IFERROR(__xludf.DUMMYFUNCTION("""COMPUTED_VALUE"""),"A Saya ingin agar teman-teman mengerti bila saya mengalami kesukaran.")</f>
        <v>A Saya ingin agar teman-teman mengerti bila saya mengalami kesukaran.</v>
      </c>
      <c r="AG21" s="95" t="str">
        <f>IFERROR(__xludf.DUMMYFUNCTION("""COMPUTED_VALUE"""),"B Saya ingin berhasil dengan tugas yang saya lakukan.")</f>
        <v>B Saya ingin berhasil dengan tugas yang saya lakukan.</v>
      </c>
      <c r="AH21" s="95" t="str">
        <f>IFERROR(__xludf.DUMMYFUNCTION("""COMPUTED_VALUE"""),"B Saya ingin merasa bebas untuk melakukan apa yang saya kehendaki.")</f>
        <v>B Saya ingin merasa bebas untuk melakukan apa yang saya kehendaki.</v>
      </c>
      <c r="AI21" s="95" t="str">
        <f>IFERROR(__xludf.DUMMYFUNCTION("""COMPUTED_VALUE"""),"B Saya suka melakukan kegiatan sesuai kondisi yang saya inginkan.")</f>
        <v>B Saya suka melakukan kegiatan sesuai kondisi yang saya inginkan.</v>
      </c>
      <c r="AJ21" s="95" t="str">
        <f>IFERROR(__xludf.DUMMYFUNCTION("""COMPUTED_VALUE"""),"B Saya suka bertahan menghadapi satu masalah meskipun belum tentu berhasil.")</f>
        <v>B Saya suka bertahan menghadapi satu masalah meskipun belum tentu berhasil.</v>
      </c>
      <c r="AK21" s="95" t="str">
        <f>IFERROR(__xludf.DUMMYFUNCTION("""COMPUTED_VALUE"""),"B Bila saya harus melakukan suatu tugas, saya ingin mengerjakan sampai selesai.")</f>
        <v>B Bila saya harus melakukan suatu tugas, saya ingin mengerjakan sampai selesai.</v>
      </c>
      <c r="AL21" s="95" t="str">
        <f>IFERROR(__xludf.DUMMYFUNCTION("""COMPUTED_VALUE"""),"B Saya ingin menghindarkan gangguan bila saya sedang belajar.")</f>
        <v>B Saya ingin menghindarkan gangguan bila saya sedang belajar.</v>
      </c>
      <c r="AM21" s="95" t="str">
        <f>IFERROR(__xludf.DUMMYFUNCTION("""COMPUTED_VALUE"""),"A Saya ingin teman-teman saya merasa kasihan pada saya apabila saya sakit.")</f>
        <v>A Saya ingin teman-teman saya merasa kasihan pada saya apabila saya sakit.</v>
      </c>
      <c r="AN21" s="95" t="str">
        <f>IFERROR(__xludf.DUMMYFUNCTION("""COMPUTED_VALUE"""),"A Saya tidak suka pada orang yang semena-mena.")</f>
        <v>A Saya tidak suka pada orang yang semena-mena.</v>
      </c>
      <c r="AO21" s="95" t="str">
        <f>IFERROR(__xludf.DUMMYFUNCTION("""COMPUTED_VALUE"""),"A Saya suka berlaku sangat ramah terhadap teman-teman saya.")</f>
        <v>A Saya suka berlaku sangat ramah terhadap teman-teman saya.</v>
      </c>
      <c r="AP21" s="95" t="str">
        <f>IFERROR(__xludf.DUMMYFUNCTION("""COMPUTED_VALUE"""),"A Saya ingin mengerjakannya tugas sampai selesai.")</f>
        <v>A Saya ingin mengerjakannya tugas sampai selesai.</v>
      </c>
      <c r="AQ21" s="95" t="str">
        <f>IFERROR(__xludf.DUMMYFUNCTION("""COMPUTED_VALUE"""),"B Bila saya harus melakukan suatu tugas, saya ingin mengerjakan sampai selesai.")</f>
        <v>B Bila saya harus melakukan suatu tugas, saya ingin mengerjakan sampai selesai.</v>
      </c>
      <c r="AR21" s="95" t="str">
        <f>IFERROR(__xludf.DUMMYFUNCTION("""COMPUTED_VALUE"""),"B Saya suka belajar keras pada tiap pelajaran yang saya hadapi.")</f>
        <v>B Saya suka belajar keras pada tiap pelajaran yang saya hadapi.</v>
      </c>
      <c r="AS21" s="95" t="str">
        <f>IFERROR(__xludf.DUMMYFUNCTION("""COMPUTED_VALUE"""),"A Saya ingin dapat menyelesaikan persoalan yang dianggap sukar bagi orang lain.")</f>
        <v>A Saya ingin dapat menyelesaikan persoalan yang dianggap sukar bagi orang lain.</v>
      </c>
      <c r="AT21" s="95" t="str">
        <f>IFERROR(__xludf.DUMMYFUNCTION("""COMPUTED_VALUE"""),"B Saya suka membantu orang lain yang menurut saya perlu dikasihani.")</f>
        <v>B Saya suka membantu orang lain yang menurut saya perlu dikasihani.</v>
      </c>
      <c r="AU21" s="95" t="str">
        <f>IFERROR(__xludf.DUMMYFUNCTION("""COMPUTED_VALUE"""),"B Saya suka bermurah hati terhadap teman-teman saya.")</f>
        <v>B Saya suka bermurah hati terhadap teman-teman saya.</v>
      </c>
      <c r="AV21" s="95" t="str">
        <f>IFERROR(__xludf.DUMMYFUNCTION("""COMPUTED_VALUE"""),"B Saya suka menolong teman-teman saya.")</f>
        <v>B Saya suka menolong teman-teman saya.</v>
      </c>
      <c r="AW21" s="95" t="str">
        <f>IFERROR(__xludf.DUMMYFUNCTION("""COMPUTED_VALUE"""),"B Saya ingin teman-teman saya percaya bahwa saya bisa menolong mereka.")</f>
        <v>B Saya ingin teman-teman saya percaya bahwa saya bisa menolong mereka.</v>
      </c>
      <c r="AX21" s="95" t="str">
        <f>IFERROR(__xludf.DUMMYFUNCTION("""COMPUTED_VALUE"""),"B Saya suka memaafkan teman-teman saya yang menyakiti hati saya.")</f>
        <v>B Saya suka memaafkan teman-teman saya yang menyakiti hati saya.</v>
      </c>
      <c r="AY21" s="95" t="str">
        <f>IFERROR(__xludf.DUMMYFUNCTION("""COMPUTED_VALUE"""),"B Saya suka menolong teman-teman saya apabila mereka dalam kesulitan.")</f>
        <v>B Saya suka menolong teman-teman saya apabila mereka dalam kesulitan.</v>
      </c>
      <c r="AZ21" s="95" t="str">
        <f>IFERROR(__xludf.DUMMYFUNCTION("""COMPUTED_VALUE"""),"B Saya suka menunjukkan simpati saya kepada teman-teman saya.")</f>
        <v>B Saya suka menunjukkan simpati saya kepada teman-teman saya.</v>
      </c>
      <c r="BA21" s="95" t="str">
        <f>IFERROR(__xludf.DUMMYFUNCTION("""COMPUTED_VALUE"""),"B Saya suka memperlakukan orang lain dengan baik dan ramah.")</f>
        <v>B Saya suka memperlakukan orang lain dengan baik dan ramah.</v>
      </c>
      <c r="BB21" s="95" t="str">
        <f>IFERROR(__xludf.DUMMYFUNCTION("""COMPUTED_VALUE"""),"B Saya suka bermurah hati terhadap teman-teman saya.")</f>
        <v>B Saya suka bermurah hati terhadap teman-teman saya.</v>
      </c>
      <c r="BC21" s="95" t="str">
        <f>IFERROR(__xludf.DUMMYFUNCTION("""COMPUTED_VALUE"""),"B Saya suka membantu orang lain yang menurut saya perlu dikasihani.")</f>
        <v>B Saya suka membantu orang lain yang menurut saya perlu dikasihani.</v>
      </c>
      <c r="BD21" s="95" t="str">
        <f>IFERROR(__xludf.DUMMYFUNCTION("""COMPUTED_VALUE"""),"B Saya suka bersikukuh dengan pendirian saya.")</f>
        <v>B Saya suka bersikukuh dengan pendirian saya.</v>
      </c>
      <c r="BE21" s="95" t="str">
        <f>IFERROR(__xludf.DUMMYFUNCTION("""COMPUTED_VALUE"""),"B Saya ingin orang lain melakukan apa yang saya kehendaki.")</f>
        <v>B Saya ingin orang lain melakukan apa yang saya kehendaki.</v>
      </c>
      <c r="BF21" s="95" t="str">
        <f>IFERROR(__xludf.DUMMYFUNCTION("""COMPUTED_VALUE"""),"B Bila saya dalam kelompok, saya ingin menentukan apa yang akan kita lakukan.")</f>
        <v>B Bila saya dalam kelompok, saya ingin menentukan apa yang akan kita lakukan.</v>
      </c>
      <c r="BG21" s="95" t="str">
        <f>IFERROR(__xludf.DUMMYFUNCTION("""COMPUTED_VALUE"""),"B Saya suka mengarahkan kepada orang lain apa yang harus dilakukan.")</f>
        <v>B Saya suka mengarahkan kepada orang lain apa yang harus dilakukan.</v>
      </c>
      <c r="BH21" s="95" t="str">
        <f>IFERROR(__xludf.DUMMYFUNCTION("""COMPUTED_VALUE"""),"B Apabila saya berkumpul dalam kelompok, saya ingin dihargai teman-teman.")</f>
        <v>B Apabila saya berkumpul dalam kelompok, saya ingin dihargai teman-teman.</v>
      </c>
      <c r="BI21" s="95" t="str">
        <f>IFERROR(__xludf.DUMMYFUNCTION("""COMPUTED_VALUE"""),"A Saya suka bermurah hati terhadap teman-teman saya.")</f>
        <v>A Saya suka bermurah hati terhadap teman-teman saya.</v>
      </c>
      <c r="BJ21" s="95" t="str">
        <f>IFERROR(__xludf.DUMMYFUNCTION("""COMPUTED_VALUE"""),"A Saya ingin mengerjakan tugas sampai selesai.")</f>
        <v>A Saya ingin mengerjakan tugas sampai selesai.</v>
      </c>
      <c r="BK21" s="95" t="str">
        <f>IFERROR(__xludf.DUMMYFUNCTION("""COMPUTED_VALUE"""),"A Saya ingin menyelesaikan pekerjaan satu persatu sebelum memulai yang lain.")</f>
        <v>A Saya ingin menyelesaikan pekerjaan satu persatu sebelum memulai yang lain.</v>
      </c>
      <c r="BL21" s="95" t="str">
        <f>IFERROR(__xludf.DUMMYFUNCTION("""COMPUTED_VALUE"""),"A Saya suka belajar saya teratur dan ada waktu-waktu tertentu untuk belajar.")</f>
        <v>A Saya suka belajar saya teratur dan ada waktu-waktu tertentu untuk belajar.</v>
      </c>
      <c r="BM21" s="95" t="str">
        <f>IFERROR(__xludf.DUMMYFUNCTION("""COMPUTED_VALUE"""),"A Saya suka melakukan pekerjaan sebaik mungkin.")</f>
        <v>A Saya suka melakukan pekerjaan sebaik mungkin.</v>
      </c>
      <c r="BN21" s="95" t="str">
        <f>IFERROR(__xludf.DUMMYFUNCTION("""COMPUTED_VALUE"""),"B Saya ingin teman-teman memberi dorongan bila saya menghadapi kegagalan.")</f>
        <v>B Saya ingin teman-teman memberi dorongan bila saya menghadapi kegagalan.</v>
      </c>
      <c r="BO21" s="95" t="str">
        <f>IFERROR(__xludf.DUMMYFUNCTION("""COMPUTED_VALUE"""),"B Saya ingin diperlakukan dengan baik oleh teman-teman saya.")</f>
        <v>B Saya ingin diperlakukan dengan baik oleh teman-teman saya.</v>
      </c>
      <c r="BP21" s="95" t="str">
        <f>IFERROR(__xludf.DUMMYFUNCTION("""COMPUTED_VALUE"""),"B Saya ingin teman-teman saya merasa kasihan pada saya apabila saya sakit.")</f>
        <v>B Saya ingin teman-teman saya merasa kasihan pada saya apabila saya sakit.</v>
      </c>
      <c r="BQ21" s="95" t="str">
        <f>IFERROR(__xludf.DUMMYFUNCTION("""COMPUTED_VALUE"""),"A Saya ingin mengerjakannya tugas sampai selesai.")</f>
        <v>A Saya ingin mengerjakannya tugas sampai selesai.</v>
      </c>
      <c r="BR21" s="95" t="str">
        <f>IFERROR(__xludf.DUMMYFUNCTION("""COMPUTED_VALUE"""),"A Saya suka memaafkan teman-teman saya yang menyakiti hati saya.")</f>
        <v>A Saya suka memaafkan teman-teman saya yang menyakiti hati saya.</v>
      </c>
      <c r="BS21" s="95" t="str">
        <f>IFERROR(__xludf.DUMMYFUNCTION("""COMPUTED_VALUE"""),"B Saya ingin teman-teman saya membantu saya bila saya mengalami kesulitan")</f>
        <v>B Saya ingin teman-teman saya membantu saya bila saya mengalami kesulitan</v>
      </c>
      <c r="BT21" s="95" t="str">
        <f>IFERROR(__xludf.DUMMYFUNCTION("""COMPUTED_VALUE"""),"A Saya ingin teman-teman saya merasa kasihan pada saya apabila saya sakit.")</f>
        <v>A Saya ingin teman-teman saya merasa kasihan pada saya apabila saya sakit.</v>
      </c>
      <c r="BU21" s="95" t="str">
        <f>IFERROR(__xludf.DUMMYFUNCTION("""COMPUTED_VALUE"""),"B Saya ingin agar teman-teman saya merasa kasihan pada saya apabila saya sakit.")</f>
        <v>B Saya ingin agar teman-teman saya merasa kasihan pada saya apabila saya sakit.</v>
      </c>
      <c r="BV21" s="95" t="str">
        <f>IFERROR(__xludf.DUMMYFUNCTION("""COMPUTED_VALUE"""),"B Saya ingin teman-teman dengan gembira memberikan pertolongan kepada saya.")</f>
        <v>B Saya ingin teman-teman dengan gembira memberikan pertolongan kepada saya.</v>
      </c>
      <c r="BW21" s="95" t="str">
        <f>IFERROR(__xludf.DUMMYFUNCTION("""COMPUTED_VALUE"""),"B Saya ingin diperlakukan dengan baik oleh teman-teman saya.")</f>
        <v>B Saya ingin diperlakukan dengan baik oleh teman-teman saya.</v>
      </c>
      <c r="BX21" s="95" t="str">
        <f>IFERROR(__xludf.DUMMYFUNCTION("""COMPUTED_VALUE"""),"B Saya kadang-kadang suka melakukan hal-hal yang dapat dipuji oleh orang lain.")</f>
        <v>B Saya kadang-kadang suka melakukan hal-hal yang dapat dipuji oleh orang lain.</v>
      </c>
      <c r="BY21" s="95" t="str">
        <f>IFERROR(__xludf.DUMMYFUNCTION("""COMPUTED_VALUE"""),"B Saya ingin orang lain memperhatikan dan berkomentar tentang penampilan saya.")</f>
        <v>B Saya ingin orang lain memperhatikan dan berkomentar tentang penampilan saya.</v>
      </c>
      <c r="BZ21" s="95" t="str">
        <f>IFERROR(__xludf.DUMMYFUNCTION("""COMPUTED_VALUE"""),"B Saya suka diperhatikan, apabila saya ada di dalam suatu kelompok.")</f>
        <v>B Saya suka diperhatikan, apabila saya ada di dalam suatu kelompok.</v>
      </c>
      <c r="CA21" s="95" t="str">
        <f>IFERROR(__xludf.DUMMYFUNCTION("""COMPUTED_VALUE"""),"A Saya ingin teman-teman dengan gembira memberikan pertolongan kepada saya.")</f>
        <v>A Saya ingin teman-teman dengan gembira memberikan pertolongan kepada saya.</v>
      </c>
      <c r="CB21" s="95" t="str">
        <f>IFERROR(__xludf.DUMMYFUNCTION("""COMPUTED_VALUE"""),"B Saya suka berbicara tentang hal-hal yang telah saya capai.")</f>
        <v>B Saya suka berbicara tentang hal-hal yang telah saya capai.</v>
      </c>
      <c r="CC21" s="95" t="str">
        <f>IFERROR(__xludf.DUMMYFUNCTION("""COMPUTED_VALUE"""),"A Apabila saya berkumpul dalam kelompok, saya ingin dihargai teman-teman.")</f>
        <v>A Apabila saya berkumpul dalam kelompok, saya ingin dihargai teman-teman.</v>
      </c>
      <c r="CD21" s="95" t="str">
        <f>IFERROR(__xludf.DUMMYFUNCTION("""COMPUTED_VALUE"""),"A Saya suka menyelesaikan setiap tugas meskipun membutuhkan waktu lama.")</f>
        <v>A Saya suka menyelesaikan setiap tugas meskipun membutuhkan waktu lama.</v>
      </c>
      <c r="CE21" s="95" t="str">
        <f>IFERROR(__xludf.DUMMYFUNCTION("""COMPUTED_VALUE"""),"A Saya suka menyelesaikan setiap tugas belajar yang telah saya mulai.")</f>
        <v>A Saya suka menyelesaikan setiap tugas belajar yang telah saya mulai.</v>
      </c>
      <c r="CF21" s="95" t="str">
        <f>IFERROR(__xludf.DUMMYFUNCTION("""COMPUTED_VALUE"""),"A Saya ingin agar hidup saya teratur sesuai cita-cita saya.")</f>
        <v>A Saya ingin agar hidup saya teratur sesuai cita-cita saya.</v>
      </c>
      <c r="CG21" s="95" t="str">
        <f>IFERROR(__xludf.DUMMYFUNCTION("""COMPUTED_VALUE"""),"A Saya ingin berhasil dalam apa yang saya lakukan.")</f>
        <v>A Saya ingin berhasil dalam apa yang saya lakukan.</v>
      </c>
      <c r="CH21" s="95" t="str">
        <f>IFERROR(__xludf.DUMMYFUNCTION("""COMPUTED_VALUE"""),"A Saya ingin bisa melakukan dengan baik sesuatu pekerjaan sulit.")</f>
        <v>A Saya ingin bisa melakukan dengan baik sesuatu pekerjaan sulit.</v>
      </c>
      <c r="CI21" s="95" t="str">
        <f>IFERROR(__xludf.DUMMYFUNCTION("""COMPUTED_VALUE"""),"A Saya suka belajar saya teratur dan ada waktu-waktu tertentu untuk belajar.")</f>
        <v>A Saya suka belajar saya teratur dan ada waktu-waktu tertentu untuk belajar.</v>
      </c>
      <c r="CJ21" s="95" t="str">
        <f>IFERROR(__xludf.DUMMYFUNCTION("""COMPUTED_VALUE"""),"A Saya ingin tidak tergantung dari orang lain terhadap apa yang akan saya lakukan.")</f>
        <v>A Saya ingin tidak tergantung dari orang lain terhadap apa yang akan saya lakukan.</v>
      </c>
      <c r="CK21" s="95" t="str">
        <f>IFERROR(__xludf.DUMMYFUNCTION("""COMPUTED_VALUE"""),"B Saya senang ikut beraktivitas bersama teman sebaya saya.")</f>
        <v>B Saya senang ikut beraktivitas bersama teman sebaya saya.</v>
      </c>
      <c r="CL21" s="95" t="str">
        <f>IFERROR(__xludf.DUMMYFUNCTION("""COMPUTED_VALUE"""),"A Saya suka menolong teman-teman saya, apabila mereka dalam kesulitan.")</f>
        <v>A Saya suka menolong teman-teman saya, apabila mereka dalam kesulitan.</v>
      </c>
      <c r="CM21" s="95" t="str">
        <f>IFERROR(__xludf.DUMMYFUNCTION("""COMPUTED_VALUE"""),"A Saya ingin ditunjuk atau dipilih sebagai ketua dalam suatu kelompok.")</f>
        <v>A Saya ingin ditunjuk atau dipilih sebagai ketua dalam suatu kelompok.</v>
      </c>
      <c r="CN21" s="95" t="str">
        <f>IFERROR(__xludf.DUMMYFUNCTION("""COMPUTED_VALUE"""),"A Saya ingin diperlakukan dengan baik oleh teman-teman saya.")</f>
        <v>A Saya ingin diperlakukan dengan baik oleh teman-teman saya.</v>
      </c>
      <c r="CO21" s="95" t="str">
        <f>IFERROR(__xludf.DUMMYFUNCTION("""COMPUTED_VALUE"""),"A Saya suka menceritakan hal-hal lucu agar diperhatikan oleh orang lain.")</f>
        <v>A Saya suka menceritakan hal-hal lucu agar diperhatikan oleh orang lain.</v>
      </c>
      <c r="CP21" s="95" t="str">
        <f>IFERROR(__xludf.DUMMYFUNCTION("""COMPUTED_VALUE"""),"B Saya ingin dianggap menarik oleh orang lain.")</f>
        <v>B Saya ingin dianggap menarik oleh orang lain.</v>
      </c>
      <c r="CQ21" s="95" t="str">
        <f>IFERROR(__xludf.DUMMYFUNCTION("""COMPUTED_VALUE"""),"B Saya merasa kagum pada seseorang.")</f>
        <v>B Saya merasa kagum pada seseorang.</v>
      </c>
      <c r="CR21" s="95" t="str">
        <f>IFERROR(__xludf.DUMMYFUNCTION("""COMPUTED_VALUE"""),"B Saya rasanya ingin mengecam seseorang bila orang itu menjengkelkan.")</f>
        <v>B Saya rasanya ingin mengecam seseorang bila orang itu menjengkelkan.</v>
      </c>
      <c r="CS21" s="95" t="str">
        <f>IFERROR(__xludf.DUMMYFUNCTION("""COMPUTED_VALUE"""),"A Saya ingin terlihat menarik di depan teman-teman saya.")</f>
        <v>A Saya ingin terlihat menarik di depan teman-teman saya.</v>
      </c>
      <c r="CT21" s="95" t="str">
        <f>IFERROR(__xludf.DUMMYFUNCTION("""COMPUTED_VALUE"""),"A Saya ingin orang-orang memperhatikan komentar mengenai penampilan saya.")</f>
        <v>A Saya ingin orang-orang memperhatikan komentar mengenai penampilan saya.</v>
      </c>
      <c r="CU21" s="95" t="str">
        <f>IFERROR(__xludf.DUMMYFUNCTION("""COMPUTED_VALUE"""),"A Saya ingin diperlakukan dengan ramah oleh teman-teman saya.")</f>
        <v>A Saya ingin diperlakukan dengan ramah oleh teman-teman saya.</v>
      </c>
      <c r="CV21" s="95" t="str">
        <f>IFERROR(__xludf.DUMMYFUNCTION("""COMPUTED_VALUE"""),"A Saya ingin ditunjuk atau dipilih sebagai ketua dalam suatu kelompok.")</f>
        <v>A Saya ingin ditunjuk atau dipilih sebagai ketua dalam suatu kelompok.</v>
      </c>
      <c r="CW21" s="95" t="str">
        <f>IFERROR(__xludf.DUMMYFUNCTION("""COMPUTED_VALUE"""),"A Saya suka menolong teman-teman saya, apabila mereka dalam kesulitan.")</f>
        <v>A Saya suka menolong teman-teman saya, apabila mereka dalam kesulitan.</v>
      </c>
      <c r="CX21" s="95" t="str">
        <f>IFERROR(__xludf.DUMMYFUNCTION("""COMPUTED_VALUE"""),"A Saya suka belajar sampai malam untuk menyelesaikan suatu tugas.")</f>
        <v>A Saya suka belajar sampai malam untuk menyelesaikan suatu tugas.</v>
      </c>
      <c r="CY21" s="95" t="str">
        <f>IFERROR(__xludf.DUMMYFUNCTION("""COMPUTED_VALUE"""),"A Saya ingin tidak tergantung dari orang lain terhadap apa yang akan saya lakukan.")</f>
        <v>A Saya ingin tidak tergantung dari orang lain terhadap apa yang akan saya lakukan.</v>
      </c>
      <c r="CZ21" s="95" t="str">
        <f>IFERROR(__xludf.DUMMYFUNCTION("""COMPUTED_VALUE"""),"A Saya suka merencanakan dan mengatur setiap pekerjaan yang harus saya lakukan.")</f>
        <v>A Saya suka merencanakan dan mengatur setiap pekerjaan yang harus saya lakukan.</v>
      </c>
      <c r="DA21" s="95" t="str">
        <f>IFERROR(__xludf.DUMMYFUNCTION("""COMPUTED_VALUE"""),"A Saya ingin melakukan apa saja sebaik mungkin.")</f>
        <v>A Saya ingin melakukan apa saja sebaik mungkin.</v>
      </c>
      <c r="DB21" s="89" t="s">
        <v>23</v>
      </c>
      <c r="DC21" s="97" t="str">
        <f t="shared" ref="DC21:GX21" si="66">LEFT(F21,1)</f>
        <v>A</v>
      </c>
      <c r="DD21" s="97" t="str">
        <f t="shared" si="66"/>
        <v>A</v>
      </c>
      <c r="DE21" s="97" t="str">
        <f t="shared" si="66"/>
        <v>B</v>
      </c>
      <c r="DF21" s="97" t="str">
        <f t="shared" si="66"/>
        <v>B</v>
      </c>
      <c r="DG21" s="97" t="str">
        <f t="shared" si="66"/>
        <v>A</v>
      </c>
      <c r="DH21" s="97" t="str">
        <f t="shared" si="66"/>
        <v>B</v>
      </c>
      <c r="DI21" s="97" t="str">
        <f t="shared" si="66"/>
        <v>B</v>
      </c>
      <c r="DJ21" s="97" t="str">
        <f t="shared" si="66"/>
        <v>A</v>
      </c>
      <c r="DK21" s="97" t="str">
        <f t="shared" si="66"/>
        <v>B</v>
      </c>
      <c r="DL21" s="97" t="str">
        <f t="shared" si="66"/>
        <v>B</v>
      </c>
      <c r="DM21" s="97" t="str">
        <f t="shared" si="66"/>
        <v>B</v>
      </c>
      <c r="DN21" s="97" t="str">
        <f t="shared" si="66"/>
        <v>B</v>
      </c>
      <c r="DO21" s="97" t="str">
        <f t="shared" si="66"/>
        <v>B</v>
      </c>
      <c r="DP21" s="97" t="str">
        <f t="shared" si="66"/>
        <v>B</v>
      </c>
      <c r="DQ21" s="97" t="str">
        <f t="shared" si="66"/>
        <v>B</v>
      </c>
      <c r="DR21" s="97" t="str">
        <f t="shared" si="66"/>
        <v>A</v>
      </c>
      <c r="DS21" s="97" t="str">
        <f t="shared" si="66"/>
        <v>B</v>
      </c>
      <c r="DT21" s="97" t="str">
        <f t="shared" si="66"/>
        <v>B</v>
      </c>
      <c r="DU21" s="97" t="str">
        <f t="shared" si="66"/>
        <v>B</v>
      </c>
      <c r="DV21" s="97" t="str">
        <f t="shared" si="66"/>
        <v>A</v>
      </c>
      <c r="DW21" s="97" t="str">
        <f t="shared" si="66"/>
        <v>A</v>
      </c>
      <c r="DX21" s="97" t="str">
        <f t="shared" si="66"/>
        <v>B</v>
      </c>
      <c r="DY21" s="97" t="str">
        <f t="shared" si="66"/>
        <v>A</v>
      </c>
      <c r="DZ21" s="97" t="str">
        <f t="shared" si="66"/>
        <v>A</v>
      </c>
      <c r="EA21" s="97" t="str">
        <f t="shared" si="66"/>
        <v>A</v>
      </c>
      <c r="EB21" s="97" t="str">
        <f t="shared" si="66"/>
        <v>A</v>
      </c>
      <c r="EC21" s="97" t="str">
        <f t="shared" si="66"/>
        <v>A</v>
      </c>
      <c r="ED21" s="97" t="str">
        <f t="shared" si="66"/>
        <v>B</v>
      </c>
      <c r="EE21" s="97" t="str">
        <f t="shared" si="66"/>
        <v>B</v>
      </c>
      <c r="EF21" s="97" t="str">
        <f t="shared" si="66"/>
        <v>B</v>
      </c>
      <c r="EG21" s="97" t="str">
        <f t="shared" si="66"/>
        <v>B</v>
      </c>
      <c r="EH21" s="97" t="str">
        <f t="shared" si="66"/>
        <v>B</v>
      </c>
      <c r="EI21" s="97" t="str">
        <f t="shared" si="66"/>
        <v>B</v>
      </c>
      <c r="EJ21" s="97" t="str">
        <f t="shared" si="66"/>
        <v>A</v>
      </c>
      <c r="EK21" s="97" t="str">
        <f t="shared" si="66"/>
        <v>A</v>
      </c>
      <c r="EL21" s="97" t="str">
        <f t="shared" si="66"/>
        <v>A</v>
      </c>
      <c r="EM21" s="97" t="str">
        <f t="shared" si="66"/>
        <v>A</v>
      </c>
      <c r="EN21" s="97" t="str">
        <f t="shared" si="66"/>
        <v>B</v>
      </c>
      <c r="EO21" s="97" t="str">
        <f t="shared" si="66"/>
        <v>B</v>
      </c>
      <c r="EP21" s="97" t="str">
        <f t="shared" si="66"/>
        <v>A</v>
      </c>
      <c r="EQ21" s="97" t="str">
        <f t="shared" si="66"/>
        <v>B</v>
      </c>
      <c r="ER21" s="97" t="str">
        <f t="shared" si="66"/>
        <v>B</v>
      </c>
      <c r="ES21" s="97" t="str">
        <f t="shared" si="66"/>
        <v>B</v>
      </c>
      <c r="ET21" s="97" t="str">
        <f t="shared" si="66"/>
        <v>B</v>
      </c>
      <c r="EU21" s="97" t="str">
        <f t="shared" si="66"/>
        <v>B</v>
      </c>
      <c r="EV21" s="97" t="str">
        <f t="shared" si="66"/>
        <v>B</v>
      </c>
      <c r="EW21" s="97" t="str">
        <f t="shared" si="66"/>
        <v>B</v>
      </c>
      <c r="EX21" s="97" t="str">
        <f t="shared" si="66"/>
        <v>B</v>
      </c>
      <c r="EY21" s="97" t="str">
        <f t="shared" si="66"/>
        <v>B</v>
      </c>
      <c r="EZ21" s="97" t="str">
        <f t="shared" si="66"/>
        <v>B</v>
      </c>
      <c r="FA21" s="97" t="str">
        <f t="shared" si="66"/>
        <v>B</v>
      </c>
      <c r="FB21" s="97" t="str">
        <f t="shared" si="66"/>
        <v>B</v>
      </c>
      <c r="FC21" s="97" t="str">
        <f t="shared" si="66"/>
        <v>B</v>
      </c>
      <c r="FD21" s="97" t="str">
        <f t="shared" si="66"/>
        <v>B</v>
      </c>
      <c r="FE21" s="97" t="str">
        <f t="shared" si="66"/>
        <v>B</v>
      </c>
      <c r="FF21" s="97" t="str">
        <f t="shared" si="66"/>
        <v>A</v>
      </c>
      <c r="FG21" s="97" t="str">
        <f t="shared" si="66"/>
        <v>A</v>
      </c>
      <c r="FH21" s="97" t="str">
        <f t="shared" si="66"/>
        <v>A</v>
      </c>
      <c r="FI21" s="97" t="str">
        <f t="shared" si="66"/>
        <v>A</v>
      </c>
      <c r="FJ21" s="97" t="str">
        <f t="shared" si="66"/>
        <v>A</v>
      </c>
      <c r="FK21" s="97" t="str">
        <f t="shared" si="66"/>
        <v>B</v>
      </c>
      <c r="FL21" s="97" t="str">
        <f t="shared" si="66"/>
        <v>B</v>
      </c>
      <c r="FM21" s="97" t="str">
        <f t="shared" si="66"/>
        <v>B</v>
      </c>
      <c r="FN21" s="97" t="str">
        <f t="shared" si="66"/>
        <v>A</v>
      </c>
      <c r="FO21" s="97" t="str">
        <f t="shared" si="66"/>
        <v>A</v>
      </c>
      <c r="FP21" s="97" t="str">
        <f t="shared" si="66"/>
        <v>B</v>
      </c>
      <c r="FQ21" s="97" t="str">
        <f t="shared" si="66"/>
        <v>A</v>
      </c>
      <c r="FR21" s="97" t="str">
        <f t="shared" si="66"/>
        <v>B</v>
      </c>
      <c r="FS21" s="97" t="str">
        <f t="shared" si="66"/>
        <v>B</v>
      </c>
      <c r="FT21" s="97" t="str">
        <f t="shared" si="66"/>
        <v>B</v>
      </c>
      <c r="FU21" s="97" t="str">
        <f t="shared" si="66"/>
        <v>B</v>
      </c>
      <c r="FV21" s="97" t="str">
        <f t="shared" si="66"/>
        <v>B</v>
      </c>
      <c r="FW21" s="97" t="str">
        <f t="shared" si="66"/>
        <v>B</v>
      </c>
      <c r="FX21" s="97" t="str">
        <f t="shared" si="66"/>
        <v>A</v>
      </c>
      <c r="FY21" s="97" t="str">
        <f t="shared" si="66"/>
        <v>B</v>
      </c>
      <c r="FZ21" s="97" t="str">
        <f t="shared" si="66"/>
        <v>A</v>
      </c>
      <c r="GA21" s="97" t="str">
        <f t="shared" si="66"/>
        <v>A</v>
      </c>
      <c r="GB21" s="97" t="str">
        <f t="shared" si="66"/>
        <v>A</v>
      </c>
      <c r="GC21" s="97" t="str">
        <f t="shared" si="66"/>
        <v>A</v>
      </c>
      <c r="GD21" s="97" t="str">
        <f t="shared" si="66"/>
        <v>A</v>
      </c>
      <c r="GE21" s="97" t="str">
        <f t="shared" si="66"/>
        <v>A</v>
      </c>
      <c r="GF21" s="97" t="str">
        <f t="shared" si="66"/>
        <v>A</v>
      </c>
      <c r="GG21" s="97" t="str">
        <f t="shared" si="66"/>
        <v>A</v>
      </c>
      <c r="GH21" s="97" t="str">
        <f t="shared" si="66"/>
        <v>B</v>
      </c>
      <c r="GI21" s="97" t="str">
        <f t="shared" si="66"/>
        <v>A</v>
      </c>
      <c r="GJ21" s="97" t="str">
        <f t="shared" si="66"/>
        <v>A</v>
      </c>
      <c r="GK21" s="97" t="str">
        <f t="shared" si="66"/>
        <v>A</v>
      </c>
      <c r="GL21" s="97" t="str">
        <f t="shared" si="66"/>
        <v>A</v>
      </c>
      <c r="GM21" s="97" t="str">
        <f t="shared" si="66"/>
        <v>B</v>
      </c>
      <c r="GN21" s="97" t="str">
        <f t="shared" si="66"/>
        <v>B</v>
      </c>
      <c r="GO21" s="97" t="str">
        <f t="shared" si="66"/>
        <v>B</v>
      </c>
      <c r="GP21" s="97" t="str">
        <f t="shared" si="66"/>
        <v>A</v>
      </c>
      <c r="GQ21" s="97" t="str">
        <f t="shared" si="66"/>
        <v>A</v>
      </c>
      <c r="GR21" s="97" t="str">
        <f t="shared" si="66"/>
        <v>A</v>
      </c>
      <c r="GS21" s="97" t="str">
        <f t="shared" si="66"/>
        <v>A</v>
      </c>
      <c r="GT21" s="97" t="str">
        <f t="shared" si="66"/>
        <v>A</v>
      </c>
      <c r="GU21" s="97" t="str">
        <f t="shared" si="66"/>
        <v>A</v>
      </c>
      <c r="GV21" s="97" t="str">
        <f t="shared" si="66"/>
        <v>A</v>
      </c>
      <c r="GW21" s="97" t="str">
        <f t="shared" si="66"/>
        <v>A</v>
      </c>
      <c r="GX21" s="97" t="str">
        <f t="shared" si="66"/>
        <v>A</v>
      </c>
      <c r="GY21" s="98"/>
      <c r="GZ21" s="97">
        <f t="shared" si="3"/>
        <v>47</v>
      </c>
      <c r="HA21" s="97">
        <f t="shared" si="4"/>
        <v>53</v>
      </c>
      <c r="HB21" s="90">
        <f t="shared" si="5"/>
        <v>100</v>
      </c>
      <c r="HC21" s="99"/>
      <c r="HD21" s="97">
        <f t="shared" si="6"/>
        <v>7</v>
      </c>
      <c r="HE21" s="97">
        <f t="shared" si="7"/>
        <v>6</v>
      </c>
      <c r="HF21" s="90">
        <f t="shared" si="8"/>
        <v>13</v>
      </c>
      <c r="HG21" s="99"/>
      <c r="HH21" s="97">
        <f t="shared" si="9"/>
        <v>5</v>
      </c>
      <c r="HI21" s="97">
        <f t="shared" si="10"/>
        <v>8</v>
      </c>
      <c r="HJ21" s="90">
        <f t="shared" si="11"/>
        <v>13</v>
      </c>
      <c r="HK21" s="99"/>
      <c r="HL21" s="97">
        <f t="shared" si="12"/>
        <v>4</v>
      </c>
      <c r="HM21" s="97">
        <f t="shared" si="13"/>
        <v>4</v>
      </c>
      <c r="HN21" s="90">
        <f t="shared" si="14"/>
        <v>8</v>
      </c>
      <c r="HO21" s="99"/>
      <c r="HP21" s="97">
        <f t="shared" si="15"/>
        <v>5</v>
      </c>
      <c r="HQ21" s="97">
        <f t="shared" si="16"/>
        <v>5</v>
      </c>
      <c r="HR21" s="90">
        <f t="shared" si="17"/>
        <v>10</v>
      </c>
      <c r="HS21" s="99"/>
      <c r="HT21" s="97">
        <f t="shared" si="18"/>
        <v>9</v>
      </c>
      <c r="HU21" s="97">
        <f t="shared" si="19"/>
        <v>10</v>
      </c>
      <c r="HV21" s="90">
        <f t="shared" si="20"/>
        <v>19</v>
      </c>
      <c r="HW21" s="99"/>
      <c r="HX21" s="97">
        <f t="shared" si="21"/>
        <v>4</v>
      </c>
      <c r="HY21" s="97">
        <f t="shared" si="22"/>
        <v>5</v>
      </c>
      <c r="HZ21" s="90">
        <f t="shared" si="23"/>
        <v>9</v>
      </c>
      <c r="IA21" s="99"/>
      <c r="IB21" s="97">
        <f t="shared" si="24"/>
        <v>5</v>
      </c>
      <c r="IC21" s="97">
        <f t="shared" si="25"/>
        <v>7</v>
      </c>
      <c r="ID21" s="90">
        <f t="shared" si="26"/>
        <v>12</v>
      </c>
      <c r="IE21" s="99"/>
      <c r="IF21" s="97">
        <f t="shared" si="27"/>
        <v>3</v>
      </c>
      <c r="IG21" s="97">
        <f t="shared" si="28"/>
        <v>4</v>
      </c>
      <c r="IH21" s="90">
        <f t="shared" si="29"/>
        <v>7</v>
      </c>
      <c r="II21" s="99"/>
      <c r="IJ21" s="97">
        <f t="shared" si="30"/>
        <v>1</v>
      </c>
      <c r="IK21" s="97">
        <f t="shared" si="31"/>
        <v>3</v>
      </c>
      <c r="IL21" s="90">
        <f t="shared" si="32"/>
        <v>4</v>
      </c>
      <c r="IM21" s="99"/>
      <c r="IN21" s="97">
        <f t="shared" si="33"/>
        <v>0</v>
      </c>
      <c r="IO21" s="97">
        <f t="shared" si="34"/>
        <v>1</v>
      </c>
      <c r="IP21" s="90">
        <f t="shared" si="35"/>
        <v>1</v>
      </c>
      <c r="IQ21" s="99"/>
      <c r="IR21" s="99"/>
      <c r="IS21" s="100">
        <f t="shared" si="36"/>
        <v>13</v>
      </c>
      <c r="IT21" s="100">
        <f t="shared" si="37"/>
        <v>13</v>
      </c>
      <c r="IU21" s="100">
        <f t="shared" si="38"/>
        <v>8</v>
      </c>
      <c r="IV21" s="100">
        <f t="shared" si="39"/>
        <v>10</v>
      </c>
      <c r="IW21" s="100">
        <f t="shared" si="40"/>
        <v>19</v>
      </c>
      <c r="IX21" s="100">
        <f t="shared" si="41"/>
        <v>9</v>
      </c>
      <c r="IY21" s="100">
        <f t="shared" si="42"/>
        <v>12</v>
      </c>
      <c r="IZ21" s="100">
        <f t="shared" si="43"/>
        <v>7</v>
      </c>
      <c r="JA21" s="100">
        <f t="shared" si="44"/>
        <v>4</v>
      </c>
      <c r="JB21" s="101">
        <f t="shared" si="45"/>
        <v>1</v>
      </c>
      <c r="JC21" s="102">
        <f t="shared" si="46"/>
        <v>96</v>
      </c>
      <c r="JD21" s="67">
        <f t="shared" si="50"/>
        <v>0</v>
      </c>
      <c r="JE21" s="67">
        <f t="shared" si="47"/>
        <v>1</v>
      </c>
      <c r="JF21" s="67">
        <f t="shared" si="48"/>
        <v>1</v>
      </c>
    </row>
    <row r="22">
      <c r="A22" s="103">
        <f>IFERROR(__xludf.DUMMYFUNCTION("""COMPUTED_VALUE"""),45924.8161025)</f>
        <v>45924.8161</v>
      </c>
      <c r="B22" s="95" t="str">
        <f>IFERROR(__xludf.DUMMYFUNCTION("""COMPUTED_VALUE"""),"PUTRA PERDANA")</f>
        <v>PUTRA PERDANA</v>
      </c>
      <c r="C22" s="96" t="str">
        <f>IFERROR(__xludf.DUMMYFUNCTION("""COMPUTED_VALUE"""),"A250003")</f>
        <v>A250003</v>
      </c>
      <c r="D22" s="96" t="str">
        <f>IFERROR(__xludf.DUMMYFUNCTION("""COMPUTED_VALUE"""),"MTs Putra")</f>
        <v>MTs Putra</v>
      </c>
      <c r="E22" s="96" t="str">
        <f>IFERROR(__xludf.DUMMYFUNCTION("""COMPUTED_VALUE"""),"Ya")</f>
        <v>Ya</v>
      </c>
      <c r="F22" s="95" t="str">
        <f>IFERROR(__xludf.DUMMYFUNCTION("""COMPUTED_VALUE"""),"B Saya ingin melakukan apa saja sebaik mungkin.")</f>
        <v>B Saya ingin melakukan apa saja sebaik mungkin.</v>
      </c>
      <c r="G22" s="95" t="str">
        <f>IFERROR(__xludf.DUMMYFUNCTION("""COMPUTED_VALUE"""),"A Saya ingin setiap tulisan saya teliti, rapi, dan tersusun dengan baik.")</f>
        <v>A Saya ingin setiap tulisan saya teliti, rapi, dan tersusun dengan baik.</v>
      </c>
      <c r="H22" s="95" t="str">
        <f>IFERROR(__xludf.DUMMYFUNCTION("""COMPUTED_VALUE"""),"A Saya ingin berbuat sesuai kata hati saya.")</f>
        <v>A Saya ingin berbuat sesuai kata hati saya.</v>
      </c>
      <c r="I22" s="95" t="str">
        <f>IFERROR(__xludf.DUMMYFUNCTION("""COMPUTED_VALUE"""),"B Saya ingin bisa melakukan dengan baik meskipun tugas yang sulit.")</f>
        <v>B Saya ingin bisa melakukan dengan baik meskipun tugas yang sulit.</v>
      </c>
      <c r="J22" s="95" t="str">
        <f>IFERROR(__xludf.DUMMYFUNCTION("""COMPUTED_VALUE"""),"A Saya suka membantu teman-teman saya apabila mereka mengalami kesulitan.")</f>
        <v>A Saya suka membantu teman-teman saya apabila mereka mengalami kesulitan.</v>
      </c>
      <c r="K22" s="95" t="str">
        <f>IFERROR(__xludf.DUMMYFUNCTION("""COMPUTED_VALUE"""),"A Saya ingin menjadi pemimpin dalam suatu kelompok.")</f>
        <v>A Saya ingin menjadi pemimpin dalam suatu kelompok.</v>
      </c>
      <c r="L22" s="95" t="str">
        <f>IFERROR(__xludf.DUMMYFUNCTION("""COMPUTED_VALUE"""),"A Saya ingin menjadi pemimpin dalam suatu kelompok")</f>
        <v>A Saya ingin menjadi pemimpin dalam suatu kelompok</v>
      </c>
      <c r="M22" s="95" t="str">
        <f>IFERROR(__xludf.DUMMYFUNCTION("""COMPUTED_VALUE"""),"A Saya suka berbicara tentang hal-hal yang telah berhasil saya lakukan.")</f>
        <v>A Saya suka berbicara tentang hal-hal yang telah berhasil saya lakukan.</v>
      </c>
      <c r="N22" s="95" t="str">
        <f>IFERROR(__xludf.DUMMYFUNCTION("""COMPUTED_VALUE"""),"B Saya suka memecahkan persoalan yang sukar bagi orang lain.")</f>
        <v>B Saya suka memecahkan persoalan yang sukar bagi orang lain.</v>
      </c>
      <c r="O22" s="95" t="str">
        <f>IFERROR(__xludf.DUMMYFUNCTION("""COMPUTED_VALUE"""),"B Saya suka melakukan tugas sebaik mungkin.")</f>
        <v>B Saya suka melakukan tugas sebaik mungkin.</v>
      </c>
      <c r="P22" s="95" t="str">
        <f>IFERROR(__xludf.DUMMYFUNCTION("""COMPUTED_VALUE"""),"B Saya ingin setiap belajar itu teratur dan direncanakan.")</f>
        <v>B Saya ingin setiap belajar itu teratur dan direncanakan.</v>
      </c>
      <c r="Q22" s="95" t="str">
        <f>IFERROR(__xludf.DUMMYFUNCTION("""COMPUTED_VALUE"""),"B Saya merencanakan keperluan yang dibutuhkan sebelum bepergian.")</f>
        <v>B Saya merencanakan keperluan yang dibutuhkan sebelum bepergian.</v>
      </c>
      <c r="R22" s="95" t="str">
        <f>IFERROR(__xludf.DUMMYFUNCTION("""COMPUTED_VALUE"""),"B Saya suka barang-barang saya tersusun rapi dan teratur.")</f>
        <v>B Saya suka barang-barang saya tersusun rapi dan teratur.</v>
      </c>
      <c r="S22" s="95" t="str">
        <f>IFERROR(__xludf.DUMMYFUNCTION("""COMPUTED_VALUE"""),"A Saya ingin agar teman-teman pengertian bila saya mengalami kesukaran.")</f>
        <v>A Saya ingin agar teman-teman pengertian bila saya mengalami kesukaran.</v>
      </c>
      <c r="T22" s="95" t="str">
        <f>IFERROR(__xludf.DUMMYFUNCTION("""COMPUTED_VALUE"""),"B Saya ingin agar hidup saya teratur sesuai cita-cita saya.")</f>
        <v>B Saya ingin agar hidup saya teratur sesuai cita-cita saya.</v>
      </c>
      <c r="U22" s="95" t="str">
        <f>IFERROR(__xludf.DUMMYFUNCTION("""COMPUTED_VALUE"""),"A Saya suka memberikan bantuan kepada teman-teman saya.")</f>
        <v>A Saya suka memberikan bantuan kepada teman-teman saya.</v>
      </c>
      <c r="V22" s="95" t="str">
        <f>IFERROR(__xludf.DUMMYFUNCTION("""COMPUTED_VALUE"""),"B Saya suka belajar saya teratur dan ada waktu-waktu tertentu untuk belajar.")</f>
        <v>B Saya suka belajar saya teratur dan ada waktu-waktu tertentu untuk belajar.</v>
      </c>
      <c r="W22" s="95" t="str">
        <f>IFERROR(__xludf.DUMMYFUNCTION("""COMPUTED_VALUE"""),"A Saya suka melakukan kegiatan sesuai kondisi yang saya inginkan.")</f>
        <v>A Saya suka melakukan kegiatan sesuai kondisi yang saya inginkan.</v>
      </c>
      <c r="X22" s="95" t="str">
        <f>IFERROR(__xludf.DUMMYFUNCTION("""COMPUTED_VALUE"""),"B Saya ingin agar hidup saya teratur sesuai cita-cita saya.")</f>
        <v>B Saya ingin agar hidup saya teratur sesuai cita-cita saya.</v>
      </c>
      <c r="Y22" s="95" t="str">
        <f>IFERROR(__xludf.DUMMYFUNCTION("""COMPUTED_VALUE"""),"A Saya suka menyelesaikan tugas-tugas yang membutuhkan ketrampilan dan usaha.")</f>
        <v>A Saya suka menyelesaikan tugas-tugas yang membutuhkan ketrampilan dan usaha.</v>
      </c>
      <c r="Z22" s="95" t="str">
        <f>IFERROR(__xludf.DUMMYFUNCTION("""COMPUTED_VALUE"""),"A Saya ingin berhasil dengan belajar yang saya lakukan.")</f>
        <v>A Saya ingin berhasil dengan belajar yang saya lakukan.</v>
      </c>
      <c r="AA22" s="95" t="str">
        <f>IFERROR(__xludf.DUMMYFUNCTION("""COMPUTED_VALUE"""),"B Saya tidak suka pada orang yang berbuat seenaknya sendiri.")</f>
        <v>B Saya tidak suka pada orang yang berbuat seenaknya sendiri.</v>
      </c>
      <c r="AB22" s="95" t="str">
        <f>IFERROR(__xludf.DUMMYFUNCTION("""COMPUTED_VALUE"""),"B Saya ingin menyelesaikan pekerjaan satu persatu sebelum memulai yang lain.")</f>
        <v>B Saya ingin menyelesaikan pekerjaan satu persatu sebelum memulai yang lain.</v>
      </c>
      <c r="AC22" s="95" t="str">
        <f>IFERROR(__xludf.DUMMYFUNCTION("""COMPUTED_VALUE"""),"B Saya suka melakukan kegiatan sesuai kondisi yang saya inginkan.")</f>
        <v>B Saya suka melakukan kegiatan sesuai kondisi yang saya inginkan.</v>
      </c>
      <c r="AD22" s="95" t="str">
        <f>IFERROR(__xludf.DUMMYFUNCTION("""COMPUTED_VALUE"""),"B Saya suka menyatakan pendapat saya tentang berbagai hal.")</f>
        <v>B Saya suka menyatakan pendapat saya tentang berbagai hal.</v>
      </c>
      <c r="AE22" s="95" t="str">
        <f>IFERROR(__xludf.DUMMYFUNCTION("""COMPUTED_VALUE"""),"A Saya ingin dianggap sebagai pemimpin oleh teman di kelompok.")</f>
        <v>A Saya ingin dianggap sebagai pemimpin oleh teman di kelompok.</v>
      </c>
      <c r="AF22" s="95" t="str">
        <f>IFERROR(__xludf.DUMMYFUNCTION("""COMPUTED_VALUE"""),"A Saya ingin agar teman-teman mengerti bila saya mengalami kesukaran.")</f>
        <v>A Saya ingin agar teman-teman mengerti bila saya mengalami kesukaran.</v>
      </c>
      <c r="AG22" s="95" t="str">
        <f>IFERROR(__xludf.DUMMYFUNCTION("""COMPUTED_VALUE"""),"A Saya mengajari orang lain bagaimana mereka harus melakukan pekerjaan mereka.")</f>
        <v>A Saya mengajari orang lain bagaimana mereka harus melakukan pekerjaan mereka.</v>
      </c>
      <c r="AH22" s="95" t="str">
        <f>IFERROR(__xludf.DUMMYFUNCTION("""COMPUTED_VALUE"""),"B Saya ingin merasa bebas untuk melakukan apa yang saya kehendaki.")</f>
        <v>B Saya ingin merasa bebas untuk melakukan apa yang saya kehendaki.</v>
      </c>
      <c r="AI22" s="95" t="str">
        <f>IFERROR(__xludf.DUMMYFUNCTION("""COMPUTED_VALUE"""),"B Saya suka melakukan kegiatan sesuai kondisi yang saya inginkan.")</f>
        <v>B Saya suka melakukan kegiatan sesuai kondisi yang saya inginkan.</v>
      </c>
      <c r="AJ22" s="95" t="str">
        <f>IFERROR(__xludf.DUMMYFUNCTION("""COMPUTED_VALUE"""),"B Saya suka bertahan menghadapi satu masalah meskipun belum tentu berhasil.")</f>
        <v>B Saya suka bertahan menghadapi satu masalah meskipun belum tentu berhasil.</v>
      </c>
      <c r="AK22" s="95" t="str">
        <f>IFERROR(__xludf.DUMMYFUNCTION("""COMPUTED_VALUE"""),"B Bila saya harus melakukan suatu tugas, saya ingin mengerjakan sampai selesai.")</f>
        <v>B Bila saya harus melakukan suatu tugas, saya ingin mengerjakan sampai selesai.</v>
      </c>
      <c r="AL22" s="95" t="str">
        <f>IFERROR(__xludf.DUMMYFUNCTION("""COMPUTED_VALUE"""),"B Saya ingin menghindarkan gangguan bila saya sedang belajar.")</f>
        <v>B Saya ingin menghindarkan gangguan bila saya sedang belajar.</v>
      </c>
      <c r="AM22" s="95" t="str">
        <f>IFERROR(__xludf.DUMMYFUNCTION("""COMPUTED_VALUE"""),"B Saya suka belajar sampai malam untuk menyelesaikan suatu tugas.")</f>
        <v>B Saya suka belajar sampai malam untuk menyelesaikan suatu tugas.</v>
      </c>
      <c r="AN22" s="95" t="str">
        <f>IFERROR(__xludf.DUMMYFUNCTION("""COMPUTED_VALUE"""),"A Saya tidak suka pada orang yang semena-mena.")</f>
        <v>A Saya tidak suka pada orang yang semena-mena.</v>
      </c>
      <c r="AO22" s="95" t="str">
        <f>IFERROR(__xludf.DUMMYFUNCTION("""COMPUTED_VALUE"""),"A Saya suka berlaku sangat ramah terhadap teman-teman saya.")</f>
        <v>A Saya suka berlaku sangat ramah terhadap teman-teman saya.</v>
      </c>
      <c r="AP22" s="95" t="str">
        <f>IFERROR(__xludf.DUMMYFUNCTION("""COMPUTED_VALUE"""),"B Saya suka bertahan menghadapi satu masalah meskipun belum tentu berhasil.")</f>
        <v>B Saya suka bertahan menghadapi satu masalah meskipun belum tentu berhasil.</v>
      </c>
      <c r="AQ22" s="95" t="str">
        <f>IFERROR(__xludf.DUMMYFUNCTION("""COMPUTED_VALUE"""),"B Bila saya harus melakukan suatu tugas, saya ingin mengerjakan sampai selesai.")</f>
        <v>B Bila saya harus melakukan suatu tugas, saya ingin mengerjakan sampai selesai.</v>
      </c>
      <c r="AR22" s="95" t="str">
        <f>IFERROR(__xludf.DUMMYFUNCTION("""COMPUTED_VALUE"""),"A Saya suka menyimpan catatan secara rapi.")</f>
        <v>A Saya suka menyimpan catatan secara rapi.</v>
      </c>
      <c r="AS22" s="95" t="str">
        <f>IFERROR(__xludf.DUMMYFUNCTION("""COMPUTED_VALUE"""),"B Saya suka belajar sampai malam untuk menyelesaikan suatu tugas.")</f>
        <v>B Saya suka belajar sampai malam untuk menyelesaikan suatu tugas.</v>
      </c>
      <c r="AT22" s="95" t="str">
        <f>IFERROR(__xludf.DUMMYFUNCTION("""COMPUTED_VALUE"""),"A Saya ingin bisa melakukan dengan baik sesuatu pekerjaan sulit.")</f>
        <v>A Saya ingin bisa melakukan dengan baik sesuatu pekerjaan sulit.</v>
      </c>
      <c r="AU22" s="95" t="str">
        <f>IFERROR(__xludf.DUMMYFUNCTION("""COMPUTED_VALUE"""),"A Saya ingin menyelesaikan pekerjaan satu persatu sebelum memulai yang lain.")</f>
        <v>A Saya ingin menyelesaikan pekerjaan satu persatu sebelum memulai yang lain.</v>
      </c>
      <c r="AV22" s="95" t="str">
        <f>IFERROR(__xludf.DUMMYFUNCTION("""COMPUTED_VALUE"""),"B Saya suka menolong teman-teman saya.")</f>
        <v>B Saya suka menolong teman-teman saya.</v>
      </c>
      <c r="AW22" s="95" t="str">
        <f>IFERROR(__xludf.DUMMYFUNCTION("""COMPUTED_VALUE"""),"B Saya ingin teman-teman saya percaya bahwa saya bisa menolong mereka.")</f>
        <v>B Saya ingin teman-teman saya percaya bahwa saya bisa menolong mereka.</v>
      </c>
      <c r="AX22" s="95" t="str">
        <f>IFERROR(__xludf.DUMMYFUNCTION("""COMPUTED_VALUE"""),"B Saya suka memaafkan teman-teman saya yang menyakiti hati saya.")</f>
        <v>B Saya suka memaafkan teman-teman saya yang menyakiti hati saya.</v>
      </c>
      <c r="AY22" s="95" t="str">
        <f>IFERROR(__xludf.DUMMYFUNCTION("""COMPUTED_VALUE"""),"B Saya suka menolong teman-teman saya apabila mereka dalam kesulitan.")</f>
        <v>B Saya suka menolong teman-teman saya apabila mereka dalam kesulitan.</v>
      </c>
      <c r="AZ22" s="95" t="str">
        <f>IFERROR(__xludf.DUMMYFUNCTION("""COMPUTED_VALUE"""),"B Saya suka menunjukkan simpati saya kepada teman-teman saya.")</f>
        <v>B Saya suka menunjukkan simpati saya kepada teman-teman saya.</v>
      </c>
      <c r="BA22" s="95" t="str">
        <f>IFERROR(__xludf.DUMMYFUNCTION("""COMPUTED_VALUE"""),"B Saya suka memperlakukan orang lain dengan baik dan ramah.")</f>
        <v>B Saya suka memperlakukan orang lain dengan baik dan ramah.</v>
      </c>
      <c r="BB22" s="95" t="str">
        <f>IFERROR(__xludf.DUMMYFUNCTION("""COMPUTED_VALUE"""),"B Saya suka bermurah hati terhadap teman-teman saya.")</f>
        <v>B Saya suka bermurah hati terhadap teman-teman saya.</v>
      </c>
      <c r="BC22" s="95" t="str">
        <f>IFERROR(__xludf.DUMMYFUNCTION("""COMPUTED_VALUE"""),"B Saya suka membantu orang lain yang menurut saya perlu dikasihani.")</f>
        <v>B Saya suka membantu orang lain yang menurut saya perlu dikasihani.</v>
      </c>
      <c r="BD22" s="95" t="str">
        <f>IFERROR(__xludf.DUMMYFUNCTION("""COMPUTED_VALUE"""),"B Saya suka bersikukuh dengan pendirian saya.")</f>
        <v>B Saya suka bersikukuh dengan pendirian saya.</v>
      </c>
      <c r="BE22" s="95" t="str">
        <f>IFERROR(__xludf.DUMMYFUNCTION("""COMPUTED_VALUE"""),"A Saya suka mendengarkan atau menceritakan hal-hal yang sebaiknya tidak diceritakan.")</f>
        <v>A Saya suka mendengarkan atau menceritakan hal-hal yang sebaiknya tidak diceritakan.</v>
      </c>
      <c r="BF22" s="95" t="str">
        <f>IFERROR(__xludf.DUMMYFUNCTION("""COMPUTED_VALUE"""),"B Bila saya dalam kelompok, saya ingin menentukan apa yang akan kita lakukan.")</f>
        <v>B Bila saya dalam kelompok, saya ingin menentukan apa yang akan kita lakukan.</v>
      </c>
      <c r="BG22" s="95" t="str">
        <f>IFERROR(__xludf.DUMMYFUNCTION("""COMPUTED_VALUE"""),"A Saya ingin teman-teman banyak menunjukkan rasa sayang mereka terhadap saya.")</f>
        <v>A Saya ingin teman-teman banyak menunjukkan rasa sayang mereka terhadap saya.</v>
      </c>
      <c r="BH22" s="95" t="str">
        <f>IFERROR(__xludf.DUMMYFUNCTION("""COMPUTED_VALUE"""),"A Saya suka menghindar dari situasi yang tidak saya harapkan.")</f>
        <v>A Saya suka menghindar dari situasi yang tidak saya harapkan.</v>
      </c>
      <c r="BI22" s="95" t="str">
        <f>IFERROR(__xludf.DUMMYFUNCTION("""COMPUTED_VALUE"""),"A Saya suka bermurah hati terhadap teman-teman saya.")</f>
        <v>A Saya suka bermurah hati terhadap teman-teman saya.</v>
      </c>
      <c r="BJ22" s="95" t="str">
        <f>IFERROR(__xludf.DUMMYFUNCTION("""COMPUTED_VALUE"""),"B Saya ingin menjadi pemimpin dalam kelompok di mana saya ada di situ")</f>
        <v>B Saya ingin menjadi pemimpin dalam kelompok di mana saya ada di situ</v>
      </c>
      <c r="BK22" s="95" t="str">
        <f>IFERROR(__xludf.DUMMYFUNCTION("""COMPUTED_VALUE"""),"A Saya ingin menyelesaikan pekerjaan satu persatu sebelum memulai yang lain.")</f>
        <v>A Saya ingin menyelesaikan pekerjaan satu persatu sebelum memulai yang lain.</v>
      </c>
      <c r="BL22" s="95" t="str">
        <f>IFERROR(__xludf.DUMMYFUNCTION("""COMPUTED_VALUE"""),"B Saya suka bersikukuh dengan pendirian saya.")</f>
        <v>B Saya suka bersikukuh dengan pendirian saya.</v>
      </c>
      <c r="BM22" s="95" t="str">
        <f>IFERROR(__xludf.DUMMYFUNCTION("""COMPUTED_VALUE"""),"A Saya suka melakukan pekerjaan sebaik mungkin.")</f>
        <v>A Saya suka melakukan pekerjaan sebaik mungkin.</v>
      </c>
      <c r="BN22" s="95" t="str">
        <f>IFERROR(__xludf.DUMMYFUNCTION("""COMPUTED_VALUE"""),"B Saya ingin teman-teman memberi dorongan bila saya menghadapi kegagalan.")</f>
        <v>B Saya ingin teman-teman memberi dorongan bila saya menghadapi kegagalan.</v>
      </c>
      <c r="BO22" s="95" t="str">
        <f>IFERROR(__xludf.DUMMYFUNCTION("""COMPUTED_VALUE"""),"B Saya ingin diperlakukan dengan baik oleh teman-teman saya.")</f>
        <v>B Saya ingin diperlakukan dengan baik oleh teman-teman saya.</v>
      </c>
      <c r="BP22" s="95" t="str">
        <f>IFERROR(__xludf.DUMMYFUNCTION("""COMPUTED_VALUE"""),"A Saya ingin menyelesaikan sesuatu yang sangat penting artinya.")</f>
        <v>A Saya ingin menyelesaikan sesuatu yang sangat penting artinya.</v>
      </c>
      <c r="BQ22" s="95" t="str">
        <f>IFERROR(__xludf.DUMMYFUNCTION("""COMPUTED_VALUE"""),"A Saya ingin mengerjakannya tugas sampai selesai.")</f>
        <v>A Saya ingin mengerjakannya tugas sampai selesai.</v>
      </c>
      <c r="BR22" s="95" t="str">
        <f>IFERROR(__xludf.DUMMYFUNCTION("""COMPUTED_VALUE"""),"B Saya ingin agar teman-teman saya bersimpati dan menghibur saya bila saya sedih.")</f>
        <v>B Saya ingin agar teman-teman saya bersimpati dan menghibur saya bila saya sedih.</v>
      </c>
      <c r="BS22" s="95" t="str">
        <f>IFERROR(__xludf.DUMMYFUNCTION("""COMPUTED_VALUE"""),"B Saya ingin teman-teman saya membantu saya bila saya mengalami kesulitan")</f>
        <v>B Saya ingin teman-teman saya membantu saya bila saya mengalami kesulitan</v>
      </c>
      <c r="BT22" s="95" t="str">
        <f>IFERROR(__xludf.DUMMYFUNCTION("""COMPUTED_VALUE"""),"A Saya ingin teman-teman saya merasa kasihan pada saya apabila saya sakit.")</f>
        <v>A Saya ingin teman-teman saya merasa kasihan pada saya apabila saya sakit.</v>
      </c>
      <c r="BU22" s="95" t="str">
        <f>IFERROR(__xludf.DUMMYFUNCTION("""COMPUTED_VALUE"""),"B Saya ingin agar teman-teman saya merasa kasihan pada saya apabila saya sakit.")</f>
        <v>B Saya ingin agar teman-teman saya merasa kasihan pada saya apabila saya sakit.</v>
      </c>
      <c r="BV22" s="95" t="str">
        <f>IFERROR(__xludf.DUMMYFUNCTION("""COMPUTED_VALUE"""),"B Saya ingin teman-teman dengan gembira memberikan pertolongan kepada saya.")</f>
        <v>B Saya ingin teman-teman dengan gembira memberikan pertolongan kepada saya.</v>
      </c>
      <c r="BW22" s="95" t="str">
        <f>IFERROR(__xludf.DUMMYFUNCTION("""COMPUTED_VALUE"""),"A Saya akan menyerang pendapat yang bertentangan dengan pendirian saya.")</f>
        <v>A Saya akan menyerang pendapat yang bertentangan dengan pendirian saya.</v>
      </c>
      <c r="BX22" s="95" t="str">
        <f>IFERROR(__xludf.DUMMYFUNCTION("""COMPUTED_VALUE"""),"B Saya kadang-kadang suka melakukan hal-hal yang dapat dipuji oleh orang lain.")</f>
        <v>B Saya kadang-kadang suka melakukan hal-hal yang dapat dipuji oleh orang lain.</v>
      </c>
      <c r="BY22" s="95" t="str">
        <f>IFERROR(__xludf.DUMMYFUNCTION("""COMPUTED_VALUE"""),"B Saya ingin orang lain memperhatikan dan berkomentar tentang penampilan saya.")</f>
        <v>B Saya ingin orang lain memperhatikan dan berkomentar tentang penampilan saya.</v>
      </c>
      <c r="BZ22" s="95" t="str">
        <f>IFERROR(__xludf.DUMMYFUNCTION("""COMPUTED_VALUE"""),"B Saya suka diperhatikan, apabila saya ada di dalam suatu kelompok.")</f>
        <v>B Saya suka diperhatikan, apabila saya ada di dalam suatu kelompok.</v>
      </c>
      <c r="CA22" s="95" t="str">
        <f>IFERROR(__xludf.DUMMYFUNCTION("""COMPUTED_VALUE"""),"A Saya ingin teman-teman dengan gembira memberikan pertolongan kepada saya.")</f>
        <v>A Saya ingin teman-teman dengan gembira memberikan pertolongan kepada saya.</v>
      </c>
      <c r="CB22" s="95" t="str">
        <f>IFERROR(__xludf.DUMMYFUNCTION("""COMPUTED_VALUE"""),"B Saya suka berbicara tentang hal-hal yang telah saya capai.")</f>
        <v>B Saya suka berbicara tentang hal-hal yang telah saya capai.</v>
      </c>
      <c r="CC22" s="95" t="str">
        <f>IFERROR(__xludf.DUMMYFUNCTION("""COMPUTED_VALUE"""),"A Apabila saya berkumpul dalam kelompok, saya ingin dihargai teman-teman.")</f>
        <v>A Apabila saya berkumpul dalam kelompok, saya ingin dihargai teman-teman.</v>
      </c>
      <c r="CD22" s="95" t="str">
        <f>IFERROR(__xludf.DUMMYFUNCTION("""COMPUTED_VALUE"""),"A Saya suka menyelesaikan setiap tugas meskipun membutuhkan waktu lama.")</f>
        <v>A Saya suka menyelesaikan setiap tugas meskipun membutuhkan waktu lama.</v>
      </c>
      <c r="CE22" s="95" t="str">
        <f>IFERROR(__xludf.DUMMYFUNCTION("""COMPUTED_VALUE"""),"A Saya suka menyelesaikan setiap tugas belajar yang telah saya mulai.")</f>
        <v>A Saya suka menyelesaikan setiap tugas belajar yang telah saya mulai.</v>
      </c>
      <c r="CF22" s="95" t="str">
        <f>IFERROR(__xludf.DUMMYFUNCTION("""COMPUTED_VALUE"""),"A Saya ingin agar hidup saya teratur sesuai cita-cita saya.")</f>
        <v>A Saya ingin agar hidup saya teratur sesuai cita-cita saya.</v>
      </c>
      <c r="CG22" s="95" t="str">
        <f>IFERROR(__xludf.DUMMYFUNCTION("""COMPUTED_VALUE"""),"A Saya ingin berhasil dalam apa yang saya lakukan.")</f>
        <v>A Saya ingin berhasil dalam apa yang saya lakukan.</v>
      </c>
      <c r="CH22" s="95" t="str">
        <f>IFERROR(__xludf.DUMMYFUNCTION("""COMPUTED_VALUE"""),"B Saya suka dengan orang yang berpenampilan menarik.")</f>
        <v>B Saya suka dengan orang yang berpenampilan menarik.</v>
      </c>
      <c r="CI22" s="95" t="str">
        <f>IFERROR(__xludf.DUMMYFUNCTION("""COMPUTED_VALUE"""),"A Saya suka belajar saya teratur dan ada waktu-waktu tertentu untuk belajar.")</f>
        <v>A Saya suka belajar saya teratur dan ada waktu-waktu tertentu untuk belajar.</v>
      </c>
      <c r="CJ22" s="95" t="str">
        <f>IFERROR(__xludf.DUMMYFUNCTION("""COMPUTED_VALUE"""),"A Saya ingin tidak tergantung dari orang lain terhadap apa yang akan saya lakukan.")</f>
        <v>A Saya ingin tidak tergantung dari orang lain terhadap apa yang akan saya lakukan.</v>
      </c>
      <c r="CK22" s="95" t="str">
        <f>IFERROR(__xludf.DUMMYFUNCTION("""COMPUTED_VALUE"""),"B Saya senang ikut beraktivitas bersama teman sebaya saya.")</f>
        <v>B Saya senang ikut beraktivitas bersama teman sebaya saya.</v>
      </c>
      <c r="CL22" s="95" t="str">
        <f>IFERROR(__xludf.DUMMYFUNCTION("""COMPUTED_VALUE"""),"A Saya suka menolong teman-teman saya, apabila mereka dalam kesulitan.")</f>
        <v>A Saya suka menolong teman-teman saya, apabila mereka dalam kesulitan.</v>
      </c>
      <c r="CM22" s="95" t="str">
        <f>IFERROR(__xludf.DUMMYFUNCTION("""COMPUTED_VALUE"""),"A Saya ingin ditunjuk atau dipilih sebagai ketua dalam suatu kelompok.")</f>
        <v>A Saya ingin ditunjuk atau dipilih sebagai ketua dalam suatu kelompok.</v>
      </c>
      <c r="CN22" s="95" t="str">
        <f>IFERROR(__xludf.DUMMYFUNCTION("""COMPUTED_VALUE"""),"A Saya ingin diperlakukan dengan baik oleh teman-teman saya.")</f>
        <v>A Saya ingin diperlakukan dengan baik oleh teman-teman saya.</v>
      </c>
      <c r="CO22" s="95" t="str">
        <f>IFERROR(__xludf.DUMMYFUNCTION("""COMPUTED_VALUE"""),"B Saya suka memuji orang yang saya kagumi.")</f>
        <v>B Saya suka memuji orang yang saya kagumi.</v>
      </c>
      <c r="CP22" s="95" t="str">
        <f>IFERROR(__xludf.DUMMYFUNCTION("""COMPUTED_VALUE"""),"B Saya ingin dianggap menarik oleh orang lain.")</f>
        <v>B Saya ingin dianggap menarik oleh orang lain.</v>
      </c>
      <c r="CQ22" s="95" t="str">
        <f>IFERROR(__xludf.DUMMYFUNCTION("""COMPUTED_VALUE"""),"B Saya merasa kagum pada seseorang.")</f>
        <v>B Saya merasa kagum pada seseorang.</v>
      </c>
      <c r="CR22" s="95" t="str">
        <f>IFERROR(__xludf.DUMMYFUNCTION("""COMPUTED_VALUE"""),"B Saya rasanya ingin mengecam seseorang bila orang itu menjengkelkan.")</f>
        <v>B Saya rasanya ingin mengecam seseorang bila orang itu menjengkelkan.</v>
      </c>
      <c r="CS22" s="95" t="str">
        <f>IFERROR(__xludf.DUMMYFUNCTION("""COMPUTED_VALUE"""),"A Saya ingin terlihat menarik di depan teman-teman saya.")</f>
        <v>A Saya ingin terlihat menarik di depan teman-teman saya.</v>
      </c>
      <c r="CT22" s="95" t="str">
        <f>IFERROR(__xludf.DUMMYFUNCTION("""COMPUTED_VALUE"""),"B Saya saat marah rasanya ingin melemparkan dan merusak barang-barang.")</f>
        <v>B Saya saat marah rasanya ingin melemparkan dan merusak barang-barang.</v>
      </c>
      <c r="CU22" s="95" t="str">
        <f>IFERROR(__xludf.DUMMYFUNCTION("""COMPUTED_VALUE"""),"A Saya ingin diperlakukan dengan ramah oleh teman-teman saya.")</f>
        <v>A Saya ingin diperlakukan dengan ramah oleh teman-teman saya.</v>
      </c>
      <c r="CV22" s="95" t="str">
        <f>IFERROR(__xludf.DUMMYFUNCTION("""COMPUTED_VALUE"""),"A Saya ingin ditunjuk atau dipilih sebagai ketua dalam suatu kelompok.")</f>
        <v>A Saya ingin ditunjuk atau dipilih sebagai ketua dalam suatu kelompok.</v>
      </c>
      <c r="CW22" s="95" t="str">
        <f>IFERROR(__xludf.DUMMYFUNCTION("""COMPUTED_VALUE"""),"A Saya suka menolong teman-teman saya, apabila mereka dalam kesulitan.")</f>
        <v>A Saya suka menolong teman-teman saya, apabila mereka dalam kesulitan.</v>
      </c>
      <c r="CX22" s="95" t="str">
        <f>IFERROR(__xludf.DUMMYFUNCTION("""COMPUTED_VALUE"""),"A Saya suka belajar sampai malam untuk menyelesaikan suatu tugas.")</f>
        <v>A Saya suka belajar sampai malam untuk menyelesaikan suatu tugas.</v>
      </c>
      <c r="CY22" s="95" t="str">
        <f>IFERROR(__xludf.DUMMYFUNCTION("""COMPUTED_VALUE"""),"A Saya ingin tidak tergantung dari orang lain terhadap apa yang akan saya lakukan.")</f>
        <v>A Saya ingin tidak tergantung dari orang lain terhadap apa yang akan saya lakukan.</v>
      </c>
      <c r="CZ22" s="95" t="str">
        <f>IFERROR(__xludf.DUMMYFUNCTION("""COMPUTED_VALUE"""),"A Saya suka merencanakan dan mengatur setiap pekerjaan yang harus saya lakukan.")</f>
        <v>A Saya suka merencanakan dan mengatur setiap pekerjaan yang harus saya lakukan.</v>
      </c>
      <c r="DA22" s="95" t="str">
        <f>IFERROR(__xludf.DUMMYFUNCTION("""COMPUTED_VALUE"""),"A Saya ingin melakukan apa saja sebaik mungkin.")</f>
        <v>A Saya ingin melakukan apa saja sebaik mungkin.</v>
      </c>
      <c r="DB22" s="89" t="s">
        <v>23</v>
      </c>
      <c r="DC22" s="97" t="str">
        <f t="shared" ref="DC22:GX22" si="67">LEFT(F22,1)</f>
        <v>B</v>
      </c>
      <c r="DD22" s="97" t="str">
        <f t="shared" si="67"/>
        <v>A</v>
      </c>
      <c r="DE22" s="97" t="str">
        <f t="shared" si="67"/>
        <v>A</v>
      </c>
      <c r="DF22" s="97" t="str">
        <f t="shared" si="67"/>
        <v>B</v>
      </c>
      <c r="DG22" s="97" t="str">
        <f t="shared" si="67"/>
        <v>A</v>
      </c>
      <c r="DH22" s="97" t="str">
        <f t="shared" si="67"/>
        <v>A</v>
      </c>
      <c r="DI22" s="97" t="str">
        <f t="shared" si="67"/>
        <v>A</v>
      </c>
      <c r="DJ22" s="97" t="str">
        <f t="shared" si="67"/>
        <v>A</v>
      </c>
      <c r="DK22" s="97" t="str">
        <f t="shared" si="67"/>
        <v>B</v>
      </c>
      <c r="DL22" s="97" t="str">
        <f t="shared" si="67"/>
        <v>B</v>
      </c>
      <c r="DM22" s="97" t="str">
        <f t="shared" si="67"/>
        <v>B</v>
      </c>
      <c r="DN22" s="97" t="str">
        <f t="shared" si="67"/>
        <v>B</v>
      </c>
      <c r="DO22" s="97" t="str">
        <f t="shared" si="67"/>
        <v>B</v>
      </c>
      <c r="DP22" s="97" t="str">
        <f t="shared" si="67"/>
        <v>A</v>
      </c>
      <c r="DQ22" s="97" t="str">
        <f t="shared" si="67"/>
        <v>B</v>
      </c>
      <c r="DR22" s="97" t="str">
        <f t="shared" si="67"/>
        <v>A</v>
      </c>
      <c r="DS22" s="97" t="str">
        <f t="shared" si="67"/>
        <v>B</v>
      </c>
      <c r="DT22" s="97" t="str">
        <f t="shared" si="67"/>
        <v>A</v>
      </c>
      <c r="DU22" s="97" t="str">
        <f t="shared" si="67"/>
        <v>B</v>
      </c>
      <c r="DV22" s="97" t="str">
        <f t="shared" si="67"/>
        <v>A</v>
      </c>
      <c r="DW22" s="97" t="str">
        <f t="shared" si="67"/>
        <v>A</v>
      </c>
      <c r="DX22" s="97" t="str">
        <f t="shared" si="67"/>
        <v>B</v>
      </c>
      <c r="DY22" s="97" t="str">
        <f t="shared" si="67"/>
        <v>B</v>
      </c>
      <c r="DZ22" s="97" t="str">
        <f t="shared" si="67"/>
        <v>B</v>
      </c>
      <c r="EA22" s="97" t="str">
        <f t="shared" si="67"/>
        <v>B</v>
      </c>
      <c r="EB22" s="97" t="str">
        <f t="shared" si="67"/>
        <v>A</v>
      </c>
      <c r="EC22" s="97" t="str">
        <f t="shared" si="67"/>
        <v>A</v>
      </c>
      <c r="ED22" s="97" t="str">
        <f t="shared" si="67"/>
        <v>A</v>
      </c>
      <c r="EE22" s="97" t="str">
        <f t="shared" si="67"/>
        <v>B</v>
      </c>
      <c r="EF22" s="97" t="str">
        <f t="shared" si="67"/>
        <v>B</v>
      </c>
      <c r="EG22" s="97" t="str">
        <f t="shared" si="67"/>
        <v>B</v>
      </c>
      <c r="EH22" s="97" t="str">
        <f t="shared" si="67"/>
        <v>B</v>
      </c>
      <c r="EI22" s="97" t="str">
        <f t="shared" si="67"/>
        <v>B</v>
      </c>
      <c r="EJ22" s="97" t="str">
        <f t="shared" si="67"/>
        <v>B</v>
      </c>
      <c r="EK22" s="97" t="str">
        <f t="shared" si="67"/>
        <v>A</v>
      </c>
      <c r="EL22" s="97" t="str">
        <f t="shared" si="67"/>
        <v>A</v>
      </c>
      <c r="EM22" s="97" t="str">
        <f t="shared" si="67"/>
        <v>B</v>
      </c>
      <c r="EN22" s="97" t="str">
        <f t="shared" si="67"/>
        <v>B</v>
      </c>
      <c r="EO22" s="97" t="str">
        <f t="shared" si="67"/>
        <v>A</v>
      </c>
      <c r="EP22" s="97" t="str">
        <f t="shared" si="67"/>
        <v>B</v>
      </c>
      <c r="EQ22" s="97" t="str">
        <f t="shared" si="67"/>
        <v>A</v>
      </c>
      <c r="ER22" s="97" t="str">
        <f t="shared" si="67"/>
        <v>A</v>
      </c>
      <c r="ES22" s="97" t="str">
        <f t="shared" si="67"/>
        <v>B</v>
      </c>
      <c r="ET22" s="97" t="str">
        <f t="shared" si="67"/>
        <v>B</v>
      </c>
      <c r="EU22" s="97" t="str">
        <f t="shared" si="67"/>
        <v>B</v>
      </c>
      <c r="EV22" s="97" t="str">
        <f t="shared" si="67"/>
        <v>B</v>
      </c>
      <c r="EW22" s="97" t="str">
        <f t="shared" si="67"/>
        <v>B</v>
      </c>
      <c r="EX22" s="97" t="str">
        <f t="shared" si="67"/>
        <v>B</v>
      </c>
      <c r="EY22" s="97" t="str">
        <f t="shared" si="67"/>
        <v>B</v>
      </c>
      <c r="EZ22" s="97" t="str">
        <f t="shared" si="67"/>
        <v>B</v>
      </c>
      <c r="FA22" s="97" t="str">
        <f t="shared" si="67"/>
        <v>B</v>
      </c>
      <c r="FB22" s="97" t="str">
        <f t="shared" si="67"/>
        <v>A</v>
      </c>
      <c r="FC22" s="97" t="str">
        <f t="shared" si="67"/>
        <v>B</v>
      </c>
      <c r="FD22" s="97" t="str">
        <f t="shared" si="67"/>
        <v>A</v>
      </c>
      <c r="FE22" s="97" t="str">
        <f t="shared" si="67"/>
        <v>A</v>
      </c>
      <c r="FF22" s="97" t="str">
        <f t="shared" si="67"/>
        <v>A</v>
      </c>
      <c r="FG22" s="97" t="str">
        <f t="shared" si="67"/>
        <v>B</v>
      </c>
      <c r="FH22" s="97" t="str">
        <f t="shared" si="67"/>
        <v>A</v>
      </c>
      <c r="FI22" s="97" t="str">
        <f t="shared" si="67"/>
        <v>B</v>
      </c>
      <c r="FJ22" s="97" t="str">
        <f t="shared" si="67"/>
        <v>A</v>
      </c>
      <c r="FK22" s="97" t="str">
        <f t="shared" si="67"/>
        <v>B</v>
      </c>
      <c r="FL22" s="97" t="str">
        <f t="shared" si="67"/>
        <v>B</v>
      </c>
      <c r="FM22" s="97" t="str">
        <f t="shared" si="67"/>
        <v>A</v>
      </c>
      <c r="FN22" s="97" t="str">
        <f t="shared" si="67"/>
        <v>A</v>
      </c>
      <c r="FO22" s="97" t="str">
        <f t="shared" si="67"/>
        <v>B</v>
      </c>
      <c r="FP22" s="97" t="str">
        <f t="shared" si="67"/>
        <v>B</v>
      </c>
      <c r="FQ22" s="97" t="str">
        <f t="shared" si="67"/>
        <v>A</v>
      </c>
      <c r="FR22" s="97" t="str">
        <f t="shared" si="67"/>
        <v>B</v>
      </c>
      <c r="FS22" s="97" t="str">
        <f t="shared" si="67"/>
        <v>B</v>
      </c>
      <c r="FT22" s="97" t="str">
        <f t="shared" si="67"/>
        <v>A</v>
      </c>
      <c r="FU22" s="97" t="str">
        <f t="shared" si="67"/>
        <v>B</v>
      </c>
      <c r="FV22" s="97" t="str">
        <f t="shared" si="67"/>
        <v>B</v>
      </c>
      <c r="FW22" s="97" t="str">
        <f t="shared" si="67"/>
        <v>B</v>
      </c>
      <c r="FX22" s="97" t="str">
        <f t="shared" si="67"/>
        <v>A</v>
      </c>
      <c r="FY22" s="97" t="str">
        <f t="shared" si="67"/>
        <v>B</v>
      </c>
      <c r="FZ22" s="97" t="str">
        <f t="shared" si="67"/>
        <v>A</v>
      </c>
      <c r="GA22" s="97" t="str">
        <f t="shared" si="67"/>
        <v>A</v>
      </c>
      <c r="GB22" s="97" t="str">
        <f t="shared" si="67"/>
        <v>A</v>
      </c>
      <c r="GC22" s="97" t="str">
        <f t="shared" si="67"/>
        <v>A</v>
      </c>
      <c r="GD22" s="97" t="str">
        <f t="shared" si="67"/>
        <v>A</v>
      </c>
      <c r="GE22" s="97" t="str">
        <f t="shared" si="67"/>
        <v>B</v>
      </c>
      <c r="GF22" s="97" t="str">
        <f t="shared" si="67"/>
        <v>A</v>
      </c>
      <c r="GG22" s="97" t="str">
        <f t="shared" si="67"/>
        <v>A</v>
      </c>
      <c r="GH22" s="97" t="str">
        <f t="shared" si="67"/>
        <v>B</v>
      </c>
      <c r="GI22" s="97" t="str">
        <f t="shared" si="67"/>
        <v>A</v>
      </c>
      <c r="GJ22" s="97" t="str">
        <f t="shared" si="67"/>
        <v>A</v>
      </c>
      <c r="GK22" s="97" t="str">
        <f t="shared" si="67"/>
        <v>A</v>
      </c>
      <c r="GL22" s="97" t="str">
        <f t="shared" si="67"/>
        <v>B</v>
      </c>
      <c r="GM22" s="97" t="str">
        <f t="shared" si="67"/>
        <v>B</v>
      </c>
      <c r="GN22" s="97" t="str">
        <f t="shared" si="67"/>
        <v>B</v>
      </c>
      <c r="GO22" s="97" t="str">
        <f t="shared" si="67"/>
        <v>B</v>
      </c>
      <c r="GP22" s="97" t="str">
        <f t="shared" si="67"/>
        <v>A</v>
      </c>
      <c r="GQ22" s="97" t="str">
        <f t="shared" si="67"/>
        <v>B</v>
      </c>
      <c r="GR22" s="97" t="str">
        <f t="shared" si="67"/>
        <v>A</v>
      </c>
      <c r="GS22" s="97" t="str">
        <f t="shared" si="67"/>
        <v>A</v>
      </c>
      <c r="GT22" s="97" t="str">
        <f t="shared" si="67"/>
        <v>A</v>
      </c>
      <c r="GU22" s="97" t="str">
        <f t="shared" si="67"/>
        <v>A</v>
      </c>
      <c r="GV22" s="97" t="str">
        <f t="shared" si="67"/>
        <v>A</v>
      </c>
      <c r="GW22" s="97" t="str">
        <f t="shared" si="67"/>
        <v>A</v>
      </c>
      <c r="GX22" s="97" t="str">
        <f t="shared" si="67"/>
        <v>A</v>
      </c>
      <c r="GY22" s="98"/>
      <c r="GZ22" s="97">
        <f t="shared" si="3"/>
        <v>48</v>
      </c>
      <c r="HA22" s="97">
        <f t="shared" si="4"/>
        <v>52</v>
      </c>
      <c r="HB22" s="90">
        <f t="shared" si="5"/>
        <v>100</v>
      </c>
      <c r="HC22" s="99"/>
      <c r="HD22" s="97">
        <f t="shared" si="6"/>
        <v>6</v>
      </c>
      <c r="HE22" s="97">
        <f t="shared" si="7"/>
        <v>3</v>
      </c>
      <c r="HF22" s="90">
        <f t="shared" si="8"/>
        <v>9</v>
      </c>
      <c r="HG22" s="99"/>
      <c r="HH22" s="97">
        <f t="shared" si="9"/>
        <v>6</v>
      </c>
      <c r="HI22" s="97">
        <f t="shared" si="10"/>
        <v>6</v>
      </c>
      <c r="HJ22" s="90">
        <f t="shared" si="11"/>
        <v>12</v>
      </c>
      <c r="HK22" s="99"/>
      <c r="HL22" s="97">
        <f t="shared" si="12"/>
        <v>7</v>
      </c>
      <c r="HM22" s="97">
        <f t="shared" si="13"/>
        <v>6</v>
      </c>
      <c r="HN22" s="90">
        <f t="shared" si="14"/>
        <v>13</v>
      </c>
      <c r="HO22" s="99"/>
      <c r="HP22" s="97">
        <f t="shared" si="15"/>
        <v>3</v>
      </c>
      <c r="HQ22" s="97">
        <f t="shared" si="16"/>
        <v>7</v>
      </c>
      <c r="HR22" s="90">
        <f t="shared" si="17"/>
        <v>10</v>
      </c>
      <c r="HS22" s="99"/>
      <c r="HT22" s="97">
        <f t="shared" si="18"/>
        <v>7</v>
      </c>
      <c r="HU22" s="97">
        <f t="shared" si="19"/>
        <v>8</v>
      </c>
      <c r="HV22" s="90">
        <f t="shared" si="20"/>
        <v>15</v>
      </c>
      <c r="HW22" s="99"/>
      <c r="HX22" s="97">
        <f t="shared" si="21"/>
        <v>5</v>
      </c>
      <c r="HY22" s="97">
        <f t="shared" si="22"/>
        <v>4</v>
      </c>
      <c r="HZ22" s="90">
        <f t="shared" si="23"/>
        <v>9</v>
      </c>
      <c r="IA22" s="99"/>
      <c r="IB22" s="97">
        <f t="shared" si="24"/>
        <v>7</v>
      </c>
      <c r="IC22" s="97">
        <f t="shared" si="25"/>
        <v>6</v>
      </c>
      <c r="ID22" s="90">
        <f t="shared" si="26"/>
        <v>13</v>
      </c>
      <c r="IE22" s="99"/>
      <c r="IF22" s="97">
        <f t="shared" si="27"/>
        <v>2</v>
      </c>
      <c r="IG22" s="97">
        <f t="shared" si="28"/>
        <v>4</v>
      </c>
      <c r="IH22" s="90">
        <f t="shared" si="29"/>
        <v>6</v>
      </c>
      <c r="II22" s="99"/>
      <c r="IJ22" s="97">
        <f t="shared" si="30"/>
        <v>2</v>
      </c>
      <c r="IK22" s="97">
        <f t="shared" si="31"/>
        <v>5</v>
      </c>
      <c r="IL22" s="90">
        <f t="shared" si="32"/>
        <v>7</v>
      </c>
      <c r="IM22" s="99"/>
      <c r="IN22" s="97">
        <f t="shared" si="33"/>
        <v>1</v>
      </c>
      <c r="IO22" s="97">
        <f t="shared" si="34"/>
        <v>2</v>
      </c>
      <c r="IP22" s="90">
        <f t="shared" si="35"/>
        <v>3</v>
      </c>
      <c r="IQ22" s="99"/>
      <c r="IR22" s="99"/>
      <c r="IS22" s="100">
        <f t="shared" si="36"/>
        <v>9</v>
      </c>
      <c r="IT22" s="100">
        <f t="shared" si="37"/>
        <v>12</v>
      </c>
      <c r="IU22" s="100">
        <f t="shared" si="38"/>
        <v>13</v>
      </c>
      <c r="IV22" s="100">
        <f t="shared" si="39"/>
        <v>10</v>
      </c>
      <c r="IW22" s="100">
        <f t="shared" si="40"/>
        <v>15</v>
      </c>
      <c r="IX22" s="100">
        <f t="shared" si="41"/>
        <v>9</v>
      </c>
      <c r="IY22" s="100">
        <f t="shared" si="42"/>
        <v>13</v>
      </c>
      <c r="IZ22" s="100">
        <f t="shared" si="43"/>
        <v>6</v>
      </c>
      <c r="JA22" s="100">
        <f t="shared" si="44"/>
        <v>7</v>
      </c>
      <c r="JB22" s="101">
        <f t="shared" si="45"/>
        <v>3</v>
      </c>
      <c r="JC22" s="102">
        <f t="shared" si="46"/>
        <v>97</v>
      </c>
      <c r="JD22" s="67">
        <f t="shared" si="50"/>
        <v>0</v>
      </c>
      <c r="JE22" s="67">
        <f t="shared" si="47"/>
        <v>1</v>
      </c>
      <c r="JF22" s="67">
        <f t="shared" si="48"/>
        <v>1</v>
      </c>
    </row>
    <row r="23">
      <c r="A23" s="103">
        <f>IFERROR(__xludf.DUMMYFUNCTION("""COMPUTED_VALUE"""),45925.40311459491)</f>
        <v>45925.40311</v>
      </c>
      <c r="B23" s="95" t="str">
        <f>IFERROR(__xludf.DUMMYFUNCTION("""COMPUTED_VALUE"""),"Abudzar Al Mahbub")</f>
        <v>Abudzar Al Mahbub</v>
      </c>
      <c r="C23" s="96" t="str">
        <f>IFERROR(__xludf.DUMMYFUNCTION("""COMPUTED_VALUE"""),"A250034")</f>
        <v>A250034</v>
      </c>
      <c r="D23" s="96" t="str">
        <f>IFERROR(__xludf.DUMMYFUNCTION("""COMPUTED_VALUE"""),"MTs Putra")</f>
        <v>MTs Putra</v>
      </c>
      <c r="E23" s="96" t="str">
        <f>IFERROR(__xludf.DUMMYFUNCTION("""COMPUTED_VALUE"""),"Ya")</f>
        <v>Ya</v>
      </c>
      <c r="F23" s="95" t="str">
        <f>IFERROR(__xludf.DUMMYFUNCTION("""COMPUTED_VALUE"""),"B Saya ingin melakukan apa saja sebaik mungkin.")</f>
        <v>B Saya ingin melakukan apa saja sebaik mungkin.</v>
      </c>
      <c r="G23" s="95" t="str">
        <f>IFERROR(__xludf.DUMMYFUNCTION("""COMPUTED_VALUE"""),"A Saya ingin setiap tulisan saya teliti, rapi, dan tersusun dengan baik.")</f>
        <v>A Saya ingin setiap tulisan saya teliti, rapi, dan tersusun dengan baik.</v>
      </c>
      <c r="H23" s="95" t="str">
        <f>IFERROR(__xludf.DUMMYFUNCTION("""COMPUTED_VALUE"""),"A Saya ingin berbuat sesuai kata hati saya.")</f>
        <v>A Saya ingin berbuat sesuai kata hati saya.</v>
      </c>
      <c r="I23" s="95" t="str">
        <f>IFERROR(__xludf.DUMMYFUNCTION("""COMPUTED_VALUE"""),"B Saya ingin bisa melakukan dengan baik meskipun tugas yang sulit.")</f>
        <v>B Saya ingin bisa melakukan dengan baik meskipun tugas yang sulit.</v>
      </c>
      <c r="J23" s="95" t="str">
        <f>IFERROR(__xludf.DUMMYFUNCTION("""COMPUTED_VALUE"""),"B Saya ingin mengerjakan tugas sebaik mungkin.")</f>
        <v>B Saya ingin mengerjakan tugas sebaik mungkin.</v>
      </c>
      <c r="K23" s="95" t="str">
        <f>IFERROR(__xludf.DUMMYFUNCTION("""COMPUTED_VALUE"""),"B Saya ingin mengatakan telah melakukan dengan baik sesuatu tugas yang sulit.")</f>
        <v>B Saya ingin mengatakan telah melakukan dengan baik sesuatu tugas yang sulit.</v>
      </c>
      <c r="L23" s="95" t="str">
        <f>IFERROR(__xludf.DUMMYFUNCTION("""COMPUTED_VALUE"""),"B Saya ingin mengatakan telah melakukan dengan baik sesuatu tugas yang sulit")</f>
        <v>B Saya ingin mengatakan telah melakukan dengan baik sesuatu tugas yang sulit</v>
      </c>
      <c r="M23" s="95" t="str">
        <f>IFERROR(__xludf.DUMMYFUNCTION("""COMPUTED_VALUE"""),"B Saya ingin mengerjakan segala tugas lebih baik daripada orang lain.")</f>
        <v>B Saya ingin mengerjakan segala tugas lebih baik daripada orang lain.</v>
      </c>
      <c r="N23" s="95" t="str">
        <f>IFERROR(__xludf.DUMMYFUNCTION("""COMPUTED_VALUE"""),"B Saya suka memecahkan persoalan yang sukar bagi orang lain.")</f>
        <v>B Saya suka memecahkan persoalan yang sukar bagi orang lain.</v>
      </c>
      <c r="O23" s="95" t="str">
        <f>IFERROR(__xludf.DUMMYFUNCTION("""COMPUTED_VALUE"""),"B Saya suka melakukan tugas sebaik mungkin.")</f>
        <v>B Saya suka melakukan tugas sebaik mungkin.</v>
      </c>
      <c r="P23" s="95" t="str">
        <f>IFERROR(__xludf.DUMMYFUNCTION("""COMPUTED_VALUE"""),"B Saya ingin setiap belajar itu teratur dan direncanakan.")</f>
        <v>B Saya ingin setiap belajar itu teratur dan direncanakan.</v>
      </c>
      <c r="Q23" s="95" t="str">
        <f>IFERROR(__xludf.DUMMYFUNCTION("""COMPUTED_VALUE"""),"B Saya merencanakan keperluan yang dibutuhkan sebelum bepergian.")</f>
        <v>B Saya merencanakan keperluan yang dibutuhkan sebelum bepergian.</v>
      </c>
      <c r="R23" s="95" t="str">
        <f>IFERROR(__xludf.DUMMYFUNCTION("""COMPUTED_VALUE"""),"B Saya suka barang-barang saya tersusun rapi dan teratur.")</f>
        <v>B Saya suka barang-barang saya tersusun rapi dan teratur.</v>
      </c>
      <c r="S23" s="95" t="str">
        <f>IFERROR(__xludf.DUMMYFUNCTION("""COMPUTED_VALUE"""),"B Saya suka membuat perencanaan sebelum memulai tugas yang sulit.")</f>
        <v>B Saya suka membuat perencanaan sebelum memulai tugas yang sulit.</v>
      </c>
      <c r="T23" s="95" t="str">
        <f>IFERROR(__xludf.DUMMYFUNCTION("""COMPUTED_VALUE"""),"B Saya ingin agar hidup saya teratur sesuai cita-cita saya.")</f>
        <v>B Saya ingin agar hidup saya teratur sesuai cita-cita saya.</v>
      </c>
      <c r="U23" s="95" t="str">
        <f>IFERROR(__xludf.DUMMYFUNCTION("""COMPUTED_VALUE"""),"B Saya suka menyimpan catatan secara rapi.")</f>
        <v>B Saya suka menyimpan catatan secara rapi.</v>
      </c>
      <c r="V23" s="95" t="str">
        <f>IFERROR(__xludf.DUMMYFUNCTION("""COMPUTED_VALUE"""),"B Saya suka belajar saya teratur dan ada waktu-waktu tertentu untuk belajar.")</f>
        <v>B Saya suka belajar saya teratur dan ada waktu-waktu tertentu untuk belajar.</v>
      </c>
      <c r="W23" s="95" t="str">
        <f>IFERROR(__xludf.DUMMYFUNCTION("""COMPUTED_VALUE"""),"B Saya ingin kegiatan itu teratur dan direncanakan.")</f>
        <v>B Saya ingin kegiatan itu teratur dan direncanakan.</v>
      </c>
      <c r="X23" s="95" t="str">
        <f>IFERROR(__xludf.DUMMYFUNCTION("""COMPUTED_VALUE"""),"A Saya suka merencanakan dan mengatur setiap apa yang harus saya lakukan.")</f>
        <v>A Saya suka merencanakan dan mengatur setiap apa yang harus saya lakukan.</v>
      </c>
      <c r="Y23" s="95" t="str">
        <f>IFERROR(__xludf.DUMMYFUNCTION("""COMPUTED_VALUE"""),"A Saya suka menyelesaikan tugas-tugas yang membutuhkan ketrampilan dan usaha.")</f>
        <v>A Saya suka menyelesaikan tugas-tugas yang membutuhkan ketrampilan dan usaha.</v>
      </c>
      <c r="Z23" s="95" t="str">
        <f>IFERROR(__xludf.DUMMYFUNCTION("""COMPUTED_VALUE"""),"A Saya ingin berhasil dengan belajar yang saya lakukan.")</f>
        <v>A Saya ingin berhasil dengan belajar yang saya lakukan.</v>
      </c>
      <c r="AA23" s="95" t="str">
        <f>IFERROR(__xludf.DUMMYFUNCTION("""COMPUTED_VALUE"""),"A Saya suka menyelesaikan tugas yang telah saya rencanakan.")</f>
        <v>A Saya suka menyelesaikan tugas yang telah saya rencanakan.</v>
      </c>
      <c r="AB23" s="95" t="str">
        <f>IFERROR(__xludf.DUMMYFUNCTION("""COMPUTED_VALUE"""),"B Saya ingin menyelesaikan pekerjaan satu persatu sebelum memulai yang lain.")</f>
        <v>B Saya ingin menyelesaikan pekerjaan satu persatu sebelum memulai yang lain.</v>
      </c>
      <c r="AC23" s="95" t="str">
        <f>IFERROR(__xludf.DUMMYFUNCTION("""COMPUTED_VALUE"""),"A Saya suka menyelesaikan setiap tugas meskipun membutuhkan waktu lama.")</f>
        <v>A Saya suka menyelesaikan setiap tugas meskipun membutuhkan waktu lama.</v>
      </c>
      <c r="AD23" s="95" t="str">
        <f>IFERROR(__xludf.DUMMYFUNCTION("""COMPUTED_VALUE"""),"A Saya suka bermurah hati terhadap teman-teman saya.")</f>
        <v>A Saya suka bermurah hati terhadap teman-teman saya.</v>
      </c>
      <c r="AE23" s="95" t="str">
        <f>IFERROR(__xludf.DUMMYFUNCTION("""COMPUTED_VALUE"""),"A Saya ingin dianggap sebagai pemimpin oleh teman di kelompok.")</f>
        <v>A Saya ingin dianggap sebagai pemimpin oleh teman di kelompok.</v>
      </c>
      <c r="AF23" s="95" t="str">
        <f>IFERROR(__xludf.DUMMYFUNCTION("""COMPUTED_VALUE"""),"B Saya suka melakukan hal-hal dengan cara saya sendiri.")</f>
        <v>B Saya suka melakukan hal-hal dengan cara saya sendiri.</v>
      </c>
      <c r="AG23" s="95" t="str">
        <f>IFERROR(__xludf.DUMMYFUNCTION("""COMPUTED_VALUE"""),"B Saya ingin berhasil dengan tugas yang saya lakukan.")</f>
        <v>B Saya ingin berhasil dengan tugas yang saya lakukan.</v>
      </c>
      <c r="AH23" s="95" t="str">
        <f>IFERROR(__xludf.DUMMYFUNCTION("""COMPUTED_VALUE"""),"B Saya ingin merasa bebas untuk melakukan apa yang saya kehendaki.")</f>
        <v>B Saya ingin merasa bebas untuk melakukan apa yang saya kehendaki.</v>
      </c>
      <c r="AI23" s="95" t="str">
        <f>IFERROR(__xludf.DUMMYFUNCTION("""COMPUTED_VALUE"""),"A Saya ingin menghardik orang lain bila saya berbeda pendapat dengan mereka.")</f>
        <v>A Saya ingin menghardik orang lain bila saya berbeda pendapat dengan mereka.</v>
      </c>
      <c r="AJ23" s="95" t="str">
        <f>IFERROR(__xludf.DUMMYFUNCTION("""COMPUTED_VALUE"""),"B Saya suka bertahan menghadapi satu masalah meskipun belum tentu berhasil.")</f>
        <v>B Saya suka bertahan menghadapi satu masalah meskipun belum tentu berhasil.</v>
      </c>
      <c r="AK23" s="95" t="str">
        <f>IFERROR(__xludf.DUMMYFUNCTION("""COMPUTED_VALUE"""),"B Bila saya harus melakukan suatu tugas, saya ingin mengerjakan sampai selesai.")</f>
        <v>B Bila saya harus melakukan suatu tugas, saya ingin mengerjakan sampai selesai.</v>
      </c>
      <c r="AL23" s="95" t="str">
        <f>IFERROR(__xludf.DUMMYFUNCTION("""COMPUTED_VALUE"""),"B Saya ingin menghindarkan gangguan bila saya sedang belajar.")</f>
        <v>B Saya ingin menghindarkan gangguan bila saya sedang belajar.</v>
      </c>
      <c r="AM23" s="95" t="str">
        <f>IFERROR(__xludf.DUMMYFUNCTION("""COMPUTED_VALUE"""),"B Saya suka belajar sampai malam untuk menyelesaikan suatu tugas.")</f>
        <v>B Saya suka belajar sampai malam untuk menyelesaikan suatu tugas.</v>
      </c>
      <c r="AN23" s="95" t="str">
        <f>IFERROR(__xludf.DUMMYFUNCTION("""COMPUTED_VALUE"""),"A Saya tidak suka pada orang yang semena-mena.")</f>
        <v>A Saya tidak suka pada orang yang semena-mena.</v>
      </c>
      <c r="AO23" s="95" t="str">
        <f>IFERROR(__xludf.DUMMYFUNCTION("""COMPUTED_VALUE"""),"B Saya suka menyelesaikan setiap tugas meskipun membutuhkan waktu lama.")</f>
        <v>B Saya suka menyelesaikan setiap tugas meskipun membutuhkan waktu lama.</v>
      </c>
      <c r="AP23" s="95" t="str">
        <f>IFERROR(__xludf.DUMMYFUNCTION("""COMPUTED_VALUE"""),"B Saya suka bertahan menghadapi satu masalah meskipun belum tentu berhasil.")</f>
        <v>B Saya suka bertahan menghadapi satu masalah meskipun belum tentu berhasil.</v>
      </c>
      <c r="AQ23" s="95" t="str">
        <f>IFERROR(__xludf.DUMMYFUNCTION("""COMPUTED_VALUE"""),"B Bila saya harus melakukan suatu tugas, saya ingin mengerjakan sampai selesai.")</f>
        <v>B Bila saya harus melakukan suatu tugas, saya ingin mengerjakan sampai selesai.</v>
      </c>
      <c r="AR23" s="95" t="str">
        <f>IFERROR(__xludf.DUMMYFUNCTION("""COMPUTED_VALUE"""),"A Saya suka menyimpan catatan secara rapi.")</f>
        <v>A Saya suka menyimpan catatan secara rapi.</v>
      </c>
      <c r="AS23" s="95" t="str">
        <f>IFERROR(__xludf.DUMMYFUNCTION("""COMPUTED_VALUE"""),"B Saya suka belajar sampai malam untuk menyelesaikan suatu tugas.")</f>
        <v>B Saya suka belajar sampai malam untuk menyelesaikan suatu tugas.</v>
      </c>
      <c r="AT23" s="95" t="str">
        <f>IFERROR(__xludf.DUMMYFUNCTION("""COMPUTED_VALUE"""),"B Saya suka membantu orang lain yang menurut saya perlu dikasihani.")</f>
        <v>B Saya suka membantu orang lain yang menurut saya perlu dikasihani.</v>
      </c>
      <c r="AU23" s="95" t="str">
        <f>IFERROR(__xludf.DUMMYFUNCTION("""COMPUTED_VALUE"""),"A Saya ingin menyelesaikan pekerjaan satu persatu sebelum memulai yang lain.")</f>
        <v>A Saya ingin menyelesaikan pekerjaan satu persatu sebelum memulai yang lain.</v>
      </c>
      <c r="AV23" s="95" t="str">
        <f>IFERROR(__xludf.DUMMYFUNCTION("""COMPUTED_VALUE"""),"B Saya suka menolong teman-teman saya.")</f>
        <v>B Saya suka menolong teman-teman saya.</v>
      </c>
      <c r="AW23" s="95" t="str">
        <f>IFERROR(__xludf.DUMMYFUNCTION("""COMPUTED_VALUE"""),"A Saya ingin mengerjakan tugas sampai selesai.")</f>
        <v>A Saya ingin mengerjakan tugas sampai selesai.</v>
      </c>
      <c r="AX23" s="95" t="str">
        <f>IFERROR(__xludf.DUMMYFUNCTION("""COMPUTED_VALUE"""),"B Saya suka memaafkan teman-teman saya yang menyakiti hati saya.")</f>
        <v>B Saya suka memaafkan teman-teman saya yang menyakiti hati saya.</v>
      </c>
      <c r="AY23" s="95" t="str">
        <f>IFERROR(__xludf.DUMMYFUNCTION("""COMPUTED_VALUE"""),"B Saya suka menolong teman-teman saya apabila mereka dalam kesulitan.")</f>
        <v>B Saya suka menolong teman-teman saya apabila mereka dalam kesulitan.</v>
      </c>
      <c r="AZ23" s="95" t="str">
        <f>IFERROR(__xludf.DUMMYFUNCTION("""COMPUTED_VALUE"""),"B Saya suka menunjukkan simpati saya kepada teman-teman saya.")</f>
        <v>B Saya suka menunjukkan simpati saya kepada teman-teman saya.</v>
      </c>
      <c r="BA23" s="95" t="str">
        <f>IFERROR(__xludf.DUMMYFUNCTION("""COMPUTED_VALUE"""),"B Saya suka memperlakukan orang lain dengan baik dan ramah.")</f>
        <v>B Saya suka memperlakukan orang lain dengan baik dan ramah.</v>
      </c>
      <c r="BB23" s="95" t="str">
        <f>IFERROR(__xludf.DUMMYFUNCTION("""COMPUTED_VALUE"""),"B Saya suka bermurah hati terhadap teman-teman saya.")</f>
        <v>B Saya suka bermurah hati terhadap teman-teman saya.</v>
      </c>
      <c r="BC23" s="95" t="str">
        <f>IFERROR(__xludf.DUMMYFUNCTION("""COMPUTED_VALUE"""),"B Saya suka membantu orang lain yang menurut saya perlu dikasihani.")</f>
        <v>B Saya suka membantu orang lain yang menurut saya perlu dikasihani.</v>
      </c>
      <c r="BD23" s="95" t="str">
        <f>IFERROR(__xludf.DUMMYFUNCTION("""COMPUTED_VALUE"""),"B Saya suka bersikukuh dengan pendirian saya.")</f>
        <v>B Saya suka bersikukuh dengan pendirian saya.</v>
      </c>
      <c r="BE23" s="95" t="str">
        <f>IFERROR(__xludf.DUMMYFUNCTION("""COMPUTED_VALUE"""),"B Saya ingin orang lain melakukan apa yang saya kehendaki.")</f>
        <v>B Saya ingin orang lain melakukan apa yang saya kehendaki.</v>
      </c>
      <c r="BF23" s="95" t="str">
        <f>IFERROR(__xludf.DUMMYFUNCTION("""COMPUTED_VALUE"""),"B Bila saya dalam kelompok, saya ingin menentukan apa yang akan kita lakukan.")</f>
        <v>B Bila saya dalam kelompok, saya ingin menentukan apa yang akan kita lakukan.</v>
      </c>
      <c r="BG23" s="95" t="str">
        <f>IFERROR(__xludf.DUMMYFUNCTION("""COMPUTED_VALUE"""),"B Saya suka mengarahkan kepada orang lain apa yang harus dilakukan.")</f>
        <v>B Saya suka mengarahkan kepada orang lain apa yang harus dilakukan.</v>
      </c>
      <c r="BH23" s="95" t="str">
        <f>IFERROR(__xludf.DUMMYFUNCTION("""COMPUTED_VALUE"""),"B Apabila saya berkumpul dalam kelompok, saya ingin dihargai teman-teman.")</f>
        <v>B Apabila saya berkumpul dalam kelompok, saya ingin dihargai teman-teman.</v>
      </c>
      <c r="BI23" s="95" t="str">
        <f>IFERROR(__xludf.DUMMYFUNCTION("""COMPUTED_VALUE"""),"A Saya suka bermurah hati terhadap teman-teman saya.")</f>
        <v>A Saya suka bermurah hati terhadap teman-teman saya.</v>
      </c>
      <c r="BJ23" s="95" t="str">
        <f>IFERROR(__xludf.DUMMYFUNCTION("""COMPUTED_VALUE"""),"A Saya ingin mengerjakan tugas sampai selesai.")</f>
        <v>A Saya ingin mengerjakan tugas sampai selesai.</v>
      </c>
      <c r="BK23" s="95" t="str">
        <f>IFERROR(__xludf.DUMMYFUNCTION("""COMPUTED_VALUE"""),"B Saya senang untuk diminta menyelesaikan pertentangan-pertentangan.")</f>
        <v>B Saya senang untuk diminta menyelesaikan pertentangan-pertentangan.</v>
      </c>
      <c r="BL23" s="95" t="str">
        <f>IFERROR(__xludf.DUMMYFUNCTION("""COMPUTED_VALUE"""),"A Saya suka belajar saya teratur dan ada waktu-waktu tertentu untuk belajar.")</f>
        <v>A Saya suka belajar saya teratur dan ada waktu-waktu tertentu untuk belajar.</v>
      </c>
      <c r="BM23" s="95" t="str">
        <f>IFERROR(__xludf.DUMMYFUNCTION("""COMPUTED_VALUE"""),"A Saya suka melakukan pekerjaan sebaik mungkin.")</f>
        <v>A Saya suka melakukan pekerjaan sebaik mungkin.</v>
      </c>
      <c r="BN23" s="95" t="str">
        <f>IFERROR(__xludf.DUMMYFUNCTION("""COMPUTED_VALUE"""),"B Saya ingin teman-teman memberi dorongan bila saya menghadapi kegagalan.")</f>
        <v>B Saya ingin teman-teman memberi dorongan bila saya menghadapi kegagalan.</v>
      </c>
      <c r="BO23" s="95" t="str">
        <f>IFERROR(__xludf.DUMMYFUNCTION("""COMPUTED_VALUE"""),"A Saya suka membuat perencanaan sebelum memulai belajar yang sulit.")</f>
        <v>A Saya suka membuat perencanaan sebelum memulai belajar yang sulit.</v>
      </c>
      <c r="BP23" s="95" t="str">
        <f>IFERROR(__xludf.DUMMYFUNCTION("""COMPUTED_VALUE"""),"B Saya ingin teman-teman saya merasa kasihan pada saya apabila saya sakit.")</f>
        <v>B Saya ingin teman-teman saya merasa kasihan pada saya apabila saya sakit.</v>
      </c>
      <c r="BQ23" s="95" t="str">
        <f>IFERROR(__xludf.DUMMYFUNCTION("""COMPUTED_VALUE"""),"A Saya ingin mengerjakannya tugas sampai selesai.")</f>
        <v>A Saya ingin mengerjakannya tugas sampai selesai.</v>
      </c>
      <c r="BR23" s="95" t="str">
        <f>IFERROR(__xludf.DUMMYFUNCTION("""COMPUTED_VALUE"""),"A Saya suka memaafkan teman-teman saya yang menyakiti hati saya.")</f>
        <v>A Saya suka memaafkan teman-teman saya yang menyakiti hati saya.</v>
      </c>
      <c r="BS23" s="95" t="str">
        <f>IFERROR(__xludf.DUMMYFUNCTION("""COMPUTED_VALUE"""),"B Saya ingin teman-teman saya membantu saya bila saya mengalami kesulitan")</f>
        <v>B Saya ingin teman-teman saya membantu saya bila saya mengalami kesulitan</v>
      </c>
      <c r="BT23" s="95" t="str">
        <f>IFERROR(__xludf.DUMMYFUNCTION("""COMPUTED_VALUE"""),"A Saya ingin teman-teman saya merasa kasihan pada saya apabila saya sakit.")</f>
        <v>A Saya ingin teman-teman saya merasa kasihan pada saya apabila saya sakit.</v>
      </c>
      <c r="BU23" s="95" t="str">
        <f>IFERROR(__xludf.DUMMYFUNCTION("""COMPUTED_VALUE"""),"B Saya ingin agar teman-teman saya merasa kasihan pada saya apabila saya sakit.")</f>
        <v>B Saya ingin agar teman-teman saya merasa kasihan pada saya apabila saya sakit.</v>
      </c>
      <c r="BV23" s="95" t="str">
        <f>IFERROR(__xludf.DUMMYFUNCTION("""COMPUTED_VALUE"""),"B Saya ingin teman-teman dengan gembira memberikan pertolongan kepada saya.")</f>
        <v>B Saya ingin teman-teman dengan gembira memberikan pertolongan kepada saya.</v>
      </c>
      <c r="BW23" s="95" t="str">
        <f>IFERROR(__xludf.DUMMYFUNCTION("""COMPUTED_VALUE"""),"B Saya ingin diperlakukan dengan baik oleh teman-teman saya.")</f>
        <v>B Saya ingin diperlakukan dengan baik oleh teman-teman saya.</v>
      </c>
      <c r="BX23" s="95" t="str">
        <f>IFERROR(__xludf.DUMMYFUNCTION("""COMPUTED_VALUE"""),"B Saya kadang-kadang suka melakukan hal-hal yang dapat dipuji oleh orang lain.")</f>
        <v>B Saya kadang-kadang suka melakukan hal-hal yang dapat dipuji oleh orang lain.</v>
      </c>
      <c r="BY23" s="95" t="str">
        <f>IFERROR(__xludf.DUMMYFUNCTION("""COMPUTED_VALUE"""),"B Saya ingin orang lain memperhatikan dan berkomentar tentang penampilan saya.")</f>
        <v>B Saya ingin orang lain memperhatikan dan berkomentar tentang penampilan saya.</v>
      </c>
      <c r="BZ23" s="95" t="str">
        <f>IFERROR(__xludf.DUMMYFUNCTION("""COMPUTED_VALUE"""),"A Saya suka berkata yang artinya sulit dipahami oleh orang lain.")</f>
        <v>A Saya suka berkata yang artinya sulit dipahami oleh orang lain.</v>
      </c>
      <c r="CA23" s="95" t="str">
        <f>IFERROR(__xludf.DUMMYFUNCTION("""COMPUTED_VALUE"""),"A Saya ingin teman-teman dengan gembira memberikan pertolongan kepada saya.")</f>
        <v>A Saya ingin teman-teman dengan gembira memberikan pertolongan kepada saya.</v>
      </c>
      <c r="CB23" s="95" t="str">
        <f>IFERROR(__xludf.DUMMYFUNCTION("""COMPUTED_VALUE"""),"B Saya suka berbicara tentang hal-hal yang telah saya capai.")</f>
        <v>B Saya suka berbicara tentang hal-hal yang telah saya capai.</v>
      </c>
      <c r="CC23" s="95" t="str">
        <f>IFERROR(__xludf.DUMMYFUNCTION("""COMPUTED_VALUE"""),"A Apabila saya berkumpul dalam kelompok, saya ingin dihargai teman-teman.")</f>
        <v>A Apabila saya berkumpul dalam kelompok, saya ingin dihargai teman-teman.</v>
      </c>
      <c r="CD23" s="95" t="str">
        <f>IFERROR(__xludf.DUMMYFUNCTION("""COMPUTED_VALUE"""),"A Saya suka menyelesaikan setiap tugas meskipun membutuhkan waktu lama.")</f>
        <v>A Saya suka menyelesaikan setiap tugas meskipun membutuhkan waktu lama.</v>
      </c>
      <c r="CE23" s="95" t="str">
        <f>IFERROR(__xludf.DUMMYFUNCTION("""COMPUTED_VALUE"""),"A Saya suka menyelesaikan setiap tugas belajar yang telah saya mulai.")</f>
        <v>A Saya suka menyelesaikan setiap tugas belajar yang telah saya mulai.</v>
      </c>
      <c r="CF23" s="95" t="str">
        <f>IFERROR(__xludf.DUMMYFUNCTION("""COMPUTED_VALUE"""),"A Saya ingin agar hidup saya teratur sesuai cita-cita saya.")</f>
        <v>A Saya ingin agar hidup saya teratur sesuai cita-cita saya.</v>
      </c>
      <c r="CG23" s="95" t="str">
        <f>IFERROR(__xludf.DUMMYFUNCTION("""COMPUTED_VALUE"""),"A Saya ingin berhasil dalam apa yang saya lakukan.")</f>
        <v>A Saya ingin berhasil dalam apa yang saya lakukan.</v>
      </c>
      <c r="CH23" s="95" t="str">
        <f>IFERROR(__xludf.DUMMYFUNCTION("""COMPUTED_VALUE"""),"A Saya ingin bisa melakukan dengan baik sesuatu pekerjaan sulit.")</f>
        <v>A Saya ingin bisa melakukan dengan baik sesuatu pekerjaan sulit.</v>
      </c>
      <c r="CI23" s="95" t="str">
        <f>IFERROR(__xludf.DUMMYFUNCTION("""COMPUTED_VALUE"""),"A Saya suka belajar saya teratur dan ada waktu-waktu tertentu untuk belajar.")</f>
        <v>A Saya suka belajar saya teratur dan ada waktu-waktu tertentu untuk belajar.</v>
      </c>
      <c r="CJ23" s="95" t="str">
        <f>IFERROR(__xludf.DUMMYFUNCTION("""COMPUTED_VALUE"""),"A Saya ingin tidak tergantung dari orang lain terhadap apa yang akan saya lakukan.")</f>
        <v>A Saya ingin tidak tergantung dari orang lain terhadap apa yang akan saya lakukan.</v>
      </c>
      <c r="CK23" s="95" t="str">
        <f>IFERROR(__xludf.DUMMYFUNCTION("""COMPUTED_VALUE"""),"B Saya senang ikut beraktivitas bersama teman sebaya saya.")</f>
        <v>B Saya senang ikut beraktivitas bersama teman sebaya saya.</v>
      </c>
      <c r="CL23" s="95" t="str">
        <f>IFERROR(__xludf.DUMMYFUNCTION("""COMPUTED_VALUE"""),"A Saya suka menolong teman-teman saya, apabila mereka dalam kesulitan.")</f>
        <v>A Saya suka menolong teman-teman saya, apabila mereka dalam kesulitan.</v>
      </c>
      <c r="CM23" s="95" t="str">
        <f>IFERROR(__xludf.DUMMYFUNCTION("""COMPUTED_VALUE"""),"A Saya ingin ditunjuk atau dipilih sebagai ketua dalam suatu kelompok.")</f>
        <v>A Saya ingin ditunjuk atau dipilih sebagai ketua dalam suatu kelompok.</v>
      </c>
      <c r="CN23" s="95" t="str">
        <f>IFERROR(__xludf.DUMMYFUNCTION("""COMPUTED_VALUE"""),"A Saya ingin diperlakukan dengan baik oleh teman-teman saya.")</f>
        <v>A Saya ingin diperlakukan dengan baik oleh teman-teman saya.</v>
      </c>
      <c r="CO23" s="95" t="str">
        <f>IFERROR(__xludf.DUMMYFUNCTION("""COMPUTED_VALUE"""),"A Saya suka menceritakan hal-hal lucu agar diperhatikan oleh orang lain.")</f>
        <v>A Saya suka menceritakan hal-hal lucu agar diperhatikan oleh orang lain.</v>
      </c>
      <c r="CP23" s="95" t="str">
        <f>IFERROR(__xludf.DUMMYFUNCTION("""COMPUTED_VALUE"""),"A Saya suka melamun atau membayangkan sesuatu sendirian.")</f>
        <v>A Saya suka melamun atau membayangkan sesuatu sendirian.</v>
      </c>
      <c r="CQ23" s="95" t="str">
        <f>IFERROR(__xludf.DUMMYFUNCTION("""COMPUTED_VALUE"""),"B Saya merasa kagum pada seseorang.")</f>
        <v>B Saya merasa kagum pada seseorang.</v>
      </c>
      <c r="CR23" s="95" t="str">
        <f>IFERROR(__xludf.DUMMYFUNCTION("""COMPUTED_VALUE"""),"A Saya ingin memperolok-olok orang yang saya anggap melakukan tindakan bodoh.")</f>
        <v>A Saya ingin memperolok-olok orang yang saya anggap melakukan tindakan bodoh.</v>
      </c>
      <c r="CS23" s="95" t="str">
        <f>IFERROR(__xludf.DUMMYFUNCTION("""COMPUTED_VALUE"""),"A Saya ingin terlihat menarik di depan teman-teman saya.")</f>
        <v>A Saya ingin terlihat menarik di depan teman-teman saya.</v>
      </c>
      <c r="CT23" s="95" t="str">
        <f>IFERROR(__xludf.DUMMYFUNCTION("""COMPUTED_VALUE"""),"A Saya ingin orang-orang memperhatikan komentar mengenai penampilan saya.")</f>
        <v>A Saya ingin orang-orang memperhatikan komentar mengenai penampilan saya.</v>
      </c>
      <c r="CU23" s="95" t="str">
        <f>IFERROR(__xludf.DUMMYFUNCTION("""COMPUTED_VALUE"""),"A Saya ingin diperlakukan dengan ramah oleh teman-teman saya.")</f>
        <v>A Saya ingin diperlakukan dengan ramah oleh teman-teman saya.</v>
      </c>
      <c r="CV23" s="95" t="str">
        <f>IFERROR(__xludf.DUMMYFUNCTION("""COMPUTED_VALUE"""),"A Saya ingin ditunjuk atau dipilih sebagai ketua dalam suatu kelompok.")</f>
        <v>A Saya ingin ditunjuk atau dipilih sebagai ketua dalam suatu kelompok.</v>
      </c>
      <c r="CW23" s="95" t="str">
        <f>IFERROR(__xludf.DUMMYFUNCTION("""COMPUTED_VALUE"""),"A Saya suka menolong teman-teman saya, apabila mereka dalam kesulitan.")</f>
        <v>A Saya suka menolong teman-teman saya, apabila mereka dalam kesulitan.</v>
      </c>
      <c r="CX23" s="95" t="str">
        <f>IFERROR(__xludf.DUMMYFUNCTION("""COMPUTED_VALUE"""),"A Saya suka belajar sampai malam untuk menyelesaikan suatu tugas.")</f>
        <v>A Saya suka belajar sampai malam untuk menyelesaikan suatu tugas.</v>
      </c>
      <c r="CY23" s="95" t="str">
        <f>IFERROR(__xludf.DUMMYFUNCTION("""COMPUTED_VALUE"""),"A Saya ingin tidak tergantung dari orang lain terhadap apa yang akan saya lakukan.")</f>
        <v>A Saya ingin tidak tergantung dari orang lain terhadap apa yang akan saya lakukan.</v>
      </c>
      <c r="CZ23" s="95" t="str">
        <f>IFERROR(__xludf.DUMMYFUNCTION("""COMPUTED_VALUE"""),"A Saya suka merencanakan dan mengatur setiap pekerjaan yang harus saya lakukan.")</f>
        <v>A Saya suka merencanakan dan mengatur setiap pekerjaan yang harus saya lakukan.</v>
      </c>
      <c r="DA23" s="95" t="str">
        <f>IFERROR(__xludf.DUMMYFUNCTION("""COMPUTED_VALUE"""),"A Saya ingin melakukan apa saja sebaik mungkin.")</f>
        <v>A Saya ingin melakukan apa saja sebaik mungkin.</v>
      </c>
      <c r="DB23" s="89" t="s">
        <v>23</v>
      </c>
      <c r="DC23" s="97" t="str">
        <f t="shared" ref="DC23:GX23" si="68">LEFT(F23,1)</f>
        <v>B</v>
      </c>
      <c r="DD23" s="97" t="str">
        <f t="shared" si="68"/>
        <v>A</v>
      </c>
      <c r="DE23" s="97" t="str">
        <f t="shared" si="68"/>
        <v>A</v>
      </c>
      <c r="DF23" s="97" t="str">
        <f t="shared" si="68"/>
        <v>B</v>
      </c>
      <c r="DG23" s="97" t="str">
        <f t="shared" si="68"/>
        <v>B</v>
      </c>
      <c r="DH23" s="97" t="str">
        <f t="shared" si="68"/>
        <v>B</v>
      </c>
      <c r="DI23" s="97" t="str">
        <f t="shared" si="68"/>
        <v>B</v>
      </c>
      <c r="DJ23" s="97" t="str">
        <f t="shared" si="68"/>
        <v>B</v>
      </c>
      <c r="DK23" s="97" t="str">
        <f t="shared" si="68"/>
        <v>B</v>
      </c>
      <c r="DL23" s="97" t="str">
        <f t="shared" si="68"/>
        <v>B</v>
      </c>
      <c r="DM23" s="97" t="str">
        <f t="shared" si="68"/>
        <v>B</v>
      </c>
      <c r="DN23" s="97" t="str">
        <f t="shared" si="68"/>
        <v>B</v>
      </c>
      <c r="DO23" s="97" t="str">
        <f t="shared" si="68"/>
        <v>B</v>
      </c>
      <c r="DP23" s="97" t="str">
        <f t="shared" si="68"/>
        <v>B</v>
      </c>
      <c r="DQ23" s="97" t="str">
        <f t="shared" si="68"/>
        <v>B</v>
      </c>
      <c r="DR23" s="97" t="str">
        <f t="shared" si="68"/>
        <v>B</v>
      </c>
      <c r="DS23" s="97" t="str">
        <f t="shared" si="68"/>
        <v>B</v>
      </c>
      <c r="DT23" s="97" t="str">
        <f t="shared" si="68"/>
        <v>B</v>
      </c>
      <c r="DU23" s="97" t="str">
        <f t="shared" si="68"/>
        <v>A</v>
      </c>
      <c r="DV23" s="97" t="str">
        <f t="shared" si="68"/>
        <v>A</v>
      </c>
      <c r="DW23" s="97" t="str">
        <f t="shared" si="68"/>
        <v>A</v>
      </c>
      <c r="DX23" s="97" t="str">
        <f t="shared" si="68"/>
        <v>A</v>
      </c>
      <c r="DY23" s="97" t="str">
        <f t="shared" si="68"/>
        <v>B</v>
      </c>
      <c r="DZ23" s="97" t="str">
        <f t="shared" si="68"/>
        <v>A</v>
      </c>
      <c r="EA23" s="97" t="str">
        <f t="shared" si="68"/>
        <v>A</v>
      </c>
      <c r="EB23" s="97" t="str">
        <f t="shared" si="68"/>
        <v>A</v>
      </c>
      <c r="EC23" s="97" t="str">
        <f t="shared" si="68"/>
        <v>B</v>
      </c>
      <c r="ED23" s="97" t="str">
        <f t="shared" si="68"/>
        <v>B</v>
      </c>
      <c r="EE23" s="97" t="str">
        <f t="shared" si="68"/>
        <v>B</v>
      </c>
      <c r="EF23" s="97" t="str">
        <f t="shared" si="68"/>
        <v>A</v>
      </c>
      <c r="EG23" s="97" t="str">
        <f t="shared" si="68"/>
        <v>B</v>
      </c>
      <c r="EH23" s="97" t="str">
        <f t="shared" si="68"/>
        <v>B</v>
      </c>
      <c r="EI23" s="97" t="str">
        <f t="shared" si="68"/>
        <v>B</v>
      </c>
      <c r="EJ23" s="97" t="str">
        <f t="shared" si="68"/>
        <v>B</v>
      </c>
      <c r="EK23" s="97" t="str">
        <f t="shared" si="68"/>
        <v>A</v>
      </c>
      <c r="EL23" s="97" t="str">
        <f t="shared" si="68"/>
        <v>B</v>
      </c>
      <c r="EM23" s="97" t="str">
        <f t="shared" si="68"/>
        <v>B</v>
      </c>
      <c r="EN23" s="97" t="str">
        <f t="shared" si="68"/>
        <v>B</v>
      </c>
      <c r="EO23" s="97" t="str">
        <f t="shared" si="68"/>
        <v>A</v>
      </c>
      <c r="EP23" s="97" t="str">
        <f t="shared" si="68"/>
        <v>B</v>
      </c>
      <c r="EQ23" s="97" t="str">
        <f t="shared" si="68"/>
        <v>B</v>
      </c>
      <c r="ER23" s="97" t="str">
        <f t="shared" si="68"/>
        <v>A</v>
      </c>
      <c r="ES23" s="97" t="str">
        <f t="shared" si="68"/>
        <v>B</v>
      </c>
      <c r="ET23" s="97" t="str">
        <f t="shared" si="68"/>
        <v>A</v>
      </c>
      <c r="EU23" s="97" t="str">
        <f t="shared" si="68"/>
        <v>B</v>
      </c>
      <c r="EV23" s="97" t="str">
        <f t="shared" si="68"/>
        <v>B</v>
      </c>
      <c r="EW23" s="97" t="str">
        <f t="shared" si="68"/>
        <v>B</v>
      </c>
      <c r="EX23" s="97" t="str">
        <f t="shared" si="68"/>
        <v>B</v>
      </c>
      <c r="EY23" s="97" t="str">
        <f t="shared" si="68"/>
        <v>B</v>
      </c>
      <c r="EZ23" s="97" t="str">
        <f t="shared" si="68"/>
        <v>B</v>
      </c>
      <c r="FA23" s="97" t="str">
        <f t="shared" si="68"/>
        <v>B</v>
      </c>
      <c r="FB23" s="97" t="str">
        <f t="shared" si="68"/>
        <v>B</v>
      </c>
      <c r="FC23" s="97" t="str">
        <f t="shared" si="68"/>
        <v>B</v>
      </c>
      <c r="FD23" s="97" t="str">
        <f t="shared" si="68"/>
        <v>B</v>
      </c>
      <c r="FE23" s="97" t="str">
        <f t="shared" si="68"/>
        <v>B</v>
      </c>
      <c r="FF23" s="97" t="str">
        <f t="shared" si="68"/>
        <v>A</v>
      </c>
      <c r="FG23" s="97" t="str">
        <f t="shared" si="68"/>
        <v>A</v>
      </c>
      <c r="FH23" s="97" t="str">
        <f t="shared" si="68"/>
        <v>B</v>
      </c>
      <c r="FI23" s="97" t="str">
        <f t="shared" si="68"/>
        <v>A</v>
      </c>
      <c r="FJ23" s="97" t="str">
        <f t="shared" si="68"/>
        <v>A</v>
      </c>
      <c r="FK23" s="97" t="str">
        <f t="shared" si="68"/>
        <v>B</v>
      </c>
      <c r="FL23" s="97" t="str">
        <f t="shared" si="68"/>
        <v>A</v>
      </c>
      <c r="FM23" s="97" t="str">
        <f t="shared" si="68"/>
        <v>B</v>
      </c>
      <c r="FN23" s="97" t="str">
        <f t="shared" si="68"/>
        <v>A</v>
      </c>
      <c r="FO23" s="97" t="str">
        <f t="shared" si="68"/>
        <v>A</v>
      </c>
      <c r="FP23" s="97" t="str">
        <f t="shared" si="68"/>
        <v>B</v>
      </c>
      <c r="FQ23" s="97" t="str">
        <f t="shared" si="68"/>
        <v>A</v>
      </c>
      <c r="FR23" s="97" t="str">
        <f t="shared" si="68"/>
        <v>B</v>
      </c>
      <c r="FS23" s="97" t="str">
        <f t="shared" si="68"/>
        <v>B</v>
      </c>
      <c r="FT23" s="97" t="str">
        <f t="shared" si="68"/>
        <v>B</v>
      </c>
      <c r="FU23" s="97" t="str">
        <f t="shared" si="68"/>
        <v>B</v>
      </c>
      <c r="FV23" s="97" t="str">
        <f t="shared" si="68"/>
        <v>B</v>
      </c>
      <c r="FW23" s="97" t="str">
        <f t="shared" si="68"/>
        <v>A</v>
      </c>
      <c r="FX23" s="97" t="str">
        <f t="shared" si="68"/>
        <v>A</v>
      </c>
      <c r="FY23" s="97" t="str">
        <f t="shared" si="68"/>
        <v>B</v>
      </c>
      <c r="FZ23" s="97" t="str">
        <f t="shared" si="68"/>
        <v>A</v>
      </c>
      <c r="GA23" s="97" t="str">
        <f t="shared" si="68"/>
        <v>A</v>
      </c>
      <c r="GB23" s="97" t="str">
        <f t="shared" si="68"/>
        <v>A</v>
      </c>
      <c r="GC23" s="97" t="str">
        <f t="shared" si="68"/>
        <v>A</v>
      </c>
      <c r="GD23" s="97" t="str">
        <f t="shared" si="68"/>
        <v>A</v>
      </c>
      <c r="GE23" s="97" t="str">
        <f t="shared" si="68"/>
        <v>A</v>
      </c>
      <c r="GF23" s="97" t="str">
        <f t="shared" si="68"/>
        <v>A</v>
      </c>
      <c r="GG23" s="97" t="str">
        <f t="shared" si="68"/>
        <v>A</v>
      </c>
      <c r="GH23" s="97" t="str">
        <f t="shared" si="68"/>
        <v>B</v>
      </c>
      <c r="GI23" s="97" t="str">
        <f t="shared" si="68"/>
        <v>A</v>
      </c>
      <c r="GJ23" s="97" t="str">
        <f t="shared" si="68"/>
        <v>A</v>
      </c>
      <c r="GK23" s="97" t="str">
        <f t="shared" si="68"/>
        <v>A</v>
      </c>
      <c r="GL23" s="97" t="str">
        <f t="shared" si="68"/>
        <v>A</v>
      </c>
      <c r="GM23" s="97" t="str">
        <f t="shared" si="68"/>
        <v>A</v>
      </c>
      <c r="GN23" s="97" t="str">
        <f t="shared" si="68"/>
        <v>B</v>
      </c>
      <c r="GO23" s="97" t="str">
        <f t="shared" si="68"/>
        <v>A</v>
      </c>
      <c r="GP23" s="97" t="str">
        <f t="shared" si="68"/>
        <v>A</v>
      </c>
      <c r="GQ23" s="97" t="str">
        <f t="shared" si="68"/>
        <v>A</v>
      </c>
      <c r="GR23" s="97" t="str">
        <f t="shared" si="68"/>
        <v>A</v>
      </c>
      <c r="GS23" s="97" t="str">
        <f t="shared" si="68"/>
        <v>A</v>
      </c>
      <c r="GT23" s="97" t="str">
        <f t="shared" si="68"/>
        <v>A</v>
      </c>
      <c r="GU23" s="97" t="str">
        <f t="shared" si="68"/>
        <v>A</v>
      </c>
      <c r="GV23" s="97" t="str">
        <f t="shared" si="68"/>
        <v>A</v>
      </c>
      <c r="GW23" s="97" t="str">
        <f t="shared" si="68"/>
        <v>A</v>
      </c>
      <c r="GX23" s="97" t="str">
        <f t="shared" si="68"/>
        <v>A</v>
      </c>
      <c r="GY23" s="98"/>
      <c r="GZ23" s="97">
        <f t="shared" si="3"/>
        <v>47</v>
      </c>
      <c r="HA23" s="97">
        <f t="shared" si="4"/>
        <v>53</v>
      </c>
      <c r="HB23" s="90">
        <f t="shared" si="5"/>
        <v>100</v>
      </c>
      <c r="HC23" s="99"/>
      <c r="HD23" s="97">
        <f t="shared" si="6"/>
        <v>6</v>
      </c>
      <c r="HE23" s="97">
        <f t="shared" si="7"/>
        <v>7</v>
      </c>
      <c r="HF23" s="90">
        <f t="shared" si="8"/>
        <v>13</v>
      </c>
      <c r="HG23" s="99"/>
      <c r="HH23" s="97">
        <f t="shared" si="9"/>
        <v>9</v>
      </c>
      <c r="HI23" s="97">
        <f t="shared" si="10"/>
        <v>8</v>
      </c>
      <c r="HJ23" s="90">
        <f t="shared" si="11"/>
        <v>17</v>
      </c>
      <c r="HK23" s="99"/>
      <c r="HL23" s="97">
        <f t="shared" si="12"/>
        <v>4</v>
      </c>
      <c r="HM23" s="97">
        <f t="shared" si="13"/>
        <v>4</v>
      </c>
      <c r="HN23" s="90">
        <f t="shared" si="14"/>
        <v>8</v>
      </c>
      <c r="HO23" s="99"/>
      <c r="HP23" s="97">
        <f t="shared" si="15"/>
        <v>6</v>
      </c>
      <c r="HQ23" s="97">
        <f t="shared" si="16"/>
        <v>8</v>
      </c>
      <c r="HR23" s="90">
        <f t="shared" si="17"/>
        <v>14</v>
      </c>
      <c r="HS23" s="99"/>
      <c r="HT23" s="97">
        <f t="shared" si="18"/>
        <v>6</v>
      </c>
      <c r="HU23" s="97">
        <f t="shared" si="19"/>
        <v>8</v>
      </c>
      <c r="HV23" s="90">
        <f t="shared" si="20"/>
        <v>14</v>
      </c>
      <c r="HW23" s="99"/>
      <c r="HX23" s="97">
        <f t="shared" si="21"/>
        <v>4</v>
      </c>
      <c r="HY23" s="97">
        <f t="shared" si="22"/>
        <v>6</v>
      </c>
      <c r="HZ23" s="90">
        <f t="shared" si="23"/>
        <v>10</v>
      </c>
      <c r="IA23" s="99"/>
      <c r="IB23" s="97">
        <f t="shared" si="24"/>
        <v>3</v>
      </c>
      <c r="IC23" s="97">
        <f t="shared" si="25"/>
        <v>6</v>
      </c>
      <c r="ID23" s="90">
        <f t="shared" si="26"/>
        <v>9</v>
      </c>
      <c r="IE23" s="99"/>
      <c r="IF23" s="97">
        <f t="shared" si="27"/>
        <v>2</v>
      </c>
      <c r="IG23" s="97">
        <f t="shared" si="28"/>
        <v>3</v>
      </c>
      <c r="IH23" s="90">
        <f t="shared" si="29"/>
        <v>5</v>
      </c>
      <c r="II23" s="99"/>
      <c r="IJ23" s="97">
        <f t="shared" si="30"/>
        <v>1</v>
      </c>
      <c r="IK23" s="97">
        <f t="shared" si="31"/>
        <v>2</v>
      </c>
      <c r="IL23" s="90">
        <f t="shared" si="32"/>
        <v>3</v>
      </c>
      <c r="IM23" s="99"/>
      <c r="IN23" s="97">
        <f t="shared" si="33"/>
        <v>1</v>
      </c>
      <c r="IO23" s="97">
        <f t="shared" si="34"/>
        <v>0</v>
      </c>
      <c r="IP23" s="90">
        <f t="shared" si="35"/>
        <v>1</v>
      </c>
      <c r="IQ23" s="99"/>
      <c r="IR23" s="99"/>
      <c r="IS23" s="100">
        <f t="shared" si="36"/>
        <v>13</v>
      </c>
      <c r="IT23" s="100">
        <f t="shared" si="37"/>
        <v>17</v>
      </c>
      <c r="IU23" s="100">
        <f t="shared" si="38"/>
        <v>8</v>
      </c>
      <c r="IV23" s="100">
        <f t="shared" si="39"/>
        <v>14</v>
      </c>
      <c r="IW23" s="100">
        <f t="shared" si="40"/>
        <v>14</v>
      </c>
      <c r="IX23" s="100">
        <f t="shared" si="41"/>
        <v>10</v>
      </c>
      <c r="IY23" s="100">
        <f t="shared" si="42"/>
        <v>9</v>
      </c>
      <c r="IZ23" s="100">
        <f t="shared" si="43"/>
        <v>5</v>
      </c>
      <c r="JA23" s="100">
        <f t="shared" si="44"/>
        <v>3</v>
      </c>
      <c r="JB23" s="101">
        <f t="shared" si="45"/>
        <v>1</v>
      </c>
      <c r="JC23" s="102">
        <f t="shared" si="46"/>
        <v>94</v>
      </c>
      <c r="JD23" s="67">
        <f t="shared" si="50"/>
        <v>0</v>
      </c>
      <c r="JE23" s="67">
        <f t="shared" si="47"/>
        <v>1</v>
      </c>
      <c r="JF23" s="67">
        <f t="shared" si="48"/>
        <v>1</v>
      </c>
    </row>
    <row r="24">
      <c r="A24" s="103">
        <f>IFERROR(__xludf.DUMMYFUNCTION("""COMPUTED_VALUE"""),45925.414245798616)</f>
        <v>45925.41425</v>
      </c>
      <c r="B24" s="95" t="str">
        <f>IFERROR(__xludf.DUMMYFUNCTION("""COMPUTED_VALUE"""),"Ksatria Hudzaifah Al Mizzi")</f>
        <v>Ksatria Hudzaifah Al Mizzi</v>
      </c>
      <c r="C24" s="96" t="str">
        <f>IFERROR(__xludf.DUMMYFUNCTION("""COMPUTED_VALUE"""),"B250010")</f>
        <v>B250010</v>
      </c>
      <c r="D24" s="96" t="str">
        <f>IFERROR(__xludf.DUMMYFUNCTION("""COMPUTED_VALUE"""),"IL Putra")</f>
        <v>IL Putra</v>
      </c>
      <c r="E24" s="96" t="str">
        <f>IFERROR(__xludf.DUMMYFUNCTION("""COMPUTED_VALUE"""),"Ya")</f>
        <v>Ya</v>
      </c>
      <c r="F24" s="95" t="str">
        <f>IFERROR(__xludf.DUMMYFUNCTION("""COMPUTED_VALUE"""),"B Saya ingin melakukan apa saja sebaik mungkin.")</f>
        <v>B Saya ingin melakukan apa saja sebaik mungkin.</v>
      </c>
      <c r="G24" s="95" t="str">
        <f>IFERROR(__xludf.DUMMYFUNCTION("""COMPUTED_VALUE"""),"A Saya ingin setiap tulisan saya teliti, rapi, dan tersusun dengan baik.")</f>
        <v>A Saya ingin setiap tulisan saya teliti, rapi, dan tersusun dengan baik.</v>
      </c>
      <c r="H24" s="95" t="str">
        <f>IFERROR(__xludf.DUMMYFUNCTION("""COMPUTED_VALUE"""),"A Saya ingin berbuat sesuai kata hati saya.")</f>
        <v>A Saya ingin berbuat sesuai kata hati saya.</v>
      </c>
      <c r="I24" s="95" t="str">
        <f>IFERROR(__xludf.DUMMYFUNCTION("""COMPUTED_VALUE"""),"B Saya ingin bisa melakukan dengan baik meskipun tugas yang sulit.")</f>
        <v>B Saya ingin bisa melakukan dengan baik meskipun tugas yang sulit.</v>
      </c>
      <c r="J24" s="95" t="str">
        <f>IFERROR(__xludf.DUMMYFUNCTION("""COMPUTED_VALUE"""),"B Saya ingin mengerjakan tugas sebaik mungkin.")</f>
        <v>B Saya ingin mengerjakan tugas sebaik mungkin.</v>
      </c>
      <c r="K24" s="95" t="str">
        <f>IFERROR(__xludf.DUMMYFUNCTION("""COMPUTED_VALUE"""),"B Saya ingin mengatakan telah melakukan dengan baik sesuatu tugas yang sulit.")</f>
        <v>B Saya ingin mengatakan telah melakukan dengan baik sesuatu tugas yang sulit.</v>
      </c>
      <c r="L24" s="95" t="str">
        <f>IFERROR(__xludf.DUMMYFUNCTION("""COMPUTED_VALUE"""),"B Saya ingin mengatakan telah melakukan dengan baik sesuatu tugas yang sulit")</f>
        <v>B Saya ingin mengatakan telah melakukan dengan baik sesuatu tugas yang sulit</v>
      </c>
      <c r="M24" s="95" t="str">
        <f>IFERROR(__xludf.DUMMYFUNCTION("""COMPUTED_VALUE"""),"B Saya ingin mengerjakan segala tugas lebih baik daripada orang lain.")</f>
        <v>B Saya ingin mengerjakan segala tugas lebih baik daripada orang lain.</v>
      </c>
      <c r="N24" s="95" t="str">
        <f>IFERROR(__xludf.DUMMYFUNCTION("""COMPUTED_VALUE"""),"B Saya suka memecahkan persoalan yang sukar bagi orang lain.")</f>
        <v>B Saya suka memecahkan persoalan yang sukar bagi orang lain.</v>
      </c>
      <c r="O24" s="95" t="str">
        <f>IFERROR(__xludf.DUMMYFUNCTION("""COMPUTED_VALUE"""),"A Saya marah saat ada teman memperolok-olok hal-hal yang saya anggap bodoh.")</f>
        <v>A Saya marah saat ada teman memperolok-olok hal-hal yang saya anggap bodoh.</v>
      </c>
      <c r="P24" s="95" t="str">
        <f>IFERROR(__xludf.DUMMYFUNCTION("""COMPUTED_VALUE"""),"B Saya ingin setiap belajar itu teratur dan direncanakan.")</f>
        <v>B Saya ingin setiap belajar itu teratur dan direncanakan.</v>
      </c>
      <c r="Q24" s="95" t="str">
        <f>IFERROR(__xludf.DUMMYFUNCTION("""COMPUTED_VALUE"""),"A Saya mulai suka dengan lawan jenis.")</f>
        <v>A Saya mulai suka dengan lawan jenis.</v>
      </c>
      <c r="R24" s="95" t="str">
        <f>IFERROR(__xludf.DUMMYFUNCTION("""COMPUTED_VALUE"""),"B Saya suka barang-barang saya tersusun rapi dan teratur.")</f>
        <v>B Saya suka barang-barang saya tersusun rapi dan teratur.</v>
      </c>
      <c r="S24" s="95" t="str">
        <f>IFERROR(__xludf.DUMMYFUNCTION("""COMPUTED_VALUE"""),"B Saya suka membuat perencanaan sebelum memulai tugas yang sulit.")</f>
        <v>B Saya suka membuat perencanaan sebelum memulai tugas yang sulit.</v>
      </c>
      <c r="T24" s="95" t="str">
        <f>IFERROR(__xludf.DUMMYFUNCTION("""COMPUTED_VALUE"""),"B Saya ingin agar hidup saya teratur sesuai cita-cita saya.")</f>
        <v>B Saya ingin agar hidup saya teratur sesuai cita-cita saya.</v>
      </c>
      <c r="U24" s="95" t="str">
        <f>IFERROR(__xludf.DUMMYFUNCTION("""COMPUTED_VALUE"""),"A Saya suka memberikan bantuan kepada teman-teman saya.")</f>
        <v>A Saya suka memberikan bantuan kepada teman-teman saya.</v>
      </c>
      <c r="V24" s="95" t="str">
        <f>IFERROR(__xludf.DUMMYFUNCTION("""COMPUTED_VALUE"""),"A Saya suka belajar sampai malam untuk menyelesaikan suatu tugas.")</f>
        <v>A Saya suka belajar sampai malam untuk menyelesaikan suatu tugas.</v>
      </c>
      <c r="W24" s="95" t="str">
        <f>IFERROR(__xludf.DUMMYFUNCTION("""COMPUTED_VALUE"""),"A Saya suka melakukan kegiatan sesuai kondisi yang saya inginkan.")</f>
        <v>A Saya suka melakukan kegiatan sesuai kondisi yang saya inginkan.</v>
      </c>
      <c r="X24" s="95" t="str">
        <f>IFERROR(__xludf.DUMMYFUNCTION("""COMPUTED_VALUE"""),"B Saya ingin agar hidup saya teratur sesuai cita-cita saya.")</f>
        <v>B Saya ingin agar hidup saya teratur sesuai cita-cita saya.</v>
      </c>
      <c r="Y24" s="95" t="str">
        <f>IFERROR(__xludf.DUMMYFUNCTION("""COMPUTED_VALUE"""),"B Saya senang merencanakan untuk masa depan.")</f>
        <v>B Saya senang merencanakan untuk masa depan.</v>
      </c>
      <c r="Z24" s="95" t="str">
        <f>IFERROR(__xludf.DUMMYFUNCTION("""COMPUTED_VALUE"""),"A Saya ingin berhasil dengan belajar yang saya lakukan.")</f>
        <v>A Saya ingin berhasil dengan belajar yang saya lakukan.</v>
      </c>
      <c r="AA24" s="95" t="str">
        <f>IFERROR(__xludf.DUMMYFUNCTION("""COMPUTED_VALUE"""),"B Saya tidak suka pada orang yang berbuat seenaknya sendiri.")</f>
        <v>B Saya tidak suka pada orang yang berbuat seenaknya sendiri.</v>
      </c>
      <c r="AB24" s="95" t="str">
        <f>IFERROR(__xludf.DUMMYFUNCTION("""COMPUTED_VALUE"""),"A Saya ingin tidak tergantung dari orang lain terhadap apa yang akan saya lakukan.")</f>
        <v>A Saya ingin tidak tergantung dari orang lain terhadap apa yang akan saya lakukan.</v>
      </c>
      <c r="AC24" s="95" t="str">
        <f>IFERROR(__xludf.DUMMYFUNCTION("""COMPUTED_VALUE"""),"A Saya suka menyelesaikan setiap tugas meskipun membutuhkan waktu lama.")</f>
        <v>A Saya suka menyelesaikan setiap tugas meskipun membutuhkan waktu lama.</v>
      </c>
      <c r="AD24" s="95" t="str">
        <f>IFERROR(__xludf.DUMMYFUNCTION("""COMPUTED_VALUE"""),"B Saya suka menyatakan pendapat saya tentang berbagai hal.")</f>
        <v>B Saya suka menyatakan pendapat saya tentang berbagai hal.</v>
      </c>
      <c r="AE24" s="95" t="str">
        <f>IFERROR(__xludf.DUMMYFUNCTION("""COMPUTED_VALUE"""),"B Saya suka melakukan hal-hal yang dianggap orang lain tidak sesuai.")</f>
        <v>B Saya suka melakukan hal-hal yang dianggap orang lain tidak sesuai.</v>
      </c>
      <c r="AF24" s="95" t="str">
        <f>IFERROR(__xludf.DUMMYFUNCTION("""COMPUTED_VALUE"""),"B Saya suka melakukan hal-hal dengan cara saya sendiri.")</f>
        <v>B Saya suka melakukan hal-hal dengan cara saya sendiri.</v>
      </c>
      <c r="AG24" s="95" t="str">
        <f>IFERROR(__xludf.DUMMYFUNCTION("""COMPUTED_VALUE"""),"B Saya ingin berhasil dengan tugas yang saya lakukan.")</f>
        <v>B Saya ingin berhasil dengan tugas yang saya lakukan.</v>
      </c>
      <c r="AH24" s="95" t="str">
        <f>IFERROR(__xludf.DUMMYFUNCTION("""COMPUTED_VALUE"""),"B Saya ingin merasa bebas untuk melakukan apa yang saya kehendaki.")</f>
        <v>B Saya ingin merasa bebas untuk melakukan apa yang saya kehendaki.</v>
      </c>
      <c r="AI24" s="95" t="str">
        <f>IFERROR(__xludf.DUMMYFUNCTION("""COMPUTED_VALUE"""),"B Saya suka melakukan kegiatan sesuai kondisi yang saya inginkan.")</f>
        <v>B Saya suka melakukan kegiatan sesuai kondisi yang saya inginkan.</v>
      </c>
      <c r="AJ24" s="95" t="str">
        <f>IFERROR(__xludf.DUMMYFUNCTION("""COMPUTED_VALUE"""),"B Saya suka bertahan menghadapi satu masalah meskipun belum tentu berhasil.")</f>
        <v>B Saya suka bertahan menghadapi satu masalah meskipun belum tentu berhasil.</v>
      </c>
      <c r="AK24" s="95" t="str">
        <f>IFERROR(__xludf.DUMMYFUNCTION("""COMPUTED_VALUE"""),"A Saya suka bercerita tentang hal-hal pribadi yang seharusnya tidak perlu diketahui orang lain.")</f>
        <v>A Saya suka bercerita tentang hal-hal pribadi yang seharusnya tidak perlu diketahui orang lain.</v>
      </c>
      <c r="AL24" s="95" t="str">
        <f>IFERROR(__xludf.DUMMYFUNCTION("""COMPUTED_VALUE"""),"A Saya suka berbicara tentang hal-hal yang telah saya capai.")</f>
        <v>A Saya suka berbicara tentang hal-hal yang telah saya capai.</v>
      </c>
      <c r="AM24" s="95" t="str">
        <f>IFERROR(__xludf.DUMMYFUNCTION("""COMPUTED_VALUE"""),"B Saya suka belajar sampai malam untuk menyelesaikan suatu tugas.")</f>
        <v>B Saya suka belajar sampai malam untuk menyelesaikan suatu tugas.</v>
      </c>
      <c r="AN24" s="95" t="str">
        <f>IFERROR(__xludf.DUMMYFUNCTION("""COMPUTED_VALUE"""),"A Saya tidak suka pada orang yang semena-mena.")</f>
        <v>A Saya tidak suka pada orang yang semena-mena.</v>
      </c>
      <c r="AO24" s="95" t="str">
        <f>IFERROR(__xludf.DUMMYFUNCTION("""COMPUTED_VALUE"""),"B Saya suka menyelesaikan setiap tugas meskipun membutuhkan waktu lama.")</f>
        <v>B Saya suka menyelesaikan setiap tugas meskipun membutuhkan waktu lama.</v>
      </c>
      <c r="AP24" s="95" t="str">
        <f>IFERROR(__xludf.DUMMYFUNCTION("""COMPUTED_VALUE"""),"B Saya suka bertahan menghadapi satu masalah meskipun belum tentu berhasil.")</f>
        <v>B Saya suka bertahan menghadapi satu masalah meskipun belum tentu berhasil.</v>
      </c>
      <c r="AQ24" s="95" t="str">
        <f>IFERROR(__xludf.DUMMYFUNCTION("""COMPUTED_VALUE"""),"A Saya ingin bisa mengerjakan segala sesuatu lebih baik daripada orang-orang lain.")</f>
        <v>A Saya ingin bisa mengerjakan segala sesuatu lebih baik daripada orang-orang lain.</v>
      </c>
      <c r="AR24" s="95" t="str">
        <f>IFERROR(__xludf.DUMMYFUNCTION("""COMPUTED_VALUE"""),"A Saya suka menyimpan catatan secara rapi.")</f>
        <v>A Saya suka menyimpan catatan secara rapi.</v>
      </c>
      <c r="AS24" s="95" t="str">
        <f>IFERROR(__xludf.DUMMYFUNCTION("""COMPUTED_VALUE"""),"B Saya suka belajar sampai malam untuk menyelesaikan suatu tugas.")</f>
        <v>B Saya suka belajar sampai malam untuk menyelesaikan suatu tugas.</v>
      </c>
      <c r="AT24" s="95" t="str">
        <f>IFERROR(__xludf.DUMMYFUNCTION("""COMPUTED_VALUE"""),"B Saya suka membantu orang lain yang menurut saya perlu dikasihani.")</f>
        <v>B Saya suka membantu orang lain yang menurut saya perlu dikasihani.</v>
      </c>
      <c r="AU24" s="95" t="str">
        <f>IFERROR(__xludf.DUMMYFUNCTION("""COMPUTED_VALUE"""),"A Saya ingin menyelesaikan pekerjaan satu persatu sebelum memulai yang lain.")</f>
        <v>A Saya ingin menyelesaikan pekerjaan satu persatu sebelum memulai yang lain.</v>
      </c>
      <c r="AV24" s="95" t="str">
        <f>IFERROR(__xludf.DUMMYFUNCTION("""COMPUTED_VALUE"""),"B Saya suka menolong teman-teman saya.")</f>
        <v>B Saya suka menolong teman-teman saya.</v>
      </c>
      <c r="AW24" s="95" t="str">
        <f>IFERROR(__xludf.DUMMYFUNCTION("""COMPUTED_VALUE"""),"B Saya ingin teman-teman saya percaya bahwa saya bisa menolong mereka.")</f>
        <v>B Saya ingin teman-teman saya percaya bahwa saya bisa menolong mereka.</v>
      </c>
      <c r="AX24" s="95" t="str">
        <f>IFERROR(__xludf.DUMMYFUNCTION("""COMPUTED_VALUE"""),"B Saya suka memaafkan teman-teman saya yang menyakiti hati saya.")</f>
        <v>B Saya suka memaafkan teman-teman saya yang menyakiti hati saya.</v>
      </c>
      <c r="AY24" s="95" t="str">
        <f>IFERROR(__xludf.DUMMYFUNCTION("""COMPUTED_VALUE"""),"B Saya suka menolong teman-teman saya apabila mereka dalam kesulitan.")</f>
        <v>B Saya suka menolong teman-teman saya apabila mereka dalam kesulitan.</v>
      </c>
      <c r="AZ24" s="95" t="str">
        <f>IFERROR(__xludf.DUMMYFUNCTION("""COMPUTED_VALUE"""),"B Saya suka menunjukkan simpati saya kepada teman-teman saya.")</f>
        <v>B Saya suka menunjukkan simpati saya kepada teman-teman saya.</v>
      </c>
      <c r="BA24" s="95" t="str">
        <f>IFERROR(__xludf.DUMMYFUNCTION("""COMPUTED_VALUE"""),"B Saya suka memperlakukan orang lain dengan baik dan ramah.")</f>
        <v>B Saya suka memperlakukan orang lain dengan baik dan ramah.</v>
      </c>
      <c r="BB24" s="95" t="str">
        <f>IFERROR(__xludf.DUMMYFUNCTION("""COMPUTED_VALUE"""),"A Saya berkeinginan untuk bersama orang yang menarik bagi saya.")</f>
        <v>A Saya berkeinginan untuk bersama orang yang menarik bagi saya.</v>
      </c>
      <c r="BC24" s="95" t="str">
        <f>IFERROR(__xludf.DUMMYFUNCTION("""COMPUTED_VALUE"""),"B Saya suka membantu orang lain yang menurut saya perlu dikasihani.")</f>
        <v>B Saya suka membantu orang lain yang menurut saya perlu dikasihani.</v>
      </c>
      <c r="BD24" s="95" t="str">
        <f>IFERROR(__xludf.DUMMYFUNCTION("""COMPUTED_VALUE"""),"B Saya suka bersikukuh dengan pendirian saya.")</f>
        <v>B Saya suka bersikukuh dengan pendirian saya.</v>
      </c>
      <c r="BE24" s="95" t="str">
        <f>IFERROR(__xludf.DUMMYFUNCTION("""COMPUTED_VALUE"""),"A Saya suka mendengarkan atau menceritakan hal-hal yang sebaiknya tidak diceritakan.")</f>
        <v>A Saya suka mendengarkan atau menceritakan hal-hal yang sebaiknya tidak diceritakan.</v>
      </c>
      <c r="BF24" s="95" t="str">
        <f>IFERROR(__xludf.DUMMYFUNCTION("""COMPUTED_VALUE"""),"A Saya ingin orang lain memperhatikan dan berkomentar tentang penampilan saya.")</f>
        <v>A Saya ingin orang lain memperhatikan dan berkomentar tentang penampilan saya.</v>
      </c>
      <c r="BG24" s="95" t="str">
        <f>IFERROR(__xludf.DUMMYFUNCTION("""COMPUTED_VALUE"""),"A Saya ingin teman-teman banyak menunjukkan rasa sayang mereka terhadap saya.")</f>
        <v>A Saya ingin teman-teman banyak menunjukkan rasa sayang mereka terhadap saya.</v>
      </c>
      <c r="BH24" s="95" t="str">
        <f>IFERROR(__xludf.DUMMYFUNCTION("""COMPUTED_VALUE"""),"A Saya suka menghindar dari situasi yang tidak saya harapkan.")</f>
        <v>A Saya suka menghindar dari situasi yang tidak saya harapkan.</v>
      </c>
      <c r="BI24" s="95" t="str">
        <f>IFERROR(__xludf.DUMMYFUNCTION("""COMPUTED_VALUE"""),"A Saya suka bermurah hati terhadap teman-teman saya.")</f>
        <v>A Saya suka bermurah hati terhadap teman-teman saya.</v>
      </c>
      <c r="BJ24" s="95" t="str">
        <f>IFERROR(__xludf.DUMMYFUNCTION("""COMPUTED_VALUE"""),"A Saya ingin mengerjakan tugas sampai selesai.")</f>
        <v>A Saya ingin mengerjakan tugas sampai selesai.</v>
      </c>
      <c r="BK24" s="95" t="str">
        <f>IFERROR(__xludf.DUMMYFUNCTION("""COMPUTED_VALUE"""),"A Saya ingin menyelesaikan pekerjaan satu persatu sebelum memulai yang lain.")</f>
        <v>A Saya ingin menyelesaikan pekerjaan satu persatu sebelum memulai yang lain.</v>
      </c>
      <c r="BL24" s="95" t="str">
        <f>IFERROR(__xludf.DUMMYFUNCTION("""COMPUTED_VALUE"""),"A Saya suka belajar saya teratur dan ada waktu-waktu tertentu untuk belajar.")</f>
        <v>A Saya suka belajar saya teratur dan ada waktu-waktu tertentu untuk belajar.</v>
      </c>
      <c r="BM24" s="95" t="str">
        <f>IFERROR(__xludf.DUMMYFUNCTION("""COMPUTED_VALUE"""),"A Saya suka melakukan pekerjaan sebaik mungkin.")</f>
        <v>A Saya suka melakukan pekerjaan sebaik mungkin.</v>
      </c>
      <c r="BN24" s="95" t="str">
        <f>IFERROR(__xludf.DUMMYFUNCTION("""COMPUTED_VALUE"""),"B Saya ingin teman-teman memberi dorongan bila saya menghadapi kegagalan.")</f>
        <v>B Saya ingin teman-teman memberi dorongan bila saya menghadapi kegagalan.</v>
      </c>
      <c r="BO24" s="95" t="str">
        <f>IFERROR(__xludf.DUMMYFUNCTION("""COMPUTED_VALUE"""),"B Saya ingin diperlakukan dengan baik oleh teman-teman saya.")</f>
        <v>B Saya ingin diperlakukan dengan baik oleh teman-teman saya.</v>
      </c>
      <c r="BP24" s="95" t="str">
        <f>IFERROR(__xludf.DUMMYFUNCTION("""COMPUTED_VALUE"""),"A Saya ingin menyelesaikan sesuatu yang sangat penting artinya.")</f>
        <v>A Saya ingin menyelesaikan sesuatu yang sangat penting artinya.</v>
      </c>
      <c r="BQ24" s="95" t="str">
        <f>IFERROR(__xludf.DUMMYFUNCTION("""COMPUTED_VALUE"""),"A Saya ingin mengerjakannya tugas sampai selesai.")</f>
        <v>A Saya ingin mengerjakannya tugas sampai selesai.</v>
      </c>
      <c r="BR24" s="95" t="str">
        <f>IFERROR(__xludf.DUMMYFUNCTION("""COMPUTED_VALUE"""),"B Saya ingin agar teman-teman saya bersimpati dan menghibur saya bila saya sedih.")</f>
        <v>B Saya ingin agar teman-teman saya bersimpati dan menghibur saya bila saya sedih.</v>
      </c>
      <c r="BS24" s="95" t="str">
        <f>IFERROR(__xludf.DUMMYFUNCTION("""COMPUTED_VALUE"""),"B Saya ingin teman-teman saya membantu saya bila saya mengalami kesulitan")</f>
        <v>B Saya ingin teman-teman saya membantu saya bila saya mengalami kesulitan</v>
      </c>
      <c r="BT24" s="95" t="str">
        <f>IFERROR(__xludf.DUMMYFUNCTION("""COMPUTED_VALUE"""),"B Saya ingin teman-teman banyak menunjukkan rasa sayang mereka terhadap saya.")</f>
        <v>B Saya ingin teman-teman banyak menunjukkan rasa sayang mereka terhadap saya.</v>
      </c>
      <c r="BU24" s="95" t="str">
        <f>IFERROR(__xludf.DUMMYFUNCTION("""COMPUTED_VALUE"""),"B Saya ingin agar teman-teman saya merasa kasihan pada saya apabila saya sakit.")</f>
        <v>B Saya ingin agar teman-teman saya merasa kasihan pada saya apabila saya sakit.</v>
      </c>
      <c r="BV24" s="95" t="str">
        <f>IFERROR(__xludf.DUMMYFUNCTION("""COMPUTED_VALUE"""),"A Saya ingin dianggap menarik oleh orang lain.")</f>
        <v>A Saya ingin dianggap menarik oleh orang lain.</v>
      </c>
      <c r="BW24" s="95" t="str">
        <f>IFERROR(__xludf.DUMMYFUNCTION("""COMPUTED_VALUE"""),"B Saya ingin diperlakukan dengan baik oleh teman-teman saya.")</f>
        <v>B Saya ingin diperlakukan dengan baik oleh teman-teman saya.</v>
      </c>
      <c r="BX24" s="95" t="str">
        <f>IFERROR(__xludf.DUMMYFUNCTION("""COMPUTED_VALUE"""),"B Saya kadang-kadang suka melakukan hal-hal yang dapat dipuji oleh orang lain.")</f>
        <v>B Saya kadang-kadang suka melakukan hal-hal yang dapat dipuji oleh orang lain.</v>
      </c>
      <c r="BY24" s="95" t="str">
        <f>IFERROR(__xludf.DUMMYFUNCTION("""COMPUTED_VALUE"""),"A Saya suka melamun atau membayangkan hal-hal yang tidak jelas.")</f>
        <v>A Saya suka melamun atau membayangkan hal-hal yang tidak jelas.</v>
      </c>
      <c r="BZ24" s="95" t="str">
        <f>IFERROR(__xludf.DUMMYFUNCTION("""COMPUTED_VALUE"""),"A Saya suka berkata yang artinya sulit dipahami oleh orang lain.")</f>
        <v>A Saya suka berkata yang artinya sulit dipahami oleh orang lain.</v>
      </c>
      <c r="CA24" s="95" t="str">
        <f>IFERROR(__xludf.DUMMYFUNCTION("""COMPUTED_VALUE"""),"A Saya ingin teman-teman dengan gembira memberikan pertolongan kepada saya.")</f>
        <v>A Saya ingin teman-teman dengan gembira memberikan pertolongan kepada saya.</v>
      </c>
      <c r="CB24" s="95" t="str">
        <f>IFERROR(__xludf.DUMMYFUNCTION("""COMPUTED_VALUE"""),"B Saya suka berbicara tentang hal-hal yang telah saya capai.")</f>
        <v>B Saya suka berbicara tentang hal-hal yang telah saya capai.</v>
      </c>
      <c r="CC24" s="95" t="str">
        <f>IFERROR(__xludf.DUMMYFUNCTION("""COMPUTED_VALUE"""),"A Apabila saya berkumpul dalam kelompok, saya ingin dihargai teman-teman.")</f>
        <v>A Apabila saya berkumpul dalam kelompok, saya ingin dihargai teman-teman.</v>
      </c>
      <c r="CD24" s="95" t="str">
        <f>IFERROR(__xludf.DUMMYFUNCTION("""COMPUTED_VALUE"""),"A Saya suka menyelesaikan setiap tugas meskipun membutuhkan waktu lama.")</f>
        <v>A Saya suka menyelesaikan setiap tugas meskipun membutuhkan waktu lama.</v>
      </c>
      <c r="CE24" s="95" t="str">
        <f>IFERROR(__xludf.DUMMYFUNCTION("""COMPUTED_VALUE"""),"A Saya suka menyelesaikan setiap tugas belajar yang telah saya mulai.")</f>
        <v>A Saya suka menyelesaikan setiap tugas belajar yang telah saya mulai.</v>
      </c>
      <c r="CF24" s="95" t="str">
        <f>IFERROR(__xludf.DUMMYFUNCTION("""COMPUTED_VALUE"""),"A Saya ingin agar hidup saya teratur sesuai cita-cita saya.")</f>
        <v>A Saya ingin agar hidup saya teratur sesuai cita-cita saya.</v>
      </c>
      <c r="CG24" s="95" t="str">
        <f>IFERROR(__xludf.DUMMYFUNCTION("""COMPUTED_VALUE"""),"A Saya ingin berhasil dalam apa yang saya lakukan.")</f>
        <v>A Saya ingin berhasil dalam apa yang saya lakukan.</v>
      </c>
      <c r="CH24" s="95" t="str">
        <f>IFERROR(__xludf.DUMMYFUNCTION("""COMPUTED_VALUE"""),"A Saya ingin bisa melakukan dengan baik sesuatu pekerjaan sulit.")</f>
        <v>A Saya ingin bisa melakukan dengan baik sesuatu pekerjaan sulit.</v>
      </c>
      <c r="CI24" s="95" t="str">
        <f>IFERROR(__xludf.DUMMYFUNCTION("""COMPUTED_VALUE"""),"A Saya suka belajar saya teratur dan ada waktu-waktu tertentu untuk belajar.")</f>
        <v>A Saya suka belajar saya teratur dan ada waktu-waktu tertentu untuk belajar.</v>
      </c>
      <c r="CJ24" s="95" t="str">
        <f>IFERROR(__xludf.DUMMYFUNCTION("""COMPUTED_VALUE"""),"A Saya ingin tidak tergantung dari orang lain terhadap apa yang akan saya lakukan.")</f>
        <v>A Saya ingin tidak tergantung dari orang lain terhadap apa yang akan saya lakukan.</v>
      </c>
      <c r="CK24" s="95" t="str">
        <f>IFERROR(__xludf.DUMMYFUNCTION("""COMPUTED_VALUE"""),"A Saya suka bertahan menghadapi satu masalah, meskipun belum tentu berhasil.")</f>
        <v>A Saya suka bertahan menghadapi satu masalah, meskipun belum tentu berhasil.</v>
      </c>
      <c r="CL24" s="95" t="str">
        <f>IFERROR(__xludf.DUMMYFUNCTION("""COMPUTED_VALUE"""),"A Saya suka menolong teman-teman saya, apabila mereka dalam kesulitan.")</f>
        <v>A Saya suka menolong teman-teman saya, apabila mereka dalam kesulitan.</v>
      </c>
      <c r="CM24" s="95" t="str">
        <f>IFERROR(__xludf.DUMMYFUNCTION("""COMPUTED_VALUE"""),"A Saya ingin ditunjuk atau dipilih sebagai ketua dalam suatu kelompok.")</f>
        <v>A Saya ingin ditunjuk atau dipilih sebagai ketua dalam suatu kelompok.</v>
      </c>
      <c r="CN24" s="95" t="str">
        <f>IFERROR(__xludf.DUMMYFUNCTION("""COMPUTED_VALUE"""),"A Saya ingin diperlakukan dengan baik oleh teman-teman saya.")</f>
        <v>A Saya ingin diperlakukan dengan baik oleh teman-teman saya.</v>
      </c>
      <c r="CO24" s="95" t="str">
        <f>IFERROR(__xludf.DUMMYFUNCTION("""COMPUTED_VALUE"""),"B Saya suka memuji orang yang saya kagumi.")</f>
        <v>B Saya suka memuji orang yang saya kagumi.</v>
      </c>
      <c r="CP24" s="95" t="str">
        <f>IFERROR(__xludf.DUMMYFUNCTION("""COMPUTED_VALUE"""),"B Saya ingin dianggap menarik oleh orang lain.")</f>
        <v>B Saya ingin dianggap menarik oleh orang lain.</v>
      </c>
      <c r="CQ24" s="95" t="str">
        <f>IFERROR(__xludf.DUMMYFUNCTION("""COMPUTED_VALUE"""),"B Saya merasa kagum pada seseorang.")</f>
        <v>B Saya merasa kagum pada seseorang.</v>
      </c>
      <c r="CR24" s="95" t="str">
        <f>IFERROR(__xludf.DUMMYFUNCTION("""COMPUTED_VALUE"""),"B Saya rasanya ingin mengecam seseorang bila orang itu menjengkelkan.")</f>
        <v>B Saya rasanya ingin mengecam seseorang bila orang itu menjengkelkan.</v>
      </c>
      <c r="CS24" s="95" t="str">
        <f>IFERROR(__xludf.DUMMYFUNCTION("""COMPUTED_VALUE"""),"B Saya rasanya ingin membalas dendam bila seseorang menghina saya.")</f>
        <v>B Saya rasanya ingin membalas dendam bila seseorang menghina saya.</v>
      </c>
      <c r="CT24" s="95" t="str">
        <f>IFERROR(__xludf.DUMMYFUNCTION("""COMPUTED_VALUE"""),"B Saya saat marah rasanya ingin melemparkan dan merusak barang-barang.")</f>
        <v>B Saya saat marah rasanya ingin melemparkan dan merusak barang-barang.</v>
      </c>
      <c r="CU24" s="95" t="str">
        <f>IFERROR(__xludf.DUMMYFUNCTION("""COMPUTED_VALUE"""),"A Saya ingin diperlakukan dengan ramah oleh teman-teman saya.")</f>
        <v>A Saya ingin diperlakukan dengan ramah oleh teman-teman saya.</v>
      </c>
      <c r="CV24" s="95" t="str">
        <f>IFERROR(__xludf.DUMMYFUNCTION("""COMPUTED_VALUE"""),"A Saya ingin ditunjuk atau dipilih sebagai ketua dalam suatu kelompok.")</f>
        <v>A Saya ingin ditunjuk atau dipilih sebagai ketua dalam suatu kelompok.</v>
      </c>
      <c r="CW24" s="95" t="str">
        <f>IFERROR(__xludf.DUMMYFUNCTION("""COMPUTED_VALUE"""),"A Saya suka menolong teman-teman saya, apabila mereka dalam kesulitan.")</f>
        <v>A Saya suka menolong teman-teman saya, apabila mereka dalam kesulitan.</v>
      </c>
      <c r="CX24" s="95" t="str">
        <f>IFERROR(__xludf.DUMMYFUNCTION("""COMPUTED_VALUE"""),"A Saya suka belajar sampai malam untuk menyelesaikan suatu tugas.")</f>
        <v>A Saya suka belajar sampai malam untuk menyelesaikan suatu tugas.</v>
      </c>
      <c r="CY24" s="95" t="str">
        <f>IFERROR(__xludf.DUMMYFUNCTION("""COMPUTED_VALUE"""),"A Saya ingin tidak tergantung dari orang lain terhadap apa yang akan saya lakukan.")</f>
        <v>A Saya ingin tidak tergantung dari orang lain terhadap apa yang akan saya lakukan.</v>
      </c>
      <c r="CZ24" s="95" t="str">
        <f>IFERROR(__xludf.DUMMYFUNCTION("""COMPUTED_VALUE"""),"A Saya suka merencanakan dan mengatur setiap pekerjaan yang harus saya lakukan.")</f>
        <v>A Saya suka merencanakan dan mengatur setiap pekerjaan yang harus saya lakukan.</v>
      </c>
      <c r="DA24" s="95" t="str">
        <f>IFERROR(__xludf.DUMMYFUNCTION("""COMPUTED_VALUE"""),"A Saya ingin melakukan apa saja sebaik mungkin.")</f>
        <v>A Saya ingin melakukan apa saja sebaik mungkin.</v>
      </c>
      <c r="DB24" s="89" t="s">
        <v>23</v>
      </c>
      <c r="DC24" s="97" t="str">
        <f t="shared" ref="DC24:GX24" si="69">LEFT(F24,1)</f>
        <v>B</v>
      </c>
      <c r="DD24" s="97" t="str">
        <f t="shared" si="69"/>
        <v>A</v>
      </c>
      <c r="DE24" s="97" t="str">
        <f t="shared" si="69"/>
        <v>A</v>
      </c>
      <c r="DF24" s="97" t="str">
        <f t="shared" si="69"/>
        <v>B</v>
      </c>
      <c r="DG24" s="97" t="str">
        <f t="shared" si="69"/>
        <v>B</v>
      </c>
      <c r="DH24" s="97" t="str">
        <f t="shared" si="69"/>
        <v>B</v>
      </c>
      <c r="DI24" s="97" t="str">
        <f t="shared" si="69"/>
        <v>B</v>
      </c>
      <c r="DJ24" s="97" t="str">
        <f t="shared" si="69"/>
        <v>B</v>
      </c>
      <c r="DK24" s="97" t="str">
        <f t="shared" si="69"/>
        <v>B</v>
      </c>
      <c r="DL24" s="97" t="str">
        <f t="shared" si="69"/>
        <v>A</v>
      </c>
      <c r="DM24" s="97" t="str">
        <f t="shared" si="69"/>
        <v>B</v>
      </c>
      <c r="DN24" s="97" t="str">
        <f t="shared" si="69"/>
        <v>A</v>
      </c>
      <c r="DO24" s="97" t="str">
        <f t="shared" si="69"/>
        <v>B</v>
      </c>
      <c r="DP24" s="97" t="str">
        <f t="shared" si="69"/>
        <v>B</v>
      </c>
      <c r="DQ24" s="97" t="str">
        <f t="shared" si="69"/>
        <v>B</v>
      </c>
      <c r="DR24" s="97" t="str">
        <f t="shared" si="69"/>
        <v>A</v>
      </c>
      <c r="DS24" s="97" t="str">
        <f t="shared" si="69"/>
        <v>A</v>
      </c>
      <c r="DT24" s="97" t="str">
        <f t="shared" si="69"/>
        <v>A</v>
      </c>
      <c r="DU24" s="97" t="str">
        <f t="shared" si="69"/>
        <v>B</v>
      </c>
      <c r="DV24" s="97" t="str">
        <f t="shared" si="69"/>
        <v>B</v>
      </c>
      <c r="DW24" s="97" t="str">
        <f t="shared" si="69"/>
        <v>A</v>
      </c>
      <c r="DX24" s="97" t="str">
        <f t="shared" si="69"/>
        <v>B</v>
      </c>
      <c r="DY24" s="97" t="str">
        <f t="shared" si="69"/>
        <v>A</v>
      </c>
      <c r="DZ24" s="97" t="str">
        <f t="shared" si="69"/>
        <v>A</v>
      </c>
      <c r="EA24" s="97" t="str">
        <f t="shared" si="69"/>
        <v>B</v>
      </c>
      <c r="EB24" s="97" t="str">
        <f t="shared" si="69"/>
        <v>B</v>
      </c>
      <c r="EC24" s="97" t="str">
        <f t="shared" si="69"/>
        <v>B</v>
      </c>
      <c r="ED24" s="97" t="str">
        <f t="shared" si="69"/>
        <v>B</v>
      </c>
      <c r="EE24" s="97" t="str">
        <f t="shared" si="69"/>
        <v>B</v>
      </c>
      <c r="EF24" s="97" t="str">
        <f t="shared" si="69"/>
        <v>B</v>
      </c>
      <c r="EG24" s="97" t="str">
        <f t="shared" si="69"/>
        <v>B</v>
      </c>
      <c r="EH24" s="97" t="str">
        <f t="shared" si="69"/>
        <v>A</v>
      </c>
      <c r="EI24" s="97" t="str">
        <f t="shared" si="69"/>
        <v>A</v>
      </c>
      <c r="EJ24" s="97" t="str">
        <f t="shared" si="69"/>
        <v>B</v>
      </c>
      <c r="EK24" s="97" t="str">
        <f t="shared" si="69"/>
        <v>A</v>
      </c>
      <c r="EL24" s="97" t="str">
        <f t="shared" si="69"/>
        <v>B</v>
      </c>
      <c r="EM24" s="97" t="str">
        <f t="shared" si="69"/>
        <v>B</v>
      </c>
      <c r="EN24" s="97" t="str">
        <f t="shared" si="69"/>
        <v>A</v>
      </c>
      <c r="EO24" s="97" t="str">
        <f t="shared" si="69"/>
        <v>A</v>
      </c>
      <c r="EP24" s="97" t="str">
        <f t="shared" si="69"/>
        <v>B</v>
      </c>
      <c r="EQ24" s="97" t="str">
        <f t="shared" si="69"/>
        <v>B</v>
      </c>
      <c r="ER24" s="97" t="str">
        <f t="shared" si="69"/>
        <v>A</v>
      </c>
      <c r="ES24" s="97" t="str">
        <f t="shared" si="69"/>
        <v>B</v>
      </c>
      <c r="ET24" s="97" t="str">
        <f t="shared" si="69"/>
        <v>B</v>
      </c>
      <c r="EU24" s="97" t="str">
        <f t="shared" si="69"/>
        <v>B</v>
      </c>
      <c r="EV24" s="97" t="str">
        <f t="shared" si="69"/>
        <v>B</v>
      </c>
      <c r="EW24" s="97" t="str">
        <f t="shared" si="69"/>
        <v>B</v>
      </c>
      <c r="EX24" s="97" t="str">
        <f t="shared" si="69"/>
        <v>B</v>
      </c>
      <c r="EY24" s="97" t="str">
        <f t="shared" si="69"/>
        <v>A</v>
      </c>
      <c r="EZ24" s="97" t="str">
        <f t="shared" si="69"/>
        <v>B</v>
      </c>
      <c r="FA24" s="97" t="str">
        <f t="shared" si="69"/>
        <v>B</v>
      </c>
      <c r="FB24" s="97" t="str">
        <f t="shared" si="69"/>
        <v>A</v>
      </c>
      <c r="FC24" s="97" t="str">
        <f t="shared" si="69"/>
        <v>A</v>
      </c>
      <c r="FD24" s="97" t="str">
        <f t="shared" si="69"/>
        <v>A</v>
      </c>
      <c r="FE24" s="97" t="str">
        <f t="shared" si="69"/>
        <v>A</v>
      </c>
      <c r="FF24" s="97" t="str">
        <f t="shared" si="69"/>
        <v>A</v>
      </c>
      <c r="FG24" s="97" t="str">
        <f t="shared" si="69"/>
        <v>A</v>
      </c>
      <c r="FH24" s="97" t="str">
        <f t="shared" si="69"/>
        <v>A</v>
      </c>
      <c r="FI24" s="97" t="str">
        <f t="shared" si="69"/>
        <v>A</v>
      </c>
      <c r="FJ24" s="97" t="str">
        <f t="shared" si="69"/>
        <v>A</v>
      </c>
      <c r="FK24" s="97" t="str">
        <f t="shared" si="69"/>
        <v>B</v>
      </c>
      <c r="FL24" s="97" t="str">
        <f t="shared" si="69"/>
        <v>B</v>
      </c>
      <c r="FM24" s="97" t="str">
        <f t="shared" si="69"/>
        <v>A</v>
      </c>
      <c r="FN24" s="97" t="str">
        <f t="shared" si="69"/>
        <v>A</v>
      </c>
      <c r="FO24" s="97" t="str">
        <f t="shared" si="69"/>
        <v>B</v>
      </c>
      <c r="FP24" s="97" t="str">
        <f t="shared" si="69"/>
        <v>B</v>
      </c>
      <c r="FQ24" s="97" t="str">
        <f t="shared" si="69"/>
        <v>B</v>
      </c>
      <c r="FR24" s="97" t="str">
        <f t="shared" si="69"/>
        <v>B</v>
      </c>
      <c r="FS24" s="97" t="str">
        <f t="shared" si="69"/>
        <v>A</v>
      </c>
      <c r="FT24" s="97" t="str">
        <f t="shared" si="69"/>
        <v>B</v>
      </c>
      <c r="FU24" s="97" t="str">
        <f t="shared" si="69"/>
        <v>B</v>
      </c>
      <c r="FV24" s="97" t="str">
        <f t="shared" si="69"/>
        <v>A</v>
      </c>
      <c r="FW24" s="97" t="str">
        <f t="shared" si="69"/>
        <v>A</v>
      </c>
      <c r="FX24" s="97" t="str">
        <f t="shared" si="69"/>
        <v>A</v>
      </c>
      <c r="FY24" s="97" t="str">
        <f t="shared" si="69"/>
        <v>B</v>
      </c>
      <c r="FZ24" s="97" t="str">
        <f t="shared" si="69"/>
        <v>A</v>
      </c>
      <c r="GA24" s="97" t="str">
        <f t="shared" si="69"/>
        <v>A</v>
      </c>
      <c r="GB24" s="97" t="str">
        <f t="shared" si="69"/>
        <v>A</v>
      </c>
      <c r="GC24" s="97" t="str">
        <f t="shared" si="69"/>
        <v>A</v>
      </c>
      <c r="GD24" s="97" t="str">
        <f t="shared" si="69"/>
        <v>A</v>
      </c>
      <c r="GE24" s="97" t="str">
        <f t="shared" si="69"/>
        <v>A</v>
      </c>
      <c r="GF24" s="97" t="str">
        <f t="shared" si="69"/>
        <v>A</v>
      </c>
      <c r="GG24" s="97" t="str">
        <f t="shared" si="69"/>
        <v>A</v>
      </c>
      <c r="GH24" s="97" t="str">
        <f t="shared" si="69"/>
        <v>A</v>
      </c>
      <c r="GI24" s="97" t="str">
        <f t="shared" si="69"/>
        <v>A</v>
      </c>
      <c r="GJ24" s="97" t="str">
        <f t="shared" si="69"/>
        <v>A</v>
      </c>
      <c r="GK24" s="97" t="str">
        <f t="shared" si="69"/>
        <v>A</v>
      </c>
      <c r="GL24" s="97" t="str">
        <f t="shared" si="69"/>
        <v>B</v>
      </c>
      <c r="GM24" s="97" t="str">
        <f t="shared" si="69"/>
        <v>B</v>
      </c>
      <c r="GN24" s="97" t="str">
        <f t="shared" si="69"/>
        <v>B</v>
      </c>
      <c r="GO24" s="97" t="str">
        <f t="shared" si="69"/>
        <v>B</v>
      </c>
      <c r="GP24" s="97" t="str">
        <f t="shared" si="69"/>
        <v>B</v>
      </c>
      <c r="GQ24" s="97" t="str">
        <f t="shared" si="69"/>
        <v>B</v>
      </c>
      <c r="GR24" s="97" t="str">
        <f t="shared" si="69"/>
        <v>A</v>
      </c>
      <c r="GS24" s="97" t="str">
        <f t="shared" si="69"/>
        <v>A</v>
      </c>
      <c r="GT24" s="97" t="str">
        <f t="shared" si="69"/>
        <v>A</v>
      </c>
      <c r="GU24" s="97" t="str">
        <f t="shared" si="69"/>
        <v>A</v>
      </c>
      <c r="GV24" s="97" t="str">
        <f t="shared" si="69"/>
        <v>A</v>
      </c>
      <c r="GW24" s="97" t="str">
        <f t="shared" si="69"/>
        <v>A</v>
      </c>
      <c r="GX24" s="97" t="str">
        <f t="shared" si="69"/>
        <v>A</v>
      </c>
      <c r="GY24" s="98"/>
      <c r="GZ24" s="97">
        <f t="shared" si="3"/>
        <v>51</v>
      </c>
      <c r="HA24" s="97">
        <f t="shared" si="4"/>
        <v>49</v>
      </c>
      <c r="HB24" s="90">
        <f t="shared" si="5"/>
        <v>100</v>
      </c>
      <c r="HC24" s="99"/>
      <c r="HD24" s="97">
        <f t="shared" si="6"/>
        <v>5</v>
      </c>
      <c r="HE24" s="97">
        <f t="shared" si="7"/>
        <v>6</v>
      </c>
      <c r="HF24" s="90">
        <f t="shared" si="8"/>
        <v>11</v>
      </c>
      <c r="HG24" s="99"/>
      <c r="HH24" s="97">
        <f t="shared" si="9"/>
        <v>7</v>
      </c>
      <c r="HI24" s="97">
        <f t="shared" si="10"/>
        <v>6</v>
      </c>
      <c r="HJ24" s="90">
        <f t="shared" si="11"/>
        <v>13</v>
      </c>
      <c r="HK24" s="99"/>
      <c r="HL24" s="97">
        <f t="shared" si="12"/>
        <v>8</v>
      </c>
      <c r="HM24" s="97">
        <f t="shared" si="13"/>
        <v>7</v>
      </c>
      <c r="HN24" s="90">
        <f t="shared" si="14"/>
        <v>15</v>
      </c>
      <c r="HO24" s="99"/>
      <c r="HP24" s="97">
        <f t="shared" si="15"/>
        <v>7</v>
      </c>
      <c r="HQ24" s="97">
        <f t="shared" si="16"/>
        <v>5</v>
      </c>
      <c r="HR24" s="90">
        <f t="shared" si="17"/>
        <v>12</v>
      </c>
      <c r="HS24" s="99"/>
      <c r="HT24" s="97">
        <f t="shared" si="18"/>
        <v>5</v>
      </c>
      <c r="HU24" s="97">
        <f t="shared" si="19"/>
        <v>8</v>
      </c>
      <c r="HV24" s="90">
        <f t="shared" si="20"/>
        <v>13</v>
      </c>
      <c r="HW24" s="99"/>
      <c r="HX24" s="97">
        <f t="shared" si="21"/>
        <v>3</v>
      </c>
      <c r="HY24" s="97">
        <f t="shared" si="22"/>
        <v>1</v>
      </c>
      <c r="HZ24" s="90">
        <f t="shared" si="23"/>
        <v>4</v>
      </c>
      <c r="IA24" s="99"/>
      <c r="IB24" s="97">
        <f t="shared" si="24"/>
        <v>4</v>
      </c>
      <c r="IC24" s="97">
        <f t="shared" si="25"/>
        <v>7</v>
      </c>
      <c r="ID24" s="90">
        <f t="shared" si="26"/>
        <v>11</v>
      </c>
      <c r="IE24" s="99"/>
      <c r="IF24" s="97">
        <f t="shared" si="27"/>
        <v>2</v>
      </c>
      <c r="IG24" s="97">
        <f t="shared" si="28"/>
        <v>2</v>
      </c>
      <c r="IH24" s="90">
        <f t="shared" si="29"/>
        <v>4</v>
      </c>
      <c r="II24" s="99"/>
      <c r="IJ24" s="97">
        <f t="shared" si="30"/>
        <v>6</v>
      </c>
      <c r="IK24" s="97">
        <f t="shared" si="31"/>
        <v>3</v>
      </c>
      <c r="IL24" s="90">
        <f t="shared" si="32"/>
        <v>9</v>
      </c>
      <c r="IM24" s="99"/>
      <c r="IN24" s="97">
        <f t="shared" si="33"/>
        <v>1</v>
      </c>
      <c r="IO24" s="97">
        <f t="shared" si="34"/>
        <v>3</v>
      </c>
      <c r="IP24" s="90">
        <f t="shared" si="35"/>
        <v>4</v>
      </c>
      <c r="IQ24" s="99"/>
      <c r="IR24" s="99"/>
      <c r="IS24" s="100">
        <f t="shared" si="36"/>
        <v>11</v>
      </c>
      <c r="IT24" s="100">
        <f t="shared" si="37"/>
        <v>13</v>
      </c>
      <c r="IU24" s="100">
        <f t="shared" si="38"/>
        <v>15</v>
      </c>
      <c r="IV24" s="100">
        <f t="shared" si="39"/>
        <v>12</v>
      </c>
      <c r="IW24" s="100">
        <f t="shared" si="40"/>
        <v>13</v>
      </c>
      <c r="IX24" s="100">
        <f t="shared" si="41"/>
        <v>4</v>
      </c>
      <c r="IY24" s="100">
        <f t="shared" si="42"/>
        <v>11</v>
      </c>
      <c r="IZ24" s="100">
        <f t="shared" si="43"/>
        <v>4</v>
      </c>
      <c r="JA24" s="100">
        <f t="shared" si="44"/>
        <v>9</v>
      </c>
      <c r="JB24" s="101">
        <f t="shared" si="45"/>
        <v>4</v>
      </c>
      <c r="JC24" s="102">
        <f t="shared" si="46"/>
        <v>96</v>
      </c>
      <c r="JD24" s="67">
        <f t="shared" si="50"/>
        <v>0</v>
      </c>
      <c r="JE24" s="67">
        <f t="shared" si="47"/>
        <v>1</v>
      </c>
      <c r="JF24" s="67">
        <f t="shared" si="48"/>
        <v>1</v>
      </c>
    </row>
    <row r="25">
      <c r="A25" s="103">
        <f>IFERROR(__xludf.DUMMYFUNCTION("""COMPUTED_VALUE"""),45925.57999428241)</f>
        <v>45925.57999</v>
      </c>
      <c r="B25" s="95" t="str">
        <f>IFERROR(__xludf.DUMMYFUNCTION("""COMPUTED_VALUE"""),"Kafie Arkan Rafiqi ")</f>
        <v>Kafie Arkan Rafiqi </v>
      </c>
      <c r="C25" s="96" t="str">
        <f>IFERROR(__xludf.DUMMYFUNCTION("""COMPUTED_VALUE"""),"A250055")</f>
        <v>A250055</v>
      </c>
      <c r="D25" s="96" t="str">
        <f>IFERROR(__xludf.DUMMYFUNCTION("""COMPUTED_VALUE"""),"MTs Putra")</f>
        <v>MTs Putra</v>
      </c>
      <c r="E25" s="96" t="str">
        <f>IFERROR(__xludf.DUMMYFUNCTION("""COMPUTED_VALUE"""),"Ya")</f>
        <v>Ya</v>
      </c>
      <c r="F25" s="95" t="str">
        <f>IFERROR(__xludf.DUMMYFUNCTION("""COMPUTED_VALUE"""),"B Saya ingin melakukan apa saja sebaik mungkin.")</f>
        <v>B Saya ingin melakukan apa saja sebaik mungkin.</v>
      </c>
      <c r="G25" s="95" t="str">
        <f>IFERROR(__xludf.DUMMYFUNCTION("""COMPUTED_VALUE"""),"B Saya ingin menyelesaikan tugas yang segera dikumpulkan.")</f>
        <v>B Saya ingin menyelesaikan tugas yang segera dikumpulkan.</v>
      </c>
      <c r="H25" s="95" t="str">
        <f>IFERROR(__xludf.DUMMYFUNCTION("""COMPUTED_VALUE"""),"A Saya ingin berbuat sesuai kata hati saya.")</f>
        <v>A Saya ingin berbuat sesuai kata hati saya.</v>
      </c>
      <c r="I25" s="95" t="str">
        <f>IFERROR(__xludf.DUMMYFUNCTION("""COMPUTED_VALUE"""),"B Saya ingin bisa melakukan dengan baik meskipun tugas yang sulit.")</f>
        <v>B Saya ingin bisa melakukan dengan baik meskipun tugas yang sulit.</v>
      </c>
      <c r="J25" s="95" t="str">
        <f>IFERROR(__xludf.DUMMYFUNCTION("""COMPUTED_VALUE"""),"A Saya suka membantu teman-teman saya apabila mereka mengalami kesulitan.")</f>
        <v>A Saya suka membantu teman-teman saya apabila mereka mengalami kesulitan.</v>
      </c>
      <c r="K25" s="95" t="str">
        <f>IFERROR(__xludf.DUMMYFUNCTION("""COMPUTED_VALUE"""),"A Saya ingin menjadi pemimpin dalam suatu kelompok.")</f>
        <v>A Saya ingin menjadi pemimpin dalam suatu kelompok.</v>
      </c>
      <c r="L25" s="95" t="str">
        <f>IFERROR(__xludf.DUMMYFUNCTION("""COMPUTED_VALUE"""),"A Saya ingin menjadi pemimpin dalam suatu kelompok")</f>
        <v>A Saya ingin menjadi pemimpin dalam suatu kelompok</v>
      </c>
      <c r="M25" s="95" t="str">
        <f>IFERROR(__xludf.DUMMYFUNCTION("""COMPUTED_VALUE"""),"A Saya suka berbicara tentang hal-hal yang telah berhasil saya lakukan.")</f>
        <v>A Saya suka berbicara tentang hal-hal yang telah berhasil saya lakukan.</v>
      </c>
      <c r="N25" s="95" t="str">
        <f>IFERROR(__xludf.DUMMYFUNCTION("""COMPUTED_VALUE"""),"A Saya suka pergi dengan pakaian rapi agar lebih menarik perhatian orang lain.")</f>
        <v>A Saya suka pergi dengan pakaian rapi agar lebih menarik perhatian orang lain.</v>
      </c>
      <c r="O25" s="95" t="str">
        <f>IFERROR(__xludf.DUMMYFUNCTION("""COMPUTED_VALUE"""),"A Saya marah saat ada teman memperolok-olok hal-hal yang saya anggap bodoh.")</f>
        <v>A Saya marah saat ada teman memperolok-olok hal-hal yang saya anggap bodoh.</v>
      </c>
      <c r="P25" s="95" t="str">
        <f>IFERROR(__xludf.DUMMYFUNCTION("""COMPUTED_VALUE"""),"A Saya suka bercerita tentang hal-hal yang menegangkan atau menantang.")</f>
        <v>A Saya suka bercerita tentang hal-hal yang menegangkan atau menantang.</v>
      </c>
      <c r="Q25" s="95" t="str">
        <f>IFERROR(__xludf.DUMMYFUNCTION("""COMPUTED_VALUE"""),"A Saya mulai suka dengan lawan jenis.")</f>
        <v>A Saya mulai suka dengan lawan jenis.</v>
      </c>
      <c r="R25" s="95" t="str">
        <f>IFERROR(__xludf.DUMMYFUNCTION("""COMPUTED_VALUE"""),"B Saya suka barang-barang saya tersusun rapi dan teratur.")</f>
        <v>B Saya suka barang-barang saya tersusun rapi dan teratur.</v>
      </c>
      <c r="S25" s="95" t="str">
        <f>IFERROR(__xludf.DUMMYFUNCTION("""COMPUTED_VALUE"""),"A Saya ingin agar teman-teman pengertian bila saya mengalami kesukaran.")</f>
        <v>A Saya ingin agar teman-teman pengertian bila saya mengalami kesukaran.</v>
      </c>
      <c r="T25" s="95" t="str">
        <f>IFERROR(__xludf.DUMMYFUNCTION("""COMPUTED_VALUE"""),"A Saya ingin menjadi salah seorang pemimpin dalam kelompok yang saya kenal.")</f>
        <v>A Saya ingin menjadi salah seorang pemimpin dalam kelompok yang saya kenal.</v>
      </c>
      <c r="U25" s="95" t="str">
        <f>IFERROR(__xludf.DUMMYFUNCTION("""COMPUTED_VALUE"""),"A Saya suka memberikan bantuan kepada teman-teman saya.")</f>
        <v>A Saya suka memberikan bantuan kepada teman-teman saya.</v>
      </c>
      <c r="V25" s="95" t="str">
        <f>IFERROR(__xludf.DUMMYFUNCTION("""COMPUTED_VALUE"""),"B Saya suka belajar saya teratur dan ada waktu-waktu tertentu untuk belajar.")</f>
        <v>B Saya suka belajar saya teratur dan ada waktu-waktu tertentu untuk belajar.</v>
      </c>
      <c r="W25" s="95" t="str">
        <f>IFERROR(__xludf.DUMMYFUNCTION("""COMPUTED_VALUE"""),"A Saya suka melakukan kegiatan sesuai kondisi yang saya inginkan.")</f>
        <v>A Saya suka melakukan kegiatan sesuai kondisi yang saya inginkan.</v>
      </c>
      <c r="X25" s="95" t="str">
        <f>IFERROR(__xludf.DUMMYFUNCTION("""COMPUTED_VALUE"""),"A Saya suka merencanakan dan mengatur setiap apa yang harus saya lakukan.")</f>
        <v>A Saya suka merencanakan dan mengatur setiap apa yang harus saya lakukan.</v>
      </c>
      <c r="Y25" s="95" t="str">
        <f>IFERROR(__xludf.DUMMYFUNCTION("""COMPUTED_VALUE"""),"A Saya suka menyelesaikan tugas-tugas yang membutuhkan ketrampilan dan usaha.")</f>
        <v>A Saya suka menyelesaikan tugas-tugas yang membutuhkan ketrampilan dan usaha.</v>
      </c>
      <c r="Z25" s="95" t="str">
        <f>IFERROR(__xludf.DUMMYFUNCTION("""COMPUTED_VALUE"""),"B Saya ingin merasa bebas untuk melakukan apa yang saya inginkan.")</f>
        <v>B Saya ingin merasa bebas untuk melakukan apa yang saya inginkan.</v>
      </c>
      <c r="AA25" s="95" t="str">
        <f>IFERROR(__xludf.DUMMYFUNCTION("""COMPUTED_VALUE"""),"B Saya tidak suka pada orang yang berbuat seenaknya sendiri.")</f>
        <v>B Saya tidak suka pada orang yang berbuat seenaknya sendiri.</v>
      </c>
      <c r="AB25" s="95" t="str">
        <f>IFERROR(__xludf.DUMMYFUNCTION("""COMPUTED_VALUE"""),"A Saya ingin tidak tergantung dari orang lain terhadap apa yang akan saya lakukan.")</f>
        <v>A Saya ingin tidak tergantung dari orang lain terhadap apa yang akan saya lakukan.</v>
      </c>
      <c r="AC25" s="95" t="str">
        <f>IFERROR(__xludf.DUMMYFUNCTION("""COMPUTED_VALUE"""),"B Saya suka melakukan kegiatan sesuai kondisi yang saya inginkan.")</f>
        <v>B Saya suka melakukan kegiatan sesuai kondisi yang saya inginkan.</v>
      </c>
      <c r="AD25" s="95" t="str">
        <f>IFERROR(__xludf.DUMMYFUNCTION("""COMPUTED_VALUE"""),"B Saya suka menyatakan pendapat saya tentang berbagai hal.")</f>
        <v>B Saya suka menyatakan pendapat saya tentang berbagai hal.</v>
      </c>
      <c r="AE25" s="95" t="str">
        <f>IFERROR(__xludf.DUMMYFUNCTION("""COMPUTED_VALUE"""),"A Saya ingin dianggap sebagai pemimpin oleh teman di kelompok.")</f>
        <v>A Saya ingin dianggap sebagai pemimpin oleh teman di kelompok.</v>
      </c>
      <c r="AF25" s="95" t="str">
        <f>IFERROR(__xludf.DUMMYFUNCTION("""COMPUTED_VALUE"""),"B Saya suka melakukan hal-hal dengan cara saya sendiri.")</f>
        <v>B Saya suka melakukan hal-hal dengan cara saya sendiri.</v>
      </c>
      <c r="AG25" s="95" t="str">
        <f>IFERROR(__xludf.DUMMYFUNCTION("""COMPUTED_VALUE"""),"B Saya ingin berhasil dengan tugas yang saya lakukan.")</f>
        <v>B Saya ingin berhasil dengan tugas yang saya lakukan.</v>
      </c>
      <c r="AH25" s="95" t="str">
        <f>IFERROR(__xludf.DUMMYFUNCTION("""COMPUTED_VALUE"""),"B Saya ingin merasa bebas untuk melakukan apa yang saya kehendaki.")</f>
        <v>B Saya ingin merasa bebas untuk melakukan apa yang saya kehendaki.</v>
      </c>
      <c r="AI25" s="95" t="str">
        <f>IFERROR(__xludf.DUMMYFUNCTION("""COMPUTED_VALUE"""),"B Saya suka melakukan kegiatan sesuai kondisi yang saya inginkan.")</f>
        <v>B Saya suka melakukan kegiatan sesuai kondisi yang saya inginkan.</v>
      </c>
      <c r="AJ25" s="95" t="str">
        <f>IFERROR(__xludf.DUMMYFUNCTION("""COMPUTED_VALUE"""),"A Saya rasanya ingin membalas dendam bila seseorang menghina saya.")</f>
        <v>A Saya rasanya ingin membalas dendam bila seseorang menghina saya.</v>
      </c>
      <c r="AK25" s="95" t="str">
        <f>IFERROR(__xludf.DUMMYFUNCTION("""COMPUTED_VALUE"""),"A Saya suka bercerita tentang hal-hal pribadi yang seharusnya tidak perlu diketahui orang lain.")</f>
        <v>A Saya suka bercerita tentang hal-hal pribadi yang seharusnya tidak perlu diketahui orang lain.</v>
      </c>
      <c r="AL25" s="95" t="str">
        <f>IFERROR(__xludf.DUMMYFUNCTION("""COMPUTED_VALUE"""),"A Saya suka berbicara tentang hal-hal yang telah saya capai.")</f>
        <v>A Saya suka berbicara tentang hal-hal yang telah saya capai.</v>
      </c>
      <c r="AM25" s="95" t="str">
        <f>IFERROR(__xludf.DUMMYFUNCTION("""COMPUTED_VALUE"""),"B Saya suka belajar sampai malam untuk menyelesaikan suatu tugas.")</f>
        <v>B Saya suka belajar sampai malam untuk menyelesaikan suatu tugas.</v>
      </c>
      <c r="AN25" s="95" t="str">
        <f>IFERROR(__xludf.DUMMYFUNCTION("""COMPUTED_VALUE"""),"A Saya tidak suka pada orang yang semena-mena.")</f>
        <v>A Saya tidak suka pada orang yang semena-mena.</v>
      </c>
      <c r="AO25" s="95" t="str">
        <f>IFERROR(__xludf.DUMMYFUNCTION("""COMPUTED_VALUE"""),"A Saya suka berlaku sangat ramah terhadap teman-teman saya.")</f>
        <v>A Saya suka berlaku sangat ramah terhadap teman-teman saya.</v>
      </c>
      <c r="AP25" s="95" t="str">
        <f>IFERROR(__xludf.DUMMYFUNCTION("""COMPUTED_VALUE"""),"B Saya suka bertahan menghadapi satu masalah meskipun belum tentu berhasil.")</f>
        <v>B Saya suka bertahan menghadapi satu masalah meskipun belum tentu berhasil.</v>
      </c>
      <c r="AQ25" s="95" t="str">
        <f>IFERROR(__xludf.DUMMYFUNCTION("""COMPUTED_VALUE"""),"B Bila saya harus melakukan suatu tugas, saya ingin mengerjakan sampai selesai.")</f>
        <v>B Bila saya harus melakukan suatu tugas, saya ingin mengerjakan sampai selesai.</v>
      </c>
      <c r="AR25" s="95" t="str">
        <f>IFERROR(__xludf.DUMMYFUNCTION("""COMPUTED_VALUE"""),"A Saya suka menyimpan catatan secara rapi.")</f>
        <v>A Saya suka menyimpan catatan secara rapi.</v>
      </c>
      <c r="AS25" s="95" t="str">
        <f>IFERROR(__xludf.DUMMYFUNCTION("""COMPUTED_VALUE"""),"B Saya suka belajar sampai malam untuk menyelesaikan suatu tugas.")</f>
        <v>B Saya suka belajar sampai malam untuk menyelesaikan suatu tugas.</v>
      </c>
      <c r="AT25" s="95" t="str">
        <f>IFERROR(__xludf.DUMMYFUNCTION("""COMPUTED_VALUE"""),"B Saya suka membantu orang lain yang menurut saya perlu dikasihani.")</f>
        <v>B Saya suka membantu orang lain yang menurut saya perlu dikasihani.</v>
      </c>
      <c r="AU25" s="95" t="str">
        <f>IFERROR(__xludf.DUMMYFUNCTION("""COMPUTED_VALUE"""),"A Saya ingin menyelesaikan pekerjaan satu persatu sebelum memulai yang lain.")</f>
        <v>A Saya ingin menyelesaikan pekerjaan satu persatu sebelum memulai yang lain.</v>
      </c>
      <c r="AV25" s="95" t="str">
        <f>IFERROR(__xludf.DUMMYFUNCTION("""COMPUTED_VALUE"""),"A Saya ingin merasa bebas untuk melakukan apa yang saya kehendaki.")</f>
        <v>A Saya ingin merasa bebas untuk melakukan apa yang saya kehendaki.</v>
      </c>
      <c r="AW25" s="95" t="str">
        <f>IFERROR(__xludf.DUMMYFUNCTION("""COMPUTED_VALUE"""),"B Saya ingin teman-teman saya percaya bahwa saya bisa menolong mereka.")</f>
        <v>B Saya ingin teman-teman saya percaya bahwa saya bisa menolong mereka.</v>
      </c>
      <c r="AX25" s="95" t="str">
        <f>IFERROR(__xludf.DUMMYFUNCTION("""COMPUTED_VALUE"""),"A Saya suka menolong teman-teman saya apabila mereka dalam kesulitan.")</f>
        <v>A Saya suka menolong teman-teman saya apabila mereka dalam kesulitan.</v>
      </c>
      <c r="AY25" s="95" t="str">
        <f>IFERROR(__xludf.DUMMYFUNCTION("""COMPUTED_VALUE"""),"A Saya rasanya ingin marah saat tidak sesuai dengan hati.")</f>
        <v>A Saya rasanya ingin marah saat tidak sesuai dengan hati.</v>
      </c>
      <c r="AZ25" s="95" t="str">
        <f>IFERROR(__xludf.DUMMYFUNCTION("""COMPUTED_VALUE"""),"A Saya ingin agar teman-teman saya bersimpati dan menghibur saya bila saya sedih.")</f>
        <v>A Saya ingin agar teman-teman saya bersimpati dan menghibur saya bila saya sedih.</v>
      </c>
      <c r="BA25" s="95" t="str">
        <f>IFERROR(__xludf.DUMMYFUNCTION("""COMPUTED_VALUE"""),"A Saya suka menyatakan pendapat saya tentang berbagai hal.")</f>
        <v>A Saya suka menyatakan pendapat saya tentang berbagai hal.</v>
      </c>
      <c r="BB25" s="95" t="str">
        <f>IFERROR(__xludf.DUMMYFUNCTION("""COMPUTED_VALUE"""),"A Saya berkeinginan untuk bersama orang yang menarik bagi saya.")</f>
        <v>A Saya berkeinginan untuk bersama orang yang menarik bagi saya.</v>
      </c>
      <c r="BC25" s="95" t="str">
        <f>IFERROR(__xludf.DUMMYFUNCTION("""COMPUTED_VALUE"""),"A Saya rasanya ingin mengecam seseorang bila orang itu menjengkelkan.")</f>
        <v>A Saya rasanya ingin mengecam seseorang bila orang itu menjengkelkan.</v>
      </c>
      <c r="BD25" s="95" t="str">
        <f>IFERROR(__xludf.DUMMYFUNCTION("""COMPUTED_VALUE"""),"B Saya suka bersikukuh dengan pendirian saya.")</f>
        <v>B Saya suka bersikukuh dengan pendirian saya.</v>
      </c>
      <c r="BE25" s="95" t="str">
        <f>IFERROR(__xludf.DUMMYFUNCTION("""COMPUTED_VALUE"""),"A Saya suka mendengarkan atau menceritakan hal-hal yang sebaiknya tidak diceritakan.")</f>
        <v>A Saya suka mendengarkan atau menceritakan hal-hal yang sebaiknya tidak diceritakan.</v>
      </c>
      <c r="BF25" s="95" t="str">
        <f>IFERROR(__xludf.DUMMYFUNCTION("""COMPUTED_VALUE"""),"B Bila saya dalam kelompok, saya ingin menentukan apa yang akan kita lakukan.")</f>
        <v>B Bila saya dalam kelompok, saya ingin menentukan apa yang akan kita lakukan.</v>
      </c>
      <c r="BG25" s="95" t="str">
        <f>IFERROR(__xludf.DUMMYFUNCTION("""COMPUTED_VALUE"""),"B Saya suka mengarahkan kepada orang lain apa yang harus dilakukan.")</f>
        <v>B Saya suka mengarahkan kepada orang lain apa yang harus dilakukan.</v>
      </c>
      <c r="BH25" s="95" t="str">
        <f>IFERROR(__xludf.DUMMYFUNCTION("""COMPUTED_VALUE"""),"A Saya suka menghindar dari situasi yang tidak saya harapkan.")</f>
        <v>A Saya suka menghindar dari situasi yang tidak saya harapkan.</v>
      </c>
      <c r="BI25" s="95" t="str">
        <f>IFERROR(__xludf.DUMMYFUNCTION("""COMPUTED_VALUE"""),"A Saya suka bermurah hati terhadap teman-teman saya.")</f>
        <v>A Saya suka bermurah hati terhadap teman-teman saya.</v>
      </c>
      <c r="BJ25" s="95" t="str">
        <f>IFERROR(__xludf.DUMMYFUNCTION("""COMPUTED_VALUE"""),"B Saya ingin menjadi pemimpin dalam kelompok di mana saya ada di situ")</f>
        <v>B Saya ingin menjadi pemimpin dalam kelompok di mana saya ada di situ</v>
      </c>
      <c r="BK25" s="95" t="str">
        <f>IFERROR(__xludf.DUMMYFUNCTION("""COMPUTED_VALUE"""),"A Saya ingin menyelesaikan pekerjaan satu persatu sebelum memulai yang lain.")</f>
        <v>A Saya ingin menyelesaikan pekerjaan satu persatu sebelum memulai yang lain.</v>
      </c>
      <c r="BL25" s="95" t="str">
        <f>IFERROR(__xludf.DUMMYFUNCTION("""COMPUTED_VALUE"""),"B Saya suka bersikukuh dengan pendirian saya.")</f>
        <v>B Saya suka bersikukuh dengan pendirian saya.</v>
      </c>
      <c r="BM25" s="95" t="str">
        <f>IFERROR(__xludf.DUMMYFUNCTION("""COMPUTED_VALUE"""),"A Saya suka melakukan pekerjaan sebaik mungkin.")</f>
        <v>A Saya suka melakukan pekerjaan sebaik mungkin.</v>
      </c>
      <c r="BN25" s="95" t="str">
        <f>IFERROR(__xludf.DUMMYFUNCTION("""COMPUTED_VALUE"""),"A Saya suka mengerjakan teka-teki atau memecahkan persoalan sampai selesai.")</f>
        <v>A Saya suka mengerjakan teka-teki atau memecahkan persoalan sampai selesai.</v>
      </c>
      <c r="BO25" s="95" t="str">
        <f>IFERROR(__xludf.DUMMYFUNCTION("""COMPUTED_VALUE"""),"B Saya ingin diperlakukan dengan baik oleh teman-teman saya.")</f>
        <v>B Saya ingin diperlakukan dengan baik oleh teman-teman saya.</v>
      </c>
      <c r="BP25" s="95" t="str">
        <f>IFERROR(__xludf.DUMMYFUNCTION("""COMPUTED_VALUE"""),"A Saya ingin menyelesaikan sesuatu yang sangat penting artinya.")</f>
        <v>A Saya ingin menyelesaikan sesuatu yang sangat penting artinya.</v>
      </c>
      <c r="BQ25" s="95" t="str">
        <f>IFERROR(__xludf.DUMMYFUNCTION("""COMPUTED_VALUE"""),"B Saya ingin agar teman-teman menceritakan diri saya apabila saya sakit.")</f>
        <v>B Saya ingin agar teman-teman menceritakan diri saya apabila saya sakit.</v>
      </c>
      <c r="BR25" s="95" t="str">
        <f>IFERROR(__xludf.DUMMYFUNCTION("""COMPUTED_VALUE"""),"B Saya ingin agar teman-teman saya bersimpati dan menghibur saya bila saya sedih.")</f>
        <v>B Saya ingin agar teman-teman saya bersimpati dan menghibur saya bila saya sedih.</v>
      </c>
      <c r="BS25" s="95" t="str">
        <f>IFERROR(__xludf.DUMMYFUNCTION("""COMPUTED_VALUE"""),"A Saya suka menghindar dari tanggung jawab yang tidak saya inginkan.")</f>
        <v>A Saya suka menghindar dari tanggung jawab yang tidak saya inginkan.</v>
      </c>
      <c r="BT25" s="95" t="str">
        <f>IFERROR(__xludf.DUMMYFUNCTION("""COMPUTED_VALUE"""),"B Saya ingin teman-teman banyak menunjukkan rasa sayang mereka terhadap saya.")</f>
        <v>B Saya ingin teman-teman banyak menunjukkan rasa sayang mereka terhadap saya.</v>
      </c>
      <c r="BU25" s="95" t="str">
        <f>IFERROR(__xludf.DUMMYFUNCTION("""COMPUTED_VALUE"""),"A Saya kadang-kadang suka melakukan hal-hal yang dapat dipuji oleh orang lain.")</f>
        <v>A Saya kadang-kadang suka melakukan hal-hal yang dapat dipuji oleh orang lain.</v>
      </c>
      <c r="BV25" s="95" t="str">
        <f>IFERROR(__xludf.DUMMYFUNCTION("""COMPUTED_VALUE"""),"A Saya ingin dianggap menarik oleh orang lain.")</f>
        <v>A Saya ingin dianggap menarik oleh orang lain.</v>
      </c>
      <c r="BW25" s="95" t="str">
        <f>IFERROR(__xludf.DUMMYFUNCTION("""COMPUTED_VALUE"""),"B Saya ingin diperlakukan dengan baik oleh teman-teman saya.")</f>
        <v>B Saya ingin diperlakukan dengan baik oleh teman-teman saya.</v>
      </c>
      <c r="BX25" s="95" t="str">
        <f>IFERROR(__xludf.DUMMYFUNCTION("""COMPUTED_VALUE"""),"A Saya ingin memperolok-olok orang yang saya anggap melakukan tindakan bodoh.")</f>
        <v>A Saya ingin memperolok-olok orang yang saya anggap melakukan tindakan bodoh.</v>
      </c>
      <c r="BY25" s="95" t="str">
        <f>IFERROR(__xludf.DUMMYFUNCTION("""COMPUTED_VALUE"""),"A Saya suka melamun atau membayangkan hal-hal yang tidak jelas.")</f>
        <v>A Saya suka melamun atau membayangkan hal-hal yang tidak jelas.</v>
      </c>
      <c r="BZ25" s="95" t="str">
        <f>IFERROR(__xludf.DUMMYFUNCTION("""COMPUTED_VALUE"""),"A Saya suka berkata yang artinya sulit dipahami oleh orang lain.")</f>
        <v>A Saya suka berkata yang artinya sulit dipahami oleh orang lain.</v>
      </c>
      <c r="CA25" s="95" t="str">
        <f>IFERROR(__xludf.DUMMYFUNCTION("""COMPUTED_VALUE"""),"A Saya ingin teman-teman dengan gembira memberikan pertolongan kepada saya.")</f>
        <v>A Saya ingin teman-teman dengan gembira memberikan pertolongan kepada saya.</v>
      </c>
      <c r="CB25" s="95" t="str">
        <f>IFERROR(__xludf.DUMMYFUNCTION("""COMPUTED_VALUE"""),"A Saya suka menghindar dari tanggung jawab yang tidak saya inginkan.")</f>
        <v>A Saya suka menghindar dari tanggung jawab yang tidak saya inginkan.</v>
      </c>
      <c r="CC25" s="95" t="str">
        <f>IFERROR(__xludf.DUMMYFUNCTION("""COMPUTED_VALUE"""),"B Saya suka menceritakan hal-hal lucu agar diperhatikan oleh orang lain.")</f>
        <v>B Saya suka menceritakan hal-hal lucu agar diperhatikan oleh orang lain.</v>
      </c>
      <c r="CD25" s="95" t="str">
        <f>IFERROR(__xludf.DUMMYFUNCTION("""COMPUTED_VALUE"""),"B Saya suka berkata yang artinya sulit dipahami oleh orang lain.")</f>
        <v>B Saya suka berkata yang artinya sulit dipahami oleh orang lain.</v>
      </c>
      <c r="CE25" s="95" t="str">
        <f>IFERROR(__xludf.DUMMYFUNCTION("""COMPUTED_VALUE"""),"B Saya kadang-kadang suka melakukan hal-hal yang dapat dipuji oleh orang lain.")</f>
        <v>B Saya kadang-kadang suka melakukan hal-hal yang dapat dipuji oleh orang lain.</v>
      </c>
      <c r="CF25" s="95" t="str">
        <f>IFERROR(__xludf.DUMMYFUNCTION("""COMPUTED_VALUE"""),"A Saya ingin agar hidup saya teratur sesuai cita-cita saya.")</f>
        <v>A Saya ingin agar hidup saya teratur sesuai cita-cita saya.</v>
      </c>
      <c r="CG25" s="95" t="str">
        <f>IFERROR(__xludf.DUMMYFUNCTION("""COMPUTED_VALUE"""),"B Saya suka berbicara tentang hal-hal yang telah saya capai.")</f>
        <v>B Saya suka berbicara tentang hal-hal yang telah saya capai.</v>
      </c>
      <c r="CH25" s="95" t="str">
        <f>IFERROR(__xludf.DUMMYFUNCTION("""COMPUTED_VALUE"""),"B Saya suka dengan orang yang berpenampilan menarik.")</f>
        <v>B Saya suka dengan orang yang berpenampilan menarik.</v>
      </c>
      <c r="CI25" s="95" t="str">
        <f>IFERROR(__xludf.DUMMYFUNCTION("""COMPUTED_VALUE"""),"A Saya suka belajar saya teratur dan ada waktu-waktu tertentu untuk belajar.")</f>
        <v>A Saya suka belajar saya teratur dan ada waktu-waktu tertentu untuk belajar.</v>
      </c>
      <c r="CJ25" s="95" t="str">
        <f>IFERROR(__xludf.DUMMYFUNCTION("""COMPUTED_VALUE"""),"A Saya ingin tidak tergantung dari orang lain terhadap apa yang akan saya lakukan.")</f>
        <v>A Saya ingin tidak tergantung dari orang lain terhadap apa yang akan saya lakukan.</v>
      </c>
      <c r="CK25" s="95" t="str">
        <f>IFERROR(__xludf.DUMMYFUNCTION("""COMPUTED_VALUE"""),"B Saya senang ikut beraktivitas bersama teman sebaya saya.")</f>
        <v>B Saya senang ikut beraktivitas bersama teman sebaya saya.</v>
      </c>
      <c r="CL25" s="95" t="str">
        <f>IFERROR(__xludf.DUMMYFUNCTION("""COMPUTED_VALUE"""),"B Saya berkeinginan untuk bersama teman yang menurut saya menarik.")</f>
        <v>B Saya berkeinginan untuk bersama teman yang menurut saya menarik.</v>
      </c>
      <c r="CM25" s="95" t="str">
        <f>IFERROR(__xludf.DUMMYFUNCTION("""COMPUTED_VALUE"""),"B Saya merasa kagum pada seseorang.")</f>
        <v>B Saya merasa kagum pada seseorang.</v>
      </c>
      <c r="CN25" s="95" t="str">
        <f>IFERROR(__xludf.DUMMYFUNCTION("""COMPUTED_VALUE"""),"A Saya ingin diperlakukan dengan baik oleh teman-teman saya.")</f>
        <v>A Saya ingin diperlakukan dengan baik oleh teman-teman saya.</v>
      </c>
      <c r="CO25" s="95" t="str">
        <f>IFERROR(__xludf.DUMMYFUNCTION("""COMPUTED_VALUE"""),"B Saya suka memuji orang yang saya kagumi.")</f>
        <v>B Saya suka memuji orang yang saya kagumi.</v>
      </c>
      <c r="CP25" s="95" t="str">
        <f>IFERROR(__xludf.DUMMYFUNCTION("""COMPUTED_VALUE"""),"A Saya suka melamun atau membayangkan sesuatu sendirian.")</f>
        <v>A Saya suka melamun atau membayangkan sesuatu sendirian.</v>
      </c>
      <c r="CQ25" s="95" t="str">
        <f>IFERROR(__xludf.DUMMYFUNCTION("""COMPUTED_VALUE"""),"B Saya merasa kagum pada seseorang.")</f>
        <v>B Saya merasa kagum pada seseorang.</v>
      </c>
      <c r="CR25" s="95" t="str">
        <f>IFERROR(__xludf.DUMMYFUNCTION("""COMPUTED_VALUE"""),"B Saya rasanya ingin mengecam seseorang bila orang itu menjengkelkan.")</f>
        <v>B Saya rasanya ingin mengecam seseorang bila orang itu menjengkelkan.</v>
      </c>
      <c r="CS25" s="95" t="str">
        <f>IFERROR(__xludf.DUMMYFUNCTION("""COMPUTED_VALUE"""),"B Saya rasanya ingin membalas dendam bila seseorang menghina saya.")</f>
        <v>B Saya rasanya ingin membalas dendam bila seseorang menghina saya.</v>
      </c>
      <c r="CT25" s="95" t="str">
        <f>IFERROR(__xludf.DUMMYFUNCTION("""COMPUTED_VALUE"""),"B Saya saat marah rasanya ingin melemparkan dan merusak barang-barang.")</f>
        <v>B Saya saat marah rasanya ingin melemparkan dan merusak barang-barang.</v>
      </c>
      <c r="CU25" s="95" t="str">
        <f>IFERROR(__xludf.DUMMYFUNCTION("""COMPUTED_VALUE"""),"A Saya ingin diperlakukan dengan ramah oleh teman-teman saya.")</f>
        <v>A Saya ingin diperlakukan dengan ramah oleh teman-teman saya.</v>
      </c>
      <c r="CV25" s="95" t="str">
        <f>IFERROR(__xludf.DUMMYFUNCTION("""COMPUTED_VALUE"""),"A Saya ingin ditunjuk atau dipilih sebagai ketua dalam suatu kelompok.")</f>
        <v>A Saya ingin ditunjuk atau dipilih sebagai ketua dalam suatu kelompok.</v>
      </c>
      <c r="CW25" s="95" t="str">
        <f>IFERROR(__xludf.DUMMYFUNCTION("""COMPUTED_VALUE"""),"A Saya suka menolong teman-teman saya, apabila mereka dalam kesulitan.")</f>
        <v>A Saya suka menolong teman-teman saya, apabila mereka dalam kesulitan.</v>
      </c>
      <c r="CX25" s="95" t="str">
        <f>IFERROR(__xludf.DUMMYFUNCTION("""COMPUTED_VALUE"""),"B Saya ingin memperolok-olok orang yang saya anggap melakukan tindakan bodoh.")</f>
        <v>B Saya ingin memperolok-olok orang yang saya anggap melakukan tindakan bodoh.</v>
      </c>
      <c r="CY25" s="95" t="str">
        <f>IFERROR(__xludf.DUMMYFUNCTION("""COMPUTED_VALUE"""),"B Saya rasanya ingin membalas dendam bila seseorang menghina saya.")</f>
        <v>B Saya rasanya ingin membalas dendam bila seseorang menghina saya.</v>
      </c>
      <c r="CZ25" s="95" t="str">
        <f>IFERROR(__xludf.DUMMYFUNCTION("""COMPUTED_VALUE"""),"A Saya suka merencanakan dan mengatur setiap pekerjaan yang harus saya lakukan.")</f>
        <v>A Saya suka merencanakan dan mengatur setiap pekerjaan yang harus saya lakukan.</v>
      </c>
      <c r="DA25" s="95" t="str">
        <f>IFERROR(__xludf.DUMMYFUNCTION("""COMPUTED_VALUE"""),"B Saya rasanya ingin mengecam seseorang bila orang itu menjengkelkan.")</f>
        <v>B Saya rasanya ingin mengecam seseorang bila orang itu menjengkelkan.</v>
      </c>
      <c r="DB25" s="89" t="s">
        <v>23</v>
      </c>
      <c r="DC25" s="97" t="str">
        <f t="shared" ref="DC25:GX25" si="70">LEFT(F25,1)</f>
        <v>B</v>
      </c>
      <c r="DD25" s="97" t="str">
        <f t="shared" si="70"/>
        <v>B</v>
      </c>
      <c r="DE25" s="97" t="str">
        <f t="shared" si="70"/>
        <v>A</v>
      </c>
      <c r="DF25" s="97" t="str">
        <f t="shared" si="70"/>
        <v>B</v>
      </c>
      <c r="DG25" s="97" t="str">
        <f t="shared" si="70"/>
        <v>A</v>
      </c>
      <c r="DH25" s="97" t="str">
        <f t="shared" si="70"/>
        <v>A</v>
      </c>
      <c r="DI25" s="97" t="str">
        <f t="shared" si="70"/>
        <v>A</v>
      </c>
      <c r="DJ25" s="97" t="str">
        <f t="shared" si="70"/>
        <v>A</v>
      </c>
      <c r="DK25" s="97" t="str">
        <f t="shared" si="70"/>
        <v>A</v>
      </c>
      <c r="DL25" s="97" t="str">
        <f t="shared" si="70"/>
        <v>A</v>
      </c>
      <c r="DM25" s="97" t="str">
        <f t="shared" si="70"/>
        <v>A</v>
      </c>
      <c r="DN25" s="97" t="str">
        <f t="shared" si="70"/>
        <v>A</v>
      </c>
      <c r="DO25" s="97" t="str">
        <f t="shared" si="70"/>
        <v>B</v>
      </c>
      <c r="DP25" s="97" t="str">
        <f t="shared" si="70"/>
        <v>A</v>
      </c>
      <c r="DQ25" s="97" t="str">
        <f t="shared" si="70"/>
        <v>A</v>
      </c>
      <c r="DR25" s="97" t="str">
        <f t="shared" si="70"/>
        <v>A</v>
      </c>
      <c r="DS25" s="97" t="str">
        <f t="shared" si="70"/>
        <v>B</v>
      </c>
      <c r="DT25" s="97" t="str">
        <f t="shared" si="70"/>
        <v>A</v>
      </c>
      <c r="DU25" s="97" t="str">
        <f t="shared" si="70"/>
        <v>A</v>
      </c>
      <c r="DV25" s="97" t="str">
        <f t="shared" si="70"/>
        <v>A</v>
      </c>
      <c r="DW25" s="97" t="str">
        <f t="shared" si="70"/>
        <v>B</v>
      </c>
      <c r="DX25" s="97" t="str">
        <f t="shared" si="70"/>
        <v>B</v>
      </c>
      <c r="DY25" s="97" t="str">
        <f t="shared" si="70"/>
        <v>A</v>
      </c>
      <c r="DZ25" s="97" t="str">
        <f t="shared" si="70"/>
        <v>B</v>
      </c>
      <c r="EA25" s="97" t="str">
        <f t="shared" si="70"/>
        <v>B</v>
      </c>
      <c r="EB25" s="97" t="str">
        <f t="shared" si="70"/>
        <v>A</v>
      </c>
      <c r="EC25" s="97" t="str">
        <f t="shared" si="70"/>
        <v>B</v>
      </c>
      <c r="ED25" s="97" t="str">
        <f t="shared" si="70"/>
        <v>B</v>
      </c>
      <c r="EE25" s="97" t="str">
        <f t="shared" si="70"/>
        <v>B</v>
      </c>
      <c r="EF25" s="97" t="str">
        <f t="shared" si="70"/>
        <v>B</v>
      </c>
      <c r="EG25" s="97" t="str">
        <f t="shared" si="70"/>
        <v>A</v>
      </c>
      <c r="EH25" s="97" t="str">
        <f t="shared" si="70"/>
        <v>A</v>
      </c>
      <c r="EI25" s="97" t="str">
        <f t="shared" si="70"/>
        <v>A</v>
      </c>
      <c r="EJ25" s="97" t="str">
        <f t="shared" si="70"/>
        <v>B</v>
      </c>
      <c r="EK25" s="97" t="str">
        <f t="shared" si="70"/>
        <v>A</v>
      </c>
      <c r="EL25" s="97" t="str">
        <f t="shared" si="70"/>
        <v>A</v>
      </c>
      <c r="EM25" s="97" t="str">
        <f t="shared" si="70"/>
        <v>B</v>
      </c>
      <c r="EN25" s="97" t="str">
        <f t="shared" si="70"/>
        <v>B</v>
      </c>
      <c r="EO25" s="97" t="str">
        <f t="shared" si="70"/>
        <v>A</v>
      </c>
      <c r="EP25" s="97" t="str">
        <f t="shared" si="70"/>
        <v>B</v>
      </c>
      <c r="EQ25" s="97" t="str">
        <f t="shared" si="70"/>
        <v>B</v>
      </c>
      <c r="ER25" s="97" t="str">
        <f t="shared" si="70"/>
        <v>A</v>
      </c>
      <c r="ES25" s="97" t="str">
        <f t="shared" si="70"/>
        <v>A</v>
      </c>
      <c r="ET25" s="97" t="str">
        <f t="shared" si="70"/>
        <v>B</v>
      </c>
      <c r="EU25" s="97" t="str">
        <f t="shared" si="70"/>
        <v>A</v>
      </c>
      <c r="EV25" s="97" t="str">
        <f t="shared" si="70"/>
        <v>A</v>
      </c>
      <c r="EW25" s="97" t="str">
        <f t="shared" si="70"/>
        <v>A</v>
      </c>
      <c r="EX25" s="97" t="str">
        <f t="shared" si="70"/>
        <v>A</v>
      </c>
      <c r="EY25" s="97" t="str">
        <f t="shared" si="70"/>
        <v>A</v>
      </c>
      <c r="EZ25" s="97" t="str">
        <f t="shared" si="70"/>
        <v>A</v>
      </c>
      <c r="FA25" s="97" t="str">
        <f t="shared" si="70"/>
        <v>B</v>
      </c>
      <c r="FB25" s="97" t="str">
        <f t="shared" si="70"/>
        <v>A</v>
      </c>
      <c r="FC25" s="97" t="str">
        <f t="shared" si="70"/>
        <v>B</v>
      </c>
      <c r="FD25" s="97" t="str">
        <f t="shared" si="70"/>
        <v>B</v>
      </c>
      <c r="FE25" s="97" t="str">
        <f t="shared" si="70"/>
        <v>A</v>
      </c>
      <c r="FF25" s="97" t="str">
        <f t="shared" si="70"/>
        <v>A</v>
      </c>
      <c r="FG25" s="97" t="str">
        <f t="shared" si="70"/>
        <v>B</v>
      </c>
      <c r="FH25" s="97" t="str">
        <f t="shared" si="70"/>
        <v>A</v>
      </c>
      <c r="FI25" s="97" t="str">
        <f t="shared" si="70"/>
        <v>B</v>
      </c>
      <c r="FJ25" s="97" t="str">
        <f t="shared" si="70"/>
        <v>A</v>
      </c>
      <c r="FK25" s="97" t="str">
        <f t="shared" si="70"/>
        <v>A</v>
      </c>
      <c r="FL25" s="97" t="str">
        <f t="shared" si="70"/>
        <v>B</v>
      </c>
      <c r="FM25" s="97" t="str">
        <f t="shared" si="70"/>
        <v>A</v>
      </c>
      <c r="FN25" s="97" t="str">
        <f t="shared" si="70"/>
        <v>B</v>
      </c>
      <c r="FO25" s="97" t="str">
        <f t="shared" si="70"/>
        <v>B</v>
      </c>
      <c r="FP25" s="97" t="str">
        <f t="shared" si="70"/>
        <v>A</v>
      </c>
      <c r="FQ25" s="97" t="str">
        <f t="shared" si="70"/>
        <v>B</v>
      </c>
      <c r="FR25" s="97" t="str">
        <f t="shared" si="70"/>
        <v>A</v>
      </c>
      <c r="FS25" s="97" t="str">
        <f t="shared" si="70"/>
        <v>A</v>
      </c>
      <c r="FT25" s="97" t="str">
        <f t="shared" si="70"/>
        <v>B</v>
      </c>
      <c r="FU25" s="97" t="str">
        <f t="shared" si="70"/>
        <v>A</v>
      </c>
      <c r="FV25" s="97" t="str">
        <f t="shared" si="70"/>
        <v>A</v>
      </c>
      <c r="FW25" s="97" t="str">
        <f t="shared" si="70"/>
        <v>A</v>
      </c>
      <c r="FX25" s="97" t="str">
        <f t="shared" si="70"/>
        <v>A</v>
      </c>
      <c r="FY25" s="97" t="str">
        <f t="shared" si="70"/>
        <v>A</v>
      </c>
      <c r="FZ25" s="97" t="str">
        <f t="shared" si="70"/>
        <v>B</v>
      </c>
      <c r="GA25" s="97" t="str">
        <f t="shared" si="70"/>
        <v>B</v>
      </c>
      <c r="GB25" s="97" t="str">
        <f t="shared" si="70"/>
        <v>B</v>
      </c>
      <c r="GC25" s="97" t="str">
        <f t="shared" si="70"/>
        <v>A</v>
      </c>
      <c r="GD25" s="97" t="str">
        <f t="shared" si="70"/>
        <v>B</v>
      </c>
      <c r="GE25" s="97" t="str">
        <f t="shared" si="70"/>
        <v>B</v>
      </c>
      <c r="GF25" s="97" t="str">
        <f t="shared" si="70"/>
        <v>A</v>
      </c>
      <c r="GG25" s="97" t="str">
        <f t="shared" si="70"/>
        <v>A</v>
      </c>
      <c r="GH25" s="97" t="str">
        <f t="shared" si="70"/>
        <v>B</v>
      </c>
      <c r="GI25" s="97" t="str">
        <f t="shared" si="70"/>
        <v>B</v>
      </c>
      <c r="GJ25" s="97" t="str">
        <f t="shared" si="70"/>
        <v>B</v>
      </c>
      <c r="GK25" s="97" t="str">
        <f t="shared" si="70"/>
        <v>A</v>
      </c>
      <c r="GL25" s="97" t="str">
        <f t="shared" si="70"/>
        <v>B</v>
      </c>
      <c r="GM25" s="97" t="str">
        <f t="shared" si="70"/>
        <v>A</v>
      </c>
      <c r="GN25" s="97" t="str">
        <f t="shared" si="70"/>
        <v>B</v>
      </c>
      <c r="GO25" s="97" t="str">
        <f t="shared" si="70"/>
        <v>B</v>
      </c>
      <c r="GP25" s="97" t="str">
        <f t="shared" si="70"/>
        <v>B</v>
      </c>
      <c r="GQ25" s="97" t="str">
        <f t="shared" si="70"/>
        <v>B</v>
      </c>
      <c r="GR25" s="97" t="str">
        <f t="shared" si="70"/>
        <v>A</v>
      </c>
      <c r="GS25" s="97" t="str">
        <f t="shared" si="70"/>
        <v>A</v>
      </c>
      <c r="GT25" s="97" t="str">
        <f t="shared" si="70"/>
        <v>A</v>
      </c>
      <c r="GU25" s="97" t="str">
        <f t="shared" si="70"/>
        <v>B</v>
      </c>
      <c r="GV25" s="97" t="str">
        <f t="shared" si="70"/>
        <v>B</v>
      </c>
      <c r="GW25" s="97" t="str">
        <f t="shared" si="70"/>
        <v>A</v>
      </c>
      <c r="GX25" s="97" t="str">
        <f t="shared" si="70"/>
        <v>B</v>
      </c>
      <c r="GY25" s="98"/>
      <c r="GZ25" s="97">
        <f t="shared" si="3"/>
        <v>55</v>
      </c>
      <c r="HA25" s="97">
        <f t="shared" si="4"/>
        <v>45</v>
      </c>
      <c r="HB25" s="90">
        <f t="shared" si="5"/>
        <v>100</v>
      </c>
      <c r="HC25" s="99"/>
      <c r="HD25" s="97">
        <f t="shared" si="6"/>
        <v>3</v>
      </c>
      <c r="HE25" s="97">
        <f t="shared" si="7"/>
        <v>2</v>
      </c>
      <c r="HF25" s="90">
        <f t="shared" si="8"/>
        <v>5</v>
      </c>
      <c r="HG25" s="99"/>
      <c r="HH25" s="97">
        <f t="shared" si="9"/>
        <v>5</v>
      </c>
      <c r="HI25" s="97">
        <f t="shared" si="10"/>
        <v>2</v>
      </c>
      <c r="HJ25" s="90">
        <f t="shared" si="11"/>
        <v>7</v>
      </c>
      <c r="HK25" s="99"/>
      <c r="HL25" s="97">
        <f t="shared" si="12"/>
        <v>6</v>
      </c>
      <c r="HM25" s="97">
        <f t="shared" si="13"/>
        <v>8</v>
      </c>
      <c r="HN25" s="90">
        <f t="shared" si="14"/>
        <v>14</v>
      </c>
      <c r="HO25" s="99"/>
      <c r="HP25" s="97">
        <f t="shared" si="15"/>
        <v>0</v>
      </c>
      <c r="HQ25" s="97">
        <f t="shared" si="16"/>
        <v>4</v>
      </c>
      <c r="HR25" s="90">
        <f t="shared" si="17"/>
        <v>4</v>
      </c>
      <c r="HS25" s="99"/>
      <c r="HT25" s="97">
        <f t="shared" si="18"/>
        <v>5</v>
      </c>
      <c r="HU25" s="97">
        <f t="shared" si="19"/>
        <v>2</v>
      </c>
      <c r="HV25" s="90">
        <f t="shared" si="20"/>
        <v>7</v>
      </c>
      <c r="HW25" s="99"/>
      <c r="HX25" s="97">
        <f t="shared" si="21"/>
        <v>8</v>
      </c>
      <c r="HY25" s="97">
        <f t="shared" si="22"/>
        <v>5</v>
      </c>
      <c r="HZ25" s="90">
        <f t="shared" si="23"/>
        <v>13</v>
      </c>
      <c r="IA25" s="99"/>
      <c r="IB25" s="97">
        <f t="shared" si="24"/>
        <v>6</v>
      </c>
      <c r="IC25" s="97">
        <f t="shared" si="25"/>
        <v>5</v>
      </c>
      <c r="ID25" s="90">
        <f t="shared" si="26"/>
        <v>11</v>
      </c>
      <c r="IE25" s="99"/>
      <c r="IF25" s="97">
        <f t="shared" si="27"/>
        <v>4</v>
      </c>
      <c r="IG25" s="97">
        <f t="shared" si="28"/>
        <v>4</v>
      </c>
      <c r="IH25" s="90">
        <f t="shared" si="29"/>
        <v>8</v>
      </c>
      <c r="II25" s="99"/>
      <c r="IJ25" s="97">
        <f t="shared" si="30"/>
        <v>7</v>
      </c>
      <c r="IK25" s="97">
        <f t="shared" si="31"/>
        <v>6</v>
      </c>
      <c r="IL25" s="90">
        <f t="shared" si="32"/>
        <v>13</v>
      </c>
      <c r="IM25" s="99"/>
      <c r="IN25" s="97">
        <f t="shared" si="33"/>
        <v>5</v>
      </c>
      <c r="IO25" s="97">
        <f t="shared" si="34"/>
        <v>6</v>
      </c>
      <c r="IP25" s="90">
        <f t="shared" si="35"/>
        <v>11</v>
      </c>
      <c r="IQ25" s="99"/>
      <c r="IR25" s="99"/>
      <c r="IS25" s="100">
        <f t="shared" si="36"/>
        <v>5</v>
      </c>
      <c r="IT25" s="100">
        <f t="shared" si="37"/>
        <v>7</v>
      </c>
      <c r="IU25" s="100">
        <f t="shared" si="38"/>
        <v>14</v>
      </c>
      <c r="IV25" s="100">
        <f t="shared" si="39"/>
        <v>4</v>
      </c>
      <c r="IW25" s="100">
        <f t="shared" si="40"/>
        <v>7</v>
      </c>
      <c r="IX25" s="100">
        <f t="shared" si="41"/>
        <v>13</v>
      </c>
      <c r="IY25" s="100">
        <f t="shared" si="42"/>
        <v>11</v>
      </c>
      <c r="IZ25" s="100">
        <f t="shared" si="43"/>
        <v>8</v>
      </c>
      <c r="JA25" s="100">
        <f t="shared" si="44"/>
        <v>13</v>
      </c>
      <c r="JB25" s="101">
        <f t="shared" si="45"/>
        <v>11</v>
      </c>
      <c r="JC25" s="102">
        <f t="shared" si="46"/>
        <v>93</v>
      </c>
      <c r="JD25" s="67">
        <f t="shared" si="50"/>
        <v>2</v>
      </c>
      <c r="JE25" s="67">
        <f t="shared" si="47"/>
        <v>4</v>
      </c>
      <c r="JF25" s="67">
        <f t="shared" si="48"/>
        <v>6</v>
      </c>
    </row>
    <row r="26">
      <c r="A26" s="103">
        <f>IFERROR(__xludf.DUMMYFUNCTION("""COMPUTED_VALUE"""),45925.73454799769)</f>
        <v>45925.73455</v>
      </c>
      <c r="B26" s="95" t="str">
        <f>IFERROR(__xludf.DUMMYFUNCTION("""COMPUTED_VALUE"""),"Shafwan Iyadh Addarimy")</f>
        <v>Shafwan Iyadh Addarimy</v>
      </c>
      <c r="C26" s="96" t="str">
        <f>IFERROR(__xludf.DUMMYFUNCTION("""COMPUTED_VALUE"""),"A250024")</f>
        <v>A250024</v>
      </c>
      <c r="D26" s="96" t="str">
        <f>IFERROR(__xludf.DUMMYFUNCTION("""COMPUTED_VALUE"""),"MTs Putra")</f>
        <v>MTs Putra</v>
      </c>
      <c r="E26" s="96" t="str">
        <f>IFERROR(__xludf.DUMMYFUNCTION("""COMPUTED_VALUE"""),"Ya")</f>
        <v>Ya</v>
      </c>
      <c r="F26" s="95" t="str">
        <f>IFERROR(__xludf.DUMMYFUNCTION("""COMPUTED_VALUE"""),"B Saya ingin melakukan apa saja sebaik mungkin.")</f>
        <v>B Saya ingin melakukan apa saja sebaik mungkin.</v>
      </c>
      <c r="G26" s="95" t="str">
        <f>IFERROR(__xludf.DUMMYFUNCTION("""COMPUTED_VALUE"""),"A Saya ingin setiap tulisan saya teliti, rapi, dan tersusun dengan baik.")</f>
        <v>A Saya ingin setiap tulisan saya teliti, rapi, dan tersusun dengan baik.</v>
      </c>
      <c r="H26" s="95" t="str">
        <f>IFERROR(__xludf.DUMMYFUNCTION("""COMPUTED_VALUE"""),"B Saya ingin menjadi orang yang diakui dalam suatu pekerjaan atau bidang khusus.")</f>
        <v>B Saya ingin menjadi orang yang diakui dalam suatu pekerjaan atau bidang khusus.</v>
      </c>
      <c r="I26" s="95" t="str">
        <f>IFERROR(__xludf.DUMMYFUNCTION("""COMPUTED_VALUE"""),"B Saya ingin bisa melakukan dengan baik meskipun tugas yang sulit.")</f>
        <v>B Saya ingin bisa melakukan dengan baik meskipun tugas yang sulit.</v>
      </c>
      <c r="J26" s="95" t="str">
        <f>IFERROR(__xludf.DUMMYFUNCTION("""COMPUTED_VALUE"""),"A Saya suka membantu teman-teman saya apabila mereka mengalami kesulitan.")</f>
        <v>A Saya suka membantu teman-teman saya apabila mereka mengalami kesulitan.</v>
      </c>
      <c r="K26" s="95" t="str">
        <f>IFERROR(__xludf.DUMMYFUNCTION("""COMPUTED_VALUE"""),"B Saya ingin mengatakan telah melakukan dengan baik sesuatu tugas yang sulit.")</f>
        <v>B Saya ingin mengatakan telah melakukan dengan baik sesuatu tugas yang sulit.</v>
      </c>
      <c r="L26" s="95" t="str">
        <f>IFERROR(__xludf.DUMMYFUNCTION("""COMPUTED_VALUE"""),"B Saya ingin mengatakan telah melakukan dengan baik sesuatu tugas yang sulit")</f>
        <v>B Saya ingin mengatakan telah melakukan dengan baik sesuatu tugas yang sulit</v>
      </c>
      <c r="M26" s="95" t="str">
        <f>IFERROR(__xludf.DUMMYFUNCTION("""COMPUTED_VALUE"""),"A Saya suka berbicara tentang hal-hal yang telah berhasil saya lakukan.")</f>
        <v>A Saya suka berbicara tentang hal-hal yang telah berhasil saya lakukan.</v>
      </c>
      <c r="N26" s="95" t="str">
        <f>IFERROR(__xludf.DUMMYFUNCTION("""COMPUTED_VALUE"""),"B Saya suka memecahkan persoalan yang sukar bagi orang lain.")</f>
        <v>B Saya suka memecahkan persoalan yang sukar bagi orang lain.</v>
      </c>
      <c r="O26" s="95" t="str">
        <f>IFERROR(__xludf.DUMMYFUNCTION("""COMPUTED_VALUE"""),"B Saya suka melakukan tugas sebaik mungkin.")</f>
        <v>B Saya suka melakukan tugas sebaik mungkin.</v>
      </c>
      <c r="P26" s="95" t="str">
        <f>IFERROR(__xludf.DUMMYFUNCTION("""COMPUTED_VALUE"""),"B Saya ingin setiap belajar itu teratur dan direncanakan.")</f>
        <v>B Saya ingin setiap belajar itu teratur dan direncanakan.</v>
      </c>
      <c r="Q26" s="95" t="str">
        <f>IFERROR(__xludf.DUMMYFUNCTION("""COMPUTED_VALUE"""),"B Saya merencanakan keperluan yang dibutuhkan sebelum bepergian.")</f>
        <v>B Saya merencanakan keperluan yang dibutuhkan sebelum bepergian.</v>
      </c>
      <c r="R26" s="95" t="str">
        <f>IFERROR(__xludf.DUMMYFUNCTION("""COMPUTED_VALUE"""),"B Saya suka barang-barang saya tersusun rapi dan teratur.")</f>
        <v>B Saya suka barang-barang saya tersusun rapi dan teratur.</v>
      </c>
      <c r="S26" s="95" t="str">
        <f>IFERROR(__xludf.DUMMYFUNCTION("""COMPUTED_VALUE"""),"B Saya suka membuat perencanaan sebelum memulai tugas yang sulit.")</f>
        <v>B Saya suka membuat perencanaan sebelum memulai tugas yang sulit.</v>
      </c>
      <c r="T26" s="95" t="str">
        <f>IFERROR(__xludf.DUMMYFUNCTION("""COMPUTED_VALUE"""),"B Saya ingin agar hidup saya teratur sesuai cita-cita saya.")</f>
        <v>B Saya ingin agar hidup saya teratur sesuai cita-cita saya.</v>
      </c>
      <c r="U26" s="95" t="str">
        <f>IFERROR(__xludf.DUMMYFUNCTION("""COMPUTED_VALUE"""),"A Saya suka memberikan bantuan kepada teman-teman saya.")</f>
        <v>A Saya suka memberikan bantuan kepada teman-teman saya.</v>
      </c>
      <c r="V26" s="95" t="str">
        <f>IFERROR(__xludf.DUMMYFUNCTION("""COMPUTED_VALUE"""),"B Saya suka belajar saya teratur dan ada waktu-waktu tertentu untuk belajar.")</f>
        <v>B Saya suka belajar saya teratur dan ada waktu-waktu tertentu untuk belajar.</v>
      </c>
      <c r="W26" s="95" t="str">
        <f>IFERROR(__xludf.DUMMYFUNCTION("""COMPUTED_VALUE"""),"B Saya ingin kegiatan itu teratur dan direncanakan.")</f>
        <v>B Saya ingin kegiatan itu teratur dan direncanakan.</v>
      </c>
      <c r="X26" s="95" t="str">
        <f>IFERROR(__xludf.DUMMYFUNCTION("""COMPUTED_VALUE"""),"A Saya suka merencanakan dan mengatur setiap apa yang harus saya lakukan.")</f>
        <v>A Saya suka merencanakan dan mengatur setiap apa yang harus saya lakukan.</v>
      </c>
      <c r="Y26" s="95" t="str">
        <f>IFERROR(__xludf.DUMMYFUNCTION("""COMPUTED_VALUE"""),"A Saya suka menyelesaikan tugas-tugas yang membutuhkan ketrampilan dan usaha.")</f>
        <v>A Saya suka menyelesaikan tugas-tugas yang membutuhkan ketrampilan dan usaha.</v>
      </c>
      <c r="Z26" s="95" t="str">
        <f>IFERROR(__xludf.DUMMYFUNCTION("""COMPUTED_VALUE"""),"A Saya ingin berhasil dengan belajar yang saya lakukan.")</f>
        <v>A Saya ingin berhasil dengan belajar yang saya lakukan.</v>
      </c>
      <c r="AA26" s="95" t="str">
        <f>IFERROR(__xludf.DUMMYFUNCTION("""COMPUTED_VALUE"""),"B Saya tidak suka pada orang yang berbuat seenaknya sendiri.")</f>
        <v>B Saya tidak suka pada orang yang berbuat seenaknya sendiri.</v>
      </c>
      <c r="AB26" s="95" t="str">
        <f>IFERROR(__xludf.DUMMYFUNCTION("""COMPUTED_VALUE"""),"B Saya ingin menyelesaikan pekerjaan satu persatu sebelum memulai yang lain.")</f>
        <v>B Saya ingin menyelesaikan pekerjaan satu persatu sebelum memulai yang lain.</v>
      </c>
      <c r="AC26" s="95" t="str">
        <f>IFERROR(__xludf.DUMMYFUNCTION("""COMPUTED_VALUE"""),"A Saya suka menyelesaikan setiap tugas meskipun membutuhkan waktu lama.")</f>
        <v>A Saya suka menyelesaikan setiap tugas meskipun membutuhkan waktu lama.</v>
      </c>
      <c r="AD26" s="95" t="str">
        <f>IFERROR(__xludf.DUMMYFUNCTION("""COMPUTED_VALUE"""),"A Saya suka bermurah hati terhadap teman-teman saya.")</f>
        <v>A Saya suka bermurah hati terhadap teman-teman saya.</v>
      </c>
      <c r="AE26" s="95" t="str">
        <f>IFERROR(__xludf.DUMMYFUNCTION("""COMPUTED_VALUE"""),"A Saya ingin dianggap sebagai pemimpin oleh teman di kelompok.")</f>
        <v>A Saya ingin dianggap sebagai pemimpin oleh teman di kelompok.</v>
      </c>
      <c r="AF26" s="95" t="str">
        <f>IFERROR(__xludf.DUMMYFUNCTION("""COMPUTED_VALUE"""),"B Saya suka melakukan hal-hal dengan cara saya sendiri.")</f>
        <v>B Saya suka melakukan hal-hal dengan cara saya sendiri.</v>
      </c>
      <c r="AG26" s="95" t="str">
        <f>IFERROR(__xludf.DUMMYFUNCTION("""COMPUTED_VALUE"""),"B Saya ingin berhasil dengan tugas yang saya lakukan.")</f>
        <v>B Saya ingin berhasil dengan tugas yang saya lakukan.</v>
      </c>
      <c r="AH26" s="95" t="str">
        <f>IFERROR(__xludf.DUMMYFUNCTION("""COMPUTED_VALUE"""),"A Saya suka membaca buku-buku tentang pergaulan remaja.")</f>
        <v>A Saya suka membaca buku-buku tentang pergaulan remaja.</v>
      </c>
      <c r="AI26" s="95" t="str">
        <f>IFERROR(__xludf.DUMMYFUNCTION("""COMPUTED_VALUE"""),"A Saya ingin menghardik orang lain bila saya berbeda pendapat dengan mereka.")</f>
        <v>A Saya ingin menghardik orang lain bila saya berbeda pendapat dengan mereka.</v>
      </c>
      <c r="AJ26" s="95" t="str">
        <f>IFERROR(__xludf.DUMMYFUNCTION("""COMPUTED_VALUE"""),"B Saya suka bertahan menghadapi satu masalah meskipun belum tentu berhasil.")</f>
        <v>B Saya suka bertahan menghadapi satu masalah meskipun belum tentu berhasil.</v>
      </c>
      <c r="AK26" s="95" t="str">
        <f>IFERROR(__xludf.DUMMYFUNCTION("""COMPUTED_VALUE"""),"B Bila saya harus melakukan suatu tugas, saya ingin mengerjakan sampai selesai.")</f>
        <v>B Bila saya harus melakukan suatu tugas, saya ingin mengerjakan sampai selesai.</v>
      </c>
      <c r="AL26" s="95" t="str">
        <f>IFERROR(__xludf.DUMMYFUNCTION("""COMPUTED_VALUE"""),"B Saya ingin menghindarkan gangguan bila saya sedang belajar.")</f>
        <v>B Saya ingin menghindarkan gangguan bila saya sedang belajar.</v>
      </c>
      <c r="AM26" s="95" t="str">
        <f>IFERROR(__xludf.DUMMYFUNCTION("""COMPUTED_VALUE"""),"B Saya suka belajar sampai malam untuk menyelesaikan suatu tugas.")</f>
        <v>B Saya suka belajar sampai malam untuk menyelesaikan suatu tugas.</v>
      </c>
      <c r="AN26" s="95" t="str">
        <f>IFERROR(__xludf.DUMMYFUNCTION("""COMPUTED_VALUE"""),"A Saya tidak suka pada orang yang semena-mena.")</f>
        <v>A Saya tidak suka pada orang yang semena-mena.</v>
      </c>
      <c r="AO26" s="95" t="str">
        <f>IFERROR(__xludf.DUMMYFUNCTION("""COMPUTED_VALUE"""),"A Saya suka berlaku sangat ramah terhadap teman-teman saya.")</f>
        <v>A Saya suka berlaku sangat ramah terhadap teman-teman saya.</v>
      </c>
      <c r="AP26" s="95" t="str">
        <f>IFERROR(__xludf.DUMMYFUNCTION("""COMPUTED_VALUE"""),"B Saya suka bertahan menghadapi satu masalah meskipun belum tentu berhasil.")</f>
        <v>B Saya suka bertahan menghadapi satu masalah meskipun belum tentu berhasil.</v>
      </c>
      <c r="AQ26" s="95" t="str">
        <f>IFERROR(__xludf.DUMMYFUNCTION("""COMPUTED_VALUE"""),"B Bila saya harus melakukan suatu tugas, saya ingin mengerjakan sampai selesai.")</f>
        <v>B Bila saya harus melakukan suatu tugas, saya ingin mengerjakan sampai selesai.</v>
      </c>
      <c r="AR26" s="95" t="str">
        <f>IFERROR(__xludf.DUMMYFUNCTION("""COMPUTED_VALUE"""),"B Saya suka belajar keras pada tiap pelajaran yang saya hadapi.")</f>
        <v>B Saya suka belajar keras pada tiap pelajaran yang saya hadapi.</v>
      </c>
      <c r="AS26" s="95" t="str">
        <f>IFERROR(__xludf.DUMMYFUNCTION("""COMPUTED_VALUE"""),"B Saya suka belajar sampai malam untuk menyelesaikan suatu tugas.")</f>
        <v>B Saya suka belajar sampai malam untuk menyelesaikan suatu tugas.</v>
      </c>
      <c r="AT26" s="95" t="str">
        <f>IFERROR(__xludf.DUMMYFUNCTION("""COMPUTED_VALUE"""),"A Saya ingin bisa melakukan dengan baik sesuatu pekerjaan sulit.")</f>
        <v>A Saya ingin bisa melakukan dengan baik sesuatu pekerjaan sulit.</v>
      </c>
      <c r="AU26" s="95" t="str">
        <f>IFERROR(__xludf.DUMMYFUNCTION("""COMPUTED_VALUE"""),"A Saya ingin menyelesaikan pekerjaan satu persatu sebelum memulai yang lain.")</f>
        <v>A Saya ingin menyelesaikan pekerjaan satu persatu sebelum memulai yang lain.</v>
      </c>
      <c r="AV26" s="95" t="str">
        <f>IFERROR(__xludf.DUMMYFUNCTION("""COMPUTED_VALUE"""),"B Saya suka menolong teman-teman saya.")</f>
        <v>B Saya suka menolong teman-teman saya.</v>
      </c>
      <c r="AW26" s="95" t="str">
        <f>IFERROR(__xludf.DUMMYFUNCTION("""COMPUTED_VALUE"""),"A Saya ingin mengerjakan tugas sampai selesai.")</f>
        <v>A Saya ingin mengerjakan tugas sampai selesai.</v>
      </c>
      <c r="AX26" s="95" t="str">
        <f>IFERROR(__xludf.DUMMYFUNCTION("""COMPUTED_VALUE"""),"B Saya suka memaafkan teman-teman saya yang menyakiti hati saya.")</f>
        <v>B Saya suka memaafkan teman-teman saya yang menyakiti hati saya.</v>
      </c>
      <c r="AY26" s="95" t="str">
        <f>IFERROR(__xludf.DUMMYFUNCTION("""COMPUTED_VALUE"""),"B Saya suka menolong teman-teman saya apabila mereka dalam kesulitan.")</f>
        <v>B Saya suka menolong teman-teman saya apabila mereka dalam kesulitan.</v>
      </c>
      <c r="AZ26" s="95" t="str">
        <f>IFERROR(__xludf.DUMMYFUNCTION("""COMPUTED_VALUE"""),"A Saya ingin agar teman-teman saya bersimpati dan menghibur saya bila saya sedih.")</f>
        <v>A Saya ingin agar teman-teman saya bersimpati dan menghibur saya bila saya sedih.</v>
      </c>
      <c r="BA26" s="95" t="str">
        <f>IFERROR(__xludf.DUMMYFUNCTION("""COMPUTED_VALUE"""),"B Saya suka memperlakukan orang lain dengan baik dan ramah.")</f>
        <v>B Saya suka memperlakukan orang lain dengan baik dan ramah.</v>
      </c>
      <c r="BB26" s="95" t="str">
        <f>IFERROR(__xludf.DUMMYFUNCTION("""COMPUTED_VALUE"""),"B Saya suka bermurah hati terhadap teman-teman saya.")</f>
        <v>B Saya suka bermurah hati terhadap teman-teman saya.</v>
      </c>
      <c r="BC26" s="95" t="str">
        <f>IFERROR(__xludf.DUMMYFUNCTION("""COMPUTED_VALUE"""),"B Saya suka membantu orang lain yang menurut saya perlu dikasihani.")</f>
        <v>B Saya suka membantu orang lain yang menurut saya perlu dikasihani.</v>
      </c>
      <c r="BD26" s="95" t="str">
        <f>IFERROR(__xludf.DUMMYFUNCTION("""COMPUTED_VALUE"""),"B Saya suka bersikukuh dengan pendirian saya.")</f>
        <v>B Saya suka bersikukuh dengan pendirian saya.</v>
      </c>
      <c r="BE26" s="95" t="str">
        <f>IFERROR(__xludf.DUMMYFUNCTION("""COMPUTED_VALUE"""),"A Saya suka mendengarkan atau menceritakan hal-hal yang sebaiknya tidak diceritakan.")</f>
        <v>A Saya suka mendengarkan atau menceritakan hal-hal yang sebaiknya tidak diceritakan.</v>
      </c>
      <c r="BF26" s="95" t="str">
        <f>IFERROR(__xludf.DUMMYFUNCTION("""COMPUTED_VALUE"""),"B Bila saya dalam kelompok, saya ingin menentukan apa yang akan kita lakukan.")</f>
        <v>B Bila saya dalam kelompok, saya ingin menentukan apa yang akan kita lakukan.</v>
      </c>
      <c r="BG26" s="95" t="str">
        <f>IFERROR(__xludf.DUMMYFUNCTION("""COMPUTED_VALUE"""),"A Saya ingin teman-teman banyak menunjukkan rasa sayang mereka terhadap saya.")</f>
        <v>A Saya ingin teman-teman banyak menunjukkan rasa sayang mereka terhadap saya.</v>
      </c>
      <c r="BH26" s="95" t="str">
        <f>IFERROR(__xludf.DUMMYFUNCTION("""COMPUTED_VALUE"""),"B Apabila saya berkumpul dalam kelompok, saya ingin dihargai teman-teman.")</f>
        <v>B Apabila saya berkumpul dalam kelompok, saya ingin dihargai teman-teman.</v>
      </c>
      <c r="BI26" s="95" t="str">
        <f>IFERROR(__xludf.DUMMYFUNCTION("""COMPUTED_VALUE"""),"A Saya suka bermurah hati terhadap teman-teman saya.")</f>
        <v>A Saya suka bermurah hati terhadap teman-teman saya.</v>
      </c>
      <c r="BJ26" s="95" t="str">
        <f>IFERROR(__xludf.DUMMYFUNCTION("""COMPUTED_VALUE"""),"A Saya ingin mengerjakan tugas sampai selesai.")</f>
        <v>A Saya ingin mengerjakan tugas sampai selesai.</v>
      </c>
      <c r="BK26" s="95" t="str">
        <f>IFERROR(__xludf.DUMMYFUNCTION("""COMPUTED_VALUE"""),"A Saya ingin menyelesaikan pekerjaan satu persatu sebelum memulai yang lain.")</f>
        <v>A Saya ingin menyelesaikan pekerjaan satu persatu sebelum memulai yang lain.</v>
      </c>
      <c r="BL26" s="95" t="str">
        <f>IFERROR(__xludf.DUMMYFUNCTION("""COMPUTED_VALUE"""),"A Saya suka belajar saya teratur dan ada waktu-waktu tertentu untuk belajar.")</f>
        <v>A Saya suka belajar saya teratur dan ada waktu-waktu tertentu untuk belajar.</v>
      </c>
      <c r="BM26" s="95" t="str">
        <f>IFERROR(__xludf.DUMMYFUNCTION("""COMPUTED_VALUE"""),"A Saya suka melakukan pekerjaan sebaik mungkin.")</f>
        <v>A Saya suka melakukan pekerjaan sebaik mungkin.</v>
      </c>
      <c r="BN26" s="95" t="str">
        <f>IFERROR(__xludf.DUMMYFUNCTION("""COMPUTED_VALUE"""),"B Saya ingin teman-teman memberi dorongan bila saya menghadapi kegagalan.")</f>
        <v>B Saya ingin teman-teman memberi dorongan bila saya menghadapi kegagalan.</v>
      </c>
      <c r="BO26" s="95" t="str">
        <f>IFERROR(__xludf.DUMMYFUNCTION("""COMPUTED_VALUE"""),"B Saya ingin diperlakukan dengan baik oleh teman-teman saya.")</f>
        <v>B Saya ingin diperlakukan dengan baik oleh teman-teman saya.</v>
      </c>
      <c r="BP26" s="95" t="str">
        <f>IFERROR(__xludf.DUMMYFUNCTION("""COMPUTED_VALUE"""),"A Saya ingin menyelesaikan sesuatu yang sangat penting artinya.")</f>
        <v>A Saya ingin menyelesaikan sesuatu yang sangat penting artinya.</v>
      </c>
      <c r="BQ26" s="95" t="str">
        <f>IFERROR(__xludf.DUMMYFUNCTION("""COMPUTED_VALUE"""),"A Saya ingin mengerjakannya tugas sampai selesai.")</f>
        <v>A Saya ingin mengerjakannya tugas sampai selesai.</v>
      </c>
      <c r="BR26" s="95" t="str">
        <f>IFERROR(__xludf.DUMMYFUNCTION("""COMPUTED_VALUE"""),"A Saya suka memaafkan teman-teman saya yang menyakiti hati saya.")</f>
        <v>A Saya suka memaafkan teman-teman saya yang menyakiti hati saya.</v>
      </c>
      <c r="BS26" s="95" t="str">
        <f>IFERROR(__xludf.DUMMYFUNCTION("""COMPUTED_VALUE"""),"B Saya ingin teman-teman saya membantu saya bila saya mengalami kesulitan")</f>
        <v>B Saya ingin teman-teman saya membantu saya bila saya mengalami kesulitan</v>
      </c>
      <c r="BT26" s="95" t="str">
        <f>IFERROR(__xludf.DUMMYFUNCTION("""COMPUTED_VALUE"""),"B Saya ingin teman-teman banyak menunjukkan rasa sayang mereka terhadap saya.")</f>
        <v>B Saya ingin teman-teman banyak menunjukkan rasa sayang mereka terhadap saya.</v>
      </c>
      <c r="BU26" s="95" t="str">
        <f>IFERROR(__xludf.DUMMYFUNCTION("""COMPUTED_VALUE"""),"A Saya kadang-kadang suka melakukan hal-hal yang dapat dipuji oleh orang lain.")</f>
        <v>A Saya kadang-kadang suka melakukan hal-hal yang dapat dipuji oleh orang lain.</v>
      </c>
      <c r="BV26" s="95" t="str">
        <f>IFERROR(__xludf.DUMMYFUNCTION("""COMPUTED_VALUE"""),"B Saya ingin teman-teman dengan gembira memberikan pertolongan kepada saya.")</f>
        <v>B Saya ingin teman-teman dengan gembira memberikan pertolongan kepada saya.</v>
      </c>
      <c r="BW26" s="95" t="str">
        <f>IFERROR(__xludf.DUMMYFUNCTION("""COMPUTED_VALUE"""),"B Saya ingin diperlakukan dengan baik oleh teman-teman saya.")</f>
        <v>B Saya ingin diperlakukan dengan baik oleh teman-teman saya.</v>
      </c>
      <c r="BX26" s="95" t="str">
        <f>IFERROR(__xludf.DUMMYFUNCTION("""COMPUTED_VALUE"""),"B Saya kadang-kadang suka melakukan hal-hal yang dapat dipuji oleh orang lain.")</f>
        <v>B Saya kadang-kadang suka melakukan hal-hal yang dapat dipuji oleh orang lain.</v>
      </c>
      <c r="BY26" s="95" t="str">
        <f>IFERROR(__xludf.DUMMYFUNCTION("""COMPUTED_VALUE"""),"A Saya suka melamun atau membayangkan hal-hal yang tidak jelas.")</f>
        <v>A Saya suka melamun atau membayangkan hal-hal yang tidak jelas.</v>
      </c>
      <c r="BZ26" s="95" t="str">
        <f>IFERROR(__xludf.DUMMYFUNCTION("""COMPUTED_VALUE"""),"A Saya suka berkata yang artinya sulit dipahami oleh orang lain.")</f>
        <v>A Saya suka berkata yang artinya sulit dipahami oleh orang lain.</v>
      </c>
      <c r="CA26" s="95" t="str">
        <f>IFERROR(__xludf.DUMMYFUNCTION("""COMPUTED_VALUE"""),"A Saya ingin teman-teman dengan gembira memberikan pertolongan kepada saya.")</f>
        <v>A Saya ingin teman-teman dengan gembira memberikan pertolongan kepada saya.</v>
      </c>
      <c r="CB26" s="95" t="str">
        <f>IFERROR(__xludf.DUMMYFUNCTION("""COMPUTED_VALUE"""),"B Saya suka berbicara tentang hal-hal yang telah saya capai.")</f>
        <v>B Saya suka berbicara tentang hal-hal yang telah saya capai.</v>
      </c>
      <c r="CC26" s="95" t="str">
        <f>IFERROR(__xludf.DUMMYFUNCTION("""COMPUTED_VALUE"""),"A Apabila saya berkumpul dalam kelompok, saya ingin dihargai teman-teman.")</f>
        <v>A Apabila saya berkumpul dalam kelompok, saya ingin dihargai teman-teman.</v>
      </c>
      <c r="CD26" s="95" t="str">
        <f>IFERROR(__xludf.DUMMYFUNCTION("""COMPUTED_VALUE"""),"A Saya suka menyelesaikan setiap tugas meskipun membutuhkan waktu lama.")</f>
        <v>A Saya suka menyelesaikan setiap tugas meskipun membutuhkan waktu lama.</v>
      </c>
      <c r="CE26" s="95" t="str">
        <f>IFERROR(__xludf.DUMMYFUNCTION("""COMPUTED_VALUE"""),"B Saya kadang-kadang suka melakukan hal-hal yang dapat dipuji oleh orang lain.")</f>
        <v>B Saya kadang-kadang suka melakukan hal-hal yang dapat dipuji oleh orang lain.</v>
      </c>
      <c r="CF26" s="95" t="str">
        <f>IFERROR(__xludf.DUMMYFUNCTION("""COMPUTED_VALUE"""),"A Saya ingin agar hidup saya teratur sesuai cita-cita saya.")</f>
        <v>A Saya ingin agar hidup saya teratur sesuai cita-cita saya.</v>
      </c>
      <c r="CG26" s="95" t="str">
        <f>IFERROR(__xludf.DUMMYFUNCTION("""COMPUTED_VALUE"""),"A Saya ingin berhasil dalam apa yang saya lakukan.")</f>
        <v>A Saya ingin berhasil dalam apa yang saya lakukan.</v>
      </c>
      <c r="CH26" s="95" t="str">
        <f>IFERROR(__xludf.DUMMYFUNCTION("""COMPUTED_VALUE"""),"A Saya ingin bisa melakukan dengan baik sesuatu pekerjaan sulit.")</f>
        <v>A Saya ingin bisa melakukan dengan baik sesuatu pekerjaan sulit.</v>
      </c>
      <c r="CI26" s="95" t="str">
        <f>IFERROR(__xludf.DUMMYFUNCTION("""COMPUTED_VALUE"""),"A Saya suka belajar saya teratur dan ada waktu-waktu tertentu untuk belajar.")</f>
        <v>A Saya suka belajar saya teratur dan ada waktu-waktu tertentu untuk belajar.</v>
      </c>
      <c r="CJ26" s="95" t="str">
        <f>IFERROR(__xludf.DUMMYFUNCTION("""COMPUTED_VALUE"""),"A Saya ingin tidak tergantung dari orang lain terhadap apa yang akan saya lakukan.")</f>
        <v>A Saya ingin tidak tergantung dari orang lain terhadap apa yang akan saya lakukan.</v>
      </c>
      <c r="CK26" s="95" t="str">
        <f>IFERROR(__xludf.DUMMYFUNCTION("""COMPUTED_VALUE"""),"B Saya senang ikut beraktivitas bersama teman sebaya saya.")</f>
        <v>B Saya senang ikut beraktivitas bersama teman sebaya saya.</v>
      </c>
      <c r="CL26" s="95" t="str">
        <f>IFERROR(__xludf.DUMMYFUNCTION("""COMPUTED_VALUE"""),"A Saya suka menolong teman-teman saya, apabila mereka dalam kesulitan.")</f>
        <v>A Saya suka menolong teman-teman saya, apabila mereka dalam kesulitan.</v>
      </c>
      <c r="CM26" s="95" t="str">
        <f>IFERROR(__xludf.DUMMYFUNCTION("""COMPUTED_VALUE"""),"B Saya merasa kagum pada seseorang.")</f>
        <v>B Saya merasa kagum pada seseorang.</v>
      </c>
      <c r="CN26" s="95" t="str">
        <f>IFERROR(__xludf.DUMMYFUNCTION("""COMPUTED_VALUE"""),"A Saya ingin diperlakukan dengan baik oleh teman-teman saya.")</f>
        <v>A Saya ingin diperlakukan dengan baik oleh teman-teman saya.</v>
      </c>
      <c r="CO26" s="95" t="str">
        <f>IFERROR(__xludf.DUMMYFUNCTION("""COMPUTED_VALUE"""),"B Saya suka memuji orang yang saya kagumi.")</f>
        <v>B Saya suka memuji orang yang saya kagumi.</v>
      </c>
      <c r="CP26" s="95" t="str">
        <f>IFERROR(__xludf.DUMMYFUNCTION("""COMPUTED_VALUE"""),"A Saya suka melamun atau membayangkan sesuatu sendirian.")</f>
        <v>A Saya suka melamun atau membayangkan sesuatu sendirian.</v>
      </c>
      <c r="CQ26" s="95" t="str">
        <f>IFERROR(__xludf.DUMMYFUNCTION("""COMPUTED_VALUE"""),"B Saya merasa kagum pada seseorang.")</f>
        <v>B Saya merasa kagum pada seseorang.</v>
      </c>
      <c r="CR26" s="95" t="str">
        <f>IFERROR(__xludf.DUMMYFUNCTION("""COMPUTED_VALUE"""),"B Saya rasanya ingin mengecam seseorang bila orang itu menjengkelkan.")</f>
        <v>B Saya rasanya ingin mengecam seseorang bila orang itu menjengkelkan.</v>
      </c>
      <c r="CS26" s="95" t="str">
        <f>IFERROR(__xludf.DUMMYFUNCTION("""COMPUTED_VALUE"""),"B Saya rasanya ingin membalas dendam bila seseorang menghina saya.")</f>
        <v>B Saya rasanya ingin membalas dendam bila seseorang menghina saya.</v>
      </c>
      <c r="CT26" s="95" t="str">
        <f>IFERROR(__xludf.DUMMYFUNCTION("""COMPUTED_VALUE"""),"B Saya saat marah rasanya ingin melemparkan dan merusak barang-barang.")</f>
        <v>B Saya saat marah rasanya ingin melemparkan dan merusak barang-barang.</v>
      </c>
      <c r="CU26" s="95" t="str">
        <f>IFERROR(__xludf.DUMMYFUNCTION("""COMPUTED_VALUE"""),"A Saya ingin diperlakukan dengan ramah oleh teman-teman saya.")</f>
        <v>A Saya ingin diperlakukan dengan ramah oleh teman-teman saya.</v>
      </c>
      <c r="CV26" s="95" t="str">
        <f>IFERROR(__xludf.DUMMYFUNCTION("""COMPUTED_VALUE"""),"B Saya menyerang pendirian-pendirian yang bertentangan dengan pendirian saya.")</f>
        <v>B Saya menyerang pendirian-pendirian yang bertentangan dengan pendirian saya.</v>
      </c>
      <c r="CW26" s="95" t="str">
        <f>IFERROR(__xludf.DUMMYFUNCTION("""COMPUTED_VALUE"""),"A Saya suka menolong teman-teman saya, apabila mereka dalam kesulitan.")</f>
        <v>A Saya suka menolong teman-teman saya, apabila mereka dalam kesulitan.</v>
      </c>
      <c r="CX26" s="95" t="str">
        <f>IFERROR(__xludf.DUMMYFUNCTION("""COMPUTED_VALUE"""),"A Saya suka belajar sampai malam untuk menyelesaikan suatu tugas.")</f>
        <v>A Saya suka belajar sampai malam untuk menyelesaikan suatu tugas.</v>
      </c>
      <c r="CY26" s="95" t="str">
        <f>IFERROR(__xludf.DUMMYFUNCTION("""COMPUTED_VALUE"""),"A Saya ingin tidak tergantung dari orang lain terhadap apa yang akan saya lakukan.")</f>
        <v>A Saya ingin tidak tergantung dari orang lain terhadap apa yang akan saya lakukan.</v>
      </c>
      <c r="CZ26" s="95" t="str">
        <f>IFERROR(__xludf.DUMMYFUNCTION("""COMPUTED_VALUE"""),"A Saya suka merencanakan dan mengatur setiap pekerjaan yang harus saya lakukan.")</f>
        <v>A Saya suka merencanakan dan mengatur setiap pekerjaan yang harus saya lakukan.</v>
      </c>
      <c r="DA26" s="95" t="str">
        <f>IFERROR(__xludf.DUMMYFUNCTION("""COMPUTED_VALUE"""),"A Saya ingin melakukan apa saja sebaik mungkin.")</f>
        <v>A Saya ingin melakukan apa saja sebaik mungkin.</v>
      </c>
      <c r="DB26" s="89" t="s">
        <v>23</v>
      </c>
      <c r="DC26" s="97" t="str">
        <f t="shared" ref="DC26:GX26" si="71">LEFT(F26,1)</f>
        <v>B</v>
      </c>
      <c r="DD26" s="97" t="str">
        <f t="shared" si="71"/>
        <v>A</v>
      </c>
      <c r="DE26" s="97" t="str">
        <f t="shared" si="71"/>
        <v>B</v>
      </c>
      <c r="DF26" s="97" t="str">
        <f t="shared" si="71"/>
        <v>B</v>
      </c>
      <c r="DG26" s="97" t="str">
        <f t="shared" si="71"/>
        <v>A</v>
      </c>
      <c r="DH26" s="97" t="str">
        <f t="shared" si="71"/>
        <v>B</v>
      </c>
      <c r="DI26" s="97" t="str">
        <f t="shared" si="71"/>
        <v>B</v>
      </c>
      <c r="DJ26" s="97" t="str">
        <f t="shared" si="71"/>
        <v>A</v>
      </c>
      <c r="DK26" s="97" t="str">
        <f t="shared" si="71"/>
        <v>B</v>
      </c>
      <c r="DL26" s="97" t="str">
        <f t="shared" si="71"/>
        <v>B</v>
      </c>
      <c r="DM26" s="97" t="str">
        <f t="shared" si="71"/>
        <v>B</v>
      </c>
      <c r="DN26" s="97" t="str">
        <f t="shared" si="71"/>
        <v>B</v>
      </c>
      <c r="DO26" s="97" t="str">
        <f t="shared" si="71"/>
        <v>B</v>
      </c>
      <c r="DP26" s="97" t="str">
        <f t="shared" si="71"/>
        <v>B</v>
      </c>
      <c r="DQ26" s="97" t="str">
        <f t="shared" si="71"/>
        <v>B</v>
      </c>
      <c r="DR26" s="97" t="str">
        <f t="shared" si="71"/>
        <v>A</v>
      </c>
      <c r="DS26" s="97" t="str">
        <f t="shared" si="71"/>
        <v>B</v>
      </c>
      <c r="DT26" s="97" t="str">
        <f t="shared" si="71"/>
        <v>B</v>
      </c>
      <c r="DU26" s="97" t="str">
        <f t="shared" si="71"/>
        <v>A</v>
      </c>
      <c r="DV26" s="97" t="str">
        <f t="shared" si="71"/>
        <v>A</v>
      </c>
      <c r="DW26" s="97" t="str">
        <f t="shared" si="71"/>
        <v>A</v>
      </c>
      <c r="DX26" s="97" t="str">
        <f t="shared" si="71"/>
        <v>B</v>
      </c>
      <c r="DY26" s="97" t="str">
        <f t="shared" si="71"/>
        <v>B</v>
      </c>
      <c r="DZ26" s="97" t="str">
        <f t="shared" si="71"/>
        <v>A</v>
      </c>
      <c r="EA26" s="97" t="str">
        <f t="shared" si="71"/>
        <v>A</v>
      </c>
      <c r="EB26" s="97" t="str">
        <f t="shared" si="71"/>
        <v>A</v>
      </c>
      <c r="EC26" s="97" t="str">
        <f t="shared" si="71"/>
        <v>B</v>
      </c>
      <c r="ED26" s="97" t="str">
        <f t="shared" si="71"/>
        <v>B</v>
      </c>
      <c r="EE26" s="97" t="str">
        <f t="shared" si="71"/>
        <v>A</v>
      </c>
      <c r="EF26" s="97" t="str">
        <f t="shared" si="71"/>
        <v>A</v>
      </c>
      <c r="EG26" s="97" t="str">
        <f t="shared" si="71"/>
        <v>B</v>
      </c>
      <c r="EH26" s="97" t="str">
        <f t="shared" si="71"/>
        <v>B</v>
      </c>
      <c r="EI26" s="97" t="str">
        <f t="shared" si="71"/>
        <v>B</v>
      </c>
      <c r="EJ26" s="97" t="str">
        <f t="shared" si="71"/>
        <v>B</v>
      </c>
      <c r="EK26" s="97" t="str">
        <f t="shared" si="71"/>
        <v>A</v>
      </c>
      <c r="EL26" s="97" t="str">
        <f t="shared" si="71"/>
        <v>A</v>
      </c>
      <c r="EM26" s="97" t="str">
        <f t="shared" si="71"/>
        <v>B</v>
      </c>
      <c r="EN26" s="97" t="str">
        <f t="shared" si="71"/>
        <v>B</v>
      </c>
      <c r="EO26" s="97" t="str">
        <f t="shared" si="71"/>
        <v>B</v>
      </c>
      <c r="EP26" s="97" t="str">
        <f t="shared" si="71"/>
        <v>B</v>
      </c>
      <c r="EQ26" s="97" t="str">
        <f t="shared" si="71"/>
        <v>A</v>
      </c>
      <c r="ER26" s="97" t="str">
        <f t="shared" si="71"/>
        <v>A</v>
      </c>
      <c r="ES26" s="97" t="str">
        <f t="shared" si="71"/>
        <v>B</v>
      </c>
      <c r="ET26" s="97" t="str">
        <f t="shared" si="71"/>
        <v>A</v>
      </c>
      <c r="EU26" s="97" t="str">
        <f t="shared" si="71"/>
        <v>B</v>
      </c>
      <c r="EV26" s="97" t="str">
        <f t="shared" si="71"/>
        <v>B</v>
      </c>
      <c r="EW26" s="97" t="str">
        <f t="shared" si="71"/>
        <v>A</v>
      </c>
      <c r="EX26" s="97" t="str">
        <f t="shared" si="71"/>
        <v>B</v>
      </c>
      <c r="EY26" s="97" t="str">
        <f t="shared" si="71"/>
        <v>B</v>
      </c>
      <c r="EZ26" s="97" t="str">
        <f t="shared" si="71"/>
        <v>B</v>
      </c>
      <c r="FA26" s="97" t="str">
        <f t="shared" si="71"/>
        <v>B</v>
      </c>
      <c r="FB26" s="97" t="str">
        <f t="shared" si="71"/>
        <v>A</v>
      </c>
      <c r="FC26" s="97" t="str">
        <f t="shared" si="71"/>
        <v>B</v>
      </c>
      <c r="FD26" s="97" t="str">
        <f t="shared" si="71"/>
        <v>A</v>
      </c>
      <c r="FE26" s="97" t="str">
        <f t="shared" si="71"/>
        <v>B</v>
      </c>
      <c r="FF26" s="97" t="str">
        <f t="shared" si="71"/>
        <v>A</v>
      </c>
      <c r="FG26" s="97" t="str">
        <f t="shared" si="71"/>
        <v>A</v>
      </c>
      <c r="FH26" s="97" t="str">
        <f t="shared" si="71"/>
        <v>A</v>
      </c>
      <c r="FI26" s="97" t="str">
        <f t="shared" si="71"/>
        <v>A</v>
      </c>
      <c r="FJ26" s="97" t="str">
        <f t="shared" si="71"/>
        <v>A</v>
      </c>
      <c r="FK26" s="97" t="str">
        <f t="shared" si="71"/>
        <v>B</v>
      </c>
      <c r="FL26" s="97" t="str">
        <f t="shared" si="71"/>
        <v>B</v>
      </c>
      <c r="FM26" s="97" t="str">
        <f t="shared" si="71"/>
        <v>A</v>
      </c>
      <c r="FN26" s="97" t="str">
        <f t="shared" si="71"/>
        <v>A</v>
      </c>
      <c r="FO26" s="97" t="str">
        <f t="shared" si="71"/>
        <v>A</v>
      </c>
      <c r="FP26" s="97" t="str">
        <f t="shared" si="71"/>
        <v>B</v>
      </c>
      <c r="FQ26" s="97" t="str">
        <f t="shared" si="71"/>
        <v>B</v>
      </c>
      <c r="FR26" s="97" t="str">
        <f t="shared" si="71"/>
        <v>A</v>
      </c>
      <c r="FS26" s="97" t="str">
        <f t="shared" si="71"/>
        <v>B</v>
      </c>
      <c r="FT26" s="97" t="str">
        <f t="shared" si="71"/>
        <v>B</v>
      </c>
      <c r="FU26" s="97" t="str">
        <f t="shared" si="71"/>
        <v>B</v>
      </c>
      <c r="FV26" s="97" t="str">
        <f t="shared" si="71"/>
        <v>A</v>
      </c>
      <c r="FW26" s="97" t="str">
        <f t="shared" si="71"/>
        <v>A</v>
      </c>
      <c r="FX26" s="97" t="str">
        <f t="shared" si="71"/>
        <v>A</v>
      </c>
      <c r="FY26" s="97" t="str">
        <f t="shared" si="71"/>
        <v>B</v>
      </c>
      <c r="FZ26" s="97" t="str">
        <f t="shared" si="71"/>
        <v>A</v>
      </c>
      <c r="GA26" s="97" t="str">
        <f t="shared" si="71"/>
        <v>A</v>
      </c>
      <c r="GB26" s="97" t="str">
        <f t="shared" si="71"/>
        <v>B</v>
      </c>
      <c r="GC26" s="97" t="str">
        <f t="shared" si="71"/>
        <v>A</v>
      </c>
      <c r="GD26" s="97" t="str">
        <f t="shared" si="71"/>
        <v>A</v>
      </c>
      <c r="GE26" s="97" t="str">
        <f t="shared" si="71"/>
        <v>A</v>
      </c>
      <c r="GF26" s="97" t="str">
        <f t="shared" si="71"/>
        <v>A</v>
      </c>
      <c r="GG26" s="97" t="str">
        <f t="shared" si="71"/>
        <v>A</v>
      </c>
      <c r="GH26" s="97" t="str">
        <f t="shared" si="71"/>
        <v>B</v>
      </c>
      <c r="GI26" s="97" t="str">
        <f t="shared" si="71"/>
        <v>A</v>
      </c>
      <c r="GJ26" s="97" t="str">
        <f t="shared" si="71"/>
        <v>B</v>
      </c>
      <c r="GK26" s="97" t="str">
        <f t="shared" si="71"/>
        <v>A</v>
      </c>
      <c r="GL26" s="97" t="str">
        <f t="shared" si="71"/>
        <v>B</v>
      </c>
      <c r="GM26" s="97" t="str">
        <f t="shared" si="71"/>
        <v>A</v>
      </c>
      <c r="GN26" s="97" t="str">
        <f t="shared" si="71"/>
        <v>B</v>
      </c>
      <c r="GO26" s="97" t="str">
        <f t="shared" si="71"/>
        <v>B</v>
      </c>
      <c r="GP26" s="97" t="str">
        <f t="shared" si="71"/>
        <v>B</v>
      </c>
      <c r="GQ26" s="97" t="str">
        <f t="shared" si="71"/>
        <v>B</v>
      </c>
      <c r="GR26" s="97" t="str">
        <f t="shared" si="71"/>
        <v>A</v>
      </c>
      <c r="GS26" s="97" t="str">
        <f t="shared" si="71"/>
        <v>B</v>
      </c>
      <c r="GT26" s="97" t="str">
        <f t="shared" si="71"/>
        <v>A</v>
      </c>
      <c r="GU26" s="97" t="str">
        <f t="shared" si="71"/>
        <v>A</v>
      </c>
      <c r="GV26" s="97" t="str">
        <f t="shared" si="71"/>
        <v>A</v>
      </c>
      <c r="GW26" s="97" t="str">
        <f t="shared" si="71"/>
        <v>A</v>
      </c>
      <c r="GX26" s="97" t="str">
        <f t="shared" si="71"/>
        <v>A</v>
      </c>
      <c r="GY26" s="98"/>
      <c r="GZ26" s="97">
        <f t="shared" si="3"/>
        <v>48</v>
      </c>
      <c r="HA26" s="97">
        <f t="shared" si="4"/>
        <v>52</v>
      </c>
      <c r="HB26" s="90">
        <f t="shared" si="5"/>
        <v>100</v>
      </c>
      <c r="HC26" s="99"/>
      <c r="HD26" s="97">
        <f t="shared" si="6"/>
        <v>7</v>
      </c>
      <c r="HE26" s="97">
        <f t="shared" si="7"/>
        <v>6</v>
      </c>
      <c r="HF26" s="90">
        <f t="shared" si="8"/>
        <v>13</v>
      </c>
      <c r="HG26" s="99"/>
      <c r="HH26" s="97">
        <f t="shared" si="9"/>
        <v>6</v>
      </c>
      <c r="HI26" s="97">
        <f t="shared" si="10"/>
        <v>7</v>
      </c>
      <c r="HJ26" s="90">
        <f t="shared" si="11"/>
        <v>13</v>
      </c>
      <c r="HK26" s="99"/>
      <c r="HL26" s="97">
        <f t="shared" si="12"/>
        <v>4</v>
      </c>
      <c r="HM26" s="97">
        <f t="shared" si="13"/>
        <v>4</v>
      </c>
      <c r="HN26" s="90">
        <f t="shared" si="14"/>
        <v>8</v>
      </c>
      <c r="HO26" s="99"/>
      <c r="HP26" s="97">
        <f t="shared" si="15"/>
        <v>6</v>
      </c>
      <c r="HQ26" s="97">
        <f t="shared" si="16"/>
        <v>8</v>
      </c>
      <c r="HR26" s="90">
        <f t="shared" si="17"/>
        <v>14</v>
      </c>
      <c r="HS26" s="99"/>
      <c r="HT26" s="97">
        <f t="shared" si="18"/>
        <v>9</v>
      </c>
      <c r="HU26" s="97">
        <f t="shared" si="19"/>
        <v>6</v>
      </c>
      <c r="HV26" s="90">
        <f t="shared" si="20"/>
        <v>15</v>
      </c>
      <c r="HW26" s="99"/>
      <c r="HX26" s="97">
        <f t="shared" si="21"/>
        <v>2</v>
      </c>
      <c r="HY26" s="97">
        <f t="shared" si="22"/>
        <v>3</v>
      </c>
      <c r="HZ26" s="90">
        <f t="shared" si="23"/>
        <v>5</v>
      </c>
      <c r="IA26" s="99"/>
      <c r="IB26" s="97">
        <f t="shared" si="24"/>
        <v>5</v>
      </c>
      <c r="IC26" s="97">
        <f t="shared" si="25"/>
        <v>6</v>
      </c>
      <c r="ID26" s="90">
        <f t="shared" si="26"/>
        <v>11</v>
      </c>
      <c r="IE26" s="99"/>
      <c r="IF26" s="97">
        <f t="shared" si="27"/>
        <v>2</v>
      </c>
      <c r="IG26" s="97">
        <f t="shared" si="28"/>
        <v>3</v>
      </c>
      <c r="IH26" s="90">
        <f t="shared" si="29"/>
        <v>5</v>
      </c>
      <c r="II26" s="99"/>
      <c r="IJ26" s="97">
        <f t="shared" si="30"/>
        <v>3</v>
      </c>
      <c r="IK26" s="97">
        <f t="shared" si="31"/>
        <v>4</v>
      </c>
      <c r="IL26" s="90">
        <f t="shared" si="32"/>
        <v>7</v>
      </c>
      <c r="IM26" s="99"/>
      <c r="IN26" s="97">
        <f t="shared" si="33"/>
        <v>1</v>
      </c>
      <c r="IO26" s="97">
        <f t="shared" si="34"/>
        <v>4</v>
      </c>
      <c r="IP26" s="90">
        <f t="shared" si="35"/>
        <v>5</v>
      </c>
      <c r="IQ26" s="99"/>
      <c r="IR26" s="99"/>
      <c r="IS26" s="100">
        <f t="shared" si="36"/>
        <v>13</v>
      </c>
      <c r="IT26" s="100">
        <f t="shared" si="37"/>
        <v>13</v>
      </c>
      <c r="IU26" s="100">
        <f t="shared" si="38"/>
        <v>8</v>
      </c>
      <c r="IV26" s="100">
        <f t="shared" si="39"/>
        <v>14</v>
      </c>
      <c r="IW26" s="100">
        <f t="shared" si="40"/>
        <v>15</v>
      </c>
      <c r="IX26" s="100">
        <f t="shared" si="41"/>
        <v>5</v>
      </c>
      <c r="IY26" s="100">
        <f t="shared" si="42"/>
        <v>11</v>
      </c>
      <c r="IZ26" s="100">
        <f t="shared" si="43"/>
        <v>5</v>
      </c>
      <c r="JA26" s="100">
        <f t="shared" si="44"/>
        <v>7</v>
      </c>
      <c r="JB26" s="101">
        <f t="shared" si="45"/>
        <v>5</v>
      </c>
      <c r="JC26" s="102">
        <f t="shared" si="46"/>
        <v>96</v>
      </c>
      <c r="JD26" s="67">
        <f t="shared" si="50"/>
        <v>0</v>
      </c>
      <c r="JE26" s="67">
        <f t="shared" si="47"/>
        <v>1</v>
      </c>
      <c r="JF26" s="67">
        <f t="shared" si="48"/>
        <v>1</v>
      </c>
    </row>
    <row r="27">
      <c r="A27" s="103">
        <f>IFERROR(__xludf.DUMMYFUNCTION("""COMPUTED_VALUE"""),45925.81389695602)</f>
        <v>45925.8139</v>
      </c>
      <c r="B27" s="95" t="str">
        <f>IFERROR(__xludf.DUMMYFUNCTION("""COMPUTED_VALUE"""),"Hana Dwi Rinjani")</f>
        <v>Hana Dwi Rinjani</v>
      </c>
      <c r="C27" s="96" t="str">
        <f>IFERROR(__xludf.DUMMYFUNCTION("""COMPUTED_VALUE"""),"D250024")</f>
        <v>D250024</v>
      </c>
      <c r="D27" s="96" t="str">
        <f>IFERROR(__xludf.DUMMYFUNCTION("""COMPUTED_VALUE"""),"MTs Putri")</f>
        <v>MTs Putri</v>
      </c>
      <c r="E27" s="96" t="str">
        <f>IFERROR(__xludf.DUMMYFUNCTION("""COMPUTED_VALUE"""),"Ya")</f>
        <v>Ya</v>
      </c>
      <c r="F27" s="95" t="str">
        <f>IFERROR(__xludf.DUMMYFUNCTION("""COMPUTED_VALUE"""),"A Saya ingin mengerjakan segala tugas lebih baik daripada orang lain.")</f>
        <v>A Saya ingin mengerjakan segala tugas lebih baik daripada orang lain.</v>
      </c>
      <c r="G27" s="95" t="str">
        <f>IFERROR(__xludf.DUMMYFUNCTION("""COMPUTED_VALUE"""),"A Saya ingin setiap tulisan saya teliti, rapi, dan tersusun dengan baik.")</f>
        <v>A Saya ingin setiap tulisan saya teliti, rapi, dan tersusun dengan baik.</v>
      </c>
      <c r="H27" s="95" t="str">
        <f>IFERROR(__xludf.DUMMYFUNCTION("""COMPUTED_VALUE"""),"A Saya ingin berbuat sesuai kata hati saya.")</f>
        <v>A Saya ingin berbuat sesuai kata hati saya.</v>
      </c>
      <c r="I27" s="95" t="str">
        <f>IFERROR(__xludf.DUMMYFUNCTION("""COMPUTED_VALUE"""),"B Saya ingin bisa melakukan dengan baik meskipun tugas yang sulit.")</f>
        <v>B Saya ingin bisa melakukan dengan baik meskipun tugas yang sulit.</v>
      </c>
      <c r="J27" s="95" t="str">
        <f>IFERROR(__xludf.DUMMYFUNCTION("""COMPUTED_VALUE"""),"A Saya suka membantu teman-teman saya apabila mereka mengalami kesulitan.")</f>
        <v>A Saya suka membantu teman-teman saya apabila mereka mengalami kesulitan.</v>
      </c>
      <c r="K27" s="95" t="str">
        <f>IFERROR(__xludf.DUMMYFUNCTION("""COMPUTED_VALUE"""),"A Saya ingin menjadi pemimpin dalam suatu kelompok.")</f>
        <v>A Saya ingin menjadi pemimpin dalam suatu kelompok.</v>
      </c>
      <c r="L27" s="95" t="str">
        <f>IFERROR(__xludf.DUMMYFUNCTION("""COMPUTED_VALUE"""),"A Saya ingin menjadi pemimpin dalam suatu kelompok")</f>
        <v>A Saya ingin menjadi pemimpin dalam suatu kelompok</v>
      </c>
      <c r="M27" s="95" t="str">
        <f>IFERROR(__xludf.DUMMYFUNCTION("""COMPUTED_VALUE"""),"B Saya ingin mengerjakan segala tugas lebih baik daripada orang lain.")</f>
        <v>B Saya ingin mengerjakan segala tugas lebih baik daripada orang lain.</v>
      </c>
      <c r="N27" s="95" t="str">
        <f>IFERROR(__xludf.DUMMYFUNCTION("""COMPUTED_VALUE"""),"B Saya suka memecahkan persoalan yang sukar bagi orang lain.")</f>
        <v>B Saya suka memecahkan persoalan yang sukar bagi orang lain.</v>
      </c>
      <c r="O27" s="95" t="str">
        <f>IFERROR(__xludf.DUMMYFUNCTION("""COMPUTED_VALUE"""),"B Saya suka melakukan tugas sebaik mungkin.")</f>
        <v>B Saya suka melakukan tugas sebaik mungkin.</v>
      </c>
      <c r="P27" s="95" t="str">
        <f>IFERROR(__xludf.DUMMYFUNCTION("""COMPUTED_VALUE"""),"B Saya ingin setiap belajar itu teratur dan direncanakan.")</f>
        <v>B Saya ingin setiap belajar itu teratur dan direncanakan.</v>
      </c>
      <c r="Q27" s="95" t="str">
        <f>IFERROR(__xludf.DUMMYFUNCTION("""COMPUTED_VALUE"""),"B Saya merencanakan keperluan yang dibutuhkan sebelum bepergian.")</f>
        <v>B Saya merencanakan keperluan yang dibutuhkan sebelum bepergian.</v>
      </c>
      <c r="R27" s="95" t="str">
        <f>IFERROR(__xludf.DUMMYFUNCTION("""COMPUTED_VALUE"""),"B Saya suka barang-barang saya tersusun rapi dan teratur.")</f>
        <v>B Saya suka barang-barang saya tersusun rapi dan teratur.</v>
      </c>
      <c r="S27" s="95" t="str">
        <f>IFERROR(__xludf.DUMMYFUNCTION("""COMPUTED_VALUE"""),"A Saya ingin agar teman-teman pengertian bila saya mengalami kesukaran.")</f>
        <v>A Saya ingin agar teman-teman pengertian bila saya mengalami kesukaran.</v>
      </c>
      <c r="T27" s="95" t="str">
        <f>IFERROR(__xludf.DUMMYFUNCTION("""COMPUTED_VALUE"""),"A Saya ingin menjadi salah seorang pemimpin dalam kelompok yang saya kenal.")</f>
        <v>A Saya ingin menjadi salah seorang pemimpin dalam kelompok yang saya kenal.</v>
      </c>
      <c r="U27" s="95" t="str">
        <f>IFERROR(__xludf.DUMMYFUNCTION("""COMPUTED_VALUE"""),"A Saya suka memberikan bantuan kepada teman-teman saya.")</f>
        <v>A Saya suka memberikan bantuan kepada teman-teman saya.</v>
      </c>
      <c r="V27" s="95" t="str">
        <f>IFERROR(__xludf.DUMMYFUNCTION("""COMPUTED_VALUE"""),"B Saya suka belajar saya teratur dan ada waktu-waktu tertentu untuk belajar.")</f>
        <v>B Saya suka belajar saya teratur dan ada waktu-waktu tertentu untuk belajar.</v>
      </c>
      <c r="W27" s="95" t="str">
        <f>IFERROR(__xludf.DUMMYFUNCTION("""COMPUTED_VALUE"""),"B Saya ingin kegiatan itu teratur dan direncanakan.")</f>
        <v>B Saya ingin kegiatan itu teratur dan direncanakan.</v>
      </c>
      <c r="X27" s="95" t="str">
        <f>IFERROR(__xludf.DUMMYFUNCTION("""COMPUTED_VALUE"""),"A Saya suka merencanakan dan mengatur setiap apa yang harus saya lakukan.")</f>
        <v>A Saya suka merencanakan dan mengatur setiap apa yang harus saya lakukan.</v>
      </c>
      <c r="Y27" s="95" t="str">
        <f>IFERROR(__xludf.DUMMYFUNCTION("""COMPUTED_VALUE"""),"B Saya senang merencanakan untuk masa depan.")</f>
        <v>B Saya senang merencanakan untuk masa depan.</v>
      </c>
      <c r="Z27" s="95" t="str">
        <f>IFERROR(__xludf.DUMMYFUNCTION("""COMPUTED_VALUE"""),"A Saya ingin berhasil dengan belajar yang saya lakukan.")</f>
        <v>A Saya ingin berhasil dengan belajar yang saya lakukan.</v>
      </c>
      <c r="AA27" s="95" t="str">
        <f>IFERROR(__xludf.DUMMYFUNCTION("""COMPUTED_VALUE"""),"B Saya tidak suka pada orang yang berbuat seenaknya sendiri.")</f>
        <v>B Saya tidak suka pada orang yang berbuat seenaknya sendiri.</v>
      </c>
      <c r="AB27" s="95" t="str">
        <f>IFERROR(__xludf.DUMMYFUNCTION("""COMPUTED_VALUE"""),"B Saya ingin menyelesaikan pekerjaan satu persatu sebelum memulai yang lain.")</f>
        <v>B Saya ingin menyelesaikan pekerjaan satu persatu sebelum memulai yang lain.</v>
      </c>
      <c r="AC27" s="95" t="str">
        <f>IFERROR(__xludf.DUMMYFUNCTION("""COMPUTED_VALUE"""),"A Saya suka menyelesaikan setiap tugas meskipun membutuhkan waktu lama.")</f>
        <v>A Saya suka menyelesaikan setiap tugas meskipun membutuhkan waktu lama.</v>
      </c>
      <c r="AD27" s="95" t="str">
        <f>IFERROR(__xludf.DUMMYFUNCTION("""COMPUTED_VALUE"""),"A Saya suka bermurah hati terhadap teman-teman saya.")</f>
        <v>A Saya suka bermurah hati terhadap teman-teman saya.</v>
      </c>
      <c r="AE27" s="95" t="str">
        <f>IFERROR(__xludf.DUMMYFUNCTION("""COMPUTED_VALUE"""),"B Saya suka melakukan hal-hal yang dianggap orang lain tidak sesuai.")</f>
        <v>B Saya suka melakukan hal-hal yang dianggap orang lain tidak sesuai.</v>
      </c>
      <c r="AF27" s="95" t="str">
        <f>IFERROR(__xludf.DUMMYFUNCTION("""COMPUTED_VALUE"""),"A Saya ingin agar teman-teman mengerti bila saya mengalami kesukaran.")</f>
        <v>A Saya ingin agar teman-teman mengerti bila saya mengalami kesukaran.</v>
      </c>
      <c r="AG27" s="95" t="str">
        <f>IFERROR(__xludf.DUMMYFUNCTION("""COMPUTED_VALUE"""),"A Saya mengajari orang lain bagaimana mereka harus melakukan pekerjaan mereka.")</f>
        <v>A Saya mengajari orang lain bagaimana mereka harus melakukan pekerjaan mereka.</v>
      </c>
      <c r="AH27" s="95" t="str">
        <f>IFERROR(__xludf.DUMMYFUNCTION("""COMPUTED_VALUE"""),"B Saya ingin merasa bebas untuk melakukan apa yang saya kehendaki.")</f>
        <v>B Saya ingin merasa bebas untuk melakukan apa yang saya kehendaki.</v>
      </c>
      <c r="AI27" s="95" t="str">
        <f>IFERROR(__xludf.DUMMYFUNCTION("""COMPUTED_VALUE"""),"B Saya suka melakukan kegiatan sesuai kondisi yang saya inginkan.")</f>
        <v>B Saya suka melakukan kegiatan sesuai kondisi yang saya inginkan.</v>
      </c>
      <c r="AJ27" s="95" t="str">
        <f>IFERROR(__xludf.DUMMYFUNCTION("""COMPUTED_VALUE"""),"B Saya suka bertahan menghadapi satu masalah meskipun belum tentu berhasil.")</f>
        <v>B Saya suka bertahan menghadapi satu masalah meskipun belum tentu berhasil.</v>
      </c>
      <c r="AK27" s="95" t="str">
        <f>IFERROR(__xludf.DUMMYFUNCTION("""COMPUTED_VALUE"""),"A Saya suka bercerita tentang hal-hal pribadi yang seharusnya tidak perlu diketahui orang lain.")</f>
        <v>A Saya suka bercerita tentang hal-hal pribadi yang seharusnya tidak perlu diketahui orang lain.</v>
      </c>
      <c r="AL27" s="95" t="str">
        <f>IFERROR(__xludf.DUMMYFUNCTION("""COMPUTED_VALUE"""),"B Saya ingin menghindarkan gangguan bila saya sedang belajar.")</f>
        <v>B Saya ingin menghindarkan gangguan bila saya sedang belajar.</v>
      </c>
      <c r="AM27" s="95" t="str">
        <f>IFERROR(__xludf.DUMMYFUNCTION("""COMPUTED_VALUE"""),"B Saya suka belajar sampai malam untuk menyelesaikan suatu tugas.")</f>
        <v>B Saya suka belajar sampai malam untuk menyelesaikan suatu tugas.</v>
      </c>
      <c r="AN27" s="95" t="str">
        <f>IFERROR(__xludf.DUMMYFUNCTION("""COMPUTED_VALUE"""),"A Saya tidak suka pada orang yang semena-mena.")</f>
        <v>A Saya tidak suka pada orang yang semena-mena.</v>
      </c>
      <c r="AO27" s="95" t="str">
        <f>IFERROR(__xludf.DUMMYFUNCTION("""COMPUTED_VALUE"""),"A Saya suka berlaku sangat ramah terhadap teman-teman saya.")</f>
        <v>A Saya suka berlaku sangat ramah terhadap teman-teman saya.</v>
      </c>
      <c r="AP27" s="95" t="str">
        <f>IFERROR(__xludf.DUMMYFUNCTION("""COMPUTED_VALUE"""),"B Saya suka bertahan menghadapi satu masalah meskipun belum tentu berhasil.")</f>
        <v>B Saya suka bertahan menghadapi satu masalah meskipun belum tentu berhasil.</v>
      </c>
      <c r="AQ27" s="95" t="str">
        <f>IFERROR(__xludf.DUMMYFUNCTION("""COMPUTED_VALUE"""),"A Saya ingin bisa mengerjakan segala sesuatu lebih baik daripada orang-orang lain.")</f>
        <v>A Saya ingin bisa mengerjakan segala sesuatu lebih baik daripada orang-orang lain.</v>
      </c>
      <c r="AR27" s="95" t="str">
        <f>IFERROR(__xludf.DUMMYFUNCTION("""COMPUTED_VALUE"""),"B Saya suka belajar keras pada tiap pelajaran yang saya hadapi.")</f>
        <v>B Saya suka belajar keras pada tiap pelajaran yang saya hadapi.</v>
      </c>
      <c r="AS27" s="95" t="str">
        <f>IFERROR(__xludf.DUMMYFUNCTION("""COMPUTED_VALUE"""),"A Saya ingin dapat menyelesaikan persoalan yang dianggap sukar bagi orang lain.")</f>
        <v>A Saya ingin dapat menyelesaikan persoalan yang dianggap sukar bagi orang lain.</v>
      </c>
      <c r="AT27" s="95" t="str">
        <f>IFERROR(__xludf.DUMMYFUNCTION("""COMPUTED_VALUE"""),"A Saya ingin bisa melakukan dengan baik sesuatu pekerjaan sulit.")</f>
        <v>A Saya ingin bisa melakukan dengan baik sesuatu pekerjaan sulit.</v>
      </c>
      <c r="AU27" s="95" t="str">
        <f>IFERROR(__xludf.DUMMYFUNCTION("""COMPUTED_VALUE"""),"B Saya suka bermurah hati terhadap teman-teman saya.")</f>
        <v>B Saya suka bermurah hati terhadap teman-teman saya.</v>
      </c>
      <c r="AV27" s="95" t="str">
        <f>IFERROR(__xludf.DUMMYFUNCTION("""COMPUTED_VALUE"""),"B Saya suka menolong teman-teman saya.")</f>
        <v>B Saya suka menolong teman-teman saya.</v>
      </c>
      <c r="AW27" s="95" t="str">
        <f>IFERROR(__xludf.DUMMYFUNCTION("""COMPUTED_VALUE"""),"B Saya ingin teman-teman saya percaya bahwa saya bisa menolong mereka.")</f>
        <v>B Saya ingin teman-teman saya percaya bahwa saya bisa menolong mereka.</v>
      </c>
      <c r="AX27" s="95" t="str">
        <f>IFERROR(__xludf.DUMMYFUNCTION("""COMPUTED_VALUE"""),"A Saya suka menolong teman-teman saya apabila mereka dalam kesulitan.")</f>
        <v>A Saya suka menolong teman-teman saya apabila mereka dalam kesulitan.</v>
      </c>
      <c r="AY27" s="95" t="str">
        <f>IFERROR(__xludf.DUMMYFUNCTION("""COMPUTED_VALUE"""),"B Saya suka menolong teman-teman saya apabila mereka dalam kesulitan.")</f>
        <v>B Saya suka menolong teman-teman saya apabila mereka dalam kesulitan.</v>
      </c>
      <c r="AZ27" s="95" t="str">
        <f>IFERROR(__xludf.DUMMYFUNCTION("""COMPUTED_VALUE"""),"A Saya ingin agar teman-teman saya bersimpati dan menghibur saya bila saya sedih.")</f>
        <v>A Saya ingin agar teman-teman saya bersimpati dan menghibur saya bila saya sedih.</v>
      </c>
      <c r="BA27" s="95" t="str">
        <f>IFERROR(__xludf.DUMMYFUNCTION("""COMPUTED_VALUE"""),"A Saya suka menyatakan pendapat saya tentang berbagai hal.")</f>
        <v>A Saya suka menyatakan pendapat saya tentang berbagai hal.</v>
      </c>
      <c r="BB27" s="95" t="str">
        <f>IFERROR(__xludf.DUMMYFUNCTION("""COMPUTED_VALUE"""),"B Saya suka bermurah hati terhadap teman-teman saya.")</f>
        <v>B Saya suka bermurah hati terhadap teman-teman saya.</v>
      </c>
      <c r="BC27" s="95" t="str">
        <f>IFERROR(__xludf.DUMMYFUNCTION("""COMPUTED_VALUE"""),"A Saya rasanya ingin mengecam seseorang bila orang itu menjengkelkan.")</f>
        <v>A Saya rasanya ingin mengecam seseorang bila orang itu menjengkelkan.</v>
      </c>
      <c r="BD27" s="95" t="str">
        <f>IFERROR(__xludf.DUMMYFUNCTION("""COMPUTED_VALUE"""),"B Saya suka bersikukuh dengan pendirian saya.")</f>
        <v>B Saya suka bersikukuh dengan pendirian saya.</v>
      </c>
      <c r="BE27" s="95" t="str">
        <f>IFERROR(__xludf.DUMMYFUNCTION("""COMPUTED_VALUE"""),"A Saya suka mendengarkan atau menceritakan hal-hal yang sebaiknya tidak diceritakan.")</f>
        <v>A Saya suka mendengarkan atau menceritakan hal-hal yang sebaiknya tidak diceritakan.</v>
      </c>
      <c r="BF27" s="95" t="str">
        <f>IFERROR(__xludf.DUMMYFUNCTION("""COMPUTED_VALUE"""),"B Bila saya dalam kelompok, saya ingin menentukan apa yang akan kita lakukan.")</f>
        <v>B Bila saya dalam kelompok, saya ingin menentukan apa yang akan kita lakukan.</v>
      </c>
      <c r="BG27" s="95" t="str">
        <f>IFERROR(__xludf.DUMMYFUNCTION("""COMPUTED_VALUE"""),"B Saya suka mengarahkan kepada orang lain apa yang harus dilakukan.")</f>
        <v>B Saya suka mengarahkan kepada orang lain apa yang harus dilakukan.</v>
      </c>
      <c r="BH27" s="95" t="str">
        <f>IFERROR(__xludf.DUMMYFUNCTION("""COMPUTED_VALUE"""),"A Saya suka menghindar dari situasi yang tidak saya harapkan.")</f>
        <v>A Saya suka menghindar dari situasi yang tidak saya harapkan.</v>
      </c>
      <c r="BI27" s="95" t="str">
        <f>IFERROR(__xludf.DUMMYFUNCTION("""COMPUTED_VALUE"""),"A Saya suka bermurah hati terhadap teman-teman saya.")</f>
        <v>A Saya suka bermurah hati terhadap teman-teman saya.</v>
      </c>
      <c r="BJ27" s="95" t="str">
        <f>IFERROR(__xludf.DUMMYFUNCTION("""COMPUTED_VALUE"""),"A Saya ingin mengerjakan tugas sampai selesai.")</f>
        <v>A Saya ingin mengerjakan tugas sampai selesai.</v>
      </c>
      <c r="BK27" s="95" t="str">
        <f>IFERROR(__xludf.DUMMYFUNCTION("""COMPUTED_VALUE"""),"A Saya ingin menyelesaikan pekerjaan satu persatu sebelum memulai yang lain.")</f>
        <v>A Saya ingin menyelesaikan pekerjaan satu persatu sebelum memulai yang lain.</v>
      </c>
      <c r="BL27" s="95" t="str">
        <f>IFERROR(__xludf.DUMMYFUNCTION("""COMPUTED_VALUE"""),"A Saya suka belajar saya teratur dan ada waktu-waktu tertentu untuk belajar.")</f>
        <v>A Saya suka belajar saya teratur dan ada waktu-waktu tertentu untuk belajar.</v>
      </c>
      <c r="BM27" s="95" t="str">
        <f>IFERROR(__xludf.DUMMYFUNCTION("""COMPUTED_VALUE"""),"A Saya suka melakukan pekerjaan sebaik mungkin.")</f>
        <v>A Saya suka melakukan pekerjaan sebaik mungkin.</v>
      </c>
      <c r="BN27" s="95" t="str">
        <f>IFERROR(__xludf.DUMMYFUNCTION("""COMPUTED_VALUE"""),"A Saya suka mengerjakan teka-teki atau memecahkan persoalan sampai selesai.")</f>
        <v>A Saya suka mengerjakan teka-teki atau memecahkan persoalan sampai selesai.</v>
      </c>
      <c r="BO27" s="95" t="str">
        <f>IFERROR(__xludf.DUMMYFUNCTION("""COMPUTED_VALUE"""),"B Saya ingin diperlakukan dengan baik oleh teman-teman saya.")</f>
        <v>B Saya ingin diperlakukan dengan baik oleh teman-teman saya.</v>
      </c>
      <c r="BP27" s="95" t="str">
        <f>IFERROR(__xludf.DUMMYFUNCTION("""COMPUTED_VALUE"""),"A Saya ingin menyelesaikan sesuatu yang sangat penting artinya.")</f>
        <v>A Saya ingin menyelesaikan sesuatu yang sangat penting artinya.</v>
      </c>
      <c r="BQ27" s="95" t="str">
        <f>IFERROR(__xludf.DUMMYFUNCTION("""COMPUTED_VALUE"""),"A Saya ingin mengerjakannya tugas sampai selesai.")</f>
        <v>A Saya ingin mengerjakannya tugas sampai selesai.</v>
      </c>
      <c r="BR27" s="95" t="str">
        <f>IFERROR(__xludf.DUMMYFUNCTION("""COMPUTED_VALUE"""),"A Saya suka memaafkan teman-teman saya yang menyakiti hati saya.")</f>
        <v>A Saya suka memaafkan teman-teman saya yang menyakiti hati saya.</v>
      </c>
      <c r="BS27" s="95" t="str">
        <f>IFERROR(__xludf.DUMMYFUNCTION("""COMPUTED_VALUE"""),"A Saya suka menghindar dari tanggung jawab yang tidak saya inginkan.")</f>
        <v>A Saya suka menghindar dari tanggung jawab yang tidak saya inginkan.</v>
      </c>
      <c r="BT27" s="95" t="str">
        <f>IFERROR(__xludf.DUMMYFUNCTION("""COMPUTED_VALUE"""),"B Saya ingin teman-teman banyak menunjukkan rasa sayang mereka terhadap saya.")</f>
        <v>B Saya ingin teman-teman banyak menunjukkan rasa sayang mereka terhadap saya.</v>
      </c>
      <c r="BU27" s="95" t="str">
        <f>IFERROR(__xludf.DUMMYFUNCTION("""COMPUTED_VALUE"""),"A Saya kadang-kadang suka melakukan hal-hal yang dapat dipuji oleh orang lain.")</f>
        <v>A Saya kadang-kadang suka melakukan hal-hal yang dapat dipuji oleh orang lain.</v>
      </c>
      <c r="BV27" s="95" t="str">
        <f>IFERROR(__xludf.DUMMYFUNCTION("""COMPUTED_VALUE"""),"A Saya ingin dianggap menarik oleh orang lain.")</f>
        <v>A Saya ingin dianggap menarik oleh orang lain.</v>
      </c>
      <c r="BW27" s="95" t="str">
        <f>IFERROR(__xludf.DUMMYFUNCTION("""COMPUTED_VALUE"""),"B Saya ingin diperlakukan dengan baik oleh teman-teman saya.")</f>
        <v>B Saya ingin diperlakukan dengan baik oleh teman-teman saya.</v>
      </c>
      <c r="BX27" s="95" t="str">
        <f>IFERROR(__xludf.DUMMYFUNCTION("""COMPUTED_VALUE"""),"B Saya kadang-kadang suka melakukan hal-hal yang dapat dipuji oleh orang lain.")</f>
        <v>B Saya kadang-kadang suka melakukan hal-hal yang dapat dipuji oleh orang lain.</v>
      </c>
      <c r="BY27" s="95" t="str">
        <f>IFERROR(__xludf.DUMMYFUNCTION("""COMPUTED_VALUE"""),"A Saya suka melamun atau membayangkan hal-hal yang tidak jelas.")</f>
        <v>A Saya suka melamun atau membayangkan hal-hal yang tidak jelas.</v>
      </c>
      <c r="BZ27" s="95" t="str">
        <f>IFERROR(__xludf.DUMMYFUNCTION("""COMPUTED_VALUE"""),"A Saya suka berkata yang artinya sulit dipahami oleh orang lain.")</f>
        <v>A Saya suka berkata yang artinya sulit dipahami oleh orang lain.</v>
      </c>
      <c r="CA27" s="95" t="str">
        <f>IFERROR(__xludf.DUMMYFUNCTION("""COMPUTED_VALUE"""),"B Saya suka mengajukan pertanyaan agar orang lain memperhatikan saya.")</f>
        <v>B Saya suka mengajukan pertanyaan agar orang lain memperhatikan saya.</v>
      </c>
      <c r="CB27" s="95" t="str">
        <f>IFERROR(__xludf.DUMMYFUNCTION("""COMPUTED_VALUE"""),"A Saya suka menghindar dari tanggung jawab yang tidak saya inginkan.")</f>
        <v>A Saya suka menghindar dari tanggung jawab yang tidak saya inginkan.</v>
      </c>
      <c r="CC27" s="95" t="str">
        <f>IFERROR(__xludf.DUMMYFUNCTION("""COMPUTED_VALUE"""),"B Saya suka menceritakan hal-hal lucu agar diperhatikan oleh orang lain.")</f>
        <v>B Saya suka menceritakan hal-hal lucu agar diperhatikan oleh orang lain.</v>
      </c>
      <c r="CD27" s="95" t="str">
        <f>IFERROR(__xludf.DUMMYFUNCTION("""COMPUTED_VALUE"""),"B Saya suka berkata yang artinya sulit dipahami oleh orang lain.")</f>
        <v>B Saya suka berkata yang artinya sulit dipahami oleh orang lain.</v>
      </c>
      <c r="CE27" s="95" t="str">
        <f>IFERROR(__xludf.DUMMYFUNCTION("""COMPUTED_VALUE"""),"A Saya suka menyelesaikan setiap tugas belajar yang telah saya mulai.")</f>
        <v>A Saya suka menyelesaikan setiap tugas belajar yang telah saya mulai.</v>
      </c>
      <c r="CF27" s="95" t="str">
        <f>IFERROR(__xludf.DUMMYFUNCTION("""COMPUTED_VALUE"""),"A Saya ingin agar hidup saya teratur sesuai cita-cita saya.")</f>
        <v>A Saya ingin agar hidup saya teratur sesuai cita-cita saya.</v>
      </c>
      <c r="CG27" s="95" t="str">
        <f>IFERROR(__xludf.DUMMYFUNCTION("""COMPUTED_VALUE"""),"A Saya ingin berhasil dalam apa yang saya lakukan.")</f>
        <v>A Saya ingin berhasil dalam apa yang saya lakukan.</v>
      </c>
      <c r="CH27" s="95" t="str">
        <f>IFERROR(__xludf.DUMMYFUNCTION("""COMPUTED_VALUE"""),"A Saya ingin bisa melakukan dengan baik sesuatu pekerjaan sulit.")</f>
        <v>A Saya ingin bisa melakukan dengan baik sesuatu pekerjaan sulit.</v>
      </c>
      <c r="CI27" s="95" t="str">
        <f>IFERROR(__xludf.DUMMYFUNCTION("""COMPUTED_VALUE"""),"A Saya suka belajar saya teratur dan ada waktu-waktu tertentu untuk belajar.")</f>
        <v>A Saya suka belajar saya teratur dan ada waktu-waktu tertentu untuk belajar.</v>
      </c>
      <c r="CJ27" s="95" t="str">
        <f>IFERROR(__xludf.DUMMYFUNCTION("""COMPUTED_VALUE"""),"A Saya ingin tidak tergantung dari orang lain terhadap apa yang akan saya lakukan.")</f>
        <v>A Saya ingin tidak tergantung dari orang lain terhadap apa yang akan saya lakukan.</v>
      </c>
      <c r="CK27" s="95" t="str">
        <f>IFERROR(__xludf.DUMMYFUNCTION("""COMPUTED_VALUE"""),"B Saya senang ikut beraktivitas bersama teman sebaya saya.")</f>
        <v>B Saya senang ikut beraktivitas bersama teman sebaya saya.</v>
      </c>
      <c r="CL27" s="95" t="str">
        <f>IFERROR(__xludf.DUMMYFUNCTION("""COMPUTED_VALUE"""),"A Saya suka menolong teman-teman saya, apabila mereka dalam kesulitan.")</f>
        <v>A Saya suka menolong teman-teman saya, apabila mereka dalam kesulitan.</v>
      </c>
      <c r="CM27" s="95" t="str">
        <f>IFERROR(__xludf.DUMMYFUNCTION("""COMPUTED_VALUE"""),"B Saya merasa kagum pada seseorang.")</f>
        <v>B Saya merasa kagum pada seseorang.</v>
      </c>
      <c r="CN27" s="95" t="str">
        <f>IFERROR(__xludf.DUMMYFUNCTION("""COMPUTED_VALUE"""),"A Saya ingin diperlakukan dengan baik oleh teman-teman saya.")</f>
        <v>A Saya ingin diperlakukan dengan baik oleh teman-teman saya.</v>
      </c>
      <c r="CO27" s="95" t="str">
        <f>IFERROR(__xludf.DUMMYFUNCTION("""COMPUTED_VALUE"""),"B Saya suka memuji orang yang saya kagumi.")</f>
        <v>B Saya suka memuji orang yang saya kagumi.</v>
      </c>
      <c r="CP27" s="95" t="str">
        <f>IFERROR(__xludf.DUMMYFUNCTION("""COMPUTED_VALUE"""),"A Saya suka melamun atau membayangkan sesuatu sendirian.")</f>
        <v>A Saya suka melamun atau membayangkan sesuatu sendirian.</v>
      </c>
      <c r="CQ27" s="95" t="str">
        <f>IFERROR(__xludf.DUMMYFUNCTION("""COMPUTED_VALUE"""),"B Saya merasa kagum pada seseorang.")</f>
        <v>B Saya merasa kagum pada seseorang.</v>
      </c>
      <c r="CR27" s="95" t="str">
        <f>IFERROR(__xludf.DUMMYFUNCTION("""COMPUTED_VALUE"""),"B Saya rasanya ingin mengecam seseorang bila orang itu menjengkelkan.")</f>
        <v>B Saya rasanya ingin mengecam seseorang bila orang itu menjengkelkan.</v>
      </c>
      <c r="CS27" s="95" t="str">
        <f>IFERROR(__xludf.DUMMYFUNCTION("""COMPUTED_VALUE"""),"B Saya rasanya ingin membalas dendam bila seseorang menghina saya.")</f>
        <v>B Saya rasanya ingin membalas dendam bila seseorang menghina saya.</v>
      </c>
      <c r="CT27" s="95" t="str">
        <f>IFERROR(__xludf.DUMMYFUNCTION("""COMPUTED_VALUE"""),"A Saya ingin orang-orang memperhatikan komentar mengenai penampilan saya.")</f>
        <v>A Saya ingin orang-orang memperhatikan komentar mengenai penampilan saya.</v>
      </c>
      <c r="CU27" s="95" t="str">
        <f>IFERROR(__xludf.DUMMYFUNCTION("""COMPUTED_VALUE"""),"A Saya ingin diperlakukan dengan ramah oleh teman-teman saya.")</f>
        <v>A Saya ingin diperlakukan dengan ramah oleh teman-teman saya.</v>
      </c>
      <c r="CV27" s="95" t="str">
        <f>IFERROR(__xludf.DUMMYFUNCTION("""COMPUTED_VALUE"""),"A Saya ingin ditunjuk atau dipilih sebagai ketua dalam suatu kelompok.")</f>
        <v>A Saya ingin ditunjuk atau dipilih sebagai ketua dalam suatu kelompok.</v>
      </c>
      <c r="CW27" s="95" t="str">
        <f>IFERROR(__xludf.DUMMYFUNCTION("""COMPUTED_VALUE"""),"A Saya suka menolong teman-teman saya, apabila mereka dalam kesulitan.")</f>
        <v>A Saya suka menolong teman-teman saya, apabila mereka dalam kesulitan.</v>
      </c>
      <c r="CX27" s="95" t="str">
        <f>IFERROR(__xludf.DUMMYFUNCTION("""COMPUTED_VALUE"""),"A Saya suka belajar sampai malam untuk menyelesaikan suatu tugas.")</f>
        <v>A Saya suka belajar sampai malam untuk menyelesaikan suatu tugas.</v>
      </c>
      <c r="CY27" s="95" t="str">
        <f>IFERROR(__xludf.DUMMYFUNCTION("""COMPUTED_VALUE"""),"A Saya ingin tidak tergantung dari orang lain terhadap apa yang akan saya lakukan.")</f>
        <v>A Saya ingin tidak tergantung dari orang lain terhadap apa yang akan saya lakukan.</v>
      </c>
      <c r="CZ27" s="95" t="str">
        <f>IFERROR(__xludf.DUMMYFUNCTION("""COMPUTED_VALUE"""),"A Saya suka merencanakan dan mengatur setiap pekerjaan yang harus saya lakukan.")</f>
        <v>A Saya suka merencanakan dan mengatur setiap pekerjaan yang harus saya lakukan.</v>
      </c>
      <c r="DA27" s="95" t="str">
        <f>IFERROR(__xludf.DUMMYFUNCTION("""COMPUTED_VALUE"""),"A Saya ingin melakukan apa saja sebaik mungkin.")</f>
        <v>A Saya ingin melakukan apa saja sebaik mungkin.</v>
      </c>
      <c r="DB27" s="89" t="s">
        <v>23</v>
      </c>
      <c r="DC27" s="97" t="str">
        <f t="shared" ref="DC27:GX27" si="72">LEFT(F27,1)</f>
        <v>A</v>
      </c>
      <c r="DD27" s="97" t="str">
        <f t="shared" si="72"/>
        <v>A</v>
      </c>
      <c r="DE27" s="97" t="str">
        <f t="shared" si="72"/>
        <v>A</v>
      </c>
      <c r="DF27" s="97" t="str">
        <f t="shared" si="72"/>
        <v>B</v>
      </c>
      <c r="DG27" s="97" t="str">
        <f t="shared" si="72"/>
        <v>A</v>
      </c>
      <c r="DH27" s="97" t="str">
        <f t="shared" si="72"/>
        <v>A</v>
      </c>
      <c r="DI27" s="97" t="str">
        <f t="shared" si="72"/>
        <v>A</v>
      </c>
      <c r="DJ27" s="97" t="str">
        <f t="shared" si="72"/>
        <v>B</v>
      </c>
      <c r="DK27" s="97" t="str">
        <f t="shared" si="72"/>
        <v>B</v>
      </c>
      <c r="DL27" s="97" t="str">
        <f t="shared" si="72"/>
        <v>B</v>
      </c>
      <c r="DM27" s="97" t="str">
        <f t="shared" si="72"/>
        <v>B</v>
      </c>
      <c r="DN27" s="97" t="str">
        <f t="shared" si="72"/>
        <v>B</v>
      </c>
      <c r="DO27" s="97" t="str">
        <f t="shared" si="72"/>
        <v>B</v>
      </c>
      <c r="DP27" s="97" t="str">
        <f t="shared" si="72"/>
        <v>A</v>
      </c>
      <c r="DQ27" s="97" t="str">
        <f t="shared" si="72"/>
        <v>A</v>
      </c>
      <c r="DR27" s="97" t="str">
        <f t="shared" si="72"/>
        <v>A</v>
      </c>
      <c r="DS27" s="97" t="str">
        <f t="shared" si="72"/>
        <v>B</v>
      </c>
      <c r="DT27" s="97" t="str">
        <f t="shared" si="72"/>
        <v>B</v>
      </c>
      <c r="DU27" s="97" t="str">
        <f t="shared" si="72"/>
        <v>A</v>
      </c>
      <c r="DV27" s="97" t="str">
        <f t="shared" si="72"/>
        <v>B</v>
      </c>
      <c r="DW27" s="97" t="str">
        <f t="shared" si="72"/>
        <v>A</v>
      </c>
      <c r="DX27" s="97" t="str">
        <f t="shared" si="72"/>
        <v>B</v>
      </c>
      <c r="DY27" s="97" t="str">
        <f t="shared" si="72"/>
        <v>B</v>
      </c>
      <c r="DZ27" s="97" t="str">
        <f t="shared" si="72"/>
        <v>A</v>
      </c>
      <c r="EA27" s="97" t="str">
        <f t="shared" si="72"/>
        <v>A</v>
      </c>
      <c r="EB27" s="97" t="str">
        <f t="shared" si="72"/>
        <v>B</v>
      </c>
      <c r="EC27" s="97" t="str">
        <f t="shared" si="72"/>
        <v>A</v>
      </c>
      <c r="ED27" s="97" t="str">
        <f t="shared" si="72"/>
        <v>A</v>
      </c>
      <c r="EE27" s="97" t="str">
        <f t="shared" si="72"/>
        <v>B</v>
      </c>
      <c r="EF27" s="97" t="str">
        <f t="shared" si="72"/>
        <v>B</v>
      </c>
      <c r="EG27" s="97" t="str">
        <f t="shared" si="72"/>
        <v>B</v>
      </c>
      <c r="EH27" s="97" t="str">
        <f t="shared" si="72"/>
        <v>A</v>
      </c>
      <c r="EI27" s="97" t="str">
        <f t="shared" si="72"/>
        <v>B</v>
      </c>
      <c r="EJ27" s="97" t="str">
        <f t="shared" si="72"/>
        <v>B</v>
      </c>
      <c r="EK27" s="97" t="str">
        <f t="shared" si="72"/>
        <v>A</v>
      </c>
      <c r="EL27" s="97" t="str">
        <f t="shared" si="72"/>
        <v>A</v>
      </c>
      <c r="EM27" s="97" t="str">
        <f t="shared" si="72"/>
        <v>B</v>
      </c>
      <c r="EN27" s="97" t="str">
        <f t="shared" si="72"/>
        <v>A</v>
      </c>
      <c r="EO27" s="97" t="str">
        <f t="shared" si="72"/>
        <v>B</v>
      </c>
      <c r="EP27" s="97" t="str">
        <f t="shared" si="72"/>
        <v>A</v>
      </c>
      <c r="EQ27" s="97" t="str">
        <f t="shared" si="72"/>
        <v>A</v>
      </c>
      <c r="ER27" s="97" t="str">
        <f t="shared" si="72"/>
        <v>B</v>
      </c>
      <c r="ES27" s="97" t="str">
        <f t="shared" si="72"/>
        <v>B</v>
      </c>
      <c r="ET27" s="97" t="str">
        <f t="shared" si="72"/>
        <v>B</v>
      </c>
      <c r="EU27" s="97" t="str">
        <f t="shared" si="72"/>
        <v>A</v>
      </c>
      <c r="EV27" s="97" t="str">
        <f t="shared" si="72"/>
        <v>B</v>
      </c>
      <c r="EW27" s="97" t="str">
        <f t="shared" si="72"/>
        <v>A</v>
      </c>
      <c r="EX27" s="97" t="str">
        <f t="shared" si="72"/>
        <v>A</v>
      </c>
      <c r="EY27" s="97" t="str">
        <f t="shared" si="72"/>
        <v>B</v>
      </c>
      <c r="EZ27" s="97" t="str">
        <f t="shared" si="72"/>
        <v>A</v>
      </c>
      <c r="FA27" s="97" t="str">
        <f t="shared" si="72"/>
        <v>B</v>
      </c>
      <c r="FB27" s="97" t="str">
        <f t="shared" si="72"/>
        <v>A</v>
      </c>
      <c r="FC27" s="97" t="str">
        <f t="shared" si="72"/>
        <v>B</v>
      </c>
      <c r="FD27" s="97" t="str">
        <f t="shared" si="72"/>
        <v>B</v>
      </c>
      <c r="FE27" s="97" t="str">
        <f t="shared" si="72"/>
        <v>A</v>
      </c>
      <c r="FF27" s="97" t="str">
        <f t="shared" si="72"/>
        <v>A</v>
      </c>
      <c r="FG27" s="97" t="str">
        <f t="shared" si="72"/>
        <v>A</v>
      </c>
      <c r="FH27" s="97" t="str">
        <f t="shared" si="72"/>
        <v>A</v>
      </c>
      <c r="FI27" s="97" t="str">
        <f t="shared" si="72"/>
        <v>A</v>
      </c>
      <c r="FJ27" s="97" t="str">
        <f t="shared" si="72"/>
        <v>A</v>
      </c>
      <c r="FK27" s="97" t="str">
        <f t="shared" si="72"/>
        <v>A</v>
      </c>
      <c r="FL27" s="97" t="str">
        <f t="shared" si="72"/>
        <v>B</v>
      </c>
      <c r="FM27" s="97" t="str">
        <f t="shared" si="72"/>
        <v>A</v>
      </c>
      <c r="FN27" s="97" t="str">
        <f t="shared" si="72"/>
        <v>A</v>
      </c>
      <c r="FO27" s="97" t="str">
        <f t="shared" si="72"/>
        <v>A</v>
      </c>
      <c r="FP27" s="97" t="str">
        <f t="shared" si="72"/>
        <v>A</v>
      </c>
      <c r="FQ27" s="97" t="str">
        <f t="shared" si="72"/>
        <v>B</v>
      </c>
      <c r="FR27" s="97" t="str">
        <f t="shared" si="72"/>
        <v>A</v>
      </c>
      <c r="FS27" s="97" t="str">
        <f t="shared" si="72"/>
        <v>A</v>
      </c>
      <c r="FT27" s="97" t="str">
        <f t="shared" si="72"/>
        <v>B</v>
      </c>
      <c r="FU27" s="97" t="str">
        <f t="shared" si="72"/>
        <v>B</v>
      </c>
      <c r="FV27" s="97" t="str">
        <f t="shared" si="72"/>
        <v>A</v>
      </c>
      <c r="FW27" s="97" t="str">
        <f t="shared" si="72"/>
        <v>A</v>
      </c>
      <c r="FX27" s="97" t="str">
        <f t="shared" si="72"/>
        <v>B</v>
      </c>
      <c r="FY27" s="97" t="str">
        <f t="shared" si="72"/>
        <v>A</v>
      </c>
      <c r="FZ27" s="97" t="str">
        <f t="shared" si="72"/>
        <v>B</v>
      </c>
      <c r="GA27" s="97" t="str">
        <f t="shared" si="72"/>
        <v>B</v>
      </c>
      <c r="GB27" s="97" t="str">
        <f t="shared" si="72"/>
        <v>A</v>
      </c>
      <c r="GC27" s="97" t="str">
        <f t="shared" si="72"/>
        <v>A</v>
      </c>
      <c r="GD27" s="97" t="str">
        <f t="shared" si="72"/>
        <v>A</v>
      </c>
      <c r="GE27" s="97" t="str">
        <f t="shared" si="72"/>
        <v>A</v>
      </c>
      <c r="GF27" s="97" t="str">
        <f t="shared" si="72"/>
        <v>A</v>
      </c>
      <c r="GG27" s="97" t="str">
        <f t="shared" si="72"/>
        <v>A</v>
      </c>
      <c r="GH27" s="97" t="str">
        <f t="shared" si="72"/>
        <v>B</v>
      </c>
      <c r="GI27" s="97" t="str">
        <f t="shared" si="72"/>
        <v>A</v>
      </c>
      <c r="GJ27" s="97" t="str">
        <f t="shared" si="72"/>
        <v>B</v>
      </c>
      <c r="GK27" s="97" t="str">
        <f t="shared" si="72"/>
        <v>A</v>
      </c>
      <c r="GL27" s="97" t="str">
        <f t="shared" si="72"/>
        <v>B</v>
      </c>
      <c r="GM27" s="97" t="str">
        <f t="shared" si="72"/>
        <v>A</v>
      </c>
      <c r="GN27" s="97" t="str">
        <f t="shared" si="72"/>
        <v>B</v>
      </c>
      <c r="GO27" s="97" t="str">
        <f t="shared" si="72"/>
        <v>B</v>
      </c>
      <c r="GP27" s="97" t="str">
        <f t="shared" si="72"/>
        <v>B</v>
      </c>
      <c r="GQ27" s="97" t="str">
        <f t="shared" si="72"/>
        <v>A</v>
      </c>
      <c r="GR27" s="97" t="str">
        <f t="shared" si="72"/>
        <v>A</v>
      </c>
      <c r="GS27" s="97" t="str">
        <f t="shared" si="72"/>
        <v>A</v>
      </c>
      <c r="GT27" s="97" t="str">
        <f t="shared" si="72"/>
        <v>A</v>
      </c>
      <c r="GU27" s="97" t="str">
        <f t="shared" si="72"/>
        <v>A</v>
      </c>
      <c r="GV27" s="97" t="str">
        <f t="shared" si="72"/>
        <v>A</v>
      </c>
      <c r="GW27" s="97" t="str">
        <f t="shared" si="72"/>
        <v>A</v>
      </c>
      <c r="GX27" s="97" t="str">
        <f t="shared" si="72"/>
        <v>A</v>
      </c>
      <c r="GY27" s="98"/>
      <c r="GZ27" s="97">
        <f t="shared" si="3"/>
        <v>59</v>
      </c>
      <c r="HA27" s="97">
        <f t="shared" si="4"/>
        <v>41</v>
      </c>
      <c r="HB27" s="90">
        <f t="shared" si="5"/>
        <v>100</v>
      </c>
      <c r="HC27" s="99"/>
      <c r="HD27" s="97">
        <f t="shared" si="6"/>
        <v>8</v>
      </c>
      <c r="HE27" s="97">
        <f t="shared" si="7"/>
        <v>4</v>
      </c>
      <c r="HF27" s="90">
        <f t="shared" si="8"/>
        <v>12</v>
      </c>
      <c r="HG27" s="99"/>
      <c r="HH27" s="97">
        <f t="shared" si="9"/>
        <v>5</v>
      </c>
      <c r="HI27" s="97">
        <f t="shared" si="10"/>
        <v>6</v>
      </c>
      <c r="HJ27" s="90">
        <f t="shared" si="11"/>
        <v>11</v>
      </c>
      <c r="HK27" s="99"/>
      <c r="HL27" s="97">
        <f t="shared" si="12"/>
        <v>7</v>
      </c>
      <c r="HM27" s="97">
        <f t="shared" si="13"/>
        <v>5</v>
      </c>
      <c r="HN27" s="90">
        <f t="shared" si="14"/>
        <v>12</v>
      </c>
      <c r="HO27" s="99"/>
      <c r="HP27" s="97">
        <f t="shared" si="15"/>
        <v>4</v>
      </c>
      <c r="HQ27" s="97">
        <f t="shared" si="16"/>
        <v>5</v>
      </c>
      <c r="HR27" s="90">
        <f t="shared" si="17"/>
        <v>9</v>
      </c>
      <c r="HS27" s="99"/>
      <c r="HT27" s="97">
        <f t="shared" si="18"/>
        <v>8</v>
      </c>
      <c r="HU27" s="97">
        <f t="shared" si="19"/>
        <v>5</v>
      </c>
      <c r="HV27" s="90">
        <f t="shared" si="20"/>
        <v>13</v>
      </c>
      <c r="HW27" s="99"/>
      <c r="HX27" s="97">
        <f t="shared" si="21"/>
        <v>6</v>
      </c>
      <c r="HY27" s="97">
        <f t="shared" si="22"/>
        <v>3</v>
      </c>
      <c r="HZ27" s="90">
        <f t="shared" si="23"/>
        <v>9</v>
      </c>
      <c r="IA27" s="99"/>
      <c r="IB27" s="97">
        <f t="shared" si="24"/>
        <v>6</v>
      </c>
      <c r="IC27" s="97">
        <f t="shared" si="25"/>
        <v>3</v>
      </c>
      <c r="ID27" s="90">
        <f t="shared" si="26"/>
        <v>9</v>
      </c>
      <c r="IE27" s="99"/>
      <c r="IF27" s="97">
        <f t="shared" si="27"/>
        <v>4</v>
      </c>
      <c r="IG27" s="97">
        <f t="shared" si="28"/>
        <v>4</v>
      </c>
      <c r="IH27" s="90">
        <f t="shared" si="29"/>
        <v>8</v>
      </c>
      <c r="II27" s="99"/>
      <c r="IJ27" s="97">
        <f t="shared" si="30"/>
        <v>4</v>
      </c>
      <c r="IK27" s="97">
        <f t="shared" si="31"/>
        <v>4</v>
      </c>
      <c r="IL27" s="90">
        <f t="shared" si="32"/>
        <v>8</v>
      </c>
      <c r="IM27" s="99"/>
      <c r="IN27" s="97">
        <f t="shared" si="33"/>
        <v>1</v>
      </c>
      <c r="IO27" s="97">
        <f t="shared" si="34"/>
        <v>2</v>
      </c>
      <c r="IP27" s="90">
        <f t="shared" si="35"/>
        <v>3</v>
      </c>
      <c r="IQ27" s="99"/>
      <c r="IR27" s="99"/>
      <c r="IS27" s="100">
        <f t="shared" si="36"/>
        <v>12</v>
      </c>
      <c r="IT27" s="100">
        <f t="shared" si="37"/>
        <v>11</v>
      </c>
      <c r="IU27" s="100">
        <f t="shared" si="38"/>
        <v>12</v>
      </c>
      <c r="IV27" s="100">
        <f t="shared" si="39"/>
        <v>9</v>
      </c>
      <c r="IW27" s="100">
        <f t="shared" si="40"/>
        <v>13</v>
      </c>
      <c r="IX27" s="100">
        <f t="shared" si="41"/>
        <v>9</v>
      </c>
      <c r="IY27" s="100">
        <f t="shared" si="42"/>
        <v>9</v>
      </c>
      <c r="IZ27" s="100">
        <f t="shared" si="43"/>
        <v>8</v>
      </c>
      <c r="JA27" s="100">
        <f t="shared" si="44"/>
        <v>8</v>
      </c>
      <c r="JB27" s="101">
        <f t="shared" si="45"/>
        <v>3</v>
      </c>
      <c r="JC27" s="102">
        <f t="shared" si="46"/>
        <v>94</v>
      </c>
      <c r="JD27" s="67">
        <f t="shared" si="50"/>
        <v>0</v>
      </c>
      <c r="JE27" s="67">
        <f t="shared" si="47"/>
        <v>0</v>
      </c>
      <c r="JF27" s="67">
        <f t="shared" si="48"/>
        <v>0</v>
      </c>
    </row>
    <row r="28">
      <c r="A28" s="103">
        <f>IFERROR(__xludf.DUMMYFUNCTION("""COMPUTED_VALUE"""),45926.41753614583)</f>
        <v>45926.41754</v>
      </c>
      <c r="B28" s="95" t="str">
        <f>IFERROR(__xludf.DUMMYFUNCTION("""COMPUTED_VALUE"""),"Muhammad Hilmy Ilyasa Rizal")</f>
        <v>Muhammad Hilmy Ilyasa Rizal</v>
      </c>
      <c r="C28" s="96" t="str">
        <f>IFERROR(__xludf.DUMMYFUNCTION("""COMPUTED_VALUE"""),"A250014")</f>
        <v>A250014</v>
      </c>
      <c r="D28" s="96" t="str">
        <f>IFERROR(__xludf.DUMMYFUNCTION("""COMPUTED_VALUE"""),"MTs Putra")</f>
        <v>MTs Putra</v>
      </c>
      <c r="E28" s="96" t="str">
        <f>IFERROR(__xludf.DUMMYFUNCTION("""COMPUTED_VALUE"""),"Ya")</f>
        <v>Ya</v>
      </c>
      <c r="F28" s="95" t="str">
        <f>IFERROR(__xludf.DUMMYFUNCTION("""COMPUTED_VALUE"""),"B Saya ingin melakukan apa saja sebaik mungkin.")</f>
        <v>B Saya ingin melakukan apa saja sebaik mungkin.</v>
      </c>
      <c r="G28" s="95" t="str">
        <f>IFERROR(__xludf.DUMMYFUNCTION("""COMPUTED_VALUE"""),"A Saya ingin setiap tulisan saya teliti, rapi, dan tersusun dengan baik.")</f>
        <v>A Saya ingin setiap tulisan saya teliti, rapi, dan tersusun dengan baik.</v>
      </c>
      <c r="H28" s="95" t="str">
        <f>IFERROR(__xludf.DUMMYFUNCTION("""COMPUTED_VALUE"""),"A Saya ingin berbuat sesuai kata hati saya.")</f>
        <v>A Saya ingin berbuat sesuai kata hati saya.</v>
      </c>
      <c r="I28" s="95" t="str">
        <f>IFERROR(__xludf.DUMMYFUNCTION("""COMPUTED_VALUE"""),"B Saya ingin bisa melakukan dengan baik meskipun tugas yang sulit.")</f>
        <v>B Saya ingin bisa melakukan dengan baik meskipun tugas yang sulit.</v>
      </c>
      <c r="J28" s="95" t="str">
        <f>IFERROR(__xludf.DUMMYFUNCTION("""COMPUTED_VALUE"""),"A Saya suka membantu teman-teman saya apabila mereka mengalami kesulitan.")</f>
        <v>A Saya suka membantu teman-teman saya apabila mereka mengalami kesulitan.</v>
      </c>
      <c r="K28" s="95" t="str">
        <f>IFERROR(__xludf.DUMMYFUNCTION("""COMPUTED_VALUE"""),"A Saya ingin menjadi pemimpin dalam suatu kelompok.")</f>
        <v>A Saya ingin menjadi pemimpin dalam suatu kelompok.</v>
      </c>
      <c r="L28" s="95" t="str">
        <f>IFERROR(__xludf.DUMMYFUNCTION("""COMPUTED_VALUE"""),"A Saya ingin menjadi pemimpin dalam suatu kelompok")</f>
        <v>A Saya ingin menjadi pemimpin dalam suatu kelompok</v>
      </c>
      <c r="M28" s="95" t="str">
        <f>IFERROR(__xludf.DUMMYFUNCTION("""COMPUTED_VALUE"""),"A Saya suka berbicara tentang hal-hal yang telah berhasil saya lakukan.")</f>
        <v>A Saya suka berbicara tentang hal-hal yang telah berhasil saya lakukan.</v>
      </c>
      <c r="N28" s="95" t="str">
        <f>IFERROR(__xludf.DUMMYFUNCTION("""COMPUTED_VALUE"""),"B Saya suka memecahkan persoalan yang sukar bagi orang lain.")</f>
        <v>B Saya suka memecahkan persoalan yang sukar bagi orang lain.</v>
      </c>
      <c r="O28" s="95" t="str">
        <f>IFERROR(__xludf.DUMMYFUNCTION("""COMPUTED_VALUE"""),"B Saya suka melakukan tugas sebaik mungkin.")</f>
        <v>B Saya suka melakukan tugas sebaik mungkin.</v>
      </c>
      <c r="P28" s="95" t="str">
        <f>IFERROR(__xludf.DUMMYFUNCTION("""COMPUTED_VALUE"""),"B Saya ingin setiap belajar itu teratur dan direncanakan.")</f>
        <v>B Saya ingin setiap belajar itu teratur dan direncanakan.</v>
      </c>
      <c r="Q28" s="95" t="str">
        <f>IFERROR(__xludf.DUMMYFUNCTION("""COMPUTED_VALUE"""),"B Saya merencanakan keperluan yang dibutuhkan sebelum bepergian.")</f>
        <v>B Saya merencanakan keperluan yang dibutuhkan sebelum bepergian.</v>
      </c>
      <c r="R28" s="95" t="str">
        <f>IFERROR(__xludf.DUMMYFUNCTION("""COMPUTED_VALUE"""),"B Saya suka barang-barang saya tersusun rapi dan teratur.")</f>
        <v>B Saya suka barang-barang saya tersusun rapi dan teratur.</v>
      </c>
      <c r="S28" s="95" t="str">
        <f>IFERROR(__xludf.DUMMYFUNCTION("""COMPUTED_VALUE"""),"A Saya ingin agar teman-teman pengertian bila saya mengalami kesukaran.")</f>
        <v>A Saya ingin agar teman-teman pengertian bila saya mengalami kesukaran.</v>
      </c>
      <c r="T28" s="95" t="str">
        <f>IFERROR(__xludf.DUMMYFUNCTION("""COMPUTED_VALUE"""),"B Saya ingin agar hidup saya teratur sesuai cita-cita saya.")</f>
        <v>B Saya ingin agar hidup saya teratur sesuai cita-cita saya.</v>
      </c>
      <c r="U28" s="95" t="str">
        <f>IFERROR(__xludf.DUMMYFUNCTION("""COMPUTED_VALUE"""),"A Saya suka memberikan bantuan kepada teman-teman saya.")</f>
        <v>A Saya suka memberikan bantuan kepada teman-teman saya.</v>
      </c>
      <c r="V28" s="95" t="str">
        <f>IFERROR(__xludf.DUMMYFUNCTION("""COMPUTED_VALUE"""),"B Saya suka belajar saya teratur dan ada waktu-waktu tertentu untuk belajar.")</f>
        <v>B Saya suka belajar saya teratur dan ada waktu-waktu tertentu untuk belajar.</v>
      </c>
      <c r="W28" s="95" t="str">
        <f>IFERROR(__xludf.DUMMYFUNCTION("""COMPUTED_VALUE"""),"A Saya suka melakukan kegiatan sesuai kondisi yang saya inginkan.")</f>
        <v>A Saya suka melakukan kegiatan sesuai kondisi yang saya inginkan.</v>
      </c>
      <c r="X28" s="95" t="str">
        <f>IFERROR(__xludf.DUMMYFUNCTION("""COMPUTED_VALUE"""),"B Saya ingin agar hidup saya teratur sesuai cita-cita saya.")</f>
        <v>B Saya ingin agar hidup saya teratur sesuai cita-cita saya.</v>
      </c>
      <c r="Y28" s="95" t="str">
        <f>IFERROR(__xludf.DUMMYFUNCTION("""COMPUTED_VALUE"""),"A Saya suka menyelesaikan tugas-tugas yang membutuhkan ketrampilan dan usaha.")</f>
        <v>A Saya suka menyelesaikan tugas-tugas yang membutuhkan ketrampilan dan usaha.</v>
      </c>
      <c r="Z28" s="95" t="str">
        <f>IFERROR(__xludf.DUMMYFUNCTION("""COMPUTED_VALUE"""),"A Saya ingin berhasil dengan belajar yang saya lakukan.")</f>
        <v>A Saya ingin berhasil dengan belajar yang saya lakukan.</v>
      </c>
      <c r="AA28" s="95" t="str">
        <f>IFERROR(__xludf.DUMMYFUNCTION("""COMPUTED_VALUE"""),"B Saya tidak suka pada orang yang berbuat seenaknya sendiri.")</f>
        <v>B Saya tidak suka pada orang yang berbuat seenaknya sendiri.</v>
      </c>
      <c r="AB28" s="95" t="str">
        <f>IFERROR(__xludf.DUMMYFUNCTION("""COMPUTED_VALUE"""),"B Saya ingin menyelesaikan pekerjaan satu persatu sebelum memulai yang lain.")</f>
        <v>B Saya ingin menyelesaikan pekerjaan satu persatu sebelum memulai yang lain.</v>
      </c>
      <c r="AC28" s="95" t="str">
        <f>IFERROR(__xludf.DUMMYFUNCTION("""COMPUTED_VALUE"""),"A Saya suka menyelesaikan setiap tugas meskipun membutuhkan waktu lama.")</f>
        <v>A Saya suka menyelesaikan setiap tugas meskipun membutuhkan waktu lama.</v>
      </c>
      <c r="AD28" s="95" t="str">
        <f>IFERROR(__xludf.DUMMYFUNCTION("""COMPUTED_VALUE"""),"A Saya suka bermurah hati terhadap teman-teman saya.")</f>
        <v>A Saya suka bermurah hati terhadap teman-teman saya.</v>
      </c>
      <c r="AE28" s="95" t="str">
        <f>IFERROR(__xludf.DUMMYFUNCTION("""COMPUTED_VALUE"""),"B Saya suka melakukan hal-hal yang dianggap orang lain tidak sesuai.")</f>
        <v>B Saya suka melakukan hal-hal yang dianggap orang lain tidak sesuai.</v>
      </c>
      <c r="AF28" s="95" t="str">
        <f>IFERROR(__xludf.DUMMYFUNCTION("""COMPUTED_VALUE"""),"A Saya ingin agar teman-teman mengerti bila saya mengalami kesukaran.")</f>
        <v>A Saya ingin agar teman-teman mengerti bila saya mengalami kesukaran.</v>
      </c>
      <c r="AG28" s="95" t="str">
        <f>IFERROR(__xludf.DUMMYFUNCTION("""COMPUTED_VALUE"""),"B Saya ingin berhasil dengan tugas yang saya lakukan.")</f>
        <v>B Saya ingin berhasil dengan tugas yang saya lakukan.</v>
      </c>
      <c r="AH28" s="95" t="str">
        <f>IFERROR(__xludf.DUMMYFUNCTION("""COMPUTED_VALUE"""),"B Saya ingin merasa bebas untuk melakukan apa yang saya kehendaki.")</f>
        <v>B Saya ingin merasa bebas untuk melakukan apa yang saya kehendaki.</v>
      </c>
      <c r="AI28" s="95" t="str">
        <f>IFERROR(__xludf.DUMMYFUNCTION("""COMPUTED_VALUE"""),"B Saya suka melakukan kegiatan sesuai kondisi yang saya inginkan.")</f>
        <v>B Saya suka melakukan kegiatan sesuai kondisi yang saya inginkan.</v>
      </c>
      <c r="AJ28" s="95" t="str">
        <f>IFERROR(__xludf.DUMMYFUNCTION("""COMPUTED_VALUE"""),"B Saya suka bertahan menghadapi satu masalah meskipun belum tentu berhasil.")</f>
        <v>B Saya suka bertahan menghadapi satu masalah meskipun belum tentu berhasil.</v>
      </c>
      <c r="AK28" s="95" t="str">
        <f>IFERROR(__xludf.DUMMYFUNCTION("""COMPUTED_VALUE"""),"B Bila saya harus melakukan suatu tugas, saya ingin mengerjakan sampai selesai.")</f>
        <v>B Bila saya harus melakukan suatu tugas, saya ingin mengerjakan sampai selesai.</v>
      </c>
      <c r="AL28" s="95" t="str">
        <f>IFERROR(__xludf.DUMMYFUNCTION("""COMPUTED_VALUE"""),"B Saya ingin menghindarkan gangguan bila saya sedang belajar.")</f>
        <v>B Saya ingin menghindarkan gangguan bila saya sedang belajar.</v>
      </c>
      <c r="AM28" s="95" t="str">
        <f>IFERROR(__xludf.DUMMYFUNCTION("""COMPUTED_VALUE"""),"A Saya ingin teman-teman saya merasa kasihan pada saya apabila saya sakit.")</f>
        <v>A Saya ingin teman-teman saya merasa kasihan pada saya apabila saya sakit.</v>
      </c>
      <c r="AN28" s="95" t="str">
        <f>IFERROR(__xludf.DUMMYFUNCTION("""COMPUTED_VALUE"""),"A Saya tidak suka pada orang yang semena-mena.")</f>
        <v>A Saya tidak suka pada orang yang semena-mena.</v>
      </c>
      <c r="AO28" s="95" t="str">
        <f>IFERROR(__xludf.DUMMYFUNCTION("""COMPUTED_VALUE"""),"A Saya suka berlaku sangat ramah terhadap teman-teman saya.")</f>
        <v>A Saya suka berlaku sangat ramah terhadap teman-teman saya.</v>
      </c>
      <c r="AP28" s="95" t="str">
        <f>IFERROR(__xludf.DUMMYFUNCTION("""COMPUTED_VALUE"""),"A Saya ingin mengerjakannya tugas sampai selesai.")</f>
        <v>A Saya ingin mengerjakannya tugas sampai selesai.</v>
      </c>
      <c r="AQ28" s="95" t="str">
        <f>IFERROR(__xludf.DUMMYFUNCTION("""COMPUTED_VALUE"""),"B Bila saya harus melakukan suatu tugas, saya ingin mengerjakan sampai selesai.")</f>
        <v>B Bila saya harus melakukan suatu tugas, saya ingin mengerjakan sampai selesai.</v>
      </c>
      <c r="AR28" s="95" t="str">
        <f>IFERROR(__xludf.DUMMYFUNCTION("""COMPUTED_VALUE"""),"A Saya suka menyimpan catatan secara rapi.")</f>
        <v>A Saya suka menyimpan catatan secara rapi.</v>
      </c>
      <c r="AS28" s="95" t="str">
        <f>IFERROR(__xludf.DUMMYFUNCTION("""COMPUTED_VALUE"""),"A Saya ingin dapat menyelesaikan persoalan yang dianggap sukar bagi orang lain.")</f>
        <v>A Saya ingin dapat menyelesaikan persoalan yang dianggap sukar bagi orang lain.</v>
      </c>
      <c r="AT28" s="95" t="str">
        <f>IFERROR(__xludf.DUMMYFUNCTION("""COMPUTED_VALUE"""),"B Saya suka membantu orang lain yang menurut saya perlu dikasihani.")</f>
        <v>B Saya suka membantu orang lain yang menurut saya perlu dikasihani.</v>
      </c>
      <c r="AU28" s="95" t="str">
        <f>IFERROR(__xludf.DUMMYFUNCTION("""COMPUTED_VALUE"""),"B Saya suka bermurah hati terhadap teman-teman saya.")</f>
        <v>B Saya suka bermurah hati terhadap teman-teman saya.</v>
      </c>
      <c r="AV28" s="95" t="str">
        <f>IFERROR(__xludf.DUMMYFUNCTION("""COMPUTED_VALUE"""),"B Saya suka menolong teman-teman saya.")</f>
        <v>B Saya suka menolong teman-teman saya.</v>
      </c>
      <c r="AW28" s="95" t="str">
        <f>IFERROR(__xludf.DUMMYFUNCTION("""COMPUTED_VALUE"""),"B Saya ingin teman-teman saya percaya bahwa saya bisa menolong mereka.")</f>
        <v>B Saya ingin teman-teman saya percaya bahwa saya bisa menolong mereka.</v>
      </c>
      <c r="AX28" s="95" t="str">
        <f>IFERROR(__xludf.DUMMYFUNCTION("""COMPUTED_VALUE"""),"B Saya suka memaafkan teman-teman saya yang menyakiti hati saya.")</f>
        <v>B Saya suka memaafkan teman-teman saya yang menyakiti hati saya.</v>
      </c>
      <c r="AY28" s="95" t="str">
        <f>IFERROR(__xludf.DUMMYFUNCTION("""COMPUTED_VALUE"""),"B Saya suka menolong teman-teman saya apabila mereka dalam kesulitan.")</f>
        <v>B Saya suka menolong teman-teman saya apabila mereka dalam kesulitan.</v>
      </c>
      <c r="AZ28" s="95" t="str">
        <f>IFERROR(__xludf.DUMMYFUNCTION("""COMPUTED_VALUE"""),"B Saya suka menunjukkan simpati saya kepada teman-teman saya.")</f>
        <v>B Saya suka menunjukkan simpati saya kepada teman-teman saya.</v>
      </c>
      <c r="BA28" s="95" t="str">
        <f>IFERROR(__xludf.DUMMYFUNCTION("""COMPUTED_VALUE"""),"B Saya suka memperlakukan orang lain dengan baik dan ramah.")</f>
        <v>B Saya suka memperlakukan orang lain dengan baik dan ramah.</v>
      </c>
      <c r="BB28" s="95" t="str">
        <f>IFERROR(__xludf.DUMMYFUNCTION("""COMPUTED_VALUE"""),"B Saya suka bermurah hati terhadap teman-teman saya.")</f>
        <v>B Saya suka bermurah hati terhadap teman-teman saya.</v>
      </c>
      <c r="BC28" s="95" t="str">
        <f>IFERROR(__xludf.DUMMYFUNCTION("""COMPUTED_VALUE"""),"B Saya suka membantu orang lain yang menurut saya perlu dikasihani.")</f>
        <v>B Saya suka membantu orang lain yang menurut saya perlu dikasihani.</v>
      </c>
      <c r="BD28" s="95" t="str">
        <f>IFERROR(__xludf.DUMMYFUNCTION("""COMPUTED_VALUE"""),"B Saya suka bersikukuh dengan pendirian saya.")</f>
        <v>B Saya suka bersikukuh dengan pendirian saya.</v>
      </c>
      <c r="BE28" s="95" t="str">
        <f>IFERROR(__xludf.DUMMYFUNCTION("""COMPUTED_VALUE"""),"B Saya ingin orang lain melakukan apa yang saya kehendaki.")</f>
        <v>B Saya ingin orang lain melakukan apa yang saya kehendaki.</v>
      </c>
      <c r="BF28" s="95" t="str">
        <f>IFERROR(__xludf.DUMMYFUNCTION("""COMPUTED_VALUE"""),"B Bila saya dalam kelompok, saya ingin menentukan apa yang akan kita lakukan.")</f>
        <v>B Bila saya dalam kelompok, saya ingin menentukan apa yang akan kita lakukan.</v>
      </c>
      <c r="BG28" s="95" t="str">
        <f>IFERROR(__xludf.DUMMYFUNCTION("""COMPUTED_VALUE"""),"A Saya ingin teman-teman banyak menunjukkan rasa sayang mereka terhadap saya.")</f>
        <v>A Saya ingin teman-teman banyak menunjukkan rasa sayang mereka terhadap saya.</v>
      </c>
      <c r="BH28" s="95" t="str">
        <f>IFERROR(__xludf.DUMMYFUNCTION("""COMPUTED_VALUE"""),"B Apabila saya berkumpul dalam kelompok, saya ingin dihargai teman-teman.")</f>
        <v>B Apabila saya berkumpul dalam kelompok, saya ingin dihargai teman-teman.</v>
      </c>
      <c r="BI28" s="95" t="str">
        <f>IFERROR(__xludf.DUMMYFUNCTION("""COMPUTED_VALUE"""),"A Saya suka bermurah hati terhadap teman-teman saya.")</f>
        <v>A Saya suka bermurah hati terhadap teman-teman saya.</v>
      </c>
      <c r="BJ28" s="95" t="str">
        <f>IFERROR(__xludf.DUMMYFUNCTION("""COMPUTED_VALUE"""),"B Saya ingin menjadi pemimpin dalam kelompok di mana saya ada di situ")</f>
        <v>B Saya ingin menjadi pemimpin dalam kelompok di mana saya ada di situ</v>
      </c>
      <c r="BK28" s="95" t="str">
        <f>IFERROR(__xludf.DUMMYFUNCTION("""COMPUTED_VALUE"""),"A Saya ingin menyelesaikan pekerjaan satu persatu sebelum memulai yang lain.")</f>
        <v>A Saya ingin menyelesaikan pekerjaan satu persatu sebelum memulai yang lain.</v>
      </c>
      <c r="BL28" s="95" t="str">
        <f>IFERROR(__xludf.DUMMYFUNCTION("""COMPUTED_VALUE"""),"A Saya suka belajar saya teratur dan ada waktu-waktu tertentu untuk belajar.")</f>
        <v>A Saya suka belajar saya teratur dan ada waktu-waktu tertentu untuk belajar.</v>
      </c>
      <c r="BM28" s="95" t="str">
        <f>IFERROR(__xludf.DUMMYFUNCTION("""COMPUTED_VALUE"""),"B Saya ingin orang lain melakukan apa yang saya kehendaki.")</f>
        <v>B Saya ingin orang lain melakukan apa yang saya kehendaki.</v>
      </c>
      <c r="BN28" s="95" t="str">
        <f>IFERROR(__xludf.DUMMYFUNCTION("""COMPUTED_VALUE"""),"B Saya ingin teman-teman memberi dorongan bila saya menghadapi kegagalan.")</f>
        <v>B Saya ingin teman-teman memberi dorongan bila saya menghadapi kegagalan.</v>
      </c>
      <c r="BO28" s="95" t="str">
        <f>IFERROR(__xludf.DUMMYFUNCTION("""COMPUTED_VALUE"""),"B Saya ingin diperlakukan dengan baik oleh teman-teman saya.")</f>
        <v>B Saya ingin diperlakukan dengan baik oleh teman-teman saya.</v>
      </c>
      <c r="BP28" s="95" t="str">
        <f>IFERROR(__xludf.DUMMYFUNCTION("""COMPUTED_VALUE"""),"B Saya ingin teman-teman saya merasa kasihan pada saya apabila saya sakit.")</f>
        <v>B Saya ingin teman-teman saya merasa kasihan pada saya apabila saya sakit.</v>
      </c>
      <c r="BQ28" s="95" t="str">
        <f>IFERROR(__xludf.DUMMYFUNCTION("""COMPUTED_VALUE"""),"A Saya ingin mengerjakannya tugas sampai selesai.")</f>
        <v>A Saya ingin mengerjakannya tugas sampai selesai.</v>
      </c>
      <c r="BR28" s="95" t="str">
        <f>IFERROR(__xludf.DUMMYFUNCTION("""COMPUTED_VALUE"""),"A Saya suka memaafkan teman-teman saya yang menyakiti hati saya.")</f>
        <v>A Saya suka memaafkan teman-teman saya yang menyakiti hati saya.</v>
      </c>
      <c r="BS28" s="95" t="str">
        <f>IFERROR(__xludf.DUMMYFUNCTION("""COMPUTED_VALUE"""),"B Saya ingin teman-teman saya membantu saya bila saya mengalami kesulitan")</f>
        <v>B Saya ingin teman-teman saya membantu saya bila saya mengalami kesulitan</v>
      </c>
      <c r="BT28" s="95" t="str">
        <f>IFERROR(__xludf.DUMMYFUNCTION("""COMPUTED_VALUE"""),"B Saya ingin teman-teman banyak menunjukkan rasa sayang mereka terhadap saya.")</f>
        <v>B Saya ingin teman-teman banyak menunjukkan rasa sayang mereka terhadap saya.</v>
      </c>
      <c r="BU28" s="95" t="str">
        <f>IFERROR(__xludf.DUMMYFUNCTION("""COMPUTED_VALUE"""),"B Saya ingin agar teman-teman saya merasa kasihan pada saya apabila saya sakit.")</f>
        <v>B Saya ingin agar teman-teman saya merasa kasihan pada saya apabila saya sakit.</v>
      </c>
      <c r="BV28" s="95" t="str">
        <f>IFERROR(__xludf.DUMMYFUNCTION("""COMPUTED_VALUE"""),"B Saya ingin teman-teman dengan gembira memberikan pertolongan kepada saya.")</f>
        <v>B Saya ingin teman-teman dengan gembira memberikan pertolongan kepada saya.</v>
      </c>
      <c r="BW28" s="95" t="str">
        <f>IFERROR(__xludf.DUMMYFUNCTION("""COMPUTED_VALUE"""),"B Saya ingin diperlakukan dengan baik oleh teman-teman saya.")</f>
        <v>B Saya ingin diperlakukan dengan baik oleh teman-teman saya.</v>
      </c>
      <c r="BX28" s="95" t="str">
        <f>IFERROR(__xludf.DUMMYFUNCTION("""COMPUTED_VALUE"""),"B Saya kadang-kadang suka melakukan hal-hal yang dapat dipuji oleh orang lain.")</f>
        <v>B Saya kadang-kadang suka melakukan hal-hal yang dapat dipuji oleh orang lain.</v>
      </c>
      <c r="BY28" s="95" t="str">
        <f>IFERROR(__xludf.DUMMYFUNCTION("""COMPUTED_VALUE"""),"B Saya ingin orang lain memperhatikan dan berkomentar tentang penampilan saya.")</f>
        <v>B Saya ingin orang lain memperhatikan dan berkomentar tentang penampilan saya.</v>
      </c>
      <c r="BZ28" s="95" t="str">
        <f>IFERROR(__xludf.DUMMYFUNCTION("""COMPUTED_VALUE"""),"B Saya suka diperhatikan, apabila saya ada di dalam suatu kelompok.")</f>
        <v>B Saya suka diperhatikan, apabila saya ada di dalam suatu kelompok.</v>
      </c>
      <c r="CA28" s="95" t="str">
        <f>IFERROR(__xludf.DUMMYFUNCTION("""COMPUTED_VALUE"""),"A Saya ingin teman-teman dengan gembira memberikan pertolongan kepada saya.")</f>
        <v>A Saya ingin teman-teman dengan gembira memberikan pertolongan kepada saya.</v>
      </c>
      <c r="CB28" s="95" t="str">
        <f>IFERROR(__xludf.DUMMYFUNCTION("""COMPUTED_VALUE"""),"B Saya suka berbicara tentang hal-hal yang telah saya capai.")</f>
        <v>B Saya suka berbicara tentang hal-hal yang telah saya capai.</v>
      </c>
      <c r="CC28" s="95" t="str">
        <f>IFERROR(__xludf.DUMMYFUNCTION("""COMPUTED_VALUE"""),"A Apabila saya berkumpul dalam kelompok, saya ingin dihargai teman-teman.")</f>
        <v>A Apabila saya berkumpul dalam kelompok, saya ingin dihargai teman-teman.</v>
      </c>
      <c r="CD28" s="95" t="str">
        <f>IFERROR(__xludf.DUMMYFUNCTION("""COMPUTED_VALUE"""),"A Saya suka menyelesaikan setiap tugas meskipun membutuhkan waktu lama.")</f>
        <v>A Saya suka menyelesaikan setiap tugas meskipun membutuhkan waktu lama.</v>
      </c>
      <c r="CE28" s="95" t="str">
        <f>IFERROR(__xludf.DUMMYFUNCTION("""COMPUTED_VALUE"""),"A Saya suka menyelesaikan setiap tugas belajar yang telah saya mulai.")</f>
        <v>A Saya suka menyelesaikan setiap tugas belajar yang telah saya mulai.</v>
      </c>
      <c r="CF28" s="95" t="str">
        <f>IFERROR(__xludf.DUMMYFUNCTION("""COMPUTED_VALUE"""),"A Saya ingin agar hidup saya teratur sesuai cita-cita saya.")</f>
        <v>A Saya ingin agar hidup saya teratur sesuai cita-cita saya.</v>
      </c>
      <c r="CG28" s="95" t="str">
        <f>IFERROR(__xludf.DUMMYFUNCTION("""COMPUTED_VALUE"""),"B Saya suka berbicara tentang hal-hal yang telah saya capai.")</f>
        <v>B Saya suka berbicara tentang hal-hal yang telah saya capai.</v>
      </c>
      <c r="CH28" s="95" t="str">
        <f>IFERROR(__xludf.DUMMYFUNCTION("""COMPUTED_VALUE"""),"A Saya ingin bisa melakukan dengan baik sesuatu pekerjaan sulit.")</f>
        <v>A Saya ingin bisa melakukan dengan baik sesuatu pekerjaan sulit.</v>
      </c>
      <c r="CI28" s="95" t="str">
        <f>IFERROR(__xludf.DUMMYFUNCTION("""COMPUTED_VALUE"""),"B Saya ingin dianggap menarik oleh orang lain.")</f>
        <v>B Saya ingin dianggap menarik oleh orang lain.</v>
      </c>
      <c r="CJ28" s="95" t="str">
        <f>IFERROR(__xludf.DUMMYFUNCTION("""COMPUTED_VALUE"""),"A Saya ingin tidak tergantung dari orang lain terhadap apa yang akan saya lakukan.")</f>
        <v>A Saya ingin tidak tergantung dari orang lain terhadap apa yang akan saya lakukan.</v>
      </c>
      <c r="CK28" s="95" t="str">
        <f>IFERROR(__xludf.DUMMYFUNCTION("""COMPUTED_VALUE"""),"B Saya senang ikut beraktivitas bersama teman sebaya saya.")</f>
        <v>B Saya senang ikut beraktivitas bersama teman sebaya saya.</v>
      </c>
      <c r="CL28" s="95" t="str">
        <f>IFERROR(__xludf.DUMMYFUNCTION("""COMPUTED_VALUE"""),"A Saya suka menolong teman-teman saya, apabila mereka dalam kesulitan.")</f>
        <v>A Saya suka menolong teman-teman saya, apabila mereka dalam kesulitan.</v>
      </c>
      <c r="CM28" s="95" t="str">
        <f>IFERROR(__xludf.DUMMYFUNCTION("""COMPUTED_VALUE"""),"A Saya ingin ditunjuk atau dipilih sebagai ketua dalam suatu kelompok.")</f>
        <v>A Saya ingin ditunjuk atau dipilih sebagai ketua dalam suatu kelompok.</v>
      </c>
      <c r="CN28" s="95" t="str">
        <f>IFERROR(__xludf.DUMMYFUNCTION("""COMPUTED_VALUE"""),"A Saya ingin diperlakukan dengan baik oleh teman-teman saya.")</f>
        <v>A Saya ingin diperlakukan dengan baik oleh teman-teman saya.</v>
      </c>
      <c r="CO28" s="95" t="str">
        <f>IFERROR(__xludf.DUMMYFUNCTION("""COMPUTED_VALUE"""),"B Saya suka memuji orang yang saya kagumi.")</f>
        <v>B Saya suka memuji orang yang saya kagumi.</v>
      </c>
      <c r="CP28" s="95" t="str">
        <f>IFERROR(__xludf.DUMMYFUNCTION("""COMPUTED_VALUE"""),"B Saya ingin dianggap menarik oleh orang lain.")</f>
        <v>B Saya ingin dianggap menarik oleh orang lain.</v>
      </c>
      <c r="CQ28" s="95" t="str">
        <f>IFERROR(__xludf.DUMMYFUNCTION("""COMPUTED_VALUE"""),"B Saya merasa kagum pada seseorang.")</f>
        <v>B Saya merasa kagum pada seseorang.</v>
      </c>
      <c r="CR28" s="95" t="str">
        <f>IFERROR(__xludf.DUMMYFUNCTION("""COMPUTED_VALUE"""),"A Saya ingin memperolok-olok orang yang saya anggap melakukan tindakan bodoh.")</f>
        <v>A Saya ingin memperolok-olok orang yang saya anggap melakukan tindakan bodoh.</v>
      </c>
      <c r="CS28" s="95" t="str">
        <f>IFERROR(__xludf.DUMMYFUNCTION("""COMPUTED_VALUE"""),"A Saya ingin terlihat menarik di depan teman-teman saya.")</f>
        <v>A Saya ingin terlihat menarik di depan teman-teman saya.</v>
      </c>
      <c r="CT28" s="95" t="str">
        <f>IFERROR(__xludf.DUMMYFUNCTION("""COMPUTED_VALUE"""),"A Saya ingin orang-orang memperhatikan komentar mengenai penampilan saya.")</f>
        <v>A Saya ingin orang-orang memperhatikan komentar mengenai penampilan saya.</v>
      </c>
      <c r="CU28" s="95" t="str">
        <f>IFERROR(__xludf.DUMMYFUNCTION("""COMPUTED_VALUE"""),"A Saya ingin diperlakukan dengan ramah oleh teman-teman saya.")</f>
        <v>A Saya ingin diperlakukan dengan ramah oleh teman-teman saya.</v>
      </c>
      <c r="CV28" s="95" t="str">
        <f>IFERROR(__xludf.DUMMYFUNCTION("""COMPUTED_VALUE"""),"A Saya ingin ditunjuk atau dipilih sebagai ketua dalam suatu kelompok.")</f>
        <v>A Saya ingin ditunjuk atau dipilih sebagai ketua dalam suatu kelompok.</v>
      </c>
      <c r="CW28" s="95" t="str">
        <f>IFERROR(__xludf.DUMMYFUNCTION("""COMPUTED_VALUE"""),"A Saya suka menolong teman-teman saya, apabila mereka dalam kesulitan.")</f>
        <v>A Saya suka menolong teman-teman saya, apabila mereka dalam kesulitan.</v>
      </c>
      <c r="CX28" s="95" t="str">
        <f>IFERROR(__xludf.DUMMYFUNCTION("""COMPUTED_VALUE"""),"A Saya suka belajar sampai malam untuk menyelesaikan suatu tugas.")</f>
        <v>A Saya suka belajar sampai malam untuk menyelesaikan suatu tugas.</v>
      </c>
      <c r="CY28" s="95" t="str">
        <f>IFERROR(__xludf.DUMMYFUNCTION("""COMPUTED_VALUE"""),"A Saya ingin tidak tergantung dari orang lain terhadap apa yang akan saya lakukan.")</f>
        <v>A Saya ingin tidak tergantung dari orang lain terhadap apa yang akan saya lakukan.</v>
      </c>
      <c r="CZ28" s="95" t="str">
        <f>IFERROR(__xludf.DUMMYFUNCTION("""COMPUTED_VALUE"""),"A Saya suka merencanakan dan mengatur setiap pekerjaan yang harus saya lakukan.")</f>
        <v>A Saya suka merencanakan dan mengatur setiap pekerjaan yang harus saya lakukan.</v>
      </c>
      <c r="DA28" s="95" t="str">
        <f>IFERROR(__xludf.DUMMYFUNCTION("""COMPUTED_VALUE"""),"A Saya ingin melakukan apa saja sebaik mungkin.")</f>
        <v>A Saya ingin melakukan apa saja sebaik mungkin.</v>
      </c>
      <c r="DB28" s="89" t="s">
        <v>23</v>
      </c>
      <c r="DC28" s="97" t="str">
        <f t="shared" ref="DC28:GX28" si="73">LEFT(F28,1)</f>
        <v>B</v>
      </c>
      <c r="DD28" s="97" t="str">
        <f t="shared" si="73"/>
        <v>A</v>
      </c>
      <c r="DE28" s="97" t="str">
        <f t="shared" si="73"/>
        <v>A</v>
      </c>
      <c r="DF28" s="97" t="str">
        <f t="shared" si="73"/>
        <v>B</v>
      </c>
      <c r="DG28" s="97" t="str">
        <f t="shared" si="73"/>
        <v>A</v>
      </c>
      <c r="DH28" s="97" t="str">
        <f t="shared" si="73"/>
        <v>A</v>
      </c>
      <c r="DI28" s="97" t="str">
        <f t="shared" si="73"/>
        <v>A</v>
      </c>
      <c r="DJ28" s="97" t="str">
        <f t="shared" si="73"/>
        <v>A</v>
      </c>
      <c r="DK28" s="97" t="str">
        <f t="shared" si="73"/>
        <v>B</v>
      </c>
      <c r="DL28" s="97" t="str">
        <f t="shared" si="73"/>
        <v>B</v>
      </c>
      <c r="DM28" s="97" t="str">
        <f t="shared" si="73"/>
        <v>B</v>
      </c>
      <c r="DN28" s="97" t="str">
        <f t="shared" si="73"/>
        <v>B</v>
      </c>
      <c r="DO28" s="97" t="str">
        <f t="shared" si="73"/>
        <v>B</v>
      </c>
      <c r="DP28" s="97" t="str">
        <f t="shared" si="73"/>
        <v>A</v>
      </c>
      <c r="DQ28" s="97" t="str">
        <f t="shared" si="73"/>
        <v>B</v>
      </c>
      <c r="DR28" s="97" t="str">
        <f t="shared" si="73"/>
        <v>A</v>
      </c>
      <c r="DS28" s="97" t="str">
        <f t="shared" si="73"/>
        <v>B</v>
      </c>
      <c r="DT28" s="97" t="str">
        <f t="shared" si="73"/>
        <v>A</v>
      </c>
      <c r="DU28" s="97" t="str">
        <f t="shared" si="73"/>
        <v>B</v>
      </c>
      <c r="DV28" s="97" t="str">
        <f t="shared" si="73"/>
        <v>A</v>
      </c>
      <c r="DW28" s="97" t="str">
        <f t="shared" si="73"/>
        <v>A</v>
      </c>
      <c r="DX28" s="97" t="str">
        <f t="shared" si="73"/>
        <v>B</v>
      </c>
      <c r="DY28" s="97" t="str">
        <f t="shared" si="73"/>
        <v>B</v>
      </c>
      <c r="DZ28" s="97" t="str">
        <f t="shared" si="73"/>
        <v>A</v>
      </c>
      <c r="EA28" s="97" t="str">
        <f t="shared" si="73"/>
        <v>A</v>
      </c>
      <c r="EB28" s="97" t="str">
        <f t="shared" si="73"/>
        <v>B</v>
      </c>
      <c r="EC28" s="97" t="str">
        <f t="shared" si="73"/>
        <v>A</v>
      </c>
      <c r="ED28" s="97" t="str">
        <f t="shared" si="73"/>
        <v>B</v>
      </c>
      <c r="EE28" s="97" t="str">
        <f t="shared" si="73"/>
        <v>B</v>
      </c>
      <c r="EF28" s="97" t="str">
        <f t="shared" si="73"/>
        <v>B</v>
      </c>
      <c r="EG28" s="97" t="str">
        <f t="shared" si="73"/>
        <v>B</v>
      </c>
      <c r="EH28" s="97" t="str">
        <f t="shared" si="73"/>
        <v>B</v>
      </c>
      <c r="EI28" s="97" t="str">
        <f t="shared" si="73"/>
        <v>B</v>
      </c>
      <c r="EJ28" s="97" t="str">
        <f t="shared" si="73"/>
        <v>A</v>
      </c>
      <c r="EK28" s="97" t="str">
        <f t="shared" si="73"/>
        <v>A</v>
      </c>
      <c r="EL28" s="97" t="str">
        <f t="shared" si="73"/>
        <v>A</v>
      </c>
      <c r="EM28" s="97" t="str">
        <f t="shared" si="73"/>
        <v>A</v>
      </c>
      <c r="EN28" s="97" t="str">
        <f t="shared" si="73"/>
        <v>B</v>
      </c>
      <c r="EO28" s="97" t="str">
        <f t="shared" si="73"/>
        <v>A</v>
      </c>
      <c r="EP28" s="97" t="str">
        <f t="shared" si="73"/>
        <v>A</v>
      </c>
      <c r="EQ28" s="97" t="str">
        <f t="shared" si="73"/>
        <v>B</v>
      </c>
      <c r="ER28" s="97" t="str">
        <f t="shared" si="73"/>
        <v>B</v>
      </c>
      <c r="ES28" s="97" t="str">
        <f t="shared" si="73"/>
        <v>B</v>
      </c>
      <c r="ET28" s="97" t="str">
        <f t="shared" si="73"/>
        <v>B</v>
      </c>
      <c r="EU28" s="97" t="str">
        <f t="shared" si="73"/>
        <v>B</v>
      </c>
      <c r="EV28" s="97" t="str">
        <f t="shared" si="73"/>
        <v>B</v>
      </c>
      <c r="EW28" s="97" t="str">
        <f t="shared" si="73"/>
        <v>B</v>
      </c>
      <c r="EX28" s="97" t="str">
        <f t="shared" si="73"/>
        <v>B</v>
      </c>
      <c r="EY28" s="97" t="str">
        <f t="shared" si="73"/>
        <v>B</v>
      </c>
      <c r="EZ28" s="97" t="str">
        <f t="shared" si="73"/>
        <v>B</v>
      </c>
      <c r="FA28" s="97" t="str">
        <f t="shared" si="73"/>
        <v>B</v>
      </c>
      <c r="FB28" s="97" t="str">
        <f t="shared" si="73"/>
        <v>B</v>
      </c>
      <c r="FC28" s="97" t="str">
        <f t="shared" si="73"/>
        <v>B</v>
      </c>
      <c r="FD28" s="97" t="str">
        <f t="shared" si="73"/>
        <v>A</v>
      </c>
      <c r="FE28" s="97" t="str">
        <f t="shared" si="73"/>
        <v>B</v>
      </c>
      <c r="FF28" s="97" t="str">
        <f t="shared" si="73"/>
        <v>A</v>
      </c>
      <c r="FG28" s="97" t="str">
        <f t="shared" si="73"/>
        <v>B</v>
      </c>
      <c r="FH28" s="97" t="str">
        <f t="shared" si="73"/>
        <v>A</v>
      </c>
      <c r="FI28" s="97" t="str">
        <f t="shared" si="73"/>
        <v>A</v>
      </c>
      <c r="FJ28" s="97" t="str">
        <f t="shared" si="73"/>
        <v>B</v>
      </c>
      <c r="FK28" s="97" t="str">
        <f t="shared" si="73"/>
        <v>B</v>
      </c>
      <c r="FL28" s="97" t="str">
        <f t="shared" si="73"/>
        <v>B</v>
      </c>
      <c r="FM28" s="97" t="str">
        <f t="shared" si="73"/>
        <v>B</v>
      </c>
      <c r="FN28" s="97" t="str">
        <f t="shared" si="73"/>
        <v>A</v>
      </c>
      <c r="FO28" s="97" t="str">
        <f t="shared" si="73"/>
        <v>A</v>
      </c>
      <c r="FP28" s="97" t="str">
        <f t="shared" si="73"/>
        <v>B</v>
      </c>
      <c r="FQ28" s="97" t="str">
        <f t="shared" si="73"/>
        <v>B</v>
      </c>
      <c r="FR28" s="97" t="str">
        <f t="shared" si="73"/>
        <v>B</v>
      </c>
      <c r="FS28" s="97" t="str">
        <f t="shared" si="73"/>
        <v>B</v>
      </c>
      <c r="FT28" s="97" t="str">
        <f t="shared" si="73"/>
        <v>B</v>
      </c>
      <c r="FU28" s="97" t="str">
        <f t="shared" si="73"/>
        <v>B</v>
      </c>
      <c r="FV28" s="97" t="str">
        <f t="shared" si="73"/>
        <v>B</v>
      </c>
      <c r="FW28" s="97" t="str">
        <f t="shared" si="73"/>
        <v>B</v>
      </c>
      <c r="FX28" s="97" t="str">
        <f t="shared" si="73"/>
        <v>A</v>
      </c>
      <c r="FY28" s="97" t="str">
        <f t="shared" si="73"/>
        <v>B</v>
      </c>
      <c r="FZ28" s="97" t="str">
        <f t="shared" si="73"/>
        <v>A</v>
      </c>
      <c r="GA28" s="97" t="str">
        <f t="shared" si="73"/>
        <v>A</v>
      </c>
      <c r="GB28" s="97" t="str">
        <f t="shared" si="73"/>
        <v>A</v>
      </c>
      <c r="GC28" s="97" t="str">
        <f t="shared" si="73"/>
        <v>A</v>
      </c>
      <c r="GD28" s="97" t="str">
        <f t="shared" si="73"/>
        <v>B</v>
      </c>
      <c r="GE28" s="97" t="str">
        <f t="shared" si="73"/>
        <v>A</v>
      </c>
      <c r="GF28" s="97" t="str">
        <f t="shared" si="73"/>
        <v>B</v>
      </c>
      <c r="GG28" s="97" t="str">
        <f t="shared" si="73"/>
        <v>A</v>
      </c>
      <c r="GH28" s="97" t="str">
        <f t="shared" si="73"/>
        <v>B</v>
      </c>
      <c r="GI28" s="97" t="str">
        <f t="shared" si="73"/>
        <v>A</v>
      </c>
      <c r="GJ28" s="97" t="str">
        <f t="shared" si="73"/>
        <v>A</v>
      </c>
      <c r="GK28" s="97" t="str">
        <f t="shared" si="73"/>
        <v>A</v>
      </c>
      <c r="GL28" s="97" t="str">
        <f t="shared" si="73"/>
        <v>B</v>
      </c>
      <c r="GM28" s="97" t="str">
        <f t="shared" si="73"/>
        <v>B</v>
      </c>
      <c r="GN28" s="97" t="str">
        <f t="shared" si="73"/>
        <v>B</v>
      </c>
      <c r="GO28" s="97" t="str">
        <f t="shared" si="73"/>
        <v>A</v>
      </c>
      <c r="GP28" s="97" t="str">
        <f t="shared" si="73"/>
        <v>A</v>
      </c>
      <c r="GQ28" s="97" t="str">
        <f t="shared" si="73"/>
        <v>A</v>
      </c>
      <c r="GR28" s="97" t="str">
        <f t="shared" si="73"/>
        <v>A</v>
      </c>
      <c r="GS28" s="97" t="str">
        <f t="shared" si="73"/>
        <v>A</v>
      </c>
      <c r="GT28" s="97" t="str">
        <f t="shared" si="73"/>
        <v>A</v>
      </c>
      <c r="GU28" s="97" t="str">
        <f t="shared" si="73"/>
        <v>A</v>
      </c>
      <c r="GV28" s="97" t="str">
        <f t="shared" si="73"/>
        <v>A</v>
      </c>
      <c r="GW28" s="97" t="str">
        <f t="shared" si="73"/>
        <v>A</v>
      </c>
      <c r="GX28" s="97" t="str">
        <f t="shared" si="73"/>
        <v>A</v>
      </c>
      <c r="GY28" s="98"/>
      <c r="GZ28" s="97">
        <f t="shared" si="3"/>
        <v>46</v>
      </c>
      <c r="HA28" s="97">
        <f t="shared" si="4"/>
        <v>54</v>
      </c>
      <c r="HB28" s="90">
        <f t="shared" si="5"/>
        <v>100</v>
      </c>
      <c r="HC28" s="99"/>
      <c r="HD28" s="97">
        <f t="shared" si="6"/>
        <v>5</v>
      </c>
      <c r="HE28" s="97">
        <f t="shared" si="7"/>
        <v>3</v>
      </c>
      <c r="HF28" s="90">
        <f t="shared" si="8"/>
        <v>8</v>
      </c>
      <c r="HG28" s="99"/>
      <c r="HH28" s="97">
        <f t="shared" si="9"/>
        <v>5</v>
      </c>
      <c r="HI28" s="97">
        <f t="shared" si="10"/>
        <v>6</v>
      </c>
      <c r="HJ28" s="90">
        <f t="shared" si="11"/>
        <v>11</v>
      </c>
      <c r="HK28" s="99"/>
      <c r="HL28" s="97">
        <f t="shared" si="12"/>
        <v>6</v>
      </c>
      <c r="HM28" s="97">
        <f t="shared" si="13"/>
        <v>6</v>
      </c>
      <c r="HN28" s="90">
        <f t="shared" si="14"/>
        <v>12</v>
      </c>
      <c r="HO28" s="99"/>
      <c r="HP28" s="97">
        <f t="shared" si="15"/>
        <v>4</v>
      </c>
      <c r="HQ28" s="97">
        <f t="shared" si="16"/>
        <v>4</v>
      </c>
      <c r="HR28" s="90">
        <f t="shared" si="17"/>
        <v>8</v>
      </c>
      <c r="HS28" s="99"/>
      <c r="HT28" s="97">
        <f t="shared" si="18"/>
        <v>9</v>
      </c>
      <c r="HU28" s="97">
        <f t="shared" si="19"/>
        <v>10</v>
      </c>
      <c r="HV28" s="90">
        <f t="shared" si="20"/>
        <v>19</v>
      </c>
      <c r="HW28" s="99"/>
      <c r="HX28" s="97">
        <f t="shared" si="21"/>
        <v>4</v>
      </c>
      <c r="HY28" s="97">
        <f t="shared" si="22"/>
        <v>6</v>
      </c>
      <c r="HZ28" s="90">
        <f t="shared" si="23"/>
        <v>10</v>
      </c>
      <c r="IA28" s="99"/>
      <c r="IB28" s="97">
        <f t="shared" si="24"/>
        <v>8</v>
      </c>
      <c r="IC28" s="97">
        <f t="shared" si="25"/>
        <v>8</v>
      </c>
      <c r="ID28" s="90">
        <f t="shared" si="26"/>
        <v>16</v>
      </c>
      <c r="IE28" s="99"/>
      <c r="IF28" s="97">
        <f t="shared" si="27"/>
        <v>2</v>
      </c>
      <c r="IG28" s="97">
        <f t="shared" si="28"/>
        <v>5</v>
      </c>
      <c r="IH28" s="90">
        <f t="shared" si="29"/>
        <v>7</v>
      </c>
      <c r="II28" s="99"/>
      <c r="IJ28" s="97">
        <f t="shared" si="30"/>
        <v>1</v>
      </c>
      <c r="IK28" s="97">
        <f t="shared" si="31"/>
        <v>5</v>
      </c>
      <c r="IL28" s="90">
        <f t="shared" si="32"/>
        <v>6</v>
      </c>
      <c r="IM28" s="99"/>
      <c r="IN28" s="97">
        <f t="shared" si="33"/>
        <v>0</v>
      </c>
      <c r="IO28" s="97">
        <f t="shared" si="34"/>
        <v>0</v>
      </c>
      <c r="IP28" s="90">
        <f t="shared" si="35"/>
        <v>0</v>
      </c>
      <c r="IQ28" s="99"/>
      <c r="IR28" s="99"/>
      <c r="IS28" s="100">
        <f t="shared" si="36"/>
        <v>8</v>
      </c>
      <c r="IT28" s="100">
        <f t="shared" si="37"/>
        <v>11</v>
      </c>
      <c r="IU28" s="100">
        <f t="shared" si="38"/>
        <v>12</v>
      </c>
      <c r="IV28" s="100">
        <f t="shared" si="39"/>
        <v>8</v>
      </c>
      <c r="IW28" s="100">
        <f t="shared" si="40"/>
        <v>19</v>
      </c>
      <c r="IX28" s="100">
        <f t="shared" si="41"/>
        <v>10</v>
      </c>
      <c r="IY28" s="100">
        <f t="shared" si="42"/>
        <v>16</v>
      </c>
      <c r="IZ28" s="100">
        <f t="shared" si="43"/>
        <v>7</v>
      </c>
      <c r="JA28" s="100">
        <f t="shared" si="44"/>
        <v>6</v>
      </c>
      <c r="JB28" s="101">
        <f t="shared" si="45"/>
        <v>0</v>
      </c>
      <c r="JC28" s="102">
        <f t="shared" si="46"/>
        <v>97</v>
      </c>
      <c r="JD28" s="67">
        <f t="shared" si="50"/>
        <v>0</v>
      </c>
      <c r="JE28" s="67">
        <f t="shared" si="47"/>
        <v>2</v>
      </c>
      <c r="JF28" s="67">
        <f t="shared" si="48"/>
        <v>2</v>
      </c>
    </row>
    <row r="29">
      <c r="A29" s="103">
        <f>IFERROR(__xludf.DUMMYFUNCTION("""COMPUTED_VALUE"""),45926.64211269676)</f>
        <v>45926.64211</v>
      </c>
      <c r="B29" s="95" t="str">
        <f>IFERROR(__xludf.DUMMYFUNCTION("""COMPUTED_VALUE"""),"Nahnurizko nabhan farghali ")</f>
        <v>Nahnurizko nabhan farghali </v>
      </c>
      <c r="C29" s="96" t="str">
        <f>IFERROR(__xludf.DUMMYFUNCTION("""COMPUTED_VALUE"""),"A250009")</f>
        <v>A250009</v>
      </c>
      <c r="D29" s="96" t="str">
        <f>IFERROR(__xludf.DUMMYFUNCTION("""COMPUTED_VALUE"""),"MTs Putra")</f>
        <v>MTs Putra</v>
      </c>
      <c r="E29" s="96" t="str">
        <f>IFERROR(__xludf.DUMMYFUNCTION("""COMPUTED_VALUE"""),"Ya")</f>
        <v>Ya</v>
      </c>
      <c r="F29" s="95" t="str">
        <f>IFERROR(__xludf.DUMMYFUNCTION("""COMPUTED_VALUE"""),"B Saya ingin melakukan apa saja sebaik mungkin.")</f>
        <v>B Saya ingin melakukan apa saja sebaik mungkin.</v>
      </c>
      <c r="G29" s="95" t="str">
        <f>IFERROR(__xludf.DUMMYFUNCTION("""COMPUTED_VALUE"""),"A Saya ingin setiap tulisan saya teliti, rapi, dan tersusun dengan baik.")</f>
        <v>A Saya ingin setiap tulisan saya teliti, rapi, dan tersusun dengan baik.</v>
      </c>
      <c r="H29" s="95" t="str">
        <f>IFERROR(__xludf.DUMMYFUNCTION("""COMPUTED_VALUE"""),"A Saya ingin berbuat sesuai kata hati saya.")</f>
        <v>A Saya ingin berbuat sesuai kata hati saya.</v>
      </c>
      <c r="I29" s="95" t="str">
        <f>IFERROR(__xludf.DUMMYFUNCTION("""COMPUTED_VALUE"""),"B Saya ingin bisa melakukan dengan baik meskipun tugas yang sulit.")</f>
        <v>B Saya ingin bisa melakukan dengan baik meskipun tugas yang sulit.</v>
      </c>
      <c r="J29" s="95" t="str">
        <f>IFERROR(__xludf.DUMMYFUNCTION("""COMPUTED_VALUE"""),"B Saya ingin mengerjakan tugas sebaik mungkin.")</f>
        <v>B Saya ingin mengerjakan tugas sebaik mungkin.</v>
      </c>
      <c r="K29" s="95" t="str">
        <f>IFERROR(__xludf.DUMMYFUNCTION("""COMPUTED_VALUE"""),"B Saya ingin mengatakan telah melakukan dengan baik sesuatu tugas yang sulit.")</f>
        <v>B Saya ingin mengatakan telah melakukan dengan baik sesuatu tugas yang sulit.</v>
      </c>
      <c r="L29" s="95" t="str">
        <f>IFERROR(__xludf.DUMMYFUNCTION("""COMPUTED_VALUE"""),"B Saya ingin mengatakan telah melakukan dengan baik sesuatu tugas yang sulit")</f>
        <v>B Saya ingin mengatakan telah melakukan dengan baik sesuatu tugas yang sulit</v>
      </c>
      <c r="M29" s="95" t="str">
        <f>IFERROR(__xludf.DUMMYFUNCTION("""COMPUTED_VALUE"""),"A Saya suka berbicara tentang hal-hal yang telah berhasil saya lakukan.")</f>
        <v>A Saya suka berbicara tentang hal-hal yang telah berhasil saya lakukan.</v>
      </c>
      <c r="N29" s="95" t="str">
        <f>IFERROR(__xludf.DUMMYFUNCTION("""COMPUTED_VALUE"""),"A Saya suka pergi dengan pakaian rapi agar lebih menarik perhatian orang lain.")</f>
        <v>A Saya suka pergi dengan pakaian rapi agar lebih menarik perhatian orang lain.</v>
      </c>
      <c r="O29" s="95" t="str">
        <f>IFERROR(__xludf.DUMMYFUNCTION("""COMPUTED_VALUE"""),"B Saya suka melakukan tugas sebaik mungkin.")</f>
        <v>B Saya suka melakukan tugas sebaik mungkin.</v>
      </c>
      <c r="P29" s="95" t="str">
        <f>IFERROR(__xludf.DUMMYFUNCTION("""COMPUTED_VALUE"""),"B Saya ingin setiap belajar itu teratur dan direncanakan.")</f>
        <v>B Saya ingin setiap belajar itu teratur dan direncanakan.</v>
      </c>
      <c r="Q29" s="95" t="str">
        <f>IFERROR(__xludf.DUMMYFUNCTION("""COMPUTED_VALUE"""),"B Saya merencanakan keperluan yang dibutuhkan sebelum bepergian.")</f>
        <v>B Saya merencanakan keperluan yang dibutuhkan sebelum bepergian.</v>
      </c>
      <c r="R29" s="95" t="str">
        <f>IFERROR(__xludf.DUMMYFUNCTION("""COMPUTED_VALUE"""),"B Saya suka barang-barang saya tersusun rapi dan teratur.")</f>
        <v>B Saya suka barang-barang saya tersusun rapi dan teratur.</v>
      </c>
      <c r="S29" s="95" t="str">
        <f>IFERROR(__xludf.DUMMYFUNCTION("""COMPUTED_VALUE"""),"B Saya suka membuat perencanaan sebelum memulai tugas yang sulit.")</f>
        <v>B Saya suka membuat perencanaan sebelum memulai tugas yang sulit.</v>
      </c>
      <c r="T29" s="95" t="str">
        <f>IFERROR(__xludf.DUMMYFUNCTION("""COMPUTED_VALUE"""),"B Saya ingin agar hidup saya teratur sesuai cita-cita saya.")</f>
        <v>B Saya ingin agar hidup saya teratur sesuai cita-cita saya.</v>
      </c>
      <c r="U29" s="95" t="str">
        <f>IFERROR(__xludf.DUMMYFUNCTION("""COMPUTED_VALUE"""),"A Saya suka memberikan bantuan kepada teman-teman saya.")</f>
        <v>A Saya suka memberikan bantuan kepada teman-teman saya.</v>
      </c>
      <c r="V29" s="95" t="str">
        <f>IFERROR(__xludf.DUMMYFUNCTION("""COMPUTED_VALUE"""),"B Saya suka belajar saya teratur dan ada waktu-waktu tertentu untuk belajar.")</f>
        <v>B Saya suka belajar saya teratur dan ada waktu-waktu tertentu untuk belajar.</v>
      </c>
      <c r="W29" s="95" t="str">
        <f>IFERROR(__xludf.DUMMYFUNCTION("""COMPUTED_VALUE"""),"B Saya ingin kegiatan itu teratur dan direncanakan.")</f>
        <v>B Saya ingin kegiatan itu teratur dan direncanakan.</v>
      </c>
      <c r="X29" s="95" t="str">
        <f>IFERROR(__xludf.DUMMYFUNCTION("""COMPUTED_VALUE"""),"A Saya suka merencanakan dan mengatur setiap apa yang harus saya lakukan.")</f>
        <v>A Saya suka merencanakan dan mengatur setiap apa yang harus saya lakukan.</v>
      </c>
      <c r="Y29" s="95" t="str">
        <f>IFERROR(__xludf.DUMMYFUNCTION("""COMPUTED_VALUE"""),"A Saya suka menyelesaikan tugas-tugas yang membutuhkan ketrampilan dan usaha.")</f>
        <v>A Saya suka menyelesaikan tugas-tugas yang membutuhkan ketrampilan dan usaha.</v>
      </c>
      <c r="Z29" s="95" t="str">
        <f>IFERROR(__xludf.DUMMYFUNCTION("""COMPUTED_VALUE"""),"A Saya ingin berhasil dengan belajar yang saya lakukan.")</f>
        <v>A Saya ingin berhasil dengan belajar yang saya lakukan.</v>
      </c>
      <c r="AA29" s="95" t="str">
        <f>IFERROR(__xludf.DUMMYFUNCTION("""COMPUTED_VALUE"""),"A Saya suka menyelesaikan tugas yang telah saya rencanakan.")</f>
        <v>A Saya suka menyelesaikan tugas yang telah saya rencanakan.</v>
      </c>
      <c r="AB29" s="95" t="str">
        <f>IFERROR(__xludf.DUMMYFUNCTION("""COMPUTED_VALUE"""),"B Saya ingin menyelesaikan pekerjaan satu persatu sebelum memulai yang lain.")</f>
        <v>B Saya ingin menyelesaikan pekerjaan satu persatu sebelum memulai yang lain.</v>
      </c>
      <c r="AC29" s="95" t="str">
        <f>IFERROR(__xludf.DUMMYFUNCTION("""COMPUTED_VALUE"""),"A Saya suka menyelesaikan setiap tugas meskipun membutuhkan waktu lama.")</f>
        <v>A Saya suka menyelesaikan setiap tugas meskipun membutuhkan waktu lama.</v>
      </c>
      <c r="AD29" s="95" t="str">
        <f>IFERROR(__xludf.DUMMYFUNCTION("""COMPUTED_VALUE"""),"A Saya suka bermurah hati terhadap teman-teman saya.")</f>
        <v>A Saya suka bermurah hati terhadap teman-teman saya.</v>
      </c>
      <c r="AE29" s="95" t="str">
        <f>IFERROR(__xludf.DUMMYFUNCTION("""COMPUTED_VALUE"""),"A Saya ingin dianggap sebagai pemimpin oleh teman di kelompok.")</f>
        <v>A Saya ingin dianggap sebagai pemimpin oleh teman di kelompok.</v>
      </c>
      <c r="AF29" s="95" t="str">
        <f>IFERROR(__xludf.DUMMYFUNCTION("""COMPUTED_VALUE"""),"B Saya suka melakukan hal-hal dengan cara saya sendiri.")</f>
        <v>B Saya suka melakukan hal-hal dengan cara saya sendiri.</v>
      </c>
      <c r="AG29" s="95" t="str">
        <f>IFERROR(__xludf.DUMMYFUNCTION("""COMPUTED_VALUE"""),"B Saya ingin berhasil dengan tugas yang saya lakukan.")</f>
        <v>B Saya ingin berhasil dengan tugas yang saya lakukan.</v>
      </c>
      <c r="AH29" s="95" t="str">
        <f>IFERROR(__xludf.DUMMYFUNCTION("""COMPUTED_VALUE"""),"A Saya suka membaca buku-buku tentang pergaulan remaja.")</f>
        <v>A Saya suka membaca buku-buku tentang pergaulan remaja.</v>
      </c>
      <c r="AI29" s="95" t="str">
        <f>IFERROR(__xludf.DUMMYFUNCTION("""COMPUTED_VALUE"""),"B Saya suka melakukan kegiatan sesuai kondisi yang saya inginkan.")</f>
        <v>B Saya suka melakukan kegiatan sesuai kondisi yang saya inginkan.</v>
      </c>
      <c r="AJ29" s="95" t="str">
        <f>IFERROR(__xludf.DUMMYFUNCTION("""COMPUTED_VALUE"""),"B Saya suka bertahan menghadapi satu masalah meskipun belum tentu berhasil.")</f>
        <v>B Saya suka bertahan menghadapi satu masalah meskipun belum tentu berhasil.</v>
      </c>
      <c r="AK29" s="95" t="str">
        <f>IFERROR(__xludf.DUMMYFUNCTION("""COMPUTED_VALUE"""),"B Bila saya harus melakukan suatu tugas, saya ingin mengerjakan sampai selesai.")</f>
        <v>B Bila saya harus melakukan suatu tugas, saya ingin mengerjakan sampai selesai.</v>
      </c>
      <c r="AL29" s="95" t="str">
        <f>IFERROR(__xludf.DUMMYFUNCTION("""COMPUTED_VALUE"""),"B Saya ingin menghindarkan gangguan bila saya sedang belajar.")</f>
        <v>B Saya ingin menghindarkan gangguan bila saya sedang belajar.</v>
      </c>
      <c r="AM29" s="95" t="str">
        <f>IFERROR(__xludf.DUMMYFUNCTION("""COMPUTED_VALUE"""),"B Saya suka belajar sampai malam untuk menyelesaikan suatu tugas.")</f>
        <v>B Saya suka belajar sampai malam untuk menyelesaikan suatu tugas.</v>
      </c>
      <c r="AN29" s="95" t="str">
        <f>IFERROR(__xludf.DUMMYFUNCTION("""COMPUTED_VALUE"""),"A Saya tidak suka pada orang yang semena-mena.")</f>
        <v>A Saya tidak suka pada orang yang semena-mena.</v>
      </c>
      <c r="AO29" s="95" t="str">
        <f>IFERROR(__xludf.DUMMYFUNCTION("""COMPUTED_VALUE"""),"B Saya suka menyelesaikan setiap tugas meskipun membutuhkan waktu lama.")</f>
        <v>B Saya suka menyelesaikan setiap tugas meskipun membutuhkan waktu lama.</v>
      </c>
      <c r="AP29" s="95" t="str">
        <f>IFERROR(__xludf.DUMMYFUNCTION("""COMPUTED_VALUE"""),"A Saya ingin mengerjakannya tugas sampai selesai.")</f>
        <v>A Saya ingin mengerjakannya tugas sampai selesai.</v>
      </c>
      <c r="AQ29" s="95" t="str">
        <f>IFERROR(__xludf.DUMMYFUNCTION("""COMPUTED_VALUE"""),"B Bila saya harus melakukan suatu tugas, saya ingin mengerjakan sampai selesai.")</f>
        <v>B Bila saya harus melakukan suatu tugas, saya ingin mengerjakan sampai selesai.</v>
      </c>
      <c r="AR29" s="95" t="str">
        <f>IFERROR(__xludf.DUMMYFUNCTION("""COMPUTED_VALUE"""),"A Saya suka menyimpan catatan secara rapi.")</f>
        <v>A Saya suka menyimpan catatan secara rapi.</v>
      </c>
      <c r="AS29" s="95" t="str">
        <f>IFERROR(__xludf.DUMMYFUNCTION("""COMPUTED_VALUE"""),"B Saya suka belajar sampai malam untuk menyelesaikan suatu tugas.")</f>
        <v>B Saya suka belajar sampai malam untuk menyelesaikan suatu tugas.</v>
      </c>
      <c r="AT29" s="95" t="str">
        <f>IFERROR(__xludf.DUMMYFUNCTION("""COMPUTED_VALUE"""),"B Saya suka membantu orang lain yang menurut saya perlu dikasihani.")</f>
        <v>B Saya suka membantu orang lain yang menurut saya perlu dikasihani.</v>
      </c>
      <c r="AU29" s="95" t="str">
        <f>IFERROR(__xludf.DUMMYFUNCTION("""COMPUTED_VALUE"""),"A Saya ingin menyelesaikan pekerjaan satu persatu sebelum memulai yang lain.")</f>
        <v>A Saya ingin menyelesaikan pekerjaan satu persatu sebelum memulai yang lain.</v>
      </c>
      <c r="AV29" s="95" t="str">
        <f>IFERROR(__xludf.DUMMYFUNCTION("""COMPUTED_VALUE"""),"B Saya suka menolong teman-teman saya.")</f>
        <v>B Saya suka menolong teman-teman saya.</v>
      </c>
      <c r="AW29" s="95" t="str">
        <f>IFERROR(__xludf.DUMMYFUNCTION("""COMPUTED_VALUE"""),"A Saya ingin mengerjakan tugas sampai selesai.")</f>
        <v>A Saya ingin mengerjakan tugas sampai selesai.</v>
      </c>
      <c r="AX29" s="95" t="str">
        <f>IFERROR(__xludf.DUMMYFUNCTION("""COMPUTED_VALUE"""),"B Saya suka memaafkan teman-teman saya yang menyakiti hati saya.")</f>
        <v>B Saya suka memaafkan teman-teman saya yang menyakiti hati saya.</v>
      </c>
      <c r="AY29" s="95" t="str">
        <f>IFERROR(__xludf.DUMMYFUNCTION("""COMPUTED_VALUE"""),"B Saya suka menolong teman-teman saya apabila mereka dalam kesulitan.")</f>
        <v>B Saya suka menolong teman-teman saya apabila mereka dalam kesulitan.</v>
      </c>
      <c r="AZ29" s="95" t="str">
        <f>IFERROR(__xludf.DUMMYFUNCTION("""COMPUTED_VALUE"""),"B Saya suka menunjukkan simpati saya kepada teman-teman saya.")</f>
        <v>B Saya suka menunjukkan simpati saya kepada teman-teman saya.</v>
      </c>
      <c r="BA29" s="95" t="str">
        <f>IFERROR(__xludf.DUMMYFUNCTION("""COMPUTED_VALUE"""),"B Saya suka memperlakukan orang lain dengan baik dan ramah.")</f>
        <v>B Saya suka memperlakukan orang lain dengan baik dan ramah.</v>
      </c>
      <c r="BB29" s="95" t="str">
        <f>IFERROR(__xludf.DUMMYFUNCTION("""COMPUTED_VALUE"""),"B Saya suka bermurah hati terhadap teman-teman saya.")</f>
        <v>B Saya suka bermurah hati terhadap teman-teman saya.</v>
      </c>
      <c r="BC29" s="95" t="str">
        <f>IFERROR(__xludf.DUMMYFUNCTION("""COMPUTED_VALUE"""),"B Saya suka membantu orang lain yang menurut saya perlu dikasihani.")</f>
        <v>B Saya suka membantu orang lain yang menurut saya perlu dikasihani.</v>
      </c>
      <c r="BD29" s="95" t="str">
        <f>IFERROR(__xludf.DUMMYFUNCTION("""COMPUTED_VALUE"""),"B Saya suka bersikukuh dengan pendirian saya.")</f>
        <v>B Saya suka bersikukuh dengan pendirian saya.</v>
      </c>
      <c r="BE29" s="95" t="str">
        <f>IFERROR(__xludf.DUMMYFUNCTION("""COMPUTED_VALUE"""),"B Saya ingin orang lain melakukan apa yang saya kehendaki.")</f>
        <v>B Saya ingin orang lain melakukan apa yang saya kehendaki.</v>
      </c>
      <c r="BF29" s="95" t="str">
        <f>IFERROR(__xludf.DUMMYFUNCTION("""COMPUTED_VALUE"""),"B Bila saya dalam kelompok, saya ingin menentukan apa yang akan kita lakukan.")</f>
        <v>B Bila saya dalam kelompok, saya ingin menentukan apa yang akan kita lakukan.</v>
      </c>
      <c r="BG29" s="95" t="str">
        <f>IFERROR(__xludf.DUMMYFUNCTION("""COMPUTED_VALUE"""),"A Saya ingin teman-teman banyak menunjukkan rasa sayang mereka terhadap saya.")</f>
        <v>A Saya ingin teman-teman banyak menunjukkan rasa sayang mereka terhadap saya.</v>
      </c>
      <c r="BH29" s="95" t="str">
        <f>IFERROR(__xludf.DUMMYFUNCTION("""COMPUTED_VALUE"""),"A Saya suka menghindar dari situasi yang tidak saya harapkan.")</f>
        <v>A Saya suka menghindar dari situasi yang tidak saya harapkan.</v>
      </c>
      <c r="BI29" s="95" t="str">
        <f>IFERROR(__xludf.DUMMYFUNCTION("""COMPUTED_VALUE"""),"A Saya suka bermurah hati terhadap teman-teman saya.")</f>
        <v>A Saya suka bermurah hati terhadap teman-teman saya.</v>
      </c>
      <c r="BJ29" s="95" t="str">
        <f>IFERROR(__xludf.DUMMYFUNCTION("""COMPUTED_VALUE"""),"A Saya ingin mengerjakan tugas sampai selesai.")</f>
        <v>A Saya ingin mengerjakan tugas sampai selesai.</v>
      </c>
      <c r="BK29" s="95" t="str">
        <f>IFERROR(__xludf.DUMMYFUNCTION("""COMPUTED_VALUE"""),"A Saya ingin menyelesaikan pekerjaan satu persatu sebelum memulai yang lain.")</f>
        <v>A Saya ingin menyelesaikan pekerjaan satu persatu sebelum memulai yang lain.</v>
      </c>
      <c r="BL29" s="95" t="str">
        <f>IFERROR(__xludf.DUMMYFUNCTION("""COMPUTED_VALUE"""),"A Saya suka belajar saya teratur dan ada waktu-waktu tertentu untuk belajar.")</f>
        <v>A Saya suka belajar saya teratur dan ada waktu-waktu tertentu untuk belajar.</v>
      </c>
      <c r="BM29" s="95" t="str">
        <f>IFERROR(__xludf.DUMMYFUNCTION("""COMPUTED_VALUE"""),"A Saya suka melakukan pekerjaan sebaik mungkin.")</f>
        <v>A Saya suka melakukan pekerjaan sebaik mungkin.</v>
      </c>
      <c r="BN29" s="95" t="str">
        <f>IFERROR(__xludf.DUMMYFUNCTION("""COMPUTED_VALUE"""),"B Saya ingin teman-teman memberi dorongan bila saya menghadapi kegagalan.")</f>
        <v>B Saya ingin teman-teman memberi dorongan bila saya menghadapi kegagalan.</v>
      </c>
      <c r="BO29" s="95" t="str">
        <f>IFERROR(__xludf.DUMMYFUNCTION("""COMPUTED_VALUE"""),"A Saya suka membuat perencanaan sebelum memulai belajar yang sulit.")</f>
        <v>A Saya suka membuat perencanaan sebelum memulai belajar yang sulit.</v>
      </c>
      <c r="BP29" s="95" t="str">
        <f>IFERROR(__xludf.DUMMYFUNCTION("""COMPUTED_VALUE"""),"A Saya ingin menyelesaikan sesuatu yang sangat penting artinya.")</f>
        <v>A Saya ingin menyelesaikan sesuatu yang sangat penting artinya.</v>
      </c>
      <c r="BQ29" s="95" t="str">
        <f>IFERROR(__xludf.DUMMYFUNCTION("""COMPUTED_VALUE"""),"A Saya ingin mengerjakannya tugas sampai selesai.")</f>
        <v>A Saya ingin mengerjakannya tugas sampai selesai.</v>
      </c>
      <c r="BR29" s="95" t="str">
        <f>IFERROR(__xludf.DUMMYFUNCTION("""COMPUTED_VALUE"""),"A Saya suka memaafkan teman-teman saya yang menyakiti hati saya.")</f>
        <v>A Saya suka memaafkan teman-teman saya yang menyakiti hati saya.</v>
      </c>
      <c r="BS29" s="95" t="str">
        <f>IFERROR(__xludf.DUMMYFUNCTION("""COMPUTED_VALUE"""),"B Saya ingin teman-teman saya membantu saya bila saya mengalami kesulitan")</f>
        <v>B Saya ingin teman-teman saya membantu saya bila saya mengalami kesulitan</v>
      </c>
      <c r="BT29" s="95" t="str">
        <f>IFERROR(__xludf.DUMMYFUNCTION("""COMPUTED_VALUE"""),"B Saya ingin teman-teman banyak menunjukkan rasa sayang mereka terhadap saya.")</f>
        <v>B Saya ingin teman-teman banyak menunjukkan rasa sayang mereka terhadap saya.</v>
      </c>
      <c r="BU29" s="95" t="str">
        <f>IFERROR(__xludf.DUMMYFUNCTION("""COMPUTED_VALUE"""),"B Saya ingin agar teman-teman saya merasa kasihan pada saya apabila saya sakit.")</f>
        <v>B Saya ingin agar teman-teman saya merasa kasihan pada saya apabila saya sakit.</v>
      </c>
      <c r="BV29" s="95" t="str">
        <f>IFERROR(__xludf.DUMMYFUNCTION("""COMPUTED_VALUE"""),"B Saya ingin teman-teman dengan gembira memberikan pertolongan kepada saya.")</f>
        <v>B Saya ingin teman-teman dengan gembira memberikan pertolongan kepada saya.</v>
      </c>
      <c r="BW29" s="95" t="str">
        <f>IFERROR(__xludf.DUMMYFUNCTION("""COMPUTED_VALUE"""),"B Saya ingin diperlakukan dengan baik oleh teman-teman saya.")</f>
        <v>B Saya ingin diperlakukan dengan baik oleh teman-teman saya.</v>
      </c>
      <c r="BX29" s="95" t="str">
        <f>IFERROR(__xludf.DUMMYFUNCTION("""COMPUTED_VALUE"""),"B Saya kadang-kadang suka melakukan hal-hal yang dapat dipuji oleh orang lain.")</f>
        <v>B Saya kadang-kadang suka melakukan hal-hal yang dapat dipuji oleh orang lain.</v>
      </c>
      <c r="BY29" s="95" t="str">
        <f>IFERROR(__xludf.DUMMYFUNCTION("""COMPUTED_VALUE"""),"A Saya suka melamun atau membayangkan hal-hal yang tidak jelas.")</f>
        <v>A Saya suka melamun atau membayangkan hal-hal yang tidak jelas.</v>
      </c>
      <c r="BZ29" s="95" t="str">
        <f>IFERROR(__xludf.DUMMYFUNCTION("""COMPUTED_VALUE"""),"A Saya suka berkata yang artinya sulit dipahami oleh orang lain.")</f>
        <v>A Saya suka berkata yang artinya sulit dipahami oleh orang lain.</v>
      </c>
      <c r="CA29" s="95" t="str">
        <f>IFERROR(__xludf.DUMMYFUNCTION("""COMPUTED_VALUE"""),"A Saya ingin teman-teman dengan gembira memberikan pertolongan kepada saya.")</f>
        <v>A Saya ingin teman-teman dengan gembira memberikan pertolongan kepada saya.</v>
      </c>
      <c r="CB29" s="95" t="str">
        <f>IFERROR(__xludf.DUMMYFUNCTION("""COMPUTED_VALUE"""),"B Saya suka berbicara tentang hal-hal yang telah saya capai.")</f>
        <v>B Saya suka berbicara tentang hal-hal yang telah saya capai.</v>
      </c>
      <c r="CC29" s="95" t="str">
        <f>IFERROR(__xludf.DUMMYFUNCTION("""COMPUTED_VALUE"""),"A Apabila saya berkumpul dalam kelompok, saya ingin dihargai teman-teman.")</f>
        <v>A Apabila saya berkumpul dalam kelompok, saya ingin dihargai teman-teman.</v>
      </c>
      <c r="CD29" s="95" t="str">
        <f>IFERROR(__xludf.DUMMYFUNCTION("""COMPUTED_VALUE"""),"A Saya suka menyelesaikan setiap tugas meskipun membutuhkan waktu lama.")</f>
        <v>A Saya suka menyelesaikan setiap tugas meskipun membutuhkan waktu lama.</v>
      </c>
      <c r="CE29" s="95" t="str">
        <f>IFERROR(__xludf.DUMMYFUNCTION("""COMPUTED_VALUE"""),"A Saya suka menyelesaikan setiap tugas belajar yang telah saya mulai.")</f>
        <v>A Saya suka menyelesaikan setiap tugas belajar yang telah saya mulai.</v>
      </c>
      <c r="CF29" s="95" t="str">
        <f>IFERROR(__xludf.DUMMYFUNCTION("""COMPUTED_VALUE"""),"A Saya ingin agar hidup saya teratur sesuai cita-cita saya.")</f>
        <v>A Saya ingin agar hidup saya teratur sesuai cita-cita saya.</v>
      </c>
      <c r="CG29" s="95" t="str">
        <f>IFERROR(__xludf.DUMMYFUNCTION("""COMPUTED_VALUE"""),"A Saya ingin berhasil dalam apa yang saya lakukan.")</f>
        <v>A Saya ingin berhasil dalam apa yang saya lakukan.</v>
      </c>
      <c r="CH29" s="95" t="str">
        <f>IFERROR(__xludf.DUMMYFUNCTION("""COMPUTED_VALUE"""),"A Saya ingin bisa melakukan dengan baik sesuatu pekerjaan sulit.")</f>
        <v>A Saya ingin bisa melakukan dengan baik sesuatu pekerjaan sulit.</v>
      </c>
      <c r="CI29" s="95" t="str">
        <f>IFERROR(__xludf.DUMMYFUNCTION("""COMPUTED_VALUE"""),"A Saya suka belajar saya teratur dan ada waktu-waktu tertentu untuk belajar.")</f>
        <v>A Saya suka belajar saya teratur dan ada waktu-waktu tertentu untuk belajar.</v>
      </c>
      <c r="CJ29" s="95" t="str">
        <f>IFERROR(__xludf.DUMMYFUNCTION("""COMPUTED_VALUE"""),"A Saya ingin tidak tergantung dari orang lain terhadap apa yang akan saya lakukan.")</f>
        <v>A Saya ingin tidak tergantung dari orang lain terhadap apa yang akan saya lakukan.</v>
      </c>
      <c r="CK29" s="95" t="str">
        <f>IFERROR(__xludf.DUMMYFUNCTION("""COMPUTED_VALUE"""),"A Saya suka bertahan menghadapi satu masalah, meskipun belum tentu berhasil.")</f>
        <v>A Saya suka bertahan menghadapi satu masalah, meskipun belum tentu berhasil.</v>
      </c>
      <c r="CL29" s="95" t="str">
        <f>IFERROR(__xludf.DUMMYFUNCTION("""COMPUTED_VALUE"""),"A Saya suka menolong teman-teman saya, apabila mereka dalam kesulitan.")</f>
        <v>A Saya suka menolong teman-teman saya, apabila mereka dalam kesulitan.</v>
      </c>
      <c r="CM29" s="95" t="str">
        <f>IFERROR(__xludf.DUMMYFUNCTION("""COMPUTED_VALUE"""),"B Saya merasa kagum pada seseorang.")</f>
        <v>B Saya merasa kagum pada seseorang.</v>
      </c>
      <c r="CN29" s="95" t="str">
        <f>IFERROR(__xludf.DUMMYFUNCTION("""COMPUTED_VALUE"""),"A Saya ingin diperlakukan dengan baik oleh teman-teman saya.")</f>
        <v>A Saya ingin diperlakukan dengan baik oleh teman-teman saya.</v>
      </c>
      <c r="CO29" s="95" t="str">
        <f>IFERROR(__xludf.DUMMYFUNCTION("""COMPUTED_VALUE"""),"B Saya suka memuji orang yang saya kagumi.")</f>
        <v>B Saya suka memuji orang yang saya kagumi.</v>
      </c>
      <c r="CP29" s="95" t="str">
        <f>IFERROR(__xludf.DUMMYFUNCTION("""COMPUTED_VALUE"""),"A Saya suka melamun atau membayangkan sesuatu sendirian.")</f>
        <v>A Saya suka melamun atau membayangkan sesuatu sendirian.</v>
      </c>
      <c r="CQ29" s="95" t="str">
        <f>IFERROR(__xludf.DUMMYFUNCTION("""COMPUTED_VALUE"""),"B Saya merasa kagum pada seseorang.")</f>
        <v>B Saya merasa kagum pada seseorang.</v>
      </c>
      <c r="CR29" s="95" t="str">
        <f>IFERROR(__xludf.DUMMYFUNCTION("""COMPUTED_VALUE"""),"B Saya rasanya ingin mengecam seseorang bila orang itu menjengkelkan.")</f>
        <v>B Saya rasanya ingin mengecam seseorang bila orang itu menjengkelkan.</v>
      </c>
      <c r="CS29" s="95" t="str">
        <f>IFERROR(__xludf.DUMMYFUNCTION("""COMPUTED_VALUE"""),"A Saya ingin terlihat menarik di depan teman-teman saya.")</f>
        <v>A Saya ingin terlihat menarik di depan teman-teman saya.</v>
      </c>
      <c r="CT29" s="95" t="str">
        <f>IFERROR(__xludf.DUMMYFUNCTION("""COMPUTED_VALUE"""),"A Saya ingin orang-orang memperhatikan komentar mengenai penampilan saya.")</f>
        <v>A Saya ingin orang-orang memperhatikan komentar mengenai penampilan saya.</v>
      </c>
      <c r="CU29" s="95" t="str">
        <f>IFERROR(__xludf.DUMMYFUNCTION("""COMPUTED_VALUE"""),"A Saya ingin diperlakukan dengan ramah oleh teman-teman saya.")</f>
        <v>A Saya ingin diperlakukan dengan ramah oleh teman-teman saya.</v>
      </c>
      <c r="CV29" s="95" t="str">
        <f>IFERROR(__xludf.DUMMYFUNCTION("""COMPUTED_VALUE"""),"A Saya ingin ditunjuk atau dipilih sebagai ketua dalam suatu kelompok.")</f>
        <v>A Saya ingin ditunjuk atau dipilih sebagai ketua dalam suatu kelompok.</v>
      </c>
      <c r="CW29" s="95" t="str">
        <f>IFERROR(__xludf.DUMMYFUNCTION("""COMPUTED_VALUE"""),"A Saya suka menolong teman-teman saya, apabila mereka dalam kesulitan.")</f>
        <v>A Saya suka menolong teman-teman saya, apabila mereka dalam kesulitan.</v>
      </c>
      <c r="CX29" s="95" t="str">
        <f>IFERROR(__xludf.DUMMYFUNCTION("""COMPUTED_VALUE"""),"A Saya suka belajar sampai malam untuk menyelesaikan suatu tugas.")</f>
        <v>A Saya suka belajar sampai malam untuk menyelesaikan suatu tugas.</v>
      </c>
      <c r="CY29" s="95" t="str">
        <f>IFERROR(__xludf.DUMMYFUNCTION("""COMPUTED_VALUE"""),"A Saya ingin tidak tergantung dari orang lain terhadap apa yang akan saya lakukan.")</f>
        <v>A Saya ingin tidak tergantung dari orang lain terhadap apa yang akan saya lakukan.</v>
      </c>
      <c r="CZ29" s="95" t="str">
        <f>IFERROR(__xludf.DUMMYFUNCTION("""COMPUTED_VALUE"""),"A Saya suka merencanakan dan mengatur setiap pekerjaan yang harus saya lakukan.")</f>
        <v>A Saya suka merencanakan dan mengatur setiap pekerjaan yang harus saya lakukan.</v>
      </c>
      <c r="DA29" s="95" t="str">
        <f>IFERROR(__xludf.DUMMYFUNCTION("""COMPUTED_VALUE"""),"A Saya ingin melakukan apa saja sebaik mungkin.")</f>
        <v>A Saya ingin melakukan apa saja sebaik mungkin.</v>
      </c>
      <c r="DB29" s="89" t="s">
        <v>23</v>
      </c>
      <c r="DC29" s="97" t="str">
        <f t="shared" ref="DC29:GX29" si="74">LEFT(F29,1)</f>
        <v>B</v>
      </c>
      <c r="DD29" s="97" t="str">
        <f t="shared" si="74"/>
        <v>A</v>
      </c>
      <c r="DE29" s="97" t="str">
        <f t="shared" si="74"/>
        <v>A</v>
      </c>
      <c r="DF29" s="97" t="str">
        <f t="shared" si="74"/>
        <v>B</v>
      </c>
      <c r="DG29" s="97" t="str">
        <f t="shared" si="74"/>
        <v>B</v>
      </c>
      <c r="DH29" s="97" t="str">
        <f t="shared" si="74"/>
        <v>B</v>
      </c>
      <c r="DI29" s="97" t="str">
        <f t="shared" si="74"/>
        <v>B</v>
      </c>
      <c r="DJ29" s="97" t="str">
        <f t="shared" si="74"/>
        <v>A</v>
      </c>
      <c r="DK29" s="97" t="str">
        <f t="shared" si="74"/>
        <v>A</v>
      </c>
      <c r="DL29" s="97" t="str">
        <f t="shared" si="74"/>
        <v>B</v>
      </c>
      <c r="DM29" s="97" t="str">
        <f t="shared" si="74"/>
        <v>B</v>
      </c>
      <c r="DN29" s="97" t="str">
        <f t="shared" si="74"/>
        <v>B</v>
      </c>
      <c r="DO29" s="97" t="str">
        <f t="shared" si="74"/>
        <v>B</v>
      </c>
      <c r="DP29" s="97" t="str">
        <f t="shared" si="74"/>
        <v>B</v>
      </c>
      <c r="DQ29" s="97" t="str">
        <f t="shared" si="74"/>
        <v>B</v>
      </c>
      <c r="DR29" s="97" t="str">
        <f t="shared" si="74"/>
        <v>A</v>
      </c>
      <c r="DS29" s="97" t="str">
        <f t="shared" si="74"/>
        <v>B</v>
      </c>
      <c r="DT29" s="97" t="str">
        <f t="shared" si="74"/>
        <v>B</v>
      </c>
      <c r="DU29" s="97" t="str">
        <f t="shared" si="74"/>
        <v>A</v>
      </c>
      <c r="DV29" s="97" t="str">
        <f t="shared" si="74"/>
        <v>A</v>
      </c>
      <c r="DW29" s="97" t="str">
        <f t="shared" si="74"/>
        <v>A</v>
      </c>
      <c r="DX29" s="97" t="str">
        <f t="shared" si="74"/>
        <v>A</v>
      </c>
      <c r="DY29" s="97" t="str">
        <f t="shared" si="74"/>
        <v>B</v>
      </c>
      <c r="DZ29" s="97" t="str">
        <f t="shared" si="74"/>
        <v>A</v>
      </c>
      <c r="EA29" s="97" t="str">
        <f t="shared" si="74"/>
        <v>A</v>
      </c>
      <c r="EB29" s="97" t="str">
        <f t="shared" si="74"/>
        <v>A</v>
      </c>
      <c r="EC29" s="97" t="str">
        <f t="shared" si="74"/>
        <v>B</v>
      </c>
      <c r="ED29" s="97" t="str">
        <f t="shared" si="74"/>
        <v>B</v>
      </c>
      <c r="EE29" s="97" t="str">
        <f t="shared" si="74"/>
        <v>A</v>
      </c>
      <c r="EF29" s="97" t="str">
        <f t="shared" si="74"/>
        <v>B</v>
      </c>
      <c r="EG29" s="97" t="str">
        <f t="shared" si="74"/>
        <v>B</v>
      </c>
      <c r="EH29" s="97" t="str">
        <f t="shared" si="74"/>
        <v>B</v>
      </c>
      <c r="EI29" s="97" t="str">
        <f t="shared" si="74"/>
        <v>B</v>
      </c>
      <c r="EJ29" s="97" t="str">
        <f t="shared" si="74"/>
        <v>B</v>
      </c>
      <c r="EK29" s="97" t="str">
        <f t="shared" si="74"/>
        <v>A</v>
      </c>
      <c r="EL29" s="97" t="str">
        <f t="shared" si="74"/>
        <v>B</v>
      </c>
      <c r="EM29" s="97" t="str">
        <f t="shared" si="74"/>
        <v>A</v>
      </c>
      <c r="EN29" s="97" t="str">
        <f t="shared" si="74"/>
        <v>B</v>
      </c>
      <c r="EO29" s="97" t="str">
        <f t="shared" si="74"/>
        <v>A</v>
      </c>
      <c r="EP29" s="97" t="str">
        <f t="shared" si="74"/>
        <v>B</v>
      </c>
      <c r="EQ29" s="97" t="str">
        <f t="shared" si="74"/>
        <v>B</v>
      </c>
      <c r="ER29" s="97" t="str">
        <f t="shared" si="74"/>
        <v>A</v>
      </c>
      <c r="ES29" s="97" t="str">
        <f t="shared" si="74"/>
        <v>B</v>
      </c>
      <c r="ET29" s="97" t="str">
        <f t="shared" si="74"/>
        <v>A</v>
      </c>
      <c r="EU29" s="97" t="str">
        <f t="shared" si="74"/>
        <v>B</v>
      </c>
      <c r="EV29" s="97" t="str">
        <f t="shared" si="74"/>
        <v>B</v>
      </c>
      <c r="EW29" s="97" t="str">
        <f t="shared" si="74"/>
        <v>B</v>
      </c>
      <c r="EX29" s="97" t="str">
        <f t="shared" si="74"/>
        <v>B</v>
      </c>
      <c r="EY29" s="97" t="str">
        <f t="shared" si="74"/>
        <v>B</v>
      </c>
      <c r="EZ29" s="97" t="str">
        <f t="shared" si="74"/>
        <v>B</v>
      </c>
      <c r="FA29" s="97" t="str">
        <f t="shared" si="74"/>
        <v>B</v>
      </c>
      <c r="FB29" s="97" t="str">
        <f t="shared" si="74"/>
        <v>B</v>
      </c>
      <c r="FC29" s="97" t="str">
        <f t="shared" si="74"/>
        <v>B</v>
      </c>
      <c r="FD29" s="97" t="str">
        <f t="shared" si="74"/>
        <v>A</v>
      </c>
      <c r="FE29" s="97" t="str">
        <f t="shared" si="74"/>
        <v>A</v>
      </c>
      <c r="FF29" s="97" t="str">
        <f t="shared" si="74"/>
        <v>A</v>
      </c>
      <c r="FG29" s="97" t="str">
        <f t="shared" si="74"/>
        <v>A</v>
      </c>
      <c r="FH29" s="97" t="str">
        <f t="shared" si="74"/>
        <v>A</v>
      </c>
      <c r="FI29" s="97" t="str">
        <f t="shared" si="74"/>
        <v>A</v>
      </c>
      <c r="FJ29" s="97" t="str">
        <f t="shared" si="74"/>
        <v>A</v>
      </c>
      <c r="FK29" s="97" t="str">
        <f t="shared" si="74"/>
        <v>B</v>
      </c>
      <c r="FL29" s="97" t="str">
        <f t="shared" si="74"/>
        <v>A</v>
      </c>
      <c r="FM29" s="97" t="str">
        <f t="shared" si="74"/>
        <v>A</v>
      </c>
      <c r="FN29" s="97" t="str">
        <f t="shared" si="74"/>
        <v>A</v>
      </c>
      <c r="FO29" s="97" t="str">
        <f t="shared" si="74"/>
        <v>A</v>
      </c>
      <c r="FP29" s="97" t="str">
        <f t="shared" si="74"/>
        <v>B</v>
      </c>
      <c r="FQ29" s="97" t="str">
        <f t="shared" si="74"/>
        <v>B</v>
      </c>
      <c r="FR29" s="97" t="str">
        <f t="shared" si="74"/>
        <v>B</v>
      </c>
      <c r="FS29" s="97" t="str">
        <f t="shared" si="74"/>
        <v>B</v>
      </c>
      <c r="FT29" s="97" t="str">
        <f t="shared" si="74"/>
        <v>B</v>
      </c>
      <c r="FU29" s="97" t="str">
        <f t="shared" si="74"/>
        <v>B</v>
      </c>
      <c r="FV29" s="97" t="str">
        <f t="shared" si="74"/>
        <v>A</v>
      </c>
      <c r="FW29" s="97" t="str">
        <f t="shared" si="74"/>
        <v>A</v>
      </c>
      <c r="FX29" s="97" t="str">
        <f t="shared" si="74"/>
        <v>A</v>
      </c>
      <c r="FY29" s="97" t="str">
        <f t="shared" si="74"/>
        <v>B</v>
      </c>
      <c r="FZ29" s="97" t="str">
        <f t="shared" si="74"/>
        <v>A</v>
      </c>
      <c r="GA29" s="97" t="str">
        <f t="shared" si="74"/>
        <v>A</v>
      </c>
      <c r="GB29" s="97" t="str">
        <f t="shared" si="74"/>
        <v>A</v>
      </c>
      <c r="GC29" s="97" t="str">
        <f t="shared" si="74"/>
        <v>A</v>
      </c>
      <c r="GD29" s="97" t="str">
        <f t="shared" si="74"/>
        <v>A</v>
      </c>
      <c r="GE29" s="97" t="str">
        <f t="shared" si="74"/>
        <v>A</v>
      </c>
      <c r="GF29" s="97" t="str">
        <f t="shared" si="74"/>
        <v>A</v>
      </c>
      <c r="GG29" s="97" t="str">
        <f t="shared" si="74"/>
        <v>A</v>
      </c>
      <c r="GH29" s="97" t="str">
        <f t="shared" si="74"/>
        <v>A</v>
      </c>
      <c r="GI29" s="97" t="str">
        <f t="shared" si="74"/>
        <v>A</v>
      </c>
      <c r="GJ29" s="97" t="str">
        <f t="shared" si="74"/>
        <v>B</v>
      </c>
      <c r="GK29" s="97" t="str">
        <f t="shared" si="74"/>
        <v>A</v>
      </c>
      <c r="GL29" s="97" t="str">
        <f t="shared" si="74"/>
        <v>B</v>
      </c>
      <c r="GM29" s="97" t="str">
        <f t="shared" si="74"/>
        <v>A</v>
      </c>
      <c r="GN29" s="97" t="str">
        <f t="shared" si="74"/>
        <v>B</v>
      </c>
      <c r="GO29" s="97" t="str">
        <f t="shared" si="74"/>
        <v>B</v>
      </c>
      <c r="GP29" s="97" t="str">
        <f t="shared" si="74"/>
        <v>A</v>
      </c>
      <c r="GQ29" s="97" t="str">
        <f t="shared" si="74"/>
        <v>A</v>
      </c>
      <c r="GR29" s="97" t="str">
        <f t="shared" si="74"/>
        <v>A</v>
      </c>
      <c r="GS29" s="97" t="str">
        <f t="shared" si="74"/>
        <v>A</v>
      </c>
      <c r="GT29" s="97" t="str">
        <f t="shared" si="74"/>
        <v>A</v>
      </c>
      <c r="GU29" s="97" t="str">
        <f t="shared" si="74"/>
        <v>A</v>
      </c>
      <c r="GV29" s="97" t="str">
        <f t="shared" si="74"/>
        <v>A</v>
      </c>
      <c r="GW29" s="97" t="str">
        <f t="shared" si="74"/>
        <v>A</v>
      </c>
      <c r="GX29" s="97" t="str">
        <f t="shared" si="74"/>
        <v>A</v>
      </c>
      <c r="GY29" s="98"/>
      <c r="GZ29" s="97">
        <f t="shared" si="3"/>
        <v>53</v>
      </c>
      <c r="HA29" s="97">
        <f t="shared" si="4"/>
        <v>47</v>
      </c>
      <c r="HB29" s="90">
        <f t="shared" si="5"/>
        <v>100</v>
      </c>
      <c r="HC29" s="99"/>
      <c r="HD29" s="97">
        <f t="shared" si="6"/>
        <v>6</v>
      </c>
      <c r="HE29" s="97">
        <f t="shared" si="7"/>
        <v>5</v>
      </c>
      <c r="HF29" s="90">
        <f t="shared" si="8"/>
        <v>11</v>
      </c>
      <c r="HG29" s="99"/>
      <c r="HH29" s="97">
        <f t="shared" si="9"/>
        <v>9</v>
      </c>
      <c r="HI29" s="97">
        <f t="shared" si="10"/>
        <v>7</v>
      </c>
      <c r="HJ29" s="90">
        <f t="shared" si="11"/>
        <v>16</v>
      </c>
      <c r="HK29" s="99"/>
      <c r="HL29" s="97">
        <f t="shared" si="12"/>
        <v>6</v>
      </c>
      <c r="HM29" s="97">
        <f t="shared" si="13"/>
        <v>4</v>
      </c>
      <c r="HN29" s="90">
        <f t="shared" si="14"/>
        <v>10</v>
      </c>
      <c r="HO29" s="99"/>
      <c r="HP29" s="97">
        <f t="shared" si="15"/>
        <v>7</v>
      </c>
      <c r="HQ29" s="97">
        <f t="shared" si="16"/>
        <v>7</v>
      </c>
      <c r="HR29" s="90">
        <f t="shared" si="17"/>
        <v>14</v>
      </c>
      <c r="HS29" s="99"/>
      <c r="HT29" s="97">
        <f t="shared" si="18"/>
        <v>7</v>
      </c>
      <c r="HU29" s="97">
        <f t="shared" si="19"/>
        <v>8</v>
      </c>
      <c r="HV29" s="90">
        <f t="shared" si="20"/>
        <v>15</v>
      </c>
      <c r="HW29" s="99"/>
      <c r="HX29" s="97">
        <f t="shared" si="21"/>
        <v>3</v>
      </c>
      <c r="HY29" s="97">
        <f t="shared" si="22"/>
        <v>3</v>
      </c>
      <c r="HZ29" s="90">
        <f t="shared" si="23"/>
        <v>6</v>
      </c>
      <c r="IA29" s="99"/>
      <c r="IB29" s="97">
        <f t="shared" si="24"/>
        <v>4</v>
      </c>
      <c r="IC29" s="97">
        <f t="shared" si="25"/>
        <v>6</v>
      </c>
      <c r="ID29" s="90">
        <f t="shared" si="26"/>
        <v>10</v>
      </c>
      <c r="IE29" s="99"/>
      <c r="IF29" s="97">
        <f t="shared" si="27"/>
        <v>2</v>
      </c>
      <c r="IG29" s="97">
        <f t="shared" si="28"/>
        <v>2</v>
      </c>
      <c r="IH29" s="90">
        <f t="shared" si="29"/>
        <v>4</v>
      </c>
      <c r="II29" s="99"/>
      <c r="IJ29" s="97">
        <f t="shared" si="30"/>
        <v>4</v>
      </c>
      <c r="IK29" s="97">
        <f t="shared" si="31"/>
        <v>3</v>
      </c>
      <c r="IL29" s="90">
        <f t="shared" si="32"/>
        <v>7</v>
      </c>
      <c r="IM29" s="99"/>
      <c r="IN29" s="97">
        <f t="shared" si="33"/>
        <v>0</v>
      </c>
      <c r="IO29" s="97">
        <f t="shared" si="34"/>
        <v>1</v>
      </c>
      <c r="IP29" s="90">
        <f t="shared" si="35"/>
        <v>1</v>
      </c>
      <c r="IQ29" s="99"/>
      <c r="IR29" s="99"/>
      <c r="IS29" s="100">
        <f t="shared" si="36"/>
        <v>11</v>
      </c>
      <c r="IT29" s="100">
        <f t="shared" si="37"/>
        <v>16</v>
      </c>
      <c r="IU29" s="100">
        <f t="shared" si="38"/>
        <v>10</v>
      </c>
      <c r="IV29" s="100">
        <f t="shared" si="39"/>
        <v>14</v>
      </c>
      <c r="IW29" s="100">
        <f t="shared" si="40"/>
        <v>15</v>
      </c>
      <c r="IX29" s="100">
        <f t="shared" si="41"/>
        <v>6</v>
      </c>
      <c r="IY29" s="100">
        <f t="shared" si="42"/>
        <v>10</v>
      </c>
      <c r="IZ29" s="100">
        <f t="shared" si="43"/>
        <v>4</v>
      </c>
      <c r="JA29" s="100">
        <f t="shared" si="44"/>
        <v>7</v>
      </c>
      <c r="JB29" s="101">
        <f t="shared" si="45"/>
        <v>1</v>
      </c>
      <c r="JC29" s="102">
        <f t="shared" si="46"/>
        <v>94</v>
      </c>
      <c r="JD29" s="67">
        <f t="shared" si="50"/>
        <v>0</v>
      </c>
      <c r="JE29" s="67">
        <f t="shared" si="47"/>
        <v>1</v>
      </c>
      <c r="JF29" s="67">
        <f t="shared" si="48"/>
        <v>1</v>
      </c>
    </row>
    <row r="30">
      <c r="A30" s="103">
        <f>IFERROR(__xludf.DUMMYFUNCTION("""COMPUTED_VALUE"""),45926.675640208334)</f>
        <v>45926.67564</v>
      </c>
      <c r="B30" s="95" t="str">
        <f>IFERROR(__xludf.DUMMYFUNCTION("""COMPUTED_VALUE"""),"Widya Meilani Zahra")</f>
        <v>Widya Meilani Zahra</v>
      </c>
      <c r="C30" s="96" t="str">
        <f>IFERROR(__xludf.DUMMYFUNCTION("""COMPUTED_VALUE"""),"E250001")</f>
        <v>E250001</v>
      </c>
      <c r="D30" s="96" t="str">
        <f>IFERROR(__xludf.DUMMYFUNCTION("""COMPUTED_VALUE"""),"IL Putri")</f>
        <v>IL Putri</v>
      </c>
      <c r="E30" s="96" t="str">
        <f>IFERROR(__xludf.DUMMYFUNCTION("""COMPUTED_VALUE"""),"Ya")</f>
        <v>Ya</v>
      </c>
      <c r="F30" s="95" t="str">
        <f>IFERROR(__xludf.DUMMYFUNCTION("""COMPUTED_VALUE"""),"B Saya ingin melakukan apa saja sebaik mungkin.")</f>
        <v>B Saya ingin melakukan apa saja sebaik mungkin.</v>
      </c>
      <c r="G30" s="95" t="str">
        <f>IFERROR(__xludf.DUMMYFUNCTION("""COMPUTED_VALUE"""),"A Saya ingin setiap tulisan saya teliti, rapi, dan tersusun dengan baik.")</f>
        <v>A Saya ingin setiap tulisan saya teliti, rapi, dan tersusun dengan baik.</v>
      </c>
      <c r="H30" s="95" t="str">
        <f>IFERROR(__xludf.DUMMYFUNCTION("""COMPUTED_VALUE"""),"A Saya ingin berbuat sesuai kata hati saya.")</f>
        <v>A Saya ingin berbuat sesuai kata hati saya.</v>
      </c>
      <c r="I30" s="95" t="str">
        <f>IFERROR(__xludf.DUMMYFUNCTION("""COMPUTED_VALUE"""),"B Saya ingin bisa melakukan dengan baik meskipun tugas yang sulit.")</f>
        <v>B Saya ingin bisa melakukan dengan baik meskipun tugas yang sulit.</v>
      </c>
      <c r="J30" s="95" t="str">
        <f>IFERROR(__xludf.DUMMYFUNCTION("""COMPUTED_VALUE"""),"A Saya suka membantu teman-teman saya apabila mereka mengalami kesulitan.")</f>
        <v>A Saya suka membantu teman-teman saya apabila mereka mengalami kesulitan.</v>
      </c>
      <c r="K30" s="95" t="str">
        <f>IFERROR(__xludf.DUMMYFUNCTION("""COMPUTED_VALUE"""),"A Saya ingin menjadi pemimpin dalam suatu kelompok.")</f>
        <v>A Saya ingin menjadi pemimpin dalam suatu kelompok.</v>
      </c>
      <c r="L30" s="95" t="str">
        <f>IFERROR(__xludf.DUMMYFUNCTION("""COMPUTED_VALUE"""),"B Saya ingin mengatakan telah melakukan dengan baik sesuatu tugas yang sulit")</f>
        <v>B Saya ingin mengatakan telah melakukan dengan baik sesuatu tugas yang sulit</v>
      </c>
      <c r="M30" s="95" t="str">
        <f>IFERROR(__xludf.DUMMYFUNCTION("""COMPUTED_VALUE"""),"A Saya suka berbicara tentang hal-hal yang telah berhasil saya lakukan.")</f>
        <v>A Saya suka berbicara tentang hal-hal yang telah berhasil saya lakukan.</v>
      </c>
      <c r="N30" s="95" t="str">
        <f>IFERROR(__xludf.DUMMYFUNCTION("""COMPUTED_VALUE"""),"A Saya suka pergi dengan pakaian rapi agar lebih menarik perhatian orang lain.")</f>
        <v>A Saya suka pergi dengan pakaian rapi agar lebih menarik perhatian orang lain.</v>
      </c>
      <c r="O30" s="95" t="str">
        <f>IFERROR(__xludf.DUMMYFUNCTION("""COMPUTED_VALUE"""),"B Saya suka melakukan tugas sebaik mungkin.")</f>
        <v>B Saya suka melakukan tugas sebaik mungkin.</v>
      </c>
      <c r="P30" s="95" t="str">
        <f>IFERROR(__xludf.DUMMYFUNCTION("""COMPUTED_VALUE"""),"B Saya ingin setiap belajar itu teratur dan direncanakan.")</f>
        <v>B Saya ingin setiap belajar itu teratur dan direncanakan.</v>
      </c>
      <c r="Q30" s="95" t="str">
        <f>IFERROR(__xludf.DUMMYFUNCTION("""COMPUTED_VALUE"""),"B Saya merencanakan keperluan yang dibutuhkan sebelum bepergian.")</f>
        <v>B Saya merencanakan keperluan yang dibutuhkan sebelum bepergian.</v>
      </c>
      <c r="R30" s="95" t="str">
        <f>IFERROR(__xludf.DUMMYFUNCTION("""COMPUTED_VALUE"""),"B Saya suka barang-barang saya tersusun rapi dan teratur.")</f>
        <v>B Saya suka barang-barang saya tersusun rapi dan teratur.</v>
      </c>
      <c r="S30" s="95" t="str">
        <f>IFERROR(__xludf.DUMMYFUNCTION("""COMPUTED_VALUE"""),"B Saya suka membuat perencanaan sebelum memulai tugas yang sulit.")</f>
        <v>B Saya suka membuat perencanaan sebelum memulai tugas yang sulit.</v>
      </c>
      <c r="T30" s="95" t="str">
        <f>IFERROR(__xludf.DUMMYFUNCTION("""COMPUTED_VALUE"""),"B Saya ingin agar hidup saya teratur sesuai cita-cita saya.")</f>
        <v>B Saya ingin agar hidup saya teratur sesuai cita-cita saya.</v>
      </c>
      <c r="U30" s="95" t="str">
        <f>IFERROR(__xludf.DUMMYFUNCTION("""COMPUTED_VALUE"""),"B Saya suka menyimpan catatan secara rapi.")</f>
        <v>B Saya suka menyimpan catatan secara rapi.</v>
      </c>
      <c r="V30" s="95" t="str">
        <f>IFERROR(__xludf.DUMMYFUNCTION("""COMPUTED_VALUE"""),"B Saya suka belajar saya teratur dan ada waktu-waktu tertentu untuk belajar.")</f>
        <v>B Saya suka belajar saya teratur dan ada waktu-waktu tertentu untuk belajar.</v>
      </c>
      <c r="W30" s="95" t="str">
        <f>IFERROR(__xludf.DUMMYFUNCTION("""COMPUTED_VALUE"""),"B Saya ingin kegiatan itu teratur dan direncanakan.")</f>
        <v>B Saya ingin kegiatan itu teratur dan direncanakan.</v>
      </c>
      <c r="X30" s="95" t="str">
        <f>IFERROR(__xludf.DUMMYFUNCTION("""COMPUTED_VALUE"""),"A Saya suka merencanakan dan mengatur setiap apa yang harus saya lakukan.")</f>
        <v>A Saya suka merencanakan dan mengatur setiap apa yang harus saya lakukan.</v>
      </c>
      <c r="Y30" s="95" t="str">
        <f>IFERROR(__xludf.DUMMYFUNCTION("""COMPUTED_VALUE"""),"B Saya senang merencanakan untuk masa depan.")</f>
        <v>B Saya senang merencanakan untuk masa depan.</v>
      </c>
      <c r="Z30" s="95" t="str">
        <f>IFERROR(__xludf.DUMMYFUNCTION("""COMPUTED_VALUE"""),"A Saya ingin berhasil dengan belajar yang saya lakukan.")</f>
        <v>A Saya ingin berhasil dengan belajar yang saya lakukan.</v>
      </c>
      <c r="AA30" s="95" t="str">
        <f>IFERROR(__xludf.DUMMYFUNCTION("""COMPUTED_VALUE"""),"B Saya tidak suka pada orang yang berbuat seenaknya sendiri.")</f>
        <v>B Saya tidak suka pada orang yang berbuat seenaknya sendiri.</v>
      </c>
      <c r="AB30" s="95" t="str">
        <f>IFERROR(__xludf.DUMMYFUNCTION("""COMPUTED_VALUE"""),"B Saya ingin menyelesaikan pekerjaan satu persatu sebelum memulai yang lain.")</f>
        <v>B Saya ingin menyelesaikan pekerjaan satu persatu sebelum memulai yang lain.</v>
      </c>
      <c r="AC30" s="95" t="str">
        <f>IFERROR(__xludf.DUMMYFUNCTION("""COMPUTED_VALUE"""),"A Saya suka menyelesaikan setiap tugas meskipun membutuhkan waktu lama.")</f>
        <v>A Saya suka menyelesaikan setiap tugas meskipun membutuhkan waktu lama.</v>
      </c>
      <c r="AD30" s="95" t="str">
        <f>IFERROR(__xludf.DUMMYFUNCTION("""COMPUTED_VALUE"""),"A Saya suka bermurah hati terhadap teman-teman saya.")</f>
        <v>A Saya suka bermurah hati terhadap teman-teman saya.</v>
      </c>
      <c r="AE30" s="95" t="str">
        <f>IFERROR(__xludf.DUMMYFUNCTION("""COMPUTED_VALUE"""),"A Saya ingin dianggap sebagai pemimpin oleh teman di kelompok.")</f>
        <v>A Saya ingin dianggap sebagai pemimpin oleh teman di kelompok.</v>
      </c>
      <c r="AF30" s="95" t="str">
        <f>IFERROR(__xludf.DUMMYFUNCTION("""COMPUTED_VALUE"""),"B Saya suka melakukan hal-hal dengan cara saya sendiri.")</f>
        <v>B Saya suka melakukan hal-hal dengan cara saya sendiri.</v>
      </c>
      <c r="AG30" s="95" t="str">
        <f>IFERROR(__xludf.DUMMYFUNCTION("""COMPUTED_VALUE"""),"A Saya mengajari orang lain bagaimana mereka harus melakukan pekerjaan mereka.")</f>
        <v>A Saya mengajari orang lain bagaimana mereka harus melakukan pekerjaan mereka.</v>
      </c>
      <c r="AH30" s="95" t="str">
        <f>IFERROR(__xludf.DUMMYFUNCTION("""COMPUTED_VALUE"""),"B Saya ingin merasa bebas untuk melakukan apa yang saya kehendaki.")</f>
        <v>B Saya ingin merasa bebas untuk melakukan apa yang saya kehendaki.</v>
      </c>
      <c r="AI30" s="95" t="str">
        <f>IFERROR(__xludf.DUMMYFUNCTION("""COMPUTED_VALUE"""),"B Saya suka melakukan kegiatan sesuai kondisi yang saya inginkan.")</f>
        <v>B Saya suka melakukan kegiatan sesuai kondisi yang saya inginkan.</v>
      </c>
      <c r="AJ30" s="95" t="str">
        <f>IFERROR(__xludf.DUMMYFUNCTION("""COMPUTED_VALUE"""),"B Saya suka bertahan menghadapi satu masalah meskipun belum tentu berhasil.")</f>
        <v>B Saya suka bertahan menghadapi satu masalah meskipun belum tentu berhasil.</v>
      </c>
      <c r="AK30" s="95" t="str">
        <f>IFERROR(__xludf.DUMMYFUNCTION("""COMPUTED_VALUE"""),"B Bila saya harus melakukan suatu tugas, saya ingin mengerjakan sampai selesai.")</f>
        <v>B Bila saya harus melakukan suatu tugas, saya ingin mengerjakan sampai selesai.</v>
      </c>
      <c r="AL30" s="95" t="str">
        <f>IFERROR(__xludf.DUMMYFUNCTION("""COMPUTED_VALUE"""),"B Saya ingin menghindarkan gangguan bila saya sedang belajar.")</f>
        <v>B Saya ingin menghindarkan gangguan bila saya sedang belajar.</v>
      </c>
      <c r="AM30" s="95" t="str">
        <f>IFERROR(__xludf.DUMMYFUNCTION("""COMPUTED_VALUE"""),"B Saya suka belajar sampai malam untuk menyelesaikan suatu tugas.")</f>
        <v>B Saya suka belajar sampai malam untuk menyelesaikan suatu tugas.</v>
      </c>
      <c r="AN30" s="95" t="str">
        <f>IFERROR(__xludf.DUMMYFUNCTION("""COMPUTED_VALUE"""),"A Saya tidak suka pada orang yang semena-mena.")</f>
        <v>A Saya tidak suka pada orang yang semena-mena.</v>
      </c>
      <c r="AO30" s="95" t="str">
        <f>IFERROR(__xludf.DUMMYFUNCTION("""COMPUTED_VALUE"""),"A Saya suka berlaku sangat ramah terhadap teman-teman saya.")</f>
        <v>A Saya suka berlaku sangat ramah terhadap teman-teman saya.</v>
      </c>
      <c r="AP30" s="95" t="str">
        <f>IFERROR(__xludf.DUMMYFUNCTION("""COMPUTED_VALUE"""),"B Saya suka bertahan menghadapi satu masalah meskipun belum tentu berhasil.")</f>
        <v>B Saya suka bertahan menghadapi satu masalah meskipun belum tentu berhasil.</v>
      </c>
      <c r="AQ30" s="95" t="str">
        <f>IFERROR(__xludf.DUMMYFUNCTION("""COMPUTED_VALUE"""),"B Bila saya harus melakukan suatu tugas, saya ingin mengerjakan sampai selesai.")</f>
        <v>B Bila saya harus melakukan suatu tugas, saya ingin mengerjakan sampai selesai.</v>
      </c>
      <c r="AR30" s="95" t="str">
        <f>IFERROR(__xludf.DUMMYFUNCTION("""COMPUTED_VALUE"""),"A Saya suka menyimpan catatan secara rapi.")</f>
        <v>A Saya suka menyimpan catatan secara rapi.</v>
      </c>
      <c r="AS30" s="95" t="str">
        <f>IFERROR(__xludf.DUMMYFUNCTION("""COMPUTED_VALUE"""),"B Saya suka belajar sampai malam untuk menyelesaikan suatu tugas.")</f>
        <v>B Saya suka belajar sampai malam untuk menyelesaikan suatu tugas.</v>
      </c>
      <c r="AT30" s="95" t="str">
        <f>IFERROR(__xludf.DUMMYFUNCTION("""COMPUTED_VALUE"""),"A Saya ingin bisa melakukan dengan baik sesuatu pekerjaan sulit.")</f>
        <v>A Saya ingin bisa melakukan dengan baik sesuatu pekerjaan sulit.</v>
      </c>
      <c r="AU30" s="95" t="str">
        <f>IFERROR(__xludf.DUMMYFUNCTION("""COMPUTED_VALUE"""),"B Saya suka bermurah hati terhadap teman-teman saya.")</f>
        <v>B Saya suka bermurah hati terhadap teman-teman saya.</v>
      </c>
      <c r="AV30" s="95" t="str">
        <f>IFERROR(__xludf.DUMMYFUNCTION("""COMPUTED_VALUE"""),"B Saya suka menolong teman-teman saya.")</f>
        <v>B Saya suka menolong teman-teman saya.</v>
      </c>
      <c r="AW30" s="95" t="str">
        <f>IFERROR(__xludf.DUMMYFUNCTION("""COMPUTED_VALUE"""),"B Saya ingin teman-teman saya percaya bahwa saya bisa menolong mereka.")</f>
        <v>B Saya ingin teman-teman saya percaya bahwa saya bisa menolong mereka.</v>
      </c>
      <c r="AX30" s="95" t="str">
        <f>IFERROR(__xludf.DUMMYFUNCTION("""COMPUTED_VALUE"""),"B Saya suka memaafkan teman-teman saya yang menyakiti hati saya.")</f>
        <v>B Saya suka memaafkan teman-teman saya yang menyakiti hati saya.</v>
      </c>
      <c r="AY30" s="95" t="str">
        <f>IFERROR(__xludf.DUMMYFUNCTION("""COMPUTED_VALUE"""),"B Saya suka menolong teman-teman saya apabila mereka dalam kesulitan.")</f>
        <v>B Saya suka menolong teman-teman saya apabila mereka dalam kesulitan.</v>
      </c>
      <c r="AZ30" s="95" t="str">
        <f>IFERROR(__xludf.DUMMYFUNCTION("""COMPUTED_VALUE"""),"B Saya suka menunjukkan simpati saya kepada teman-teman saya.")</f>
        <v>B Saya suka menunjukkan simpati saya kepada teman-teman saya.</v>
      </c>
      <c r="BA30" s="95" t="str">
        <f>IFERROR(__xludf.DUMMYFUNCTION("""COMPUTED_VALUE"""),"B Saya suka memperlakukan orang lain dengan baik dan ramah.")</f>
        <v>B Saya suka memperlakukan orang lain dengan baik dan ramah.</v>
      </c>
      <c r="BB30" s="95" t="str">
        <f>IFERROR(__xludf.DUMMYFUNCTION("""COMPUTED_VALUE"""),"B Saya suka bermurah hati terhadap teman-teman saya.")</f>
        <v>B Saya suka bermurah hati terhadap teman-teman saya.</v>
      </c>
      <c r="BC30" s="95" t="str">
        <f>IFERROR(__xludf.DUMMYFUNCTION("""COMPUTED_VALUE"""),"B Saya suka membantu orang lain yang menurut saya perlu dikasihani.")</f>
        <v>B Saya suka membantu orang lain yang menurut saya perlu dikasihani.</v>
      </c>
      <c r="BD30" s="95" t="str">
        <f>IFERROR(__xludf.DUMMYFUNCTION("""COMPUTED_VALUE"""),"B Saya suka bersikukuh dengan pendirian saya.")</f>
        <v>B Saya suka bersikukuh dengan pendirian saya.</v>
      </c>
      <c r="BE30" s="95" t="str">
        <f>IFERROR(__xludf.DUMMYFUNCTION("""COMPUTED_VALUE"""),"B Saya ingin orang lain melakukan apa yang saya kehendaki.")</f>
        <v>B Saya ingin orang lain melakukan apa yang saya kehendaki.</v>
      </c>
      <c r="BF30" s="95" t="str">
        <f>IFERROR(__xludf.DUMMYFUNCTION("""COMPUTED_VALUE"""),"B Bila saya dalam kelompok, saya ingin menentukan apa yang akan kita lakukan.")</f>
        <v>B Bila saya dalam kelompok, saya ingin menentukan apa yang akan kita lakukan.</v>
      </c>
      <c r="BG30" s="95" t="str">
        <f>IFERROR(__xludf.DUMMYFUNCTION("""COMPUTED_VALUE"""),"B Saya suka mengarahkan kepada orang lain apa yang harus dilakukan.")</f>
        <v>B Saya suka mengarahkan kepada orang lain apa yang harus dilakukan.</v>
      </c>
      <c r="BH30" s="95" t="str">
        <f>IFERROR(__xludf.DUMMYFUNCTION("""COMPUTED_VALUE"""),"B Apabila saya berkumpul dalam kelompok, saya ingin dihargai teman-teman.")</f>
        <v>B Apabila saya berkumpul dalam kelompok, saya ingin dihargai teman-teman.</v>
      </c>
      <c r="BI30" s="95" t="str">
        <f>IFERROR(__xludf.DUMMYFUNCTION("""COMPUTED_VALUE"""),"A Saya suka bermurah hati terhadap teman-teman saya.")</f>
        <v>A Saya suka bermurah hati terhadap teman-teman saya.</v>
      </c>
      <c r="BJ30" s="95" t="str">
        <f>IFERROR(__xludf.DUMMYFUNCTION("""COMPUTED_VALUE"""),"A Saya ingin mengerjakan tugas sampai selesai.")</f>
        <v>A Saya ingin mengerjakan tugas sampai selesai.</v>
      </c>
      <c r="BK30" s="95" t="str">
        <f>IFERROR(__xludf.DUMMYFUNCTION("""COMPUTED_VALUE"""),"A Saya ingin menyelesaikan pekerjaan satu persatu sebelum memulai yang lain.")</f>
        <v>A Saya ingin menyelesaikan pekerjaan satu persatu sebelum memulai yang lain.</v>
      </c>
      <c r="BL30" s="95" t="str">
        <f>IFERROR(__xludf.DUMMYFUNCTION("""COMPUTED_VALUE"""),"A Saya suka belajar saya teratur dan ada waktu-waktu tertentu untuk belajar.")</f>
        <v>A Saya suka belajar saya teratur dan ada waktu-waktu tertentu untuk belajar.</v>
      </c>
      <c r="BM30" s="95" t="str">
        <f>IFERROR(__xludf.DUMMYFUNCTION("""COMPUTED_VALUE"""),"A Saya suka melakukan pekerjaan sebaik mungkin.")</f>
        <v>A Saya suka melakukan pekerjaan sebaik mungkin.</v>
      </c>
      <c r="BN30" s="95" t="str">
        <f>IFERROR(__xludf.DUMMYFUNCTION("""COMPUTED_VALUE"""),"B Saya ingin teman-teman memberi dorongan bila saya menghadapi kegagalan.")</f>
        <v>B Saya ingin teman-teman memberi dorongan bila saya menghadapi kegagalan.</v>
      </c>
      <c r="BO30" s="95" t="str">
        <f>IFERROR(__xludf.DUMMYFUNCTION("""COMPUTED_VALUE"""),"B Saya ingin diperlakukan dengan baik oleh teman-teman saya.")</f>
        <v>B Saya ingin diperlakukan dengan baik oleh teman-teman saya.</v>
      </c>
      <c r="BP30" s="95" t="str">
        <f>IFERROR(__xludf.DUMMYFUNCTION("""COMPUTED_VALUE"""),"B Saya ingin teman-teman saya merasa kasihan pada saya apabila saya sakit.")</f>
        <v>B Saya ingin teman-teman saya merasa kasihan pada saya apabila saya sakit.</v>
      </c>
      <c r="BQ30" s="95" t="str">
        <f>IFERROR(__xludf.DUMMYFUNCTION("""COMPUTED_VALUE"""),"A Saya ingin mengerjakannya tugas sampai selesai.")</f>
        <v>A Saya ingin mengerjakannya tugas sampai selesai.</v>
      </c>
      <c r="BR30" s="95" t="str">
        <f>IFERROR(__xludf.DUMMYFUNCTION("""COMPUTED_VALUE"""),"B Saya ingin agar teman-teman saya bersimpati dan menghibur saya bila saya sedih.")</f>
        <v>B Saya ingin agar teman-teman saya bersimpati dan menghibur saya bila saya sedih.</v>
      </c>
      <c r="BS30" s="95" t="str">
        <f>IFERROR(__xludf.DUMMYFUNCTION("""COMPUTED_VALUE"""),"B Saya ingin teman-teman saya membantu saya bila saya mengalami kesulitan")</f>
        <v>B Saya ingin teman-teman saya membantu saya bila saya mengalami kesulitan</v>
      </c>
      <c r="BT30" s="95" t="str">
        <f>IFERROR(__xludf.DUMMYFUNCTION("""COMPUTED_VALUE"""),"A Saya ingin teman-teman saya merasa kasihan pada saya apabila saya sakit.")</f>
        <v>A Saya ingin teman-teman saya merasa kasihan pada saya apabila saya sakit.</v>
      </c>
      <c r="BU30" s="95" t="str">
        <f>IFERROR(__xludf.DUMMYFUNCTION("""COMPUTED_VALUE"""),"B Saya ingin agar teman-teman saya merasa kasihan pada saya apabila saya sakit.")</f>
        <v>B Saya ingin agar teman-teman saya merasa kasihan pada saya apabila saya sakit.</v>
      </c>
      <c r="BV30" s="95" t="str">
        <f>IFERROR(__xludf.DUMMYFUNCTION("""COMPUTED_VALUE"""),"B Saya ingin teman-teman dengan gembira memberikan pertolongan kepada saya.")</f>
        <v>B Saya ingin teman-teman dengan gembira memberikan pertolongan kepada saya.</v>
      </c>
      <c r="BW30" s="95" t="str">
        <f>IFERROR(__xludf.DUMMYFUNCTION("""COMPUTED_VALUE"""),"B Saya ingin diperlakukan dengan baik oleh teman-teman saya.")</f>
        <v>B Saya ingin diperlakukan dengan baik oleh teman-teman saya.</v>
      </c>
      <c r="BX30" s="95" t="str">
        <f>IFERROR(__xludf.DUMMYFUNCTION("""COMPUTED_VALUE"""),"B Saya kadang-kadang suka melakukan hal-hal yang dapat dipuji oleh orang lain.")</f>
        <v>B Saya kadang-kadang suka melakukan hal-hal yang dapat dipuji oleh orang lain.</v>
      </c>
      <c r="BY30" s="95" t="str">
        <f>IFERROR(__xludf.DUMMYFUNCTION("""COMPUTED_VALUE"""),"A Saya suka melamun atau membayangkan hal-hal yang tidak jelas.")</f>
        <v>A Saya suka melamun atau membayangkan hal-hal yang tidak jelas.</v>
      </c>
      <c r="BZ30" s="95" t="str">
        <f>IFERROR(__xludf.DUMMYFUNCTION("""COMPUTED_VALUE"""),"B Saya suka diperhatikan, apabila saya ada di dalam suatu kelompok.")</f>
        <v>B Saya suka diperhatikan, apabila saya ada di dalam suatu kelompok.</v>
      </c>
      <c r="CA30" s="95" t="str">
        <f>IFERROR(__xludf.DUMMYFUNCTION("""COMPUTED_VALUE"""),"A Saya ingin teman-teman dengan gembira memberikan pertolongan kepada saya.")</f>
        <v>A Saya ingin teman-teman dengan gembira memberikan pertolongan kepada saya.</v>
      </c>
      <c r="CB30" s="95" t="str">
        <f>IFERROR(__xludf.DUMMYFUNCTION("""COMPUTED_VALUE"""),"B Saya suka berbicara tentang hal-hal yang telah saya capai.")</f>
        <v>B Saya suka berbicara tentang hal-hal yang telah saya capai.</v>
      </c>
      <c r="CC30" s="95" t="str">
        <f>IFERROR(__xludf.DUMMYFUNCTION("""COMPUTED_VALUE"""),"A Apabila saya berkumpul dalam kelompok, saya ingin dihargai teman-teman.")</f>
        <v>A Apabila saya berkumpul dalam kelompok, saya ingin dihargai teman-teman.</v>
      </c>
      <c r="CD30" s="95" t="str">
        <f>IFERROR(__xludf.DUMMYFUNCTION("""COMPUTED_VALUE"""),"A Saya suka menyelesaikan setiap tugas meskipun membutuhkan waktu lama.")</f>
        <v>A Saya suka menyelesaikan setiap tugas meskipun membutuhkan waktu lama.</v>
      </c>
      <c r="CE30" s="95" t="str">
        <f>IFERROR(__xludf.DUMMYFUNCTION("""COMPUTED_VALUE"""),"A Saya suka menyelesaikan setiap tugas belajar yang telah saya mulai.")</f>
        <v>A Saya suka menyelesaikan setiap tugas belajar yang telah saya mulai.</v>
      </c>
      <c r="CF30" s="95" t="str">
        <f>IFERROR(__xludf.DUMMYFUNCTION("""COMPUTED_VALUE"""),"A Saya ingin agar hidup saya teratur sesuai cita-cita saya.")</f>
        <v>A Saya ingin agar hidup saya teratur sesuai cita-cita saya.</v>
      </c>
      <c r="CG30" s="95" t="str">
        <f>IFERROR(__xludf.DUMMYFUNCTION("""COMPUTED_VALUE"""),"A Saya ingin berhasil dalam apa yang saya lakukan.")</f>
        <v>A Saya ingin berhasil dalam apa yang saya lakukan.</v>
      </c>
      <c r="CH30" s="95" t="str">
        <f>IFERROR(__xludf.DUMMYFUNCTION("""COMPUTED_VALUE"""),"A Saya ingin bisa melakukan dengan baik sesuatu pekerjaan sulit.")</f>
        <v>A Saya ingin bisa melakukan dengan baik sesuatu pekerjaan sulit.</v>
      </c>
      <c r="CI30" s="95" t="str">
        <f>IFERROR(__xludf.DUMMYFUNCTION("""COMPUTED_VALUE"""),"A Saya suka belajar saya teratur dan ada waktu-waktu tertentu untuk belajar.")</f>
        <v>A Saya suka belajar saya teratur dan ada waktu-waktu tertentu untuk belajar.</v>
      </c>
      <c r="CJ30" s="95" t="str">
        <f>IFERROR(__xludf.DUMMYFUNCTION("""COMPUTED_VALUE"""),"A Saya ingin tidak tergantung dari orang lain terhadap apa yang akan saya lakukan.")</f>
        <v>A Saya ingin tidak tergantung dari orang lain terhadap apa yang akan saya lakukan.</v>
      </c>
      <c r="CK30" s="95" t="str">
        <f>IFERROR(__xludf.DUMMYFUNCTION("""COMPUTED_VALUE"""),"A Saya suka bertahan menghadapi satu masalah, meskipun belum tentu berhasil.")</f>
        <v>A Saya suka bertahan menghadapi satu masalah, meskipun belum tentu berhasil.</v>
      </c>
      <c r="CL30" s="95" t="str">
        <f>IFERROR(__xludf.DUMMYFUNCTION("""COMPUTED_VALUE"""),"A Saya suka menolong teman-teman saya, apabila mereka dalam kesulitan.")</f>
        <v>A Saya suka menolong teman-teman saya, apabila mereka dalam kesulitan.</v>
      </c>
      <c r="CM30" s="95" t="str">
        <f>IFERROR(__xludf.DUMMYFUNCTION("""COMPUTED_VALUE"""),"A Saya ingin ditunjuk atau dipilih sebagai ketua dalam suatu kelompok.")</f>
        <v>A Saya ingin ditunjuk atau dipilih sebagai ketua dalam suatu kelompok.</v>
      </c>
      <c r="CN30" s="95" t="str">
        <f>IFERROR(__xludf.DUMMYFUNCTION("""COMPUTED_VALUE"""),"A Saya ingin diperlakukan dengan baik oleh teman-teman saya.")</f>
        <v>A Saya ingin diperlakukan dengan baik oleh teman-teman saya.</v>
      </c>
      <c r="CO30" s="95" t="str">
        <f>IFERROR(__xludf.DUMMYFUNCTION("""COMPUTED_VALUE"""),"A Saya suka menceritakan hal-hal lucu agar diperhatikan oleh orang lain.")</f>
        <v>A Saya suka menceritakan hal-hal lucu agar diperhatikan oleh orang lain.</v>
      </c>
      <c r="CP30" s="95" t="str">
        <f>IFERROR(__xludf.DUMMYFUNCTION("""COMPUTED_VALUE"""),"A Saya suka melamun atau membayangkan sesuatu sendirian.")</f>
        <v>A Saya suka melamun atau membayangkan sesuatu sendirian.</v>
      </c>
      <c r="CQ30" s="95" t="str">
        <f>IFERROR(__xludf.DUMMYFUNCTION("""COMPUTED_VALUE"""),"B Saya merasa kagum pada seseorang.")</f>
        <v>B Saya merasa kagum pada seseorang.</v>
      </c>
      <c r="CR30" s="95" t="str">
        <f>IFERROR(__xludf.DUMMYFUNCTION("""COMPUTED_VALUE"""),"B Saya rasanya ingin mengecam seseorang bila orang itu menjengkelkan.")</f>
        <v>B Saya rasanya ingin mengecam seseorang bila orang itu menjengkelkan.</v>
      </c>
      <c r="CS30" s="95" t="str">
        <f>IFERROR(__xludf.DUMMYFUNCTION("""COMPUTED_VALUE"""),"B Saya rasanya ingin membalas dendam bila seseorang menghina saya.")</f>
        <v>B Saya rasanya ingin membalas dendam bila seseorang menghina saya.</v>
      </c>
      <c r="CT30" s="95" t="str">
        <f>IFERROR(__xludf.DUMMYFUNCTION("""COMPUTED_VALUE"""),"B Saya saat marah rasanya ingin melemparkan dan merusak barang-barang.")</f>
        <v>B Saya saat marah rasanya ingin melemparkan dan merusak barang-barang.</v>
      </c>
      <c r="CU30" s="95" t="str">
        <f>IFERROR(__xludf.DUMMYFUNCTION("""COMPUTED_VALUE"""),"A Saya ingin diperlakukan dengan ramah oleh teman-teman saya.")</f>
        <v>A Saya ingin diperlakukan dengan ramah oleh teman-teman saya.</v>
      </c>
      <c r="CV30" s="95" t="str">
        <f>IFERROR(__xludf.DUMMYFUNCTION("""COMPUTED_VALUE"""),"B Saya menyerang pendirian-pendirian yang bertentangan dengan pendirian saya.")</f>
        <v>B Saya menyerang pendirian-pendirian yang bertentangan dengan pendirian saya.</v>
      </c>
      <c r="CW30" s="95" t="str">
        <f>IFERROR(__xludf.DUMMYFUNCTION("""COMPUTED_VALUE"""),"A Saya suka menolong teman-teman saya, apabila mereka dalam kesulitan.")</f>
        <v>A Saya suka menolong teman-teman saya, apabila mereka dalam kesulitan.</v>
      </c>
      <c r="CX30" s="95" t="str">
        <f>IFERROR(__xludf.DUMMYFUNCTION("""COMPUTED_VALUE"""),"A Saya suka belajar sampai malam untuk menyelesaikan suatu tugas.")</f>
        <v>A Saya suka belajar sampai malam untuk menyelesaikan suatu tugas.</v>
      </c>
      <c r="CY30" s="95" t="str">
        <f>IFERROR(__xludf.DUMMYFUNCTION("""COMPUTED_VALUE"""),"A Saya ingin tidak tergantung dari orang lain terhadap apa yang akan saya lakukan.")</f>
        <v>A Saya ingin tidak tergantung dari orang lain terhadap apa yang akan saya lakukan.</v>
      </c>
      <c r="CZ30" s="95" t="str">
        <f>IFERROR(__xludf.DUMMYFUNCTION("""COMPUTED_VALUE"""),"A Saya suka merencanakan dan mengatur setiap pekerjaan yang harus saya lakukan.")</f>
        <v>A Saya suka merencanakan dan mengatur setiap pekerjaan yang harus saya lakukan.</v>
      </c>
      <c r="DA30" s="95" t="str">
        <f>IFERROR(__xludf.DUMMYFUNCTION("""COMPUTED_VALUE"""),"B Saya rasanya ingin mengecam seseorang bila orang itu menjengkelkan.")</f>
        <v>B Saya rasanya ingin mengecam seseorang bila orang itu menjengkelkan.</v>
      </c>
      <c r="DB30" s="89" t="s">
        <v>23</v>
      </c>
      <c r="DC30" s="97" t="str">
        <f t="shared" ref="DC30:GX30" si="75">LEFT(F30,1)</f>
        <v>B</v>
      </c>
      <c r="DD30" s="97" t="str">
        <f t="shared" si="75"/>
        <v>A</v>
      </c>
      <c r="DE30" s="97" t="str">
        <f t="shared" si="75"/>
        <v>A</v>
      </c>
      <c r="DF30" s="97" t="str">
        <f t="shared" si="75"/>
        <v>B</v>
      </c>
      <c r="DG30" s="97" t="str">
        <f t="shared" si="75"/>
        <v>A</v>
      </c>
      <c r="DH30" s="97" t="str">
        <f t="shared" si="75"/>
        <v>A</v>
      </c>
      <c r="DI30" s="97" t="str">
        <f t="shared" si="75"/>
        <v>B</v>
      </c>
      <c r="DJ30" s="97" t="str">
        <f t="shared" si="75"/>
        <v>A</v>
      </c>
      <c r="DK30" s="97" t="str">
        <f t="shared" si="75"/>
        <v>A</v>
      </c>
      <c r="DL30" s="97" t="str">
        <f t="shared" si="75"/>
        <v>B</v>
      </c>
      <c r="DM30" s="97" t="str">
        <f t="shared" si="75"/>
        <v>B</v>
      </c>
      <c r="DN30" s="97" t="str">
        <f t="shared" si="75"/>
        <v>B</v>
      </c>
      <c r="DO30" s="97" t="str">
        <f t="shared" si="75"/>
        <v>B</v>
      </c>
      <c r="DP30" s="97" t="str">
        <f t="shared" si="75"/>
        <v>B</v>
      </c>
      <c r="DQ30" s="97" t="str">
        <f t="shared" si="75"/>
        <v>B</v>
      </c>
      <c r="DR30" s="97" t="str">
        <f t="shared" si="75"/>
        <v>B</v>
      </c>
      <c r="DS30" s="97" t="str">
        <f t="shared" si="75"/>
        <v>B</v>
      </c>
      <c r="DT30" s="97" t="str">
        <f t="shared" si="75"/>
        <v>B</v>
      </c>
      <c r="DU30" s="97" t="str">
        <f t="shared" si="75"/>
        <v>A</v>
      </c>
      <c r="DV30" s="97" t="str">
        <f t="shared" si="75"/>
        <v>B</v>
      </c>
      <c r="DW30" s="97" t="str">
        <f t="shared" si="75"/>
        <v>A</v>
      </c>
      <c r="DX30" s="97" t="str">
        <f t="shared" si="75"/>
        <v>B</v>
      </c>
      <c r="DY30" s="97" t="str">
        <f t="shared" si="75"/>
        <v>B</v>
      </c>
      <c r="DZ30" s="97" t="str">
        <f t="shared" si="75"/>
        <v>A</v>
      </c>
      <c r="EA30" s="97" t="str">
        <f t="shared" si="75"/>
        <v>A</v>
      </c>
      <c r="EB30" s="97" t="str">
        <f t="shared" si="75"/>
        <v>A</v>
      </c>
      <c r="EC30" s="97" t="str">
        <f t="shared" si="75"/>
        <v>B</v>
      </c>
      <c r="ED30" s="97" t="str">
        <f t="shared" si="75"/>
        <v>A</v>
      </c>
      <c r="EE30" s="97" t="str">
        <f t="shared" si="75"/>
        <v>B</v>
      </c>
      <c r="EF30" s="97" t="str">
        <f t="shared" si="75"/>
        <v>B</v>
      </c>
      <c r="EG30" s="97" t="str">
        <f t="shared" si="75"/>
        <v>B</v>
      </c>
      <c r="EH30" s="97" t="str">
        <f t="shared" si="75"/>
        <v>B</v>
      </c>
      <c r="EI30" s="97" t="str">
        <f t="shared" si="75"/>
        <v>B</v>
      </c>
      <c r="EJ30" s="97" t="str">
        <f t="shared" si="75"/>
        <v>B</v>
      </c>
      <c r="EK30" s="97" t="str">
        <f t="shared" si="75"/>
        <v>A</v>
      </c>
      <c r="EL30" s="97" t="str">
        <f t="shared" si="75"/>
        <v>A</v>
      </c>
      <c r="EM30" s="97" t="str">
        <f t="shared" si="75"/>
        <v>B</v>
      </c>
      <c r="EN30" s="97" t="str">
        <f t="shared" si="75"/>
        <v>B</v>
      </c>
      <c r="EO30" s="97" t="str">
        <f t="shared" si="75"/>
        <v>A</v>
      </c>
      <c r="EP30" s="97" t="str">
        <f t="shared" si="75"/>
        <v>B</v>
      </c>
      <c r="EQ30" s="97" t="str">
        <f t="shared" si="75"/>
        <v>A</v>
      </c>
      <c r="ER30" s="97" t="str">
        <f t="shared" si="75"/>
        <v>B</v>
      </c>
      <c r="ES30" s="97" t="str">
        <f t="shared" si="75"/>
        <v>B</v>
      </c>
      <c r="ET30" s="97" t="str">
        <f t="shared" si="75"/>
        <v>B</v>
      </c>
      <c r="EU30" s="97" t="str">
        <f t="shared" si="75"/>
        <v>B</v>
      </c>
      <c r="EV30" s="97" t="str">
        <f t="shared" si="75"/>
        <v>B</v>
      </c>
      <c r="EW30" s="97" t="str">
        <f t="shared" si="75"/>
        <v>B</v>
      </c>
      <c r="EX30" s="97" t="str">
        <f t="shared" si="75"/>
        <v>B</v>
      </c>
      <c r="EY30" s="97" t="str">
        <f t="shared" si="75"/>
        <v>B</v>
      </c>
      <c r="EZ30" s="97" t="str">
        <f t="shared" si="75"/>
        <v>B</v>
      </c>
      <c r="FA30" s="97" t="str">
        <f t="shared" si="75"/>
        <v>B</v>
      </c>
      <c r="FB30" s="97" t="str">
        <f t="shared" si="75"/>
        <v>B</v>
      </c>
      <c r="FC30" s="97" t="str">
        <f t="shared" si="75"/>
        <v>B</v>
      </c>
      <c r="FD30" s="97" t="str">
        <f t="shared" si="75"/>
        <v>B</v>
      </c>
      <c r="FE30" s="97" t="str">
        <f t="shared" si="75"/>
        <v>B</v>
      </c>
      <c r="FF30" s="97" t="str">
        <f t="shared" si="75"/>
        <v>A</v>
      </c>
      <c r="FG30" s="97" t="str">
        <f t="shared" si="75"/>
        <v>A</v>
      </c>
      <c r="FH30" s="97" t="str">
        <f t="shared" si="75"/>
        <v>A</v>
      </c>
      <c r="FI30" s="97" t="str">
        <f t="shared" si="75"/>
        <v>A</v>
      </c>
      <c r="FJ30" s="97" t="str">
        <f t="shared" si="75"/>
        <v>A</v>
      </c>
      <c r="FK30" s="97" t="str">
        <f t="shared" si="75"/>
        <v>B</v>
      </c>
      <c r="FL30" s="97" t="str">
        <f t="shared" si="75"/>
        <v>B</v>
      </c>
      <c r="FM30" s="97" t="str">
        <f t="shared" si="75"/>
        <v>B</v>
      </c>
      <c r="FN30" s="97" t="str">
        <f t="shared" si="75"/>
        <v>A</v>
      </c>
      <c r="FO30" s="97" t="str">
        <f t="shared" si="75"/>
        <v>B</v>
      </c>
      <c r="FP30" s="97" t="str">
        <f t="shared" si="75"/>
        <v>B</v>
      </c>
      <c r="FQ30" s="97" t="str">
        <f t="shared" si="75"/>
        <v>A</v>
      </c>
      <c r="FR30" s="97" t="str">
        <f t="shared" si="75"/>
        <v>B</v>
      </c>
      <c r="FS30" s="97" t="str">
        <f t="shared" si="75"/>
        <v>B</v>
      </c>
      <c r="FT30" s="97" t="str">
        <f t="shared" si="75"/>
        <v>B</v>
      </c>
      <c r="FU30" s="97" t="str">
        <f t="shared" si="75"/>
        <v>B</v>
      </c>
      <c r="FV30" s="97" t="str">
        <f t="shared" si="75"/>
        <v>A</v>
      </c>
      <c r="FW30" s="97" t="str">
        <f t="shared" si="75"/>
        <v>B</v>
      </c>
      <c r="FX30" s="97" t="str">
        <f t="shared" si="75"/>
        <v>A</v>
      </c>
      <c r="FY30" s="97" t="str">
        <f t="shared" si="75"/>
        <v>B</v>
      </c>
      <c r="FZ30" s="97" t="str">
        <f t="shared" si="75"/>
        <v>A</v>
      </c>
      <c r="GA30" s="97" t="str">
        <f t="shared" si="75"/>
        <v>A</v>
      </c>
      <c r="GB30" s="97" t="str">
        <f t="shared" si="75"/>
        <v>A</v>
      </c>
      <c r="GC30" s="97" t="str">
        <f t="shared" si="75"/>
        <v>A</v>
      </c>
      <c r="GD30" s="97" t="str">
        <f t="shared" si="75"/>
        <v>A</v>
      </c>
      <c r="GE30" s="97" t="str">
        <f t="shared" si="75"/>
        <v>A</v>
      </c>
      <c r="GF30" s="97" t="str">
        <f t="shared" si="75"/>
        <v>A</v>
      </c>
      <c r="GG30" s="97" t="str">
        <f t="shared" si="75"/>
        <v>A</v>
      </c>
      <c r="GH30" s="97" t="str">
        <f t="shared" si="75"/>
        <v>A</v>
      </c>
      <c r="GI30" s="97" t="str">
        <f t="shared" si="75"/>
        <v>A</v>
      </c>
      <c r="GJ30" s="97" t="str">
        <f t="shared" si="75"/>
        <v>A</v>
      </c>
      <c r="GK30" s="97" t="str">
        <f t="shared" si="75"/>
        <v>A</v>
      </c>
      <c r="GL30" s="97" t="str">
        <f t="shared" si="75"/>
        <v>A</v>
      </c>
      <c r="GM30" s="97" t="str">
        <f t="shared" si="75"/>
        <v>A</v>
      </c>
      <c r="GN30" s="97" t="str">
        <f t="shared" si="75"/>
        <v>B</v>
      </c>
      <c r="GO30" s="97" t="str">
        <f t="shared" si="75"/>
        <v>B</v>
      </c>
      <c r="GP30" s="97" t="str">
        <f t="shared" si="75"/>
        <v>B</v>
      </c>
      <c r="GQ30" s="97" t="str">
        <f t="shared" si="75"/>
        <v>B</v>
      </c>
      <c r="GR30" s="97" t="str">
        <f t="shared" si="75"/>
        <v>A</v>
      </c>
      <c r="GS30" s="97" t="str">
        <f t="shared" si="75"/>
        <v>B</v>
      </c>
      <c r="GT30" s="97" t="str">
        <f t="shared" si="75"/>
        <v>A</v>
      </c>
      <c r="GU30" s="97" t="str">
        <f t="shared" si="75"/>
        <v>A</v>
      </c>
      <c r="GV30" s="97" t="str">
        <f t="shared" si="75"/>
        <v>A</v>
      </c>
      <c r="GW30" s="97" t="str">
        <f t="shared" si="75"/>
        <v>A</v>
      </c>
      <c r="GX30" s="97" t="str">
        <f t="shared" si="75"/>
        <v>B</v>
      </c>
      <c r="GY30" s="98"/>
      <c r="GZ30" s="97">
        <f t="shared" si="3"/>
        <v>44</v>
      </c>
      <c r="HA30" s="97">
        <f t="shared" si="4"/>
        <v>56</v>
      </c>
      <c r="HB30" s="90">
        <f t="shared" si="5"/>
        <v>100</v>
      </c>
      <c r="HC30" s="99"/>
      <c r="HD30" s="97">
        <f t="shared" si="6"/>
        <v>5</v>
      </c>
      <c r="HE30" s="97">
        <f t="shared" si="7"/>
        <v>3</v>
      </c>
      <c r="HF30" s="90">
        <f t="shared" si="8"/>
        <v>8</v>
      </c>
      <c r="HG30" s="99"/>
      <c r="HH30" s="97">
        <f t="shared" si="9"/>
        <v>6</v>
      </c>
      <c r="HI30" s="97">
        <f t="shared" si="10"/>
        <v>9</v>
      </c>
      <c r="HJ30" s="90">
        <f t="shared" si="11"/>
        <v>15</v>
      </c>
      <c r="HK30" s="99"/>
      <c r="HL30" s="97">
        <f t="shared" si="12"/>
        <v>5</v>
      </c>
      <c r="HM30" s="97">
        <f t="shared" si="13"/>
        <v>5</v>
      </c>
      <c r="HN30" s="90">
        <f t="shared" si="14"/>
        <v>10</v>
      </c>
      <c r="HO30" s="99"/>
      <c r="HP30" s="97">
        <f t="shared" si="15"/>
        <v>6</v>
      </c>
      <c r="HQ30" s="97">
        <f t="shared" si="16"/>
        <v>7</v>
      </c>
      <c r="HR30" s="90">
        <f t="shared" si="17"/>
        <v>13</v>
      </c>
      <c r="HS30" s="99"/>
      <c r="HT30" s="97">
        <f t="shared" si="18"/>
        <v>7</v>
      </c>
      <c r="HU30" s="97">
        <f t="shared" si="19"/>
        <v>9</v>
      </c>
      <c r="HV30" s="90">
        <f t="shared" si="20"/>
        <v>16</v>
      </c>
      <c r="HW30" s="99"/>
      <c r="HX30" s="97">
        <f t="shared" si="21"/>
        <v>4</v>
      </c>
      <c r="HY30" s="97">
        <f t="shared" si="22"/>
        <v>5</v>
      </c>
      <c r="HZ30" s="90">
        <f t="shared" si="23"/>
        <v>9</v>
      </c>
      <c r="IA30" s="99"/>
      <c r="IB30" s="97">
        <f t="shared" si="24"/>
        <v>3</v>
      </c>
      <c r="IC30" s="97">
        <f t="shared" si="25"/>
        <v>8</v>
      </c>
      <c r="ID30" s="90">
        <f t="shared" si="26"/>
        <v>11</v>
      </c>
      <c r="IE30" s="99"/>
      <c r="IF30" s="97">
        <f t="shared" si="27"/>
        <v>3</v>
      </c>
      <c r="IG30" s="97">
        <f t="shared" si="28"/>
        <v>3</v>
      </c>
      <c r="IH30" s="90">
        <f t="shared" si="29"/>
        <v>6</v>
      </c>
      <c r="II30" s="99"/>
      <c r="IJ30" s="97">
        <f t="shared" si="30"/>
        <v>2</v>
      </c>
      <c r="IK30" s="97">
        <f t="shared" si="31"/>
        <v>1</v>
      </c>
      <c r="IL30" s="90">
        <f t="shared" si="32"/>
        <v>3</v>
      </c>
      <c r="IM30" s="99"/>
      <c r="IN30" s="97">
        <f t="shared" si="33"/>
        <v>0</v>
      </c>
      <c r="IO30" s="97">
        <f t="shared" si="34"/>
        <v>5</v>
      </c>
      <c r="IP30" s="90">
        <f t="shared" si="35"/>
        <v>5</v>
      </c>
      <c r="IQ30" s="99"/>
      <c r="IR30" s="99"/>
      <c r="IS30" s="100">
        <f t="shared" si="36"/>
        <v>8</v>
      </c>
      <c r="IT30" s="100">
        <f t="shared" si="37"/>
        <v>15</v>
      </c>
      <c r="IU30" s="100">
        <f t="shared" si="38"/>
        <v>10</v>
      </c>
      <c r="IV30" s="100">
        <f t="shared" si="39"/>
        <v>13</v>
      </c>
      <c r="IW30" s="100">
        <f t="shared" si="40"/>
        <v>16</v>
      </c>
      <c r="IX30" s="100">
        <f t="shared" si="41"/>
        <v>9</v>
      </c>
      <c r="IY30" s="100">
        <f t="shared" si="42"/>
        <v>11</v>
      </c>
      <c r="IZ30" s="100">
        <f t="shared" si="43"/>
        <v>6</v>
      </c>
      <c r="JA30" s="100">
        <f t="shared" si="44"/>
        <v>3</v>
      </c>
      <c r="JB30" s="101">
        <f t="shared" si="45"/>
        <v>5</v>
      </c>
      <c r="JC30" s="102">
        <f t="shared" si="46"/>
        <v>96</v>
      </c>
      <c r="JD30" s="67">
        <f t="shared" si="50"/>
        <v>0</v>
      </c>
      <c r="JE30" s="67">
        <f t="shared" si="47"/>
        <v>1</v>
      </c>
      <c r="JF30" s="67">
        <f t="shared" si="48"/>
        <v>1</v>
      </c>
    </row>
    <row r="31">
      <c r="A31" s="103">
        <f>IFERROR(__xludf.DUMMYFUNCTION("""COMPUTED_VALUE"""),45926.7126146875)</f>
        <v>45926.71261</v>
      </c>
      <c r="B31" s="95" t="str">
        <f>IFERROR(__xludf.DUMMYFUNCTION("""COMPUTED_VALUE"""),"Nadira Salsabila apriliani ")</f>
        <v>Nadira Salsabila apriliani </v>
      </c>
      <c r="C31" s="96" t="str">
        <f>IFERROR(__xludf.DUMMYFUNCTION("""COMPUTED_VALUE"""),"E250007")</f>
        <v>E250007</v>
      </c>
      <c r="D31" s="96" t="str">
        <f>IFERROR(__xludf.DUMMYFUNCTION("""COMPUTED_VALUE"""),"IL Putri")</f>
        <v>IL Putri</v>
      </c>
      <c r="E31" s="96" t="str">
        <f>IFERROR(__xludf.DUMMYFUNCTION("""COMPUTED_VALUE"""),"Ya")</f>
        <v>Ya</v>
      </c>
      <c r="F31" s="95" t="str">
        <f>IFERROR(__xludf.DUMMYFUNCTION("""COMPUTED_VALUE"""),"B Saya ingin melakukan apa saja sebaik mungkin.")</f>
        <v>B Saya ingin melakukan apa saja sebaik mungkin.</v>
      </c>
      <c r="G31" s="95" t="str">
        <f>IFERROR(__xludf.DUMMYFUNCTION("""COMPUTED_VALUE"""),"A Saya ingin setiap tulisan saya teliti, rapi, dan tersusun dengan baik.")</f>
        <v>A Saya ingin setiap tulisan saya teliti, rapi, dan tersusun dengan baik.</v>
      </c>
      <c r="H31" s="95" t="str">
        <f>IFERROR(__xludf.DUMMYFUNCTION("""COMPUTED_VALUE"""),"B Saya ingin menjadi orang yang diakui dalam suatu pekerjaan atau bidang khusus.")</f>
        <v>B Saya ingin menjadi orang yang diakui dalam suatu pekerjaan atau bidang khusus.</v>
      </c>
      <c r="I31" s="95" t="str">
        <f>IFERROR(__xludf.DUMMYFUNCTION("""COMPUTED_VALUE"""),"B Saya ingin bisa melakukan dengan baik meskipun tugas yang sulit.")</f>
        <v>B Saya ingin bisa melakukan dengan baik meskipun tugas yang sulit.</v>
      </c>
      <c r="J31" s="95" t="str">
        <f>IFERROR(__xludf.DUMMYFUNCTION("""COMPUTED_VALUE"""),"A Saya suka membantu teman-teman saya apabila mereka mengalami kesulitan.")</f>
        <v>A Saya suka membantu teman-teman saya apabila mereka mengalami kesulitan.</v>
      </c>
      <c r="K31" s="95" t="str">
        <f>IFERROR(__xludf.DUMMYFUNCTION("""COMPUTED_VALUE"""),"B Saya ingin mengatakan telah melakukan dengan baik sesuatu tugas yang sulit.")</f>
        <v>B Saya ingin mengatakan telah melakukan dengan baik sesuatu tugas yang sulit.</v>
      </c>
      <c r="L31" s="95" t="str">
        <f>IFERROR(__xludf.DUMMYFUNCTION("""COMPUTED_VALUE"""),"A Saya ingin menjadi pemimpin dalam suatu kelompok")</f>
        <v>A Saya ingin menjadi pemimpin dalam suatu kelompok</v>
      </c>
      <c r="M31" s="95" t="str">
        <f>IFERROR(__xludf.DUMMYFUNCTION("""COMPUTED_VALUE"""),"B Saya ingin mengerjakan segala tugas lebih baik daripada orang lain.")</f>
        <v>B Saya ingin mengerjakan segala tugas lebih baik daripada orang lain.</v>
      </c>
      <c r="N31" s="95" t="str">
        <f>IFERROR(__xludf.DUMMYFUNCTION("""COMPUTED_VALUE"""),"A Saya suka pergi dengan pakaian rapi agar lebih menarik perhatian orang lain.")</f>
        <v>A Saya suka pergi dengan pakaian rapi agar lebih menarik perhatian orang lain.</v>
      </c>
      <c r="O31" s="95" t="str">
        <f>IFERROR(__xludf.DUMMYFUNCTION("""COMPUTED_VALUE"""),"B Saya suka melakukan tugas sebaik mungkin.")</f>
        <v>B Saya suka melakukan tugas sebaik mungkin.</v>
      </c>
      <c r="P31" s="95" t="str">
        <f>IFERROR(__xludf.DUMMYFUNCTION("""COMPUTED_VALUE"""),"B Saya ingin setiap belajar itu teratur dan direncanakan.")</f>
        <v>B Saya ingin setiap belajar itu teratur dan direncanakan.</v>
      </c>
      <c r="Q31" s="95" t="str">
        <f>IFERROR(__xludf.DUMMYFUNCTION("""COMPUTED_VALUE"""),"B Saya merencanakan keperluan yang dibutuhkan sebelum bepergian.")</f>
        <v>B Saya merencanakan keperluan yang dibutuhkan sebelum bepergian.</v>
      </c>
      <c r="R31" s="95" t="str">
        <f>IFERROR(__xludf.DUMMYFUNCTION("""COMPUTED_VALUE"""),"B Saya suka barang-barang saya tersusun rapi dan teratur.")</f>
        <v>B Saya suka barang-barang saya tersusun rapi dan teratur.</v>
      </c>
      <c r="S31" s="95" t="str">
        <f>IFERROR(__xludf.DUMMYFUNCTION("""COMPUTED_VALUE"""),"B Saya suka membuat perencanaan sebelum memulai tugas yang sulit.")</f>
        <v>B Saya suka membuat perencanaan sebelum memulai tugas yang sulit.</v>
      </c>
      <c r="T31" s="95" t="str">
        <f>IFERROR(__xludf.DUMMYFUNCTION("""COMPUTED_VALUE"""),"B Saya ingin agar hidup saya teratur sesuai cita-cita saya.")</f>
        <v>B Saya ingin agar hidup saya teratur sesuai cita-cita saya.</v>
      </c>
      <c r="U31" s="95" t="str">
        <f>IFERROR(__xludf.DUMMYFUNCTION("""COMPUTED_VALUE"""),"A Saya suka memberikan bantuan kepada teman-teman saya.")</f>
        <v>A Saya suka memberikan bantuan kepada teman-teman saya.</v>
      </c>
      <c r="V31" s="95" t="str">
        <f>IFERROR(__xludf.DUMMYFUNCTION("""COMPUTED_VALUE"""),"B Saya suka belajar saya teratur dan ada waktu-waktu tertentu untuk belajar.")</f>
        <v>B Saya suka belajar saya teratur dan ada waktu-waktu tertentu untuk belajar.</v>
      </c>
      <c r="W31" s="95" t="str">
        <f>IFERROR(__xludf.DUMMYFUNCTION("""COMPUTED_VALUE"""),"A Saya suka melakukan kegiatan sesuai kondisi yang saya inginkan.")</f>
        <v>A Saya suka melakukan kegiatan sesuai kondisi yang saya inginkan.</v>
      </c>
      <c r="X31" s="95" t="str">
        <f>IFERROR(__xludf.DUMMYFUNCTION("""COMPUTED_VALUE"""),"B Saya ingin agar hidup saya teratur sesuai cita-cita saya.")</f>
        <v>B Saya ingin agar hidup saya teratur sesuai cita-cita saya.</v>
      </c>
      <c r="Y31" s="95" t="str">
        <f>IFERROR(__xludf.DUMMYFUNCTION("""COMPUTED_VALUE"""),"B Saya senang merencanakan untuk masa depan.")</f>
        <v>B Saya senang merencanakan untuk masa depan.</v>
      </c>
      <c r="Z31" s="95" t="str">
        <f>IFERROR(__xludf.DUMMYFUNCTION("""COMPUTED_VALUE"""),"A Saya ingin berhasil dengan belajar yang saya lakukan.")</f>
        <v>A Saya ingin berhasil dengan belajar yang saya lakukan.</v>
      </c>
      <c r="AA31" s="95" t="str">
        <f>IFERROR(__xludf.DUMMYFUNCTION("""COMPUTED_VALUE"""),"B Saya tidak suka pada orang yang berbuat seenaknya sendiri.")</f>
        <v>B Saya tidak suka pada orang yang berbuat seenaknya sendiri.</v>
      </c>
      <c r="AB31" s="95" t="str">
        <f>IFERROR(__xludf.DUMMYFUNCTION("""COMPUTED_VALUE"""),"B Saya ingin menyelesaikan pekerjaan satu persatu sebelum memulai yang lain.")</f>
        <v>B Saya ingin menyelesaikan pekerjaan satu persatu sebelum memulai yang lain.</v>
      </c>
      <c r="AC31" s="95" t="str">
        <f>IFERROR(__xludf.DUMMYFUNCTION("""COMPUTED_VALUE"""),"B Saya suka melakukan kegiatan sesuai kondisi yang saya inginkan.")</f>
        <v>B Saya suka melakukan kegiatan sesuai kondisi yang saya inginkan.</v>
      </c>
      <c r="AD31" s="95" t="str">
        <f>IFERROR(__xludf.DUMMYFUNCTION("""COMPUTED_VALUE"""),"A Saya suka bermurah hati terhadap teman-teman saya.")</f>
        <v>A Saya suka bermurah hati terhadap teman-teman saya.</v>
      </c>
      <c r="AE31" s="95" t="str">
        <f>IFERROR(__xludf.DUMMYFUNCTION("""COMPUTED_VALUE"""),"B Saya suka melakukan hal-hal yang dianggap orang lain tidak sesuai.")</f>
        <v>B Saya suka melakukan hal-hal yang dianggap orang lain tidak sesuai.</v>
      </c>
      <c r="AF31" s="95" t="str">
        <f>IFERROR(__xludf.DUMMYFUNCTION("""COMPUTED_VALUE"""),"B Saya suka melakukan hal-hal dengan cara saya sendiri.")</f>
        <v>B Saya suka melakukan hal-hal dengan cara saya sendiri.</v>
      </c>
      <c r="AG31" s="95" t="str">
        <f>IFERROR(__xludf.DUMMYFUNCTION("""COMPUTED_VALUE"""),"A Saya mengajari orang lain bagaimana mereka harus melakukan pekerjaan mereka.")</f>
        <v>A Saya mengajari orang lain bagaimana mereka harus melakukan pekerjaan mereka.</v>
      </c>
      <c r="AH31" s="95" t="str">
        <f>IFERROR(__xludf.DUMMYFUNCTION("""COMPUTED_VALUE"""),"B Saya ingin merasa bebas untuk melakukan apa yang saya kehendaki.")</f>
        <v>B Saya ingin merasa bebas untuk melakukan apa yang saya kehendaki.</v>
      </c>
      <c r="AI31" s="95" t="str">
        <f>IFERROR(__xludf.DUMMYFUNCTION("""COMPUTED_VALUE"""),"B Saya suka melakukan kegiatan sesuai kondisi yang saya inginkan.")</f>
        <v>B Saya suka melakukan kegiatan sesuai kondisi yang saya inginkan.</v>
      </c>
      <c r="AJ31" s="95" t="str">
        <f>IFERROR(__xludf.DUMMYFUNCTION("""COMPUTED_VALUE"""),"B Saya suka bertahan menghadapi satu masalah meskipun belum tentu berhasil.")</f>
        <v>B Saya suka bertahan menghadapi satu masalah meskipun belum tentu berhasil.</v>
      </c>
      <c r="AK31" s="95" t="str">
        <f>IFERROR(__xludf.DUMMYFUNCTION("""COMPUTED_VALUE"""),"B Bila saya harus melakukan suatu tugas, saya ingin mengerjakan sampai selesai.")</f>
        <v>B Bila saya harus melakukan suatu tugas, saya ingin mengerjakan sampai selesai.</v>
      </c>
      <c r="AL31" s="95" t="str">
        <f>IFERROR(__xludf.DUMMYFUNCTION("""COMPUTED_VALUE"""),"B Saya ingin menghindarkan gangguan bila saya sedang belajar.")</f>
        <v>B Saya ingin menghindarkan gangguan bila saya sedang belajar.</v>
      </c>
      <c r="AM31" s="95" t="str">
        <f>IFERROR(__xludf.DUMMYFUNCTION("""COMPUTED_VALUE"""),"B Saya suka belajar sampai malam untuk menyelesaikan suatu tugas.")</f>
        <v>B Saya suka belajar sampai malam untuk menyelesaikan suatu tugas.</v>
      </c>
      <c r="AN31" s="95" t="str">
        <f>IFERROR(__xludf.DUMMYFUNCTION("""COMPUTED_VALUE"""),"A Saya tidak suka pada orang yang semena-mena.")</f>
        <v>A Saya tidak suka pada orang yang semena-mena.</v>
      </c>
      <c r="AO31" s="95" t="str">
        <f>IFERROR(__xludf.DUMMYFUNCTION("""COMPUTED_VALUE"""),"A Saya suka berlaku sangat ramah terhadap teman-teman saya.")</f>
        <v>A Saya suka berlaku sangat ramah terhadap teman-teman saya.</v>
      </c>
      <c r="AP31" s="95" t="str">
        <f>IFERROR(__xludf.DUMMYFUNCTION("""COMPUTED_VALUE"""),"B Saya suka bertahan menghadapi satu masalah meskipun belum tentu berhasil.")</f>
        <v>B Saya suka bertahan menghadapi satu masalah meskipun belum tentu berhasil.</v>
      </c>
      <c r="AQ31" s="95" t="str">
        <f>IFERROR(__xludf.DUMMYFUNCTION("""COMPUTED_VALUE"""),"B Bila saya harus melakukan suatu tugas, saya ingin mengerjakan sampai selesai.")</f>
        <v>B Bila saya harus melakukan suatu tugas, saya ingin mengerjakan sampai selesai.</v>
      </c>
      <c r="AR31" s="95" t="str">
        <f>IFERROR(__xludf.DUMMYFUNCTION("""COMPUTED_VALUE"""),"A Saya suka menyimpan catatan secara rapi.")</f>
        <v>A Saya suka menyimpan catatan secara rapi.</v>
      </c>
      <c r="AS31" s="95" t="str">
        <f>IFERROR(__xludf.DUMMYFUNCTION("""COMPUTED_VALUE"""),"B Saya suka belajar sampai malam untuk menyelesaikan suatu tugas.")</f>
        <v>B Saya suka belajar sampai malam untuk menyelesaikan suatu tugas.</v>
      </c>
      <c r="AT31" s="95" t="str">
        <f>IFERROR(__xludf.DUMMYFUNCTION("""COMPUTED_VALUE"""),"A Saya ingin bisa melakukan dengan baik sesuatu pekerjaan sulit.")</f>
        <v>A Saya ingin bisa melakukan dengan baik sesuatu pekerjaan sulit.</v>
      </c>
      <c r="AU31" s="95" t="str">
        <f>IFERROR(__xludf.DUMMYFUNCTION("""COMPUTED_VALUE"""),"B Saya suka bermurah hati terhadap teman-teman saya.")</f>
        <v>B Saya suka bermurah hati terhadap teman-teman saya.</v>
      </c>
      <c r="AV31" s="95" t="str">
        <f>IFERROR(__xludf.DUMMYFUNCTION("""COMPUTED_VALUE"""),"B Saya suka menolong teman-teman saya.")</f>
        <v>B Saya suka menolong teman-teman saya.</v>
      </c>
      <c r="AW31" s="95" t="str">
        <f>IFERROR(__xludf.DUMMYFUNCTION("""COMPUTED_VALUE"""),"B Saya ingin teman-teman saya percaya bahwa saya bisa menolong mereka.")</f>
        <v>B Saya ingin teman-teman saya percaya bahwa saya bisa menolong mereka.</v>
      </c>
      <c r="AX31" s="95" t="str">
        <f>IFERROR(__xludf.DUMMYFUNCTION("""COMPUTED_VALUE"""),"B Saya suka memaafkan teman-teman saya yang menyakiti hati saya.")</f>
        <v>B Saya suka memaafkan teman-teman saya yang menyakiti hati saya.</v>
      </c>
      <c r="AY31" s="95" t="str">
        <f>IFERROR(__xludf.DUMMYFUNCTION("""COMPUTED_VALUE"""),"B Saya suka menolong teman-teman saya apabila mereka dalam kesulitan.")</f>
        <v>B Saya suka menolong teman-teman saya apabila mereka dalam kesulitan.</v>
      </c>
      <c r="AZ31" s="95" t="str">
        <f>IFERROR(__xludf.DUMMYFUNCTION("""COMPUTED_VALUE"""),"A Saya ingin agar teman-teman saya bersimpati dan menghibur saya bila saya sedih.")</f>
        <v>A Saya ingin agar teman-teman saya bersimpati dan menghibur saya bila saya sedih.</v>
      </c>
      <c r="BA31" s="95" t="str">
        <f>IFERROR(__xludf.DUMMYFUNCTION("""COMPUTED_VALUE"""),"B Saya suka memperlakukan orang lain dengan baik dan ramah.")</f>
        <v>B Saya suka memperlakukan orang lain dengan baik dan ramah.</v>
      </c>
      <c r="BB31" s="95" t="str">
        <f>IFERROR(__xludf.DUMMYFUNCTION("""COMPUTED_VALUE"""),"B Saya suka bermurah hati terhadap teman-teman saya.")</f>
        <v>B Saya suka bermurah hati terhadap teman-teman saya.</v>
      </c>
      <c r="BC31" s="95" t="str">
        <f>IFERROR(__xludf.DUMMYFUNCTION("""COMPUTED_VALUE"""),"B Saya suka membantu orang lain yang menurut saya perlu dikasihani.")</f>
        <v>B Saya suka membantu orang lain yang menurut saya perlu dikasihani.</v>
      </c>
      <c r="BD31" s="95" t="str">
        <f>IFERROR(__xludf.DUMMYFUNCTION("""COMPUTED_VALUE"""),"A Saya rasanya ingin menyalahkan orang lain bila keadaan tidak baik bagi saya.")</f>
        <v>A Saya rasanya ingin menyalahkan orang lain bila keadaan tidak baik bagi saya.</v>
      </c>
      <c r="BE31" s="95" t="str">
        <f>IFERROR(__xludf.DUMMYFUNCTION("""COMPUTED_VALUE"""),"A Saya suka mendengarkan atau menceritakan hal-hal yang sebaiknya tidak diceritakan.")</f>
        <v>A Saya suka mendengarkan atau menceritakan hal-hal yang sebaiknya tidak diceritakan.</v>
      </c>
      <c r="BF31" s="95" t="str">
        <f>IFERROR(__xludf.DUMMYFUNCTION("""COMPUTED_VALUE"""),"A Saya ingin orang lain memperhatikan dan berkomentar tentang penampilan saya.")</f>
        <v>A Saya ingin orang lain memperhatikan dan berkomentar tentang penampilan saya.</v>
      </c>
      <c r="BG31" s="95" t="str">
        <f>IFERROR(__xludf.DUMMYFUNCTION("""COMPUTED_VALUE"""),"B Saya suka mengarahkan kepada orang lain apa yang harus dilakukan.")</f>
        <v>B Saya suka mengarahkan kepada orang lain apa yang harus dilakukan.</v>
      </c>
      <c r="BH31" s="95" t="str">
        <f>IFERROR(__xludf.DUMMYFUNCTION("""COMPUTED_VALUE"""),"A Saya suka menghindar dari situasi yang tidak saya harapkan.")</f>
        <v>A Saya suka menghindar dari situasi yang tidak saya harapkan.</v>
      </c>
      <c r="BI31" s="95" t="str">
        <f>IFERROR(__xludf.DUMMYFUNCTION("""COMPUTED_VALUE"""),"A Saya suka bermurah hati terhadap teman-teman saya.")</f>
        <v>A Saya suka bermurah hati terhadap teman-teman saya.</v>
      </c>
      <c r="BJ31" s="95" t="str">
        <f>IFERROR(__xludf.DUMMYFUNCTION("""COMPUTED_VALUE"""),"A Saya ingin mengerjakan tugas sampai selesai.")</f>
        <v>A Saya ingin mengerjakan tugas sampai selesai.</v>
      </c>
      <c r="BK31" s="95" t="str">
        <f>IFERROR(__xludf.DUMMYFUNCTION("""COMPUTED_VALUE"""),"A Saya ingin menyelesaikan pekerjaan satu persatu sebelum memulai yang lain.")</f>
        <v>A Saya ingin menyelesaikan pekerjaan satu persatu sebelum memulai yang lain.</v>
      </c>
      <c r="BL31" s="95" t="str">
        <f>IFERROR(__xludf.DUMMYFUNCTION("""COMPUTED_VALUE"""),"A Saya suka belajar saya teratur dan ada waktu-waktu tertentu untuk belajar.")</f>
        <v>A Saya suka belajar saya teratur dan ada waktu-waktu tertentu untuk belajar.</v>
      </c>
      <c r="BM31" s="95" t="str">
        <f>IFERROR(__xludf.DUMMYFUNCTION("""COMPUTED_VALUE"""),"A Saya suka melakukan pekerjaan sebaik mungkin.")</f>
        <v>A Saya suka melakukan pekerjaan sebaik mungkin.</v>
      </c>
      <c r="BN31" s="95" t="str">
        <f>IFERROR(__xludf.DUMMYFUNCTION("""COMPUTED_VALUE"""),"B Saya ingin teman-teman memberi dorongan bila saya menghadapi kegagalan.")</f>
        <v>B Saya ingin teman-teman memberi dorongan bila saya menghadapi kegagalan.</v>
      </c>
      <c r="BO31" s="95" t="str">
        <f>IFERROR(__xludf.DUMMYFUNCTION("""COMPUTED_VALUE"""),"B Saya ingin diperlakukan dengan baik oleh teman-teman saya.")</f>
        <v>B Saya ingin diperlakukan dengan baik oleh teman-teman saya.</v>
      </c>
      <c r="BP31" s="95" t="str">
        <f>IFERROR(__xludf.DUMMYFUNCTION("""COMPUTED_VALUE"""),"A Saya ingin menyelesaikan sesuatu yang sangat penting artinya.")</f>
        <v>A Saya ingin menyelesaikan sesuatu yang sangat penting artinya.</v>
      </c>
      <c r="BQ31" s="95" t="str">
        <f>IFERROR(__xludf.DUMMYFUNCTION("""COMPUTED_VALUE"""),"A Saya ingin mengerjakannya tugas sampai selesai.")</f>
        <v>A Saya ingin mengerjakannya tugas sampai selesai.</v>
      </c>
      <c r="BR31" s="95" t="str">
        <f>IFERROR(__xludf.DUMMYFUNCTION("""COMPUTED_VALUE"""),"A Saya suka memaafkan teman-teman saya yang menyakiti hati saya.")</f>
        <v>A Saya suka memaafkan teman-teman saya yang menyakiti hati saya.</v>
      </c>
      <c r="BS31" s="95" t="str">
        <f>IFERROR(__xludf.DUMMYFUNCTION("""COMPUTED_VALUE"""),"B Saya ingin teman-teman saya membantu saya bila saya mengalami kesulitan")</f>
        <v>B Saya ingin teman-teman saya membantu saya bila saya mengalami kesulitan</v>
      </c>
      <c r="BT31" s="95" t="str">
        <f>IFERROR(__xludf.DUMMYFUNCTION("""COMPUTED_VALUE"""),"B Saya ingin teman-teman banyak menunjukkan rasa sayang mereka terhadap saya.")</f>
        <v>B Saya ingin teman-teman banyak menunjukkan rasa sayang mereka terhadap saya.</v>
      </c>
      <c r="BU31" s="95" t="str">
        <f>IFERROR(__xludf.DUMMYFUNCTION("""COMPUTED_VALUE"""),"A Saya kadang-kadang suka melakukan hal-hal yang dapat dipuji oleh orang lain.")</f>
        <v>A Saya kadang-kadang suka melakukan hal-hal yang dapat dipuji oleh orang lain.</v>
      </c>
      <c r="BV31" s="95" t="str">
        <f>IFERROR(__xludf.DUMMYFUNCTION("""COMPUTED_VALUE"""),"B Saya ingin teman-teman dengan gembira memberikan pertolongan kepada saya.")</f>
        <v>B Saya ingin teman-teman dengan gembira memberikan pertolongan kepada saya.</v>
      </c>
      <c r="BW31" s="95" t="str">
        <f>IFERROR(__xludf.DUMMYFUNCTION("""COMPUTED_VALUE"""),"B Saya ingin diperlakukan dengan baik oleh teman-teman saya.")</f>
        <v>B Saya ingin diperlakukan dengan baik oleh teman-teman saya.</v>
      </c>
      <c r="BX31" s="95" t="str">
        <f>IFERROR(__xludf.DUMMYFUNCTION("""COMPUTED_VALUE"""),"B Saya kadang-kadang suka melakukan hal-hal yang dapat dipuji oleh orang lain.")</f>
        <v>B Saya kadang-kadang suka melakukan hal-hal yang dapat dipuji oleh orang lain.</v>
      </c>
      <c r="BY31" s="95" t="str">
        <f>IFERROR(__xludf.DUMMYFUNCTION("""COMPUTED_VALUE"""),"B Saya ingin orang lain memperhatikan dan berkomentar tentang penampilan saya.")</f>
        <v>B Saya ingin orang lain memperhatikan dan berkomentar tentang penampilan saya.</v>
      </c>
      <c r="BZ31" s="95" t="str">
        <f>IFERROR(__xludf.DUMMYFUNCTION("""COMPUTED_VALUE"""),"A Saya suka berkata yang artinya sulit dipahami oleh orang lain.")</f>
        <v>A Saya suka berkata yang artinya sulit dipahami oleh orang lain.</v>
      </c>
      <c r="CA31" s="95" t="str">
        <f>IFERROR(__xludf.DUMMYFUNCTION("""COMPUTED_VALUE"""),"A Saya ingin teman-teman dengan gembira memberikan pertolongan kepada saya.")</f>
        <v>A Saya ingin teman-teman dengan gembira memberikan pertolongan kepada saya.</v>
      </c>
      <c r="CB31" s="95" t="str">
        <f>IFERROR(__xludf.DUMMYFUNCTION("""COMPUTED_VALUE"""),"B Saya suka berbicara tentang hal-hal yang telah saya capai.")</f>
        <v>B Saya suka berbicara tentang hal-hal yang telah saya capai.</v>
      </c>
      <c r="CC31" s="95" t="str">
        <f>IFERROR(__xludf.DUMMYFUNCTION("""COMPUTED_VALUE"""),"A Apabila saya berkumpul dalam kelompok, saya ingin dihargai teman-teman.")</f>
        <v>A Apabila saya berkumpul dalam kelompok, saya ingin dihargai teman-teman.</v>
      </c>
      <c r="CD31" s="95" t="str">
        <f>IFERROR(__xludf.DUMMYFUNCTION("""COMPUTED_VALUE"""),"A Saya suka menyelesaikan setiap tugas meskipun membutuhkan waktu lama.")</f>
        <v>A Saya suka menyelesaikan setiap tugas meskipun membutuhkan waktu lama.</v>
      </c>
      <c r="CE31" s="95" t="str">
        <f>IFERROR(__xludf.DUMMYFUNCTION("""COMPUTED_VALUE"""),"A Saya suka menyelesaikan setiap tugas belajar yang telah saya mulai.")</f>
        <v>A Saya suka menyelesaikan setiap tugas belajar yang telah saya mulai.</v>
      </c>
      <c r="CF31" s="95" t="str">
        <f>IFERROR(__xludf.DUMMYFUNCTION("""COMPUTED_VALUE"""),"A Saya ingin agar hidup saya teratur sesuai cita-cita saya.")</f>
        <v>A Saya ingin agar hidup saya teratur sesuai cita-cita saya.</v>
      </c>
      <c r="CG31" s="95" t="str">
        <f>IFERROR(__xludf.DUMMYFUNCTION("""COMPUTED_VALUE"""),"A Saya ingin berhasil dalam apa yang saya lakukan.")</f>
        <v>A Saya ingin berhasil dalam apa yang saya lakukan.</v>
      </c>
      <c r="CH31" s="95" t="str">
        <f>IFERROR(__xludf.DUMMYFUNCTION("""COMPUTED_VALUE"""),"B Saya suka dengan orang yang berpenampilan menarik.")</f>
        <v>B Saya suka dengan orang yang berpenampilan menarik.</v>
      </c>
      <c r="CI31" s="95" t="str">
        <f>IFERROR(__xludf.DUMMYFUNCTION("""COMPUTED_VALUE"""),"A Saya suka belajar saya teratur dan ada waktu-waktu tertentu untuk belajar.")</f>
        <v>A Saya suka belajar saya teratur dan ada waktu-waktu tertentu untuk belajar.</v>
      </c>
      <c r="CJ31" s="95" t="str">
        <f>IFERROR(__xludf.DUMMYFUNCTION("""COMPUTED_VALUE"""),"A Saya ingin tidak tergantung dari orang lain terhadap apa yang akan saya lakukan.")</f>
        <v>A Saya ingin tidak tergantung dari orang lain terhadap apa yang akan saya lakukan.</v>
      </c>
      <c r="CK31" s="95" t="str">
        <f>IFERROR(__xludf.DUMMYFUNCTION("""COMPUTED_VALUE"""),"B Saya senang ikut beraktivitas bersama teman sebaya saya.")</f>
        <v>B Saya senang ikut beraktivitas bersama teman sebaya saya.</v>
      </c>
      <c r="CL31" s="95" t="str">
        <f>IFERROR(__xludf.DUMMYFUNCTION("""COMPUTED_VALUE"""),"A Saya suka menolong teman-teman saya, apabila mereka dalam kesulitan.")</f>
        <v>A Saya suka menolong teman-teman saya, apabila mereka dalam kesulitan.</v>
      </c>
      <c r="CM31" s="95" t="str">
        <f>IFERROR(__xludf.DUMMYFUNCTION("""COMPUTED_VALUE"""),"B Saya merasa kagum pada seseorang.")</f>
        <v>B Saya merasa kagum pada seseorang.</v>
      </c>
      <c r="CN31" s="95" t="str">
        <f>IFERROR(__xludf.DUMMYFUNCTION("""COMPUTED_VALUE"""),"B Saya suka mendengarkan atau menceritakan hal-hal yang tidak pantas.")</f>
        <v>B Saya suka mendengarkan atau menceritakan hal-hal yang tidak pantas.</v>
      </c>
      <c r="CO31" s="95" t="str">
        <f>IFERROR(__xludf.DUMMYFUNCTION("""COMPUTED_VALUE"""),"A Saya suka menceritakan hal-hal lucu agar diperhatikan oleh orang lain.")</f>
        <v>A Saya suka menceritakan hal-hal lucu agar diperhatikan oleh orang lain.</v>
      </c>
      <c r="CP31" s="95" t="str">
        <f>IFERROR(__xludf.DUMMYFUNCTION("""COMPUTED_VALUE"""),"A Saya suka melamun atau membayangkan sesuatu sendirian.")</f>
        <v>A Saya suka melamun atau membayangkan sesuatu sendirian.</v>
      </c>
      <c r="CQ31" s="95" t="str">
        <f>IFERROR(__xludf.DUMMYFUNCTION("""COMPUTED_VALUE"""),"B Saya merasa kagum pada seseorang.")</f>
        <v>B Saya merasa kagum pada seseorang.</v>
      </c>
      <c r="CR31" s="95" t="str">
        <f>IFERROR(__xludf.DUMMYFUNCTION("""COMPUTED_VALUE"""),"A Saya ingin memperolok-olok orang yang saya anggap melakukan tindakan bodoh.")</f>
        <v>A Saya ingin memperolok-olok orang yang saya anggap melakukan tindakan bodoh.</v>
      </c>
      <c r="CS31" s="95" t="str">
        <f>IFERROR(__xludf.DUMMYFUNCTION("""COMPUTED_VALUE"""),"A Saya ingin terlihat menarik di depan teman-teman saya.")</f>
        <v>A Saya ingin terlihat menarik di depan teman-teman saya.</v>
      </c>
      <c r="CT31" s="95" t="str">
        <f>IFERROR(__xludf.DUMMYFUNCTION("""COMPUTED_VALUE"""),"A Saya ingin orang-orang memperhatikan komentar mengenai penampilan saya.")</f>
        <v>A Saya ingin orang-orang memperhatikan komentar mengenai penampilan saya.</v>
      </c>
      <c r="CU31" s="95" t="str">
        <f>IFERROR(__xludf.DUMMYFUNCTION("""COMPUTED_VALUE"""),"A Saya ingin diperlakukan dengan ramah oleh teman-teman saya.")</f>
        <v>A Saya ingin diperlakukan dengan ramah oleh teman-teman saya.</v>
      </c>
      <c r="CV31" s="95" t="str">
        <f>IFERROR(__xludf.DUMMYFUNCTION("""COMPUTED_VALUE"""),"B Saya menyerang pendirian-pendirian yang bertentangan dengan pendirian saya.")</f>
        <v>B Saya menyerang pendirian-pendirian yang bertentangan dengan pendirian saya.</v>
      </c>
      <c r="CW31" s="95" t="str">
        <f>IFERROR(__xludf.DUMMYFUNCTION("""COMPUTED_VALUE"""),"A Saya suka menolong teman-teman saya, apabila mereka dalam kesulitan.")</f>
        <v>A Saya suka menolong teman-teman saya, apabila mereka dalam kesulitan.</v>
      </c>
      <c r="CX31" s="95" t="str">
        <f>IFERROR(__xludf.DUMMYFUNCTION("""COMPUTED_VALUE"""),"A Saya suka belajar sampai malam untuk menyelesaikan suatu tugas.")</f>
        <v>A Saya suka belajar sampai malam untuk menyelesaikan suatu tugas.</v>
      </c>
      <c r="CY31" s="95" t="str">
        <f>IFERROR(__xludf.DUMMYFUNCTION("""COMPUTED_VALUE"""),"A Saya ingin tidak tergantung dari orang lain terhadap apa yang akan saya lakukan.")</f>
        <v>A Saya ingin tidak tergantung dari orang lain terhadap apa yang akan saya lakukan.</v>
      </c>
      <c r="CZ31" s="95" t="str">
        <f>IFERROR(__xludf.DUMMYFUNCTION("""COMPUTED_VALUE"""),"A Saya suka merencanakan dan mengatur setiap pekerjaan yang harus saya lakukan.")</f>
        <v>A Saya suka merencanakan dan mengatur setiap pekerjaan yang harus saya lakukan.</v>
      </c>
      <c r="DA31" s="95" t="str">
        <f>IFERROR(__xludf.DUMMYFUNCTION("""COMPUTED_VALUE"""),"A Saya ingin melakukan apa saja sebaik mungkin.")</f>
        <v>A Saya ingin melakukan apa saja sebaik mungkin.</v>
      </c>
      <c r="DB31" s="89" t="s">
        <v>23</v>
      </c>
      <c r="DC31" s="97" t="str">
        <f t="shared" ref="DC31:GX31" si="76">LEFT(F31,1)</f>
        <v>B</v>
      </c>
      <c r="DD31" s="97" t="str">
        <f t="shared" si="76"/>
        <v>A</v>
      </c>
      <c r="DE31" s="97" t="str">
        <f t="shared" si="76"/>
        <v>B</v>
      </c>
      <c r="DF31" s="97" t="str">
        <f t="shared" si="76"/>
        <v>B</v>
      </c>
      <c r="DG31" s="97" t="str">
        <f t="shared" si="76"/>
        <v>A</v>
      </c>
      <c r="DH31" s="97" t="str">
        <f t="shared" si="76"/>
        <v>B</v>
      </c>
      <c r="DI31" s="97" t="str">
        <f t="shared" si="76"/>
        <v>A</v>
      </c>
      <c r="DJ31" s="97" t="str">
        <f t="shared" si="76"/>
        <v>B</v>
      </c>
      <c r="DK31" s="97" t="str">
        <f t="shared" si="76"/>
        <v>A</v>
      </c>
      <c r="DL31" s="97" t="str">
        <f t="shared" si="76"/>
        <v>B</v>
      </c>
      <c r="DM31" s="97" t="str">
        <f t="shared" si="76"/>
        <v>B</v>
      </c>
      <c r="DN31" s="97" t="str">
        <f t="shared" si="76"/>
        <v>B</v>
      </c>
      <c r="DO31" s="97" t="str">
        <f t="shared" si="76"/>
        <v>B</v>
      </c>
      <c r="DP31" s="97" t="str">
        <f t="shared" si="76"/>
        <v>B</v>
      </c>
      <c r="DQ31" s="97" t="str">
        <f t="shared" si="76"/>
        <v>B</v>
      </c>
      <c r="DR31" s="97" t="str">
        <f t="shared" si="76"/>
        <v>A</v>
      </c>
      <c r="DS31" s="97" t="str">
        <f t="shared" si="76"/>
        <v>B</v>
      </c>
      <c r="DT31" s="97" t="str">
        <f t="shared" si="76"/>
        <v>A</v>
      </c>
      <c r="DU31" s="97" t="str">
        <f t="shared" si="76"/>
        <v>B</v>
      </c>
      <c r="DV31" s="97" t="str">
        <f t="shared" si="76"/>
        <v>B</v>
      </c>
      <c r="DW31" s="97" t="str">
        <f t="shared" si="76"/>
        <v>A</v>
      </c>
      <c r="DX31" s="97" t="str">
        <f t="shared" si="76"/>
        <v>B</v>
      </c>
      <c r="DY31" s="97" t="str">
        <f t="shared" si="76"/>
        <v>B</v>
      </c>
      <c r="DZ31" s="97" t="str">
        <f t="shared" si="76"/>
        <v>B</v>
      </c>
      <c r="EA31" s="97" t="str">
        <f t="shared" si="76"/>
        <v>A</v>
      </c>
      <c r="EB31" s="97" t="str">
        <f t="shared" si="76"/>
        <v>B</v>
      </c>
      <c r="EC31" s="97" t="str">
        <f t="shared" si="76"/>
        <v>B</v>
      </c>
      <c r="ED31" s="97" t="str">
        <f t="shared" si="76"/>
        <v>A</v>
      </c>
      <c r="EE31" s="97" t="str">
        <f t="shared" si="76"/>
        <v>B</v>
      </c>
      <c r="EF31" s="97" t="str">
        <f t="shared" si="76"/>
        <v>B</v>
      </c>
      <c r="EG31" s="97" t="str">
        <f t="shared" si="76"/>
        <v>B</v>
      </c>
      <c r="EH31" s="97" t="str">
        <f t="shared" si="76"/>
        <v>B</v>
      </c>
      <c r="EI31" s="97" t="str">
        <f t="shared" si="76"/>
        <v>B</v>
      </c>
      <c r="EJ31" s="97" t="str">
        <f t="shared" si="76"/>
        <v>B</v>
      </c>
      <c r="EK31" s="97" t="str">
        <f t="shared" si="76"/>
        <v>A</v>
      </c>
      <c r="EL31" s="97" t="str">
        <f t="shared" si="76"/>
        <v>A</v>
      </c>
      <c r="EM31" s="97" t="str">
        <f t="shared" si="76"/>
        <v>B</v>
      </c>
      <c r="EN31" s="97" t="str">
        <f t="shared" si="76"/>
        <v>B</v>
      </c>
      <c r="EO31" s="97" t="str">
        <f t="shared" si="76"/>
        <v>A</v>
      </c>
      <c r="EP31" s="97" t="str">
        <f t="shared" si="76"/>
        <v>B</v>
      </c>
      <c r="EQ31" s="97" t="str">
        <f t="shared" si="76"/>
        <v>A</v>
      </c>
      <c r="ER31" s="97" t="str">
        <f t="shared" si="76"/>
        <v>B</v>
      </c>
      <c r="ES31" s="97" t="str">
        <f t="shared" si="76"/>
        <v>B</v>
      </c>
      <c r="ET31" s="97" t="str">
        <f t="shared" si="76"/>
        <v>B</v>
      </c>
      <c r="EU31" s="97" t="str">
        <f t="shared" si="76"/>
        <v>B</v>
      </c>
      <c r="EV31" s="97" t="str">
        <f t="shared" si="76"/>
        <v>B</v>
      </c>
      <c r="EW31" s="97" t="str">
        <f t="shared" si="76"/>
        <v>A</v>
      </c>
      <c r="EX31" s="97" t="str">
        <f t="shared" si="76"/>
        <v>B</v>
      </c>
      <c r="EY31" s="97" t="str">
        <f t="shared" si="76"/>
        <v>B</v>
      </c>
      <c r="EZ31" s="97" t="str">
        <f t="shared" si="76"/>
        <v>B</v>
      </c>
      <c r="FA31" s="97" t="str">
        <f t="shared" si="76"/>
        <v>A</v>
      </c>
      <c r="FB31" s="97" t="str">
        <f t="shared" si="76"/>
        <v>A</v>
      </c>
      <c r="FC31" s="97" t="str">
        <f t="shared" si="76"/>
        <v>A</v>
      </c>
      <c r="FD31" s="97" t="str">
        <f t="shared" si="76"/>
        <v>B</v>
      </c>
      <c r="FE31" s="97" t="str">
        <f t="shared" si="76"/>
        <v>A</v>
      </c>
      <c r="FF31" s="97" t="str">
        <f t="shared" si="76"/>
        <v>A</v>
      </c>
      <c r="FG31" s="97" t="str">
        <f t="shared" si="76"/>
        <v>A</v>
      </c>
      <c r="FH31" s="97" t="str">
        <f t="shared" si="76"/>
        <v>A</v>
      </c>
      <c r="FI31" s="97" t="str">
        <f t="shared" si="76"/>
        <v>A</v>
      </c>
      <c r="FJ31" s="97" t="str">
        <f t="shared" si="76"/>
        <v>A</v>
      </c>
      <c r="FK31" s="97" t="str">
        <f t="shared" si="76"/>
        <v>B</v>
      </c>
      <c r="FL31" s="97" t="str">
        <f t="shared" si="76"/>
        <v>B</v>
      </c>
      <c r="FM31" s="97" t="str">
        <f t="shared" si="76"/>
        <v>A</v>
      </c>
      <c r="FN31" s="97" t="str">
        <f t="shared" si="76"/>
        <v>A</v>
      </c>
      <c r="FO31" s="97" t="str">
        <f t="shared" si="76"/>
        <v>A</v>
      </c>
      <c r="FP31" s="97" t="str">
        <f t="shared" si="76"/>
        <v>B</v>
      </c>
      <c r="FQ31" s="97" t="str">
        <f t="shared" si="76"/>
        <v>B</v>
      </c>
      <c r="FR31" s="97" t="str">
        <f t="shared" si="76"/>
        <v>A</v>
      </c>
      <c r="FS31" s="97" t="str">
        <f t="shared" si="76"/>
        <v>B</v>
      </c>
      <c r="FT31" s="97" t="str">
        <f t="shared" si="76"/>
        <v>B</v>
      </c>
      <c r="FU31" s="97" t="str">
        <f t="shared" si="76"/>
        <v>B</v>
      </c>
      <c r="FV31" s="97" t="str">
        <f t="shared" si="76"/>
        <v>B</v>
      </c>
      <c r="FW31" s="97" t="str">
        <f t="shared" si="76"/>
        <v>A</v>
      </c>
      <c r="FX31" s="97" t="str">
        <f t="shared" si="76"/>
        <v>A</v>
      </c>
      <c r="FY31" s="97" t="str">
        <f t="shared" si="76"/>
        <v>B</v>
      </c>
      <c r="FZ31" s="97" t="str">
        <f t="shared" si="76"/>
        <v>A</v>
      </c>
      <c r="GA31" s="97" t="str">
        <f t="shared" si="76"/>
        <v>A</v>
      </c>
      <c r="GB31" s="97" t="str">
        <f t="shared" si="76"/>
        <v>A</v>
      </c>
      <c r="GC31" s="97" t="str">
        <f t="shared" si="76"/>
        <v>A</v>
      </c>
      <c r="GD31" s="97" t="str">
        <f t="shared" si="76"/>
        <v>A</v>
      </c>
      <c r="GE31" s="97" t="str">
        <f t="shared" si="76"/>
        <v>B</v>
      </c>
      <c r="GF31" s="97" t="str">
        <f t="shared" si="76"/>
        <v>A</v>
      </c>
      <c r="GG31" s="97" t="str">
        <f t="shared" si="76"/>
        <v>A</v>
      </c>
      <c r="GH31" s="97" t="str">
        <f t="shared" si="76"/>
        <v>B</v>
      </c>
      <c r="GI31" s="97" t="str">
        <f t="shared" si="76"/>
        <v>A</v>
      </c>
      <c r="GJ31" s="97" t="str">
        <f t="shared" si="76"/>
        <v>B</v>
      </c>
      <c r="GK31" s="97" t="str">
        <f t="shared" si="76"/>
        <v>B</v>
      </c>
      <c r="GL31" s="97" t="str">
        <f t="shared" si="76"/>
        <v>A</v>
      </c>
      <c r="GM31" s="97" t="str">
        <f t="shared" si="76"/>
        <v>A</v>
      </c>
      <c r="GN31" s="97" t="str">
        <f t="shared" si="76"/>
        <v>B</v>
      </c>
      <c r="GO31" s="97" t="str">
        <f t="shared" si="76"/>
        <v>A</v>
      </c>
      <c r="GP31" s="97" t="str">
        <f t="shared" si="76"/>
        <v>A</v>
      </c>
      <c r="GQ31" s="97" t="str">
        <f t="shared" si="76"/>
        <v>A</v>
      </c>
      <c r="GR31" s="97" t="str">
        <f t="shared" si="76"/>
        <v>A</v>
      </c>
      <c r="GS31" s="97" t="str">
        <f t="shared" si="76"/>
        <v>B</v>
      </c>
      <c r="GT31" s="97" t="str">
        <f t="shared" si="76"/>
        <v>A</v>
      </c>
      <c r="GU31" s="97" t="str">
        <f t="shared" si="76"/>
        <v>A</v>
      </c>
      <c r="GV31" s="97" t="str">
        <f t="shared" si="76"/>
        <v>A</v>
      </c>
      <c r="GW31" s="97" t="str">
        <f t="shared" si="76"/>
        <v>A</v>
      </c>
      <c r="GX31" s="97" t="str">
        <f t="shared" si="76"/>
        <v>A</v>
      </c>
      <c r="GY31" s="98"/>
      <c r="GZ31" s="97">
        <f t="shared" si="3"/>
        <v>48</v>
      </c>
      <c r="HA31" s="97">
        <f t="shared" si="4"/>
        <v>52</v>
      </c>
      <c r="HB31" s="90">
        <f t="shared" si="5"/>
        <v>100</v>
      </c>
      <c r="HC31" s="99"/>
      <c r="HD31" s="97">
        <f t="shared" si="6"/>
        <v>5</v>
      </c>
      <c r="HE31" s="97">
        <f t="shared" si="7"/>
        <v>5</v>
      </c>
      <c r="HF31" s="90">
        <f t="shared" si="8"/>
        <v>10</v>
      </c>
      <c r="HG31" s="99"/>
      <c r="HH31" s="97">
        <f t="shared" si="9"/>
        <v>6</v>
      </c>
      <c r="HI31" s="97">
        <f t="shared" si="10"/>
        <v>8</v>
      </c>
      <c r="HJ31" s="90">
        <f t="shared" si="11"/>
        <v>14</v>
      </c>
      <c r="HK31" s="99"/>
      <c r="HL31" s="97">
        <f t="shared" si="12"/>
        <v>6</v>
      </c>
      <c r="HM31" s="97">
        <f t="shared" si="13"/>
        <v>7</v>
      </c>
      <c r="HN31" s="90">
        <f t="shared" si="14"/>
        <v>13</v>
      </c>
      <c r="HO31" s="99"/>
      <c r="HP31" s="97">
        <f t="shared" si="15"/>
        <v>4</v>
      </c>
      <c r="HQ31" s="97">
        <f t="shared" si="16"/>
        <v>7</v>
      </c>
      <c r="HR31" s="90">
        <f t="shared" si="17"/>
        <v>11</v>
      </c>
      <c r="HS31" s="99"/>
      <c r="HT31" s="97">
        <f t="shared" si="18"/>
        <v>9</v>
      </c>
      <c r="HU31" s="97">
        <f t="shared" si="19"/>
        <v>8</v>
      </c>
      <c r="HV31" s="90">
        <f t="shared" si="20"/>
        <v>17</v>
      </c>
      <c r="HW31" s="99"/>
      <c r="HX31" s="97">
        <f t="shared" si="21"/>
        <v>1</v>
      </c>
      <c r="HY31" s="97">
        <f t="shared" si="22"/>
        <v>1</v>
      </c>
      <c r="HZ31" s="90">
        <f t="shared" si="23"/>
        <v>2</v>
      </c>
      <c r="IA31" s="99"/>
      <c r="IB31" s="97">
        <f t="shared" si="24"/>
        <v>4</v>
      </c>
      <c r="IC31" s="97">
        <f t="shared" si="25"/>
        <v>6</v>
      </c>
      <c r="ID31" s="90">
        <f t="shared" si="26"/>
        <v>10</v>
      </c>
      <c r="IE31" s="99"/>
      <c r="IF31" s="97">
        <f t="shared" si="27"/>
        <v>5</v>
      </c>
      <c r="IG31" s="97">
        <f t="shared" si="28"/>
        <v>3</v>
      </c>
      <c r="IH31" s="90">
        <f t="shared" si="29"/>
        <v>8</v>
      </c>
      <c r="II31" s="99"/>
      <c r="IJ31" s="97">
        <f t="shared" si="30"/>
        <v>3</v>
      </c>
      <c r="IK31" s="97">
        <f t="shared" si="31"/>
        <v>5</v>
      </c>
      <c r="IL31" s="90">
        <f t="shared" si="32"/>
        <v>8</v>
      </c>
      <c r="IM31" s="99"/>
      <c r="IN31" s="97">
        <f t="shared" si="33"/>
        <v>1</v>
      </c>
      <c r="IO31" s="97">
        <f t="shared" si="34"/>
        <v>1</v>
      </c>
      <c r="IP31" s="90">
        <f t="shared" si="35"/>
        <v>2</v>
      </c>
      <c r="IQ31" s="99"/>
      <c r="IR31" s="99"/>
      <c r="IS31" s="100">
        <f t="shared" si="36"/>
        <v>10</v>
      </c>
      <c r="IT31" s="100">
        <f t="shared" si="37"/>
        <v>14</v>
      </c>
      <c r="IU31" s="100">
        <f t="shared" si="38"/>
        <v>13</v>
      </c>
      <c r="IV31" s="100">
        <f t="shared" si="39"/>
        <v>11</v>
      </c>
      <c r="IW31" s="100">
        <f t="shared" si="40"/>
        <v>17</v>
      </c>
      <c r="IX31" s="100">
        <f t="shared" si="41"/>
        <v>2</v>
      </c>
      <c r="IY31" s="100">
        <f t="shared" si="42"/>
        <v>10</v>
      </c>
      <c r="IZ31" s="100">
        <f t="shared" si="43"/>
        <v>8</v>
      </c>
      <c r="JA31" s="100">
        <f t="shared" si="44"/>
        <v>8</v>
      </c>
      <c r="JB31" s="101">
        <f t="shared" si="45"/>
        <v>2</v>
      </c>
      <c r="JC31" s="102">
        <f t="shared" si="46"/>
        <v>95</v>
      </c>
      <c r="JD31" s="67">
        <f t="shared" si="50"/>
        <v>0</v>
      </c>
      <c r="JE31" s="67">
        <f t="shared" si="47"/>
        <v>1</v>
      </c>
      <c r="JF31" s="67">
        <f t="shared" si="48"/>
        <v>1</v>
      </c>
    </row>
    <row r="32">
      <c r="A32" s="103">
        <f>IFERROR(__xludf.DUMMYFUNCTION("""COMPUTED_VALUE"""),45926.723397615744)</f>
        <v>45926.7234</v>
      </c>
      <c r="B32" s="95" t="str">
        <f>IFERROR(__xludf.DUMMYFUNCTION("""COMPUTED_VALUE"""),"SITI HAFSHOH SHOLIHAH")</f>
        <v>SITI HAFSHOH SHOLIHAH</v>
      </c>
      <c r="C32" s="96" t="str">
        <f>IFERROR(__xludf.DUMMYFUNCTION("""COMPUTED_VALUE"""),"E250005")</f>
        <v>E250005</v>
      </c>
      <c r="D32" s="96" t="str">
        <f>IFERROR(__xludf.DUMMYFUNCTION("""COMPUTED_VALUE"""),"IL Putri")</f>
        <v>IL Putri</v>
      </c>
      <c r="E32" s="96" t="str">
        <f>IFERROR(__xludf.DUMMYFUNCTION("""COMPUTED_VALUE"""),"Ya")</f>
        <v>Ya</v>
      </c>
      <c r="F32" s="95" t="str">
        <f>IFERROR(__xludf.DUMMYFUNCTION("""COMPUTED_VALUE"""),"B Saya ingin melakukan apa saja sebaik mungkin.")</f>
        <v>B Saya ingin melakukan apa saja sebaik mungkin.</v>
      </c>
      <c r="G32" s="95" t="str">
        <f>IFERROR(__xludf.DUMMYFUNCTION("""COMPUTED_VALUE"""),"A Saya ingin setiap tulisan saya teliti, rapi, dan tersusun dengan baik.")</f>
        <v>A Saya ingin setiap tulisan saya teliti, rapi, dan tersusun dengan baik.</v>
      </c>
      <c r="H32" s="95" t="str">
        <f>IFERROR(__xludf.DUMMYFUNCTION("""COMPUTED_VALUE"""),"B Saya ingin menjadi orang yang diakui dalam suatu pekerjaan atau bidang khusus.")</f>
        <v>B Saya ingin menjadi orang yang diakui dalam suatu pekerjaan atau bidang khusus.</v>
      </c>
      <c r="I32" s="95" t="str">
        <f>IFERROR(__xludf.DUMMYFUNCTION("""COMPUTED_VALUE"""),"B Saya ingin bisa melakukan dengan baik meskipun tugas yang sulit.")</f>
        <v>B Saya ingin bisa melakukan dengan baik meskipun tugas yang sulit.</v>
      </c>
      <c r="J32" s="95" t="str">
        <f>IFERROR(__xludf.DUMMYFUNCTION("""COMPUTED_VALUE"""),"A Saya suka membantu teman-teman saya apabila mereka mengalami kesulitan.")</f>
        <v>A Saya suka membantu teman-teman saya apabila mereka mengalami kesulitan.</v>
      </c>
      <c r="K32" s="95" t="str">
        <f>IFERROR(__xludf.DUMMYFUNCTION("""COMPUTED_VALUE"""),"B Saya ingin mengatakan telah melakukan dengan baik sesuatu tugas yang sulit.")</f>
        <v>B Saya ingin mengatakan telah melakukan dengan baik sesuatu tugas yang sulit.</v>
      </c>
      <c r="L32" s="95" t="str">
        <f>IFERROR(__xludf.DUMMYFUNCTION("""COMPUTED_VALUE"""),"B Saya ingin mengatakan telah melakukan dengan baik sesuatu tugas yang sulit")</f>
        <v>B Saya ingin mengatakan telah melakukan dengan baik sesuatu tugas yang sulit</v>
      </c>
      <c r="M32" s="95" t="str">
        <f>IFERROR(__xludf.DUMMYFUNCTION("""COMPUTED_VALUE"""),"A Saya suka berbicara tentang hal-hal yang telah berhasil saya lakukan.")</f>
        <v>A Saya suka berbicara tentang hal-hal yang telah berhasil saya lakukan.</v>
      </c>
      <c r="N32" s="95" t="str">
        <f>IFERROR(__xludf.DUMMYFUNCTION("""COMPUTED_VALUE"""),"A Saya suka pergi dengan pakaian rapi agar lebih menarik perhatian orang lain.")</f>
        <v>A Saya suka pergi dengan pakaian rapi agar lebih menarik perhatian orang lain.</v>
      </c>
      <c r="O32" s="95" t="str">
        <f>IFERROR(__xludf.DUMMYFUNCTION("""COMPUTED_VALUE"""),"A Saya marah saat ada teman memperolok-olok hal-hal yang saya anggap bodoh.")</f>
        <v>A Saya marah saat ada teman memperolok-olok hal-hal yang saya anggap bodoh.</v>
      </c>
      <c r="P32" s="95" t="str">
        <f>IFERROR(__xludf.DUMMYFUNCTION("""COMPUTED_VALUE"""),"A Saya suka bercerita tentang hal-hal yang menegangkan atau menantang.")</f>
        <v>A Saya suka bercerita tentang hal-hal yang menegangkan atau menantang.</v>
      </c>
      <c r="Q32" s="95" t="str">
        <f>IFERROR(__xludf.DUMMYFUNCTION("""COMPUTED_VALUE"""),"B Saya merencanakan keperluan yang dibutuhkan sebelum bepergian.")</f>
        <v>B Saya merencanakan keperluan yang dibutuhkan sebelum bepergian.</v>
      </c>
      <c r="R32" s="95" t="str">
        <f>IFERROR(__xludf.DUMMYFUNCTION("""COMPUTED_VALUE"""),"B Saya suka barang-barang saya tersusun rapi dan teratur.")</f>
        <v>B Saya suka barang-barang saya tersusun rapi dan teratur.</v>
      </c>
      <c r="S32" s="95" t="str">
        <f>IFERROR(__xludf.DUMMYFUNCTION("""COMPUTED_VALUE"""),"B Saya suka membuat perencanaan sebelum memulai tugas yang sulit.")</f>
        <v>B Saya suka membuat perencanaan sebelum memulai tugas yang sulit.</v>
      </c>
      <c r="T32" s="95" t="str">
        <f>IFERROR(__xludf.DUMMYFUNCTION("""COMPUTED_VALUE"""),"B Saya ingin agar hidup saya teratur sesuai cita-cita saya.")</f>
        <v>B Saya ingin agar hidup saya teratur sesuai cita-cita saya.</v>
      </c>
      <c r="U32" s="95" t="str">
        <f>IFERROR(__xludf.DUMMYFUNCTION("""COMPUTED_VALUE"""),"A Saya suka memberikan bantuan kepada teman-teman saya.")</f>
        <v>A Saya suka memberikan bantuan kepada teman-teman saya.</v>
      </c>
      <c r="V32" s="95" t="str">
        <f>IFERROR(__xludf.DUMMYFUNCTION("""COMPUTED_VALUE"""),"A Saya suka belajar sampai malam untuk menyelesaikan suatu tugas.")</f>
        <v>A Saya suka belajar sampai malam untuk menyelesaikan suatu tugas.</v>
      </c>
      <c r="W32" s="95" t="str">
        <f>IFERROR(__xludf.DUMMYFUNCTION("""COMPUTED_VALUE"""),"A Saya suka melakukan kegiatan sesuai kondisi yang saya inginkan.")</f>
        <v>A Saya suka melakukan kegiatan sesuai kondisi yang saya inginkan.</v>
      </c>
      <c r="X32" s="95" t="str">
        <f>IFERROR(__xludf.DUMMYFUNCTION("""COMPUTED_VALUE"""),"A Saya suka merencanakan dan mengatur setiap apa yang harus saya lakukan.")</f>
        <v>A Saya suka merencanakan dan mengatur setiap apa yang harus saya lakukan.</v>
      </c>
      <c r="Y32" s="95" t="str">
        <f>IFERROR(__xludf.DUMMYFUNCTION("""COMPUTED_VALUE"""),"A Saya suka menyelesaikan tugas-tugas yang membutuhkan ketrampilan dan usaha.")</f>
        <v>A Saya suka menyelesaikan tugas-tugas yang membutuhkan ketrampilan dan usaha.</v>
      </c>
      <c r="Z32" s="95" t="str">
        <f>IFERROR(__xludf.DUMMYFUNCTION("""COMPUTED_VALUE"""),"A Saya ingin berhasil dengan belajar yang saya lakukan.")</f>
        <v>A Saya ingin berhasil dengan belajar yang saya lakukan.</v>
      </c>
      <c r="AA32" s="95" t="str">
        <f>IFERROR(__xludf.DUMMYFUNCTION("""COMPUTED_VALUE"""),"A Saya suka menyelesaikan tugas yang telah saya rencanakan.")</f>
        <v>A Saya suka menyelesaikan tugas yang telah saya rencanakan.</v>
      </c>
      <c r="AB32" s="95" t="str">
        <f>IFERROR(__xludf.DUMMYFUNCTION("""COMPUTED_VALUE"""),"A Saya ingin tidak tergantung dari orang lain terhadap apa yang akan saya lakukan.")</f>
        <v>A Saya ingin tidak tergantung dari orang lain terhadap apa yang akan saya lakukan.</v>
      </c>
      <c r="AC32" s="95" t="str">
        <f>IFERROR(__xludf.DUMMYFUNCTION("""COMPUTED_VALUE"""),"A Saya suka menyelesaikan setiap tugas meskipun membutuhkan waktu lama.")</f>
        <v>A Saya suka menyelesaikan setiap tugas meskipun membutuhkan waktu lama.</v>
      </c>
      <c r="AD32" s="95" t="str">
        <f>IFERROR(__xludf.DUMMYFUNCTION("""COMPUTED_VALUE"""),"A Saya suka bermurah hati terhadap teman-teman saya.")</f>
        <v>A Saya suka bermurah hati terhadap teman-teman saya.</v>
      </c>
      <c r="AE32" s="95" t="str">
        <f>IFERROR(__xludf.DUMMYFUNCTION("""COMPUTED_VALUE"""),"A Saya ingin dianggap sebagai pemimpin oleh teman di kelompok.")</f>
        <v>A Saya ingin dianggap sebagai pemimpin oleh teman di kelompok.</v>
      </c>
      <c r="AF32" s="95" t="str">
        <f>IFERROR(__xludf.DUMMYFUNCTION("""COMPUTED_VALUE"""),"A Saya ingin agar teman-teman mengerti bila saya mengalami kesukaran.")</f>
        <v>A Saya ingin agar teman-teman mengerti bila saya mengalami kesukaran.</v>
      </c>
      <c r="AG32" s="95" t="str">
        <f>IFERROR(__xludf.DUMMYFUNCTION("""COMPUTED_VALUE"""),"A Saya mengajari orang lain bagaimana mereka harus melakukan pekerjaan mereka.")</f>
        <v>A Saya mengajari orang lain bagaimana mereka harus melakukan pekerjaan mereka.</v>
      </c>
      <c r="AH32" s="95" t="str">
        <f>IFERROR(__xludf.DUMMYFUNCTION("""COMPUTED_VALUE"""),"A Saya suka membaca buku-buku tentang pergaulan remaja.")</f>
        <v>A Saya suka membaca buku-buku tentang pergaulan remaja.</v>
      </c>
      <c r="AI32" s="95" t="str">
        <f>IFERROR(__xludf.DUMMYFUNCTION("""COMPUTED_VALUE"""),"A Saya ingin menghardik orang lain bila saya berbeda pendapat dengan mereka.")</f>
        <v>A Saya ingin menghardik orang lain bila saya berbeda pendapat dengan mereka.</v>
      </c>
      <c r="AJ32" s="95" t="str">
        <f>IFERROR(__xludf.DUMMYFUNCTION("""COMPUTED_VALUE"""),"B Saya suka bertahan menghadapi satu masalah meskipun belum tentu berhasil.")</f>
        <v>B Saya suka bertahan menghadapi satu masalah meskipun belum tentu berhasil.</v>
      </c>
      <c r="AK32" s="95" t="str">
        <f>IFERROR(__xludf.DUMMYFUNCTION("""COMPUTED_VALUE"""),"A Saya suka bercerita tentang hal-hal pribadi yang seharusnya tidak perlu diketahui orang lain.")</f>
        <v>A Saya suka bercerita tentang hal-hal pribadi yang seharusnya tidak perlu diketahui orang lain.</v>
      </c>
      <c r="AL32" s="95" t="str">
        <f>IFERROR(__xludf.DUMMYFUNCTION("""COMPUTED_VALUE"""),"A Saya suka berbicara tentang hal-hal yang telah saya capai.")</f>
        <v>A Saya suka berbicara tentang hal-hal yang telah saya capai.</v>
      </c>
      <c r="AM32" s="95" t="str">
        <f>IFERROR(__xludf.DUMMYFUNCTION("""COMPUTED_VALUE"""),"B Saya suka belajar sampai malam untuk menyelesaikan suatu tugas.")</f>
        <v>B Saya suka belajar sampai malam untuk menyelesaikan suatu tugas.</v>
      </c>
      <c r="AN32" s="95" t="str">
        <f>IFERROR(__xludf.DUMMYFUNCTION("""COMPUTED_VALUE"""),"B Saya ingin bekerja berjam-jam tanpa diganggu.")</f>
        <v>B Saya ingin bekerja berjam-jam tanpa diganggu.</v>
      </c>
      <c r="AO32" s="95" t="str">
        <f>IFERROR(__xludf.DUMMYFUNCTION("""COMPUTED_VALUE"""),"B Saya suka menyelesaikan setiap tugas meskipun membutuhkan waktu lama.")</f>
        <v>B Saya suka menyelesaikan setiap tugas meskipun membutuhkan waktu lama.</v>
      </c>
      <c r="AP32" s="95" t="str">
        <f>IFERROR(__xludf.DUMMYFUNCTION("""COMPUTED_VALUE"""),"B Saya suka bertahan menghadapi satu masalah meskipun belum tentu berhasil.")</f>
        <v>B Saya suka bertahan menghadapi satu masalah meskipun belum tentu berhasil.</v>
      </c>
      <c r="AQ32" s="95" t="str">
        <f>IFERROR(__xludf.DUMMYFUNCTION("""COMPUTED_VALUE"""),"A Saya ingin bisa mengerjakan segala sesuatu lebih baik daripada orang-orang lain.")</f>
        <v>A Saya ingin bisa mengerjakan segala sesuatu lebih baik daripada orang-orang lain.</v>
      </c>
      <c r="AR32" s="95" t="str">
        <f>IFERROR(__xludf.DUMMYFUNCTION("""COMPUTED_VALUE"""),"A Saya suka menyimpan catatan secara rapi.")</f>
        <v>A Saya suka menyimpan catatan secara rapi.</v>
      </c>
      <c r="AS32" s="95" t="str">
        <f>IFERROR(__xludf.DUMMYFUNCTION("""COMPUTED_VALUE"""),"A Saya ingin dapat menyelesaikan persoalan yang dianggap sukar bagi orang lain.")</f>
        <v>A Saya ingin dapat menyelesaikan persoalan yang dianggap sukar bagi orang lain.</v>
      </c>
      <c r="AT32" s="95" t="str">
        <f>IFERROR(__xludf.DUMMYFUNCTION("""COMPUTED_VALUE"""),"B Saya suka membantu orang lain yang menurut saya perlu dikasihani.")</f>
        <v>B Saya suka membantu orang lain yang menurut saya perlu dikasihani.</v>
      </c>
      <c r="AU32" s="95" t="str">
        <f>IFERROR(__xludf.DUMMYFUNCTION("""COMPUTED_VALUE"""),"B Saya suka bermurah hati terhadap teman-teman saya.")</f>
        <v>B Saya suka bermurah hati terhadap teman-teman saya.</v>
      </c>
      <c r="AV32" s="95" t="str">
        <f>IFERROR(__xludf.DUMMYFUNCTION("""COMPUTED_VALUE"""),"B Saya suka menolong teman-teman saya.")</f>
        <v>B Saya suka menolong teman-teman saya.</v>
      </c>
      <c r="AW32" s="95" t="str">
        <f>IFERROR(__xludf.DUMMYFUNCTION("""COMPUTED_VALUE"""),"A Saya ingin mengerjakan tugas sampai selesai.")</f>
        <v>A Saya ingin mengerjakan tugas sampai selesai.</v>
      </c>
      <c r="AX32" s="95" t="str">
        <f>IFERROR(__xludf.DUMMYFUNCTION("""COMPUTED_VALUE"""),"B Saya suka memaafkan teman-teman saya yang menyakiti hati saya.")</f>
        <v>B Saya suka memaafkan teman-teman saya yang menyakiti hati saya.</v>
      </c>
      <c r="AY32" s="95" t="str">
        <f>IFERROR(__xludf.DUMMYFUNCTION("""COMPUTED_VALUE"""),"A Saya rasanya ingin marah saat tidak sesuai dengan hati.")</f>
        <v>A Saya rasanya ingin marah saat tidak sesuai dengan hati.</v>
      </c>
      <c r="AZ32" s="95" t="str">
        <f>IFERROR(__xludf.DUMMYFUNCTION("""COMPUTED_VALUE"""),"B Saya suka menunjukkan simpati saya kepada teman-teman saya.")</f>
        <v>B Saya suka menunjukkan simpati saya kepada teman-teman saya.</v>
      </c>
      <c r="BA32" s="95" t="str">
        <f>IFERROR(__xludf.DUMMYFUNCTION("""COMPUTED_VALUE"""),"B Saya suka memperlakukan orang lain dengan baik dan ramah.")</f>
        <v>B Saya suka memperlakukan orang lain dengan baik dan ramah.</v>
      </c>
      <c r="BB32" s="95" t="str">
        <f>IFERROR(__xludf.DUMMYFUNCTION("""COMPUTED_VALUE"""),"B Saya suka bermurah hati terhadap teman-teman saya.")</f>
        <v>B Saya suka bermurah hati terhadap teman-teman saya.</v>
      </c>
      <c r="BC32" s="95" t="str">
        <f>IFERROR(__xludf.DUMMYFUNCTION("""COMPUTED_VALUE"""),"B Saya suka membantu orang lain yang menurut saya perlu dikasihani.")</f>
        <v>B Saya suka membantu orang lain yang menurut saya perlu dikasihani.</v>
      </c>
      <c r="BD32" s="95" t="str">
        <f>IFERROR(__xludf.DUMMYFUNCTION("""COMPUTED_VALUE"""),"A Saya rasanya ingin menyalahkan orang lain bila keadaan tidak baik bagi saya.")</f>
        <v>A Saya rasanya ingin menyalahkan orang lain bila keadaan tidak baik bagi saya.</v>
      </c>
      <c r="BE32" s="95" t="str">
        <f>IFERROR(__xludf.DUMMYFUNCTION("""COMPUTED_VALUE"""),"A Saya suka mendengarkan atau menceritakan hal-hal yang sebaiknya tidak diceritakan.")</f>
        <v>A Saya suka mendengarkan atau menceritakan hal-hal yang sebaiknya tidak diceritakan.</v>
      </c>
      <c r="BF32" s="95" t="str">
        <f>IFERROR(__xludf.DUMMYFUNCTION("""COMPUTED_VALUE"""),"A Saya ingin orang lain memperhatikan dan berkomentar tentang penampilan saya.")</f>
        <v>A Saya ingin orang lain memperhatikan dan berkomentar tentang penampilan saya.</v>
      </c>
      <c r="BG32" s="95" t="str">
        <f>IFERROR(__xludf.DUMMYFUNCTION("""COMPUTED_VALUE"""),"A Saya ingin teman-teman banyak menunjukkan rasa sayang mereka terhadap saya.")</f>
        <v>A Saya ingin teman-teman banyak menunjukkan rasa sayang mereka terhadap saya.</v>
      </c>
      <c r="BH32" s="95" t="str">
        <f>IFERROR(__xludf.DUMMYFUNCTION("""COMPUTED_VALUE"""),"A Saya suka menghindar dari situasi yang tidak saya harapkan.")</f>
        <v>A Saya suka menghindar dari situasi yang tidak saya harapkan.</v>
      </c>
      <c r="BI32" s="95" t="str">
        <f>IFERROR(__xludf.DUMMYFUNCTION("""COMPUTED_VALUE"""),"A Saya suka bermurah hati terhadap teman-teman saya.")</f>
        <v>A Saya suka bermurah hati terhadap teman-teman saya.</v>
      </c>
      <c r="BJ32" s="95" t="str">
        <f>IFERROR(__xludf.DUMMYFUNCTION("""COMPUTED_VALUE"""),"A Saya ingin mengerjakan tugas sampai selesai.")</f>
        <v>A Saya ingin mengerjakan tugas sampai selesai.</v>
      </c>
      <c r="BK32" s="95" t="str">
        <f>IFERROR(__xludf.DUMMYFUNCTION("""COMPUTED_VALUE"""),"A Saya ingin menyelesaikan pekerjaan satu persatu sebelum memulai yang lain.")</f>
        <v>A Saya ingin menyelesaikan pekerjaan satu persatu sebelum memulai yang lain.</v>
      </c>
      <c r="BL32" s="95" t="str">
        <f>IFERROR(__xludf.DUMMYFUNCTION("""COMPUTED_VALUE"""),"A Saya suka belajar saya teratur dan ada waktu-waktu tertentu untuk belajar.")</f>
        <v>A Saya suka belajar saya teratur dan ada waktu-waktu tertentu untuk belajar.</v>
      </c>
      <c r="BM32" s="95" t="str">
        <f>IFERROR(__xludf.DUMMYFUNCTION("""COMPUTED_VALUE"""),"A Saya suka melakukan pekerjaan sebaik mungkin.")</f>
        <v>A Saya suka melakukan pekerjaan sebaik mungkin.</v>
      </c>
      <c r="BN32" s="95" t="str">
        <f>IFERROR(__xludf.DUMMYFUNCTION("""COMPUTED_VALUE"""),"A Saya suka mengerjakan teka-teki atau memecahkan persoalan sampai selesai.")</f>
        <v>A Saya suka mengerjakan teka-teki atau memecahkan persoalan sampai selesai.</v>
      </c>
      <c r="BO32" s="95" t="str">
        <f>IFERROR(__xludf.DUMMYFUNCTION("""COMPUTED_VALUE"""),"B Saya ingin diperlakukan dengan baik oleh teman-teman saya.")</f>
        <v>B Saya ingin diperlakukan dengan baik oleh teman-teman saya.</v>
      </c>
      <c r="BP32" s="95" t="str">
        <f>IFERROR(__xludf.DUMMYFUNCTION("""COMPUTED_VALUE"""),"A Saya ingin menyelesaikan sesuatu yang sangat penting artinya.")</f>
        <v>A Saya ingin menyelesaikan sesuatu yang sangat penting artinya.</v>
      </c>
      <c r="BQ32" s="95" t="str">
        <f>IFERROR(__xludf.DUMMYFUNCTION("""COMPUTED_VALUE"""),"A Saya ingin mengerjakannya tugas sampai selesai.")</f>
        <v>A Saya ingin mengerjakannya tugas sampai selesai.</v>
      </c>
      <c r="BR32" s="95" t="str">
        <f>IFERROR(__xludf.DUMMYFUNCTION("""COMPUTED_VALUE"""),"A Saya suka memaafkan teman-teman saya yang menyakiti hati saya.")</f>
        <v>A Saya suka memaafkan teman-teman saya yang menyakiti hati saya.</v>
      </c>
      <c r="BS32" s="95" t="str">
        <f>IFERROR(__xludf.DUMMYFUNCTION("""COMPUTED_VALUE"""),"B Saya ingin teman-teman saya membantu saya bila saya mengalami kesulitan")</f>
        <v>B Saya ingin teman-teman saya membantu saya bila saya mengalami kesulitan</v>
      </c>
      <c r="BT32" s="95" t="str">
        <f>IFERROR(__xludf.DUMMYFUNCTION("""COMPUTED_VALUE"""),"B Saya ingin teman-teman banyak menunjukkan rasa sayang mereka terhadap saya.")</f>
        <v>B Saya ingin teman-teman banyak menunjukkan rasa sayang mereka terhadap saya.</v>
      </c>
      <c r="BU32" s="95" t="str">
        <f>IFERROR(__xludf.DUMMYFUNCTION("""COMPUTED_VALUE"""),"A Saya kadang-kadang suka melakukan hal-hal yang dapat dipuji oleh orang lain.")</f>
        <v>A Saya kadang-kadang suka melakukan hal-hal yang dapat dipuji oleh orang lain.</v>
      </c>
      <c r="BV32" s="95" t="str">
        <f>IFERROR(__xludf.DUMMYFUNCTION("""COMPUTED_VALUE"""),"B Saya ingin teman-teman dengan gembira memberikan pertolongan kepada saya.")</f>
        <v>B Saya ingin teman-teman dengan gembira memberikan pertolongan kepada saya.</v>
      </c>
      <c r="BW32" s="95" t="str">
        <f>IFERROR(__xludf.DUMMYFUNCTION("""COMPUTED_VALUE"""),"B Saya ingin diperlakukan dengan baik oleh teman-teman saya.")</f>
        <v>B Saya ingin diperlakukan dengan baik oleh teman-teman saya.</v>
      </c>
      <c r="BX32" s="95" t="str">
        <f>IFERROR(__xludf.DUMMYFUNCTION("""COMPUTED_VALUE"""),"B Saya kadang-kadang suka melakukan hal-hal yang dapat dipuji oleh orang lain.")</f>
        <v>B Saya kadang-kadang suka melakukan hal-hal yang dapat dipuji oleh orang lain.</v>
      </c>
      <c r="BY32" s="95" t="str">
        <f>IFERROR(__xludf.DUMMYFUNCTION("""COMPUTED_VALUE"""),"B Saya ingin orang lain memperhatikan dan berkomentar tentang penampilan saya.")</f>
        <v>B Saya ingin orang lain memperhatikan dan berkomentar tentang penampilan saya.</v>
      </c>
      <c r="BZ32" s="95" t="str">
        <f>IFERROR(__xludf.DUMMYFUNCTION("""COMPUTED_VALUE"""),"A Saya suka berkata yang artinya sulit dipahami oleh orang lain.")</f>
        <v>A Saya suka berkata yang artinya sulit dipahami oleh orang lain.</v>
      </c>
      <c r="CA32" s="95" t="str">
        <f>IFERROR(__xludf.DUMMYFUNCTION("""COMPUTED_VALUE"""),"A Saya ingin teman-teman dengan gembira memberikan pertolongan kepada saya.")</f>
        <v>A Saya ingin teman-teman dengan gembira memberikan pertolongan kepada saya.</v>
      </c>
      <c r="CB32" s="95" t="str">
        <f>IFERROR(__xludf.DUMMYFUNCTION("""COMPUTED_VALUE"""),"B Saya suka berbicara tentang hal-hal yang telah saya capai.")</f>
        <v>B Saya suka berbicara tentang hal-hal yang telah saya capai.</v>
      </c>
      <c r="CC32" s="95" t="str">
        <f>IFERROR(__xludf.DUMMYFUNCTION("""COMPUTED_VALUE"""),"B Saya suka menceritakan hal-hal lucu agar diperhatikan oleh orang lain.")</f>
        <v>B Saya suka menceritakan hal-hal lucu agar diperhatikan oleh orang lain.</v>
      </c>
      <c r="CD32" s="95" t="str">
        <f>IFERROR(__xludf.DUMMYFUNCTION("""COMPUTED_VALUE"""),"B Saya suka berkata yang artinya sulit dipahami oleh orang lain.")</f>
        <v>B Saya suka berkata yang artinya sulit dipahami oleh orang lain.</v>
      </c>
      <c r="CE32" s="95" t="str">
        <f>IFERROR(__xludf.DUMMYFUNCTION("""COMPUTED_VALUE"""),"A Saya suka menyelesaikan setiap tugas belajar yang telah saya mulai.")</f>
        <v>A Saya suka menyelesaikan setiap tugas belajar yang telah saya mulai.</v>
      </c>
      <c r="CF32" s="95" t="str">
        <f>IFERROR(__xludf.DUMMYFUNCTION("""COMPUTED_VALUE"""),"A Saya ingin agar hidup saya teratur sesuai cita-cita saya.")</f>
        <v>A Saya ingin agar hidup saya teratur sesuai cita-cita saya.</v>
      </c>
      <c r="CG32" s="95" t="str">
        <f>IFERROR(__xludf.DUMMYFUNCTION("""COMPUTED_VALUE"""),"A Saya ingin berhasil dalam apa yang saya lakukan.")</f>
        <v>A Saya ingin berhasil dalam apa yang saya lakukan.</v>
      </c>
      <c r="CH32" s="95" t="str">
        <f>IFERROR(__xludf.DUMMYFUNCTION("""COMPUTED_VALUE"""),"A Saya ingin bisa melakukan dengan baik sesuatu pekerjaan sulit.")</f>
        <v>A Saya ingin bisa melakukan dengan baik sesuatu pekerjaan sulit.</v>
      </c>
      <c r="CI32" s="95" t="str">
        <f>IFERROR(__xludf.DUMMYFUNCTION("""COMPUTED_VALUE"""),"A Saya suka belajar saya teratur dan ada waktu-waktu tertentu untuk belajar.")</f>
        <v>A Saya suka belajar saya teratur dan ada waktu-waktu tertentu untuk belajar.</v>
      </c>
      <c r="CJ32" s="95" t="str">
        <f>IFERROR(__xludf.DUMMYFUNCTION("""COMPUTED_VALUE"""),"A Saya ingin tidak tergantung dari orang lain terhadap apa yang akan saya lakukan.")</f>
        <v>A Saya ingin tidak tergantung dari orang lain terhadap apa yang akan saya lakukan.</v>
      </c>
      <c r="CK32" s="95" t="str">
        <f>IFERROR(__xludf.DUMMYFUNCTION("""COMPUTED_VALUE"""),"A Saya suka bertahan menghadapi satu masalah, meskipun belum tentu berhasil.")</f>
        <v>A Saya suka bertahan menghadapi satu masalah, meskipun belum tentu berhasil.</v>
      </c>
      <c r="CL32" s="95" t="str">
        <f>IFERROR(__xludf.DUMMYFUNCTION("""COMPUTED_VALUE"""),"A Saya suka menolong teman-teman saya, apabila mereka dalam kesulitan.")</f>
        <v>A Saya suka menolong teman-teman saya, apabila mereka dalam kesulitan.</v>
      </c>
      <c r="CM32" s="95" t="str">
        <f>IFERROR(__xludf.DUMMYFUNCTION("""COMPUTED_VALUE"""),"B Saya merasa kagum pada seseorang.")</f>
        <v>B Saya merasa kagum pada seseorang.</v>
      </c>
      <c r="CN32" s="95" t="str">
        <f>IFERROR(__xludf.DUMMYFUNCTION("""COMPUTED_VALUE"""),"A Saya ingin diperlakukan dengan baik oleh teman-teman saya.")</f>
        <v>A Saya ingin diperlakukan dengan baik oleh teman-teman saya.</v>
      </c>
      <c r="CO32" s="95" t="str">
        <f>IFERROR(__xludf.DUMMYFUNCTION("""COMPUTED_VALUE"""),"B Saya suka memuji orang yang saya kagumi.")</f>
        <v>B Saya suka memuji orang yang saya kagumi.</v>
      </c>
      <c r="CP32" s="95" t="str">
        <f>IFERROR(__xludf.DUMMYFUNCTION("""COMPUTED_VALUE"""),"A Saya suka melamun atau membayangkan sesuatu sendirian.")</f>
        <v>A Saya suka melamun atau membayangkan sesuatu sendirian.</v>
      </c>
      <c r="CQ32" s="95" t="str">
        <f>IFERROR(__xludf.DUMMYFUNCTION("""COMPUTED_VALUE"""),"B Saya merasa kagum pada seseorang.")</f>
        <v>B Saya merasa kagum pada seseorang.</v>
      </c>
      <c r="CR32" s="95" t="str">
        <f>IFERROR(__xludf.DUMMYFUNCTION("""COMPUTED_VALUE"""),"B Saya rasanya ingin mengecam seseorang bila orang itu menjengkelkan.")</f>
        <v>B Saya rasanya ingin mengecam seseorang bila orang itu menjengkelkan.</v>
      </c>
      <c r="CS32" s="95" t="str">
        <f>IFERROR(__xludf.DUMMYFUNCTION("""COMPUTED_VALUE"""),"B Saya rasanya ingin membalas dendam bila seseorang menghina saya.")</f>
        <v>B Saya rasanya ingin membalas dendam bila seseorang menghina saya.</v>
      </c>
      <c r="CT32" s="95" t="str">
        <f>IFERROR(__xludf.DUMMYFUNCTION("""COMPUTED_VALUE"""),"A Saya ingin orang-orang memperhatikan komentar mengenai penampilan saya.")</f>
        <v>A Saya ingin orang-orang memperhatikan komentar mengenai penampilan saya.</v>
      </c>
      <c r="CU32" s="95" t="str">
        <f>IFERROR(__xludf.DUMMYFUNCTION("""COMPUTED_VALUE"""),"A Saya ingin diperlakukan dengan ramah oleh teman-teman saya.")</f>
        <v>A Saya ingin diperlakukan dengan ramah oleh teman-teman saya.</v>
      </c>
      <c r="CV32" s="95" t="str">
        <f>IFERROR(__xludf.DUMMYFUNCTION("""COMPUTED_VALUE"""),"B Saya menyerang pendirian-pendirian yang bertentangan dengan pendirian saya.")</f>
        <v>B Saya menyerang pendirian-pendirian yang bertentangan dengan pendirian saya.</v>
      </c>
      <c r="CW32" s="95" t="str">
        <f>IFERROR(__xludf.DUMMYFUNCTION("""COMPUTED_VALUE"""),"A Saya suka menolong teman-teman saya, apabila mereka dalam kesulitan.")</f>
        <v>A Saya suka menolong teman-teman saya, apabila mereka dalam kesulitan.</v>
      </c>
      <c r="CX32" s="95" t="str">
        <f>IFERROR(__xludf.DUMMYFUNCTION("""COMPUTED_VALUE"""),"B Saya ingin memperolok-olok orang yang saya anggap melakukan tindakan bodoh.")</f>
        <v>B Saya ingin memperolok-olok orang yang saya anggap melakukan tindakan bodoh.</v>
      </c>
      <c r="CY32" s="95" t="str">
        <f>IFERROR(__xludf.DUMMYFUNCTION("""COMPUTED_VALUE"""),"A Saya ingin tidak tergantung dari orang lain terhadap apa yang akan saya lakukan.")</f>
        <v>A Saya ingin tidak tergantung dari orang lain terhadap apa yang akan saya lakukan.</v>
      </c>
      <c r="CZ32" s="95" t="str">
        <f>IFERROR(__xludf.DUMMYFUNCTION("""COMPUTED_VALUE"""),"A Saya suka merencanakan dan mengatur setiap pekerjaan yang harus saya lakukan.")</f>
        <v>A Saya suka merencanakan dan mengatur setiap pekerjaan yang harus saya lakukan.</v>
      </c>
      <c r="DA32" s="95" t="str">
        <f>IFERROR(__xludf.DUMMYFUNCTION("""COMPUTED_VALUE"""),"B Saya rasanya ingin mengecam seseorang bila orang itu menjengkelkan.")</f>
        <v>B Saya rasanya ingin mengecam seseorang bila orang itu menjengkelkan.</v>
      </c>
      <c r="DB32" s="89" t="s">
        <v>23</v>
      </c>
      <c r="DC32" s="97" t="str">
        <f t="shared" ref="DC32:GX32" si="77">LEFT(F32,1)</f>
        <v>B</v>
      </c>
      <c r="DD32" s="97" t="str">
        <f t="shared" si="77"/>
        <v>A</v>
      </c>
      <c r="DE32" s="97" t="str">
        <f t="shared" si="77"/>
        <v>B</v>
      </c>
      <c r="DF32" s="97" t="str">
        <f t="shared" si="77"/>
        <v>B</v>
      </c>
      <c r="DG32" s="97" t="str">
        <f t="shared" si="77"/>
        <v>A</v>
      </c>
      <c r="DH32" s="97" t="str">
        <f t="shared" si="77"/>
        <v>B</v>
      </c>
      <c r="DI32" s="97" t="str">
        <f t="shared" si="77"/>
        <v>B</v>
      </c>
      <c r="DJ32" s="97" t="str">
        <f t="shared" si="77"/>
        <v>A</v>
      </c>
      <c r="DK32" s="97" t="str">
        <f t="shared" si="77"/>
        <v>A</v>
      </c>
      <c r="DL32" s="97" t="str">
        <f t="shared" si="77"/>
        <v>A</v>
      </c>
      <c r="DM32" s="97" t="str">
        <f t="shared" si="77"/>
        <v>A</v>
      </c>
      <c r="DN32" s="97" t="str">
        <f t="shared" si="77"/>
        <v>B</v>
      </c>
      <c r="DO32" s="97" t="str">
        <f t="shared" si="77"/>
        <v>B</v>
      </c>
      <c r="DP32" s="97" t="str">
        <f t="shared" si="77"/>
        <v>B</v>
      </c>
      <c r="DQ32" s="97" t="str">
        <f t="shared" si="77"/>
        <v>B</v>
      </c>
      <c r="DR32" s="97" t="str">
        <f t="shared" si="77"/>
        <v>A</v>
      </c>
      <c r="DS32" s="97" t="str">
        <f t="shared" si="77"/>
        <v>A</v>
      </c>
      <c r="DT32" s="97" t="str">
        <f t="shared" si="77"/>
        <v>A</v>
      </c>
      <c r="DU32" s="97" t="str">
        <f t="shared" si="77"/>
        <v>A</v>
      </c>
      <c r="DV32" s="97" t="str">
        <f t="shared" si="77"/>
        <v>A</v>
      </c>
      <c r="DW32" s="97" t="str">
        <f t="shared" si="77"/>
        <v>A</v>
      </c>
      <c r="DX32" s="97" t="str">
        <f t="shared" si="77"/>
        <v>A</v>
      </c>
      <c r="DY32" s="97" t="str">
        <f t="shared" si="77"/>
        <v>A</v>
      </c>
      <c r="DZ32" s="97" t="str">
        <f t="shared" si="77"/>
        <v>A</v>
      </c>
      <c r="EA32" s="97" t="str">
        <f t="shared" si="77"/>
        <v>A</v>
      </c>
      <c r="EB32" s="97" t="str">
        <f t="shared" si="77"/>
        <v>A</v>
      </c>
      <c r="EC32" s="97" t="str">
        <f t="shared" si="77"/>
        <v>A</v>
      </c>
      <c r="ED32" s="97" t="str">
        <f t="shared" si="77"/>
        <v>A</v>
      </c>
      <c r="EE32" s="97" t="str">
        <f t="shared" si="77"/>
        <v>A</v>
      </c>
      <c r="EF32" s="97" t="str">
        <f t="shared" si="77"/>
        <v>A</v>
      </c>
      <c r="EG32" s="97" t="str">
        <f t="shared" si="77"/>
        <v>B</v>
      </c>
      <c r="EH32" s="97" t="str">
        <f t="shared" si="77"/>
        <v>A</v>
      </c>
      <c r="EI32" s="97" t="str">
        <f t="shared" si="77"/>
        <v>A</v>
      </c>
      <c r="EJ32" s="97" t="str">
        <f t="shared" si="77"/>
        <v>B</v>
      </c>
      <c r="EK32" s="97" t="str">
        <f t="shared" si="77"/>
        <v>B</v>
      </c>
      <c r="EL32" s="97" t="str">
        <f t="shared" si="77"/>
        <v>B</v>
      </c>
      <c r="EM32" s="97" t="str">
        <f t="shared" si="77"/>
        <v>B</v>
      </c>
      <c r="EN32" s="97" t="str">
        <f t="shared" si="77"/>
        <v>A</v>
      </c>
      <c r="EO32" s="97" t="str">
        <f t="shared" si="77"/>
        <v>A</v>
      </c>
      <c r="EP32" s="97" t="str">
        <f t="shared" si="77"/>
        <v>A</v>
      </c>
      <c r="EQ32" s="97" t="str">
        <f t="shared" si="77"/>
        <v>B</v>
      </c>
      <c r="ER32" s="97" t="str">
        <f t="shared" si="77"/>
        <v>B</v>
      </c>
      <c r="ES32" s="97" t="str">
        <f t="shared" si="77"/>
        <v>B</v>
      </c>
      <c r="ET32" s="97" t="str">
        <f t="shared" si="77"/>
        <v>A</v>
      </c>
      <c r="EU32" s="97" t="str">
        <f t="shared" si="77"/>
        <v>B</v>
      </c>
      <c r="EV32" s="97" t="str">
        <f t="shared" si="77"/>
        <v>A</v>
      </c>
      <c r="EW32" s="97" t="str">
        <f t="shared" si="77"/>
        <v>B</v>
      </c>
      <c r="EX32" s="97" t="str">
        <f t="shared" si="77"/>
        <v>B</v>
      </c>
      <c r="EY32" s="97" t="str">
        <f t="shared" si="77"/>
        <v>B</v>
      </c>
      <c r="EZ32" s="97" t="str">
        <f t="shared" si="77"/>
        <v>B</v>
      </c>
      <c r="FA32" s="97" t="str">
        <f t="shared" si="77"/>
        <v>A</v>
      </c>
      <c r="FB32" s="97" t="str">
        <f t="shared" si="77"/>
        <v>A</v>
      </c>
      <c r="FC32" s="97" t="str">
        <f t="shared" si="77"/>
        <v>A</v>
      </c>
      <c r="FD32" s="97" t="str">
        <f t="shared" si="77"/>
        <v>A</v>
      </c>
      <c r="FE32" s="97" t="str">
        <f t="shared" si="77"/>
        <v>A</v>
      </c>
      <c r="FF32" s="97" t="str">
        <f t="shared" si="77"/>
        <v>A</v>
      </c>
      <c r="FG32" s="97" t="str">
        <f t="shared" si="77"/>
        <v>A</v>
      </c>
      <c r="FH32" s="97" t="str">
        <f t="shared" si="77"/>
        <v>A</v>
      </c>
      <c r="FI32" s="97" t="str">
        <f t="shared" si="77"/>
        <v>A</v>
      </c>
      <c r="FJ32" s="97" t="str">
        <f t="shared" si="77"/>
        <v>A</v>
      </c>
      <c r="FK32" s="97" t="str">
        <f t="shared" si="77"/>
        <v>A</v>
      </c>
      <c r="FL32" s="97" t="str">
        <f t="shared" si="77"/>
        <v>B</v>
      </c>
      <c r="FM32" s="97" t="str">
        <f t="shared" si="77"/>
        <v>A</v>
      </c>
      <c r="FN32" s="97" t="str">
        <f t="shared" si="77"/>
        <v>A</v>
      </c>
      <c r="FO32" s="97" t="str">
        <f t="shared" si="77"/>
        <v>A</v>
      </c>
      <c r="FP32" s="97" t="str">
        <f t="shared" si="77"/>
        <v>B</v>
      </c>
      <c r="FQ32" s="97" t="str">
        <f t="shared" si="77"/>
        <v>B</v>
      </c>
      <c r="FR32" s="97" t="str">
        <f t="shared" si="77"/>
        <v>A</v>
      </c>
      <c r="FS32" s="97" t="str">
        <f t="shared" si="77"/>
        <v>B</v>
      </c>
      <c r="FT32" s="97" t="str">
        <f t="shared" si="77"/>
        <v>B</v>
      </c>
      <c r="FU32" s="97" t="str">
        <f t="shared" si="77"/>
        <v>B</v>
      </c>
      <c r="FV32" s="97" t="str">
        <f t="shared" si="77"/>
        <v>B</v>
      </c>
      <c r="FW32" s="97" t="str">
        <f t="shared" si="77"/>
        <v>A</v>
      </c>
      <c r="FX32" s="97" t="str">
        <f t="shared" si="77"/>
        <v>A</v>
      </c>
      <c r="FY32" s="97" t="str">
        <f t="shared" si="77"/>
        <v>B</v>
      </c>
      <c r="FZ32" s="97" t="str">
        <f t="shared" si="77"/>
        <v>B</v>
      </c>
      <c r="GA32" s="97" t="str">
        <f t="shared" si="77"/>
        <v>B</v>
      </c>
      <c r="GB32" s="97" t="str">
        <f t="shared" si="77"/>
        <v>A</v>
      </c>
      <c r="GC32" s="97" t="str">
        <f t="shared" si="77"/>
        <v>A</v>
      </c>
      <c r="GD32" s="97" t="str">
        <f t="shared" si="77"/>
        <v>A</v>
      </c>
      <c r="GE32" s="97" t="str">
        <f t="shared" si="77"/>
        <v>A</v>
      </c>
      <c r="GF32" s="97" t="str">
        <f t="shared" si="77"/>
        <v>A</v>
      </c>
      <c r="GG32" s="97" t="str">
        <f t="shared" si="77"/>
        <v>A</v>
      </c>
      <c r="GH32" s="97" t="str">
        <f t="shared" si="77"/>
        <v>A</v>
      </c>
      <c r="GI32" s="97" t="str">
        <f t="shared" si="77"/>
        <v>A</v>
      </c>
      <c r="GJ32" s="97" t="str">
        <f t="shared" si="77"/>
        <v>B</v>
      </c>
      <c r="GK32" s="97" t="str">
        <f t="shared" si="77"/>
        <v>A</v>
      </c>
      <c r="GL32" s="97" t="str">
        <f t="shared" si="77"/>
        <v>B</v>
      </c>
      <c r="GM32" s="97" t="str">
        <f t="shared" si="77"/>
        <v>A</v>
      </c>
      <c r="GN32" s="97" t="str">
        <f t="shared" si="77"/>
        <v>B</v>
      </c>
      <c r="GO32" s="97" t="str">
        <f t="shared" si="77"/>
        <v>B</v>
      </c>
      <c r="GP32" s="97" t="str">
        <f t="shared" si="77"/>
        <v>B</v>
      </c>
      <c r="GQ32" s="97" t="str">
        <f t="shared" si="77"/>
        <v>A</v>
      </c>
      <c r="GR32" s="97" t="str">
        <f t="shared" si="77"/>
        <v>A</v>
      </c>
      <c r="GS32" s="97" t="str">
        <f t="shared" si="77"/>
        <v>B</v>
      </c>
      <c r="GT32" s="97" t="str">
        <f t="shared" si="77"/>
        <v>A</v>
      </c>
      <c r="GU32" s="97" t="str">
        <f t="shared" si="77"/>
        <v>B</v>
      </c>
      <c r="GV32" s="97" t="str">
        <f t="shared" si="77"/>
        <v>A</v>
      </c>
      <c r="GW32" s="97" t="str">
        <f t="shared" si="77"/>
        <v>A</v>
      </c>
      <c r="GX32" s="97" t="str">
        <f t="shared" si="77"/>
        <v>B</v>
      </c>
      <c r="GY32" s="98"/>
      <c r="GZ32" s="97">
        <f t="shared" si="3"/>
        <v>60</v>
      </c>
      <c r="HA32" s="97">
        <f t="shared" si="4"/>
        <v>40</v>
      </c>
      <c r="HB32" s="90">
        <f t="shared" si="5"/>
        <v>100</v>
      </c>
      <c r="HC32" s="99"/>
      <c r="HD32" s="97">
        <f t="shared" si="6"/>
        <v>7</v>
      </c>
      <c r="HE32" s="97">
        <f t="shared" si="7"/>
        <v>4</v>
      </c>
      <c r="HF32" s="90">
        <f t="shared" si="8"/>
        <v>11</v>
      </c>
      <c r="HG32" s="99"/>
      <c r="HH32" s="97">
        <f t="shared" si="9"/>
        <v>7</v>
      </c>
      <c r="HI32" s="97">
        <f t="shared" si="10"/>
        <v>4</v>
      </c>
      <c r="HJ32" s="90">
        <f t="shared" si="11"/>
        <v>11</v>
      </c>
      <c r="HK32" s="99"/>
      <c r="HL32" s="97">
        <f t="shared" si="12"/>
        <v>7</v>
      </c>
      <c r="HM32" s="97">
        <f t="shared" si="13"/>
        <v>0</v>
      </c>
      <c r="HN32" s="90">
        <f t="shared" si="14"/>
        <v>7</v>
      </c>
      <c r="HO32" s="99"/>
      <c r="HP32" s="97">
        <f t="shared" si="15"/>
        <v>6</v>
      </c>
      <c r="HQ32" s="97">
        <f t="shared" si="16"/>
        <v>5</v>
      </c>
      <c r="HR32" s="90">
        <f t="shared" si="17"/>
        <v>11</v>
      </c>
      <c r="HS32" s="99"/>
      <c r="HT32" s="97">
        <f t="shared" si="18"/>
        <v>7</v>
      </c>
      <c r="HU32" s="97">
        <f t="shared" si="19"/>
        <v>8</v>
      </c>
      <c r="HV32" s="90">
        <f t="shared" si="20"/>
        <v>15</v>
      </c>
      <c r="HW32" s="99"/>
      <c r="HX32" s="97">
        <f t="shared" si="21"/>
        <v>2</v>
      </c>
      <c r="HY32" s="97">
        <f t="shared" si="22"/>
        <v>0</v>
      </c>
      <c r="HZ32" s="90">
        <f t="shared" si="23"/>
        <v>2</v>
      </c>
      <c r="IA32" s="99"/>
      <c r="IB32" s="97">
        <f t="shared" si="24"/>
        <v>5</v>
      </c>
      <c r="IC32" s="97">
        <f t="shared" si="25"/>
        <v>5</v>
      </c>
      <c r="ID32" s="90">
        <f t="shared" si="26"/>
        <v>10</v>
      </c>
      <c r="IE32" s="99"/>
      <c r="IF32" s="97">
        <f t="shared" si="27"/>
        <v>6</v>
      </c>
      <c r="IG32" s="97">
        <f t="shared" si="28"/>
        <v>5</v>
      </c>
      <c r="IH32" s="90">
        <f t="shared" si="29"/>
        <v>11</v>
      </c>
      <c r="II32" s="99"/>
      <c r="IJ32" s="97">
        <f t="shared" si="30"/>
        <v>4</v>
      </c>
      <c r="IK32" s="97">
        <f t="shared" si="31"/>
        <v>3</v>
      </c>
      <c r="IL32" s="90">
        <f t="shared" si="32"/>
        <v>7</v>
      </c>
      <c r="IM32" s="99"/>
      <c r="IN32" s="97">
        <f t="shared" si="33"/>
        <v>4</v>
      </c>
      <c r="IO32" s="97">
        <f t="shared" si="34"/>
        <v>5</v>
      </c>
      <c r="IP32" s="90">
        <f t="shared" si="35"/>
        <v>9</v>
      </c>
      <c r="IQ32" s="99"/>
      <c r="IR32" s="99"/>
      <c r="IS32" s="100">
        <f t="shared" si="36"/>
        <v>11</v>
      </c>
      <c r="IT32" s="100">
        <f t="shared" si="37"/>
        <v>11</v>
      </c>
      <c r="IU32" s="100">
        <f t="shared" si="38"/>
        <v>7</v>
      </c>
      <c r="IV32" s="100">
        <f t="shared" si="39"/>
        <v>11</v>
      </c>
      <c r="IW32" s="100">
        <f t="shared" si="40"/>
        <v>15</v>
      </c>
      <c r="IX32" s="100">
        <f t="shared" si="41"/>
        <v>2</v>
      </c>
      <c r="IY32" s="100">
        <f t="shared" si="42"/>
        <v>10</v>
      </c>
      <c r="IZ32" s="100">
        <f t="shared" si="43"/>
        <v>11</v>
      </c>
      <c r="JA32" s="100">
        <f t="shared" si="44"/>
        <v>7</v>
      </c>
      <c r="JB32" s="101">
        <f t="shared" si="45"/>
        <v>9</v>
      </c>
      <c r="JC32" s="102">
        <f t="shared" si="46"/>
        <v>94</v>
      </c>
      <c r="JD32" s="67">
        <f t="shared" si="50"/>
        <v>0</v>
      </c>
      <c r="JE32" s="67">
        <f t="shared" si="47"/>
        <v>2</v>
      </c>
      <c r="JF32" s="67">
        <f t="shared" si="48"/>
        <v>2</v>
      </c>
    </row>
    <row r="33">
      <c r="A33" s="103">
        <f>IFERROR(__xludf.DUMMYFUNCTION("""COMPUTED_VALUE"""),45926.782579363426)</f>
        <v>45926.78258</v>
      </c>
      <c r="B33" s="95" t="str">
        <f>IFERROR(__xludf.DUMMYFUNCTION("""COMPUTED_VALUE"""),"Satria Panca Desmara")</f>
        <v>Satria Panca Desmara</v>
      </c>
      <c r="C33" s="96" t="str">
        <f>IFERROR(__xludf.DUMMYFUNCTION("""COMPUTED_VALUE"""),"A250028")</f>
        <v>A250028</v>
      </c>
      <c r="D33" s="96" t="str">
        <f>IFERROR(__xludf.DUMMYFUNCTION("""COMPUTED_VALUE"""),"MTs Putra")</f>
        <v>MTs Putra</v>
      </c>
      <c r="E33" s="96" t="str">
        <f>IFERROR(__xludf.DUMMYFUNCTION("""COMPUTED_VALUE"""),"Ya")</f>
        <v>Ya</v>
      </c>
      <c r="F33" s="95" t="str">
        <f>IFERROR(__xludf.DUMMYFUNCTION("""COMPUTED_VALUE"""),"A Saya ingin mengerjakan segala tugas lebih baik daripada orang lain.")</f>
        <v>A Saya ingin mengerjakan segala tugas lebih baik daripada orang lain.</v>
      </c>
      <c r="G33" s="95" t="str">
        <f>IFERROR(__xludf.DUMMYFUNCTION("""COMPUTED_VALUE"""),"A Saya ingin setiap tulisan saya teliti, rapi, dan tersusun dengan baik.")</f>
        <v>A Saya ingin setiap tulisan saya teliti, rapi, dan tersusun dengan baik.</v>
      </c>
      <c r="H33" s="95" t="str">
        <f>IFERROR(__xludf.DUMMYFUNCTION("""COMPUTED_VALUE"""),"A Saya ingin berbuat sesuai kata hati saya.")</f>
        <v>A Saya ingin berbuat sesuai kata hati saya.</v>
      </c>
      <c r="I33" s="95" t="str">
        <f>IFERROR(__xludf.DUMMYFUNCTION("""COMPUTED_VALUE"""),"B Saya ingin bisa melakukan dengan baik meskipun tugas yang sulit.")</f>
        <v>B Saya ingin bisa melakukan dengan baik meskipun tugas yang sulit.</v>
      </c>
      <c r="J33" s="95" t="str">
        <f>IFERROR(__xludf.DUMMYFUNCTION("""COMPUTED_VALUE"""),"A Saya suka membantu teman-teman saya apabila mereka mengalami kesulitan.")</f>
        <v>A Saya suka membantu teman-teman saya apabila mereka mengalami kesulitan.</v>
      </c>
      <c r="K33" s="95" t="str">
        <f>IFERROR(__xludf.DUMMYFUNCTION("""COMPUTED_VALUE"""),"A Saya ingin menjadi pemimpin dalam suatu kelompok.")</f>
        <v>A Saya ingin menjadi pemimpin dalam suatu kelompok.</v>
      </c>
      <c r="L33" s="95" t="str">
        <f>IFERROR(__xludf.DUMMYFUNCTION("""COMPUTED_VALUE"""),"B Saya ingin mengatakan telah melakukan dengan baik sesuatu tugas yang sulit")</f>
        <v>B Saya ingin mengatakan telah melakukan dengan baik sesuatu tugas yang sulit</v>
      </c>
      <c r="M33" s="95" t="str">
        <f>IFERROR(__xludf.DUMMYFUNCTION("""COMPUTED_VALUE"""),"B Saya ingin mengerjakan segala tugas lebih baik daripada orang lain.")</f>
        <v>B Saya ingin mengerjakan segala tugas lebih baik daripada orang lain.</v>
      </c>
      <c r="N33" s="95" t="str">
        <f>IFERROR(__xludf.DUMMYFUNCTION("""COMPUTED_VALUE"""),"B Saya suka memecahkan persoalan yang sukar bagi orang lain.")</f>
        <v>B Saya suka memecahkan persoalan yang sukar bagi orang lain.</v>
      </c>
      <c r="O33" s="95" t="str">
        <f>IFERROR(__xludf.DUMMYFUNCTION("""COMPUTED_VALUE"""),"A Saya marah saat ada teman memperolok-olok hal-hal yang saya anggap bodoh.")</f>
        <v>A Saya marah saat ada teman memperolok-olok hal-hal yang saya anggap bodoh.</v>
      </c>
      <c r="P33" s="95" t="str">
        <f>IFERROR(__xludf.DUMMYFUNCTION("""COMPUTED_VALUE"""),"B Saya ingin setiap belajar itu teratur dan direncanakan.")</f>
        <v>B Saya ingin setiap belajar itu teratur dan direncanakan.</v>
      </c>
      <c r="Q33" s="95" t="str">
        <f>IFERROR(__xludf.DUMMYFUNCTION("""COMPUTED_VALUE"""),"B Saya merencanakan keperluan yang dibutuhkan sebelum bepergian.")</f>
        <v>B Saya merencanakan keperluan yang dibutuhkan sebelum bepergian.</v>
      </c>
      <c r="R33" s="95" t="str">
        <f>IFERROR(__xludf.DUMMYFUNCTION("""COMPUTED_VALUE"""),"B Saya suka barang-barang saya tersusun rapi dan teratur.")</f>
        <v>B Saya suka barang-barang saya tersusun rapi dan teratur.</v>
      </c>
      <c r="S33" s="95" t="str">
        <f>IFERROR(__xludf.DUMMYFUNCTION("""COMPUTED_VALUE"""),"B Saya suka membuat perencanaan sebelum memulai tugas yang sulit.")</f>
        <v>B Saya suka membuat perencanaan sebelum memulai tugas yang sulit.</v>
      </c>
      <c r="T33" s="95" t="str">
        <f>IFERROR(__xludf.DUMMYFUNCTION("""COMPUTED_VALUE"""),"B Saya ingin agar hidup saya teratur sesuai cita-cita saya.")</f>
        <v>B Saya ingin agar hidup saya teratur sesuai cita-cita saya.</v>
      </c>
      <c r="U33" s="95" t="str">
        <f>IFERROR(__xludf.DUMMYFUNCTION("""COMPUTED_VALUE"""),"A Saya suka memberikan bantuan kepada teman-teman saya.")</f>
        <v>A Saya suka memberikan bantuan kepada teman-teman saya.</v>
      </c>
      <c r="V33" s="95" t="str">
        <f>IFERROR(__xludf.DUMMYFUNCTION("""COMPUTED_VALUE"""),"B Saya suka belajar saya teratur dan ada waktu-waktu tertentu untuk belajar.")</f>
        <v>B Saya suka belajar saya teratur dan ada waktu-waktu tertentu untuk belajar.</v>
      </c>
      <c r="W33" s="95" t="str">
        <f>IFERROR(__xludf.DUMMYFUNCTION("""COMPUTED_VALUE"""),"A Saya suka melakukan kegiatan sesuai kondisi yang saya inginkan.")</f>
        <v>A Saya suka melakukan kegiatan sesuai kondisi yang saya inginkan.</v>
      </c>
      <c r="X33" s="95" t="str">
        <f>IFERROR(__xludf.DUMMYFUNCTION("""COMPUTED_VALUE"""),"A Saya suka merencanakan dan mengatur setiap apa yang harus saya lakukan.")</f>
        <v>A Saya suka merencanakan dan mengatur setiap apa yang harus saya lakukan.</v>
      </c>
      <c r="Y33" s="95" t="str">
        <f>IFERROR(__xludf.DUMMYFUNCTION("""COMPUTED_VALUE"""),"A Saya suka menyelesaikan tugas-tugas yang membutuhkan ketrampilan dan usaha.")</f>
        <v>A Saya suka menyelesaikan tugas-tugas yang membutuhkan ketrampilan dan usaha.</v>
      </c>
      <c r="Z33" s="95" t="str">
        <f>IFERROR(__xludf.DUMMYFUNCTION("""COMPUTED_VALUE"""),"A Saya ingin berhasil dengan belajar yang saya lakukan.")</f>
        <v>A Saya ingin berhasil dengan belajar yang saya lakukan.</v>
      </c>
      <c r="AA33" s="95" t="str">
        <f>IFERROR(__xludf.DUMMYFUNCTION("""COMPUTED_VALUE"""),"A Saya suka menyelesaikan tugas yang telah saya rencanakan.")</f>
        <v>A Saya suka menyelesaikan tugas yang telah saya rencanakan.</v>
      </c>
      <c r="AB33" s="95" t="str">
        <f>IFERROR(__xludf.DUMMYFUNCTION("""COMPUTED_VALUE"""),"B Saya ingin menyelesaikan pekerjaan satu persatu sebelum memulai yang lain.")</f>
        <v>B Saya ingin menyelesaikan pekerjaan satu persatu sebelum memulai yang lain.</v>
      </c>
      <c r="AC33" s="95" t="str">
        <f>IFERROR(__xludf.DUMMYFUNCTION("""COMPUTED_VALUE"""),"B Saya suka melakukan kegiatan sesuai kondisi yang saya inginkan.")</f>
        <v>B Saya suka melakukan kegiatan sesuai kondisi yang saya inginkan.</v>
      </c>
      <c r="AD33" s="95" t="str">
        <f>IFERROR(__xludf.DUMMYFUNCTION("""COMPUTED_VALUE"""),"A Saya suka bermurah hati terhadap teman-teman saya.")</f>
        <v>A Saya suka bermurah hati terhadap teman-teman saya.</v>
      </c>
      <c r="AE33" s="95" t="str">
        <f>IFERROR(__xludf.DUMMYFUNCTION("""COMPUTED_VALUE"""),"A Saya ingin dianggap sebagai pemimpin oleh teman di kelompok.")</f>
        <v>A Saya ingin dianggap sebagai pemimpin oleh teman di kelompok.</v>
      </c>
      <c r="AF33" s="95" t="str">
        <f>IFERROR(__xludf.DUMMYFUNCTION("""COMPUTED_VALUE"""),"A Saya ingin agar teman-teman mengerti bila saya mengalami kesukaran.")</f>
        <v>A Saya ingin agar teman-teman mengerti bila saya mengalami kesukaran.</v>
      </c>
      <c r="AG33" s="95" t="str">
        <f>IFERROR(__xludf.DUMMYFUNCTION("""COMPUTED_VALUE"""),"B Saya ingin berhasil dengan tugas yang saya lakukan.")</f>
        <v>B Saya ingin berhasil dengan tugas yang saya lakukan.</v>
      </c>
      <c r="AH33" s="95" t="str">
        <f>IFERROR(__xludf.DUMMYFUNCTION("""COMPUTED_VALUE"""),"A Saya suka membaca buku-buku tentang pergaulan remaja.")</f>
        <v>A Saya suka membaca buku-buku tentang pergaulan remaja.</v>
      </c>
      <c r="AI33" s="95" t="str">
        <f>IFERROR(__xludf.DUMMYFUNCTION("""COMPUTED_VALUE"""),"B Saya suka melakukan kegiatan sesuai kondisi yang saya inginkan.")</f>
        <v>B Saya suka melakukan kegiatan sesuai kondisi yang saya inginkan.</v>
      </c>
      <c r="AJ33" s="95" t="str">
        <f>IFERROR(__xludf.DUMMYFUNCTION("""COMPUTED_VALUE"""),"B Saya suka bertahan menghadapi satu masalah meskipun belum tentu berhasil.")</f>
        <v>B Saya suka bertahan menghadapi satu masalah meskipun belum tentu berhasil.</v>
      </c>
      <c r="AK33" s="95" t="str">
        <f>IFERROR(__xludf.DUMMYFUNCTION("""COMPUTED_VALUE"""),"B Bila saya harus melakukan suatu tugas, saya ingin mengerjakan sampai selesai.")</f>
        <v>B Bila saya harus melakukan suatu tugas, saya ingin mengerjakan sampai selesai.</v>
      </c>
      <c r="AL33" s="95" t="str">
        <f>IFERROR(__xludf.DUMMYFUNCTION("""COMPUTED_VALUE"""),"B Saya ingin menghindarkan gangguan bila saya sedang belajar.")</f>
        <v>B Saya ingin menghindarkan gangguan bila saya sedang belajar.</v>
      </c>
      <c r="AM33" s="95" t="str">
        <f>IFERROR(__xludf.DUMMYFUNCTION("""COMPUTED_VALUE"""),"B Saya suka belajar sampai malam untuk menyelesaikan suatu tugas.")</f>
        <v>B Saya suka belajar sampai malam untuk menyelesaikan suatu tugas.</v>
      </c>
      <c r="AN33" s="95" t="str">
        <f>IFERROR(__xludf.DUMMYFUNCTION("""COMPUTED_VALUE"""),"A Saya tidak suka pada orang yang semena-mena.")</f>
        <v>A Saya tidak suka pada orang yang semena-mena.</v>
      </c>
      <c r="AO33" s="95" t="str">
        <f>IFERROR(__xludf.DUMMYFUNCTION("""COMPUTED_VALUE"""),"A Saya suka berlaku sangat ramah terhadap teman-teman saya.")</f>
        <v>A Saya suka berlaku sangat ramah terhadap teman-teman saya.</v>
      </c>
      <c r="AP33" s="95" t="str">
        <f>IFERROR(__xludf.DUMMYFUNCTION("""COMPUTED_VALUE"""),"B Saya suka bertahan menghadapi satu masalah meskipun belum tentu berhasil.")</f>
        <v>B Saya suka bertahan menghadapi satu masalah meskipun belum tentu berhasil.</v>
      </c>
      <c r="AQ33" s="95" t="str">
        <f>IFERROR(__xludf.DUMMYFUNCTION("""COMPUTED_VALUE"""),"B Bila saya harus melakukan suatu tugas, saya ingin mengerjakan sampai selesai.")</f>
        <v>B Bila saya harus melakukan suatu tugas, saya ingin mengerjakan sampai selesai.</v>
      </c>
      <c r="AR33" s="95" t="str">
        <f>IFERROR(__xludf.DUMMYFUNCTION("""COMPUTED_VALUE"""),"B Saya suka belajar keras pada tiap pelajaran yang saya hadapi.")</f>
        <v>B Saya suka belajar keras pada tiap pelajaran yang saya hadapi.</v>
      </c>
      <c r="AS33" s="95" t="str">
        <f>IFERROR(__xludf.DUMMYFUNCTION("""COMPUTED_VALUE"""),"B Saya suka belajar sampai malam untuk menyelesaikan suatu tugas.")</f>
        <v>B Saya suka belajar sampai malam untuk menyelesaikan suatu tugas.</v>
      </c>
      <c r="AT33" s="95" t="str">
        <f>IFERROR(__xludf.DUMMYFUNCTION("""COMPUTED_VALUE"""),"B Saya suka membantu orang lain yang menurut saya perlu dikasihani.")</f>
        <v>B Saya suka membantu orang lain yang menurut saya perlu dikasihani.</v>
      </c>
      <c r="AU33" s="95" t="str">
        <f>IFERROR(__xludf.DUMMYFUNCTION("""COMPUTED_VALUE"""),"B Saya suka bermurah hati terhadap teman-teman saya.")</f>
        <v>B Saya suka bermurah hati terhadap teman-teman saya.</v>
      </c>
      <c r="AV33" s="95" t="str">
        <f>IFERROR(__xludf.DUMMYFUNCTION("""COMPUTED_VALUE"""),"B Saya suka menolong teman-teman saya.")</f>
        <v>B Saya suka menolong teman-teman saya.</v>
      </c>
      <c r="AW33" s="95" t="str">
        <f>IFERROR(__xludf.DUMMYFUNCTION("""COMPUTED_VALUE"""),"A Saya ingin mengerjakan tugas sampai selesai.")</f>
        <v>A Saya ingin mengerjakan tugas sampai selesai.</v>
      </c>
      <c r="AX33" s="95" t="str">
        <f>IFERROR(__xludf.DUMMYFUNCTION("""COMPUTED_VALUE"""),"B Saya suka memaafkan teman-teman saya yang menyakiti hati saya.")</f>
        <v>B Saya suka memaafkan teman-teman saya yang menyakiti hati saya.</v>
      </c>
      <c r="AY33" s="95" t="str">
        <f>IFERROR(__xludf.DUMMYFUNCTION("""COMPUTED_VALUE"""),"A Saya rasanya ingin marah saat tidak sesuai dengan hati.")</f>
        <v>A Saya rasanya ingin marah saat tidak sesuai dengan hati.</v>
      </c>
      <c r="AZ33" s="95" t="str">
        <f>IFERROR(__xludf.DUMMYFUNCTION("""COMPUTED_VALUE"""),"B Saya suka menunjukkan simpati saya kepada teman-teman saya.")</f>
        <v>B Saya suka menunjukkan simpati saya kepada teman-teman saya.</v>
      </c>
      <c r="BA33" s="95" t="str">
        <f>IFERROR(__xludf.DUMMYFUNCTION("""COMPUTED_VALUE"""),"B Saya suka memperlakukan orang lain dengan baik dan ramah.")</f>
        <v>B Saya suka memperlakukan orang lain dengan baik dan ramah.</v>
      </c>
      <c r="BB33" s="95" t="str">
        <f>IFERROR(__xludf.DUMMYFUNCTION("""COMPUTED_VALUE"""),"B Saya suka bermurah hati terhadap teman-teman saya.")</f>
        <v>B Saya suka bermurah hati terhadap teman-teman saya.</v>
      </c>
      <c r="BC33" s="95" t="str">
        <f>IFERROR(__xludf.DUMMYFUNCTION("""COMPUTED_VALUE"""),"B Saya suka membantu orang lain yang menurut saya perlu dikasihani.")</f>
        <v>B Saya suka membantu orang lain yang menurut saya perlu dikasihani.</v>
      </c>
      <c r="BD33" s="95" t="str">
        <f>IFERROR(__xludf.DUMMYFUNCTION("""COMPUTED_VALUE"""),"B Saya suka bersikukuh dengan pendirian saya.")</f>
        <v>B Saya suka bersikukuh dengan pendirian saya.</v>
      </c>
      <c r="BE33" s="95" t="str">
        <f>IFERROR(__xludf.DUMMYFUNCTION("""COMPUTED_VALUE"""),"A Saya suka mendengarkan atau menceritakan hal-hal yang sebaiknya tidak diceritakan.")</f>
        <v>A Saya suka mendengarkan atau menceritakan hal-hal yang sebaiknya tidak diceritakan.</v>
      </c>
      <c r="BF33" s="95" t="str">
        <f>IFERROR(__xludf.DUMMYFUNCTION("""COMPUTED_VALUE"""),"B Bila saya dalam kelompok, saya ingin menentukan apa yang akan kita lakukan.")</f>
        <v>B Bila saya dalam kelompok, saya ingin menentukan apa yang akan kita lakukan.</v>
      </c>
      <c r="BG33" s="95" t="str">
        <f>IFERROR(__xludf.DUMMYFUNCTION("""COMPUTED_VALUE"""),"B Saya suka mengarahkan kepada orang lain apa yang harus dilakukan.")</f>
        <v>B Saya suka mengarahkan kepada orang lain apa yang harus dilakukan.</v>
      </c>
      <c r="BH33" s="95" t="str">
        <f>IFERROR(__xludf.DUMMYFUNCTION("""COMPUTED_VALUE"""),"A Saya suka menghindar dari situasi yang tidak saya harapkan.")</f>
        <v>A Saya suka menghindar dari situasi yang tidak saya harapkan.</v>
      </c>
      <c r="BI33" s="95" t="str">
        <f>IFERROR(__xludf.DUMMYFUNCTION("""COMPUTED_VALUE"""),"A Saya suka bermurah hati terhadap teman-teman saya.")</f>
        <v>A Saya suka bermurah hati terhadap teman-teman saya.</v>
      </c>
      <c r="BJ33" s="95" t="str">
        <f>IFERROR(__xludf.DUMMYFUNCTION("""COMPUTED_VALUE"""),"A Saya ingin mengerjakan tugas sampai selesai.")</f>
        <v>A Saya ingin mengerjakan tugas sampai selesai.</v>
      </c>
      <c r="BK33" s="95" t="str">
        <f>IFERROR(__xludf.DUMMYFUNCTION("""COMPUTED_VALUE"""),"A Saya ingin menyelesaikan pekerjaan satu persatu sebelum memulai yang lain.")</f>
        <v>A Saya ingin menyelesaikan pekerjaan satu persatu sebelum memulai yang lain.</v>
      </c>
      <c r="BL33" s="95" t="str">
        <f>IFERROR(__xludf.DUMMYFUNCTION("""COMPUTED_VALUE"""),"A Saya suka belajar saya teratur dan ada waktu-waktu tertentu untuk belajar.")</f>
        <v>A Saya suka belajar saya teratur dan ada waktu-waktu tertentu untuk belajar.</v>
      </c>
      <c r="BM33" s="95" t="str">
        <f>IFERROR(__xludf.DUMMYFUNCTION("""COMPUTED_VALUE"""),"A Saya suka melakukan pekerjaan sebaik mungkin.")</f>
        <v>A Saya suka melakukan pekerjaan sebaik mungkin.</v>
      </c>
      <c r="BN33" s="95" t="str">
        <f>IFERROR(__xludf.DUMMYFUNCTION("""COMPUTED_VALUE"""),"A Saya suka mengerjakan teka-teki atau memecahkan persoalan sampai selesai.")</f>
        <v>A Saya suka mengerjakan teka-teki atau memecahkan persoalan sampai selesai.</v>
      </c>
      <c r="BO33" s="95" t="str">
        <f>IFERROR(__xludf.DUMMYFUNCTION("""COMPUTED_VALUE"""),"A Saya suka membuat perencanaan sebelum memulai belajar yang sulit.")</f>
        <v>A Saya suka membuat perencanaan sebelum memulai belajar yang sulit.</v>
      </c>
      <c r="BP33" s="95" t="str">
        <f>IFERROR(__xludf.DUMMYFUNCTION("""COMPUTED_VALUE"""),"A Saya ingin menyelesaikan sesuatu yang sangat penting artinya.")</f>
        <v>A Saya ingin menyelesaikan sesuatu yang sangat penting artinya.</v>
      </c>
      <c r="BQ33" s="95" t="str">
        <f>IFERROR(__xludf.DUMMYFUNCTION("""COMPUTED_VALUE"""),"A Saya ingin mengerjakannya tugas sampai selesai.")</f>
        <v>A Saya ingin mengerjakannya tugas sampai selesai.</v>
      </c>
      <c r="BR33" s="95" t="str">
        <f>IFERROR(__xludf.DUMMYFUNCTION("""COMPUTED_VALUE"""),"A Saya suka memaafkan teman-teman saya yang menyakiti hati saya.")</f>
        <v>A Saya suka memaafkan teman-teman saya yang menyakiti hati saya.</v>
      </c>
      <c r="BS33" s="95" t="str">
        <f>IFERROR(__xludf.DUMMYFUNCTION("""COMPUTED_VALUE"""),"B Saya ingin teman-teman saya membantu saya bila saya mengalami kesulitan")</f>
        <v>B Saya ingin teman-teman saya membantu saya bila saya mengalami kesulitan</v>
      </c>
      <c r="BT33" s="95" t="str">
        <f>IFERROR(__xludf.DUMMYFUNCTION("""COMPUTED_VALUE"""),"A Saya ingin teman-teman saya merasa kasihan pada saya apabila saya sakit.")</f>
        <v>A Saya ingin teman-teman saya merasa kasihan pada saya apabila saya sakit.</v>
      </c>
      <c r="BU33" s="95" t="str">
        <f>IFERROR(__xludf.DUMMYFUNCTION("""COMPUTED_VALUE"""),"B Saya ingin agar teman-teman saya merasa kasihan pada saya apabila saya sakit.")</f>
        <v>B Saya ingin agar teman-teman saya merasa kasihan pada saya apabila saya sakit.</v>
      </c>
      <c r="BV33" s="95" t="str">
        <f>IFERROR(__xludf.DUMMYFUNCTION("""COMPUTED_VALUE"""),"B Saya ingin teman-teman dengan gembira memberikan pertolongan kepada saya.")</f>
        <v>B Saya ingin teman-teman dengan gembira memberikan pertolongan kepada saya.</v>
      </c>
      <c r="BW33" s="95" t="str">
        <f>IFERROR(__xludf.DUMMYFUNCTION("""COMPUTED_VALUE"""),"B Saya ingin diperlakukan dengan baik oleh teman-teman saya.")</f>
        <v>B Saya ingin diperlakukan dengan baik oleh teman-teman saya.</v>
      </c>
      <c r="BX33" s="95" t="str">
        <f>IFERROR(__xludf.DUMMYFUNCTION("""COMPUTED_VALUE"""),"B Saya kadang-kadang suka melakukan hal-hal yang dapat dipuji oleh orang lain.")</f>
        <v>B Saya kadang-kadang suka melakukan hal-hal yang dapat dipuji oleh orang lain.</v>
      </c>
      <c r="BY33" s="95" t="str">
        <f>IFERROR(__xludf.DUMMYFUNCTION("""COMPUTED_VALUE"""),"B Saya ingin orang lain memperhatikan dan berkomentar tentang penampilan saya.")</f>
        <v>B Saya ingin orang lain memperhatikan dan berkomentar tentang penampilan saya.</v>
      </c>
      <c r="BZ33" s="95" t="str">
        <f>IFERROR(__xludf.DUMMYFUNCTION("""COMPUTED_VALUE"""),"B Saya suka diperhatikan, apabila saya ada di dalam suatu kelompok.")</f>
        <v>B Saya suka diperhatikan, apabila saya ada di dalam suatu kelompok.</v>
      </c>
      <c r="CA33" s="95" t="str">
        <f>IFERROR(__xludf.DUMMYFUNCTION("""COMPUTED_VALUE"""),"A Saya ingin teman-teman dengan gembira memberikan pertolongan kepada saya.")</f>
        <v>A Saya ingin teman-teman dengan gembira memberikan pertolongan kepada saya.</v>
      </c>
      <c r="CB33" s="95" t="str">
        <f>IFERROR(__xludf.DUMMYFUNCTION("""COMPUTED_VALUE"""),"B Saya suka berbicara tentang hal-hal yang telah saya capai.")</f>
        <v>B Saya suka berbicara tentang hal-hal yang telah saya capai.</v>
      </c>
      <c r="CC33" s="95" t="str">
        <f>IFERROR(__xludf.DUMMYFUNCTION("""COMPUTED_VALUE"""),"A Apabila saya berkumpul dalam kelompok, saya ingin dihargai teman-teman.")</f>
        <v>A Apabila saya berkumpul dalam kelompok, saya ingin dihargai teman-teman.</v>
      </c>
      <c r="CD33" s="95" t="str">
        <f>IFERROR(__xludf.DUMMYFUNCTION("""COMPUTED_VALUE"""),"A Saya suka menyelesaikan setiap tugas meskipun membutuhkan waktu lama.")</f>
        <v>A Saya suka menyelesaikan setiap tugas meskipun membutuhkan waktu lama.</v>
      </c>
      <c r="CE33" s="95" t="str">
        <f>IFERROR(__xludf.DUMMYFUNCTION("""COMPUTED_VALUE"""),"A Saya suka menyelesaikan setiap tugas belajar yang telah saya mulai.")</f>
        <v>A Saya suka menyelesaikan setiap tugas belajar yang telah saya mulai.</v>
      </c>
      <c r="CF33" s="95" t="str">
        <f>IFERROR(__xludf.DUMMYFUNCTION("""COMPUTED_VALUE"""),"A Saya ingin agar hidup saya teratur sesuai cita-cita saya.")</f>
        <v>A Saya ingin agar hidup saya teratur sesuai cita-cita saya.</v>
      </c>
      <c r="CG33" s="95" t="str">
        <f>IFERROR(__xludf.DUMMYFUNCTION("""COMPUTED_VALUE"""),"A Saya ingin berhasil dalam apa yang saya lakukan.")</f>
        <v>A Saya ingin berhasil dalam apa yang saya lakukan.</v>
      </c>
      <c r="CH33" s="95" t="str">
        <f>IFERROR(__xludf.DUMMYFUNCTION("""COMPUTED_VALUE"""),"A Saya ingin bisa melakukan dengan baik sesuatu pekerjaan sulit.")</f>
        <v>A Saya ingin bisa melakukan dengan baik sesuatu pekerjaan sulit.</v>
      </c>
      <c r="CI33" s="95" t="str">
        <f>IFERROR(__xludf.DUMMYFUNCTION("""COMPUTED_VALUE"""),"A Saya suka belajar saya teratur dan ada waktu-waktu tertentu untuk belajar.")</f>
        <v>A Saya suka belajar saya teratur dan ada waktu-waktu tertentu untuk belajar.</v>
      </c>
      <c r="CJ33" s="95" t="str">
        <f>IFERROR(__xludf.DUMMYFUNCTION("""COMPUTED_VALUE"""),"A Saya ingin tidak tergantung dari orang lain terhadap apa yang akan saya lakukan.")</f>
        <v>A Saya ingin tidak tergantung dari orang lain terhadap apa yang akan saya lakukan.</v>
      </c>
      <c r="CK33" s="95" t="str">
        <f>IFERROR(__xludf.DUMMYFUNCTION("""COMPUTED_VALUE"""),"A Saya suka bertahan menghadapi satu masalah, meskipun belum tentu berhasil.")</f>
        <v>A Saya suka bertahan menghadapi satu masalah, meskipun belum tentu berhasil.</v>
      </c>
      <c r="CL33" s="95" t="str">
        <f>IFERROR(__xludf.DUMMYFUNCTION("""COMPUTED_VALUE"""),"A Saya suka menolong teman-teman saya, apabila mereka dalam kesulitan.")</f>
        <v>A Saya suka menolong teman-teman saya, apabila mereka dalam kesulitan.</v>
      </c>
      <c r="CM33" s="95" t="str">
        <f>IFERROR(__xludf.DUMMYFUNCTION("""COMPUTED_VALUE"""),"B Saya merasa kagum pada seseorang.")</f>
        <v>B Saya merasa kagum pada seseorang.</v>
      </c>
      <c r="CN33" s="95" t="str">
        <f>IFERROR(__xludf.DUMMYFUNCTION("""COMPUTED_VALUE"""),"A Saya ingin diperlakukan dengan baik oleh teman-teman saya.")</f>
        <v>A Saya ingin diperlakukan dengan baik oleh teman-teman saya.</v>
      </c>
      <c r="CO33" s="95" t="str">
        <f>IFERROR(__xludf.DUMMYFUNCTION("""COMPUTED_VALUE"""),"B Saya suka memuji orang yang saya kagumi.")</f>
        <v>B Saya suka memuji orang yang saya kagumi.</v>
      </c>
      <c r="CP33" s="95" t="str">
        <f>IFERROR(__xludf.DUMMYFUNCTION("""COMPUTED_VALUE"""),"B Saya ingin dianggap menarik oleh orang lain.")</f>
        <v>B Saya ingin dianggap menarik oleh orang lain.</v>
      </c>
      <c r="CQ33" s="95" t="str">
        <f>IFERROR(__xludf.DUMMYFUNCTION("""COMPUTED_VALUE"""),"B Saya merasa kagum pada seseorang.")</f>
        <v>B Saya merasa kagum pada seseorang.</v>
      </c>
      <c r="CR33" s="95" t="str">
        <f>IFERROR(__xludf.DUMMYFUNCTION("""COMPUTED_VALUE"""),"B Saya rasanya ingin mengecam seseorang bila orang itu menjengkelkan.")</f>
        <v>B Saya rasanya ingin mengecam seseorang bila orang itu menjengkelkan.</v>
      </c>
      <c r="CS33" s="95" t="str">
        <f>IFERROR(__xludf.DUMMYFUNCTION("""COMPUTED_VALUE"""),"A Saya ingin terlihat menarik di depan teman-teman saya.")</f>
        <v>A Saya ingin terlihat menarik di depan teman-teman saya.</v>
      </c>
      <c r="CT33" s="95" t="str">
        <f>IFERROR(__xludf.DUMMYFUNCTION("""COMPUTED_VALUE"""),"A Saya ingin orang-orang memperhatikan komentar mengenai penampilan saya.")</f>
        <v>A Saya ingin orang-orang memperhatikan komentar mengenai penampilan saya.</v>
      </c>
      <c r="CU33" s="95" t="str">
        <f>IFERROR(__xludf.DUMMYFUNCTION("""COMPUTED_VALUE"""),"A Saya ingin diperlakukan dengan ramah oleh teman-teman saya.")</f>
        <v>A Saya ingin diperlakukan dengan ramah oleh teman-teman saya.</v>
      </c>
      <c r="CV33" s="95" t="str">
        <f>IFERROR(__xludf.DUMMYFUNCTION("""COMPUTED_VALUE"""),"A Saya ingin ditunjuk atau dipilih sebagai ketua dalam suatu kelompok.")</f>
        <v>A Saya ingin ditunjuk atau dipilih sebagai ketua dalam suatu kelompok.</v>
      </c>
      <c r="CW33" s="95" t="str">
        <f>IFERROR(__xludf.DUMMYFUNCTION("""COMPUTED_VALUE"""),"A Saya suka menolong teman-teman saya, apabila mereka dalam kesulitan.")</f>
        <v>A Saya suka menolong teman-teman saya, apabila mereka dalam kesulitan.</v>
      </c>
      <c r="CX33" s="95" t="str">
        <f>IFERROR(__xludf.DUMMYFUNCTION("""COMPUTED_VALUE"""),"A Saya suka belajar sampai malam untuk menyelesaikan suatu tugas.")</f>
        <v>A Saya suka belajar sampai malam untuk menyelesaikan suatu tugas.</v>
      </c>
      <c r="CY33" s="95" t="str">
        <f>IFERROR(__xludf.DUMMYFUNCTION("""COMPUTED_VALUE"""),"A Saya ingin tidak tergantung dari orang lain terhadap apa yang akan saya lakukan.")</f>
        <v>A Saya ingin tidak tergantung dari orang lain terhadap apa yang akan saya lakukan.</v>
      </c>
      <c r="CZ33" s="95" t="str">
        <f>IFERROR(__xludf.DUMMYFUNCTION("""COMPUTED_VALUE"""),"A Saya suka merencanakan dan mengatur setiap pekerjaan yang harus saya lakukan.")</f>
        <v>A Saya suka merencanakan dan mengatur setiap pekerjaan yang harus saya lakukan.</v>
      </c>
      <c r="DA33" s="95" t="str">
        <f>IFERROR(__xludf.DUMMYFUNCTION("""COMPUTED_VALUE"""),"A Saya ingin melakukan apa saja sebaik mungkin.")</f>
        <v>A Saya ingin melakukan apa saja sebaik mungkin.</v>
      </c>
      <c r="DB33" s="89" t="s">
        <v>23</v>
      </c>
      <c r="DC33" s="97" t="str">
        <f t="shared" ref="DC33:GX33" si="78">LEFT(F33,1)</f>
        <v>A</v>
      </c>
      <c r="DD33" s="97" t="str">
        <f t="shared" si="78"/>
        <v>A</v>
      </c>
      <c r="DE33" s="97" t="str">
        <f t="shared" si="78"/>
        <v>A</v>
      </c>
      <c r="DF33" s="97" t="str">
        <f t="shared" si="78"/>
        <v>B</v>
      </c>
      <c r="DG33" s="97" t="str">
        <f t="shared" si="78"/>
        <v>A</v>
      </c>
      <c r="DH33" s="97" t="str">
        <f t="shared" si="78"/>
        <v>A</v>
      </c>
      <c r="DI33" s="97" t="str">
        <f t="shared" si="78"/>
        <v>B</v>
      </c>
      <c r="DJ33" s="97" t="str">
        <f t="shared" si="78"/>
        <v>B</v>
      </c>
      <c r="DK33" s="97" t="str">
        <f t="shared" si="78"/>
        <v>B</v>
      </c>
      <c r="DL33" s="97" t="str">
        <f t="shared" si="78"/>
        <v>A</v>
      </c>
      <c r="DM33" s="97" t="str">
        <f t="shared" si="78"/>
        <v>B</v>
      </c>
      <c r="DN33" s="97" t="str">
        <f t="shared" si="78"/>
        <v>B</v>
      </c>
      <c r="DO33" s="97" t="str">
        <f t="shared" si="78"/>
        <v>B</v>
      </c>
      <c r="DP33" s="97" t="str">
        <f t="shared" si="78"/>
        <v>B</v>
      </c>
      <c r="DQ33" s="97" t="str">
        <f t="shared" si="78"/>
        <v>B</v>
      </c>
      <c r="DR33" s="97" t="str">
        <f t="shared" si="78"/>
        <v>A</v>
      </c>
      <c r="DS33" s="97" t="str">
        <f t="shared" si="78"/>
        <v>B</v>
      </c>
      <c r="DT33" s="97" t="str">
        <f t="shared" si="78"/>
        <v>A</v>
      </c>
      <c r="DU33" s="97" t="str">
        <f t="shared" si="78"/>
        <v>A</v>
      </c>
      <c r="DV33" s="97" t="str">
        <f t="shared" si="78"/>
        <v>A</v>
      </c>
      <c r="DW33" s="97" t="str">
        <f t="shared" si="78"/>
        <v>A</v>
      </c>
      <c r="DX33" s="97" t="str">
        <f t="shared" si="78"/>
        <v>A</v>
      </c>
      <c r="DY33" s="97" t="str">
        <f t="shared" si="78"/>
        <v>B</v>
      </c>
      <c r="DZ33" s="97" t="str">
        <f t="shared" si="78"/>
        <v>B</v>
      </c>
      <c r="EA33" s="97" t="str">
        <f t="shared" si="78"/>
        <v>A</v>
      </c>
      <c r="EB33" s="97" t="str">
        <f t="shared" si="78"/>
        <v>A</v>
      </c>
      <c r="EC33" s="97" t="str">
        <f t="shared" si="78"/>
        <v>A</v>
      </c>
      <c r="ED33" s="97" t="str">
        <f t="shared" si="78"/>
        <v>B</v>
      </c>
      <c r="EE33" s="97" t="str">
        <f t="shared" si="78"/>
        <v>A</v>
      </c>
      <c r="EF33" s="97" t="str">
        <f t="shared" si="78"/>
        <v>B</v>
      </c>
      <c r="EG33" s="97" t="str">
        <f t="shared" si="78"/>
        <v>B</v>
      </c>
      <c r="EH33" s="97" t="str">
        <f t="shared" si="78"/>
        <v>B</v>
      </c>
      <c r="EI33" s="97" t="str">
        <f t="shared" si="78"/>
        <v>B</v>
      </c>
      <c r="EJ33" s="97" t="str">
        <f t="shared" si="78"/>
        <v>B</v>
      </c>
      <c r="EK33" s="97" t="str">
        <f t="shared" si="78"/>
        <v>A</v>
      </c>
      <c r="EL33" s="97" t="str">
        <f t="shared" si="78"/>
        <v>A</v>
      </c>
      <c r="EM33" s="97" t="str">
        <f t="shared" si="78"/>
        <v>B</v>
      </c>
      <c r="EN33" s="97" t="str">
        <f t="shared" si="78"/>
        <v>B</v>
      </c>
      <c r="EO33" s="97" t="str">
        <f t="shared" si="78"/>
        <v>B</v>
      </c>
      <c r="EP33" s="97" t="str">
        <f t="shared" si="78"/>
        <v>B</v>
      </c>
      <c r="EQ33" s="97" t="str">
        <f t="shared" si="78"/>
        <v>B</v>
      </c>
      <c r="ER33" s="97" t="str">
        <f t="shared" si="78"/>
        <v>B</v>
      </c>
      <c r="ES33" s="97" t="str">
        <f t="shared" si="78"/>
        <v>B</v>
      </c>
      <c r="ET33" s="97" t="str">
        <f t="shared" si="78"/>
        <v>A</v>
      </c>
      <c r="EU33" s="97" t="str">
        <f t="shared" si="78"/>
        <v>B</v>
      </c>
      <c r="EV33" s="97" t="str">
        <f t="shared" si="78"/>
        <v>A</v>
      </c>
      <c r="EW33" s="97" t="str">
        <f t="shared" si="78"/>
        <v>B</v>
      </c>
      <c r="EX33" s="97" t="str">
        <f t="shared" si="78"/>
        <v>B</v>
      </c>
      <c r="EY33" s="97" t="str">
        <f t="shared" si="78"/>
        <v>B</v>
      </c>
      <c r="EZ33" s="97" t="str">
        <f t="shared" si="78"/>
        <v>B</v>
      </c>
      <c r="FA33" s="97" t="str">
        <f t="shared" si="78"/>
        <v>B</v>
      </c>
      <c r="FB33" s="97" t="str">
        <f t="shared" si="78"/>
        <v>A</v>
      </c>
      <c r="FC33" s="97" t="str">
        <f t="shared" si="78"/>
        <v>B</v>
      </c>
      <c r="FD33" s="97" t="str">
        <f t="shared" si="78"/>
        <v>B</v>
      </c>
      <c r="FE33" s="97" t="str">
        <f t="shared" si="78"/>
        <v>A</v>
      </c>
      <c r="FF33" s="97" t="str">
        <f t="shared" si="78"/>
        <v>A</v>
      </c>
      <c r="FG33" s="97" t="str">
        <f t="shared" si="78"/>
        <v>A</v>
      </c>
      <c r="FH33" s="97" t="str">
        <f t="shared" si="78"/>
        <v>A</v>
      </c>
      <c r="FI33" s="97" t="str">
        <f t="shared" si="78"/>
        <v>A</v>
      </c>
      <c r="FJ33" s="97" t="str">
        <f t="shared" si="78"/>
        <v>A</v>
      </c>
      <c r="FK33" s="97" t="str">
        <f t="shared" si="78"/>
        <v>A</v>
      </c>
      <c r="FL33" s="97" t="str">
        <f t="shared" si="78"/>
        <v>A</v>
      </c>
      <c r="FM33" s="97" t="str">
        <f t="shared" si="78"/>
        <v>A</v>
      </c>
      <c r="FN33" s="97" t="str">
        <f t="shared" si="78"/>
        <v>A</v>
      </c>
      <c r="FO33" s="97" t="str">
        <f t="shared" si="78"/>
        <v>A</v>
      </c>
      <c r="FP33" s="97" t="str">
        <f t="shared" si="78"/>
        <v>B</v>
      </c>
      <c r="FQ33" s="97" t="str">
        <f t="shared" si="78"/>
        <v>A</v>
      </c>
      <c r="FR33" s="97" t="str">
        <f t="shared" si="78"/>
        <v>B</v>
      </c>
      <c r="FS33" s="97" t="str">
        <f t="shared" si="78"/>
        <v>B</v>
      </c>
      <c r="FT33" s="97" t="str">
        <f t="shared" si="78"/>
        <v>B</v>
      </c>
      <c r="FU33" s="97" t="str">
        <f t="shared" si="78"/>
        <v>B</v>
      </c>
      <c r="FV33" s="97" t="str">
        <f t="shared" si="78"/>
        <v>B</v>
      </c>
      <c r="FW33" s="97" t="str">
        <f t="shared" si="78"/>
        <v>B</v>
      </c>
      <c r="FX33" s="97" t="str">
        <f t="shared" si="78"/>
        <v>A</v>
      </c>
      <c r="FY33" s="97" t="str">
        <f t="shared" si="78"/>
        <v>B</v>
      </c>
      <c r="FZ33" s="97" t="str">
        <f t="shared" si="78"/>
        <v>A</v>
      </c>
      <c r="GA33" s="97" t="str">
        <f t="shared" si="78"/>
        <v>A</v>
      </c>
      <c r="GB33" s="97" t="str">
        <f t="shared" si="78"/>
        <v>A</v>
      </c>
      <c r="GC33" s="97" t="str">
        <f t="shared" si="78"/>
        <v>A</v>
      </c>
      <c r="GD33" s="97" t="str">
        <f t="shared" si="78"/>
        <v>A</v>
      </c>
      <c r="GE33" s="97" t="str">
        <f t="shared" si="78"/>
        <v>A</v>
      </c>
      <c r="GF33" s="97" t="str">
        <f t="shared" si="78"/>
        <v>A</v>
      </c>
      <c r="GG33" s="97" t="str">
        <f t="shared" si="78"/>
        <v>A</v>
      </c>
      <c r="GH33" s="97" t="str">
        <f t="shared" si="78"/>
        <v>A</v>
      </c>
      <c r="GI33" s="97" t="str">
        <f t="shared" si="78"/>
        <v>A</v>
      </c>
      <c r="GJ33" s="97" t="str">
        <f t="shared" si="78"/>
        <v>B</v>
      </c>
      <c r="GK33" s="97" t="str">
        <f t="shared" si="78"/>
        <v>A</v>
      </c>
      <c r="GL33" s="97" t="str">
        <f t="shared" si="78"/>
        <v>B</v>
      </c>
      <c r="GM33" s="97" t="str">
        <f t="shared" si="78"/>
        <v>B</v>
      </c>
      <c r="GN33" s="97" t="str">
        <f t="shared" si="78"/>
        <v>B</v>
      </c>
      <c r="GO33" s="97" t="str">
        <f t="shared" si="78"/>
        <v>B</v>
      </c>
      <c r="GP33" s="97" t="str">
        <f t="shared" si="78"/>
        <v>A</v>
      </c>
      <c r="GQ33" s="97" t="str">
        <f t="shared" si="78"/>
        <v>A</v>
      </c>
      <c r="GR33" s="97" t="str">
        <f t="shared" si="78"/>
        <v>A</v>
      </c>
      <c r="GS33" s="97" t="str">
        <f t="shared" si="78"/>
        <v>A</v>
      </c>
      <c r="GT33" s="97" t="str">
        <f t="shared" si="78"/>
        <v>A</v>
      </c>
      <c r="GU33" s="97" t="str">
        <f t="shared" si="78"/>
        <v>A</v>
      </c>
      <c r="GV33" s="97" t="str">
        <f t="shared" si="78"/>
        <v>A</v>
      </c>
      <c r="GW33" s="97" t="str">
        <f t="shared" si="78"/>
        <v>A</v>
      </c>
      <c r="GX33" s="97" t="str">
        <f t="shared" si="78"/>
        <v>A</v>
      </c>
      <c r="GY33" s="98"/>
      <c r="GZ33" s="97">
        <f t="shared" si="3"/>
        <v>54</v>
      </c>
      <c r="HA33" s="97">
        <f t="shared" si="4"/>
        <v>46</v>
      </c>
      <c r="HB33" s="90">
        <f t="shared" si="5"/>
        <v>100</v>
      </c>
      <c r="HC33" s="99"/>
      <c r="HD33" s="97">
        <f t="shared" si="6"/>
        <v>7</v>
      </c>
      <c r="HE33" s="97">
        <f t="shared" si="7"/>
        <v>4</v>
      </c>
      <c r="HF33" s="90">
        <f t="shared" si="8"/>
        <v>11</v>
      </c>
      <c r="HG33" s="99"/>
      <c r="HH33" s="97">
        <f t="shared" si="9"/>
        <v>7</v>
      </c>
      <c r="HI33" s="97">
        <f t="shared" si="10"/>
        <v>6</v>
      </c>
      <c r="HJ33" s="90">
        <f t="shared" si="11"/>
        <v>13</v>
      </c>
      <c r="HK33" s="99"/>
      <c r="HL33" s="97">
        <f t="shared" si="12"/>
        <v>7</v>
      </c>
      <c r="HM33" s="97">
        <f t="shared" si="13"/>
        <v>4</v>
      </c>
      <c r="HN33" s="90">
        <f t="shared" si="14"/>
        <v>11</v>
      </c>
      <c r="HO33" s="99"/>
      <c r="HP33" s="97">
        <f t="shared" si="15"/>
        <v>6</v>
      </c>
      <c r="HQ33" s="97">
        <f t="shared" si="16"/>
        <v>8</v>
      </c>
      <c r="HR33" s="90">
        <f t="shared" si="17"/>
        <v>14</v>
      </c>
      <c r="HS33" s="99"/>
      <c r="HT33" s="97">
        <f t="shared" si="18"/>
        <v>9</v>
      </c>
      <c r="HU33" s="97">
        <f t="shared" si="19"/>
        <v>8</v>
      </c>
      <c r="HV33" s="90">
        <f t="shared" si="20"/>
        <v>17</v>
      </c>
      <c r="HW33" s="99"/>
      <c r="HX33" s="97">
        <f t="shared" si="21"/>
        <v>5</v>
      </c>
      <c r="HY33" s="97">
        <f t="shared" si="22"/>
        <v>3</v>
      </c>
      <c r="HZ33" s="90">
        <f t="shared" si="23"/>
        <v>8</v>
      </c>
      <c r="IA33" s="99"/>
      <c r="IB33" s="97">
        <f t="shared" si="24"/>
        <v>4</v>
      </c>
      <c r="IC33" s="97">
        <f t="shared" si="25"/>
        <v>4</v>
      </c>
      <c r="ID33" s="90">
        <f t="shared" si="26"/>
        <v>8</v>
      </c>
      <c r="IE33" s="99"/>
      <c r="IF33" s="97">
        <f t="shared" si="27"/>
        <v>1</v>
      </c>
      <c r="IG33" s="97">
        <f t="shared" si="28"/>
        <v>4</v>
      </c>
      <c r="IH33" s="90">
        <f t="shared" si="29"/>
        <v>5</v>
      </c>
      <c r="II33" s="99"/>
      <c r="IJ33" s="97">
        <f t="shared" si="30"/>
        <v>3</v>
      </c>
      <c r="IK33" s="97">
        <f t="shared" si="31"/>
        <v>4</v>
      </c>
      <c r="IL33" s="90">
        <f t="shared" si="32"/>
        <v>7</v>
      </c>
      <c r="IM33" s="99"/>
      <c r="IN33" s="97">
        <f t="shared" si="33"/>
        <v>1</v>
      </c>
      <c r="IO33" s="97">
        <f t="shared" si="34"/>
        <v>1</v>
      </c>
      <c r="IP33" s="90">
        <f t="shared" si="35"/>
        <v>2</v>
      </c>
      <c r="IQ33" s="99"/>
      <c r="IR33" s="99"/>
      <c r="IS33" s="100">
        <f t="shared" si="36"/>
        <v>11</v>
      </c>
      <c r="IT33" s="100">
        <f t="shared" si="37"/>
        <v>13</v>
      </c>
      <c r="IU33" s="100">
        <f t="shared" si="38"/>
        <v>11</v>
      </c>
      <c r="IV33" s="100">
        <f t="shared" si="39"/>
        <v>14</v>
      </c>
      <c r="IW33" s="100">
        <f t="shared" si="40"/>
        <v>17</v>
      </c>
      <c r="IX33" s="100">
        <f t="shared" si="41"/>
        <v>8</v>
      </c>
      <c r="IY33" s="100">
        <f t="shared" si="42"/>
        <v>8</v>
      </c>
      <c r="IZ33" s="100">
        <f t="shared" si="43"/>
        <v>5</v>
      </c>
      <c r="JA33" s="100">
        <f t="shared" si="44"/>
        <v>7</v>
      </c>
      <c r="JB33" s="101">
        <f t="shared" si="45"/>
        <v>2</v>
      </c>
      <c r="JC33" s="102">
        <f t="shared" si="46"/>
        <v>96</v>
      </c>
      <c r="JD33" s="67">
        <f t="shared" si="50"/>
        <v>0</v>
      </c>
      <c r="JE33" s="67">
        <f t="shared" si="47"/>
        <v>0</v>
      </c>
      <c r="JF33" s="67">
        <f t="shared" si="48"/>
        <v>0</v>
      </c>
    </row>
    <row r="34">
      <c r="A34" s="103">
        <f>IFERROR(__xludf.DUMMYFUNCTION("""COMPUTED_VALUE"""),45926.83247984954)</f>
        <v>45926.83248</v>
      </c>
      <c r="B34" s="95" t="str">
        <f>IFERROR(__xludf.DUMMYFUNCTION("""COMPUTED_VALUE"""),"HILDA SAHLANNISA")</f>
        <v>HILDA SAHLANNISA</v>
      </c>
      <c r="C34" s="96" t="str">
        <f>IFERROR(__xludf.DUMMYFUNCTION("""COMPUTED_VALUE"""),"E250002")</f>
        <v>E250002</v>
      </c>
      <c r="D34" s="96" t="str">
        <f>IFERROR(__xludf.DUMMYFUNCTION("""COMPUTED_VALUE"""),"IL Putri")</f>
        <v>IL Putri</v>
      </c>
      <c r="E34" s="96" t="str">
        <f>IFERROR(__xludf.DUMMYFUNCTION("""COMPUTED_VALUE"""),"Ya")</f>
        <v>Ya</v>
      </c>
      <c r="F34" s="95" t="str">
        <f>IFERROR(__xludf.DUMMYFUNCTION("""COMPUTED_VALUE"""),"B Saya ingin melakukan apa saja sebaik mungkin.")</f>
        <v>B Saya ingin melakukan apa saja sebaik mungkin.</v>
      </c>
      <c r="G34" s="95" t="str">
        <f>IFERROR(__xludf.DUMMYFUNCTION("""COMPUTED_VALUE"""),"A Saya ingin setiap tulisan saya teliti, rapi, dan tersusun dengan baik.")</f>
        <v>A Saya ingin setiap tulisan saya teliti, rapi, dan tersusun dengan baik.</v>
      </c>
      <c r="H34" s="95" t="str">
        <f>IFERROR(__xludf.DUMMYFUNCTION("""COMPUTED_VALUE"""),"A Saya ingin berbuat sesuai kata hati saya.")</f>
        <v>A Saya ingin berbuat sesuai kata hati saya.</v>
      </c>
      <c r="I34" s="95" t="str">
        <f>IFERROR(__xludf.DUMMYFUNCTION("""COMPUTED_VALUE"""),"B Saya ingin bisa melakukan dengan baik meskipun tugas yang sulit.")</f>
        <v>B Saya ingin bisa melakukan dengan baik meskipun tugas yang sulit.</v>
      </c>
      <c r="J34" s="95" t="str">
        <f>IFERROR(__xludf.DUMMYFUNCTION("""COMPUTED_VALUE"""),"A Saya suka membantu teman-teman saya apabila mereka mengalami kesulitan.")</f>
        <v>A Saya suka membantu teman-teman saya apabila mereka mengalami kesulitan.</v>
      </c>
      <c r="K34" s="95" t="str">
        <f>IFERROR(__xludf.DUMMYFUNCTION("""COMPUTED_VALUE"""),"B Saya ingin mengatakan telah melakukan dengan baik sesuatu tugas yang sulit.")</f>
        <v>B Saya ingin mengatakan telah melakukan dengan baik sesuatu tugas yang sulit.</v>
      </c>
      <c r="L34" s="95" t="str">
        <f>IFERROR(__xludf.DUMMYFUNCTION("""COMPUTED_VALUE"""),"B Saya ingin mengatakan telah melakukan dengan baik sesuatu tugas yang sulit")</f>
        <v>B Saya ingin mengatakan telah melakukan dengan baik sesuatu tugas yang sulit</v>
      </c>
      <c r="M34" s="95" t="str">
        <f>IFERROR(__xludf.DUMMYFUNCTION("""COMPUTED_VALUE"""),"B Saya ingin mengerjakan segala tugas lebih baik daripada orang lain.")</f>
        <v>B Saya ingin mengerjakan segala tugas lebih baik daripada orang lain.</v>
      </c>
      <c r="N34" s="95" t="str">
        <f>IFERROR(__xludf.DUMMYFUNCTION("""COMPUTED_VALUE"""),"B Saya suka memecahkan persoalan yang sukar bagi orang lain.")</f>
        <v>B Saya suka memecahkan persoalan yang sukar bagi orang lain.</v>
      </c>
      <c r="O34" s="95" t="str">
        <f>IFERROR(__xludf.DUMMYFUNCTION("""COMPUTED_VALUE"""),"B Saya suka melakukan tugas sebaik mungkin.")</f>
        <v>B Saya suka melakukan tugas sebaik mungkin.</v>
      </c>
      <c r="P34" s="95" t="str">
        <f>IFERROR(__xludf.DUMMYFUNCTION("""COMPUTED_VALUE"""),"B Saya ingin setiap belajar itu teratur dan direncanakan.")</f>
        <v>B Saya ingin setiap belajar itu teratur dan direncanakan.</v>
      </c>
      <c r="Q34" s="95" t="str">
        <f>IFERROR(__xludf.DUMMYFUNCTION("""COMPUTED_VALUE"""),"B Saya merencanakan keperluan yang dibutuhkan sebelum bepergian.")</f>
        <v>B Saya merencanakan keperluan yang dibutuhkan sebelum bepergian.</v>
      </c>
      <c r="R34" s="95" t="str">
        <f>IFERROR(__xludf.DUMMYFUNCTION("""COMPUTED_VALUE"""),"B Saya suka barang-barang saya tersusun rapi dan teratur.")</f>
        <v>B Saya suka barang-barang saya tersusun rapi dan teratur.</v>
      </c>
      <c r="S34" s="95" t="str">
        <f>IFERROR(__xludf.DUMMYFUNCTION("""COMPUTED_VALUE"""),"B Saya suka membuat perencanaan sebelum memulai tugas yang sulit.")</f>
        <v>B Saya suka membuat perencanaan sebelum memulai tugas yang sulit.</v>
      </c>
      <c r="T34" s="95" t="str">
        <f>IFERROR(__xludf.DUMMYFUNCTION("""COMPUTED_VALUE"""),"B Saya ingin agar hidup saya teratur sesuai cita-cita saya.")</f>
        <v>B Saya ingin agar hidup saya teratur sesuai cita-cita saya.</v>
      </c>
      <c r="U34" s="95" t="str">
        <f>IFERROR(__xludf.DUMMYFUNCTION("""COMPUTED_VALUE"""),"B Saya suka menyimpan catatan secara rapi.")</f>
        <v>B Saya suka menyimpan catatan secara rapi.</v>
      </c>
      <c r="V34" s="95" t="str">
        <f>IFERROR(__xludf.DUMMYFUNCTION("""COMPUTED_VALUE"""),"B Saya suka belajar saya teratur dan ada waktu-waktu tertentu untuk belajar.")</f>
        <v>B Saya suka belajar saya teratur dan ada waktu-waktu tertentu untuk belajar.</v>
      </c>
      <c r="W34" s="95" t="str">
        <f>IFERROR(__xludf.DUMMYFUNCTION("""COMPUTED_VALUE"""),"B Saya ingin kegiatan itu teratur dan direncanakan.")</f>
        <v>B Saya ingin kegiatan itu teratur dan direncanakan.</v>
      </c>
      <c r="X34" s="95" t="str">
        <f>IFERROR(__xludf.DUMMYFUNCTION("""COMPUTED_VALUE"""),"B Saya ingin agar hidup saya teratur sesuai cita-cita saya.")</f>
        <v>B Saya ingin agar hidup saya teratur sesuai cita-cita saya.</v>
      </c>
      <c r="Y34" s="95" t="str">
        <f>IFERROR(__xludf.DUMMYFUNCTION("""COMPUTED_VALUE"""),"A Saya suka menyelesaikan tugas-tugas yang membutuhkan ketrampilan dan usaha.")</f>
        <v>A Saya suka menyelesaikan tugas-tugas yang membutuhkan ketrampilan dan usaha.</v>
      </c>
      <c r="Z34" s="95" t="str">
        <f>IFERROR(__xludf.DUMMYFUNCTION("""COMPUTED_VALUE"""),"A Saya ingin berhasil dengan belajar yang saya lakukan.")</f>
        <v>A Saya ingin berhasil dengan belajar yang saya lakukan.</v>
      </c>
      <c r="AA34" s="95" t="str">
        <f>IFERROR(__xludf.DUMMYFUNCTION("""COMPUTED_VALUE"""),"A Saya suka menyelesaikan tugas yang telah saya rencanakan.")</f>
        <v>A Saya suka menyelesaikan tugas yang telah saya rencanakan.</v>
      </c>
      <c r="AB34" s="95" t="str">
        <f>IFERROR(__xludf.DUMMYFUNCTION("""COMPUTED_VALUE"""),"A Saya ingin tidak tergantung dari orang lain terhadap apa yang akan saya lakukan.")</f>
        <v>A Saya ingin tidak tergantung dari orang lain terhadap apa yang akan saya lakukan.</v>
      </c>
      <c r="AC34" s="95" t="str">
        <f>IFERROR(__xludf.DUMMYFUNCTION("""COMPUTED_VALUE"""),"A Saya suka menyelesaikan setiap tugas meskipun membutuhkan waktu lama.")</f>
        <v>A Saya suka menyelesaikan setiap tugas meskipun membutuhkan waktu lama.</v>
      </c>
      <c r="AD34" s="95" t="str">
        <f>IFERROR(__xludf.DUMMYFUNCTION("""COMPUTED_VALUE"""),"B Saya suka menyatakan pendapat saya tentang berbagai hal.")</f>
        <v>B Saya suka menyatakan pendapat saya tentang berbagai hal.</v>
      </c>
      <c r="AE34" s="95" t="str">
        <f>IFERROR(__xludf.DUMMYFUNCTION("""COMPUTED_VALUE"""),"B Saya suka melakukan hal-hal yang dianggap orang lain tidak sesuai.")</f>
        <v>B Saya suka melakukan hal-hal yang dianggap orang lain tidak sesuai.</v>
      </c>
      <c r="AF34" s="95" t="str">
        <f>IFERROR(__xludf.DUMMYFUNCTION("""COMPUTED_VALUE"""),"B Saya suka melakukan hal-hal dengan cara saya sendiri.")</f>
        <v>B Saya suka melakukan hal-hal dengan cara saya sendiri.</v>
      </c>
      <c r="AG34" s="95" t="str">
        <f>IFERROR(__xludf.DUMMYFUNCTION("""COMPUTED_VALUE"""),"B Saya ingin berhasil dengan tugas yang saya lakukan.")</f>
        <v>B Saya ingin berhasil dengan tugas yang saya lakukan.</v>
      </c>
      <c r="AH34" s="95" t="str">
        <f>IFERROR(__xludf.DUMMYFUNCTION("""COMPUTED_VALUE"""),"A Saya suka membaca buku-buku tentang pergaulan remaja.")</f>
        <v>A Saya suka membaca buku-buku tentang pergaulan remaja.</v>
      </c>
      <c r="AI34" s="95" t="str">
        <f>IFERROR(__xludf.DUMMYFUNCTION("""COMPUTED_VALUE"""),"B Saya suka melakukan kegiatan sesuai kondisi yang saya inginkan.")</f>
        <v>B Saya suka melakukan kegiatan sesuai kondisi yang saya inginkan.</v>
      </c>
      <c r="AJ34" s="95" t="str">
        <f>IFERROR(__xludf.DUMMYFUNCTION("""COMPUTED_VALUE"""),"B Saya suka bertahan menghadapi satu masalah meskipun belum tentu berhasil.")</f>
        <v>B Saya suka bertahan menghadapi satu masalah meskipun belum tentu berhasil.</v>
      </c>
      <c r="AK34" s="95" t="str">
        <f>IFERROR(__xludf.DUMMYFUNCTION("""COMPUTED_VALUE"""),"B Bila saya harus melakukan suatu tugas, saya ingin mengerjakan sampai selesai.")</f>
        <v>B Bila saya harus melakukan suatu tugas, saya ingin mengerjakan sampai selesai.</v>
      </c>
      <c r="AL34" s="95" t="str">
        <f>IFERROR(__xludf.DUMMYFUNCTION("""COMPUTED_VALUE"""),"B Saya ingin menghindarkan gangguan bila saya sedang belajar.")</f>
        <v>B Saya ingin menghindarkan gangguan bila saya sedang belajar.</v>
      </c>
      <c r="AM34" s="95" t="str">
        <f>IFERROR(__xludf.DUMMYFUNCTION("""COMPUTED_VALUE"""),"B Saya suka belajar sampai malam untuk menyelesaikan suatu tugas.")</f>
        <v>B Saya suka belajar sampai malam untuk menyelesaikan suatu tugas.</v>
      </c>
      <c r="AN34" s="95" t="str">
        <f>IFERROR(__xludf.DUMMYFUNCTION("""COMPUTED_VALUE"""),"A Saya tidak suka pada orang yang semena-mena.")</f>
        <v>A Saya tidak suka pada orang yang semena-mena.</v>
      </c>
      <c r="AO34" s="95" t="str">
        <f>IFERROR(__xludf.DUMMYFUNCTION("""COMPUTED_VALUE"""),"A Saya suka berlaku sangat ramah terhadap teman-teman saya.")</f>
        <v>A Saya suka berlaku sangat ramah terhadap teman-teman saya.</v>
      </c>
      <c r="AP34" s="95" t="str">
        <f>IFERROR(__xludf.DUMMYFUNCTION("""COMPUTED_VALUE"""),"B Saya suka bertahan menghadapi satu masalah meskipun belum tentu berhasil.")</f>
        <v>B Saya suka bertahan menghadapi satu masalah meskipun belum tentu berhasil.</v>
      </c>
      <c r="AQ34" s="95" t="str">
        <f>IFERROR(__xludf.DUMMYFUNCTION("""COMPUTED_VALUE"""),"B Bila saya harus melakukan suatu tugas, saya ingin mengerjakan sampai selesai.")</f>
        <v>B Bila saya harus melakukan suatu tugas, saya ingin mengerjakan sampai selesai.</v>
      </c>
      <c r="AR34" s="95" t="str">
        <f>IFERROR(__xludf.DUMMYFUNCTION("""COMPUTED_VALUE"""),"B Saya suka belajar keras pada tiap pelajaran yang saya hadapi.")</f>
        <v>B Saya suka belajar keras pada tiap pelajaran yang saya hadapi.</v>
      </c>
      <c r="AS34" s="95" t="str">
        <f>IFERROR(__xludf.DUMMYFUNCTION("""COMPUTED_VALUE"""),"B Saya suka belajar sampai malam untuk menyelesaikan suatu tugas.")</f>
        <v>B Saya suka belajar sampai malam untuk menyelesaikan suatu tugas.</v>
      </c>
      <c r="AT34" s="95" t="str">
        <f>IFERROR(__xludf.DUMMYFUNCTION("""COMPUTED_VALUE"""),"A Saya ingin bisa melakukan dengan baik sesuatu pekerjaan sulit.")</f>
        <v>A Saya ingin bisa melakukan dengan baik sesuatu pekerjaan sulit.</v>
      </c>
      <c r="AU34" s="95" t="str">
        <f>IFERROR(__xludf.DUMMYFUNCTION("""COMPUTED_VALUE"""),"B Saya suka bermurah hati terhadap teman-teman saya.")</f>
        <v>B Saya suka bermurah hati terhadap teman-teman saya.</v>
      </c>
      <c r="AV34" s="95" t="str">
        <f>IFERROR(__xludf.DUMMYFUNCTION("""COMPUTED_VALUE"""),"B Saya suka menolong teman-teman saya.")</f>
        <v>B Saya suka menolong teman-teman saya.</v>
      </c>
      <c r="AW34" s="95" t="str">
        <f>IFERROR(__xludf.DUMMYFUNCTION("""COMPUTED_VALUE"""),"A Saya ingin mengerjakan tugas sampai selesai.")</f>
        <v>A Saya ingin mengerjakan tugas sampai selesai.</v>
      </c>
      <c r="AX34" s="95" t="str">
        <f>IFERROR(__xludf.DUMMYFUNCTION("""COMPUTED_VALUE"""),"B Saya suka memaafkan teman-teman saya yang menyakiti hati saya.")</f>
        <v>B Saya suka memaafkan teman-teman saya yang menyakiti hati saya.</v>
      </c>
      <c r="AY34" s="95" t="str">
        <f>IFERROR(__xludf.DUMMYFUNCTION("""COMPUTED_VALUE"""),"B Saya suka menolong teman-teman saya apabila mereka dalam kesulitan.")</f>
        <v>B Saya suka menolong teman-teman saya apabila mereka dalam kesulitan.</v>
      </c>
      <c r="AZ34" s="95" t="str">
        <f>IFERROR(__xludf.DUMMYFUNCTION("""COMPUTED_VALUE"""),"B Saya suka menunjukkan simpati saya kepada teman-teman saya.")</f>
        <v>B Saya suka menunjukkan simpati saya kepada teman-teman saya.</v>
      </c>
      <c r="BA34" s="95" t="str">
        <f>IFERROR(__xludf.DUMMYFUNCTION("""COMPUTED_VALUE"""),"B Saya suka memperlakukan orang lain dengan baik dan ramah.")</f>
        <v>B Saya suka memperlakukan orang lain dengan baik dan ramah.</v>
      </c>
      <c r="BB34" s="95" t="str">
        <f>IFERROR(__xludf.DUMMYFUNCTION("""COMPUTED_VALUE"""),"B Saya suka bermurah hati terhadap teman-teman saya.")</f>
        <v>B Saya suka bermurah hati terhadap teman-teman saya.</v>
      </c>
      <c r="BC34" s="95" t="str">
        <f>IFERROR(__xludf.DUMMYFUNCTION("""COMPUTED_VALUE"""),"B Saya suka membantu orang lain yang menurut saya perlu dikasihani.")</f>
        <v>B Saya suka membantu orang lain yang menurut saya perlu dikasihani.</v>
      </c>
      <c r="BD34" s="95" t="str">
        <f>IFERROR(__xludf.DUMMYFUNCTION("""COMPUTED_VALUE"""),"B Saya suka bersikukuh dengan pendirian saya.")</f>
        <v>B Saya suka bersikukuh dengan pendirian saya.</v>
      </c>
      <c r="BE34" s="95" t="str">
        <f>IFERROR(__xludf.DUMMYFUNCTION("""COMPUTED_VALUE"""),"B Saya ingin orang lain melakukan apa yang saya kehendaki.")</f>
        <v>B Saya ingin orang lain melakukan apa yang saya kehendaki.</v>
      </c>
      <c r="BF34" s="95" t="str">
        <f>IFERROR(__xludf.DUMMYFUNCTION("""COMPUTED_VALUE"""),"A Saya ingin orang lain memperhatikan dan berkomentar tentang penampilan saya.")</f>
        <v>A Saya ingin orang lain memperhatikan dan berkomentar tentang penampilan saya.</v>
      </c>
      <c r="BG34" s="95" t="str">
        <f>IFERROR(__xludf.DUMMYFUNCTION("""COMPUTED_VALUE"""),"B Saya suka mengarahkan kepada orang lain apa yang harus dilakukan.")</f>
        <v>B Saya suka mengarahkan kepada orang lain apa yang harus dilakukan.</v>
      </c>
      <c r="BH34" s="95" t="str">
        <f>IFERROR(__xludf.DUMMYFUNCTION("""COMPUTED_VALUE"""),"B Apabila saya berkumpul dalam kelompok, saya ingin dihargai teman-teman.")</f>
        <v>B Apabila saya berkumpul dalam kelompok, saya ingin dihargai teman-teman.</v>
      </c>
      <c r="BI34" s="95" t="str">
        <f>IFERROR(__xludf.DUMMYFUNCTION("""COMPUTED_VALUE"""),"A Saya suka bermurah hati terhadap teman-teman saya.")</f>
        <v>A Saya suka bermurah hati terhadap teman-teman saya.</v>
      </c>
      <c r="BJ34" s="95" t="str">
        <f>IFERROR(__xludf.DUMMYFUNCTION("""COMPUTED_VALUE"""),"A Saya ingin mengerjakan tugas sampai selesai.")</f>
        <v>A Saya ingin mengerjakan tugas sampai selesai.</v>
      </c>
      <c r="BK34" s="95" t="str">
        <f>IFERROR(__xludf.DUMMYFUNCTION("""COMPUTED_VALUE"""),"B Saya senang untuk diminta menyelesaikan pertentangan-pertentangan.")</f>
        <v>B Saya senang untuk diminta menyelesaikan pertentangan-pertentangan.</v>
      </c>
      <c r="BL34" s="95" t="str">
        <f>IFERROR(__xludf.DUMMYFUNCTION("""COMPUTED_VALUE"""),"A Saya suka belajar saya teratur dan ada waktu-waktu tertentu untuk belajar.")</f>
        <v>A Saya suka belajar saya teratur dan ada waktu-waktu tertentu untuk belajar.</v>
      </c>
      <c r="BM34" s="95" t="str">
        <f>IFERROR(__xludf.DUMMYFUNCTION("""COMPUTED_VALUE"""),"A Saya suka melakukan pekerjaan sebaik mungkin.")</f>
        <v>A Saya suka melakukan pekerjaan sebaik mungkin.</v>
      </c>
      <c r="BN34" s="95" t="str">
        <f>IFERROR(__xludf.DUMMYFUNCTION("""COMPUTED_VALUE"""),"B Saya ingin teman-teman memberi dorongan bila saya menghadapi kegagalan.")</f>
        <v>B Saya ingin teman-teman memberi dorongan bila saya menghadapi kegagalan.</v>
      </c>
      <c r="BO34" s="95" t="str">
        <f>IFERROR(__xludf.DUMMYFUNCTION("""COMPUTED_VALUE"""),"A Saya suka membuat perencanaan sebelum memulai belajar yang sulit.")</f>
        <v>A Saya suka membuat perencanaan sebelum memulai belajar yang sulit.</v>
      </c>
      <c r="BP34" s="95" t="str">
        <f>IFERROR(__xludf.DUMMYFUNCTION("""COMPUTED_VALUE"""),"A Saya ingin menyelesaikan sesuatu yang sangat penting artinya.")</f>
        <v>A Saya ingin menyelesaikan sesuatu yang sangat penting artinya.</v>
      </c>
      <c r="BQ34" s="95" t="str">
        <f>IFERROR(__xludf.DUMMYFUNCTION("""COMPUTED_VALUE"""),"A Saya ingin mengerjakannya tugas sampai selesai.")</f>
        <v>A Saya ingin mengerjakannya tugas sampai selesai.</v>
      </c>
      <c r="BR34" s="95" t="str">
        <f>IFERROR(__xludf.DUMMYFUNCTION("""COMPUTED_VALUE"""),"A Saya suka memaafkan teman-teman saya yang menyakiti hati saya.")</f>
        <v>A Saya suka memaafkan teman-teman saya yang menyakiti hati saya.</v>
      </c>
      <c r="BS34" s="95" t="str">
        <f>IFERROR(__xludf.DUMMYFUNCTION("""COMPUTED_VALUE"""),"B Saya ingin teman-teman saya membantu saya bila saya mengalami kesulitan")</f>
        <v>B Saya ingin teman-teman saya membantu saya bila saya mengalami kesulitan</v>
      </c>
      <c r="BT34" s="95" t="str">
        <f>IFERROR(__xludf.DUMMYFUNCTION("""COMPUTED_VALUE"""),"B Saya ingin teman-teman banyak menunjukkan rasa sayang mereka terhadap saya.")</f>
        <v>B Saya ingin teman-teman banyak menunjukkan rasa sayang mereka terhadap saya.</v>
      </c>
      <c r="BU34" s="95" t="str">
        <f>IFERROR(__xludf.DUMMYFUNCTION("""COMPUTED_VALUE"""),"B Saya ingin agar teman-teman saya merasa kasihan pada saya apabila saya sakit.")</f>
        <v>B Saya ingin agar teman-teman saya merasa kasihan pada saya apabila saya sakit.</v>
      </c>
      <c r="BV34" s="95" t="str">
        <f>IFERROR(__xludf.DUMMYFUNCTION("""COMPUTED_VALUE"""),"B Saya ingin teman-teman dengan gembira memberikan pertolongan kepada saya.")</f>
        <v>B Saya ingin teman-teman dengan gembira memberikan pertolongan kepada saya.</v>
      </c>
      <c r="BW34" s="95" t="str">
        <f>IFERROR(__xludf.DUMMYFUNCTION("""COMPUTED_VALUE"""),"B Saya ingin diperlakukan dengan baik oleh teman-teman saya.")</f>
        <v>B Saya ingin diperlakukan dengan baik oleh teman-teman saya.</v>
      </c>
      <c r="BX34" s="95" t="str">
        <f>IFERROR(__xludf.DUMMYFUNCTION("""COMPUTED_VALUE"""),"B Saya kadang-kadang suka melakukan hal-hal yang dapat dipuji oleh orang lain.")</f>
        <v>B Saya kadang-kadang suka melakukan hal-hal yang dapat dipuji oleh orang lain.</v>
      </c>
      <c r="BY34" s="95" t="str">
        <f>IFERROR(__xludf.DUMMYFUNCTION("""COMPUTED_VALUE"""),"B Saya ingin orang lain memperhatikan dan berkomentar tentang penampilan saya.")</f>
        <v>B Saya ingin orang lain memperhatikan dan berkomentar tentang penampilan saya.</v>
      </c>
      <c r="BZ34" s="95" t="str">
        <f>IFERROR(__xludf.DUMMYFUNCTION("""COMPUTED_VALUE"""),"B Saya suka diperhatikan, apabila saya ada di dalam suatu kelompok.")</f>
        <v>B Saya suka diperhatikan, apabila saya ada di dalam suatu kelompok.</v>
      </c>
      <c r="CA34" s="95" t="str">
        <f>IFERROR(__xludf.DUMMYFUNCTION("""COMPUTED_VALUE"""),"A Saya ingin teman-teman dengan gembira memberikan pertolongan kepada saya.")</f>
        <v>A Saya ingin teman-teman dengan gembira memberikan pertolongan kepada saya.</v>
      </c>
      <c r="CB34" s="95" t="str">
        <f>IFERROR(__xludf.DUMMYFUNCTION("""COMPUTED_VALUE"""),"B Saya suka berbicara tentang hal-hal yang telah saya capai.")</f>
        <v>B Saya suka berbicara tentang hal-hal yang telah saya capai.</v>
      </c>
      <c r="CC34" s="95" t="str">
        <f>IFERROR(__xludf.DUMMYFUNCTION("""COMPUTED_VALUE"""),"B Saya suka menceritakan hal-hal lucu agar diperhatikan oleh orang lain.")</f>
        <v>B Saya suka menceritakan hal-hal lucu agar diperhatikan oleh orang lain.</v>
      </c>
      <c r="CD34" s="95" t="str">
        <f>IFERROR(__xludf.DUMMYFUNCTION("""COMPUTED_VALUE"""),"A Saya suka menyelesaikan setiap tugas meskipun membutuhkan waktu lama.")</f>
        <v>A Saya suka menyelesaikan setiap tugas meskipun membutuhkan waktu lama.</v>
      </c>
      <c r="CE34" s="95" t="str">
        <f>IFERROR(__xludf.DUMMYFUNCTION("""COMPUTED_VALUE"""),"A Saya suka menyelesaikan setiap tugas belajar yang telah saya mulai.")</f>
        <v>A Saya suka menyelesaikan setiap tugas belajar yang telah saya mulai.</v>
      </c>
      <c r="CF34" s="95" t="str">
        <f>IFERROR(__xludf.DUMMYFUNCTION("""COMPUTED_VALUE"""),"A Saya ingin agar hidup saya teratur sesuai cita-cita saya.")</f>
        <v>A Saya ingin agar hidup saya teratur sesuai cita-cita saya.</v>
      </c>
      <c r="CG34" s="95" t="str">
        <f>IFERROR(__xludf.DUMMYFUNCTION("""COMPUTED_VALUE"""),"A Saya ingin berhasil dalam apa yang saya lakukan.")</f>
        <v>A Saya ingin berhasil dalam apa yang saya lakukan.</v>
      </c>
      <c r="CH34" s="95" t="str">
        <f>IFERROR(__xludf.DUMMYFUNCTION("""COMPUTED_VALUE"""),"A Saya ingin bisa melakukan dengan baik sesuatu pekerjaan sulit.")</f>
        <v>A Saya ingin bisa melakukan dengan baik sesuatu pekerjaan sulit.</v>
      </c>
      <c r="CI34" s="95" t="str">
        <f>IFERROR(__xludf.DUMMYFUNCTION("""COMPUTED_VALUE"""),"A Saya suka belajar saya teratur dan ada waktu-waktu tertentu untuk belajar.")</f>
        <v>A Saya suka belajar saya teratur dan ada waktu-waktu tertentu untuk belajar.</v>
      </c>
      <c r="CJ34" s="95" t="str">
        <f>IFERROR(__xludf.DUMMYFUNCTION("""COMPUTED_VALUE"""),"A Saya ingin tidak tergantung dari orang lain terhadap apa yang akan saya lakukan.")</f>
        <v>A Saya ingin tidak tergantung dari orang lain terhadap apa yang akan saya lakukan.</v>
      </c>
      <c r="CK34" s="95" t="str">
        <f>IFERROR(__xludf.DUMMYFUNCTION("""COMPUTED_VALUE"""),"B Saya senang ikut beraktivitas bersama teman sebaya saya.")</f>
        <v>B Saya senang ikut beraktivitas bersama teman sebaya saya.</v>
      </c>
      <c r="CL34" s="95" t="str">
        <f>IFERROR(__xludf.DUMMYFUNCTION("""COMPUTED_VALUE"""),"A Saya suka menolong teman-teman saya, apabila mereka dalam kesulitan.")</f>
        <v>A Saya suka menolong teman-teman saya, apabila mereka dalam kesulitan.</v>
      </c>
      <c r="CM34" s="95" t="str">
        <f>IFERROR(__xludf.DUMMYFUNCTION("""COMPUTED_VALUE"""),"B Saya merasa kagum pada seseorang.")</f>
        <v>B Saya merasa kagum pada seseorang.</v>
      </c>
      <c r="CN34" s="95" t="str">
        <f>IFERROR(__xludf.DUMMYFUNCTION("""COMPUTED_VALUE"""),"A Saya ingin diperlakukan dengan baik oleh teman-teman saya.")</f>
        <v>A Saya ingin diperlakukan dengan baik oleh teman-teman saya.</v>
      </c>
      <c r="CO34" s="95" t="str">
        <f>IFERROR(__xludf.DUMMYFUNCTION("""COMPUTED_VALUE"""),"B Saya suka memuji orang yang saya kagumi.")</f>
        <v>B Saya suka memuji orang yang saya kagumi.</v>
      </c>
      <c r="CP34" s="95" t="str">
        <f>IFERROR(__xludf.DUMMYFUNCTION("""COMPUTED_VALUE"""),"A Saya suka melamun atau membayangkan sesuatu sendirian.")</f>
        <v>A Saya suka melamun atau membayangkan sesuatu sendirian.</v>
      </c>
      <c r="CQ34" s="95" t="str">
        <f>IFERROR(__xludf.DUMMYFUNCTION("""COMPUTED_VALUE"""),"B Saya merasa kagum pada seseorang.")</f>
        <v>B Saya merasa kagum pada seseorang.</v>
      </c>
      <c r="CR34" s="95" t="str">
        <f>IFERROR(__xludf.DUMMYFUNCTION("""COMPUTED_VALUE"""),"B Saya rasanya ingin mengecam seseorang bila orang itu menjengkelkan.")</f>
        <v>B Saya rasanya ingin mengecam seseorang bila orang itu menjengkelkan.</v>
      </c>
      <c r="CS34" s="95" t="str">
        <f>IFERROR(__xludf.DUMMYFUNCTION("""COMPUTED_VALUE"""),"B Saya rasanya ingin membalas dendam bila seseorang menghina saya.")</f>
        <v>B Saya rasanya ingin membalas dendam bila seseorang menghina saya.</v>
      </c>
      <c r="CT34" s="95" t="str">
        <f>IFERROR(__xludf.DUMMYFUNCTION("""COMPUTED_VALUE"""),"A Saya ingin orang-orang memperhatikan komentar mengenai penampilan saya.")</f>
        <v>A Saya ingin orang-orang memperhatikan komentar mengenai penampilan saya.</v>
      </c>
      <c r="CU34" s="95" t="str">
        <f>IFERROR(__xludf.DUMMYFUNCTION("""COMPUTED_VALUE"""),"A Saya ingin diperlakukan dengan ramah oleh teman-teman saya.")</f>
        <v>A Saya ingin diperlakukan dengan ramah oleh teman-teman saya.</v>
      </c>
      <c r="CV34" s="95" t="str">
        <f>IFERROR(__xludf.DUMMYFUNCTION("""COMPUTED_VALUE"""),"B Saya menyerang pendirian-pendirian yang bertentangan dengan pendirian saya.")</f>
        <v>B Saya menyerang pendirian-pendirian yang bertentangan dengan pendirian saya.</v>
      </c>
      <c r="CW34" s="95" t="str">
        <f>IFERROR(__xludf.DUMMYFUNCTION("""COMPUTED_VALUE"""),"A Saya suka menolong teman-teman saya, apabila mereka dalam kesulitan.")</f>
        <v>A Saya suka menolong teman-teman saya, apabila mereka dalam kesulitan.</v>
      </c>
      <c r="CX34" s="95" t="str">
        <f>IFERROR(__xludf.DUMMYFUNCTION("""COMPUTED_VALUE"""),"A Saya suka belajar sampai malam untuk menyelesaikan suatu tugas.")</f>
        <v>A Saya suka belajar sampai malam untuk menyelesaikan suatu tugas.</v>
      </c>
      <c r="CY34" s="95" t="str">
        <f>IFERROR(__xludf.DUMMYFUNCTION("""COMPUTED_VALUE"""),"A Saya ingin tidak tergantung dari orang lain terhadap apa yang akan saya lakukan.")</f>
        <v>A Saya ingin tidak tergantung dari orang lain terhadap apa yang akan saya lakukan.</v>
      </c>
      <c r="CZ34" s="95" t="str">
        <f>IFERROR(__xludf.DUMMYFUNCTION("""COMPUTED_VALUE"""),"A Saya suka merencanakan dan mengatur setiap pekerjaan yang harus saya lakukan.")</f>
        <v>A Saya suka merencanakan dan mengatur setiap pekerjaan yang harus saya lakukan.</v>
      </c>
      <c r="DA34" s="95" t="str">
        <f>IFERROR(__xludf.DUMMYFUNCTION("""COMPUTED_VALUE"""),"A Saya ingin melakukan apa saja sebaik mungkin.")</f>
        <v>A Saya ingin melakukan apa saja sebaik mungkin.</v>
      </c>
      <c r="DB34" s="89" t="s">
        <v>23</v>
      </c>
      <c r="DC34" s="97" t="str">
        <f t="shared" ref="DC34:GX34" si="79">LEFT(F34,1)</f>
        <v>B</v>
      </c>
      <c r="DD34" s="97" t="str">
        <f t="shared" si="79"/>
        <v>A</v>
      </c>
      <c r="DE34" s="97" t="str">
        <f t="shared" si="79"/>
        <v>A</v>
      </c>
      <c r="DF34" s="97" t="str">
        <f t="shared" si="79"/>
        <v>B</v>
      </c>
      <c r="DG34" s="97" t="str">
        <f t="shared" si="79"/>
        <v>A</v>
      </c>
      <c r="DH34" s="97" t="str">
        <f t="shared" si="79"/>
        <v>B</v>
      </c>
      <c r="DI34" s="97" t="str">
        <f t="shared" si="79"/>
        <v>B</v>
      </c>
      <c r="DJ34" s="97" t="str">
        <f t="shared" si="79"/>
        <v>B</v>
      </c>
      <c r="DK34" s="97" t="str">
        <f t="shared" si="79"/>
        <v>B</v>
      </c>
      <c r="DL34" s="97" t="str">
        <f t="shared" si="79"/>
        <v>B</v>
      </c>
      <c r="DM34" s="97" t="str">
        <f t="shared" si="79"/>
        <v>B</v>
      </c>
      <c r="DN34" s="97" t="str">
        <f t="shared" si="79"/>
        <v>B</v>
      </c>
      <c r="DO34" s="97" t="str">
        <f t="shared" si="79"/>
        <v>B</v>
      </c>
      <c r="DP34" s="97" t="str">
        <f t="shared" si="79"/>
        <v>B</v>
      </c>
      <c r="DQ34" s="97" t="str">
        <f t="shared" si="79"/>
        <v>B</v>
      </c>
      <c r="DR34" s="97" t="str">
        <f t="shared" si="79"/>
        <v>B</v>
      </c>
      <c r="DS34" s="97" t="str">
        <f t="shared" si="79"/>
        <v>B</v>
      </c>
      <c r="DT34" s="97" t="str">
        <f t="shared" si="79"/>
        <v>B</v>
      </c>
      <c r="DU34" s="97" t="str">
        <f t="shared" si="79"/>
        <v>B</v>
      </c>
      <c r="DV34" s="97" t="str">
        <f t="shared" si="79"/>
        <v>A</v>
      </c>
      <c r="DW34" s="97" t="str">
        <f t="shared" si="79"/>
        <v>A</v>
      </c>
      <c r="DX34" s="97" t="str">
        <f t="shared" si="79"/>
        <v>A</v>
      </c>
      <c r="DY34" s="97" t="str">
        <f t="shared" si="79"/>
        <v>A</v>
      </c>
      <c r="DZ34" s="97" t="str">
        <f t="shared" si="79"/>
        <v>A</v>
      </c>
      <c r="EA34" s="97" t="str">
        <f t="shared" si="79"/>
        <v>B</v>
      </c>
      <c r="EB34" s="97" t="str">
        <f t="shared" si="79"/>
        <v>B</v>
      </c>
      <c r="EC34" s="97" t="str">
        <f t="shared" si="79"/>
        <v>B</v>
      </c>
      <c r="ED34" s="97" t="str">
        <f t="shared" si="79"/>
        <v>B</v>
      </c>
      <c r="EE34" s="97" t="str">
        <f t="shared" si="79"/>
        <v>A</v>
      </c>
      <c r="EF34" s="97" t="str">
        <f t="shared" si="79"/>
        <v>B</v>
      </c>
      <c r="EG34" s="97" t="str">
        <f t="shared" si="79"/>
        <v>B</v>
      </c>
      <c r="EH34" s="97" t="str">
        <f t="shared" si="79"/>
        <v>B</v>
      </c>
      <c r="EI34" s="97" t="str">
        <f t="shared" si="79"/>
        <v>B</v>
      </c>
      <c r="EJ34" s="97" t="str">
        <f t="shared" si="79"/>
        <v>B</v>
      </c>
      <c r="EK34" s="97" t="str">
        <f t="shared" si="79"/>
        <v>A</v>
      </c>
      <c r="EL34" s="97" t="str">
        <f t="shared" si="79"/>
        <v>A</v>
      </c>
      <c r="EM34" s="97" t="str">
        <f t="shared" si="79"/>
        <v>B</v>
      </c>
      <c r="EN34" s="97" t="str">
        <f t="shared" si="79"/>
        <v>B</v>
      </c>
      <c r="EO34" s="97" t="str">
        <f t="shared" si="79"/>
        <v>B</v>
      </c>
      <c r="EP34" s="97" t="str">
        <f t="shared" si="79"/>
        <v>B</v>
      </c>
      <c r="EQ34" s="97" t="str">
        <f t="shared" si="79"/>
        <v>A</v>
      </c>
      <c r="ER34" s="97" t="str">
        <f t="shared" si="79"/>
        <v>B</v>
      </c>
      <c r="ES34" s="97" t="str">
        <f t="shared" si="79"/>
        <v>B</v>
      </c>
      <c r="ET34" s="97" t="str">
        <f t="shared" si="79"/>
        <v>A</v>
      </c>
      <c r="EU34" s="97" t="str">
        <f t="shared" si="79"/>
        <v>B</v>
      </c>
      <c r="EV34" s="97" t="str">
        <f t="shared" si="79"/>
        <v>B</v>
      </c>
      <c r="EW34" s="97" t="str">
        <f t="shared" si="79"/>
        <v>B</v>
      </c>
      <c r="EX34" s="97" t="str">
        <f t="shared" si="79"/>
        <v>B</v>
      </c>
      <c r="EY34" s="97" t="str">
        <f t="shared" si="79"/>
        <v>B</v>
      </c>
      <c r="EZ34" s="97" t="str">
        <f t="shared" si="79"/>
        <v>B</v>
      </c>
      <c r="FA34" s="97" t="str">
        <f t="shared" si="79"/>
        <v>B</v>
      </c>
      <c r="FB34" s="97" t="str">
        <f t="shared" si="79"/>
        <v>B</v>
      </c>
      <c r="FC34" s="97" t="str">
        <f t="shared" si="79"/>
        <v>A</v>
      </c>
      <c r="FD34" s="97" t="str">
        <f t="shared" si="79"/>
        <v>B</v>
      </c>
      <c r="FE34" s="97" t="str">
        <f t="shared" si="79"/>
        <v>B</v>
      </c>
      <c r="FF34" s="97" t="str">
        <f t="shared" si="79"/>
        <v>A</v>
      </c>
      <c r="FG34" s="97" t="str">
        <f t="shared" si="79"/>
        <v>A</v>
      </c>
      <c r="FH34" s="97" t="str">
        <f t="shared" si="79"/>
        <v>B</v>
      </c>
      <c r="FI34" s="97" t="str">
        <f t="shared" si="79"/>
        <v>A</v>
      </c>
      <c r="FJ34" s="97" t="str">
        <f t="shared" si="79"/>
        <v>A</v>
      </c>
      <c r="FK34" s="97" t="str">
        <f t="shared" si="79"/>
        <v>B</v>
      </c>
      <c r="FL34" s="97" t="str">
        <f t="shared" si="79"/>
        <v>A</v>
      </c>
      <c r="FM34" s="97" t="str">
        <f t="shared" si="79"/>
        <v>A</v>
      </c>
      <c r="FN34" s="97" t="str">
        <f t="shared" si="79"/>
        <v>A</v>
      </c>
      <c r="FO34" s="97" t="str">
        <f t="shared" si="79"/>
        <v>A</v>
      </c>
      <c r="FP34" s="97" t="str">
        <f t="shared" si="79"/>
        <v>B</v>
      </c>
      <c r="FQ34" s="97" t="str">
        <f t="shared" si="79"/>
        <v>B</v>
      </c>
      <c r="FR34" s="97" t="str">
        <f t="shared" si="79"/>
        <v>B</v>
      </c>
      <c r="FS34" s="97" t="str">
        <f t="shared" si="79"/>
        <v>B</v>
      </c>
      <c r="FT34" s="97" t="str">
        <f t="shared" si="79"/>
        <v>B</v>
      </c>
      <c r="FU34" s="97" t="str">
        <f t="shared" si="79"/>
        <v>B</v>
      </c>
      <c r="FV34" s="97" t="str">
        <f t="shared" si="79"/>
        <v>B</v>
      </c>
      <c r="FW34" s="97" t="str">
        <f t="shared" si="79"/>
        <v>B</v>
      </c>
      <c r="FX34" s="97" t="str">
        <f t="shared" si="79"/>
        <v>A</v>
      </c>
      <c r="FY34" s="97" t="str">
        <f t="shared" si="79"/>
        <v>B</v>
      </c>
      <c r="FZ34" s="97" t="str">
        <f t="shared" si="79"/>
        <v>B</v>
      </c>
      <c r="GA34" s="97" t="str">
        <f t="shared" si="79"/>
        <v>A</v>
      </c>
      <c r="GB34" s="97" t="str">
        <f t="shared" si="79"/>
        <v>A</v>
      </c>
      <c r="GC34" s="97" t="str">
        <f t="shared" si="79"/>
        <v>A</v>
      </c>
      <c r="GD34" s="97" t="str">
        <f t="shared" si="79"/>
        <v>A</v>
      </c>
      <c r="GE34" s="97" t="str">
        <f t="shared" si="79"/>
        <v>A</v>
      </c>
      <c r="GF34" s="97" t="str">
        <f t="shared" si="79"/>
        <v>A</v>
      </c>
      <c r="GG34" s="97" t="str">
        <f t="shared" si="79"/>
        <v>A</v>
      </c>
      <c r="GH34" s="97" t="str">
        <f t="shared" si="79"/>
        <v>B</v>
      </c>
      <c r="GI34" s="97" t="str">
        <f t="shared" si="79"/>
        <v>A</v>
      </c>
      <c r="GJ34" s="97" t="str">
        <f t="shared" si="79"/>
        <v>B</v>
      </c>
      <c r="GK34" s="97" t="str">
        <f t="shared" si="79"/>
        <v>A</v>
      </c>
      <c r="GL34" s="97" t="str">
        <f t="shared" si="79"/>
        <v>B</v>
      </c>
      <c r="GM34" s="97" t="str">
        <f t="shared" si="79"/>
        <v>A</v>
      </c>
      <c r="GN34" s="97" t="str">
        <f t="shared" si="79"/>
        <v>B</v>
      </c>
      <c r="GO34" s="97" t="str">
        <f t="shared" si="79"/>
        <v>B</v>
      </c>
      <c r="GP34" s="97" t="str">
        <f t="shared" si="79"/>
        <v>B</v>
      </c>
      <c r="GQ34" s="97" t="str">
        <f t="shared" si="79"/>
        <v>A</v>
      </c>
      <c r="GR34" s="97" t="str">
        <f t="shared" si="79"/>
        <v>A</v>
      </c>
      <c r="GS34" s="97" t="str">
        <f t="shared" si="79"/>
        <v>B</v>
      </c>
      <c r="GT34" s="97" t="str">
        <f t="shared" si="79"/>
        <v>A</v>
      </c>
      <c r="GU34" s="97" t="str">
        <f t="shared" si="79"/>
        <v>A</v>
      </c>
      <c r="GV34" s="97" t="str">
        <f t="shared" si="79"/>
        <v>A</v>
      </c>
      <c r="GW34" s="97" t="str">
        <f t="shared" si="79"/>
        <v>A</v>
      </c>
      <c r="GX34" s="97" t="str">
        <f t="shared" si="79"/>
        <v>A</v>
      </c>
      <c r="GY34" s="98"/>
      <c r="GZ34" s="97">
        <f t="shared" si="3"/>
        <v>40</v>
      </c>
      <c r="HA34" s="97">
        <f t="shared" si="4"/>
        <v>60</v>
      </c>
      <c r="HB34" s="90">
        <f t="shared" si="5"/>
        <v>100</v>
      </c>
      <c r="HC34" s="99"/>
      <c r="HD34" s="97">
        <f t="shared" si="6"/>
        <v>7</v>
      </c>
      <c r="HE34" s="97">
        <f t="shared" si="7"/>
        <v>6</v>
      </c>
      <c r="HF34" s="90">
        <f t="shared" si="8"/>
        <v>13</v>
      </c>
      <c r="HG34" s="99"/>
      <c r="HH34" s="97">
        <f t="shared" si="9"/>
        <v>7</v>
      </c>
      <c r="HI34" s="97">
        <f t="shared" si="10"/>
        <v>9</v>
      </c>
      <c r="HJ34" s="90">
        <f t="shared" si="11"/>
        <v>16</v>
      </c>
      <c r="HK34" s="99"/>
      <c r="HL34" s="97">
        <f t="shared" si="12"/>
        <v>5</v>
      </c>
      <c r="HM34" s="97">
        <f t="shared" si="13"/>
        <v>5</v>
      </c>
      <c r="HN34" s="90">
        <f t="shared" si="14"/>
        <v>10</v>
      </c>
      <c r="HO34" s="99"/>
      <c r="HP34" s="97">
        <f t="shared" si="15"/>
        <v>6</v>
      </c>
      <c r="HQ34" s="97">
        <f t="shared" si="16"/>
        <v>8</v>
      </c>
      <c r="HR34" s="90">
        <f t="shared" si="17"/>
        <v>14</v>
      </c>
      <c r="HS34" s="99"/>
      <c r="HT34" s="97">
        <f t="shared" si="18"/>
        <v>6</v>
      </c>
      <c r="HU34" s="97">
        <f t="shared" si="19"/>
        <v>8</v>
      </c>
      <c r="HV34" s="90">
        <f t="shared" si="20"/>
        <v>14</v>
      </c>
      <c r="HW34" s="99"/>
      <c r="HX34" s="97">
        <f t="shared" si="21"/>
        <v>1</v>
      </c>
      <c r="HY34" s="97">
        <f t="shared" si="22"/>
        <v>5</v>
      </c>
      <c r="HZ34" s="90">
        <f t="shared" si="23"/>
        <v>6</v>
      </c>
      <c r="IA34" s="99"/>
      <c r="IB34" s="97">
        <f t="shared" si="24"/>
        <v>3</v>
      </c>
      <c r="IC34" s="97">
        <f t="shared" si="25"/>
        <v>6</v>
      </c>
      <c r="ID34" s="90">
        <f t="shared" si="26"/>
        <v>9</v>
      </c>
      <c r="IE34" s="99"/>
      <c r="IF34" s="97">
        <f t="shared" si="27"/>
        <v>2</v>
      </c>
      <c r="IG34" s="97">
        <f t="shared" si="28"/>
        <v>5</v>
      </c>
      <c r="IH34" s="90">
        <f t="shared" si="29"/>
        <v>7</v>
      </c>
      <c r="II34" s="99"/>
      <c r="IJ34" s="97">
        <f t="shared" si="30"/>
        <v>1</v>
      </c>
      <c r="IK34" s="97">
        <f t="shared" si="31"/>
        <v>4</v>
      </c>
      <c r="IL34" s="90">
        <f t="shared" si="32"/>
        <v>5</v>
      </c>
      <c r="IM34" s="99"/>
      <c r="IN34" s="97">
        <f t="shared" si="33"/>
        <v>0</v>
      </c>
      <c r="IO34" s="97">
        <f t="shared" si="34"/>
        <v>3</v>
      </c>
      <c r="IP34" s="90">
        <f t="shared" si="35"/>
        <v>3</v>
      </c>
      <c r="IQ34" s="99"/>
      <c r="IR34" s="99"/>
      <c r="IS34" s="100">
        <f t="shared" si="36"/>
        <v>13</v>
      </c>
      <c r="IT34" s="100">
        <f t="shared" si="37"/>
        <v>16</v>
      </c>
      <c r="IU34" s="100">
        <f t="shared" si="38"/>
        <v>10</v>
      </c>
      <c r="IV34" s="100">
        <f t="shared" si="39"/>
        <v>14</v>
      </c>
      <c r="IW34" s="100">
        <f t="shared" si="40"/>
        <v>14</v>
      </c>
      <c r="IX34" s="100">
        <f t="shared" si="41"/>
        <v>6</v>
      </c>
      <c r="IY34" s="100">
        <f t="shared" si="42"/>
        <v>9</v>
      </c>
      <c r="IZ34" s="100">
        <f t="shared" si="43"/>
        <v>7</v>
      </c>
      <c r="JA34" s="100">
        <f t="shared" si="44"/>
        <v>5</v>
      </c>
      <c r="JB34" s="101">
        <f t="shared" si="45"/>
        <v>3</v>
      </c>
      <c r="JC34" s="102">
        <f t="shared" si="46"/>
        <v>97</v>
      </c>
      <c r="JD34" s="67">
        <f t="shared" si="50"/>
        <v>0</v>
      </c>
      <c r="JE34" s="67">
        <f t="shared" si="47"/>
        <v>0</v>
      </c>
      <c r="JF34" s="67">
        <f t="shared" si="48"/>
        <v>0</v>
      </c>
    </row>
    <row r="35">
      <c r="A35" s="103">
        <f>IFERROR(__xludf.DUMMYFUNCTION("""COMPUTED_VALUE"""),45926.84667254629)</f>
        <v>45926.84667</v>
      </c>
      <c r="B35" s="95" t="str">
        <f>IFERROR(__xludf.DUMMYFUNCTION("""COMPUTED_VALUE"""),"Muhammad Asyam Abdullah ")</f>
        <v>Muhammad Asyam Abdullah </v>
      </c>
      <c r="C35" s="96" t="str">
        <f>IFERROR(__xludf.DUMMYFUNCTION("""COMPUTED_VALUE"""),"A250010")</f>
        <v>A250010</v>
      </c>
      <c r="D35" s="96" t="str">
        <f>IFERROR(__xludf.DUMMYFUNCTION("""COMPUTED_VALUE"""),"MTs Putra")</f>
        <v>MTs Putra</v>
      </c>
      <c r="E35" s="96" t="str">
        <f>IFERROR(__xludf.DUMMYFUNCTION("""COMPUTED_VALUE"""),"Ya")</f>
        <v>Ya</v>
      </c>
      <c r="F35" s="95" t="str">
        <f>IFERROR(__xludf.DUMMYFUNCTION("""COMPUTED_VALUE"""),"B Saya ingin melakukan apa saja sebaik mungkin.")</f>
        <v>B Saya ingin melakukan apa saja sebaik mungkin.</v>
      </c>
      <c r="G35" s="95" t="str">
        <f>IFERROR(__xludf.DUMMYFUNCTION("""COMPUTED_VALUE"""),"A Saya ingin setiap tulisan saya teliti, rapi, dan tersusun dengan baik.")</f>
        <v>A Saya ingin setiap tulisan saya teliti, rapi, dan tersusun dengan baik.</v>
      </c>
      <c r="H35" s="95" t="str">
        <f>IFERROR(__xludf.DUMMYFUNCTION("""COMPUTED_VALUE"""),"B Saya ingin menjadi orang yang diakui dalam suatu pekerjaan atau bidang khusus.")</f>
        <v>B Saya ingin menjadi orang yang diakui dalam suatu pekerjaan atau bidang khusus.</v>
      </c>
      <c r="I35" s="95" t="str">
        <f>IFERROR(__xludf.DUMMYFUNCTION("""COMPUTED_VALUE"""),"B Saya ingin bisa melakukan dengan baik meskipun tugas yang sulit.")</f>
        <v>B Saya ingin bisa melakukan dengan baik meskipun tugas yang sulit.</v>
      </c>
      <c r="J35" s="95" t="str">
        <f>IFERROR(__xludf.DUMMYFUNCTION("""COMPUTED_VALUE"""),"B Saya ingin mengerjakan tugas sebaik mungkin.")</f>
        <v>B Saya ingin mengerjakan tugas sebaik mungkin.</v>
      </c>
      <c r="K35" s="95" t="str">
        <f>IFERROR(__xludf.DUMMYFUNCTION("""COMPUTED_VALUE"""),"A Saya ingin menjadi pemimpin dalam suatu kelompok.")</f>
        <v>A Saya ingin menjadi pemimpin dalam suatu kelompok.</v>
      </c>
      <c r="L35" s="95" t="str">
        <f>IFERROR(__xludf.DUMMYFUNCTION("""COMPUTED_VALUE"""),"A Saya ingin menjadi pemimpin dalam suatu kelompok")</f>
        <v>A Saya ingin menjadi pemimpin dalam suatu kelompok</v>
      </c>
      <c r="M35" s="95" t="str">
        <f>IFERROR(__xludf.DUMMYFUNCTION("""COMPUTED_VALUE"""),"A Saya suka berbicara tentang hal-hal yang telah berhasil saya lakukan.")</f>
        <v>A Saya suka berbicara tentang hal-hal yang telah berhasil saya lakukan.</v>
      </c>
      <c r="N35" s="95" t="str">
        <f>IFERROR(__xludf.DUMMYFUNCTION("""COMPUTED_VALUE"""),"A Saya suka pergi dengan pakaian rapi agar lebih menarik perhatian orang lain.")</f>
        <v>A Saya suka pergi dengan pakaian rapi agar lebih menarik perhatian orang lain.</v>
      </c>
      <c r="O35" s="95" t="str">
        <f>IFERROR(__xludf.DUMMYFUNCTION("""COMPUTED_VALUE"""),"A Saya marah saat ada teman memperolok-olok hal-hal yang saya anggap bodoh.")</f>
        <v>A Saya marah saat ada teman memperolok-olok hal-hal yang saya anggap bodoh.</v>
      </c>
      <c r="P35" s="95" t="str">
        <f>IFERROR(__xludf.DUMMYFUNCTION("""COMPUTED_VALUE"""),"B Saya ingin setiap belajar itu teratur dan direncanakan.")</f>
        <v>B Saya ingin setiap belajar itu teratur dan direncanakan.</v>
      </c>
      <c r="Q35" s="95" t="str">
        <f>IFERROR(__xludf.DUMMYFUNCTION("""COMPUTED_VALUE"""),"B Saya merencanakan keperluan yang dibutuhkan sebelum bepergian.")</f>
        <v>B Saya merencanakan keperluan yang dibutuhkan sebelum bepergian.</v>
      </c>
      <c r="R35" s="95" t="str">
        <f>IFERROR(__xludf.DUMMYFUNCTION("""COMPUTED_VALUE"""),"B Saya suka barang-barang saya tersusun rapi dan teratur.")</f>
        <v>B Saya suka barang-barang saya tersusun rapi dan teratur.</v>
      </c>
      <c r="S35" s="95" t="str">
        <f>IFERROR(__xludf.DUMMYFUNCTION("""COMPUTED_VALUE"""),"B Saya suka membuat perencanaan sebelum memulai tugas yang sulit.")</f>
        <v>B Saya suka membuat perencanaan sebelum memulai tugas yang sulit.</v>
      </c>
      <c r="T35" s="95" t="str">
        <f>IFERROR(__xludf.DUMMYFUNCTION("""COMPUTED_VALUE"""),"A Saya ingin menjadi salah seorang pemimpin dalam kelompok yang saya kenal.")</f>
        <v>A Saya ingin menjadi salah seorang pemimpin dalam kelompok yang saya kenal.</v>
      </c>
      <c r="U35" s="95" t="str">
        <f>IFERROR(__xludf.DUMMYFUNCTION("""COMPUTED_VALUE"""),"A Saya suka memberikan bantuan kepada teman-teman saya.")</f>
        <v>A Saya suka memberikan bantuan kepada teman-teman saya.</v>
      </c>
      <c r="V35" s="95" t="str">
        <f>IFERROR(__xludf.DUMMYFUNCTION("""COMPUTED_VALUE"""),"B Saya suka belajar saya teratur dan ada waktu-waktu tertentu untuk belajar.")</f>
        <v>B Saya suka belajar saya teratur dan ada waktu-waktu tertentu untuk belajar.</v>
      </c>
      <c r="W35" s="95" t="str">
        <f>IFERROR(__xludf.DUMMYFUNCTION("""COMPUTED_VALUE"""),"B Saya ingin kegiatan itu teratur dan direncanakan.")</f>
        <v>B Saya ingin kegiatan itu teratur dan direncanakan.</v>
      </c>
      <c r="X35" s="95" t="str">
        <f>IFERROR(__xludf.DUMMYFUNCTION("""COMPUTED_VALUE"""),"B Saya ingin agar hidup saya teratur sesuai cita-cita saya.")</f>
        <v>B Saya ingin agar hidup saya teratur sesuai cita-cita saya.</v>
      </c>
      <c r="Y35" s="95" t="str">
        <f>IFERROR(__xludf.DUMMYFUNCTION("""COMPUTED_VALUE"""),"A Saya suka menyelesaikan tugas-tugas yang membutuhkan ketrampilan dan usaha.")</f>
        <v>A Saya suka menyelesaikan tugas-tugas yang membutuhkan ketrampilan dan usaha.</v>
      </c>
      <c r="Z35" s="95" t="str">
        <f>IFERROR(__xludf.DUMMYFUNCTION("""COMPUTED_VALUE"""),"A Saya ingin berhasil dengan belajar yang saya lakukan.")</f>
        <v>A Saya ingin berhasil dengan belajar yang saya lakukan.</v>
      </c>
      <c r="AA35" s="95" t="str">
        <f>IFERROR(__xludf.DUMMYFUNCTION("""COMPUTED_VALUE"""),"B Saya tidak suka pada orang yang berbuat seenaknya sendiri.")</f>
        <v>B Saya tidak suka pada orang yang berbuat seenaknya sendiri.</v>
      </c>
      <c r="AB35" s="95" t="str">
        <f>IFERROR(__xludf.DUMMYFUNCTION("""COMPUTED_VALUE"""),"B Saya ingin menyelesaikan pekerjaan satu persatu sebelum memulai yang lain.")</f>
        <v>B Saya ingin menyelesaikan pekerjaan satu persatu sebelum memulai yang lain.</v>
      </c>
      <c r="AC35" s="95" t="str">
        <f>IFERROR(__xludf.DUMMYFUNCTION("""COMPUTED_VALUE"""),"A Saya suka menyelesaikan setiap tugas meskipun membutuhkan waktu lama.")</f>
        <v>A Saya suka menyelesaikan setiap tugas meskipun membutuhkan waktu lama.</v>
      </c>
      <c r="AD35" s="95" t="str">
        <f>IFERROR(__xludf.DUMMYFUNCTION("""COMPUTED_VALUE"""),"B Saya suka menyatakan pendapat saya tentang berbagai hal.")</f>
        <v>B Saya suka menyatakan pendapat saya tentang berbagai hal.</v>
      </c>
      <c r="AE35" s="95" t="str">
        <f>IFERROR(__xludf.DUMMYFUNCTION("""COMPUTED_VALUE"""),"A Saya ingin dianggap sebagai pemimpin oleh teman di kelompok.")</f>
        <v>A Saya ingin dianggap sebagai pemimpin oleh teman di kelompok.</v>
      </c>
      <c r="AF35" s="95" t="str">
        <f>IFERROR(__xludf.DUMMYFUNCTION("""COMPUTED_VALUE"""),"A Saya ingin agar teman-teman mengerti bila saya mengalami kesukaran.")</f>
        <v>A Saya ingin agar teman-teman mengerti bila saya mengalami kesukaran.</v>
      </c>
      <c r="AG35" s="95" t="str">
        <f>IFERROR(__xludf.DUMMYFUNCTION("""COMPUTED_VALUE"""),"A Saya mengajari orang lain bagaimana mereka harus melakukan pekerjaan mereka.")</f>
        <v>A Saya mengajari orang lain bagaimana mereka harus melakukan pekerjaan mereka.</v>
      </c>
      <c r="AH35" s="95" t="str">
        <f>IFERROR(__xludf.DUMMYFUNCTION("""COMPUTED_VALUE"""),"B Saya ingin merasa bebas untuk melakukan apa yang saya kehendaki.")</f>
        <v>B Saya ingin merasa bebas untuk melakukan apa yang saya kehendaki.</v>
      </c>
      <c r="AI35" s="95" t="str">
        <f>IFERROR(__xludf.DUMMYFUNCTION("""COMPUTED_VALUE"""),"A Saya ingin menghardik orang lain bila saya berbeda pendapat dengan mereka.")</f>
        <v>A Saya ingin menghardik orang lain bila saya berbeda pendapat dengan mereka.</v>
      </c>
      <c r="AJ35" s="95" t="str">
        <f>IFERROR(__xludf.DUMMYFUNCTION("""COMPUTED_VALUE"""),"B Saya suka bertahan menghadapi satu masalah meskipun belum tentu berhasil.")</f>
        <v>B Saya suka bertahan menghadapi satu masalah meskipun belum tentu berhasil.</v>
      </c>
      <c r="AK35" s="95" t="str">
        <f>IFERROR(__xludf.DUMMYFUNCTION("""COMPUTED_VALUE"""),"B Bila saya harus melakukan suatu tugas, saya ingin mengerjakan sampai selesai.")</f>
        <v>B Bila saya harus melakukan suatu tugas, saya ingin mengerjakan sampai selesai.</v>
      </c>
      <c r="AL35" s="95" t="str">
        <f>IFERROR(__xludf.DUMMYFUNCTION("""COMPUTED_VALUE"""),"B Saya ingin menghindarkan gangguan bila saya sedang belajar.")</f>
        <v>B Saya ingin menghindarkan gangguan bila saya sedang belajar.</v>
      </c>
      <c r="AM35" s="95" t="str">
        <f>IFERROR(__xludf.DUMMYFUNCTION("""COMPUTED_VALUE"""),"B Saya suka belajar sampai malam untuk menyelesaikan suatu tugas.")</f>
        <v>B Saya suka belajar sampai malam untuk menyelesaikan suatu tugas.</v>
      </c>
      <c r="AN35" s="95" t="str">
        <f>IFERROR(__xludf.DUMMYFUNCTION("""COMPUTED_VALUE"""),"A Saya tidak suka pada orang yang semena-mena.")</f>
        <v>A Saya tidak suka pada orang yang semena-mena.</v>
      </c>
      <c r="AO35" s="95" t="str">
        <f>IFERROR(__xludf.DUMMYFUNCTION("""COMPUTED_VALUE"""),"A Saya suka berlaku sangat ramah terhadap teman-teman saya.")</f>
        <v>A Saya suka berlaku sangat ramah terhadap teman-teman saya.</v>
      </c>
      <c r="AP35" s="95" t="str">
        <f>IFERROR(__xludf.DUMMYFUNCTION("""COMPUTED_VALUE"""),"B Saya suka bertahan menghadapi satu masalah meskipun belum tentu berhasil.")</f>
        <v>B Saya suka bertahan menghadapi satu masalah meskipun belum tentu berhasil.</v>
      </c>
      <c r="AQ35" s="95" t="str">
        <f>IFERROR(__xludf.DUMMYFUNCTION("""COMPUTED_VALUE"""),"B Bila saya harus melakukan suatu tugas, saya ingin mengerjakan sampai selesai.")</f>
        <v>B Bila saya harus melakukan suatu tugas, saya ingin mengerjakan sampai selesai.</v>
      </c>
      <c r="AR35" s="95" t="str">
        <f>IFERROR(__xludf.DUMMYFUNCTION("""COMPUTED_VALUE"""),"B Saya suka belajar keras pada tiap pelajaran yang saya hadapi.")</f>
        <v>B Saya suka belajar keras pada tiap pelajaran yang saya hadapi.</v>
      </c>
      <c r="AS35" s="95" t="str">
        <f>IFERROR(__xludf.DUMMYFUNCTION("""COMPUTED_VALUE"""),"A Saya ingin dapat menyelesaikan persoalan yang dianggap sukar bagi orang lain.")</f>
        <v>A Saya ingin dapat menyelesaikan persoalan yang dianggap sukar bagi orang lain.</v>
      </c>
      <c r="AT35" s="95" t="str">
        <f>IFERROR(__xludf.DUMMYFUNCTION("""COMPUTED_VALUE"""),"A Saya ingin bisa melakukan dengan baik sesuatu pekerjaan sulit.")</f>
        <v>A Saya ingin bisa melakukan dengan baik sesuatu pekerjaan sulit.</v>
      </c>
      <c r="AU35" s="95" t="str">
        <f>IFERROR(__xludf.DUMMYFUNCTION("""COMPUTED_VALUE"""),"A Saya ingin menyelesaikan pekerjaan satu persatu sebelum memulai yang lain.")</f>
        <v>A Saya ingin menyelesaikan pekerjaan satu persatu sebelum memulai yang lain.</v>
      </c>
      <c r="AV35" s="95" t="str">
        <f>IFERROR(__xludf.DUMMYFUNCTION("""COMPUTED_VALUE"""),"B Saya suka menolong teman-teman saya.")</f>
        <v>B Saya suka menolong teman-teman saya.</v>
      </c>
      <c r="AW35" s="95" t="str">
        <f>IFERROR(__xludf.DUMMYFUNCTION("""COMPUTED_VALUE"""),"B Saya ingin teman-teman saya percaya bahwa saya bisa menolong mereka.")</f>
        <v>B Saya ingin teman-teman saya percaya bahwa saya bisa menolong mereka.</v>
      </c>
      <c r="AX35" s="95" t="str">
        <f>IFERROR(__xludf.DUMMYFUNCTION("""COMPUTED_VALUE"""),"B Saya suka memaafkan teman-teman saya yang menyakiti hati saya.")</f>
        <v>B Saya suka memaafkan teman-teman saya yang menyakiti hati saya.</v>
      </c>
      <c r="AY35" s="95" t="str">
        <f>IFERROR(__xludf.DUMMYFUNCTION("""COMPUTED_VALUE"""),"B Saya suka menolong teman-teman saya apabila mereka dalam kesulitan.")</f>
        <v>B Saya suka menolong teman-teman saya apabila mereka dalam kesulitan.</v>
      </c>
      <c r="AZ35" s="95" t="str">
        <f>IFERROR(__xludf.DUMMYFUNCTION("""COMPUTED_VALUE"""),"A Saya ingin agar teman-teman saya bersimpati dan menghibur saya bila saya sedih.")</f>
        <v>A Saya ingin agar teman-teman saya bersimpati dan menghibur saya bila saya sedih.</v>
      </c>
      <c r="BA35" s="95" t="str">
        <f>IFERROR(__xludf.DUMMYFUNCTION("""COMPUTED_VALUE"""),"B Saya suka memperlakukan orang lain dengan baik dan ramah.")</f>
        <v>B Saya suka memperlakukan orang lain dengan baik dan ramah.</v>
      </c>
      <c r="BB35" s="95" t="str">
        <f>IFERROR(__xludf.DUMMYFUNCTION("""COMPUTED_VALUE"""),"A Saya berkeinginan untuk bersama orang yang menarik bagi saya.")</f>
        <v>A Saya berkeinginan untuk bersama orang yang menarik bagi saya.</v>
      </c>
      <c r="BC35" s="95" t="str">
        <f>IFERROR(__xludf.DUMMYFUNCTION("""COMPUTED_VALUE"""),"B Saya suka membantu orang lain yang menurut saya perlu dikasihani.")</f>
        <v>B Saya suka membantu orang lain yang menurut saya perlu dikasihani.</v>
      </c>
      <c r="BD35" s="95" t="str">
        <f>IFERROR(__xludf.DUMMYFUNCTION("""COMPUTED_VALUE"""),"B Saya suka bersikukuh dengan pendirian saya.")</f>
        <v>B Saya suka bersikukuh dengan pendirian saya.</v>
      </c>
      <c r="BE35" s="95" t="str">
        <f>IFERROR(__xludf.DUMMYFUNCTION("""COMPUTED_VALUE"""),"B Saya ingin orang lain melakukan apa yang saya kehendaki.")</f>
        <v>B Saya ingin orang lain melakukan apa yang saya kehendaki.</v>
      </c>
      <c r="BF35" s="95" t="str">
        <f>IFERROR(__xludf.DUMMYFUNCTION("""COMPUTED_VALUE"""),"B Bila saya dalam kelompok, saya ingin menentukan apa yang akan kita lakukan.")</f>
        <v>B Bila saya dalam kelompok, saya ingin menentukan apa yang akan kita lakukan.</v>
      </c>
      <c r="BG35" s="95" t="str">
        <f>IFERROR(__xludf.DUMMYFUNCTION("""COMPUTED_VALUE"""),"B Saya suka mengarahkan kepada orang lain apa yang harus dilakukan.")</f>
        <v>B Saya suka mengarahkan kepada orang lain apa yang harus dilakukan.</v>
      </c>
      <c r="BH35" s="95" t="str">
        <f>IFERROR(__xludf.DUMMYFUNCTION("""COMPUTED_VALUE"""),"A Saya suka menghindar dari situasi yang tidak saya harapkan.")</f>
        <v>A Saya suka menghindar dari situasi yang tidak saya harapkan.</v>
      </c>
      <c r="BI35" s="95" t="str">
        <f>IFERROR(__xludf.DUMMYFUNCTION("""COMPUTED_VALUE"""),"A Saya suka bermurah hati terhadap teman-teman saya.")</f>
        <v>A Saya suka bermurah hati terhadap teman-teman saya.</v>
      </c>
      <c r="BJ35" s="95" t="str">
        <f>IFERROR(__xludf.DUMMYFUNCTION("""COMPUTED_VALUE"""),"B Saya ingin menjadi pemimpin dalam kelompok di mana saya ada di situ")</f>
        <v>B Saya ingin menjadi pemimpin dalam kelompok di mana saya ada di situ</v>
      </c>
      <c r="BK35" s="95" t="str">
        <f>IFERROR(__xludf.DUMMYFUNCTION("""COMPUTED_VALUE"""),"A Saya ingin menyelesaikan pekerjaan satu persatu sebelum memulai yang lain.")</f>
        <v>A Saya ingin menyelesaikan pekerjaan satu persatu sebelum memulai yang lain.</v>
      </c>
      <c r="BL35" s="95" t="str">
        <f>IFERROR(__xludf.DUMMYFUNCTION("""COMPUTED_VALUE"""),"B Saya suka bersikukuh dengan pendirian saya.")</f>
        <v>B Saya suka bersikukuh dengan pendirian saya.</v>
      </c>
      <c r="BM35" s="95" t="str">
        <f>IFERROR(__xludf.DUMMYFUNCTION("""COMPUTED_VALUE"""),"A Saya suka melakukan pekerjaan sebaik mungkin.")</f>
        <v>A Saya suka melakukan pekerjaan sebaik mungkin.</v>
      </c>
      <c r="BN35" s="95" t="str">
        <f>IFERROR(__xludf.DUMMYFUNCTION("""COMPUTED_VALUE"""),"B Saya ingin teman-teman memberi dorongan bila saya menghadapi kegagalan.")</f>
        <v>B Saya ingin teman-teman memberi dorongan bila saya menghadapi kegagalan.</v>
      </c>
      <c r="BO35" s="95" t="str">
        <f>IFERROR(__xludf.DUMMYFUNCTION("""COMPUTED_VALUE"""),"A Saya suka membuat perencanaan sebelum memulai belajar yang sulit.")</f>
        <v>A Saya suka membuat perencanaan sebelum memulai belajar yang sulit.</v>
      </c>
      <c r="BP35" s="95" t="str">
        <f>IFERROR(__xludf.DUMMYFUNCTION("""COMPUTED_VALUE"""),"A Saya ingin menyelesaikan sesuatu yang sangat penting artinya.")</f>
        <v>A Saya ingin menyelesaikan sesuatu yang sangat penting artinya.</v>
      </c>
      <c r="BQ35" s="95" t="str">
        <f>IFERROR(__xludf.DUMMYFUNCTION("""COMPUTED_VALUE"""),"A Saya ingin mengerjakannya tugas sampai selesai.")</f>
        <v>A Saya ingin mengerjakannya tugas sampai selesai.</v>
      </c>
      <c r="BR35" s="95" t="str">
        <f>IFERROR(__xludf.DUMMYFUNCTION("""COMPUTED_VALUE"""),"A Saya suka memaafkan teman-teman saya yang menyakiti hati saya.")</f>
        <v>A Saya suka memaafkan teman-teman saya yang menyakiti hati saya.</v>
      </c>
      <c r="BS35" s="95" t="str">
        <f>IFERROR(__xludf.DUMMYFUNCTION("""COMPUTED_VALUE"""),"B Saya ingin teman-teman saya membantu saya bila saya mengalami kesulitan")</f>
        <v>B Saya ingin teman-teman saya membantu saya bila saya mengalami kesulitan</v>
      </c>
      <c r="BT35" s="95" t="str">
        <f>IFERROR(__xludf.DUMMYFUNCTION("""COMPUTED_VALUE"""),"B Saya ingin teman-teman banyak menunjukkan rasa sayang mereka terhadap saya.")</f>
        <v>B Saya ingin teman-teman banyak menunjukkan rasa sayang mereka terhadap saya.</v>
      </c>
      <c r="BU35" s="95" t="str">
        <f>IFERROR(__xludf.DUMMYFUNCTION("""COMPUTED_VALUE"""),"B Saya ingin agar teman-teman saya merasa kasihan pada saya apabila saya sakit.")</f>
        <v>B Saya ingin agar teman-teman saya merasa kasihan pada saya apabila saya sakit.</v>
      </c>
      <c r="BV35" s="95" t="str">
        <f>IFERROR(__xludf.DUMMYFUNCTION("""COMPUTED_VALUE"""),"B Saya ingin teman-teman dengan gembira memberikan pertolongan kepada saya.")</f>
        <v>B Saya ingin teman-teman dengan gembira memberikan pertolongan kepada saya.</v>
      </c>
      <c r="BW35" s="95" t="str">
        <f>IFERROR(__xludf.DUMMYFUNCTION("""COMPUTED_VALUE"""),"B Saya ingin diperlakukan dengan baik oleh teman-teman saya.")</f>
        <v>B Saya ingin diperlakukan dengan baik oleh teman-teman saya.</v>
      </c>
      <c r="BX35" s="95" t="str">
        <f>IFERROR(__xludf.DUMMYFUNCTION("""COMPUTED_VALUE"""),"B Saya kadang-kadang suka melakukan hal-hal yang dapat dipuji oleh orang lain.")</f>
        <v>B Saya kadang-kadang suka melakukan hal-hal yang dapat dipuji oleh orang lain.</v>
      </c>
      <c r="BY35" s="95" t="str">
        <f>IFERROR(__xludf.DUMMYFUNCTION("""COMPUTED_VALUE"""),"B Saya ingin orang lain memperhatikan dan berkomentar tentang penampilan saya.")</f>
        <v>B Saya ingin orang lain memperhatikan dan berkomentar tentang penampilan saya.</v>
      </c>
      <c r="BZ35" s="95" t="str">
        <f>IFERROR(__xludf.DUMMYFUNCTION("""COMPUTED_VALUE"""),"B Saya suka diperhatikan, apabila saya ada di dalam suatu kelompok.")</f>
        <v>B Saya suka diperhatikan, apabila saya ada di dalam suatu kelompok.</v>
      </c>
      <c r="CA35" s="95" t="str">
        <f>IFERROR(__xludf.DUMMYFUNCTION("""COMPUTED_VALUE"""),"A Saya ingin teman-teman dengan gembira memberikan pertolongan kepada saya.")</f>
        <v>A Saya ingin teman-teman dengan gembira memberikan pertolongan kepada saya.</v>
      </c>
      <c r="CB35" s="95" t="str">
        <f>IFERROR(__xludf.DUMMYFUNCTION("""COMPUTED_VALUE"""),"B Saya suka berbicara tentang hal-hal yang telah saya capai.")</f>
        <v>B Saya suka berbicara tentang hal-hal yang telah saya capai.</v>
      </c>
      <c r="CC35" s="95" t="str">
        <f>IFERROR(__xludf.DUMMYFUNCTION("""COMPUTED_VALUE"""),"A Apabila saya berkumpul dalam kelompok, saya ingin dihargai teman-teman.")</f>
        <v>A Apabila saya berkumpul dalam kelompok, saya ingin dihargai teman-teman.</v>
      </c>
      <c r="CD35" s="95" t="str">
        <f>IFERROR(__xludf.DUMMYFUNCTION("""COMPUTED_VALUE"""),"A Saya suka menyelesaikan setiap tugas meskipun membutuhkan waktu lama.")</f>
        <v>A Saya suka menyelesaikan setiap tugas meskipun membutuhkan waktu lama.</v>
      </c>
      <c r="CE35" s="95" t="str">
        <f>IFERROR(__xludf.DUMMYFUNCTION("""COMPUTED_VALUE"""),"A Saya suka menyelesaikan setiap tugas belajar yang telah saya mulai.")</f>
        <v>A Saya suka menyelesaikan setiap tugas belajar yang telah saya mulai.</v>
      </c>
      <c r="CF35" s="95" t="str">
        <f>IFERROR(__xludf.DUMMYFUNCTION("""COMPUTED_VALUE"""),"A Saya ingin agar hidup saya teratur sesuai cita-cita saya.")</f>
        <v>A Saya ingin agar hidup saya teratur sesuai cita-cita saya.</v>
      </c>
      <c r="CG35" s="95" t="str">
        <f>IFERROR(__xludf.DUMMYFUNCTION("""COMPUTED_VALUE"""),"A Saya ingin berhasil dalam apa yang saya lakukan.")</f>
        <v>A Saya ingin berhasil dalam apa yang saya lakukan.</v>
      </c>
      <c r="CH35" s="95" t="str">
        <f>IFERROR(__xludf.DUMMYFUNCTION("""COMPUTED_VALUE"""),"A Saya ingin bisa melakukan dengan baik sesuatu pekerjaan sulit.")</f>
        <v>A Saya ingin bisa melakukan dengan baik sesuatu pekerjaan sulit.</v>
      </c>
      <c r="CI35" s="95" t="str">
        <f>IFERROR(__xludf.DUMMYFUNCTION("""COMPUTED_VALUE"""),"A Saya suka belajar saya teratur dan ada waktu-waktu tertentu untuk belajar.")</f>
        <v>A Saya suka belajar saya teratur dan ada waktu-waktu tertentu untuk belajar.</v>
      </c>
      <c r="CJ35" s="95" t="str">
        <f>IFERROR(__xludf.DUMMYFUNCTION("""COMPUTED_VALUE"""),"A Saya ingin tidak tergantung dari orang lain terhadap apa yang akan saya lakukan.")</f>
        <v>A Saya ingin tidak tergantung dari orang lain terhadap apa yang akan saya lakukan.</v>
      </c>
      <c r="CK35" s="95" t="str">
        <f>IFERROR(__xludf.DUMMYFUNCTION("""COMPUTED_VALUE"""),"B Saya senang ikut beraktivitas bersama teman sebaya saya.")</f>
        <v>B Saya senang ikut beraktivitas bersama teman sebaya saya.</v>
      </c>
      <c r="CL35" s="95" t="str">
        <f>IFERROR(__xludf.DUMMYFUNCTION("""COMPUTED_VALUE"""),"A Saya suka menolong teman-teman saya, apabila mereka dalam kesulitan.")</f>
        <v>A Saya suka menolong teman-teman saya, apabila mereka dalam kesulitan.</v>
      </c>
      <c r="CM35" s="95" t="str">
        <f>IFERROR(__xludf.DUMMYFUNCTION("""COMPUTED_VALUE"""),"A Saya ingin ditunjuk atau dipilih sebagai ketua dalam suatu kelompok.")</f>
        <v>A Saya ingin ditunjuk atau dipilih sebagai ketua dalam suatu kelompok.</v>
      </c>
      <c r="CN35" s="95" t="str">
        <f>IFERROR(__xludf.DUMMYFUNCTION("""COMPUTED_VALUE"""),"A Saya ingin diperlakukan dengan baik oleh teman-teman saya.")</f>
        <v>A Saya ingin diperlakukan dengan baik oleh teman-teman saya.</v>
      </c>
      <c r="CO35" s="95" t="str">
        <f>IFERROR(__xludf.DUMMYFUNCTION("""COMPUTED_VALUE"""),"B Saya suka memuji orang yang saya kagumi.")</f>
        <v>B Saya suka memuji orang yang saya kagumi.</v>
      </c>
      <c r="CP35" s="95" t="str">
        <f>IFERROR(__xludf.DUMMYFUNCTION("""COMPUTED_VALUE"""),"A Saya suka melamun atau membayangkan sesuatu sendirian.")</f>
        <v>A Saya suka melamun atau membayangkan sesuatu sendirian.</v>
      </c>
      <c r="CQ35" s="95" t="str">
        <f>IFERROR(__xludf.DUMMYFUNCTION("""COMPUTED_VALUE"""),"A Saya ingin menggertak orang bila saya berbeda pendapat dengan mereka.")</f>
        <v>A Saya ingin menggertak orang bila saya berbeda pendapat dengan mereka.</v>
      </c>
      <c r="CR35" s="95" t="str">
        <f>IFERROR(__xludf.DUMMYFUNCTION("""COMPUTED_VALUE"""),"B Saya rasanya ingin mengecam seseorang bila orang itu menjengkelkan.")</f>
        <v>B Saya rasanya ingin mengecam seseorang bila orang itu menjengkelkan.</v>
      </c>
      <c r="CS35" s="95" t="str">
        <f>IFERROR(__xludf.DUMMYFUNCTION("""COMPUTED_VALUE"""),"A Saya ingin terlihat menarik di depan teman-teman saya.")</f>
        <v>A Saya ingin terlihat menarik di depan teman-teman saya.</v>
      </c>
      <c r="CT35" s="95" t="str">
        <f>IFERROR(__xludf.DUMMYFUNCTION("""COMPUTED_VALUE"""),"A Saya ingin orang-orang memperhatikan komentar mengenai penampilan saya.")</f>
        <v>A Saya ingin orang-orang memperhatikan komentar mengenai penampilan saya.</v>
      </c>
      <c r="CU35" s="95" t="str">
        <f>IFERROR(__xludf.DUMMYFUNCTION("""COMPUTED_VALUE"""),"A Saya ingin diperlakukan dengan ramah oleh teman-teman saya.")</f>
        <v>A Saya ingin diperlakukan dengan ramah oleh teman-teman saya.</v>
      </c>
      <c r="CV35" s="95" t="str">
        <f>IFERROR(__xludf.DUMMYFUNCTION("""COMPUTED_VALUE"""),"A Saya ingin ditunjuk atau dipilih sebagai ketua dalam suatu kelompok.")</f>
        <v>A Saya ingin ditunjuk atau dipilih sebagai ketua dalam suatu kelompok.</v>
      </c>
      <c r="CW35" s="95" t="str">
        <f>IFERROR(__xludf.DUMMYFUNCTION("""COMPUTED_VALUE"""),"A Saya suka menolong teman-teman saya, apabila mereka dalam kesulitan.")</f>
        <v>A Saya suka menolong teman-teman saya, apabila mereka dalam kesulitan.</v>
      </c>
      <c r="CX35" s="95" t="str">
        <f>IFERROR(__xludf.DUMMYFUNCTION("""COMPUTED_VALUE"""),"A Saya suka belajar sampai malam untuk menyelesaikan suatu tugas.")</f>
        <v>A Saya suka belajar sampai malam untuk menyelesaikan suatu tugas.</v>
      </c>
      <c r="CY35" s="95" t="str">
        <f>IFERROR(__xludf.DUMMYFUNCTION("""COMPUTED_VALUE"""),"A Saya ingin tidak tergantung dari orang lain terhadap apa yang akan saya lakukan.")</f>
        <v>A Saya ingin tidak tergantung dari orang lain terhadap apa yang akan saya lakukan.</v>
      </c>
      <c r="CZ35" s="95" t="str">
        <f>IFERROR(__xludf.DUMMYFUNCTION("""COMPUTED_VALUE"""),"B Saya rasanya ingin menggertak orang bila saya berbeda pendapat dengan mereka.")</f>
        <v>B Saya rasanya ingin menggertak orang bila saya berbeda pendapat dengan mereka.</v>
      </c>
      <c r="DA35" s="95" t="str">
        <f>IFERROR(__xludf.DUMMYFUNCTION("""COMPUTED_VALUE"""),"A Saya ingin melakukan apa saja sebaik mungkin.")</f>
        <v>A Saya ingin melakukan apa saja sebaik mungkin.</v>
      </c>
      <c r="DB35" s="89" t="s">
        <v>23</v>
      </c>
      <c r="DC35" s="97" t="str">
        <f t="shared" ref="DC35:GX35" si="80">LEFT(F35,1)</f>
        <v>B</v>
      </c>
      <c r="DD35" s="97" t="str">
        <f t="shared" si="80"/>
        <v>A</v>
      </c>
      <c r="DE35" s="97" t="str">
        <f t="shared" si="80"/>
        <v>B</v>
      </c>
      <c r="DF35" s="97" t="str">
        <f t="shared" si="80"/>
        <v>B</v>
      </c>
      <c r="DG35" s="97" t="str">
        <f t="shared" si="80"/>
        <v>B</v>
      </c>
      <c r="DH35" s="97" t="str">
        <f t="shared" si="80"/>
        <v>A</v>
      </c>
      <c r="DI35" s="97" t="str">
        <f t="shared" si="80"/>
        <v>A</v>
      </c>
      <c r="DJ35" s="97" t="str">
        <f t="shared" si="80"/>
        <v>A</v>
      </c>
      <c r="DK35" s="97" t="str">
        <f t="shared" si="80"/>
        <v>A</v>
      </c>
      <c r="DL35" s="97" t="str">
        <f t="shared" si="80"/>
        <v>A</v>
      </c>
      <c r="DM35" s="97" t="str">
        <f t="shared" si="80"/>
        <v>B</v>
      </c>
      <c r="DN35" s="97" t="str">
        <f t="shared" si="80"/>
        <v>B</v>
      </c>
      <c r="DO35" s="97" t="str">
        <f t="shared" si="80"/>
        <v>B</v>
      </c>
      <c r="DP35" s="97" t="str">
        <f t="shared" si="80"/>
        <v>B</v>
      </c>
      <c r="DQ35" s="97" t="str">
        <f t="shared" si="80"/>
        <v>A</v>
      </c>
      <c r="DR35" s="97" t="str">
        <f t="shared" si="80"/>
        <v>A</v>
      </c>
      <c r="DS35" s="97" t="str">
        <f t="shared" si="80"/>
        <v>B</v>
      </c>
      <c r="DT35" s="97" t="str">
        <f t="shared" si="80"/>
        <v>B</v>
      </c>
      <c r="DU35" s="97" t="str">
        <f t="shared" si="80"/>
        <v>B</v>
      </c>
      <c r="DV35" s="97" t="str">
        <f t="shared" si="80"/>
        <v>A</v>
      </c>
      <c r="DW35" s="97" t="str">
        <f t="shared" si="80"/>
        <v>A</v>
      </c>
      <c r="DX35" s="97" t="str">
        <f t="shared" si="80"/>
        <v>B</v>
      </c>
      <c r="DY35" s="97" t="str">
        <f t="shared" si="80"/>
        <v>B</v>
      </c>
      <c r="DZ35" s="97" t="str">
        <f t="shared" si="80"/>
        <v>A</v>
      </c>
      <c r="EA35" s="97" t="str">
        <f t="shared" si="80"/>
        <v>B</v>
      </c>
      <c r="EB35" s="97" t="str">
        <f t="shared" si="80"/>
        <v>A</v>
      </c>
      <c r="EC35" s="97" t="str">
        <f t="shared" si="80"/>
        <v>A</v>
      </c>
      <c r="ED35" s="97" t="str">
        <f t="shared" si="80"/>
        <v>A</v>
      </c>
      <c r="EE35" s="97" t="str">
        <f t="shared" si="80"/>
        <v>B</v>
      </c>
      <c r="EF35" s="97" t="str">
        <f t="shared" si="80"/>
        <v>A</v>
      </c>
      <c r="EG35" s="97" t="str">
        <f t="shared" si="80"/>
        <v>B</v>
      </c>
      <c r="EH35" s="97" t="str">
        <f t="shared" si="80"/>
        <v>B</v>
      </c>
      <c r="EI35" s="97" t="str">
        <f t="shared" si="80"/>
        <v>B</v>
      </c>
      <c r="EJ35" s="97" t="str">
        <f t="shared" si="80"/>
        <v>B</v>
      </c>
      <c r="EK35" s="97" t="str">
        <f t="shared" si="80"/>
        <v>A</v>
      </c>
      <c r="EL35" s="97" t="str">
        <f t="shared" si="80"/>
        <v>A</v>
      </c>
      <c r="EM35" s="97" t="str">
        <f t="shared" si="80"/>
        <v>B</v>
      </c>
      <c r="EN35" s="97" t="str">
        <f t="shared" si="80"/>
        <v>B</v>
      </c>
      <c r="EO35" s="97" t="str">
        <f t="shared" si="80"/>
        <v>B</v>
      </c>
      <c r="EP35" s="97" t="str">
        <f t="shared" si="80"/>
        <v>A</v>
      </c>
      <c r="EQ35" s="97" t="str">
        <f t="shared" si="80"/>
        <v>A</v>
      </c>
      <c r="ER35" s="97" t="str">
        <f t="shared" si="80"/>
        <v>A</v>
      </c>
      <c r="ES35" s="97" t="str">
        <f t="shared" si="80"/>
        <v>B</v>
      </c>
      <c r="ET35" s="97" t="str">
        <f t="shared" si="80"/>
        <v>B</v>
      </c>
      <c r="EU35" s="97" t="str">
        <f t="shared" si="80"/>
        <v>B</v>
      </c>
      <c r="EV35" s="97" t="str">
        <f t="shared" si="80"/>
        <v>B</v>
      </c>
      <c r="EW35" s="97" t="str">
        <f t="shared" si="80"/>
        <v>A</v>
      </c>
      <c r="EX35" s="97" t="str">
        <f t="shared" si="80"/>
        <v>B</v>
      </c>
      <c r="EY35" s="97" t="str">
        <f t="shared" si="80"/>
        <v>A</v>
      </c>
      <c r="EZ35" s="97" t="str">
        <f t="shared" si="80"/>
        <v>B</v>
      </c>
      <c r="FA35" s="97" t="str">
        <f t="shared" si="80"/>
        <v>B</v>
      </c>
      <c r="FB35" s="97" t="str">
        <f t="shared" si="80"/>
        <v>B</v>
      </c>
      <c r="FC35" s="97" t="str">
        <f t="shared" si="80"/>
        <v>B</v>
      </c>
      <c r="FD35" s="97" t="str">
        <f t="shared" si="80"/>
        <v>B</v>
      </c>
      <c r="FE35" s="97" t="str">
        <f t="shared" si="80"/>
        <v>A</v>
      </c>
      <c r="FF35" s="97" t="str">
        <f t="shared" si="80"/>
        <v>A</v>
      </c>
      <c r="FG35" s="97" t="str">
        <f t="shared" si="80"/>
        <v>B</v>
      </c>
      <c r="FH35" s="97" t="str">
        <f t="shared" si="80"/>
        <v>A</v>
      </c>
      <c r="FI35" s="97" t="str">
        <f t="shared" si="80"/>
        <v>B</v>
      </c>
      <c r="FJ35" s="97" t="str">
        <f t="shared" si="80"/>
        <v>A</v>
      </c>
      <c r="FK35" s="97" t="str">
        <f t="shared" si="80"/>
        <v>B</v>
      </c>
      <c r="FL35" s="97" t="str">
        <f t="shared" si="80"/>
        <v>A</v>
      </c>
      <c r="FM35" s="97" t="str">
        <f t="shared" si="80"/>
        <v>A</v>
      </c>
      <c r="FN35" s="97" t="str">
        <f t="shared" si="80"/>
        <v>A</v>
      </c>
      <c r="FO35" s="97" t="str">
        <f t="shared" si="80"/>
        <v>A</v>
      </c>
      <c r="FP35" s="97" t="str">
        <f t="shared" si="80"/>
        <v>B</v>
      </c>
      <c r="FQ35" s="97" t="str">
        <f t="shared" si="80"/>
        <v>B</v>
      </c>
      <c r="FR35" s="97" t="str">
        <f t="shared" si="80"/>
        <v>B</v>
      </c>
      <c r="FS35" s="97" t="str">
        <f t="shared" si="80"/>
        <v>B</v>
      </c>
      <c r="FT35" s="97" t="str">
        <f t="shared" si="80"/>
        <v>B</v>
      </c>
      <c r="FU35" s="97" t="str">
        <f t="shared" si="80"/>
        <v>B</v>
      </c>
      <c r="FV35" s="97" t="str">
        <f t="shared" si="80"/>
        <v>B</v>
      </c>
      <c r="FW35" s="97" t="str">
        <f t="shared" si="80"/>
        <v>B</v>
      </c>
      <c r="FX35" s="97" t="str">
        <f t="shared" si="80"/>
        <v>A</v>
      </c>
      <c r="FY35" s="97" t="str">
        <f t="shared" si="80"/>
        <v>B</v>
      </c>
      <c r="FZ35" s="97" t="str">
        <f t="shared" si="80"/>
        <v>A</v>
      </c>
      <c r="GA35" s="97" t="str">
        <f t="shared" si="80"/>
        <v>A</v>
      </c>
      <c r="GB35" s="97" t="str">
        <f t="shared" si="80"/>
        <v>A</v>
      </c>
      <c r="GC35" s="97" t="str">
        <f t="shared" si="80"/>
        <v>A</v>
      </c>
      <c r="GD35" s="97" t="str">
        <f t="shared" si="80"/>
        <v>A</v>
      </c>
      <c r="GE35" s="97" t="str">
        <f t="shared" si="80"/>
        <v>A</v>
      </c>
      <c r="GF35" s="97" t="str">
        <f t="shared" si="80"/>
        <v>A</v>
      </c>
      <c r="GG35" s="97" t="str">
        <f t="shared" si="80"/>
        <v>A</v>
      </c>
      <c r="GH35" s="97" t="str">
        <f t="shared" si="80"/>
        <v>B</v>
      </c>
      <c r="GI35" s="97" t="str">
        <f t="shared" si="80"/>
        <v>A</v>
      </c>
      <c r="GJ35" s="97" t="str">
        <f t="shared" si="80"/>
        <v>A</v>
      </c>
      <c r="GK35" s="97" t="str">
        <f t="shared" si="80"/>
        <v>A</v>
      </c>
      <c r="GL35" s="97" t="str">
        <f t="shared" si="80"/>
        <v>B</v>
      </c>
      <c r="GM35" s="97" t="str">
        <f t="shared" si="80"/>
        <v>A</v>
      </c>
      <c r="GN35" s="97" t="str">
        <f t="shared" si="80"/>
        <v>A</v>
      </c>
      <c r="GO35" s="97" t="str">
        <f t="shared" si="80"/>
        <v>B</v>
      </c>
      <c r="GP35" s="97" t="str">
        <f t="shared" si="80"/>
        <v>A</v>
      </c>
      <c r="GQ35" s="97" t="str">
        <f t="shared" si="80"/>
        <v>A</v>
      </c>
      <c r="GR35" s="97" t="str">
        <f t="shared" si="80"/>
        <v>A</v>
      </c>
      <c r="GS35" s="97" t="str">
        <f t="shared" si="80"/>
        <v>A</v>
      </c>
      <c r="GT35" s="97" t="str">
        <f t="shared" si="80"/>
        <v>A</v>
      </c>
      <c r="GU35" s="97" t="str">
        <f t="shared" si="80"/>
        <v>A</v>
      </c>
      <c r="GV35" s="97" t="str">
        <f t="shared" si="80"/>
        <v>A</v>
      </c>
      <c r="GW35" s="97" t="str">
        <f t="shared" si="80"/>
        <v>B</v>
      </c>
      <c r="GX35" s="97" t="str">
        <f t="shared" si="80"/>
        <v>A</v>
      </c>
      <c r="GY35" s="98"/>
      <c r="GZ35" s="97">
        <f t="shared" si="3"/>
        <v>52</v>
      </c>
      <c r="HA35" s="97">
        <f t="shared" si="4"/>
        <v>48</v>
      </c>
      <c r="HB35" s="90">
        <f t="shared" si="5"/>
        <v>100</v>
      </c>
      <c r="HC35" s="99"/>
      <c r="HD35" s="97">
        <f t="shared" si="6"/>
        <v>8</v>
      </c>
      <c r="HE35" s="97">
        <f t="shared" si="7"/>
        <v>3</v>
      </c>
      <c r="HF35" s="90">
        <f t="shared" si="8"/>
        <v>11</v>
      </c>
      <c r="HG35" s="99"/>
      <c r="HH35" s="97">
        <f t="shared" si="9"/>
        <v>5</v>
      </c>
      <c r="HI35" s="97">
        <f t="shared" si="10"/>
        <v>7</v>
      </c>
      <c r="HJ35" s="90">
        <f t="shared" si="11"/>
        <v>12</v>
      </c>
      <c r="HK35" s="99"/>
      <c r="HL35" s="97">
        <f t="shared" si="12"/>
        <v>5</v>
      </c>
      <c r="HM35" s="97">
        <f t="shared" si="13"/>
        <v>4</v>
      </c>
      <c r="HN35" s="90">
        <f t="shared" si="14"/>
        <v>9</v>
      </c>
      <c r="HO35" s="99"/>
      <c r="HP35" s="97">
        <f t="shared" si="15"/>
        <v>4</v>
      </c>
      <c r="HQ35" s="97">
        <f t="shared" si="16"/>
        <v>7</v>
      </c>
      <c r="HR35" s="90">
        <f t="shared" si="17"/>
        <v>11</v>
      </c>
      <c r="HS35" s="99"/>
      <c r="HT35" s="97">
        <f t="shared" si="18"/>
        <v>7</v>
      </c>
      <c r="HU35" s="97">
        <f t="shared" si="19"/>
        <v>6</v>
      </c>
      <c r="HV35" s="90">
        <f t="shared" si="20"/>
        <v>13</v>
      </c>
      <c r="HW35" s="99"/>
      <c r="HX35" s="97">
        <f t="shared" si="21"/>
        <v>6</v>
      </c>
      <c r="HY35" s="97">
        <f t="shared" si="22"/>
        <v>6</v>
      </c>
      <c r="HZ35" s="90">
        <f t="shared" si="23"/>
        <v>12</v>
      </c>
      <c r="IA35" s="99"/>
      <c r="IB35" s="97">
        <f t="shared" si="24"/>
        <v>6</v>
      </c>
      <c r="IC35" s="97">
        <f t="shared" si="25"/>
        <v>6</v>
      </c>
      <c r="ID35" s="90">
        <f t="shared" si="26"/>
        <v>12</v>
      </c>
      <c r="IE35" s="99"/>
      <c r="IF35" s="97">
        <f t="shared" si="27"/>
        <v>3</v>
      </c>
      <c r="IG35" s="97">
        <f t="shared" si="28"/>
        <v>4</v>
      </c>
      <c r="IH35" s="90">
        <f t="shared" si="29"/>
        <v>7</v>
      </c>
      <c r="II35" s="99"/>
      <c r="IJ35" s="97">
        <f t="shared" si="30"/>
        <v>3</v>
      </c>
      <c r="IK35" s="97">
        <f t="shared" si="31"/>
        <v>2</v>
      </c>
      <c r="IL35" s="90">
        <f t="shared" si="32"/>
        <v>5</v>
      </c>
      <c r="IM35" s="99"/>
      <c r="IN35" s="97">
        <f t="shared" si="33"/>
        <v>3</v>
      </c>
      <c r="IO35" s="97">
        <f t="shared" si="34"/>
        <v>2</v>
      </c>
      <c r="IP35" s="90">
        <f t="shared" si="35"/>
        <v>5</v>
      </c>
      <c r="IQ35" s="99"/>
      <c r="IR35" s="99"/>
      <c r="IS35" s="100">
        <f t="shared" si="36"/>
        <v>11</v>
      </c>
      <c r="IT35" s="100">
        <f t="shared" si="37"/>
        <v>12</v>
      </c>
      <c r="IU35" s="100">
        <f t="shared" si="38"/>
        <v>9</v>
      </c>
      <c r="IV35" s="100">
        <f t="shared" si="39"/>
        <v>11</v>
      </c>
      <c r="IW35" s="100">
        <f t="shared" si="40"/>
        <v>13</v>
      </c>
      <c r="IX35" s="100">
        <f t="shared" si="41"/>
        <v>12</v>
      </c>
      <c r="IY35" s="100">
        <f t="shared" si="42"/>
        <v>12</v>
      </c>
      <c r="IZ35" s="100">
        <f t="shared" si="43"/>
        <v>7</v>
      </c>
      <c r="JA35" s="100">
        <f t="shared" si="44"/>
        <v>5</v>
      </c>
      <c r="JB35" s="101">
        <f t="shared" si="45"/>
        <v>5</v>
      </c>
      <c r="JC35" s="102">
        <f t="shared" si="46"/>
        <v>97</v>
      </c>
      <c r="JD35" s="67">
        <f t="shared" si="50"/>
        <v>0</v>
      </c>
      <c r="JE35" s="67">
        <f t="shared" si="47"/>
        <v>2</v>
      </c>
      <c r="JF35" s="67">
        <f t="shared" si="48"/>
        <v>2</v>
      </c>
    </row>
    <row r="36">
      <c r="A36" s="103">
        <f>IFERROR(__xludf.DUMMYFUNCTION("""COMPUTED_VALUE"""),45926.84886175926)</f>
        <v>45926.84886</v>
      </c>
      <c r="B36" s="95" t="str">
        <f>IFERROR(__xludf.DUMMYFUNCTION("""COMPUTED_VALUE"""),"Hanifah Qurrotul 'Ain ")</f>
        <v>Hanifah Qurrotul 'Ain </v>
      </c>
      <c r="C36" s="96" t="str">
        <f>IFERROR(__xludf.DUMMYFUNCTION("""COMPUTED_VALUE"""),"D250002")</f>
        <v>D250002</v>
      </c>
      <c r="D36" s="96" t="str">
        <f>IFERROR(__xludf.DUMMYFUNCTION("""COMPUTED_VALUE"""),"MTs Putri")</f>
        <v>MTs Putri</v>
      </c>
      <c r="E36" s="96" t="str">
        <f>IFERROR(__xludf.DUMMYFUNCTION("""COMPUTED_VALUE"""),"Ya")</f>
        <v>Ya</v>
      </c>
      <c r="F36" s="95" t="str">
        <f>IFERROR(__xludf.DUMMYFUNCTION("""COMPUTED_VALUE"""),"B Saya ingin melakukan apa saja sebaik mungkin.")</f>
        <v>B Saya ingin melakukan apa saja sebaik mungkin.</v>
      </c>
      <c r="G36" s="95" t="str">
        <f>IFERROR(__xludf.DUMMYFUNCTION("""COMPUTED_VALUE"""),"B Saya ingin menyelesaikan tugas yang segera dikumpulkan.")</f>
        <v>B Saya ingin menyelesaikan tugas yang segera dikumpulkan.</v>
      </c>
      <c r="H36" s="95" t="str">
        <f>IFERROR(__xludf.DUMMYFUNCTION("""COMPUTED_VALUE"""),"B Saya ingin menjadi orang yang diakui dalam suatu pekerjaan atau bidang khusus.")</f>
        <v>B Saya ingin menjadi orang yang diakui dalam suatu pekerjaan atau bidang khusus.</v>
      </c>
      <c r="I36" s="95" t="str">
        <f>IFERROR(__xludf.DUMMYFUNCTION("""COMPUTED_VALUE"""),"B Saya ingin bisa melakukan dengan baik meskipun tugas yang sulit.")</f>
        <v>B Saya ingin bisa melakukan dengan baik meskipun tugas yang sulit.</v>
      </c>
      <c r="J36" s="95" t="str">
        <f>IFERROR(__xludf.DUMMYFUNCTION("""COMPUTED_VALUE"""),"A Saya suka membantu teman-teman saya apabila mereka mengalami kesulitan.")</f>
        <v>A Saya suka membantu teman-teman saya apabila mereka mengalami kesulitan.</v>
      </c>
      <c r="K36" s="95" t="str">
        <f>IFERROR(__xludf.DUMMYFUNCTION("""COMPUTED_VALUE"""),"B Saya ingin mengatakan telah melakukan dengan baik sesuatu tugas yang sulit.")</f>
        <v>B Saya ingin mengatakan telah melakukan dengan baik sesuatu tugas yang sulit.</v>
      </c>
      <c r="L36" s="95" t="str">
        <f>IFERROR(__xludf.DUMMYFUNCTION("""COMPUTED_VALUE"""),"B Saya ingin mengatakan telah melakukan dengan baik sesuatu tugas yang sulit")</f>
        <v>B Saya ingin mengatakan telah melakukan dengan baik sesuatu tugas yang sulit</v>
      </c>
      <c r="M36" s="95" t="str">
        <f>IFERROR(__xludf.DUMMYFUNCTION("""COMPUTED_VALUE"""),"A Saya suka berbicara tentang hal-hal yang telah berhasil saya lakukan.")</f>
        <v>A Saya suka berbicara tentang hal-hal yang telah berhasil saya lakukan.</v>
      </c>
      <c r="N36" s="95" t="str">
        <f>IFERROR(__xludf.DUMMYFUNCTION("""COMPUTED_VALUE"""),"A Saya suka pergi dengan pakaian rapi agar lebih menarik perhatian orang lain.")</f>
        <v>A Saya suka pergi dengan pakaian rapi agar lebih menarik perhatian orang lain.</v>
      </c>
      <c r="O36" s="95" t="str">
        <f>IFERROR(__xludf.DUMMYFUNCTION("""COMPUTED_VALUE"""),"B Saya suka melakukan tugas sebaik mungkin.")</f>
        <v>B Saya suka melakukan tugas sebaik mungkin.</v>
      </c>
      <c r="P36" s="95" t="str">
        <f>IFERROR(__xludf.DUMMYFUNCTION("""COMPUTED_VALUE"""),"A Saya suka bercerita tentang hal-hal yang menegangkan atau menantang.")</f>
        <v>A Saya suka bercerita tentang hal-hal yang menegangkan atau menantang.</v>
      </c>
      <c r="Q36" s="95" t="str">
        <f>IFERROR(__xludf.DUMMYFUNCTION("""COMPUTED_VALUE"""),"A Saya mulai suka dengan lawan jenis.")</f>
        <v>A Saya mulai suka dengan lawan jenis.</v>
      </c>
      <c r="R36" s="95" t="str">
        <f>IFERROR(__xludf.DUMMYFUNCTION("""COMPUTED_VALUE"""),"A Saya ingin orang-orang memperhatikan penampilan saya.")</f>
        <v>A Saya ingin orang-orang memperhatikan penampilan saya.</v>
      </c>
      <c r="S36" s="95" t="str">
        <f>IFERROR(__xludf.DUMMYFUNCTION("""COMPUTED_VALUE"""),"A Saya ingin agar teman-teman pengertian bila saya mengalami kesukaran.")</f>
        <v>A Saya ingin agar teman-teman pengertian bila saya mengalami kesukaran.</v>
      </c>
      <c r="T36" s="95" t="str">
        <f>IFERROR(__xludf.DUMMYFUNCTION("""COMPUTED_VALUE"""),"B Saya ingin agar hidup saya teratur sesuai cita-cita saya.")</f>
        <v>B Saya ingin agar hidup saya teratur sesuai cita-cita saya.</v>
      </c>
      <c r="U36" s="95" t="str">
        <f>IFERROR(__xludf.DUMMYFUNCTION("""COMPUTED_VALUE"""),"A Saya suka memberikan bantuan kepada teman-teman saya.")</f>
        <v>A Saya suka memberikan bantuan kepada teman-teman saya.</v>
      </c>
      <c r="V36" s="95" t="str">
        <f>IFERROR(__xludf.DUMMYFUNCTION("""COMPUTED_VALUE"""),"B Saya suka belajar saya teratur dan ada waktu-waktu tertentu untuk belajar.")</f>
        <v>B Saya suka belajar saya teratur dan ada waktu-waktu tertentu untuk belajar.</v>
      </c>
      <c r="W36" s="95" t="str">
        <f>IFERROR(__xludf.DUMMYFUNCTION("""COMPUTED_VALUE"""),"A Saya suka melakukan kegiatan sesuai kondisi yang saya inginkan.")</f>
        <v>A Saya suka melakukan kegiatan sesuai kondisi yang saya inginkan.</v>
      </c>
      <c r="X36" s="95" t="str">
        <f>IFERROR(__xludf.DUMMYFUNCTION("""COMPUTED_VALUE"""),"B Saya ingin agar hidup saya teratur sesuai cita-cita saya.")</f>
        <v>B Saya ingin agar hidup saya teratur sesuai cita-cita saya.</v>
      </c>
      <c r="Y36" s="95" t="str">
        <f>IFERROR(__xludf.DUMMYFUNCTION("""COMPUTED_VALUE"""),"A Saya suka menyelesaikan tugas-tugas yang membutuhkan ketrampilan dan usaha.")</f>
        <v>A Saya suka menyelesaikan tugas-tugas yang membutuhkan ketrampilan dan usaha.</v>
      </c>
      <c r="Z36" s="95" t="str">
        <f>IFERROR(__xludf.DUMMYFUNCTION("""COMPUTED_VALUE"""),"A Saya ingin berhasil dengan belajar yang saya lakukan.")</f>
        <v>A Saya ingin berhasil dengan belajar yang saya lakukan.</v>
      </c>
      <c r="AA36" s="95" t="str">
        <f>IFERROR(__xludf.DUMMYFUNCTION("""COMPUTED_VALUE"""),"B Saya tidak suka pada orang yang berbuat seenaknya sendiri.")</f>
        <v>B Saya tidak suka pada orang yang berbuat seenaknya sendiri.</v>
      </c>
      <c r="AB36" s="95" t="str">
        <f>IFERROR(__xludf.DUMMYFUNCTION("""COMPUTED_VALUE"""),"A Saya ingin tidak tergantung dari orang lain terhadap apa yang akan saya lakukan.")</f>
        <v>A Saya ingin tidak tergantung dari orang lain terhadap apa yang akan saya lakukan.</v>
      </c>
      <c r="AC36" s="95" t="str">
        <f>IFERROR(__xludf.DUMMYFUNCTION("""COMPUTED_VALUE"""),"A Saya suka menyelesaikan setiap tugas meskipun membutuhkan waktu lama.")</f>
        <v>A Saya suka menyelesaikan setiap tugas meskipun membutuhkan waktu lama.</v>
      </c>
      <c r="AD36" s="95" t="str">
        <f>IFERROR(__xludf.DUMMYFUNCTION("""COMPUTED_VALUE"""),"A Saya suka bermurah hati terhadap teman-teman saya.")</f>
        <v>A Saya suka bermurah hati terhadap teman-teman saya.</v>
      </c>
      <c r="AE36" s="95" t="str">
        <f>IFERROR(__xludf.DUMMYFUNCTION("""COMPUTED_VALUE"""),"A Saya ingin dianggap sebagai pemimpin oleh teman di kelompok.")</f>
        <v>A Saya ingin dianggap sebagai pemimpin oleh teman di kelompok.</v>
      </c>
      <c r="AF36" s="95" t="str">
        <f>IFERROR(__xludf.DUMMYFUNCTION("""COMPUTED_VALUE"""),"B Saya suka melakukan hal-hal dengan cara saya sendiri.")</f>
        <v>B Saya suka melakukan hal-hal dengan cara saya sendiri.</v>
      </c>
      <c r="AG36" s="95" t="str">
        <f>IFERROR(__xludf.DUMMYFUNCTION("""COMPUTED_VALUE"""),"A Saya mengajari orang lain bagaimana mereka harus melakukan pekerjaan mereka.")</f>
        <v>A Saya mengajari orang lain bagaimana mereka harus melakukan pekerjaan mereka.</v>
      </c>
      <c r="AH36" s="95" t="str">
        <f>IFERROR(__xludf.DUMMYFUNCTION("""COMPUTED_VALUE"""),"B Saya ingin merasa bebas untuk melakukan apa yang saya kehendaki.")</f>
        <v>B Saya ingin merasa bebas untuk melakukan apa yang saya kehendaki.</v>
      </c>
      <c r="AI36" s="95" t="str">
        <f>IFERROR(__xludf.DUMMYFUNCTION("""COMPUTED_VALUE"""),"B Saya suka melakukan kegiatan sesuai kondisi yang saya inginkan.")</f>
        <v>B Saya suka melakukan kegiatan sesuai kondisi yang saya inginkan.</v>
      </c>
      <c r="AJ36" s="95" t="str">
        <f>IFERROR(__xludf.DUMMYFUNCTION("""COMPUTED_VALUE"""),"B Saya suka bertahan menghadapi satu masalah meskipun belum tentu berhasil.")</f>
        <v>B Saya suka bertahan menghadapi satu masalah meskipun belum tentu berhasil.</v>
      </c>
      <c r="AK36" s="95" t="str">
        <f>IFERROR(__xludf.DUMMYFUNCTION("""COMPUTED_VALUE"""),"B Bila saya harus melakukan suatu tugas, saya ingin mengerjakan sampai selesai.")</f>
        <v>B Bila saya harus melakukan suatu tugas, saya ingin mengerjakan sampai selesai.</v>
      </c>
      <c r="AL36" s="95" t="str">
        <f>IFERROR(__xludf.DUMMYFUNCTION("""COMPUTED_VALUE"""),"B Saya ingin menghindarkan gangguan bila saya sedang belajar.")</f>
        <v>B Saya ingin menghindarkan gangguan bila saya sedang belajar.</v>
      </c>
      <c r="AM36" s="95" t="str">
        <f>IFERROR(__xludf.DUMMYFUNCTION("""COMPUTED_VALUE"""),"A Saya ingin teman-teman saya merasa kasihan pada saya apabila saya sakit.")</f>
        <v>A Saya ingin teman-teman saya merasa kasihan pada saya apabila saya sakit.</v>
      </c>
      <c r="AN36" s="95" t="str">
        <f>IFERROR(__xludf.DUMMYFUNCTION("""COMPUTED_VALUE"""),"A Saya tidak suka pada orang yang semena-mena.")</f>
        <v>A Saya tidak suka pada orang yang semena-mena.</v>
      </c>
      <c r="AO36" s="95" t="str">
        <f>IFERROR(__xludf.DUMMYFUNCTION("""COMPUTED_VALUE"""),"A Saya suka berlaku sangat ramah terhadap teman-teman saya.")</f>
        <v>A Saya suka berlaku sangat ramah terhadap teman-teman saya.</v>
      </c>
      <c r="AP36" s="95" t="str">
        <f>IFERROR(__xludf.DUMMYFUNCTION("""COMPUTED_VALUE"""),"B Saya suka bertahan menghadapi satu masalah meskipun belum tentu berhasil.")</f>
        <v>B Saya suka bertahan menghadapi satu masalah meskipun belum tentu berhasil.</v>
      </c>
      <c r="AQ36" s="95" t="str">
        <f>IFERROR(__xludf.DUMMYFUNCTION("""COMPUTED_VALUE"""),"B Bila saya harus melakukan suatu tugas, saya ingin mengerjakan sampai selesai.")</f>
        <v>B Bila saya harus melakukan suatu tugas, saya ingin mengerjakan sampai selesai.</v>
      </c>
      <c r="AR36" s="95" t="str">
        <f>IFERROR(__xludf.DUMMYFUNCTION("""COMPUTED_VALUE"""),"B Saya suka belajar keras pada tiap pelajaran yang saya hadapi.")</f>
        <v>B Saya suka belajar keras pada tiap pelajaran yang saya hadapi.</v>
      </c>
      <c r="AS36" s="95" t="str">
        <f>IFERROR(__xludf.DUMMYFUNCTION("""COMPUTED_VALUE"""),"A Saya ingin dapat menyelesaikan persoalan yang dianggap sukar bagi orang lain.")</f>
        <v>A Saya ingin dapat menyelesaikan persoalan yang dianggap sukar bagi orang lain.</v>
      </c>
      <c r="AT36" s="95" t="str">
        <f>IFERROR(__xludf.DUMMYFUNCTION("""COMPUTED_VALUE"""),"A Saya ingin bisa melakukan dengan baik sesuatu pekerjaan sulit.")</f>
        <v>A Saya ingin bisa melakukan dengan baik sesuatu pekerjaan sulit.</v>
      </c>
      <c r="AU36" s="95" t="str">
        <f>IFERROR(__xludf.DUMMYFUNCTION("""COMPUTED_VALUE"""),"B Saya suka bermurah hati terhadap teman-teman saya.")</f>
        <v>B Saya suka bermurah hati terhadap teman-teman saya.</v>
      </c>
      <c r="AV36" s="95" t="str">
        <f>IFERROR(__xludf.DUMMYFUNCTION("""COMPUTED_VALUE"""),"B Saya suka menolong teman-teman saya.")</f>
        <v>B Saya suka menolong teman-teman saya.</v>
      </c>
      <c r="AW36" s="95" t="str">
        <f>IFERROR(__xludf.DUMMYFUNCTION("""COMPUTED_VALUE"""),"B Saya ingin teman-teman saya percaya bahwa saya bisa menolong mereka.")</f>
        <v>B Saya ingin teman-teman saya percaya bahwa saya bisa menolong mereka.</v>
      </c>
      <c r="AX36" s="95" t="str">
        <f>IFERROR(__xludf.DUMMYFUNCTION("""COMPUTED_VALUE"""),"B Saya suka memaafkan teman-teman saya yang menyakiti hati saya.")</f>
        <v>B Saya suka memaafkan teman-teman saya yang menyakiti hati saya.</v>
      </c>
      <c r="AY36" s="95" t="str">
        <f>IFERROR(__xludf.DUMMYFUNCTION("""COMPUTED_VALUE"""),"B Saya suka menolong teman-teman saya apabila mereka dalam kesulitan.")</f>
        <v>B Saya suka menolong teman-teman saya apabila mereka dalam kesulitan.</v>
      </c>
      <c r="AZ36" s="95" t="str">
        <f>IFERROR(__xludf.DUMMYFUNCTION("""COMPUTED_VALUE"""),"B Saya suka menunjukkan simpati saya kepada teman-teman saya.")</f>
        <v>B Saya suka menunjukkan simpati saya kepada teman-teman saya.</v>
      </c>
      <c r="BA36" s="95" t="str">
        <f>IFERROR(__xludf.DUMMYFUNCTION("""COMPUTED_VALUE"""),"B Saya suka memperlakukan orang lain dengan baik dan ramah.")</f>
        <v>B Saya suka memperlakukan orang lain dengan baik dan ramah.</v>
      </c>
      <c r="BB36" s="95" t="str">
        <f>IFERROR(__xludf.DUMMYFUNCTION("""COMPUTED_VALUE"""),"A Saya berkeinginan untuk bersama orang yang menarik bagi saya.")</f>
        <v>A Saya berkeinginan untuk bersama orang yang menarik bagi saya.</v>
      </c>
      <c r="BC36" s="95" t="str">
        <f>IFERROR(__xludf.DUMMYFUNCTION("""COMPUTED_VALUE"""),"B Saya suka membantu orang lain yang menurut saya perlu dikasihani.")</f>
        <v>B Saya suka membantu orang lain yang menurut saya perlu dikasihani.</v>
      </c>
      <c r="BD36" s="95" t="str">
        <f>IFERROR(__xludf.DUMMYFUNCTION("""COMPUTED_VALUE"""),"B Saya suka bersikukuh dengan pendirian saya.")</f>
        <v>B Saya suka bersikukuh dengan pendirian saya.</v>
      </c>
      <c r="BE36" s="95" t="str">
        <f>IFERROR(__xludf.DUMMYFUNCTION("""COMPUTED_VALUE"""),"B Saya ingin orang lain melakukan apa yang saya kehendaki.")</f>
        <v>B Saya ingin orang lain melakukan apa yang saya kehendaki.</v>
      </c>
      <c r="BF36" s="95" t="str">
        <f>IFERROR(__xludf.DUMMYFUNCTION("""COMPUTED_VALUE"""),"A Saya ingin orang lain memperhatikan dan berkomentar tentang penampilan saya.")</f>
        <v>A Saya ingin orang lain memperhatikan dan berkomentar tentang penampilan saya.</v>
      </c>
      <c r="BG36" s="95" t="str">
        <f>IFERROR(__xludf.DUMMYFUNCTION("""COMPUTED_VALUE"""),"A Saya ingin teman-teman banyak menunjukkan rasa sayang mereka terhadap saya.")</f>
        <v>A Saya ingin teman-teman banyak menunjukkan rasa sayang mereka terhadap saya.</v>
      </c>
      <c r="BH36" s="95" t="str">
        <f>IFERROR(__xludf.DUMMYFUNCTION("""COMPUTED_VALUE"""),"B Apabila saya berkumpul dalam kelompok, saya ingin dihargai teman-teman.")</f>
        <v>B Apabila saya berkumpul dalam kelompok, saya ingin dihargai teman-teman.</v>
      </c>
      <c r="BI36" s="95" t="str">
        <f>IFERROR(__xludf.DUMMYFUNCTION("""COMPUTED_VALUE"""),"A Saya suka bermurah hati terhadap teman-teman saya.")</f>
        <v>A Saya suka bermurah hati terhadap teman-teman saya.</v>
      </c>
      <c r="BJ36" s="95" t="str">
        <f>IFERROR(__xludf.DUMMYFUNCTION("""COMPUTED_VALUE"""),"A Saya ingin mengerjakan tugas sampai selesai.")</f>
        <v>A Saya ingin mengerjakan tugas sampai selesai.</v>
      </c>
      <c r="BK36" s="95" t="str">
        <f>IFERROR(__xludf.DUMMYFUNCTION("""COMPUTED_VALUE"""),"A Saya ingin menyelesaikan pekerjaan satu persatu sebelum memulai yang lain.")</f>
        <v>A Saya ingin menyelesaikan pekerjaan satu persatu sebelum memulai yang lain.</v>
      </c>
      <c r="BL36" s="95" t="str">
        <f>IFERROR(__xludf.DUMMYFUNCTION("""COMPUTED_VALUE"""),"A Saya suka belajar saya teratur dan ada waktu-waktu tertentu untuk belajar.")</f>
        <v>A Saya suka belajar saya teratur dan ada waktu-waktu tertentu untuk belajar.</v>
      </c>
      <c r="BM36" s="95" t="str">
        <f>IFERROR(__xludf.DUMMYFUNCTION("""COMPUTED_VALUE"""),"A Saya suka melakukan pekerjaan sebaik mungkin.")</f>
        <v>A Saya suka melakukan pekerjaan sebaik mungkin.</v>
      </c>
      <c r="BN36" s="95" t="str">
        <f>IFERROR(__xludf.DUMMYFUNCTION("""COMPUTED_VALUE"""),"A Saya suka mengerjakan teka-teki atau memecahkan persoalan sampai selesai.")</f>
        <v>A Saya suka mengerjakan teka-teki atau memecahkan persoalan sampai selesai.</v>
      </c>
      <c r="BO36" s="95" t="str">
        <f>IFERROR(__xludf.DUMMYFUNCTION("""COMPUTED_VALUE"""),"A Saya suka membuat perencanaan sebelum memulai belajar yang sulit.")</f>
        <v>A Saya suka membuat perencanaan sebelum memulai belajar yang sulit.</v>
      </c>
      <c r="BP36" s="95" t="str">
        <f>IFERROR(__xludf.DUMMYFUNCTION("""COMPUTED_VALUE"""),"A Saya ingin menyelesaikan sesuatu yang sangat penting artinya.")</f>
        <v>A Saya ingin menyelesaikan sesuatu yang sangat penting artinya.</v>
      </c>
      <c r="BQ36" s="95" t="str">
        <f>IFERROR(__xludf.DUMMYFUNCTION("""COMPUTED_VALUE"""),"A Saya ingin mengerjakannya tugas sampai selesai.")</f>
        <v>A Saya ingin mengerjakannya tugas sampai selesai.</v>
      </c>
      <c r="BR36" s="95" t="str">
        <f>IFERROR(__xludf.DUMMYFUNCTION("""COMPUTED_VALUE"""),"A Saya suka memaafkan teman-teman saya yang menyakiti hati saya.")</f>
        <v>A Saya suka memaafkan teman-teman saya yang menyakiti hati saya.</v>
      </c>
      <c r="BS36" s="95" t="str">
        <f>IFERROR(__xludf.DUMMYFUNCTION("""COMPUTED_VALUE"""),"B Saya ingin teman-teman saya membantu saya bila saya mengalami kesulitan")</f>
        <v>B Saya ingin teman-teman saya membantu saya bila saya mengalami kesulitan</v>
      </c>
      <c r="BT36" s="95" t="str">
        <f>IFERROR(__xludf.DUMMYFUNCTION("""COMPUTED_VALUE"""),"A Saya ingin teman-teman saya merasa kasihan pada saya apabila saya sakit.")</f>
        <v>A Saya ingin teman-teman saya merasa kasihan pada saya apabila saya sakit.</v>
      </c>
      <c r="BU36" s="95" t="str">
        <f>IFERROR(__xludf.DUMMYFUNCTION("""COMPUTED_VALUE"""),"A Saya kadang-kadang suka melakukan hal-hal yang dapat dipuji oleh orang lain.")</f>
        <v>A Saya kadang-kadang suka melakukan hal-hal yang dapat dipuji oleh orang lain.</v>
      </c>
      <c r="BV36" s="95" t="str">
        <f>IFERROR(__xludf.DUMMYFUNCTION("""COMPUTED_VALUE"""),"B Saya ingin teman-teman dengan gembira memberikan pertolongan kepada saya.")</f>
        <v>B Saya ingin teman-teman dengan gembira memberikan pertolongan kepada saya.</v>
      </c>
      <c r="BW36" s="95" t="str">
        <f>IFERROR(__xludf.DUMMYFUNCTION("""COMPUTED_VALUE"""),"B Saya ingin diperlakukan dengan baik oleh teman-teman saya.")</f>
        <v>B Saya ingin diperlakukan dengan baik oleh teman-teman saya.</v>
      </c>
      <c r="BX36" s="95" t="str">
        <f>IFERROR(__xludf.DUMMYFUNCTION("""COMPUTED_VALUE"""),"B Saya kadang-kadang suka melakukan hal-hal yang dapat dipuji oleh orang lain.")</f>
        <v>B Saya kadang-kadang suka melakukan hal-hal yang dapat dipuji oleh orang lain.</v>
      </c>
      <c r="BY36" s="95" t="str">
        <f>IFERROR(__xludf.DUMMYFUNCTION("""COMPUTED_VALUE"""),"A Saya suka melamun atau membayangkan hal-hal yang tidak jelas.")</f>
        <v>A Saya suka melamun atau membayangkan hal-hal yang tidak jelas.</v>
      </c>
      <c r="BZ36" s="95" t="str">
        <f>IFERROR(__xludf.DUMMYFUNCTION("""COMPUTED_VALUE"""),"A Saya suka berkata yang artinya sulit dipahami oleh orang lain.")</f>
        <v>A Saya suka berkata yang artinya sulit dipahami oleh orang lain.</v>
      </c>
      <c r="CA36" s="95" t="str">
        <f>IFERROR(__xludf.DUMMYFUNCTION("""COMPUTED_VALUE"""),"A Saya ingin teman-teman dengan gembira memberikan pertolongan kepada saya.")</f>
        <v>A Saya ingin teman-teman dengan gembira memberikan pertolongan kepada saya.</v>
      </c>
      <c r="CB36" s="95" t="str">
        <f>IFERROR(__xludf.DUMMYFUNCTION("""COMPUTED_VALUE"""),"B Saya suka berbicara tentang hal-hal yang telah saya capai.")</f>
        <v>B Saya suka berbicara tentang hal-hal yang telah saya capai.</v>
      </c>
      <c r="CC36" s="95" t="str">
        <f>IFERROR(__xludf.DUMMYFUNCTION("""COMPUTED_VALUE"""),"B Saya suka menceritakan hal-hal lucu agar diperhatikan oleh orang lain.")</f>
        <v>B Saya suka menceritakan hal-hal lucu agar diperhatikan oleh orang lain.</v>
      </c>
      <c r="CD36" s="95" t="str">
        <f>IFERROR(__xludf.DUMMYFUNCTION("""COMPUTED_VALUE"""),"A Saya suka menyelesaikan setiap tugas meskipun membutuhkan waktu lama.")</f>
        <v>A Saya suka menyelesaikan setiap tugas meskipun membutuhkan waktu lama.</v>
      </c>
      <c r="CE36" s="95" t="str">
        <f>IFERROR(__xludf.DUMMYFUNCTION("""COMPUTED_VALUE"""),"A Saya suka menyelesaikan setiap tugas belajar yang telah saya mulai.")</f>
        <v>A Saya suka menyelesaikan setiap tugas belajar yang telah saya mulai.</v>
      </c>
      <c r="CF36" s="95" t="str">
        <f>IFERROR(__xludf.DUMMYFUNCTION("""COMPUTED_VALUE"""),"A Saya ingin agar hidup saya teratur sesuai cita-cita saya.")</f>
        <v>A Saya ingin agar hidup saya teratur sesuai cita-cita saya.</v>
      </c>
      <c r="CG36" s="95" t="str">
        <f>IFERROR(__xludf.DUMMYFUNCTION("""COMPUTED_VALUE"""),"A Saya ingin berhasil dalam apa yang saya lakukan.")</f>
        <v>A Saya ingin berhasil dalam apa yang saya lakukan.</v>
      </c>
      <c r="CH36" s="95" t="str">
        <f>IFERROR(__xludf.DUMMYFUNCTION("""COMPUTED_VALUE"""),"B Saya suka dengan orang yang berpenampilan menarik.")</f>
        <v>B Saya suka dengan orang yang berpenampilan menarik.</v>
      </c>
      <c r="CI36" s="95" t="str">
        <f>IFERROR(__xludf.DUMMYFUNCTION("""COMPUTED_VALUE"""),"B Saya ingin dianggap menarik oleh orang lain.")</f>
        <v>B Saya ingin dianggap menarik oleh orang lain.</v>
      </c>
      <c r="CJ36" s="95" t="str">
        <f>IFERROR(__xludf.DUMMYFUNCTION("""COMPUTED_VALUE"""),"A Saya ingin tidak tergantung dari orang lain terhadap apa yang akan saya lakukan.")</f>
        <v>A Saya ingin tidak tergantung dari orang lain terhadap apa yang akan saya lakukan.</v>
      </c>
      <c r="CK36" s="95" t="str">
        <f>IFERROR(__xludf.DUMMYFUNCTION("""COMPUTED_VALUE"""),"A Saya suka bertahan menghadapi satu masalah, meskipun belum tentu berhasil.")</f>
        <v>A Saya suka bertahan menghadapi satu masalah, meskipun belum tentu berhasil.</v>
      </c>
      <c r="CL36" s="95" t="str">
        <f>IFERROR(__xludf.DUMMYFUNCTION("""COMPUTED_VALUE"""),"A Saya suka menolong teman-teman saya, apabila mereka dalam kesulitan.")</f>
        <v>A Saya suka menolong teman-teman saya, apabila mereka dalam kesulitan.</v>
      </c>
      <c r="CM36" s="95" t="str">
        <f>IFERROR(__xludf.DUMMYFUNCTION("""COMPUTED_VALUE"""),"A Saya ingin ditunjuk atau dipilih sebagai ketua dalam suatu kelompok.")</f>
        <v>A Saya ingin ditunjuk atau dipilih sebagai ketua dalam suatu kelompok.</v>
      </c>
      <c r="CN36" s="95" t="str">
        <f>IFERROR(__xludf.DUMMYFUNCTION("""COMPUTED_VALUE"""),"A Saya ingin diperlakukan dengan baik oleh teman-teman saya.")</f>
        <v>A Saya ingin diperlakukan dengan baik oleh teman-teman saya.</v>
      </c>
      <c r="CO36" s="95" t="str">
        <f>IFERROR(__xludf.DUMMYFUNCTION("""COMPUTED_VALUE"""),"B Saya suka memuji orang yang saya kagumi.")</f>
        <v>B Saya suka memuji orang yang saya kagumi.</v>
      </c>
      <c r="CP36" s="95" t="str">
        <f>IFERROR(__xludf.DUMMYFUNCTION("""COMPUTED_VALUE"""),"A Saya suka melamun atau membayangkan sesuatu sendirian.")</f>
        <v>A Saya suka melamun atau membayangkan sesuatu sendirian.</v>
      </c>
      <c r="CQ36" s="95" t="str">
        <f>IFERROR(__xludf.DUMMYFUNCTION("""COMPUTED_VALUE"""),"B Saya merasa kagum pada seseorang.")</f>
        <v>B Saya merasa kagum pada seseorang.</v>
      </c>
      <c r="CR36" s="95" t="str">
        <f>IFERROR(__xludf.DUMMYFUNCTION("""COMPUTED_VALUE"""),"B Saya rasanya ingin mengecam seseorang bila orang itu menjengkelkan.")</f>
        <v>B Saya rasanya ingin mengecam seseorang bila orang itu menjengkelkan.</v>
      </c>
      <c r="CS36" s="95" t="str">
        <f>IFERROR(__xludf.DUMMYFUNCTION("""COMPUTED_VALUE"""),"A Saya ingin terlihat menarik di depan teman-teman saya.")</f>
        <v>A Saya ingin terlihat menarik di depan teman-teman saya.</v>
      </c>
      <c r="CT36" s="95" t="str">
        <f>IFERROR(__xludf.DUMMYFUNCTION("""COMPUTED_VALUE"""),"A Saya ingin orang-orang memperhatikan komentar mengenai penampilan saya.")</f>
        <v>A Saya ingin orang-orang memperhatikan komentar mengenai penampilan saya.</v>
      </c>
      <c r="CU36" s="95" t="str">
        <f>IFERROR(__xludf.DUMMYFUNCTION("""COMPUTED_VALUE"""),"A Saya ingin diperlakukan dengan ramah oleh teman-teman saya.")</f>
        <v>A Saya ingin diperlakukan dengan ramah oleh teman-teman saya.</v>
      </c>
      <c r="CV36" s="95" t="str">
        <f>IFERROR(__xludf.DUMMYFUNCTION("""COMPUTED_VALUE"""),"A Saya ingin ditunjuk atau dipilih sebagai ketua dalam suatu kelompok.")</f>
        <v>A Saya ingin ditunjuk atau dipilih sebagai ketua dalam suatu kelompok.</v>
      </c>
      <c r="CW36" s="95" t="str">
        <f>IFERROR(__xludf.DUMMYFUNCTION("""COMPUTED_VALUE"""),"A Saya suka menolong teman-teman saya, apabila mereka dalam kesulitan.")</f>
        <v>A Saya suka menolong teman-teman saya, apabila mereka dalam kesulitan.</v>
      </c>
      <c r="CX36" s="95" t="str">
        <f>IFERROR(__xludf.DUMMYFUNCTION("""COMPUTED_VALUE"""),"A Saya suka belajar sampai malam untuk menyelesaikan suatu tugas.")</f>
        <v>A Saya suka belajar sampai malam untuk menyelesaikan suatu tugas.</v>
      </c>
      <c r="CY36" s="95" t="str">
        <f>IFERROR(__xludf.DUMMYFUNCTION("""COMPUTED_VALUE"""),"B Saya rasanya ingin membalas dendam bila seseorang menghina saya.")</f>
        <v>B Saya rasanya ingin membalas dendam bila seseorang menghina saya.</v>
      </c>
      <c r="CZ36" s="95" t="str">
        <f>IFERROR(__xludf.DUMMYFUNCTION("""COMPUTED_VALUE"""),"A Saya suka merencanakan dan mengatur setiap pekerjaan yang harus saya lakukan.")</f>
        <v>A Saya suka merencanakan dan mengatur setiap pekerjaan yang harus saya lakukan.</v>
      </c>
      <c r="DA36" s="95" t="str">
        <f>IFERROR(__xludf.DUMMYFUNCTION("""COMPUTED_VALUE"""),"A Saya ingin melakukan apa saja sebaik mungkin.")</f>
        <v>A Saya ingin melakukan apa saja sebaik mungkin.</v>
      </c>
      <c r="DB36" s="89" t="s">
        <v>23</v>
      </c>
      <c r="DC36" s="97" t="str">
        <f t="shared" ref="DC36:GX36" si="81">LEFT(F36,1)</f>
        <v>B</v>
      </c>
      <c r="DD36" s="97" t="str">
        <f t="shared" si="81"/>
        <v>B</v>
      </c>
      <c r="DE36" s="97" t="str">
        <f t="shared" si="81"/>
        <v>B</v>
      </c>
      <c r="DF36" s="97" t="str">
        <f t="shared" si="81"/>
        <v>B</v>
      </c>
      <c r="DG36" s="97" t="str">
        <f t="shared" si="81"/>
        <v>A</v>
      </c>
      <c r="DH36" s="97" t="str">
        <f t="shared" si="81"/>
        <v>B</v>
      </c>
      <c r="DI36" s="97" t="str">
        <f t="shared" si="81"/>
        <v>B</v>
      </c>
      <c r="DJ36" s="97" t="str">
        <f t="shared" si="81"/>
        <v>A</v>
      </c>
      <c r="DK36" s="97" t="str">
        <f t="shared" si="81"/>
        <v>A</v>
      </c>
      <c r="DL36" s="97" t="str">
        <f t="shared" si="81"/>
        <v>B</v>
      </c>
      <c r="DM36" s="97" t="str">
        <f t="shared" si="81"/>
        <v>A</v>
      </c>
      <c r="DN36" s="97" t="str">
        <f t="shared" si="81"/>
        <v>A</v>
      </c>
      <c r="DO36" s="97" t="str">
        <f t="shared" si="81"/>
        <v>A</v>
      </c>
      <c r="DP36" s="97" t="str">
        <f t="shared" si="81"/>
        <v>A</v>
      </c>
      <c r="DQ36" s="97" t="str">
        <f t="shared" si="81"/>
        <v>B</v>
      </c>
      <c r="DR36" s="97" t="str">
        <f t="shared" si="81"/>
        <v>A</v>
      </c>
      <c r="DS36" s="97" t="str">
        <f t="shared" si="81"/>
        <v>B</v>
      </c>
      <c r="DT36" s="97" t="str">
        <f t="shared" si="81"/>
        <v>A</v>
      </c>
      <c r="DU36" s="97" t="str">
        <f t="shared" si="81"/>
        <v>B</v>
      </c>
      <c r="DV36" s="97" t="str">
        <f t="shared" si="81"/>
        <v>A</v>
      </c>
      <c r="DW36" s="97" t="str">
        <f t="shared" si="81"/>
        <v>A</v>
      </c>
      <c r="DX36" s="97" t="str">
        <f t="shared" si="81"/>
        <v>B</v>
      </c>
      <c r="DY36" s="97" t="str">
        <f t="shared" si="81"/>
        <v>A</v>
      </c>
      <c r="DZ36" s="97" t="str">
        <f t="shared" si="81"/>
        <v>A</v>
      </c>
      <c r="EA36" s="97" t="str">
        <f t="shared" si="81"/>
        <v>A</v>
      </c>
      <c r="EB36" s="97" t="str">
        <f t="shared" si="81"/>
        <v>A</v>
      </c>
      <c r="EC36" s="97" t="str">
        <f t="shared" si="81"/>
        <v>B</v>
      </c>
      <c r="ED36" s="97" t="str">
        <f t="shared" si="81"/>
        <v>A</v>
      </c>
      <c r="EE36" s="97" t="str">
        <f t="shared" si="81"/>
        <v>B</v>
      </c>
      <c r="EF36" s="97" t="str">
        <f t="shared" si="81"/>
        <v>B</v>
      </c>
      <c r="EG36" s="97" t="str">
        <f t="shared" si="81"/>
        <v>B</v>
      </c>
      <c r="EH36" s="97" t="str">
        <f t="shared" si="81"/>
        <v>B</v>
      </c>
      <c r="EI36" s="97" t="str">
        <f t="shared" si="81"/>
        <v>B</v>
      </c>
      <c r="EJ36" s="97" t="str">
        <f t="shared" si="81"/>
        <v>A</v>
      </c>
      <c r="EK36" s="97" t="str">
        <f t="shared" si="81"/>
        <v>A</v>
      </c>
      <c r="EL36" s="97" t="str">
        <f t="shared" si="81"/>
        <v>A</v>
      </c>
      <c r="EM36" s="97" t="str">
        <f t="shared" si="81"/>
        <v>B</v>
      </c>
      <c r="EN36" s="97" t="str">
        <f t="shared" si="81"/>
        <v>B</v>
      </c>
      <c r="EO36" s="97" t="str">
        <f t="shared" si="81"/>
        <v>B</v>
      </c>
      <c r="EP36" s="97" t="str">
        <f t="shared" si="81"/>
        <v>A</v>
      </c>
      <c r="EQ36" s="97" t="str">
        <f t="shared" si="81"/>
        <v>A</v>
      </c>
      <c r="ER36" s="97" t="str">
        <f t="shared" si="81"/>
        <v>B</v>
      </c>
      <c r="ES36" s="97" t="str">
        <f t="shared" si="81"/>
        <v>B</v>
      </c>
      <c r="ET36" s="97" t="str">
        <f t="shared" si="81"/>
        <v>B</v>
      </c>
      <c r="EU36" s="97" t="str">
        <f t="shared" si="81"/>
        <v>B</v>
      </c>
      <c r="EV36" s="97" t="str">
        <f t="shared" si="81"/>
        <v>B</v>
      </c>
      <c r="EW36" s="97" t="str">
        <f t="shared" si="81"/>
        <v>B</v>
      </c>
      <c r="EX36" s="97" t="str">
        <f t="shared" si="81"/>
        <v>B</v>
      </c>
      <c r="EY36" s="97" t="str">
        <f t="shared" si="81"/>
        <v>A</v>
      </c>
      <c r="EZ36" s="97" t="str">
        <f t="shared" si="81"/>
        <v>B</v>
      </c>
      <c r="FA36" s="97" t="str">
        <f t="shared" si="81"/>
        <v>B</v>
      </c>
      <c r="FB36" s="97" t="str">
        <f t="shared" si="81"/>
        <v>B</v>
      </c>
      <c r="FC36" s="97" t="str">
        <f t="shared" si="81"/>
        <v>A</v>
      </c>
      <c r="FD36" s="97" t="str">
        <f t="shared" si="81"/>
        <v>A</v>
      </c>
      <c r="FE36" s="97" t="str">
        <f t="shared" si="81"/>
        <v>B</v>
      </c>
      <c r="FF36" s="97" t="str">
        <f t="shared" si="81"/>
        <v>A</v>
      </c>
      <c r="FG36" s="97" t="str">
        <f t="shared" si="81"/>
        <v>A</v>
      </c>
      <c r="FH36" s="97" t="str">
        <f t="shared" si="81"/>
        <v>A</v>
      </c>
      <c r="FI36" s="97" t="str">
        <f t="shared" si="81"/>
        <v>A</v>
      </c>
      <c r="FJ36" s="97" t="str">
        <f t="shared" si="81"/>
        <v>A</v>
      </c>
      <c r="FK36" s="97" t="str">
        <f t="shared" si="81"/>
        <v>A</v>
      </c>
      <c r="FL36" s="97" t="str">
        <f t="shared" si="81"/>
        <v>A</v>
      </c>
      <c r="FM36" s="97" t="str">
        <f t="shared" si="81"/>
        <v>A</v>
      </c>
      <c r="FN36" s="97" t="str">
        <f t="shared" si="81"/>
        <v>A</v>
      </c>
      <c r="FO36" s="97" t="str">
        <f t="shared" si="81"/>
        <v>A</v>
      </c>
      <c r="FP36" s="97" t="str">
        <f t="shared" si="81"/>
        <v>B</v>
      </c>
      <c r="FQ36" s="97" t="str">
        <f t="shared" si="81"/>
        <v>A</v>
      </c>
      <c r="FR36" s="97" t="str">
        <f t="shared" si="81"/>
        <v>A</v>
      </c>
      <c r="FS36" s="97" t="str">
        <f t="shared" si="81"/>
        <v>B</v>
      </c>
      <c r="FT36" s="97" t="str">
        <f t="shared" si="81"/>
        <v>B</v>
      </c>
      <c r="FU36" s="97" t="str">
        <f t="shared" si="81"/>
        <v>B</v>
      </c>
      <c r="FV36" s="97" t="str">
        <f t="shared" si="81"/>
        <v>A</v>
      </c>
      <c r="FW36" s="97" t="str">
        <f t="shared" si="81"/>
        <v>A</v>
      </c>
      <c r="FX36" s="97" t="str">
        <f t="shared" si="81"/>
        <v>A</v>
      </c>
      <c r="FY36" s="97" t="str">
        <f t="shared" si="81"/>
        <v>B</v>
      </c>
      <c r="FZ36" s="97" t="str">
        <f t="shared" si="81"/>
        <v>B</v>
      </c>
      <c r="GA36" s="97" t="str">
        <f t="shared" si="81"/>
        <v>A</v>
      </c>
      <c r="GB36" s="97" t="str">
        <f t="shared" si="81"/>
        <v>A</v>
      </c>
      <c r="GC36" s="97" t="str">
        <f t="shared" si="81"/>
        <v>A</v>
      </c>
      <c r="GD36" s="97" t="str">
        <f t="shared" si="81"/>
        <v>A</v>
      </c>
      <c r="GE36" s="97" t="str">
        <f t="shared" si="81"/>
        <v>B</v>
      </c>
      <c r="GF36" s="97" t="str">
        <f t="shared" si="81"/>
        <v>B</v>
      </c>
      <c r="GG36" s="97" t="str">
        <f t="shared" si="81"/>
        <v>A</v>
      </c>
      <c r="GH36" s="97" t="str">
        <f t="shared" si="81"/>
        <v>A</v>
      </c>
      <c r="GI36" s="97" t="str">
        <f t="shared" si="81"/>
        <v>A</v>
      </c>
      <c r="GJ36" s="97" t="str">
        <f t="shared" si="81"/>
        <v>A</v>
      </c>
      <c r="GK36" s="97" t="str">
        <f t="shared" si="81"/>
        <v>A</v>
      </c>
      <c r="GL36" s="97" t="str">
        <f t="shared" si="81"/>
        <v>B</v>
      </c>
      <c r="GM36" s="97" t="str">
        <f t="shared" si="81"/>
        <v>A</v>
      </c>
      <c r="GN36" s="97" t="str">
        <f t="shared" si="81"/>
        <v>B</v>
      </c>
      <c r="GO36" s="97" t="str">
        <f t="shared" si="81"/>
        <v>B</v>
      </c>
      <c r="GP36" s="97" t="str">
        <f t="shared" si="81"/>
        <v>A</v>
      </c>
      <c r="GQ36" s="97" t="str">
        <f t="shared" si="81"/>
        <v>A</v>
      </c>
      <c r="GR36" s="97" t="str">
        <f t="shared" si="81"/>
        <v>A</v>
      </c>
      <c r="GS36" s="97" t="str">
        <f t="shared" si="81"/>
        <v>A</v>
      </c>
      <c r="GT36" s="97" t="str">
        <f t="shared" si="81"/>
        <v>A</v>
      </c>
      <c r="GU36" s="97" t="str">
        <f t="shared" si="81"/>
        <v>A</v>
      </c>
      <c r="GV36" s="97" t="str">
        <f t="shared" si="81"/>
        <v>B</v>
      </c>
      <c r="GW36" s="97" t="str">
        <f t="shared" si="81"/>
        <v>A</v>
      </c>
      <c r="GX36" s="97" t="str">
        <f t="shared" si="81"/>
        <v>A</v>
      </c>
      <c r="GY36" s="98"/>
      <c r="GZ36" s="97">
        <f t="shared" si="3"/>
        <v>57</v>
      </c>
      <c r="HA36" s="97">
        <f t="shared" si="4"/>
        <v>43</v>
      </c>
      <c r="HB36" s="90">
        <f t="shared" si="5"/>
        <v>100</v>
      </c>
      <c r="HC36" s="99"/>
      <c r="HD36" s="97">
        <f t="shared" si="6"/>
        <v>8</v>
      </c>
      <c r="HE36" s="97">
        <f t="shared" si="7"/>
        <v>6</v>
      </c>
      <c r="HF36" s="90">
        <f t="shared" si="8"/>
        <v>14</v>
      </c>
      <c r="HG36" s="99"/>
      <c r="HH36" s="97">
        <f t="shared" si="9"/>
        <v>4</v>
      </c>
      <c r="HI36" s="97">
        <f t="shared" si="10"/>
        <v>3</v>
      </c>
      <c r="HJ36" s="90">
        <f t="shared" si="11"/>
        <v>7</v>
      </c>
      <c r="HK36" s="99"/>
      <c r="HL36" s="97">
        <f t="shared" si="12"/>
        <v>5</v>
      </c>
      <c r="HM36" s="97">
        <f t="shared" si="13"/>
        <v>4</v>
      </c>
      <c r="HN36" s="90">
        <f t="shared" si="14"/>
        <v>9</v>
      </c>
      <c r="HO36" s="99"/>
      <c r="HP36" s="97">
        <f t="shared" si="15"/>
        <v>6</v>
      </c>
      <c r="HQ36" s="97">
        <f t="shared" si="16"/>
        <v>6</v>
      </c>
      <c r="HR36" s="90">
        <f t="shared" si="17"/>
        <v>12</v>
      </c>
      <c r="HS36" s="99"/>
      <c r="HT36" s="97">
        <f t="shared" si="18"/>
        <v>8</v>
      </c>
      <c r="HU36" s="97">
        <f t="shared" si="19"/>
        <v>8</v>
      </c>
      <c r="HV36" s="90">
        <f t="shared" si="20"/>
        <v>16</v>
      </c>
      <c r="HW36" s="99"/>
      <c r="HX36" s="97">
        <f t="shared" si="21"/>
        <v>4</v>
      </c>
      <c r="HY36" s="97">
        <f t="shared" si="22"/>
        <v>3</v>
      </c>
      <c r="HZ36" s="90">
        <f t="shared" si="23"/>
        <v>7</v>
      </c>
      <c r="IA36" s="99"/>
      <c r="IB36" s="97">
        <f t="shared" si="24"/>
        <v>6</v>
      </c>
      <c r="IC36" s="97">
        <f t="shared" si="25"/>
        <v>3</v>
      </c>
      <c r="ID36" s="90">
        <f t="shared" si="26"/>
        <v>9</v>
      </c>
      <c r="IE36" s="99"/>
      <c r="IF36" s="97">
        <f t="shared" si="27"/>
        <v>6</v>
      </c>
      <c r="IG36" s="97">
        <f t="shared" si="28"/>
        <v>3</v>
      </c>
      <c r="IH36" s="90">
        <f t="shared" si="29"/>
        <v>9</v>
      </c>
      <c r="II36" s="99"/>
      <c r="IJ36" s="97">
        <f t="shared" si="30"/>
        <v>5</v>
      </c>
      <c r="IK36" s="97">
        <f t="shared" si="31"/>
        <v>4</v>
      </c>
      <c r="IL36" s="90">
        <f t="shared" si="32"/>
        <v>9</v>
      </c>
      <c r="IM36" s="99"/>
      <c r="IN36" s="97">
        <f t="shared" si="33"/>
        <v>1</v>
      </c>
      <c r="IO36" s="97">
        <f t="shared" si="34"/>
        <v>2</v>
      </c>
      <c r="IP36" s="90">
        <f t="shared" si="35"/>
        <v>3</v>
      </c>
      <c r="IQ36" s="99"/>
      <c r="IR36" s="99"/>
      <c r="IS36" s="100">
        <f t="shared" si="36"/>
        <v>14</v>
      </c>
      <c r="IT36" s="100">
        <f t="shared" si="37"/>
        <v>7</v>
      </c>
      <c r="IU36" s="100">
        <f t="shared" si="38"/>
        <v>9</v>
      </c>
      <c r="IV36" s="100">
        <f t="shared" si="39"/>
        <v>12</v>
      </c>
      <c r="IW36" s="100">
        <f t="shared" si="40"/>
        <v>16</v>
      </c>
      <c r="IX36" s="100">
        <f t="shared" si="41"/>
        <v>7</v>
      </c>
      <c r="IY36" s="100">
        <f t="shared" si="42"/>
        <v>9</v>
      </c>
      <c r="IZ36" s="100">
        <f t="shared" si="43"/>
        <v>9</v>
      </c>
      <c r="JA36" s="100">
        <f t="shared" si="44"/>
        <v>9</v>
      </c>
      <c r="JB36" s="101">
        <f t="shared" si="45"/>
        <v>3</v>
      </c>
      <c r="JC36" s="102">
        <f t="shared" si="46"/>
        <v>95</v>
      </c>
      <c r="JD36" s="67">
        <f t="shared" si="50"/>
        <v>0</v>
      </c>
      <c r="JE36" s="67">
        <f t="shared" si="47"/>
        <v>0</v>
      </c>
      <c r="JF36" s="67">
        <f t="shared" si="48"/>
        <v>0</v>
      </c>
    </row>
    <row r="37">
      <c r="A37" s="103">
        <f>IFERROR(__xludf.DUMMYFUNCTION("""COMPUTED_VALUE"""),45926.89806226852)</f>
        <v>45926.89806</v>
      </c>
      <c r="B37" s="95" t="str">
        <f>IFERROR(__xludf.DUMMYFUNCTION("""COMPUTED_VALUE"""),"NOUVALLDY FARZANI PRAYOGA")</f>
        <v>NOUVALLDY FARZANI PRAYOGA</v>
      </c>
      <c r="C37" s="96" t="str">
        <f>IFERROR(__xludf.DUMMYFUNCTION("""COMPUTED_VALUE"""),"A250023")</f>
        <v>A250023</v>
      </c>
      <c r="D37" s="96" t="str">
        <f>IFERROR(__xludf.DUMMYFUNCTION("""COMPUTED_VALUE"""),"MTs Putra")</f>
        <v>MTs Putra</v>
      </c>
      <c r="E37" s="96" t="str">
        <f>IFERROR(__xludf.DUMMYFUNCTION("""COMPUTED_VALUE"""),"Ya")</f>
        <v>Ya</v>
      </c>
      <c r="F37" s="95" t="str">
        <f>IFERROR(__xludf.DUMMYFUNCTION("""COMPUTED_VALUE"""),"B Saya ingin melakukan apa saja sebaik mungkin.")</f>
        <v>B Saya ingin melakukan apa saja sebaik mungkin.</v>
      </c>
      <c r="G37" s="95" t="str">
        <f>IFERROR(__xludf.DUMMYFUNCTION("""COMPUTED_VALUE"""),"B Saya ingin menyelesaikan tugas yang segera dikumpulkan.")</f>
        <v>B Saya ingin menyelesaikan tugas yang segera dikumpulkan.</v>
      </c>
      <c r="H37" s="95" t="str">
        <f>IFERROR(__xludf.DUMMYFUNCTION("""COMPUTED_VALUE"""),"B Saya ingin menjadi orang yang diakui dalam suatu pekerjaan atau bidang khusus.")</f>
        <v>B Saya ingin menjadi orang yang diakui dalam suatu pekerjaan atau bidang khusus.</v>
      </c>
      <c r="I37" s="95" t="str">
        <f>IFERROR(__xludf.DUMMYFUNCTION("""COMPUTED_VALUE"""),"B Saya ingin bisa melakukan dengan baik meskipun tugas yang sulit.")</f>
        <v>B Saya ingin bisa melakukan dengan baik meskipun tugas yang sulit.</v>
      </c>
      <c r="J37" s="95" t="str">
        <f>IFERROR(__xludf.DUMMYFUNCTION("""COMPUTED_VALUE"""),"A Saya suka membantu teman-teman saya apabila mereka mengalami kesulitan.")</f>
        <v>A Saya suka membantu teman-teman saya apabila mereka mengalami kesulitan.</v>
      </c>
      <c r="K37" s="95" t="str">
        <f>IFERROR(__xludf.DUMMYFUNCTION("""COMPUTED_VALUE"""),"A Saya ingin menjadi pemimpin dalam suatu kelompok.")</f>
        <v>A Saya ingin menjadi pemimpin dalam suatu kelompok.</v>
      </c>
      <c r="L37" s="95" t="str">
        <f>IFERROR(__xludf.DUMMYFUNCTION("""COMPUTED_VALUE"""),"A Saya ingin menjadi pemimpin dalam suatu kelompok")</f>
        <v>A Saya ingin menjadi pemimpin dalam suatu kelompok</v>
      </c>
      <c r="M37" s="95" t="str">
        <f>IFERROR(__xludf.DUMMYFUNCTION("""COMPUTED_VALUE"""),"A Saya suka berbicara tentang hal-hal yang telah berhasil saya lakukan.")</f>
        <v>A Saya suka berbicara tentang hal-hal yang telah berhasil saya lakukan.</v>
      </c>
      <c r="N37" s="95" t="str">
        <f>IFERROR(__xludf.DUMMYFUNCTION("""COMPUTED_VALUE"""),"B Saya suka memecahkan persoalan yang sukar bagi orang lain.")</f>
        <v>B Saya suka memecahkan persoalan yang sukar bagi orang lain.</v>
      </c>
      <c r="O37" s="95" t="str">
        <f>IFERROR(__xludf.DUMMYFUNCTION("""COMPUTED_VALUE"""),"A Saya marah saat ada teman memperolok-olok hal-hal yang saya anggap bodoh.")</f>
        <v>A Saya marah saat ada teman memperolok-olok hal-hal yang saya anggap bodoh.</v>
      </c>
      <c r="P37" s="95" t="str">
        <f>IFERROR(__xludf.DUMMYFUNCTION("""COMPUTED_VALUE"""),"B Saya ingin setiap belajar itu teratur dan direncanakan.")</f>
        <v>B Saya ingin setiap belajar itu teratur dan direncanakan.</v>
      </c>
      <c r="Q37" s="95" t="str">
        <f>IFERROR(__xludf.DUMMYFUNCTION("""COMPUTED_VALUE"""),"B Saya merencanakan keperluan yang dibutuhkan sebelum bepergian.")</f>
        <v>B Saya merencanakan keperluan yang dibutuhkan sebelum bepergian.</v>
      </c>
      <c r="R37" s="95" t="str">
        <f>IFERROR(__xludf.DUMMYFUNCTION("""COMPUTED_VALUE"""),"B Saya suka barang-barang saya tersusun rapi dan teratur.")</f>
        <v>B Saya suka barang-barang saya tersusun rapi dan teratur.</v>
      </c>
      <c r="S37" s="95" t="str">
        <f>IFERROR(__xludf.DUMMYFUNCTION("""COMPUTED_VALUE"""),"B Saya suka membuat perencanaan sebelum memulai tugas yang sulit.")</f>
        <v>B Saya suka membuat perencanaan sebelum memulai tugas yang sulit.</v>
      </c>
      <c r="T37" s="95" t="str">
        <f>IFERROR(__xludf.DUMMYFUNCTION("""COMPUTED_VALUE"""),"B Saya ingin agar hidup saya teratur sesuai cita-cita saya.")</f>
        <v>B Saya ingin agar hidup saya teratur sesuai cita-cita saya.</v>
      </c>
      <c r="U37" s="95" t="str">
        <f>IFERROR(__xludf.DUMMYFUNCTION("""COMPUTED_VALUE"""),"A Saya suka memberikan bantuan kepada teman-teman saya.")</f>
        <v>A Saya suka memberikan bantuan kepada teman-teman saya.</v>
      </c>
      <c r="V37" s="95" t="str">
        <f>IFERROR(__xludf.DUMMYFUNCTION("""COMPUTED_VALUE"""),"B Saya suka belajar saya teratur dan ada waktu-waktu tertentu untuk belajar.")</f>
        <v>B Saya suka belajar saya teratur dan ada waktu-waktu tertentu untuk belajar.</v>
      </c>
      <c r="W37" s="95" t="str">
        <f>IFERROR(__xludf.DUMMYFUNCTION("""COMPUTED_VALUE"""),"B Saya ingin kegiatan itu teratur dan direncanakan.")</f>
        <v>B Saya ingin kegiatan itu teratur dan direncanakan.</v>
      </c>
      <c r="X37" s="95" t="str">
        <f>IFERROR(__xludf.DUMMYFUNCTION("""COMPUTED_VALUE"""),"B Saya ingin agar hidup saya teratur sesuai cita-cita saya.")</f>
        <v>B Saya ingin agar hidup saya teratur sesuai cita-cita saya.</v>
      </c>
      <c r="Y37" s="95" t="str">
        <f>IFERROR(__xludf.DUMMYFUNCTION("""COMPUTED_VALUE"""),"A Saya suka menyelesaikan tugas-tugas yang membutuhkan ketrampilan dan usaha.")</f>
        <v>A Saya suka menyelesaikan tugas-tugas yang membutuhkan ketrampilan dan usaha.</v>
      </c>
      <c r="Z37" s="95" t="str">
        <f>IFERROR(__xludf.DUMMYFUNCTION("""COMPUTED_VALUE"""),"A Saya ingin berhasil dengan belajar yang saya lakukan.")</f>
        <v>A Saya ingin berhasil dengan belajar yang saya lakukan.</v>
      </c>
      <c r="AA37" s="95" t="str">
        <f>IFERROR(__xludf.DUMMYFUNCTION("""COMPUTED_VALUE"""),"B Saya tidak suka pada orang yang berbuat seenaknya sendiri.")</f>
        <v>B Saya tidak suka pada orang yang berbuat seenaknya sendiri.</v>
      </c>
      <c r="AB37" s="95" t="str">
        <f>IFERROR(__xludf.DUMMYFUNCTION("""COMPUTED_VALUE"""),"B Saya ingin menyelesaikan pekerjaan satu persatu sebelum memulai yang lain.")</f>
        <v>B Saya ingin menyelesaikan pekerjaan satu persatu sebelum memulai yang lain.</v>
      </c>
      <c r="AC37" s="95" t="str">
        <f>IFERROR(__xludf.DUMMYFUNCTION("""COMPUTED_VALUE"""),"A Saya suka menyelesaikan setiap tugas meskipun membutuhkan waktu lama.")</f>
        <v>A Saya suka menyelesaikan setiap tugas meskipun membutuhkan waktu lama.</v>
      </c>
      <c r="AD37" s="95" t="str">
        <f>IFERROR(__xludf.DUMMYFUNCTION("""COMPUTED_VALUE"""),"A Saya suka bermurah hati terhadap teman-teman saya.")</f>
        <v>A Saya suka bermurah hati terhadap teman-teman saya.</v>
      </c>
      <c r="AE37" s="95" t="str">
        <f>IFERROR(__xludf.DUMMYFUNCTION("""COMPUTED_VALUE"""),"A Saya ingin dianggap sebagai pemimpin oleh teman di kelompok.")</f>
        <v>A Saya ingin dianggap sebagai pemimpin oleh teman di kelompok.</v>
      </c>
      <c r="AF37" s="95" t="str">
        <f>IFERROR(__xludf.DUMMYFUNCTION("""COMPUTED_VALUE"""),"B Saya suka melakukan hal-hal dengan cara saya sendiri.")</f>
        <v>B Saya suka melakukan hal-hal dengan cara saya sendiri.</v>
      </c>
      <c r="AG37" s="95" t="str">
        <f>IFERROR(__xludf.DUMMYFUNCTION("""COMPUTED_VALUE"""),"B Saya ingin berhasil dengan tugas yang saya lakukan.")</f>
        <v>B Saya ingin berhasil dengan tugas yang saya lakukan.</v>
      </c>
      <c r="AH37" s="95" t="str">
        <f>IFERROR(__xludf.DUMMYFUNCTION("""COMPUTED_VALUE"""),"B Saya ingin merasa bebas untuk melakukan apa yang saya kehendaki.")</f>
        <v>B Saya ingin merasa bebas untuk melakukan apa yang saya kehendaki.</v>
      </c>
      <c r="AI37" s="95" t="str">
        <f>IFERROR(__xludf.DUMMYFUNCTION("""COMPUTED_VALUE"""),"B Saya suka melakukan kegiatan sesuai kondisi yang saya inginkan.")</f>
        <v>B Saya suka melakukan kegiatan sesuai kondisi yang saya inginkan.</v>
      </c>
      <c r="AJ37" s="95" t="str">
        <f>IFERROR(__xludf.DUMMYFUNCTION("""COMPUTED_VALUE"""),"B Saya suka bertahan menghadapi satu masalah meskipun belum tentu berhasil.")</f>
        <v>B Saya suka bertahan menghadapi satu masalah meskipun belum tentu berhasil.</v>
      </c>
      <c r="AK37" s="95" t="str">
        <f>IFERROR(__xludf.DUMMYFUNCTION("""COMPUTED_VALUE"""),"B Bila saya harus melakukan suatu tugas, saya ingin mengerjakan sampai selesai.")</f>
        <v>B Bila saya harus melakukan suatu tugas, saya ingin mengerjakan sampai selesai.</v>
      </c>
      <c r="AL37" s="95" t="str">
        <f>IFERROR(__xludf.DUMMYFUNCTION("""COMPUTED_VALUE"""),"B Saya ingin menghindarkan gangguan bila saya sedang belajar.")</f>
        <v>B Saya ingin menghindarkan gangguan bila saya sedang belajar.</v>
      </c>
      <c r="AM37" s="95" t="str">
        <f>IFERROR(__xludf.DUMMYFUNCTION("""COMPUTED_VALUE"""),"B Saya suka belajar sampai malam untuk menyelesaikan suatu tugas.")</f>
        <v>B Saya suka belajar sampai malam untuk menyelesaikan suatu tugas.</v>
      </c>
      <c r="AN37" s="95" t="str">
        <f>IFERROR(__xludf.DUMMYFUNCTION("""COMPUTED_VALUE"""),"A Saya tidak suka pada orang yang semena-mena.")</f>
        <v>A Saya tidak suka pada orang yang semena-mena.</v>
      </c>
      <c r="AO37" s="95" t="str">
        <f>IFERROR(__xludf.DUMMYFUNCTION("""COMPUTED_VALUE"""),"A Saya suka berlaku sangat ramah terhadap teman-teman saya.")</f>
        <v>A Saya suka berlaku sangat ramah terhadap teman-teman saya.</v>
      </c>
      <c r="AP37" s="95" t="str">
        <f>IFERROR(__xludf.DUMMYFUNCTION("""COMPUTED_VALUE"""),"A Saya ingin mengerjakannya tugas sampai selesai.")</f>
        <v>A Saya ingin mengerjakannya tugas sampai selesai.</v>
      </c>
      <c r="AQ37" s="95" t="str">
        <f>IFERROR(__xludf.DUMMYFUNCTION("""COMPUTED_VALUE"""),"B Bila saya harus melakukan suatu tugas, saya ingin mengerjakan sampai selesai.")</f>
        <v>B Bila saya harus melakukan suatu tugas, saya ingin mengerjakan sampai selesai.</v>
      </c>
      <c r="AR37" s="95" t="str">
        <f>IFERROR(__xludf.DUMMYFUNCTION("""COMPUTED_VALUE"""),"A Saya suka menyimpan catatan secara rapi.")</f>
        <v>A Saya suka menyimpan catatan secara rapi.</v>
      </c>
      <c r="AS37" s="95" t="str">
        <f>IFERROR(__xludf.DUMMYFUNCTION("""COMPUTED_VALUE"""),"A Saya ingin dapat menyelesaikan persoalan yang dianggap sukar bagi orang lain.")</f>
        <v>A Saya ingin dapat menyelesaikan persoalan yang dianggap sukar bagi orang lain.</v>
      </c>
      <c r="AT37" s="95" t="str">
        <f>IFERROR(__xludf.DUMMYFUNCTION("""COMPUTED_VALUE"""),"B Saya suka membantu orang lain yang menurut saya perlu dikasihani.")</f>
        <v>B Saya suka membantu orang lain yang menurut saya perlu dikasihani.</v>
      </c>
      <c r="AU37" s="95" t="str">
        <f>IFERROR(__xludf.DUMMYFUNCTION("""COMPUTED_VALUE"""),"B Saya suka bermurah hati terhadap teman-teman saya.")</f>
        <v>B Saya suka bermurah hati terhadap teman-teman saya.</v>
      </c>
      <c r="AV37" s="95" t="str">
        <f>IFERROR(__xludf.DUMMYFUNCTION("""COMPUTED_VALUE"""),"B Saya suka menolong teman-teman saya.")</f>
        <v>B Saya suka menolong teman-teman saya.</v>
      </c>
      <c r="AW37" s="95" t="str">
        <f>IFERROR(__xludf.DUMMYFUNCTION("""COMPUTED_VALUE"""),"B Saya ingin teman-teman saya percaya bahwa saya bisa menolong mereka.")</f>
        <v>B Saya ingin teman-teman saya percaya bahwa saya bisa menolong mereka.</v>
      </c>
      <c r="AX37" s="95" t="str">
        <f>IFERROR(__xludf.DUMMYFUNCTION("""COMPUTED_VALUE"""),"B Saya suka memaafkan teman-teman saya yang menyakiti hati saya.")</f>
        <v>B Saya suka memaafkan teman-teman saya yang menyakiti hati saya.</v>
      </c>
      <c r="AY37" s="95" t="str">
        <f>IFERROR(__xludf.DUMMYFUNCTION("""COMPUTED_VALUE"""),"B Saya suka menolong teman-teman saya apabila mereka dalam kesulitan.")</f>
        <v>B Saya suka menolong teman-teman saya apabila mereka dalam kesulitan.</v>
      </c>
      <c r="AZ37" s="95" t="str">
        <f>IFERROR(__xludf.DUMMYFUNCTION("""COMPUTED_VALUE"""),"B Saya suka menunjukkan simpati saya kepada teman-teman saya.")</f>
        <v>B Saya suka menunjukkan simpati saya kepada teman-teman saya.</v>
      </c>
      <c r="BA37" s="95" t="str">
        <f>IFERROR(__xludf.DUMMYFUNCTION("""COMPUTED_VALUE"""),"B Saya suka memperlakukan orang lain dengan baik dan ramah.")</f>
        <v>B Saya suka memperlakukan orang lain dengan baik dan ramah.</v>
      </c>
      <c r="BB37" s="95" t="str">
        <f>IFERROR(__xludf.DUMMYFUNCTION("""COMPUTED_VALUE"""),"B Saya suka bermurah hati terhadap teman-teman saya.")</f>
        <v>B Saya suka bermurah hati terhadap teman-teman saya.</v>
      </c>
      <c r="BC37" s="95" t="str">
        <f>IFERROR(__xludf.DUMMYFUNCTION("""COMPUTED_VALUE"""),"B Saya suka membantu orang lain yang menurut saya perlu dikasihani.")</f>
        <v>B Saya suka membantu orang lain yang menurut saya perlu dikasihani.</v>
      </c>
      <c r="BD37" s="95" t="str">
        <f>IFERROR(__xludf.DUMMYFUNCTION("""COMPUTED_VALUE"""),"B Saya suka bersikukuh dengan pendirian saya.")</f>
        <v>B Saya suka bersikukuh dengan pendirian saya.</v>
      </c>
      <c r="BE37" s="95" t="str">
        <f>IFERROR(__xludf.DUMMYFUNCTION("""COMPUTED_VALUE"""),"A Saya suka mendengarkan atau menceritakan hal-hal yang sebaiknya tidak diceritakan.")</f>
        <v>A Saya suka mendengarkan atau menceritakan hal-hal yang sebaiknya tidak diceritakan.</v>
      </c>
      <c r="BF37" s="95" t="str">
        <f>IFERROR(__xludf.DUMMYFUNCTION("""COMPUTED_VALUE"""),"B Bila saya dalam kelompok, saya ingin menentukan apa yang akan kita lakukan.")</f>
        <v>B Bila saya dalam kelompok, saya ingin menentukan apa yang akan kita lakukan.</v>
      </c>
      <c r="BG37" s="95" t="str">
        <f>IFERROR(__xludf.DUMMYFUNCTION("""COMPUTED_VALUE"""),"B Saya suka mengarahkan kepada orang lain apa yang harus dilakukan.")</f>
        <v>B Saya suka mengarahkan kepada orang lain apa yang harus dilakukan.</v>
      </c>
      <c r="BH37" s="95" t="str">
        <f>IFERROR(__xludf.DUMMYFUNCTION("""COMPUTED_VALUE"""),"B Apabila saya berkumpul dalam kelompok, saya ingin dihargai teman-teman.")</f>
        <v>B Apabila saya berkumpul dalam kelompok, saya ingin dihargai teman-teman.</v>
      </c>
      <c r="BI37" s="95" t="str">
        <f>IFERROR(__xludf.DUMMYFUNCTION("""COMPUTED_VALUE"""),"A Saya suka bermurah hati terhadap teman-teman saya.")</f>
        <v>A Saya suka bermurah hati terhadap teman-teman saya.</v>
      </c>
      <c r="BJ37" s="95" t="str">
        <f>IFERROR(__xludf.DUMMYFUNCTION("""COMPUTED_VALUE"""),"A Saya ingin mengerjakan tugas sampai selesai.")</f>
        <v>A Saya ingin mengerjakan tugas sampai selesai.</v>
      </c>
      <c r="BK37" s="95" t="str">
        <f>IFERROR(__xludf.DUMMYFUNCTION("""COMPUTED_VALUE"""),"B Saya senang untuk diminta menyelesaikan pertentangan-pertentangan.")</f>
        <v>B Saya senang untuk diminta menyelesaikan pertentangan-pertentangan.</v>
      </c>
      <c r="BL37" s="95" t="str">
        <f>IFERROR(__xludf.DUMMYFUNCTION("""COMPUTED_VALUE"""),"A Saya suka belajar saya teratur dan ada waktu-waktu tertentu untuk belajar.")</f>
        <v>A Saya suka belajar saya teratur dan ada waktu-waktu tertentu untuk belajar.</v>
      </c>
      <c r="BM37" s="95" t="str">
        <f>IFERROR(__xludf.DUMMYFUNCTION("""COMPUTED_VALUE"""),"A Saya suka melakukan pekerjaan sebaik mungkin.")</f>
        <v>A Saya suka melakukan pekerjaan sebaik mungkin.</v>
      </c>
      <c r="BN37" s="95" t="str">
        <f>IFERROR(__xludf.DUMMYFUNCTION("""COMPUTED_VALUE"""),"A Saya suka mengerjakan teka-teki atau memecahkan persoalan sampai selesai.")</f>
        <v>A Saya suka mengerjakan teka-teki atau memecahkan persoalan sampai selesai.</v>
      </c>
      <c r="BO37" s="95" t="str">
        <f>IFERROR(__xludf.DUMMYFUNCTION("""COMPUTED_VALUE"""),"A Saya suka membuat perencanaan sebelum memulai belajar yang sulit.")</f>
        <v>A Saya suka membuat perencanaan sebelum memulai belajar yang sulit.</v>
      </c>
      <c r="BP37" s="95" t="str">
        <f>IFERROR(__xludf.DUMMYFUNCTION("""COMPUTED_VALUE"""),"A Saya ingin menyelesaikan sesuatu yang sangat penting artinya.")</f>
        <v>A Saya ingin menyelesaikan sesuatu yang sangat penting artinya.</v>
      </c>
      <c r="BQ37" s="95" t="str">
        <f>IFERROR(__xludf.DUMMYFUNCTION("""COMPUTED_VALUE"""),"A Saya ingin mengerjakannya tugas sampai selesai.")</f>
        <v>A Saya ingin mengerjakannya tugas sampai selesai.</v>
      </c>
      <c r="BR37" s="95" t="str">
        <f>IFERROR(__xludf.DUMMYFUNCTION("""COMPUTED_VALUE"""),"A Saya suka memaafkan teman-teman saya yang menyakiti hati saya.")</f>
        <v>A Saya suka memaafkan teman-teman saya yang menyakiti hati saya.</v>
      </c>
      <c r="BS37" s="95" t="str">
        <f>IFERROR(__xludf.DUMMYFUNCTION("""COMPUTED_VALUE"""),"B Saya ingin teman-teman saya membantu saya bila saya mengalami kesulitan")</f>
        <v>B Saya ingin teman-teman saya membantu saya bila saya mengalami kesulitan</v>
      </c>
      <c r="BT37" s="95" t="str">
        <f>IFERROR(__xludf.DUMMYFUNCTION("""COMPUTED_VALUE"""),"B Saya ingin teman-teman banyak menunjukkan rasa sayang mereka terhadap saya.")</f>
        <v>B Saya ingin teman-teman banyak menunjukkan rasa sayang mereka terhadap saya.</v>
      </c>
      <c r="BU37" s="95" t="str">
        <f>IFERROR(__xludf.DUMMYFUNCTION("""COMPUTED_VALUE"""),"A Saya kadang-kadang suka melakukan hal-hal yang dapat dipuji oleh orang lain.")</f>
        <v>A Saya kadang-kadang suka melakukan hal-hal yang dapat dipuji oleh orang lain.</v>
      </c>
      <c r="BV37" s="95" t="str">
        <f>IFERROR(__xludf.DUMMYFUNCTION("""COMPUTED_VALUE"""),"B Saya ingin teman-teman dengan gembira memberikan pertolongan kepada saya.")</f>
        <v>B Saya ingin teman-teman dengan gembira memberikan pertolongan kepada saya.</v>
      </c>
      <c r="BW37" s="95" t="str">
        <f>IFERROR(__xludf.DUMMYFUNCTION("""COMPUTED_VALUE"""),"B Saya ingin diperlakukan dengan baik oleh teman-teman saya.")</f>
        <v>B Saya ingin diperlakukan dengan baik oleh teman-teman saya.</v>
      </c>
      <c r="BX37" s="95" t="str">
        <f>IFERROR(__xludf.DUMMYFUNCTION("""COMPUTED_VALUE"""),"B Saya kadang-kadang suka melakukan hal-hal yang dapat dipuji oleh orang lain.")</f>
        <v>B Saya kadang-kadang suka melakukan hal-hal yang dapat dipuji oleh orang lain.</v>
      </c>
      <c r="BY37" s="95" t="str">
        <f>IFERROR(__xludf.DUMMYFUNCTION("""COMPUTED_VALUE"""),"B Saya ingin orang lain memperhatikan dan berkomentar tentang penampilan saya.")</f>
        <v>B Saya ingin orang lain memperhatikan dan berkomentar tentang penampilan saya.</v>
      </c>
      <c r="BZ37" s="95" t="str">
        <f>IFERROR(__xludf.DUMMYFUNCTION("""COMPUTED_VALUE"""),"A Saya suka berkata yang artinya sulit dipahami oleh orang lain.")</f>
        <v>A Saya suka berkata yang artinya sulit dipahami oleh orang lain.</v>
      </c>
      <c r="CA37" s="95" t="str">
        <f>IFERROR(__xludf.DUMMYFUNCTION("""COMPUTED_VALUE"""),"B Saya suka mengajukan pertanyaan agar orang lain memperhatikan saya.")</f>
        <v>B Saya suka mengajukan pertanyaan agar orang lain memperhatikan saya.</v>
      </c>
      <c r="CB37" s="95" t="str">
        <f>IFERROR(__xludf.DUMMYFUNCTION("""COMPUTED_VALUE"""),"B Saya suka berbicara tentang hal-hal yang telah saya capai.")</f>
        <v>B Saya suka berbicara tentang hal-hal yang telah saya capai.</v>
      </c>
      <c r="CC37" s="95" t="str">
        <f>IFERROR(__xludf.DUMMYFUNCTION("""COMPUTED_VALUE"""),"B Saya suka menceritakan hal-hal lucu agar diperhatikan oleh orang lain.")</f>
        <v>B Saya suka menceritakan hal-hal lucu agar diperhatikan oleh orang lain.</v>
      </c>
      <c r="CD37" s="95" t="str">
        <f>IFERROR(__xludf.DUMMYFUNCTION("""COMPUTED_VALUE"""),"A Saya suka menyelesaikan setiap tugas meskipun membutuhkan waktu lama.")</f>
        <v>A Saya suka menyelesaikan setiap tugas meskipun membutuhkan waktu lama.</v>
      </c>
      <c r="CE37" s="95" t="str">
        <f>IFERROR(__xludf.DUMMYFUNCTION("""COMPUTED_VALUE"""),"A Saya suka menyelesaikan setiap tugas belajar yang telah saya mulai.")</f>
        <v>A Saya suka menyelesaikan setiap tugas belajar yang telah saya mulai.</v>
      </c>
      <c r="CF37" s="95" t="str">
        <f>IFERROR(__xludf.DUMMYFUNCTION("""COMPUTED_VALUE"""),"A Saya ingin agar hidup saya teratur sesuai cita-cita saya.")</f>
        <v>A Saya ingin agar hidup saya teratur sesuai cita-cita saya.</v>
      </c>
      <c r="CG37" s="95" t="str">
        <f>IFERROR(__xludf.DUMMYFUNCTION("""COMPUTED_VALUE"""),"A Saya ingin berhasil dalam apa yang saya lakukan.")</f>
        <v>A Saya ingin berhasil dalam apa yang saya lakukan.</v>
      </c>
      <c r="CH37" s="95" t="str">
        <f>IFERROR(__xludf.DUMMYFUNCTION("""COMPUTED_VALUE"""),"A Saya ingin bisa melakukan dengan baik sesuatu pekerjaan sulit.")</f>
        <v>A Saya ingin bisa melakukan dengan baik sesuatu pekerjaan sulit.</v>
      </c>
      <c r="CI37" s="95" t="str">
        <f>IFERROR(__xludf.DUMMYFUNCTION("""COMPUTED_VALUE"""),"A Saya suka belajar saya teratur dan ada waktu-waktu tertentu untuk belajar.")</f>
        <v>A Saya suka belajar saya teratur dan ada waktu-waktu tertentu untuk belajar.</v>
      </c>
      <c r="CJ37" s="95" t="str">
        <f>IFERROR(__xludf.DUMMYFUNCTION("""COMPUTED_VALUE"""),"A Saya ingin tidak tergantung dari orang lain terhadap apa yang akan saya lakukan.")</f>
        <v>A Saya ingin tidak tergantung dari orang lain terhadap apa yang akan saya lakukan.</v>
      </c>
      <c r="CK37" s="95" t="str">
        <f>IFERROR(__xludf.DUMMYFUNCTION("""COMPUTED_VALUE"""),"B Saya senang ikut beraktivitas bersama teman sebaya saya.")</f>
        <v>B Saya senang ikut beraktivitas bersama teman sebaya saya.</v>
      </c>
      <c r="CL37" s="95" t="str">
        <f>IFERROR(__xludf.DUMMYFUNCTION("""COMPUTED_VALUE"""),"A Saya suka menolong teman-teman saya, apabila mereka dalam kesulitan.")</f>
        <v>A Saya suka menolong teman-teman saya, apabila mereka dalam kesulitan.</v>
      </c>
      <c r="CM37" s="95" t="str">
        <f>IFERROR(__xludf.DUMMYFUNCTION("""COMPUTED_VALUE"""),"B Saya merasa kagum pada seseorang.")</f>
        <v>B Saya merasa kagum pada seseorang.</v>
      </c>
      <c r="CN37" s="95" t="str">
        <f>IFERROR(__xludf.DUMMYFUNCTION("""COMPUTED_VALUE"""),"A Saya ingin diperlakukan dengan baik oleh teman-teman saya.")</f>
        <v>A Saya ingin diperlakukan dengan baik oleh teman-teman saya.</v>
      </c>
      <c r="CO37" s="95" t="str">
        <f>IFERROR(__xludf.DUMMYFUNCTION("""COMPUTED_VALUE"""),"B Saya suka memuji orang yang saya kagumi.")</f>
        <v>B Saya suka memuji orang yang saya kagumi.</v>
      </c>
      <c r="CP37" s="95" t="str">
        <f>IFERROR(__xludf.DUMMYFUNCTION("""COMPUTED_VALUE"""),"B Saya ingin dianggap menarik oleh orang lain.")</f>
        <v>B Saya ingin dianggap menarik oleh orang lain.</v>
      </c>
      <c r="CQ37" s="95" t="str">
        <f>IFERROR(__xludf.DUMMYFUNCTION("""COMPUTED_VALUE"""),"B Saya merasa kagum pada seseorang.")</f>
        <v>B Saya merasa kagum pada seseorang.</v>
      </c>
      <c r="CR37" s="95" t="str">
        <f>IFERROR(__xludf.DUMMYFUNCTION("""COMPUTED_VALUE"""),"B Saya rasanya ingin mengecam seseorang bila orang itu menjengkelkan.")</f>
        <v>B Saya rasanya ingin mengecam seseorang bila orang itu menjengkelkan.</v>
      </c>
      <c r="CS37" s="95" t="str">
        <f>IFERROR(__xludf.DUMMYFUNCTION("""COMPUTED_VALUE"""),"A Saya ingin terlihat menarik di depan teman-teman saya.")</f>
        <v>A Saya ingin terlihat menarik di depan teman-teman saya.</v>
      </c>
      <c r="CT37" s="95" t="str">
        <f>IFERROR(__xludf.DUMMYFUNCTION("""COMPUTED_VALUE"""),"A Saya ingin orang-orang memperhatikan komentar mengenai penampilan saya.")</f>
        <v>A Saya ingin orang-orang memperhatikan komentar mengenai penampilan saya.</v>
      </c>
      <c r="CU37" s="95" t="str">
        <f>IFERROR(__xludf.DUMMYFUNCTION("""COMPUTED_VALUE"""),"A Saya ingin diperlakukan dengan ramah oleh teman-teman saya.")</f>
        <v>A Saya ingin diperlakukan dengan ramah oleh teman-teman saya.</v>
      </c>
      <c r="CV37" s="95" t="str">
        <f>IFERROR(__xludf.DUMMYFUNCTION("""COMPUTED_VALUE"""),"A Saya ingin ditunjuk atau dipilih sebagai ketua dalam suatu kelompok.")</f>
        <v>A Saya ingin ditunjuk atau dipilih sebagai ketua dalam suatu kelompok.</v>
      </c>
      <c r="CW37" s="95" t="str">
        <f>IFERROR(__xludf.DUMMYFUNCTION("""COMPUTED_VALUE"""),"A Saya suka menolong teman-teman saya, apabila mereka dalam kesulitan.")</f>
        <v>A Saya suka menolong teman-teman saya, apabila mereka dalam kesulitan.</v>
      </c>
      <c r="CX37" s="95" t="str">
        <f>IFERROR(__xludf.DUMMYFUNCTION("""COMPUTED_VALUE"""),"A Saya suka belajar sampai malam untuk menyelesaikan suatu tugas.")</f>
        <v>A Saya suka belajar sampai malam untuk menyelesaikan suatu tugas.</v>
      </c>
      <c r="CY37" s="95" t="str">
        <f>IFERROR(__xludf.DUMMYFUNCTION("""COMPUTED_VALUE"""),"A Saya ingin tidak tergantung dari orang lain terhadap apa yang akan saya lakukan.")</f>
        <v>A Saya ingin tidak tergantung dari orang lain terhadap apa yang akan saya lakukan.</v>
      </c>
      <c r="CZ37" s="95" t="str">
        <f>IFERROR(__xludf.DUMMYFUNCTION("""COMPUTED_VALUE"""),"A Saya suka merencanakan dan mengatur setiap pekerjaan yang harus saya lakukan.")</f>
        <v>A Saya suka merencanakan dan mengatur setiap pekerjaan yang harus saya lakukan.</v>
      </c>
      <c r="DA37" s="95" t="str">
        <f>IFERROR(__xludf.DUMMYFUNCTION("""COMPUTED_VALUE"""),"A Saya ingin melakukan apa saja sebaik mungkin.")</f>
        <v>A Saya ingin melakukan apa saja sebaik mungkin.</v>
      </c>
      <c r="DB37" s="89" t="s">
        <v>23</v>
      </c>
      <c r="DC37" s="97" t="str">
        <f t="shared" ref="DC37:GX37" si="82">LEFT(F37,1)</f>
        <v>B</v>
      </c>
      <c r="DD37" s="97" t="str">
        <f t="shared" si="82"/>
        <v>B</v>
      </c>
      <c r="DE37" s="97" t="str">
        <f t="shared" si="82"/>
        <v>B</v>
      </c>
      <c r="DF37" s="97" t="str">
        <f t="shared" si="82"/>
        <v>B</v>
      </c>
      <c r="DG37" s="97" t="str">
        <f t="shared" si="82"/>
        <v>A</v>
      </c>
      <c r="DH37" s="97" t="str">
        <f t="shared" si="82"/>
        <v>A</v>
      </c>
      <c r="DI37" s="97" t="str">
        <f t="shared" si="82"/>
        <v>A</v>
      </c>
      <c r="DJ37" s="97" t="str">
        <f t="shared" si="82"/>
        <v>A</v>
      </c>
      <c r="DK37" s="97" t="str">
        <f t="shared" si="82"/>
        <v>B</v>
      </c>
      <c r="DL37" s="97" t="str">
        <f t="shared" si="82"/>
        <v>A</v>
      </c>
      <c r="DM37" s="97" t="str">
        <f t="shared" si="82"/>
        <v>B</v>
      </c>
      <c r="DN37" s="97" t="str">
        <f t="shared" si="82"/>
        <v>B</v>
      </c>
      <c r="DO37" s="97" t="str">
        <f t="shared" si="82"/>
        <v>B</v>
      </c>
      <c r="DP37" s="97" t="str">
        <f t="shared" si="82"/>
        <v>B</v>
      </c>
      <c r="DQ37" s="97" t="str">
        <f t="shared" si="82"/>
        <v>B</v>
      </c>
      <c r="DR37" s="97" t="str">
        <f t="shared" si="82"/>
        <v>A</v>
      </c>
      <c r="DS37" s="97" t="str">
        <f t="shared" si="82"/>
        <v>B</v>
      </c>
      <c r="DT37" s="97" t="str">
        <f t="shared" si="82"/>
        <v>B</v>
      </c>
      <c r="DU37" s="97" t="str">
        <f t="shared" si="82"/>
        <v>B</v>
      </c>
      <c r="DV37" s="97" t="str">
        <f t="shared" si="82"/>
        <v>A</v>
      </c>
      <c r="DW37" s="97" t="str">
        <f t="shared" si="82"/>
        <v>A</v>
      </c>
      <c r="DX37" s="97" t="str">
        <f t="shared" si="82"/>
        <v>B</v>
      </c>
      <c r="DY37" s="97" t="str">
        <f t="shared" si="82"/>
        <v>B</v>
      </c>
      <c r="DZ37" s="97" t="str">
        <f t="shared" si="82"/>
        <v>A</v>
      </c>
      <c r="EA37" s="97" t="str">
        <f t="shared" si="82"/>
        <v>A</v>
      </c>
      <c r="EB37" s="97" t="str">
        <f t="shared" si="82"/>
        <v>A</v>
      </c>
      <c r="EC37" s="97" t="str">
        <f t="shared" si="82"/>
        <v>B</v>
      </c>
      <c r="ED37" s="97" t="str">
        <f t="shared" si="82"/>
        <v>B</v>
      </c>
      <c r="EE37" s="97" t="str">
        <f t="shared" si="82"/>
        <v>B</v>
      </c>
      <c r="EF37" s="97" t="str">
        <f t="shared" si="82"/>
        <v>B</v>
      </c>
      <c r="EG37" s="97" t="str">
        <f t="shared" si="82"/>
        <v>B</v>
      </c>
      <c r="EH37" s="97" t="str">
        <f t="shared" si="82"/>
        <v>B</v>
      </c>
      <c r="EI37" s="97" t="str">
        <f t="shared" si="82"/>
        <v>B</v>
      </c>
      <c r="EJ37" s="97" t="str">
        <f t="shared" si="82"/>
        <v>B</v>
      </c>
      <c r="EK37" s="97" t="str">
        <f t="shared" si="82"/>
        <v>A</v>
      </c>
      <c r="EL37" s="97" t="str">
        <f t="shared" si="82"/>
        <v>A</v>
      </c>
      <c r="EM37" s="97" t="str">
        <f t="shared" si="82"/>
        <v>A</v>
      </c>
      <c r="EN37" s="97" t="str">
        <f t="shared" si="82"/>
        <v>B</v>
      </c>
      <c r="EO37" s="97" t="str">
        <f t="shared" si="82"/>
        <v>A</v>
      </c>
      <c r="EP37" s="97" t="str">
        <f t="shared" si="82"/>
        <v>A</v>
      </c>
      <c r="EQ37" s="97" t="str">
        <f t="shared" si="82"/>
        <v>B</v>
      </c>
      <c r="ER37" s="97" t="str">
        <f t="shared" si="82"/>
        <v>B</v>
      </c>
      <c r="ES37" s="97" t="str">
        <f t="shared" si="82"/>
        <v>B</v>
      </c>
      <c r="ET37" s="97" t="str">
        <f t="shared" si="82"/>
        <v>B</v>
      </c>
      <c r="EU37" s="97" t="str">
        <f t="shared" si="82"/>
        <v>B</v>
      </c>
      <c r="EV37" s="97" t="str">
        <f t="shared" si="82"/>
        <v>B</v>
      </c>
      <c r="EW37" s="97" t="str">
        <f t="shared" si="82"/>
        <v>B</v>
      </c>
      <c r="EX37" s="97" t="str">
        <f t="shared" si="82"/>
        <v>B</v>
      </c>
      <c r="EY37" s="97" t="str">
        <f t="shared" si="82"/>
        <v>B</v>
      </c>
      <c r="EZ37" s="97" t="str">
        <f t="shared" si="82"/>
        <v>B</v>
      </c>
      <c r="FA37" s="97" t="str">
        <f t="shared" si="82"/>
        <v>B</v>
      </c>
      <c r="FB37" s="97" t="str">
        <f t="shared" si="82"/>
        <v>A</v>
      </c>
      <c r="FC37" s="97" t="str">
        <f t="shared" si="82"/>
        <v>B</v>
      </c>
      <c r="FD37" s="97" t="str">
        <f t="shared" si="82"/>
        <v>B</v>
      </c>
      <c r="FE37" s="97" t="str">
        <f t="shared" si="82"/>
        <v>B</v>
      </c>
      <c r="FF37" s="97" t="str">
        <f t="shared" si="82"/>
        <v>A</v>
      </c>
      <c r="FG37" s="97" t="str">
        <f t="shared" si="82"/>
        <v>A</v>
      </c>
      <c r="FH37" s="97" t="str">
        <f t="shared" si="82"/>
        <v>B</v>
      </c>
      <c r="FI37" s="97" t="str">
        <f t="shared" si="82"/>
        <v>A</v>
      </c>
      <c r="FJ37" s="97" t="str">
        <f t="shared" si="82"/>
        <v>A</v>
      </c>
      <c r="FK37" s="97" t="str">
        <f t="shared" si="82"/>
        <v>A</v>
      </c>
      <c r="FL37" s="97" t="str">
        <f t="shared" si="82"/>
        <v>A</v>
      </c>
      <c r="FM37" s="97" t="str">
        <f t="shared" si="82"/>
        <v>A</v>
      </c>
      <c r="FN37" s="97" t="str">
        <f t="shared" si="82"/>
        <v>A</v>
      </c>
      <c r="FO37" s="97" t="str">
        <f t="shared" si="82"/>
        <v>A</v>
      </c>
      <c r="FP37" s="97" t="str">
        <f t="shared" si="82"/>
        <v>B</v>
      </c>
      <c r="FQ37" s="97" t="str">
        <f t="shared" si="82"/>
        <v>B</v>
      </c>
      <c r="FR37" s="97" t="str">
        <f t="shared" si="82"/>
        <v>A</v>
      </c>
      <c r="FS37" s="97" t="str">
        <f t="shared" si="82"/>
        <v>B</v>
      </c>
      <c r="FT37" s="97" t="str">
        <f t="shared" si="82"/>
        <v>B</v>
      </c>
      <c r="FU37" s="97" t="str">
        <f t="shared" si="82"/>
        <v>B</v>
      </c>
      <c r="FV37" s="97" t="str">
        <f t="shared" si="82"/>
        <v>B</v>
      </c>
      <c r="FW37" s="97" t="str">
        <f t="shared" si="82"/>
        <v>A</v>
      </c>
      <c r="FX37" s="97" t="str">
        <f t="shared" si="82"/>
        <v>B</v>
      </c>
      <c r="FY37" s="97" t="str">
        <f t="shared" si="82"/>
        <v>B</v>
      </c>
      <c r="FZ37" s="97" t="str">
        <f t="shared" si="82"/>
        <v>B</v>
      </c>
      <c r="GA37" s="97" t="str">
        <f t="shared" si="82"/>
        <v>A</v>
      </c>
      <c r="GB37" s="97" t="str">
        <f t="shared" si="82"/>
        <v>A</v>
      </c>
      <c r="GC37" s="97" t="str">
        <f t="shared" si="82"/>
        <v>A</v>
      </c>
      <c r="GD37" s="97" t="str">
        <f t="shared" si="82"/>
        <v>A</v>
      </c>
      <c r="GE37" s="97" t="str">
        <f t="shared" si="82"/>
        <v>A</v>
      </c>
      <c r="GF37" s="97" t="str">
        <f t="shared" si="82"/>
        <v>A</v>
      </c>
      <c r="GG37" s="97" t="str">
        <f t="shared" si="82"/>
        <v>A</v>
      </c>
      <c r="GH37" s="97" t="str">
        <f t="shared" si="82"/>
        <v>B</v>
      </c>
      <c r="GI37" s="97" t="str">
        <f t="shared" si="82"/>
        <v>A</v>
      </c>
      <c r="GJ37" s="97" t="str">
        <f t="shared" si="82"/>
        <v>B</v>
      </c>
      <c r="GK37" s="97" t="str">
        <f t="shared" si="82"/>
        <v>A</v>
      </c>
      <c r="GL37" s="97" t="str">
        <f t="shared" si="82"/>
        <v>B</v>
      </c>
      <c r="GM37" s="97" t="str">
        <f t="shared" si="82"/>
        <v>B</v>
      </c>
      <c r="GN37" s="97" t="str">
        <f t="shared" si="82"/>
        <v>B</v>
      </c>
      <c r="GO37" s="97" t="str">
        <f t="shared" si="82"/>
        <v>B</v>
      </c>
      <c r="GP37" s="97" t="str">
        <f t="shared" si="82"/>
        <v>A</v>
      </c>
      <c r="GQ37" s="97" t="str">
        <f t="shared" si="82"/>
        <v>A</v>
      </c>
      <c r="GR37" s="97" t="str">
        <f t="shared" si="82"/>
        <v>A</v>
      </c>
      <c r="GS37" s="97" t="str">
        <f t="shared" si="82"/>
        <v>A</v>
      </c>
      <c r="GT37" s="97" t="str">
        <f t="shared" si="82"/>
        <v>A</v>
      </c>
      <c r="GU37" s="97" t="str">
        <f t="shared" si="82"/>
        <v>A</v>
      </c>
      <c r="GV37" s="97" t="str">
        <f t="shared" si="82"/>
        <v>A</v>
      </c>
      <c r="GW37" s="97" t="str">
        <f t="shared" si="82"/>
        <v>A</v>
      </c>
      <c r="GX37" s="97" t="str">
        <f t="shared" si="82"/>
        <v>A</v>
      </c>
      <c r="GY37" s="98"/>
      <c r="GZ37" s="97">
        <f t="shared" si="3"/>
        <v>46</v>
      </c>
      <c r="HA37" s="97">
        <f t="shared" si="4"/>
        <v>54</v>
      </c>
      <c r="HB37" s="90">
        <f t="shared" si="5"/>
        <v>100</v>
      </c>
      <c r="HC37" s="99"/>
      <c r="HD37" s="97">
        <f t="shared" si="6"/>
        <v>8</v>
      </c>
      <c r="HE37" s="97">
        <f t="shared" si="7"/>
        <v>4</v>
      </c>
      <c r="HF37" s="90">
        <f t="shared" si="8"/>
        <v>12</v>
      </c>
      <c r="HG37" s="99"/>
      <c r="HH37" s="97">
        <f t="shared" si="9"/>
        <v>6</v>
      </c>
      <c r="HI37" s="97">
        <f t="shared" si="10"/>
        <v>8</v>
      </c>
      <c r="HJ37" s="90">
        <f t="shared" si="11"/>
        <v>14</v>
      </c>
      <c r="HK37" s="99"/>
      <c r="HL37" s="97">
        <f t="shared" si="12"/>
        <v>4</v>
      </c>
      <c r="HM37" s="97">
        <f t="shared" si="13"/>
        <v>6</v>
      </c>
      <c r="HN37" s="90">
        <f t="shared" si="14"/>
        <v>10</v>
      </c>
      <c r="HO37" s="99"/>
      <c r="HP37" s="97">
        <f t="shared" si="15"/>
        <v>5</v>
      </c>
      <c r="HQ37" s="97">
        <f t="shared" si="16"/>
        <v>5</v>
      </c>
      <c r="HR37" s="90">
        <f t="shared" si="17"/>
        <v>10</v>
      </c>
      <c r="HS37" s="99"/>
      <c r="HT37" s="97">
        <f t="shared" si="18"/>
        <v>8</v>
      </c>
      <c r="HU37" s="97">
        <f t="shared" si="19"/>
        <v>10</v>
      </c>
      <c r="HV37" s="90">
        <f t="shared" si="20"/>
        <v>18</v>
      </c>
      <c r="HW37" s="99"/>
      <c r="HX37" s="97">
        <f t="shared" si="21"/>
        <v>4</v>
      </c>
      <c r="HY37" s="97">
        <f t="shared" si="22"/>
        <v>5</v>
      </c>
      <c r="HZ37" s="90">
        <f t="shared" si="23"/>
        <v>9</v>
      </c>
      <c r="IA37" s="99"/>
      <c r="IB37" s="97">
        <f t="shared" si="24"/>
        <v>3</v>
      </c>
      <c r="IC37" s="97">
        <f t="shared" si="25"/>
        <v>4</v>
      </c>
      <c r="ID37" s="90">
        <f t="shared" si="26"/>
        <v>7</v>
      </c>
      <c r="IE37" s="99"/>
      <c r="IF37" s="97">
        <f t="shared" si="27"/>
        <v>3</v>
      </c>
      <c r="IG37" s="97">
        <f t="shared" si="28"/>
        <v>5</v>
      </c>
      <c r="IH37" s="90">
        <f t="shared" si="29"/>
        <v>8</v>
      </c>
      <c r="II37" s="99"/>
      <c r="IJ37" s="97">
        <f t="shared" si="30"/>
        <v>2</v>
      </c>
      <c r="IK37" s="97">
        <f t="shared" si="31"/>
        <v>5</v>
      </c>
      <c r="IL37" s="90">
        <f t="shared" si="32"/>
        <v>7</v>
      </c>
      <c r="IM37" s="99"/>
      <c r="IN37" s="97">
        <f t="shared" si="33"/>
        <v>1</v>
      </c>
      <c r="IO37" s="97">
        <f t="shared" si="34"/>
        <v>1</v>
      </c>
      <c r="IP37" s="90">
        <f t="shared" si="35"/>
        <v>2</v>
      </c>
      <c r="IQ37" s="99"/>
      <c r="IR37" s="99"/>
      <c r="IS37" s="100">
        <f t="shared" si="36"/>
        <v>12</v>
      </c>
      <c r="IT37" s="100">
        <f t="shared" si="37"/>
        <v>14</v>
      </c>
      <c r="IU37" s="100">
        <f t="shared" si="38"/>
        <v>10</v>
      </c>
      <c r="IV37" s="100">
        <f t="shared" si="39"/>
        <v>10</v>
      </c>
      <c r="IW37" s="100">
        <f t="shared" si="40"/>
        <v>18</v>
      </c>
      <c r="IX37" s="100">
        <f t="shared" si="41"/>
        <v>9</v>
      </c>
      <c r="IY37" s="100">
        <f t="shared" si="42"/>
        <v>7</v>
      </c>
      <c r="IZ37" s="100">
        <f t="shared" si="43"/>
        <v>8</v>
      </c>
      <c r="JA37" s="100">
        <f t="shared" si="44"/>
        <v>7</v>
      </c>
      <c r="JB37" s="101">
        <f t="shared" si="45"/>
        <v>2</v>
      </c>
      <c r="JC37" s="102">
        <f t="shared" si="46"/>
        <v>97</v>
      </c>
      <c r="JD37" s="67">
        <f t="shared" si="50"/>
        <v>0</v>
      </c>
      <c r="JE37" s="67">
        <f t="shared" si="47"/>
        <v>0</v>
      </c>
      <c r="JF37" s="67">
        <f t="shared" si="48"/>
        <v>0</v>
      </c>
    </row>
    <row r="38">
      <c r="A38" s="103">
        <f>IFERROR(__xludf.DUMMYFUNCTION("""COMPUTED_VALUE"""),45927.281069502314)</f>
        <v>45927.28107</v>
      </c>
      <c r="B38" s="95" t="str">
        <f>IFERROR(__xludf.DUMMYFUNCTION("""COMPUTED_VALUE"""),"MUHAMMAD HANIF ASH SHIDDIQ")</f>
        <v>MUHAMMAD HANIF ASH SHIDDIQ</v>
      </c>
      <c r="C38" s="96" t="str">
        <f>IFERROR(__xludf.DUMMYFUNCTION("""COMPUTED_VALUE"""),"A250048")</f>
        <v>A250048</v>
      </c>
      <c r="D38" s="96" t="str">
        <f>IFERROR(__xludf.DUMMYFUNCTION("""COMPUTED_VALUE"""),"MTs Putra")</f>
        <v>MTs Putra</v>
      </c>
      <c r="E38" s="96" t="str">
        <f>IFERROR(__xludf.DUMMYFUNCTION("""COMPUTED_VALUE"""),"Ya")</f>
        <v>Ya</v>
      </c>
      <c r="F38" s="95" t="str">
        <f>IFERROR(__xludf.DUMMYFUNCTION("""COMPUTED_VALUE"""),"B Saya ingin melakukan apa saja sebaik mungkin.")</f>
        <v>B Saya ingin melakukan apa saja sebaik mungkin.</v>
      </c>
      <c r="G38" s="95" t="str">
        <f>IFERROR(__xludf.DUMMYFUNCTION("""COMPUTED_VALUE"""),"A Saya ingin setiap tulisan saya teliti, rapi, dan tersusun dengan baik.")</f>
        <v>A Saya ingin setiap tulisan saya teliti, rapi, dan tersusun dengan baik.</v>
      </c>
      <c r="H38" s="95" t="str">
        <f>IFERROR(__xludf.DUMMYFUNCTION("""COMPUTED_VALUE"""),"A Saya ingin berbuat sesuai kata hati saya.")</f>
        <v>A Saya ingin berbuat sesuai kata hati saya.</v>
      </c>
      <c r="I38" s="95" t="str">
        <f>IFERROR(__xludf.DUMMYFUNCTION("""COMPUTED_VALUE"""),"B Saya ingin bisa melakukan dengan baik meskipun tugas yang sulit.")</f>
        <v>B Saya ingin bisa melakukan dengan baik meskipun tugas yang sulit.</v>
      </c>
      <c r="J38" s="95" t="str">
        <f>IFERROR(__xludf.DUMMYFUNCTION("""COMPUTED_VALUE"""),"A Saya suka membantu teman-teman saya apabila mereka mengalami kesulitan.")</f>
        <v>A Saya suka membantu teman-teman saya apabila mereka mengalami kesulitan.</v>
      </c>
      <c r="K38" s="95" t="str">
        <f>IFERROR(__xludf.DUMMYFUNCTION("""COMPUTED_VALUE"""),"A Saya ingin menjadi pemimpin dalam suatu kelompok.")</f>
        <v>A Saya ingin menjadi pemimpin dalam suatu kelompok.</v>
      </c>
      <c r="L38" s="95" t="str">
        <f>IFERROR(__xludf.DUMMYFUNCTION("""COMPUTED_VALUE"""),"A Saya ingin menjadi pemimpin dalam suatu kelompok")</f>
        <v>A Saya ingin menjadi pemimpin dalam suatu kelompok</v>
      </c>
      <c r="M38" s="95" t="str">
        <f>IFERROR(__xludf.DUMMYFUNCTION("""COMPUTED_VALUE"""),"A Saya suka berbicara tentang hal-hal yang telah berhasil saya lakukan.")</f>
        <v>A Saya suka berbicara tentang hal-hal yang telah berhasil saya lakukan.</v>
      </c>
      <c r="N38" s="95" t="str">
        <f>IFERROR(__xludf.DUMMYFUNCTION("""COMPUTED_VALUE"""),"B Saya suka memecahkan persoalan yang sukar bagi orang lain.")</f>
        <v>B Saya suka memecahkan persoalan yang sukar bagi orang lain.</v>
      </c>
      <c r="O38" s="95" t="str">
        <f>IFERROR(__xludf.DUMMYFUNCTION("""COMPUTED_VALUE"""),"B Saya suka melakukan tugas sebaik mungkin.")</f>
        <v>B Saya suka melakukan tugas sebaik mungkin.</v>
      </c>
      <c r="P38" s="95" t="str">
        <f>IFERROR(__xludf.DUMMYFUNCTION("""COMPUTED_VALUE"""),"A Saya suka bercerita tentang hal-hal yang menegangkan atau menantang.")</f>
        <v>A Saya suka bercerita tentang hal-hal yang menegangkan atau menantang.</v>
      </c>
      <c r="Q38" s="95" t="str">
        <f>IFERROR(__xludf.DUMMYFUNCTION("""COMPUTED_VALUE"""),"B Saya merencanakan keperluan yang dibutuhkan sebelum bepergian.")</f>
        <v>B Saya merencanakan keperluan yang dibutuhkan sebelum bepergian.</v>
      </c>
      <c r="R38" s="95" t="str">
        <f>IFERROR(__xludf.DUMMYFUNCTION("""COMPUTED_VALUE"""),"B Saya suka barang-barang saya tersusun rapi dan teratur.")</f>
        <v>B Saya suka barang-barang saya tersusun rapi dan teratur.</v>
      </c>
      <c r="S38" s="95" t="str">
        <f>IFERROR(__xludf.DUMMYFUNCTION("""COMPUTED_VALUE"""),"B Saya suka membuat perencanaan sebelum memulai tugas yang sulit.")</f>
        <v>B Saya suka membuat perencanaan sebelum memulai tugas yang sulit.</v>
      </c>
      <c r="T38" s="95" t="str">
        <f>IFERROR(__xludf.DUMMYFUNCTION("""COMPUTED_VALUE"""),"B Saya ingin agar hidup saya teratur sesuai cita-cita saya.")</f>
        <v>B Saya ingin agar hidup saya teratur sesuai cita-cita saya.</v>
      </c>
      <c r="U38" s="95" t="str">
        <f>IFERROR(__xludf.DUMMYFUNCTION("""COMPUTED_VALUE"""),"A Saya suka memberikan bantuan kepada teman-teman saya.")</f>
        <v>A Saya suka memberikan bantuan kepada teman-teman saya.</v>
      </c>
      <c r="V38" s="95" t="str">
        <f>IFERROR(__xludf.DUMMYFUNCTION("""COMPUTED_VALUE"""),"B Saya suka belajar saya teratur dan ada waktu-waktu tertentu untuk belajar.")</f>
        <v>B Saya suka belajar saya teratur dan ada waktu-waktu tertentu untuk belajar.</v>
      </c>
      <c r="W38" s="95" t="str">
        <f>IFERROR(__xludf.DUMMYFUNCTION("""COMPUTED_VALUE"""),"B Saya ingin kegiatan itu teratur dan direncanakan.")</f>
        <v>B Saya ingin kegiatan itu teratur dan direncanakan.</v>
      </c>
      <c r="X38" s="95" t="str">
        <f>IFERROR(__xludf.DUMMYFUNCTION("""COMPUTED_VALUE"""),"A Saya suka merencanakan dan mengatur setiap apa yang harus saya lakukan.")</f>
        <v>A Saya suka merencanakan dan mengatur setiap apa yang harus saya lakukan.</v>
      </c>
      <c r="Y38" s="95" t="str">
        <f>IFERROR(__xludf.DUMMYFUNCTION("""COMPUTED_VALUE"""),"A Saya suka menyelesaikan tugas-tugas yang membutuhkan ketrampilan dan usaha.")</f>
        <v>A Saya suka menyelesaikan tugas-tugas yang membutuhkan ketrampilan dan usaha.</v>
      </c>
      <c r="Z38" s="95" t="str">
        <f>IFERROR(__xludf.DUMMYFUNCTION("""COMPUTED_VALUE"""),"A Saya ingin berhasil dengan belajar yang saya lakukan.")</f>
        <v>A Saya ingin berhasil dengan belajar yang saya lakukan.</v>
      </c>
      <c r="AA38" s="95" t="str">
        <f>IFERROR(__xludf.DUMMYFUNCTION("""COMPUTED_VALUE"""),"A Saya suka menyelesaikan tugas yang telah saya rencanakan.")</f>
        <v>A Saya suka menyelesaikan tugas yang telah saya rencanakan.</v>
      </c>
      <c r="AB38" s="95" t="str">
        <f>IFERROR(__xludf.DUMMYFUNCTION("""COMPUTED_VALUE"""),"A Saya ingin tidak tergantung dari orang lain terhadap apa yang akan saya lakukan.")</f>
        <v>A Saya ingin tidak tergantung dari orang lain terhadap apa yang akan saya lakukan.</v>
      </c>
      <c r="AC38" s="95" t="str">
        <f>IFERROR(__xludf.DUMMYFUNCTION("""COMPUTED_VALUE"""),"A Saya suka menyelesaikan setiap tugas meskipun membutuhkan waktu lama.")</f>
        <v>A Saya suka menyelesaikan setiap tugas meskipun membutuhkan waktu lama.</v>
      </c>
      <c r="AD38" s="95" t="str">
        <f>IFERROR(__xludf.DUMMYFUNCTION("""COMPUTED_VALUE"""),"A Saya suka bermurah hati terhadap teman-teman saya.")</f>
        <v>A Saya suka bermurah hati terhadap teman-teman saya.</v>
      </c>
      <c r="AE38" s="95" t="str">
        <f>IFERROR(__xludf.DUMMYFUNCTION("""COMPUTED_VALUE"""),"A Saya ingin dianggap sebagai pemimpin oleh teman di kelompok.")</f>
        <v>A Saya ingin dianggap sebagai pemimpin oleh teman di kelompok.</v>
      </c>
      <c r="AF38" s="95" t="str">
        <f>IFERROR(__xludf.DUMMYFUNCTION("""COMPUTED_VALUE"""),"B Saya suka melakukan hal-hal dengan cara saya sendiri.")</f>
        <v>B Saya suka melakukan hal-hal dengan cara saya sendiri.</v>
      </c>
      <c r="AG38" s="95" t="str">
        <f>IFERROR(__xludf.DUMMYFUNCTION("""COMPUTED_VALUE"""),"B Saya ingin berhasil dengan tugas yang saya lakukan.")</f>
        <v>B Saya ingin berhasil dengan tugas yang saya lakukan.</v>
      </c>
      <c r="AH38" s="95" t="str">
        <f>IFERROR(__xludf.DUMMYFUNCTION("""COMPUTED_VALUE"""),"A Saya suka membaca buku-buku tentang pergaulan remaja.")</f>
        <v>A Saya suka membaca buku-buku tentang pergaulan remaja.</v>
      </c>
      <c r="AI38" s="95" t="str">
        <f>IFERROR(__xludf.DUMMYFUNCTION("""COMPUTED_VALUE"""),"B Saya suka melakukan kegiatan sesuai kondisi yang saya inginkan.")</f>
        <v>B Saya suka melakukan kegiatan sesuai kondisi yang saya inginkan.</v>
      </c>
      <c r="AJ38" s="95" t="str">
        <f>IFERROR(__xludf.DUMMYFUNCTION("""COMPUTED_VALUE"""),"B Saya suka bertahan menghadapi satu masalah meskipun belum tentu berhasil.")</f>
        <v>B Saya suka bertahan menghadapi satu masalah meskipun belum tentu berhasil.</v>
      </c>
      <c r="AK38" s="95" t="str">
        <f>IFERROR(__xludf.DUMMYFUNCTION("""COMPUTED_VALUE"""),"B Bila saya harus melakukan suatu tugas, saya ingin mengerjakan sampai selesai.")</f>
        <v>B Bila saya harus melakukan suatu tugas, saya ingin mengerjakan sampai selesai.</v>
      </c>
      <c r="AL38" s="95" t="str">
        <f>IFERROR(__xludf.DUMMYFUNCTION("""COMPUTED_VALUE"""),"A Saya suka berbicara tentang hal-hal yang telah saya capai.")</f>
        <v>A Saya suka berbicara tentang hal-hal yang telah saya capai.</v>
      </c>
      <c r="AM38" s="95" t="str">
        <f>IFERROR(__xludf.DUMMYFUNCTION("""COMPUTED_VALUE"""),"B Saya suka belajar sampai malam untuk menyelesaikan suatu tugas.")</f>
        <v>B Saya suka belajar sampai malam untuk menyelesaikan suatu tugas.</v>
      </c>
      <c r="AN38" s="95" t="str">
        <f>IFERROR(__xludf.DUMMYFUNCTION("""COMPUTED_VALUE"""),"A Saya tidak suka pada orang yang semena-mena.")</f>
        <v>A Saya tidak suka pada orang yang semena-mena.</v>
      </c>
      <c r="AO38" s="95" t="str">
        <f>IFERROR(__xludf.DUMMYFUNCTION("""COMPUTED_VALUE"""),"A Saya suka berlaku sangat ramah terhadap teman-teman saya.")</f>
        <v>A Saya suka berlaku sangat ramah terhadap teman-teman saya.</v>
      </c>
      <c r="AP38" s="95" t="str">
        <f>IFERROR(__xludf.DUMMYFUNCTION("""COMPUTED_VALUE"""),"B Saya suka bertahan menghadapi satu masalah meskipun belum tentu berhasil.")</f>
        <v>B Saya suka bertahan menghadapi satu masalah meskipun belum tentu berhasil.</v>
      </c>
      <c r="AQ38" s="95" t="str">
        <f>IFERROR(__xludf.DUMMYFUNCTION("""COMPUTED_VALUE"""),"B Bila saya harus melakukan suatu tugas, saya ingin mengerjakan sampai selesai.")</f>
        <v>B Bila saya harus melakukan suatu tugas, saya ingin mengerjakan sampai selesai.</v>
      </c>
      <c r="AR38" s="95" t="str">
        <f>IFERROR(__xludf.DUMMYFUNCTION("""COMPUTED_VALUE"""),"A Saya suka menyimpan catatan secara rapi.")</f>
        <v>A Saya suka menyimpan catatan secara rapi.</v>
      </c>
      <c r="AS38" s="95" t="str">
        <f>IFERROR(__xludf.DUMMYFUNCTION("""COMPUTED_VALUE"""),"B Saya suka belajar sampai malam untuk menyelesaikan suatu tugas.")</f>
        <v>B Saya suka belajar sampai malam untuk menyelesaikan suatu tugas.</v>
      </c>
      <c r="AT38" s="95" t="str">
        <f>IFERROR(__xludf.DUMMYFUNCTION("""COMPUTED_VALUE"""),"A Saya ingin bisa melakukan dengan baik sesuatu pekerjaan sulit.")</f>
        <v>A Saya ingin bisa melakukan dengan baik sesuatu pekerjaan sulit.</v>
      </c>
      <c r="AU38" s="95" t="str">
        <f>IFERROR(__xludf.DUMMYFUNCTION("""COMPUTED_VALUE"""),"B Saya suka bermurah hati terhadap teman-teman saya.")</f>
        <v>B Saya suka bermurah hati terhadap teman-teman saya.</v>
      </c>
      <c r="AV38" s="95" t="str">
        <f>IFERROR(__xludf.DUMMYFUNCTION("""COMPUTED_VALUE"""),"B Saya suka menolong teman-teman saya.")</f>
        <v>B Saya suka menolong teman-teman saya.</v>
      </c>
      <c r="AW38" s="95" t="str">
        <f>IFERROR(__xludf.DUMMYFUNCTION("""COMPUTED_VALUE"""),"A Saya ingin mengerjakan tugas sampai selesai.")</f>
        <v>A Saya ingin mengerjakan tugas sampai selesai.</v>
      </c>
      <c r="AX38" s="95" t="str">
        <f>IFERROR(__xludf.DUMMYFUNCTION("""COMPUTED_VALUE"""),"B Saya suka memaafkan teman-teman saya yang menyakiti hati saya.")</f>
        <v>B Saya suka memaafkan teman-teman saya yang menyakiti hati saya.</v>
      </c>
      <c r="AY38" s="95" t="str">
        <f>IFERROR(__xludf.DUMMYFUNCTION("""COMPUTED_VALUE"""),"B Saya suka menolong teman-teman saya apabila mereka dalam kesulitan.")</f>
        <v>B Saya suka menolong teman-teman saya apabila mereka dalam kesulitan.</v>
      </c>
      <c r="AZ38" s="95" t="str">
        <f>IFERROR(__xludf.DUMMYFUNCTION("""COMPUTED_VALUE"""),"B Saya suka menunjukkan simpati saya kepada teman-teman saya.")</f>
        <v>B Saya suka menunjukkan simpati saya kepada teman-teman saya.</v>
      </c>
      <c r="BA38" s="95" t="str">
        <f>IFERROR(__xludf.DUMMYFUNCTION("""COMPUTED_VALUE"""),"B Saya suka memperlakukan orang lain dengan baik dan ramah.")</f>
        <v>B Saya suka memperlakukan orang lain dengan baik dan ramah.</v>
      </c>
      <c r="BB38" s="95" t="str">
        <f>IFERROR(__xludf.DUMMYFUNCTION("""COMPUTED_VALUE"""),"B Saya suka bermurah hati terhadap teman-teman saya.")</f>
        <v>B Saya suka bermurah hati terhadap teman-teman saya.</v>
      </c>
      <c r="BC38" s="95" t="str">
        <f>IFERROR(__xludf.DUMMYFUNCTION("""COMPUTED_VALUE"""),"B Saya suka membantu orang lain yang menurut saya perlu dikasihani.")</f>
        <v>B Saya suka membantu orang lain yang menurut saya perlu dikasihani.</v>
      </c>
      <c r="BD38" s="95" t="str">
        <f>IFERROR(__xludf.DUMMYFUNCTION("""COMPUTED_VALUE"""),"B Saya suka bersikukuh dengan pendirian saya.")</f>
        <v>B Saya suka bersikukuh dengan pendirian saya.</v>
      </c>
      <c r="BE38" s="95" t="str">
        <f>IFERROR(__xludf.DUMMYFUNCTION("""COMPUTED_VALUE"""),"B Saya ingin orang lain melakukan apa yang saya kehendaki.")</f>
        <v>B Saya ingin orang lain melakukan apa yang saya kehendaki.</v>
      </c>
      <c r="BF38" s="95" t="str">
        <f>IFERROR(__xludf.DUMMYFUNCTION("""COMPUTED_VALUE"""),"B Bila saya dalam kelompok, saya ingin menentukan apa yang akan kita lakukan.")</f>
        <v>B Bila saya dalam kelompok, saya ingin menentukan apa yang akan kita lakukan.</v>
      </c>
      <c r="BG38" s="95" t="str">
        <f>IFERROR(__xludf.DUMMYFUNCTION("""COMPUTED_VALUE"""),"A Saya ingin teman-teman banyak menunjukkan rasa sayang mereka terhadap saya.")</f>
        <v>A Saya ingin teman-teman banyak menunjukkan rasa sayang mereka terhadap saya.</v>
      </c>
      <c r="BH38" s="95" t="str">
        <f>IFERROR(__xludf.DUMMYFUNCTION("""COMPUTED_VALUE"""),"A Saya suka menghindar dari situasi yang tidak saya harapkan.")</f>
        <v>A Saya suka menghindar dari situasi yang tidak saya harapkan.</v>
      </c>
      <c r="BI38" s="95" t="str">
        <f>IFERROR(__xludf.DUMMYFUNCTION("""COMPUTED_VALUE"""),"A Saya suka bermurah hati terhadap teman-teman saya.")</f>
        <v>A Saya suka bermurah hati terhadap teman-teman saya.</v>
      </c>
      <c r="BJ38" s="95" t="str">
        <f>IFERROR(__xludf.DUMMYFUNCTION("""COMPUTED_VALUE"""),"A Saya ingin mengerjakan tugas sampai selesai.")</f>
        <v>A Saya ingin mengerjakan tugas sampai selesai.</v>
      </c>
      <c r="BK38" s="95" t="str">
        <f>IFERROR(__xludf.DUMMYFUNCTION("""COMPUTED_VALUE"""),"B Saya senang untuk diminta menyelesaikan pertentangan-pertentangan.")</f>
        <v>B Saya senang untuk diminta menyelesaikan pertentangan-pertentangan.</v>
      </c>
      <c r="BL38" s="95" t="str">
        <f>IFERROR(__xludf.DUMMYFUNCTION("""COMPUTED_VALUE"""),"B Saya suka bersikukuh dengan pendirian saya.")</f>
        <v>B Saya suka bersikukuh dengan pendirian saya.</v>
      </c>
      <c r="BM38" s="95" t="str">
        <f>IFERROR(__xludf.DUMMYFUNCTION("""COMPUTED_VALUE"""),"A Saya suka melakukan pekerjaan sebaik mungkin.")</f>
        <v>A Saya suka melakukan pekerjaan sebaik mungkin.</v>
      </c>
      <c r="BN38" s="95" t="str">
        <f>IFERROR(__xludf.DUMMYFUNCTION("""COMPUTED_VALUE"""),"A Saya suka mengerjakan teka-teki atau memecahkan persoalan sampai selesai.")</f>
        <v>A Saya suka mengerjakan teka-teki atau memecahkan persoalan sampai selesai.</v>
      </c>
      <c r="BO38" s="95" t="str">
        <f>IFERROR(__xludf.DUMMYFUNCTION("""COMPUTED_VALUE"""),"B Saya ingin diperlakukan dengan baik oleh teman-teman saya.")</f>
        <v>B Saya ingin diperlakukan dengan baik oleh teman-teman saya.</v>
      </c>
      <c r="BP38" s="95" t="str">
        <f>IFERROR(__xludf.DUMMYFUNCTION("""COMPUTED_VALUE"""),"A Saya ingin menyelesaikan sesuatu yang sangat penting artinya.")</f>
        <v>A Saya ingin menyelesaikan sesuatu yang sangat penting artinya.</v>
      </c>
      <c r="BQ38" s="95" t="str">
        <f>IFERROR(__xludf.DUMMYFUNCTION("""COMPUTED_VALUE"""),"A Saya ingin mengerjakannya tugas sampai selesai.")</f>
        <v>A Saya ingin mengerjakannya tugas sampai selesai.</v>
      </c>
      <c r="BR38" s="95" t="str">
        <f>IFERROR(__xludf.DUMMYFUNCTION("""COMPUTED_VALUE"""),"A Saya suka memaafkan teman-teman saya yang menyakiti hati saya.")</f>
        <v>A Saya suka memaafkan teman-teman saya yang menyakiti hati saya.</v>
      </c>
      <c r="BS38" s="95" t="str">
        <f>IFERROR(__xludf.DUMMYFUNCTION("""COMPUTED_VALUE"""),"B Saya ingin teman-teman saya membantu saya bila saya mengalami kesulitan")</f>
        <v>B Saya ingin teman-teman saya membantu saya bila saya mengalami kesulitan</v>
      </c>
      <c r="BT38" s="95" t="str">
        <f>IFERROR(__xludf.DUMMYFUNCTION("""COMPUTED_VALUE"""),"B Saya ingin teman-teman banyak menunjukkan rasa sayang mereka terhadap saya.")</f>
        <v>B Saya ingin teman-teman banyak menunjukkan rasa sayang mereka terhadap saya.</v>
      </c>
      <c r="BU38" s="95" t="str">
        <f>IFERROR(__xludf.DUMMYFUNCTION("""COMPUTED_VALUE"""),"A Saya kadang-kadang suka melakukan hal-hal yang dapat dipuji oleh orang lain.")</f>
        <v>A Saya kadang-kadang suka melakukan hal-hal yang dapat dipuji oleh orang lain.</v>
      </c>
      <c r="BV38" s="95" t="str">
        <f>IFERROR(__xludf.DUMMYFUNCTION("""COMPUTED_VALUE"""),"B Saya ingin teman-teman dengan gembira memberikan pertolongan kepada saya.")</f>
        <v>B Saya ingin teman-teman dengan gembira memberikan pertolongan kepada saya.</v>
      </c>
      <c r="BW38" s="95" t="str">
        <f>IFERROR(__xludf.DUMMYFUNCTION("""COMPUTED_VALUE"""),"B Saya ingin diperlakukan dengan baik oleh teman-teman saya.")</f>
        <v>B Saya ingin diperlakukan dengan baik oleh teman-teman saya.</v>
      </c>
      <c r="BX38" s="95" t="str">
        <f>IFERROR(__xludf.DUMMYFUNCTION("""COMPUTED_VALUE"""),"B Saya kadang-kadang suka melakukan hal-hal yang dapat dipuji oleh orang lain.")</f>
        <v>B Saya kadang-kadang suka melakukan hal-hal yang dapat dipuji oleh orang lain.</v>
      </c>
      <c r="BY38" s="95" t="str">
        <f>IFERROR(__xludf.DUMMYFUNCTION("""COMPUTED_VALUE"""),"B Saya ingin orang lain memperhatikan dan berkomentar tentang penampilan saya.")</f>
        <v>B Saya ingin orang lain memperhatikan dan berkomentar tentang penampilan saya.</v>
      </c>
      <c r="BZ38" s="95" t="str">
        <f>IFERROR(__xludf.DUMMYFUNCTION("""COMPUTED_VALUE"""),"A Saya suka berkata yang artinya sulit dipahami oleh orang lain.")</f>
        <v>A Saya suka berkata yang artinya sulit dipahami oleh orang lain.</v>
      </c>
      <c r="CA38" s="95" t="str">
        <f>IFERROR(__xludf.DUMMYFUNCTION("""COMPUTED_VALUE"""),"A Saya ingin teman-teman dengan gembira memberikan pertolongan kepada saya.")</f>
        <v>A Saya ingin teman-teman dengan gembira memberikan pertolongan kepada saya.</v>
      </c>
      <c r="CB38" s="95" t="str">
        <f>IFERROR(__xludf.DUMMYFUNCTION("""COMPUTED_VALUE"""),"B Saya suka berbicara tentang hal-hal yang telah saya capai.")</f>
        <v>B Saya suka berbicara tentang hal-hal yang telah saya capai.</v>
      </c>
      <c r="CC38" s="95" t="str">
        <f>IFERROR(__xludf.DUMMYFUNCTION("""COMPUTED_VALUE"""),"A Apabila saya berkumpul dalam kelompok, saya ingin dihargai teman-teman.")</f>
        <v>A Apabila saya berkumpul dalam kelompok, saya ingin dihargai teman-teman.</v>
      </c>
      <c r="CD38" s="95" t="str">
        <f>IFERROR(__xludf.DUMMYFUNCTION("""COMPUTED_VALUE"""),"A Saya suka menyelesaikan setiap tugas meskipun membutuhkan waktu lama.")</f>
        <v>A Saya suka menyelesaikan setiap tugas meskipun membutuhkan waktu lama.</v>
      </c>
      <c r="CE38" s="95" t="str">
        <f>IFERROR(__xludf.DUMMYFUNCTION("""COMPUTED_VALUE"""),"A Saya suka menyelesaikan setiap tugas belajar yang telah saya mulai.")</f>
        <v>A Saya suka menyelesaikan setiap tugas belajar yang telah saya mulai.</v>
      </c>
      <c r="CF38" s="95" t="str">
        <f>IFERROR(__xludf.DUMMYFUNCTION("""COMPUTED_VALUE"""),"A Saya ingin agar hidup saya teratur sesuai cita-cita saya.")</f>
        <v>A Saya ingin agar hidup saya teratur sesuai cita-cita saya.</v>
      </c>
      <c r="CG38" s="95" t="str">
        <f>IFERROR(__xludf.DUMMYFUNCTION("""COMPUTED_VALUE"""),"A Saya ingin berhasil dalam apa yang saya lakukan.")</f>
        <v>A Saya ingin berhasil dalam apa yang saya lakukan.</v>
      </c>
      <c r="CH38" s="95" t="str">
        <f>IFERROR(__xludf.DUMMYFUNCTION("""COMPUTED_VALUE"""),"A Saya ingin bisa melakukan dengan baik sesuatu pekerjaan sulit.")</f>
        <v>A Saya ingin bisa melakukan dengan baik sesuatu pekerjaan sulit.</v>
      </c>
      <c r="CI38" s="95" t="str">
        <f>IFERROR(__xludf.DUMMYFUNCTION("""COMPUTED_VALUE"""),"A Saya suka belajar saya teratur dan ada waktu-waktu tertentu untuk belajar.")</f>
        <v>A Saya suka belajar saya teratur dan ada waktu-waktu tertentu untuk belajar.</v>
      </c>
      <c r="CJ38" s="95" t="str">
        <f>IFERROR(__xludf.DUMMYFUNCTION("""COMPUTED_VALUE"""),"A Saya ingin tidak tergantung dari orang lain terhadap apa yang akan saya lakukan.")</f>
        <v>A Saya ingin tidak tergantung dari orang lain terhadap apa yang akan saya lakukan.</v>
      </c>
      <c r="CK38" s="95" t="str">
        <f>IFERROR(__xludf.DUMMYFUNCTION("""COMPUTED_VALUE"""),"A Saya suka bertahan menghadapi satu masalah, meskipun belum tentu berhasil.")</f>
        <v>A Saya suka bertahan menghadapi satu masalah, meskipun belum tentu berhasil.</v>
      </c>
      <c r="CL38" s="95" t="str">
        <f>IFERROR(__xludf.DUMMYFUNCTION("""COMPUTED_VALUE"""),"A Saya suka menolong teman-teman saya, apabila mereka dalam kesulitan.")</f>
        <v>A Saya suka menolong teman-teman saya, apabila mereka dalam kesulitan.</v>
      </c>
      <c r="CM38" s="95" t="str">
        <f>IFERROR(__xludf.DUMMYFUNCTION("""COMPUTED_VALUE"""),"A Saya ingin ditunjuk atau dipilih sebagai ketua dalam suatu kelompok.")</f>
        <v>A Saya ingin ditunjuk atau dipilih sebagai ketua dalam suatu kelompok.</v>
      </c>
      <c r="CN38" s="95" t="str">
        <f>IFERROR(__xludf.DUMMYFUNCTION("""COMPUTED_VALUE"""),"A Saya ingin diperlakukan dengan baik oleh teman-teman saya.")</f>
        <v>A Saya ingin diperlakukan dengan baik oleh teman-teman saya.</v>
      </c>
      <c r="CO38" s="95" t="str">
        <f>IFERROR(__xludf.DUMMYFUNCTION("""COMPUTED_VALUE"""),"A Saya suka menceritakan hal-hal lucu agar diperhatikan oleh orang lain.")</f>
        <v>A Saya suka menceritakan hal-hal lucu agar diperhatikan oleh orang lain.</v>
      </c>
      <c r="CP38" s="95" t="str">
        <f>IFERROR(__xludf.DUMMYFUNCTION("""COMPUTED_VALUE"""),"B Saya ingin dianggap menarik oleh orang lain.")</f>
        <v>B Saya ingin dianggap menarik oleh orang lain.</v>
      </c>
      <c r="CQ38" s="95" t="str">
        <f>IFERROR(__xludf.DUMMYFUNCTION("""COMPUTED_VALUE"""),"B Saya merasa kagum pada seseorang.")</f>
        <v>B Saya merasa kagum pada seseorang.</v>
      </c>
      <c r="CR38" s="95" t="str">
        <f>IFERROR(__xludf.DUMMYFUNCTION("""COMPUTED_VALUE"""),"A Saya ingin memperolok-olok orang yang saya anggap melakukan tindakan bodoh.")</f>
        <v>A Saya ingin memperolok-olok orang yang saya anggap melakukan tindakan bodoh.</v>
      </c>
      <c r="CS38" s="95" t="str">
        <f>IFERROR(__xludf.DUMMYFUNCTION("""COMPUTED_VALUE"""),"A Saya ingin terlihat menarik di depan teman-teman saya.")</f>
        <v>A Saya ingin terlihat menarik di depan teman-teman saya.</v>
      </c>
      <c r="CT38" s="95" t="str">
        <f>IFERROR(__xludf.DUMMYFUNCTION("""COMPUTED_VALUE"""),"A Saya ingin orang-orang memperhatikan komentar mengenai penampilan saya.")</f>
        <v>A Saya ingin orang-orang memperhatikan komentar mengenai penampilan saya.</v>
      </c>
      <c r="CU38" s="95" t="str">
        <f>IFERROR(__xludf.DUMMYFUNCTION("""COMPUTED_VALUE"""),"A Saya ingin diperlakukan dengan ramah oleh teman-teman saya.")</f>
        <v>A Saya ingin diperlakukan dengan ramah oleh teman-teman saya.</v>
      </c>
      <c r="CV38" s="95" t="str">
        <f>IFERROR(__xludf.DUMMYFUNCTION("""COMPUTED_VALUE"""),"A Saya ingin ditunjuk atau dipilih sebagai ketua dalam suatu kelompok.")</f>
        <v>A Saya ingin ditunjuk atau dipilih sebagai ketua dalam suatu kelompok.</v>
      </c>
      <c r="CW38" s="95" t="str">
        <f>IFERROR(__xludf.DUMMYFUNCTION("""COMPUTED_VALUE"""),"A Saya suka menolong teman-teman saya, apabila mereka dalam kesulitan.")</f>
        <v>A Saya suka menolong teman-teman saya, apabila mereka dalam kesulitan.</v>
      </c>
      <c r="CX38" s="95" t="str">
        <f>IFERROR(__xludf.DUMMYFUNCTION("""COMPUTED_VALUE"""),"A Saya suka belajar sampai malam untuk menyelesaikan suatu tugas.")</f>
        <v>A Saya suka belajar sampai malam untuk menyelesaikan suatu tugas.</v>
      </c>
      <c r="CY38" s="95" t="str">
        <f>IFERROR(__xludf.DUMMYFUNCTION("""COMPUTED_VALUE"""),"A Saya ingin tidak tergantung dari orang lain terhadap apa yang akan saya lakukan.")</f>
        <v>A Saya ingin tidak tergantung dari orang lain terhadap apa yang akan saya lakukan.</v>
      </c>
      <c r="CZ38" s="95" t="str">
        <f>IFERROR(__xludf.DUMMYFUNCTION("""COMPUTED_VALUE"""),"A Saya suka merencanakan dan mengatur setiap pekerjaan yang harus saya lakukan.")</f>
        <v>A Saya suka merencanakan dan mengatur setiap pekerjaan yang harus saya lakukan.</v>
      </c>
      <c r="DA38" s="95" t="str">
        <f>IFERROR(__xludf.DUMMYFUNCTION("""COMPUTED_VALUE"""),"A Saya ingin melakukan apa saja sebaik mungkin.")</f>
        <v>A Saya ingin melakukan apa saja sebaik mungkin.</v>
      </c>
      <c r="DB38" s="89" t="s">
        <v>23</v>
      </c>
      <c r="DC38" s="97" t="str">
        <f t="shared" ref="DC38:GX38" si="83">LEFT(F38,1)</f>
        <v>B</v>
      </c>
      <c r="DD38" s="97" t="str">
        <f t="shared" si="83"/>
        <v>A</v>
      </c>
      <c r="DE38" s="97" t="str">
        <f t="shared" si="83"/>
        <v>A</v>
      </c>
      <c r="DF38" s="97" t="str">
        <f t="shared" si="83"/>
        <v>B</v>
      </c>
      <c r="DG38" s="97" t="str">
        <f t="shared" si="83"/>
        <v>A</v>
      </c>
      <c r="DH38" s="97" t="str">
        <f t="shared" si="83"/>
        <v>A</v>
      </c>
      <c r="DI38" s="97" t="str">
        <f t="shared" si="83"/>
        <v>A</v>
      </c>
      <c r="DJ38" s="97" t="str">
        <f t="shared" si="83"/>
        <v>A</v>
      </c>
      <c r="DK38" s="97" t="str">
        <f t="shared" si="83"/>
        <v>B</v>
      </c>
      <c r="DL38" s="97" t="str">
        <f t="shared" si="83"/>
        <v>B</v>
      </c>
      <c r="DM38" s="97" t="str">
        <f t="shared" si="83"/>
        <v>A</v>
      </c>
      <c r="DN38" s="97" t="str">
        <f t="shared" si="83"/>
        <v>B</v>
      </c>
      <c r="DO38" s="97" t="str">
        <f t="shared" si="83"/>
        <v>B</v>
      </c>
      <c r="DP38" s="97" t="str">
        <f t="shared" si="83"/>
        <v>B</v>
      </c>
      <c r="DQ38" s="97" t="str">
        <f t="shared" si="83"/>
        <v>B</v>
      </c>
      <c r="DR38" s="97" t="str">
        <f t="shared" si="83"/>
        <v>A</v>
      </c>
      <c r="DS38" s="97" t="str">
        <f t="shared" si="83"/>
        <v>B</v>
      </c>
      <c r="DT38" s="97" t="str">
        <f t="shared" si="83"/>
        <v>B</v>
      </c>
      <c r="DU38" s="97" t="str">
        <f t="shared" si="83"/>
        <v>A</v>
      </c>
      <c r="DV38" s="97" t="str">
        <f t="shared" si="83"/>
        <v>A</v>
      </c>
      <c r="DW38" s="97" t="str">
        <f t="shared" si="83"/>
        <v>A</v>
      </c>
      <c r="DX38" s="97" t="str">
        <f t="shared" si="83"/>
        <v>A</v>
      </c>
      <c r="DY38" s="97" t="str">
        <f t="shared" si="83"/>
        <v>A</v>
      </c>
      <c r="DZ38" s="97" t="str">
        <f t="shared" si="83"/>
        <v>A</v>
      </c>
      <c r="EA38" s="97" t="str">
        <f t="shared" si="83"/>
        <v>A</v>
      </c>
      <c r="EB38" s="97" t="str">
        <f t="shared" si="83"/>
        <v>A</v>
      </c>
      <c r="EC38" s="97" t="str">
        <f t="shared" si="83"/>
        <v>B</v>
      </c>
      <c r="ED38" s="97" t="str">
        <f t="shared" si="83"/>
        <v>B</v>
      </c>
      <c r="EE38" s="97" t="str">
        <f t="shared" si="83"/>
        <v>A</v>
      </c>
      <c r="EF38" s="97" t="str">
        <f t="shared" si="83"/>
        <v>B</v>
      </c>
      <c r="EG38" s="97" t="str">
        <f t="shared" si="83"/>
        <v>B</v>
      </c>
      <c r="EH38" s="97" t="str">
        <f t="shared" si="83"/>
        <v>B</v>
      </c>
      <c r="EI38" s="97" t="str">
        <f t="shared" si="83"/>
        <v>A</v>
      </c>
      <c r="EJ38" s="97" t="str">
        <f t="shared" si="83"/>
        <v>B</v>
      </c>
      <c r="EK38" s="97" t="str">
        <f t="shared" si="83"/>
        <v>A</v>
      </c>
      <c r="EL38" s="97" t="str">
        <f t="shared" si="83"/>
        <v>A</v>
      </c>
      <c r="EM38" s="97" t="str">
        <f t="shared" si="83"/>
        <v>B</v>
      </c>
      <c r="EN38" s="97" t="str">
        <f t="shared" si="83"/>
        <v>B</v>
      </c>
      <c r="EO38" s="97" t="str">
        <f t="shared" si="83"/>
        <v>A</v>
      </c>
      <c r="EP38" s="97" t="str">
        <f t="shared" si="83"/>
        <v>B</v>
      </c>
      <c r="EQ38" s="97" t="str">
        <f t="shared" si="83"/>
        <v>A</v>
      </c>
      <c r="ER38" s="97" t="str">
        <f t="shared" si="83"/>
        <v>B</v>
      </c>
      <c r="ES38" s="97" t="str">
        <f t="shared" si="83"/>
        <v>B</v>
      </c>
      <c r="ET38" s="97" t="str">
        <f t="shared" si="83"/>
        <v>A</v>
      </c>
      <c r="EU38" s="97" t="str">
        <f t="shared" si="83"/>
        <v>B</v>
      </c>
      <c r="EV38" s="97" t="str">
        <f t="shared" si="83"/>
        <v>B</v>
      </c>
      <c r="EW38" s="97" t="str">
        <f t="shared" si="83"/>
        <v>B</v>
      </c>
      <c r="EX38" s="97" t="str">
        <f t="shared" si="83"/>
        <v>B</v>
      </c>
      <c r="EY38" s="97" t="str">
        <f t="shared" si="83"/>
        <v>B</v>
      </c>
      <c r="EZ38" s="97" t="str">
        <f t="shared" si="83"/>
        <v>B</v>
      </c>
      <c r="FA38" s="97" t="str">
        <f t="shared" si="83"/>
        <v>B</v>
      </c>
      <c r="FB38" s="97" t="str">
        <f t="shared" si="83"/>
        <v>B</v>
      </c>
      <c r="FC38" s="97" t="str">
        <f t="shared" si="83"/>
        <v>B</v>
      </c>
      <c r="FD38" s="97" t="str">
        <f t="shared" si="83"/>
        <v>A</v>
      </c>
      <c r="FE38" s="97" t="str">
        <f t="shared" si="83"/>
        <v>A</v>
      </c>
      <c r="FF38" s="97" t="str">
        <f t="shared" si="83"/>
        <v>A</v>
      </c>
      <c r="FG38" s="97" t="str">
        <f t="shared" si="83"/>
        <v>A</v>
      </c>
      <c r="FH38" s="97" t="str">
        <f t="shared" si="83"/>
        <v>B</v>
      </c>
      <c r="FI38" s="97" t="str">
        <f t="shared" si="83"/>
        <v>B</v>
      </c>
      <c r="FJ38" s="97" t="str">
        <f t="shared" si="83"/>
        <v>A</v>
      </c>
      <c r="FK38" s="97" t="str">
        <f t="shared" si="83"/>
        <v>A</v>
      </c>
      <c r="FL38" s="97" t="str">
        <f t="shared" si="83"/>
        <v>B</v>
      </c>
      <c r="FM38" s="97" t="str">
        <f t="shared" si="83"/>
        <v>A</v>
      </c>
      <c r="FN38" s="97" t="str">
        <f t="shared" si="83"/>
        <v>A</v>
      </c>
      <c r="FO38" s="97" t="str">
        <f t="shared" si="83"/>
        <v>A</v>
      </c>
      <c r="FP38" s="97" t="str">
        <f t="shared" si="83"/>
        <v>B</v>
      </c>
      <c r="FQ38" s="97" t="str">
        <f t="shared" si="83"/>
        <v>B</v>
      </c>
      <c r="FR38" s="97" t="str">
        <f t="shared" si="83"/>
        <v>A</v>
      </c>
      <c r="FS38" s="97" t="str">
        <f t="shared" si="83"/>
        <v>B</v>
      </c>
      <c r="FT38" s="97" t="str">
        <f t="shared" si="83"/>
        <v>B</v>
      </c>
      <c r="FU38" s="97" t="str">
        <f t="shared" si="83"/>
        <v>B</v>
      </c>
      <c r="FV38" s="97" t="str">
        <f t="shared" si="83"/>
        <v>B</v>
      </c>
      <c r="FW38" s="97" t="str">
        <f t="shared" si="83"/>
        <v>A</v>
      </c>
      <c r="FX38" s="97" t="str">
        <f t="shared" si="83"/>
        <v>A</v>
      </c>
      <c r="FY38" s="97" t="str">
        <f t="shared" si="83"/>
        <v>B</v>
      </c>
      <c r="FZ38" s="97" t="str">
        <f t="shared" si="83"/>
        <v>A</v>
      </c>
      <c r="GA38" s="97" t="str">
        <f t="shared" si="83"/>
        <v>A</v>
      </c>
      <c r="GB38" s="97" t="str">
        <f t="shared" si="83"/>
        <v>A</v>
      </c>
      <c r="GC38" s="97" t="str">
        <f t="shared" si="83"/>
        <v>A</v>
      </c>
      <c r="GD38" s="97" t="str">
        <f t="shared" si="83"/>
        <v>A</v>
      </c>
      <c r="GE38" s="97" t="str">
        <f t="shared" si="83"/>
        <v>A</v>
      </c>
      <c r="GF38" s="97" t="str">
        <f t="shared" si="83"/>
        <v>A</v>
      </c>
      <c r="GG38" s="97" t="str">
        <f t="shared" si="83"/>
        <v>A</v>
      </c>
      <c r="GH38" s="97" t="str">
        <f t="shared" si="83"/>
        <v>A</v>
      </c>
      <c r="GI38" s="97" t="str">
        <f t="shared" si="83"/>
        <v>A</v>
      </c>
      <c r="GJ38" s="97" t="str">
        <f t="shared" si="83"/>
        <v>A</v>
      </c>
      <c r="GK38" s="97" t="str">
        <f t="shared" si="83"/>
        <v>A</v>
      </c>
      <c r="GL38" s="97" t="str">
        <f t="shared" si="83"/>
        <v>A</v>
      </c>
      <c r="GM38" s="97" t="str">
        <f t="shared" si="83"/>
        <v>B</v>
      </c>
      <c r="GN38" s="97" t="str">
        <f t="shared" si="83"/>
        <v>B</v>
      </c>
      <c r="GO38" s="97" t="str">
        <f t="shared" si="83"/>
        <v>A</v>
      </c>
      <c r="GP38" s="97" t="str">
        <f t="shared" si="83"/>
        <v>A</v>
      </c>
      <c r="GQ38" s="97" t="str">
        <f t="shared" si="83"/>
        <v>A</v>
      </c>
      <c r="GR38" s="97" t="str">
        <f t="shared" si="83"/>
        <v>A</v>
      </c>
      <c r="GS38" s="97" t="str">
        <f t="shared" si="83"/>
        <v>A</v>
      </c>
      <c r="GT38" s="97" t="str">
        <f t="shared" si="83"/>
        <v>A</v>
      </c>
      <c r="GU38" s="97" t="str">
        <f t="shared" si="83"/>
        <v>A</v>
      </c>
      <c r="GV38" s="97" t="str">
        <f t="shared" si="83"/>
        <v>A</v>
      </c>
      <c r="GW38" s="97" t="str">
        <f t="shared" si="83"/>
        <v>A</v>
      </c>
      <c r="GX38" s="97" t="str">
        <f t="shared" si="83"/>
        <v>A</v>
      </c>
      <c r="GY38" s="98"/>
      <c r="GZ38" s="97">
        <f t="shared" si="3"/>
        <v>58</v>
      </c>
      <c r="HA38" s="97">
        <f t="shared" si="4"/>
        <v>42</v>
      </c>
      <c r="HB38" s="90">
        <f t="shared" si="5"/>
        <v>100</v>
      </c>
      <c r="HC38" s="99"/>
      <c r="HD38" s="97">
        <f t="shared" si="6"/>
        <v>8</v>
      </c>
      <c r="HE38" s="97">
        <f t="shared" si="7"/>
        <v>3</v>
      </c>
      <c r="HF38" s="90">
        <f t="shared" si="8"/>
        <v>11</v>
      </c>
      <c r="HG38" s="99"/>
      <c r="HH38" s="97">
        <f t="shared" si="9"/>
        <v>6</v>
      </c>
      <c r="HI38" s="97">
        <f t="shared" si="10"/>
        <v>6</v>
      </c>
      <c r="HJ38" s="90">
        <f t="shared" si="11"/>
        <v>12</v>
      </c>
      <c r="HK38" s="99"/>
      <c r="HL38" s="97">
        <f t="shared" si="12"/>
        <v>5</v>
      </c>
      <c r="HM38" s="97">
        <f t="shared" si="13"/>
        <v>3</v>
      </c>
      <c r="HN38" s="90">
        <f t="shared" si="14"/>
        <v>8</v>
      </c>
      <c r="HO38" s="99"/>
      <c r="HP38" s="97">
        <f t="shared" si="15"/>
        <v>7</v>
      </c>
      <c r="HQ38" s="97">
        <f t="shared" si="16"/>
        <v>6</v>
      </c>
      <c r="HR38" s="90">
        <f t="shared" si="17"/>
        <v>13</v>
      </c>
      <c r="HS38" s="99"/>
      <c r="HT38" s="97">
        <f t="shared" si="18"/>
        <v>9</v>
      </c>
      <c r="HU38" s="97">
        <f t="shared" si="19"/>
        <v>8</v>
      </c>
      <c r="HV38" s="90">
        <f t="shared" si="20"/>
        <v>17</v>
      </c>
      <c r="HW38" s="99"/>
      <c r="HX38" s="97">
        <f t="shared" si="21"/>
        <v>5</v>
      </c>
      <c r="HY38" s="97">
        <f t="shared" si="22"/>
        <v>5</v>
      </c>
      <c r="HZ38" s="90">
        <f t="shared" si="23"/>
        <v>10</v>
      </c>
      <c r="IA38" s="99"/>
      <c r="IB38" s="97">
        <f t="shared" si="24"/>
        <v>5</v>
      </c>
      <c r="IC38" s="97">
        <f t="shared" si="25"/>
        <v>5</v>
      </c>
      <c r="ID38" s="90">
        <f t="shared" si="26"/>
        <v>10</v>
      </c>
      <c r="IE38" s="99"/>
      <c r="IF38" s="97">
        <f t="shared" si="27"/>
        <v>5</v>
      </c>
      <c r="IG38" s="97">
        <f t="shared" si="28"/>
        <v>3</v>
      </c>
      <c r="IH38" s="90">
        <f t="shared" si="29"/>
        <v>8</v>
      </c>
      <c r="II38" s="99"/>
      <c r="IJ38" s="97">
        <f t="shared" si="30"/>
        <v>2</v>
      </c>
      <c r="IK38" s="97">
        <f t="shared" si="31"/>
        <v>2</v>
      </c>
      <c r="IL38" s="90">
        <f t="shared" si="32"/>
        <v>4</v>
      </c>
      <c r="IM38" s="99"/>
      <c r="IN38" s="97">
        <f t="shared" si="33"/>
        <v>1</v>
      </c>
      <c r="IO38" s="97">
        <f t="shared" si="34"/>
        <v>0</v>
      </c>
      <c r="IP38" s="90">
        <f t="shared" si="35"/>
        <v>1</v>
      </c>
      <c r="IQ38" s="99"/>
      <c r="IR38" s="99"/>
      <c r="IS38" s="100">
        <f t="shared" si="36"/>
        <v>11</v>
      </c>
      <c r="IT38" s="100">
        <f t="shared" si="37"/>
        <v>12</v>
      </c>
      <c r="IU38" s="100">
        <f t="shared" si="38"/>
        <v>8</v>
      </c>
      <c r="IV38" s="100">
        <f t="shared" si="39"/>
        <v>13</v>
      </c>
      <c r="IW38" s="100">
        <f t="shared" si="40"/>
        <v>17</v>
      </c>
      <c r="IX38" s="100">
        <f t="shared" si="41"/>
        <v>10</v>
      </c>
      <c r="IY38" s="100">
        <f t="shared" si="42"/>
        <v>10</v>
      </c>
      <c r="IZ38" s="100">
        <f t="shared" si="43"/>
        <v>8</v>
      </c>
      <c r="JA38" s="100">
        <f t="shared" si="44"/>
        <v>4</v>
      </c>
      <c r="JB38" s="101">
        <f t="shared" si="45"/>
        <v>1</v>
      </c>
      <c r="JC38" s="102">
        <f t="shared" si="46"/>
        <v>94</v>
      </c>
      <c r="JD38" s="67">
        <f t="shared" si="50"/>
        <v>0</v>
      </c>
      <c r="JE38" s="67">
        <f t="shared" si="47"/>
        <v>2</v>
      </c>
      <c r="JF38" s="67">
        <f t="shared" si="48"/>
        <v>2</v>
      </c>
    </row>
    <row r="39">
      <c r="A39" s="103">
        <f>IFERROR(__xludf.DUMMYFUNCTION("""COMPUTED_VALUE"""),45927.36651521991)</f>
        <v>45927.36652</v>
      </c>
      <c r="B39" s="95" t="str">
        <f>IFERROR(__xludf.DUMMYFUNCTION("""COMPUTED_VALUE"""),"Janeeta Candy Hinata")</f>
        <v>Janeeta Candy Hinata</v>
      </c>
      <c r="C39" s="96" t="str">
        <f>IFERROR(__xludf.DUMMYFUNCTION("""COMPUTED_VALUE"""),"D250004")</f>
        <v>D250004</v>
      </c>
      <c r="D39" s="96" t="str">
        <f>IFERROR(__xludf.DUMMYFUNCTION("""COMPUTED_VALUE"""),"MTs Putri")</f>
        <v>MTs Putri</v>
      </c>
      <c r="E39" s="96" t="str">
        <f>IFERROR(__xludf.DUMMYFUNCTION("""COMPUTED_VALUE"""),"Ya")</f>
        <v>Ya</v>
      </c>
      <c r="F39" s="95" t="str">
        <f>IFERROR(__xludf.DUMMYFUNCTION("""COMPUTED_VALUE"""),"B Saya ingin melakukan apa saja sebaik mungkin.")</f>
        <v>B Saya ingin melakukan apa saja sebaik mungkin.</v>
      </c>
      <c r="G39" s="95" t="str">
        <f>IFERROR(__xludf.DUMMYFUNCTION("""COMPUTED_VALUE"""),"A Saya ingin setiap tulisan saya teliti, rapi, dan tersusun dengan baik.")</f>
        <v>A Saya ingin setiap tulisan saya teliti, rapi, dan tersusun dengan baik.</v>
      </c>
      <c r="H39" s="95" t="str">
        <f>IFERROR(__xludf.DUMMYFUNCTION("""COMPUTED_VALUE"""),"B Saya ingin menjadi orang yang diakui dalam suatu pekerjaan atau bidang khusus.")</f>
        <v>B Saya ingin menjadi orang yang diakui dalam suatu pekerjaan atau bidang khusus.</v>
      </c>
      <c r="I39" s="95" t="str">
        <f>IFERROR(__xludf.DUMMYFUNCTION("""COMPUTED_VALUE"""),"B Saya ingin bisa melakukan dengan baik meskipun tugas yang sulit.")</f>
        <v>B Saya ingin bisa melakukan dengan baik meskipun tugas yang sulit.</v>
      </c>
      <c r="J39" s="95" t="str">
        <f>IFERROR(__xludf.DUMMYFUNCTION("""COMPUTED_VALUE"""),"A Saya suka membantu teman-teman saya apabila mereka mengalami kesulitan.")</f>
        <v>A Saya suka membantu teman-teman saya apabila mereka mengalami kesulitan.</v>
      </c>
      <c r="K39" s="95" t="str">
        <f>IFERROR(__xludf.DUMMYFUNCTION("""COMPUTED_VALUE"""),"A Saya ingin menjadi pemimpin dalam suatu kelompok.")</f>
        <v>A Saya ingin menjadi pemimpin dalam suatu kelompok.</v>
      </c>
      <c r="L39" s="95" t="str">
        <f>IFERROR(__xludf.DUMMYFUNCTION("""COMPUTED_VALUE"""),"B Saya ingin mengatakan telah melakukan dengan baik sesuatu tugas yang sulit")</f>
        <v>B Saya ingin mengatakan telah melakukan dengan baik sesuatu tugas yang sulit</v>
      </c>
      <c r="M39" s="95" t="str">
        <f>IFERROR(__xludf.DUMMYFUNCTION("""COMPUTED_VALUE"""),"A Saya suka berbicara tentang hal-hal yang telah berhasil saya lakukan.")</f>
        <v>A Saya suka berbicara tentang hal-hal yang telah berhasil saya lakukan.</v>
      </c>
      <c r="N39" s="95" t="str">
        <f>IFERROR(__xludf.DUMMYFUNCTION("""COMPUTED_VALUE"""),"B Saya suka memecahkan persoalan yang sukar bagi orang lain.")</f>
        <v>B Saya suka memecahkan persoalan yang sukar bagi orang lain.</v>
      </c>
      <c r="O39" s="95" t="str">
        <f>IFERROR(__xludf.DUMMYFUNCTION("""COMPUTED_VALUE"""),"B Saya suka melakukan tugas sebaik mungkin.")</f>
        <v>B Saya suka melakukan tugas sebaik mungkin.</v>
      </c>
      <c r="P39" s="95" t="str">
        <f>IFERROR(__xludf.DUMMYFUNCTION("""COMPUTED_VALUE"""),"A Saya suka bercerita tentang hal-hal yang menegangkan atau menantang.")</f>
        <v>A Saya suka bercerita tentang hal-hal yang menegangkan atau menantang.</v>
      </c>
      <c r="Q39" s="95" t="str">
        <f>IFERROR(__xludf.DUMMYFUNCTION("""COMPUTED_VALUE"""),"B Saya merencanakan keperluan yang dibutuhkan sebelum bepergian.")</f>
        <v>B Saya merencanakan keperluan yang dibutuhkan sebelum bepergian.</v>
      </c>
      <c r="R39" s="95" t="str">
        <f>IFERROR(__xludf.DUMMYFUNCTION("""COMPUTED_VALUE"""),"B Saya suka barang-barang saya tersusun rapi dan teratur.")</f>
        <v>B Saya suka barang-barang saya tersusun rapi dan teratur.</v>
      </c>
      <c r="S39" s="95" t="str">
        <f>IFERROR(__xludf.DUMMYFUNCTION("""COMPUTED_VALUE"""),"B Saya suka membuat perencanaan sebelum memulai tugas yang sulit.")</f>
        <v>B Saya suka membuat perencanaan sebelum memulai tugas yang sulit.</v>
      </c>
      <c r="T39" s="95" t="str">
        <f>IFERROR(__xludf.DUMMYFUNCTION("""COMPUTED_VALUE"""),"B Saya ingin agar hidup saya teratur sesuai cita-cita saya.")</f>
        <v>B Saya ingin agar hidup saya teratur sesuai cita-cita saya.</v>
      </c>
      <c r="U39" s="95" t="str">
        <f>IFERROR(__xludf.DUMMYFUNCTION("""COMPUTED_VALUE"""),"A Saya suka memberikan bantuan kepada teman-teman saya.")</f>
        <v>A Saya suka memberikan bantuan kepada teman-teman saya.</v>
      </c>
      <c r="V39" s="95" t="str">
        <f>IFERROR(__xludf.DUMMYFUNCTION("""COMPUTED_VALUE"""),"B Saya suka belajar saya teratur dan ada waktu-waktu tertentu untuk belajar.")</f>
        <v>B Saya suka belajar saya teratur dan ada waktu-waktu tertentu untuk belajar.</v>
      </c>
      <c r="W39" s="95" t="str">
        <f>IFERROR(__xludf.DUMMYFUNCTION("""COMPUTED_VALUE"""),"A Saya suka melakukan kegiatan sesuai kondisi yang saya inginkan.")</f>
        <v>A Saya suka melakukan kegiatan sesuai kondisi yang saya inginkan.</v>
      </c>
      <c r="X39" s="95" t="str">
        <f>IFERROR(__xludf.DUMMYFUNCTION("""COMPUTED_VALUE"""),"A Saya suka merencanakan dan mengatur setiap apa yang harus saya lakukan.")</f>
        <v>A Saya suka merencanakan dan mengatur setiap apa yang harus saya lakukan.</v>
      </c>
      <c r="Y39" s="95" t="str">
        <f>IFERROR(__xludf.DUMMYFUNCTION("""COMPUTED_VALUE"""),"A Saya suka menyelesaikan tugas-tugas yang membutuhkan ketrampilan dan usaha.")</f>
        <v>A Saya suka menyelesaikan tugas-tugas yang membutuhkan ketrampilan dan usaha.</v>
      </c>
      <c r="Z39" s="95" t="str">
        <f>IFERROR(__xludf.DUMMYFUNCTION("""COMPUTED_VALUE"""),"A Saya ingin berhasil dengan belajar yang saya lakukan.")</f>
        <v>A Saya ingin berhasil dengan belajar yang saya lakukan.</v>
      </c>
      <c r="AA39" s="95" t="str">
        <f>IFERROR(__xludf.DUMMYFUNCTION("""COMPUTED_VALUE"""),"B Saya tidak suka pada orang yang berbuat seenaknya sendiri.")</f>
        <v>B Saya tidak suka pada orang yang berbuat seenaknya sendiri.</v>
      </c>
      <c r="AB39" s="95" t="str">
        <f>IFERROR(__xludf.DUMMYFUNCTION("""COMPUTED_VALUE"""),"B Saya ingin menyelesaikan pekerjaan satu persatu sebelum memulai yang lain.")</f>
        <v>B Saya ingin menyelesaikan pekerjaan satu persatu sebelum memulai yang lain.</v>
      </c>
      <c r="AC39" s="95" t="str">
        <f>IFERROR(__xludf.DUMMYFUNCTION("""COMPUTED_VALUE"""),"A Saya suka menyelesaikan setiap tugas meskipun membutuhkan waktu lama.")</f>
        <v>A Saya suka menyelesaikan setiap tugas meskipun membutuhkan waktu lama.</v>
      </c>
      <c r="AD39" s="95" t="str">
        <f>IFERROR(__xludf.DUMMYFUNCTION("""COMPUTED_VALUE"""),"A Saya suka bermurah hati terhadap teman-teman saya.")</f>
        <v>A Saya suka bermurah hati terhadap teman-teman saya.</v>
      </c>
      <c r="AE39" s="95" t="str">
        <f>IFERROR(__xludf.DUMMYFUNCTION("""COMPUTED_VALUE"""),"A Saya ingin dianggap sebagai pemimpin oleh teman di kelompok.")</f>
        <v>A Saya ingin dianggap sebagai pemimpin oleh teman di kelompok.</v>
      </c>
      <c r="AF39" s="95" t="str">
        <f>IFERROR(__xludf.DUMMYFUNCTION("""COMPUTED_VALUE"""),"B Saya suka melakukan hal-hal dengan cara saya sendiri.")</f>
        <v>B Saya suka melakukan hal-hal dengan cara saya sendiri.</v>
      </c>
      <c r="AG39" s="95" t="str">
        <f>IFERROR(__xludf.DUMMYFUNCTION("""COMPUTED_VALUE"""),"A Saya mengajari orang lain bagaimana mereka harus melakukan pekerjaan mereka.")</f>
        <v>A Saya mengajari orang lain bagaimana mereka harus melakukan pekerjaan mereka.</v>
      </c>
      <c r="AH39" s="95" t="str">
        <f>IFERROR(__xludf.DUMMYFUNCTION("""COMPUTED_VALUE"""),"A Saya suka membaca buku-buku tentang pergaulan remaja.")</f>
        <v>A Saya suka membaca buku-buku tentang pergaulan remaja.</v>
      </c>
      <c r="AI39" s="95" t="str">
        <f>IFERROR(__xludf.DUMMYFUNCTION("""COMPUTED_VALUE"""),"B Saya suka melakukan kegiatan sesuai kondisi yang saya inginkan.")</f>
        <v>B Saya suka melakukan kegiatan sesuai kondisi yang saya inginkan.</v>
      </c>
      <c r="AJ39" s="95" t="str">
        <f>IFERROR(__xludf.DUMMYFUNCTION("""COMPUTED_VALUE"""),"B Saya suka bertahan menghadapi satu masalah meskipun belum tentu berhasil.")</f>
        <v>B Saya suka bertahan menghadapi satu masalah meskipun belum tentu berhasil.</v>
      </c>
      <c r="AK39" s="95" t="str">
        <f>IFERROR(__xludf.DUMMYFUNCTION("""COMPUTED_VALUE"""),"B Bila saya harus melakukan suatu tugas, saya ingin mengerjakan sampai selesai.")</f>
        <v>B Bila saya harus melakukan suatu tugas, saya ingin mengerjakan sampai selesai.</v>
      </c>
      <c r="AL39" s="95" t="str">
        <f>IFERROR(__xludf.DUMMYFUNCTION("""COMPUTED_VALUE"""),"B Saya ingin menghindarkan gangguan bila saya sedang belajar.")</f>
        <v>B Saya ingin menghindarkan gangguan bila saya sedang belajar.</v>
      </c>
      <c r="AM39" s="95" t="str">
        <f>IFERROR(__xludf.DUMMYFUNCTION("""COMPUTED_VALUE"""),"B Saya suka belajar sampai malam untuk menyelesaikan suatu tugas.")</f>
        <v>B Saya suka belajar sampai malam untuk menyelesaikan suatu tugas.</v>
      </c>
      <c r="AN39" s="95" t="str">
        <f>IFERROR(__xludf.DUMMYFUNCTION("""COMPUTED_VALUE"""),"A Saya tidak suka pada orang yang semena-mena.")</f>
        <v>A Saya tidak suka pada orang yang semena-mena.</v>
      </c>
      <c r="AO39" s="95" t="str">
        <f>IFERROR(__xludf.DUMMYFUNCTION("""COMPUTED_VALUE"""),"B Saya suka menyelesaikan setiap tugas meskipun membutuhkan waktu lama.")</f>
        <v>B Saya suka menyelesaikan setiap tugas meskipun membutuhkan waktu lama.</v>
      </c>
      <c r="AP39" s="95" t="str">
        <f>IFERROR(__xludf.DUMMYFUNCTION("""COMPUTED_VALUE"""),"A Saya ingin mengerjakannya tugas sampai selesai.")</f>
        <v>A Saya ingin mengerjakannya tugas sampai selesai.</v>
      </c>
      <c r="AQ39" s="95" t="str">
        <f>IFERROR(__xludf.DUMMYFUNCTION("""COMPUTED_VALUE"""),"A Saya ingin bisa mengerjakan segala sesuatu lebih baik daripada orang-orang lain.")</f>
        <v>A Saya ingin bisa mengerjakan segala sesuatu lebih baik daripada orang-orang lain.</v>
      </c>
      <c r="AR39" s="95" t="str">
        <f>IFERROR(__xludf.DUMMYFUNCTION("""COMPUTED_VALUE"""),"A Saya suka menyimpan catatan secara rapi.")</f>
        <v>A Saya suka menyimpan catatan secara rapi.</v>
      </c>
      <c r="AS39" s="95" t="str">
        <f>IFERROR(__xludf.DUMMYFUNCTION("""COMPUTED_VALUE"""),"A Saya ingin dapat menyelesaikan persoalan yang dianggap sukar bagi orang lain.")</f>
        <v>A Saya ingin dapat menyelesaikan persoalan yang dianggap sukar bagi orang lain.</v>
      </c>
      <c r="AT39" s="95" t="str">
        <f>IFERROR(__xludf.DUMMYFUNCTION("""COMPUTED_VALUE"""),"A Saya ingin bisa melakukan dengan baik sesuatu pekerjaan sulit.")</f>
        <v>A Saya ingin bisa melakukan dengan baik sesuatu pekerjaan sulit.</v>
      </c>
      <c r="AU39" s="95" t="str">
        <f>IFERROR(__xludf.DUMMYFUNCTION("""COMPUTED_VALUE"""),"B Saya suka bermurah hati terhadap teman-teman saya.")</f>
        <v>B Saya suka bermurah hati terhadap teman-teman saya.</v>
      </c>
      <c r="AV39" s="95" t="str">
        <f>IFERROR(__xludf.DUMMYFUNCTION("""COMPUTED_VALUE"""),"B Saya suka menolong teman-teman saya.")</f>
        <v>B Saya suka menolong teman-teman saya.</v>
      </c>
      <c r="AW39" s="95" t="str">
        <f>IFERROR(__xludf.DUMMYFUNCTION("""COMPUTED_VALUE"""),"A Saya ingin mengerjakan tugas sampai selesai.")</f>
        <v>A Saya ingin mengerjakan tugas sampai selesai.</v>
      </c>
      <c r="AX39" s="95" t="str">
        <f>IFERROR(__xludf.DUMMYFUNCTION("""COMPUTED_VALUE"""),"B Saya suka memaafkan teman-teman saya yang menyakiti hati saya.")</f>
        <v>B Saya suka memaafkan teman-teman saya yang menyakiti hati saya.</v>
      </c>
      <c r="AY39" s="95" t="str">
        <f>IFERROR(__xludf.DUMMYFUNCTION("""COMPUTED_VALUE"""),"B Saya suka menolong teman-teman saya apabila mereka dalam kesulitan.")</f>
        <v>B Saya suka menolong teman-teman saya apabila mereka dalam kesulitan.</v>
      </c>
      <c r="AZ39" s="95" t="str">
        <f>IFERROR(__xludf.DUMMYFUNCTION("""COMPUTED_VALUE"""),"B Saya suka menunjukkan simpati saya kepada teman-teman saya.")</f>
        <v>B Saya suka menunjukkan simpati saya kepada teman-teman saya.</v>
      </c>
      <c r="BA39" s="95" t="str">
        <f>IFERROR(__xludf.DUMMYFUNCTION("""COMPUTED_VALUE"""),"B Saya suka memperlakukan orang lain dengan baik dan ramah.")</f>
        <v>B Saya suka memperlakukan orang lain dengan baik dan ramah.</v>
      </c>
      <c r="BB39" s="95" t="str">
        <f>IFERROR(__xludf.DUMMYFUNCTION("""COMPUTED_VALUE"""),"B Saya suka bermurah hati terhadap teman-teman saya.")</f>
        <v>B Saya suka bermurah hati terhadap teman-teman saya.</v>
      </c>
      <c r="BC39" s="95" t="str">
        <f>IFERROR(__xludf.DUMMYFUNCTION("""COMPUTED_VALUE"""),"A Saya rasanya ingin mengecam seseorang bila orang itu menjengkelkan.")</f>
        <v>A Saya rasanya ingin mengecam seseorang bila orang itu menjengkelkan.</v>
      </c>
      <c r="BD39" s="95" t="str">
        <f>IFERROR(__xludf.DUMMYFUNCTION("""COMPUTED_VALUE"""),"B Saya suka bersikukuh dengan pendirian saya.")</f>
        <v>B Saya suka bersikukuh dengan pendirian saya.</v>
      </c>
      <c r="BE39" s="95" t="str">
        <f>IFERROR(__xludf.DUMMYFUNCTION("""COMPUTED_VALUE"""),"B Saya ingin orang lain melakukan apa yang saya kehendaki.")</f>
        <v>B Saya ingin orang lain melakukan apa yang saya kehendaki.</v>
      </c>
      <c r="BF39" s="95" t="str">
        <f>IFERROR(__xludf.DUMMYFUNCTION("""COMPUTED_VALUE"""),"B Bila saya dalam kelompok, saya ingin menentukan apa yang akan kita lakukan.")</f>
        <v>B Bila saya dalam kelompok, saya ingin menentukan apa yang akan kita lakukan.</v>
      </c>
      <c r="BG39" s="95" t="str">
        <f>IFERROR(__xludf.DUMMYFUNCTION("""COMPUTED_VALUE"""),"B Saya suka mengarahkan kepada orang lain apa yang harus dilakukan.")</f>
        <v>B Saya suka mengarahkan kepada orang lain apa yang harus dilakukan.</v>
      </c>
      <c r="BH39" s="95" t="str">
        <f>IFERROR(__xludf.DUMMYFUNCTION("""COMPUTED_VALUE"""),"A Saya suka menghindar dari situasi yang tidak saya harapkan.")</f>
        <v>A Saya suka menghindar dari situasi yang tidak saya harapkan.</v>
      </c>
      <c r="BI39" s="95" t="str">
        <f>IFERROR(__xludf.DUMMYFUNCTION("""COMPUTED_VALUE"""),"A Saya suka bermurah hati terhadap teman-teman saya.")</f>
        <v>A Saya suka bermurah hati terhadap teman-teman saya.</v>
      </c>
      <c r="BJ39" s="95" t="str">
        <f>IFERROR(__xludf.DUMMYFUNCTION("""COMPUTED_VALUE"""),"B Saya ingin menjadi pemimpin dalam kelompok di mana saya ada di situ")</f>
        <v>B Saya ingin menjadi pemimpin dalam kelompok di mana saya ada di situ</v>
      </c>
      <c r="BK39" s="95" t="str">
        <f>IFERROR(__xludf.DUMMYFUNCTION("""COMPUTED_VALUE"""),"B Saya senang untuk diminta menyelesaikan pertentangan-pertentangan.")</f>
        <v>B Saya senang untuk diminta menyelesaikan pertentangan-pertentangan.</v>
      </c>
      <c r="BL39" s="95" t="str">
        <f>IFERROR(__xludf.DUMMYFUNCTION("""COMPUTED_VALUE"""),"A Saya suka belajar saya teratur dan ada waktu-waktu tertentu untuk belajar.")</f>
        <v>A Saya suka belajar saya teratur dan ada waktu-waktu tertentu untuk belajar.</v>
      </c>
      <c r="BM39" s="95" t="str">
        <f>IFERROR(__xludf.DUMMYFUNCTION("""COMPUTED_VALUE"""),"A Saya suka melakukan pekerjaan sebaik mungkin.")</f>
        <v>A Saya suka melakukan pekerjaan sebaik mungkin.</v>
      </c>
      <c r="BN39" s="95" t="str">
        <f>IFERROR(__xludf.DUMMYFUNCTION("""COMPUTED_VALUE"""),"A Saya suka mengerjakan teka-teki atau memecahkan persoalan sampai selesai.")</f>
        <v>A Saya suka mengerjakan teka-teki atau memecahkan persoalan sampai selesai.</v>
      </c>
      <c r="BO39" s="95" t="str">
        <f>IFERROR(__xludf.DUMMYFUNCTION("""COMPUTED_VALUE"""),"B Saya ingin diperlakukan dengan baik oleh teman-teman saya.")</f>
        <v>B Saya ingin diperlakukan dengan baik oleh teman-teman saya.</v>
      </c>
      <c r="BP39" s="95" t="str">
        <f>IFERROR(__xludf.DUMMYFUNCTION("""COMPUTED_VALUE"""),"A Saya ingin menyelesaikan sesuatu yang sangat penting artinya.")</f>
        <v>A Saya ingin menyelesaikan sesuatu yang sangat penting artinya.</v>
      </c>
      <c r="BQ39" s="95" t="str">
        <f>IFERROR(__xludf.DUMMYFUNCTION("""COMPUTED_VALUE"""),"A Saya ingin mengerjakannya tugas sampai selesai.")</f>
        <v>A Saya ingin mengerjakannya tugas sampai selesai.</v>
      </c>
      <c r="BR39" s="95" t="str">
        <f>IFERROR(__xludf.DUMMYFUNCTION("""COMPUTED_VALUE"""),"A Saya suka memaafkan teman-teman saya yang menyakiti hati saya.")</f>
        <v>A Saya suka memaafkan teman-teman saya yang menyakiti hati saya.</v>
      </c>
      <c r="BS39" s="95" t="str">
        <f>IFERROR(__xludf.DUMMYFUNCTION("""COMPUTED_VALUE"""),"B Saya ingin teman-teman saya membantu saya bila saya mengalami kesulitan")</f>
        <v>B Saya ingin teman-teman saya membantu saya bila saya mengalami kesulitan</v>
      </c>
      <c r="BT39" s="95" t="str">
        <f>IFERROR(__xludf.DUMMYFUNCTION("""COMPUTED_VALUE"""),"B Saya ingin teman-teman banyak menunjukkan rasa sayang mereka terhadap saya.")</f>
        <v>B Saya ingin teman-teman banyak menunjukkan rasa sayang mereka terhadap saya.</v>
      </c>
      <c r="BU39" s="95" t="str">
        <f>IFERROR(__xludf.DUMMYFUNCTION("""COMPUTED_VALUE"""),"A Saya kadang-kadang suka melakukan hal-hal yang dapat dipuji oleh orang lain.")</f>
        <v>A Saya kadang-kadang suka melakukan hal-hal yang dapat dipuji oleh orang lain.</v>
      </c>
      <c r="BV39" s="95" t="str">
        <f>IFERROR(__xludf.DUMMYFUNCTION("""COMPUTED_VALUE"""),"A Saya ingin dianggap menarik oleh orang lain.")</f>
        <v>A Saya ingin dianggap menarik oleh orang lain.</v>
      </c>
      <c r="BW39" s="95" t="str">
        <f>IFERROR(__xludf.DUMMYFUNCTION("""COMPUTED_VALUE"""),"B Saya ingin diperlakukan dengan baik oleh teman-teman saya.")</f>
        <v>B Saya ingin diperlakukan dengan baik oleh teman-teman saya.</v>
      </c>
      <c r="BX39" s="95" t="str">
        <f>IFERROR(__xludf.DUMMYFUNCTION("""COMPUTED_VALUE"""),"B Saya kadang-kadang suka melakukan hal-hal yang dapat dipuji oleh orang lain.")</f>
        <v>B Saya kadang-kadang suka melakukan hal-hal yang dapat dipuji oleh orang lain.</v>
      </c>
      <c r="BY39" s="95" t="str">
        <f>IFERROR(__xludf.DUMMYFUNCTION("""COMPUTED_VALUE"""),"A Saya suka melamun atau membayangkan hal-hal yang tidak jelas.")</f>
        <v>A Saya suka melamun atau membayangkan hal-hal yang tidak jelas.</v>
      </c>
      <c r="BZ39" s="95" t="str">
        <f>IFERROR(__xludf.DUMMYFUNCTION("""COMPUTED_VALUE"""),"A Saya suka berkata yang artinya sulit dipahami oleh orang lain.")</f>
        <v>A Saya suka berkata yang artinya sulit dipahami oleh orang lain.</v>
      </c>
      <c r="CA39" s="95" t="str">
        <f>IFERROR(__xludf.DUMMYFUNCTION("""COMPUTED_VALUE"""),"B Saya suka mengajukan pertanyaan agar orang lain memperhatikan saya.")</f>
        <v>B Saya suka mengajukan pertanyaan agar orang lain memperhatikan saya.</v>
      </c>
      <c r="CB39" s="95" t="str">
        <f>IFERROR(__xludf.DUMMYFUNCTION("""COMPUTED_VALUE"""),"B Saya suka berbicara tentang hal-hal yang telah saya capai.")</f>
        <v>B Saya suka berbicara tentang hal-hal yang telah saya capai.</v>
      </c>
      <c r="CC39" s="95" t="str">
        <f>IFERROR(__xludf.DUMMYFUNCTION("""COMPUTED_VALUE"""),"A Apabila saya berkumpul dalam kelompok, saya ingin dihargai teman-teman.")</f>
        <v>A Apabila saya berkumpul dalam kelompok, saya ingin dihargai teman-teman.</v>
      </c>
      <c r="CD39" s="95" t="str">
        <f>IFERROR(__xludf.DUMMYFUNCTION("""COMPUTED_VALUE"""),"A Saya suka menyelesaikan setiap tugas meskipun membutuhkan waktu lama.")</f>
        <v>A Saya suka menyelesaikan setiap tugas meskipun membutuhkan waktu lama.</v>
      </c>
      <c r="CE39" s="95" t="str">
        <f>IFERROR(__xludf.DUMMYFUNCTION("""COMPUTED_VALUE"""),"A Saya suka menyelesaikan setiap tugas belajar yang telah saya mulai.")</f>
        <v>A Saya suka menyelesaikan setiap tugas belajar yang telah saya mulai.</v>
      </c>
      <c r="CF39" s="95" t="str">
        <f>IFERROR(__xludf.DUMMYFUNCTION("""COMPUTED_VALUE"""),"A Saya ingin agar hidup saya teratur sesuai cita-cita saya.")</f>
        <v>A Saya ingin agar hidup saya teratur sesuai cita-cita saya.</v>
      </c>
      <c r="CG39" s="95" t="str">
        <f>IFERROR(__xludf.DUMMYFUNCTION("""COMPUTED_VALUE"""),"A Saya ingin berhasil dalam apa yang saya lakukan.")</f>
        <v>A Saya ingin berhasil dalam apa yang saya lakukan.</v>
      </c>
      <c r="CH39" s="95" t="str">
        <f>IFERROR(__xludf.DUMMYFUNCTION("""COMPUTED_VALUE"""),"A Saya ingin bisa melakukan dengan baik sesuatu pekerjaan sulit.")</f>
        <v>A Saya ingin bisa melakukan dengan baik sesuatu pekerjaan sulit.</v>
      </c>
      <c r="CI39" s="95" t="str">
        <f>IFERROR(__xludf.DUMMYFUNCTION("""COMPUTED_VALUE"""),"A Saya suka belajar saya teratur dan ada waktu-waktu tertentu untuk belajar.")</f>
        <v>A Saya suka belajar saya teratur dan ada waktu-waktu tertentu untuk belajar.</v>
      </c>
      <c r="CJ39" s="95" t="str">
        <f>IFERROR(__xludf.DUMMYFUNCTION("""COMPUTED_VALUE"""),"A Saya ingin tidak tergantung dari orang lain terhadap apa yang akan saya lakukan.")</f>
        <v>A Saya ingin tidak tergantung dari orang lain terhadap apa yang akan saya lakukan.</v>
      </c>
      <c r="CK39" s="95" t="str">
        <f>IFERROR(__xludf.DUMMYFUNCTION("""COMPUTED_VALUE"""),"B Saya senang ikut beraktivitas bersama teman sebaya saya.")</f>
        <v>B Saya senang ikut beraktivitas bersama teman sebaya saya.</v>
      </c>
      <c r="CL39" s="95" t="str">
        <f>IFERROR(__xludf.DUMMYFUNCTION("""COMPUTED_VALUE"""),"A Saya suka menolong teman-teman saya, apabila mereka dalam kesulitan.")</f>
        <v>A Saya suka menolong teman-teman saya, apabila mereka dalam kesulitan.</v>
      </c>
      <c r="CM39" s="95" t="str">
        <f>IFERROR(__xludf.DUMMYFUNCTION("""COMPUTED_VALUE"""),"B Saya merasa kagum pada seseorang.")</f>
        <v>B Saya merasa kagum pada seseorang.</v>
      </c>
      <c r="CN39" s="95" t="str">
        <f>IFERROR(__xludf.DUMMYFUNCTION("""COMPUTED_VALUE"""),"A Saya ingin diperlakukan dengan baik oleh teman-teman saya.")</f>
        <v>A Saya ingin diperlakukan dengan baik oleh teman-teman saya.</v>
      </c>
      <c r="CO39" s="95" t="str">
        <f>IFERROR(__xludf.DUMMYFUNCTION("""COMPUTED_VALUE"""),"B Saya suka memuji orang yang saya kagumi.")</f>
        <v>B Saya suka memuji orang yang saya kagumi.</v>
      </c>
      <c r="CP39" s="95" t="str">
        <f>IFERROR(__xludf.DUMMYFUNCTION("""COMPUTED_VALUE"""),"A Saya suka melamun atau membayangkan sesuatu sendirian.")</f>
        <v>A Saya suka melamun atau membayangkan sesuatu sendirian.</v>
      </c>
      <c r="CQ39" s="95" t="str">
        <f>IFERROR(__xludf.DUMMYFUNCTION("""COMPUTED_VALUE"""),"B Saya merasa kagum pada seseorang.")</f>
        <v>B Saya merasa kagum pada seseorang.</v>
      </c>
      <c r="CR39" s="95" t="str">
        <f>IFERROR(__xludf.DUMMYFUNCTION("""COMPUTED_VALUE"""),"B Saya rasanya ingin mengecam seseorang bila orang itu menjengkelkan.")</f>
        <v>B Saya rasanya ingin mengecam seseorang bila orang itu menjengkelkan.</v>
      </c>
      <c r="CS39" s="95" t="str">
        <f>IFERROR(__xludf.DUMMYFUNCTION("""COMPUTED_VALUE"""),"B Saya rasanya ingin membalas dendam bila seseorang menghina saya.")</f>
        <v>B Saya rasanya ingin membalas dendam bila seseorang menghina saya.</v>
      </c>
      <c r="CT39" s="95" t="str">
        <f>IFERROR(__xludf.DUMMYFUNCTION("""COMPUTED_VALUE"""),"B Saya saat marah rasanya ingin melemparkan dan merusak barang-barang.")</f>
        <v>B Saya saat marah rasanya ingin melemparkan dan merusak barang-barang.</v>
      </c>
      <c r="CU39" s="95" t="str">
        <f>IFERROR(__xludf.DUMMYFUNCTION("""COMPUTED_VALUE"""),"A Saya ingin diperlakukan dengan ramah oleh teman-teman saya.")</f>
        <v>A Saya ingin diperlakukan dengan ramah oleh teman-teman saya.</v>
      </c>
      <c r="CV39" s="95" t="str">
        <f>IFERROR(__xludf.DUMMYFUNCTION("""COMPUTED_VALUE"""),"A Saya ingin ditunjuk atau dipilih sebagai ketua dalam suatu kelompok.")</f>
        <v>A Saya ingin ditunjuk atau dipilih sebagai ketua dalam suatu kelompok.</v>
      </c>
      <c r="CW39" s="95" t="str">
        <f>IFERROR(__xludf.DUMMYFUNCTION("""COMPUTED_VALUE"""),"B Saya mengatakan kepada orang lain bagaimana pendapat saya terhadap mereka.")</f>
        <v>B Saya mengatakan kepada orang lain bagaimana pendapat saya terhadap mereka.</v>
      </c>
      <c r="CX39" s="95" t="str">
        <f>IFERROR(__xludf.DUMMYFUNCTION("""COMPUTED_VALUE"""),"A Saya suka belajar sampai malam untuk menyelesaikan suatu tugas.")</f>
        <v>A Saya suka belajar sampai malam untuk menyelesaikan suatu tugas.</v>
      </c>
      <c r="CY39" s="95" t="str">
        <f>IFERROR(__xludf.DUMMYFUNCTION("""COMPUTED_VALUE"""),"B Saya rasanya ingin membalas dendam bila seseorang menghina saya.")</f>
        <v>B Saya rasanya ingin membalas dendam bila seseorang menghina saya.</v>
      </c>
      <c r="CZ39" s="95" t="str">
        <f>IFERROR(__xludf.DUMMYFUNCTION("""COMPUTED_VALUE"""),"A Saya suka merencanakan dan mengatur setiap pekerjaan yang harus saya lakukan.")</f>
        <v>A Saya suka merencanakan dan mengatur setiap pekerjaan yang harus saya lakukan.</v>
      </c>
      <c r="DA39" s="95" t="str">
        <f>IFERROR(__xludf.DUMMYFUNCTION("""COMPUTED_VALUE"""),"B Saya rasanya ingin mengecam seseorang bila orang itu menjengkelkan.")</f>
        <v>B Saya rasanya ingin mengecam seseorang bila orang itu menjengkelkan.</v>
      </c>
      <c r="DB39" s="89" t="s">
        <v>23</v>
      </c>
      <c r="DC39" s="97" t="str">
        <f t="shared" ref="DC39:GX39" si="84">LEFT(F39,1)</f>
        <v>B</v>
      </c>
      <c r="DD39" s="97" t="str">
        <f t="shared" si="84"/>
        <v>A</v>
      </c>
      <c r="DE39" s="97" t="str">
        <f t="shared" si="84"/>
        <v>B</v>
      </c>
      <c r="DF39" s="97" t="str">
        <f t="shared" si="84"/>
        <v>B</v>
      </c>
      <c r="DG39" s="97" t="str">
        <f t="shared" si="84"/>
        <v>A</v>
      </c>
      <c r="DH39" s="97" t="str">
        <f t="shared" si="84"/>
        <v>A</v>
      </c>
      <c r="DI39" s="97" t="str">
        <f t="shared" si="84"/>
        <v>B</v>
      </c>
      <c r="DJ39" s="97" t="str">
        <f t="shared" si="84"/>
        <v>A</v>
      </c>
      <c r="DK39" s="97" t="str">
        <f t="shared" si="84"/>
        <v>B</v>
      </c>
      <c r="DL39" s="97" t="str">
        <f t="shared" si="84"/>
        <v>B</v>
      </c>
      <c r="DM39" s="97" t="str">
        <f t="shared" si="84"/>
        <v>A</v>
      </c>
      <c r="DN39" s="97" t="str">
        <f t="shared" si="84"/>
        <v>B</v>
      </c>
      <c r="DO39" s="97" t="str">
        <f t="shared" si="84"/>
        <v>B</v>
      </c>
      <c r="DP39" s="97" t="str">
        <f t="shared" si="84"/>
        <v>B</v>
      </c>
      <c r="DQ39" s="97" t="str">
        <f t="shared" si="84"/>
        <v>B</v>
      </c>
      <c r="DR39" s="97" t="str">
        <f t="shared" si="84"/>
        <v>A</v>
      </c>
      <c r="DS39" s="97" t="str">
        <f t="shared" si="84"/>
        <v>B</v>
      </c>
      <c r="DT39" s="97" t="str">
        <f t="shared" si="84"/>
        <v>A</v>
      </c>
      <c r="DU39" s="97" t="str">
        <f t="shared" si="84"/>
        <v>A</v>
      </c>
      <c r="DV39" s="97" t="str">
        <f t="shared" si="84"/>
        <v>A</v>
      </c>
      <c r="DW39" s="97" t="str">
        <f t="shared" si="84"/>
        <v>A</v>
      </c>
      <c r="DX39" s="97" t="str">
        <f t="shared" si="84"/>
        <v>B</v>
      </c>
      <c r="DY39" s="97" t="str">
        <f t="shared" si="84"/>
        <v>B</v>
      </c>
      <c r="DZ39" s="97" t="str">
        <f t="shared" si="84"/>
        <v>A</v>
      </c>
      <c r="EA39" s="97" t="str">
        <f t="shared" si="84"/>
        <v>A</v>
      </c>
      <c r="EB39" s="97" t="str">
        <f t="shared" si="84"/>
        <v>A</v>
      </c>
      <c r="EC39" s="97" t="str">
        <f t="shared" si="84"/>
        <v>B</v>
      </c>
      <c r="ED39" s="97" t="str">
        <f t="shared" si="84"/>
        <v>A</v>
      </c>
      <c r="EE39" s="97" t="str">
        <f t="shared" si="84"/>
        <v>A</v>
      </c>
      <c r="EF39" s="97" t="str">
        <f t="shared" si="84"/>
        <v>B</v>
      </c>
      <c r="EG39" s="97" t="str">
        <f t="shared" si="84"/>
        <v>B</v>
      </c>
      <c r="EH39" s="97" t="str">
        <f t="shared" si="84"/>
        <v>B</v>
      </c>
      <c r="EI39" s="97" t="str">
        <f t="shared" si="84"/>
        <v>B</v>
      </c>
      <c r="EJ39" s="97" t="str">
        <f t="shared" si="84"/>
        <v>B</v>
      </c>
      <c r="EK39" s="97" t="str">
        <f t="shared" si="84"/>
        <v>A</v>
      </c>
      <c r="EL39" s="97" t="str">
        <f t="shared" si="84"/>
        <v>B</v>
      </c>
      <c r="EM39" s="97" t="str">
        <f t="shared" si="84"/>
        <v>A</v>
      </c>
      <c r="EN39" s="97" t="str">
        <f t="shared" si="84"/>
        <v>A</v>
      </c>
      <c r="EO39" s="97" t="str">
        <f t="shared" si="84"/>
        <v>A</v>
      </c>
      <c r="EP39" s="97" t="str">
        <f t="shared" si="84"/>
        <v>A</v>
      </c>
      <c r="EQ39" s="97" t="str">
        <f t="shared" si="84"/>
        <v>A</v>
      </c>
      <c r="ER39" s="97" t="str">
        <f t="shared" si="84"/>
        <v>B</v>
      </c>
      <c r="ES39" s="97" t="str">
        <f t="shared" si="84"/>
        <v>B</v>
      </c>
      <c r="ET39" s="97" t="str">
        <f t="shared" si="84"/>
        <v>A</v>
      </c>
      <c r="EU39" s="97" t="str">
        <f t="shared" si="84"/>
        <v>B</v>
      </c>
      <c r="EV39" s="97" t="str">
        <f t="shared" si="84"/>
        <v>B</v>
      </c>
      <c r="EW39" s="97" t="str">
        <f t="shared" si="84"/>
        <v>B</v>
      </c>
      <c r="EX39" s="97" t="str">
        <f t="shared" si="84"/>
        <v>B</v>
      </c>
      <c r="EY39" s="97" t="str">
        <f t="shared" si="84"/>
        <v>B</v>
      </c>
      <c r="EZ39" s="97" t="str">
        <f t="shared" si="84"/>
        <v>A</v>
      </c>
      <c r="FA39" s="97" t="str">
        <f t="shared" si="84"/>
        <v>B</v>
      </c>
      <c r="FB39" s="97" t="str">
        <f t="shared" si="84"/>
        <v>B</v>
      </c>
      <c r="FC39" s="97" t="str">
        <f t="shared" si="84"/>
        <v>B</v>
      </c>
      <c r="FD39" s="97" t="str">
        <f t="shared" si="84"/>
        <v>B</v>
      </c>
      <c r="FE39" s="97" t="str">
        <f t="shared" si="84"/>
        <v>A</v>
      </c>
      <c r="FF39" s="97" t="str">
        <f t="shared" si="84"/>
        <v>A</v>
      </c>
      <c r="FG39" s="97" t="str">
        <f t="shared" si="84"/>
        <v>B</v>
      </c>
      <c r="FH39" s="97" t="str">
        <f t="shared" si="84"/>
        <v>B</v>
      </c>
      <c r="FI39" s="97" t="str">
        <f t="shared" si="84"/>
        <v>A</v>
      </c>
      <c r="FJ39" s="97" t="str">
        <f t="shared" si="84"/>
        <v>A</v>
      </c>
      <c r="FK39" s="97" t="str">
        <f t="shared" si="84"/>
        <v>A</v>
      </c>
      <c r="FL39" s="97" t="str">
        <f t="shared" si="84"/>
        <v>B</v>
      </c>
      <c r="FM39" s="97" t="str">
        <f t="shared" si="84"/>
        <v>A</v>
      </c>
      <c r="FN39" s="97" t="str">
        <f t="shared" si="84"/>
        <v>A</v>
      </c>
      <c r="FO39" s="97" t="str">
        <f t="shared" si="84"/>
        <v>A</v>
      </c>
      <c r="FP39" s="97" t="str">
        <f t="shared" si="84"/>
        <v>B</v>
      </c>
      <c r="FQ39" s="97" t="str">
        <f t="shared" si="84"/>
        <v>B</v>
      </c>
      <c r="FR39" s="97" t="str">
        <f t="shared" si="84"/>
        <v>A</v>
      </c>
      <c r="FS39" s="97" t="str">
        <f t="shared" si="84"/>
        <v>A</v>
      </c>
      <c r="FT39" s="97" t="str">
        <f t="shared" si="84"/>
        <v>B</v>
      </c>
      <c r="FU39" s="97" t="str">
        <f t="shared" si="84"/>
        <v>B</v>
      </c>
      <c r="FV39" s="97" t="str">
        <f t="shared" si="84"/>
        <v>A</v>
      </c>
      <c r="FW39" s="97" t="str">
        <f t="shared" si="84"/>
        <v>A</v>
      </c>
      <c r="FX39" s="97" t="str">
        <f t="shared" si="84"/>
        <v>B</v>
      </c>
      <c r="FY39" s="97" t="str">
        <f t="shared" si="84"/>
        <v>B</v>
      </c>
      <c r="FZ39" s="97" t="str">
        <f t="shared" si="84"/>
        <v>A</v>
      </c>
      <c r="GA39" s="97" t="str">
        <f t="shared" si="84"/>
        <v>A</v>
      </c>
      <c r="GB39" s="97" t="str">
        <f t="shared" si="84"/>
        <v>A</v>
      </c>
      <c r="GC39" s="97" t="str">
        <f t="shared" si="84"/>
        <v>A</v>
      </c>
      <c r="GD39" s="97" t="str">
        <f t="shared" si="84"/>
        <v>A</v>
      </c>
      <c r="GE39" s="97" t="str">
        <f t="shared" si="84"/>
        <v>A</v>
      </c>
      <c r="GF39" s="97" t="str">
        <f t="shared" si="84"/>
        <v>A</v>
      </c>
      <c r="GG39" s="97" t="str">
        <f t="shared" si="84"/>
        <v>A</v>
      </c>
      <c r="GH39" s="97" t="str">
        <f t="shared" si="84"/>
        <v>B</v>
      </c>
      <c r="GI39" s="97" t="str">
        <f t="shared" si="84"/>
        <v>A</v>
      </c>
      <c r="GJ39" s="97" t="str">
        <f t="shared" si="84"/>
        <v>B</v>
      </c>
      <c r="GK39" s="97" t="str">
        <f t="shared" si="84"/>
        <v>A</v>
      </c>
      <c r="GL39" s="97" t="str">
        <f t="shared" si="84"/>
        <v>B</v>
      </c>
      <c r="GM39" s="97" t="str">
        <f t="shared" si="84"/>
        <v>A</v>
      </c>
      <c r="GN39" s="97" t="str">
        <f t="shared" si="84"/>
        <v>B</v>
      </c>
      <c r="GO39" s="97" t="str">
        <f t="shared" si="84"/>
        <v>B</v>
      </c>
      <c r="GP39" s="97" t="str">
        <f t="shared" si="84"/>
        <v>B</v>
      </c>
      <c r="GQ39" s="97" t="str">
        <f t="shared" si="84"/>
        <v>B</v>
      </c>
      <c r="GR39" s="97" t="str">
        <f t="shared" si="84"/>
        <v>A</v>
      </c>
      <c r="GS39" s="97" t="str">
        <f t="shared" si="84"/>
        <v>A</v>
      </c>
      <c r="GT39" s="97" t="str">
        <f t="shared" si="84"/>
        <v>B</v>
      </c>
      <c r="GU39" s="97" t="str">
        <f t="shared" si="84"/>
        <v>A</v>
      </c>
      <c r="GV39" s="97" t="str">
        <f t="shared" si="84"/>
        <v>B</v>
      </c>
      <c r="GW39" s="97" t="str">
        <f t="shared" si="84"/>
        <v>A</v>
      </c>
      <c r="GX39" s="97" t="str">
        <f t="shared" si="84"/>
        <v>B</v>
      </c>
      <c r="GY39" s="98"/>
      <c r="GZ39" s="97">
        <f t="shared" si="3"/>
        <v>50</v>
      </c>
      <c r="HA39" s="97">
        <f t="shared" si="4"/>
        <v>50</v>
      </c>
      <c r="HB39" s="90">
        <f t="shared" si="5"/>
        <v>100</v>
      </c>
      <c r="HC39" s="99"/>
      <c r="HD39" s="97">
        <f t="shared" si="6"/>
        <v>8</v>
      </c>
      <c r="HE39" s="97">
        <f t="shared" si="7"/>
        <v>5</v>
      </c>
      <c r="HF39" s="90">
        <f t="shared" si="8"/>
        <v>13</v>
      </c>
      <c r="HG39" s="99"/>
      <c r="HH39" s="97">
        <f t="shared" si="9"/>
        <v>6</v>
      </c>
      <c r="HI39" s="97">
        <f t="shared" si="10"/>
        <v>5</v>
      </c>
      <c r="HJ39" s="90">
        <f t="shared" si="11"/>
        <v>11</v>
      </c>
      <c r="HK39" s="99"/>
      <c r="HL39" s="97">
        <f t="shared" si="12"/>
        <v>5</v>
      </c>
      <c r="HM39" s="97">
        <f t="shared" si="13"/>
        <v>4</v>
      </c>
      <c r="HN39" s="90">
        <f t="shared" si="14"/>
        <v>9</v>
      </c>
      <c r="HO39" s="99"/>
      <c r="HP39" s="97">
        <f t="shared" si="15"/>
        <v>5</v>
      </c>
      <c r="HQ39" s="97">
        <f t="shared" si="16"/>
        <v>5</v>
      </c>
      <c r="HR39" s="90">
        <f t="shared" si="17"/>
        <v>10</v>
      </c>
      <c r="HS39" s="99"/>
      <c r="HT39" s="97">
        <f t="shared" si="18"/>
        <v>7</v>
      </c>
      <c r="HU39" s="97">
        <f t="shared" si="19"/>
        <v>7</v>
      </c>
      <c r="HV39" s="90">
        <f t="shared" si="20"/>
        <v>14</v>
      </c>
      <c r="HW39" s="99"/>
      <c r="HX39" s="97">
        <f t="shared" si="21"/>
        <v>4</v>
      </c>
      <c r="HY39" s="97">
        <f t="shared" si="22"/>
        <v>6</v>
      </c>
      <c r="HZ39" s="90">
        <f t="shared" si="23"/>
        <v>10</v>
      </c>
      <c r="IA39" s="99"/>
      <c r="IB39" s="97">
        <f t="shared" si="24"/>
        <v>2</v>
      </c>
      <c r="IC39" s="97">
        <f t="shared" si="25"/>
        <v>4</v>
      </c>
      <c r="ID39" s="90">
        <f t="shared" si="26"/>
        <v>6</v>
      </c>
      <c r="IE39" s="99"/>
      <c r="IF39" s="97">
        <f t="shared" si="27"/>
        <v>3</v>
      </c>
      <c r="IG39" s="97">
        <f t="shared" si="28"/>
        <v>3</v>
      </c>
      <c r="IH39" s="90">
        <f t="shared" si="29"/>
        <v>6</v>
      </c>
      <c r="II39" s="99"/>
      <c r="IJ39" s="97">
        <f t="shared" si="30"/>
        <v>3</v>
      </c>
      <c r="IK39" s="97">
        <f t="shared" si="31"/>
        <v>4</v>
      </c>
      <c r="IL39" s="90">
        <f t="shared" si="32"/>
        <v>7</v>
      </c>
      <c r="IM39" s="99"/>
      <c r="IN39" s="97">
        <f t="shared" si="33"/>
        <v>2</v>
      </c>
      <c r="IO39" s="97">
        <f t="shared" si="34"/>
        <v>6</v>
      </c>
      <c r="IP39" s="90">
        <f t="shared" si="35"/>
        <v>8</v>
      </c>
      <c r="IQ39" s="99"/>
      <c r="IR39" s="99"/>
      <c r="IS39" s="100">
        <f t="shared" si="36"/>
        <v>13</v>
      </c>
      <c r="IT39" s="100">
        <f t="shared" si="37"/>
        <v>11</v>
      </c>
      <c r="IU39" s="100">
        <f t="shared" si="38"/>
        <v>9</v>
      </c>
      <c r="IV39" s="100">
        <f t="shared" si="39"/>
        <v>10</v>
      </c>
      <c r="IW39" s="100">
        <f t="shared" si="40"/>
        <v>14</v>
      </c>
      <c r="IX39" s="100">
        <f t="shared" si="41"/>
        <v>10</v>
      </c>
      <c r="IY39" s="100">
        <f t="shared" si="42"/>
        <v>6</v>
      </c>
      <c r="IZ39" s="100">
        <f t="shared" si="43"/>
        <v>6</v>
      </c>
      <c r="JA39" s="100">
        <f t="shared" si="44"/>
        <v>7</v>
      </c>
      <c r="JB39" s="101">
        <f t="shared" si="45"/>
        <v>8</v>
      </c>
      <c r="JC39" s="102">
        <f t="shared" si="46"/>
        <v>94</v>
      </c>
      <c r="JD39" s="67">
        <f t="shared" si="50"/>
        <v>0</v>
      </c>
      <c r="JE39" s="67">
        <f t="shared" si="47"/>
        <v>1</v>
      </c>
      <c r="JF39" s="67">
        <f t="shared" si="48"/>
        <v>1</v>
      </c>
    </row>
    <row r="40">
      <c r="A40" s="103">
        <f>IFERROR(__xludf.DUMMYFUNCTION("""COMPUTED_VALUE"""),45927.39777923611)</f>
        <v>45927.39778</v>
      </c>
      <c r="B40" s="95" t="str">
        <f>IFERROR(__xludf.DUMMYFUNCTION("""COMPUTED_VALUE"""),"Alesha az zahra saputra")</f>
        <v>Alesha az zahra saputra</v>
      </c>
      <c r="C40" s="96" t="str">
        <f>IFERROR(__xludf.DUMMYFUNCTION("""COMPUTED_VALUE"""),"D250011")</f>
        <v>D250011</v>
      </c>
      <c r="D40" s="96" t="str">
        <f>IFERROR(__xludf.DUMMYFUNCTION("""COMPUTED_VALUE"""),"MTs Putri")</f>
        <v>MTs Putri</v>
      </c>
      <c r="E40" s="96" t="str">
        <f>IFERROR(__xludf.DUMMYFUNCTION("""COMPUTED_VALUE"""),"Ya")</f>
        <v>Ya</v>
      </c>
      <c r="F40" s="95" t="str">
        <f>IFERROR(__xludf.DUMMYFUNCTION("""COMPUTED_VALUE"""),"B Saya ingin melakukan apa saja sebaik mungkin.")</f>
        <v>B Saya ingin melakukan apa saja sebaik mungkin.</v>
      </c>
      <c r="G40" s="95" t="str">
        <f>IFERROR(__xludf.DUMMYFUNCTION("""COMPUTED_VALUE"""),"A Saya ingin setiap tulisan saya teliti, rapi, dan tersusun dengan baik.")</f>
        <v>A Saya ingin setiap tulisan saya teliti, rapi, dan tersusun dengan baik.</v>
      </c>
      <c r="H40" s="95" t="str">
        <f>IFERROR(__xludf.DUMMYFUNCTION("""COMPUTED_VALUE"""),"A Saya ingin berbuat sesuai kata hati saya.")</f>
        <v>A Saya ingin berbuat sesuai kata hati saya.</v>
      </c>
      <c r="I40" s="95" t="str">
        <f>IFERROR(__xludf.DUMMYFUNCTION("""COMPUTED_VALUE"""),"B Saya ingin bisa melakukan dengan baik meskipun tugas yang sulit.")</f>
        <v>B Saya ingin bisa melakukan dengan baik meskipun tugas yang sulit.</v>
      </c>
      <c r="J40" s="95" t="str">
        <f>IFERROR(__xludf.DUMMYFUNCTION("""COMPUTED_VALUE"""),"A Saya suka membantu teman-teman saya apabila mereka mengalami kesulitan.")</f>
        <v>A Saya suka membantu teman-teman saya apabila mereka mengalami kesulitan.</v>
      </c>
      <c r="K40" s="95" t="str">
        <f>IFERROR(__xludf.DUMMYFUNCTION("""COMPUTED_VALUE"""),"B Saya ingin mengatakan telah melakukan dengan baik sesuatu tugas yang sulit.")</f>
        <v>B Saya ingin mengatakan telah melakukan dengan baik sesuatu tugas yang sulit.</v>
      </c>
      <c r="L40" s="95" t="str">
        <f>IFERROR(__xludf.DUMMYFUNCTION("""COMPUTED_VALUE"""),"B Saya ingin mengatakan telah melakukan dengan baik sesuatu tugas yang sulit")</f>
        <v>B Saya ingin mengatakan telah melakukan dengan baik sesuatu tugas yang sulit</v>
      </c>
      <c r="M40" s="95" t="str">
        <f>IFERROR(__xludf.DUMMYFUNCTION("""COMPUTED_VALUE"""),"A Saya suka berbicara tentang hal-hal yang telah berhasil saya lakukan.")</f>
        <v>A Saya suka berbicara tentang hal-hal yang telah berhasil saya lakukan.</v>
      </c>
      <c r="N40" s="95" t="str">
        <f>IFERROR(__xludf.DUMMYFUNCTION("""COMPUTED_VALUE"""),"B Saya suka memecahkan persoalan yang sukar bagi orang lain.")</f>
        <v>B Saya suka memecahkan persoalan yang sukar bagi orang lain.</v>
      </c>
      <c r="O40" s="95" t="str">
        <f>IFERROR(__xludf.DUMMYFUNCTION("""COMPUTED_VALUE"""),"B Saya suka melakukan tugas sebaik mungkin.")</f>
        <v>B Saya suka melakukan tugas sebaik mungkin.</v>
      </c>
      <c r="P40" s="95" t="str">
        <f>IFERROR(__xludf.DUMMYFUNCTION("""COMPUTED_VALUE"""),"A Saya suka bercerita tentang hal-hal yang menegangkan atau menantang.")</f>
        <v>A Saya suka bercerita tentang hal-hal yang menegangkan atau menantang.</v>
      </c>
      <c r="Q40" s="95" t="str">
        <f>IFERROR(__xludf.DUMMYFUNCTION("""COMPUTED_VALUE"""),"B Saya merencanakan keperluan yang dibutuhkan sebelum bepergian.")</f>
        <v>B Saya merencanakan keperluan yang dibutuhkan sebelum bepergian.</v>
      </c>
      <c r="R40" s="95" t="str">
        <f>IFERROR(__xludf.DUMMYFUNCTION("""COMPUTED_VALUE"""),"B Saya suka barang-barang saya tersusun rapi dan teratur.")</f>
        <v>B Saya suka barang-barang saya tersusun rapi dan teratur.</v>
      </c>
      <c r="S40" s="95" t="str">
        <f>IFERROR(__xludf.DUMMYFUNCTION("""COMPUTED_VALUE"""),"A Saya ingin agar teman-teman pengertian bila saya mengalami kesukaran.")</f>
        <v>A Saya ingin agar teman-teman pengertian bila saya mengalami kesukaran.</v>
      </c>
      <c r="T40" s="95" t="str">
        <f>IFERROR(__xludf.DUMMYFUNCTION("""COMPUTED_VALUE"""),"A Saya ingin menjadi salah seorang pemimpin dalam kelompok yang saya kenal.")</f>
        <v>A Saya ingin menjadi salah seorang pemimpin dalam kelompok yang saya kenal.</v>
      </c>
      <c r="U40" s="95" t="str">
        <f>IFERROR(__xludf.DUMMYFUNCTION("""COMPUTED_VALUE"""),"A Saya suka memberikan bantuan kepada teman-teman saya.")</f>
        <v>A Saya suka memberikan bantuan kepada teman-teman saya.</v>
      </c>
      <c r="V40" s="95" t="str">
        <f>IFERROR(__xludf.DUMMYFUNCTION("""COMPUTED_VALUE"""),"A Saya suka belajar sampai malam untuk menyelesaikan suatu tugas.")</f>
        <v>A Saya suka belajar sampai malam untuk menyelesaikan suatu tugas.</v>
      </c>
      <c r="W40" s="95" t="str">
        <f>IFERROR(__xludf.DUMMYFUNCTION("""COMPUTED_VALUE"""),"A Saya suka melakukan kegiatan sesuai kondisi yang saya inginkan.")</f>
        <v>A Saya suka melakukan kegiatan sesuai kondisi yang saya inginkan.</v>
      </c>
      <c r="X40" s="95" t="str">
        <f>IFERROR(__xludf.DUMMYFUNCTION("""COMPUTED_VALUE"""),"B Saya ingin agar hidup saya teratur sesuai cita-cita saya.")</f>
        <v>B Saya ingin agar hidup saya teratur sesuai cita-cita saya.</v>
      </c>
      <c r="Y40" s="95" t="str">
        <f>IFERROR(__xludf.DUMMYFUNCTION("""COMPUTED_VALUE"""),"B Saya senang merencanakan untuk masa depan.")</f>
        <v>B Saya senang merencanakan untuk masa depan.</v>
      </c>
      <c r="Z40" s="95" t="str">
        <f>IFERROR(__xludf.DUMMYFUNCTION("""COMPUTED_VALUE"""),"A Saya ingin berhasil dengan belajar yang saya lakukan.")</f>
        <v>A Saya ingin berhasil dengan belajar yang saya lakukan.</v>
      </c>
      <c r="AA40" s="95" t="str">
        <f>IFERROR(__xludf.DUMMYFUNCTION("""COMPUTED_VALUE"""),"B Saya tidak suka pada orang yang berbuat seenaknya sendiri.")</f>
        <v>B Saya tidak suka pada orang yang berbuat seenaknya sendiri.</v>
      </c>
      <c r="AB40" s="95" t="str">
        <f>IFERROR(__xludf.DUMMYFUNCTION("""COMPUTED_VALUE"""),"A Saya ingin tidak tergantung dari orang lain terhadap apa yang akan saya lakukan.")</f>
        <v>A Saya ingin tidak tergantung dari orang lain terhadap apa yang akan saya lakukan.</v>
      </c>
      <c r="AC40" s="95" t="str">
        <f>IFERROR(__xludf.DUMMYFUNCTION("""COMPUTED_VALUE"""),"B Saya suka melakukan kegiatan sesuai kondisi yang saya inginkan.")</f>
        <v>B Saya suka melakukan kegiatan sesuai kondisi yang saya inginkan.</v>
      </c>
      <c r="AD40" s="95" t="str">
        <f>IFERROR(__xludf.DUMMYFUNCTION("""COMPUTED_VALUE"""),"B Saya suka menyatakan pendapat saya tentang berbagai hal.")</f>
        <v>B Saya suka menyatakan pendapat saya tentang berbagai hal.</v>
      </c>
      <c r="AE40" s="95" t="str">
        <f>IFERROR(__xludf.DUMMYFUNCTION("""COMPUTED_VALUE"""),"B Saya suka melakukan hal-hal yang dianggap orang lain tidak sesuai.")</f>
        <v>B Saya suka melakukan hal-hal yang dianggap orang lain tidak sesuai.</v>
      </c>
      <c r="AF40" s="95" t="str">
        <f>IFERROR(__xludf.DUMMYFUNCTION("""COMPUTED_VALUE"""),"A Saya ingin agar teman-teman mengerti bila saya mengalami kesukaran.")</f>
        <v>A Saya ingin agar teman-teman mengerti bila saya mengalami kesukaran.</v>
      </c>
      <c r="AG40" s="95" t="str">
        <f>IFERROR(__xludf.DUMMYFUNCTION("""COMPUTED_VALUE"""),"B Saya ingin berhasil dengan tugas yang saya lakukan.")</f>
        <v>B Saya ingin berhasil dengan tugas yang saya lakukan.</v>
      </c>
      <c r="AH40" s="95" t="str">
        <f>IFERROR(__xludf.DUMMYFUNCTION("""COMPUTED_VALUE"""),"A Saya suka membaca buku-buku tentang pergaulan remaja.")</f>
        <v>A Saya suka membaca buku-buku tentang pergaulan remaja.</v>
      </c>
      <c r="AI40" s="95" t="str">
        <f>IFERROR(__xludf.DUMMYFUNCTION("""COMPUTED_VALUE"""),"B Saya suka melakukan kegiatan sesuai kondisi yang saya inginkan.")</f>
        <v>B Saya suka melakukan kegiatan sesuai kondisi yang saya inginkan.</v>
      </c>
      <c r="AJ40" s="95" t="str">
        <f>IFERROR(__xludf.DUMMYFUNCTION("""COMPUTED_VALUE"""),"B Saya suka bertahan menghadapi satu masalah meskipun belum tentu berhasil.")</f>
        <v>B Saya suka bertahan menghadapi satu masalah meskipun belum tentu berhasil.</v>
      </c>
      <c r="AK40" s="95" t="str">
        <f>IFERROR(__xludf.DUMMYFUNCTION("""COMPUTED_VALUE"""),"B Bila saya harus melakukan suatu tugas, saya ingin mengerjakan sampai selesai.")</f>
        <v>B Bila saya harus melakukan suatu tugas, saya ingin mengerjakan sampai selesai.</v>
      </c>
      <c r="AL40" s="95" t="str">
        <f>IFERROR(__xludf.DUMMYFUNCTION("""COMPUTED_VALUE"""),"B Saya ingin menghindarkan gangguan bila saya sedang belajar.")</f>
        <v>B Saya ingin menghindarkan gangguan bila saya sedang belajar.</v>
      </c>
      <c r="AM40" s="95" t="str">
        <f>IFERROR(__xludf.DUMMYFUNCTION("""COMPUTED_VALUE"""),"B Saya suka belajar sampai malam untuk menyelesaikan suatu tugas.")</f>
        <v>B Saya suka belajar sampai malam untuk menyelesaikan suatu tugas.</v>
      </c>
      <c r="AN40" s="95" t="str">
        <f>IFERROR(__xludf.DUMMYFUNCTION("""COMPUTED_VALUE"""),"A Saya tidak suka pada orang yang semena-mena.")</f>
        <v>A Saya tidak suka pada orang yang semena-mena.</v>
      </c>
      <c r="AO40" s="95" t="str">
        <f>IFERROR(__xludf.DUMMYFUNCTION("""COMPUTED_VALUE"""),"A Saya suka berlaku sangat ramah terhadap teman-teman saya.")</f>
        <v>A Saya suka berlaku sangat ramah terhadap teman-teman saya.</v>
      </c>
      <c r="AP40" s="95" t="str">
        <f>IFERROR(__xludf.DUMMYFUNCTION("""COMPUTED_VALUE"""),"A Saya ingin mengerjakannya tugas sampai selesai.")</f>
        <v>A Saya ingin mengerjakannya tugas sampai selesai.</v>
      </c>
      <c r="AQ40" s="95" t="str">
        <f>IFERROR(__xludf.DUMMYFUNCTION("""COMPUTED_VALUE"""),"B Bila saya harus melakukan suatu tugas, saya ingin mengerjakan sampai selesai.")</f>
        <v>B Bila saya harus melakukan suatu tugas, saya ingin mengerjakan sampai selesai.</v>
      </c>
      <c r="AR40" s="95" t="str">
        <f>IFERROR(__xludf.DUMMYFUNCTION("""COMPUTED_VALUE"""),"B Saya suka belajar keras pada tiap pelajaran yang saya hadapi.")</f>
        <v>B Saya suka belajar keras pada tiap pelajaran yang saya hadapi.</v>
      </c>
      <c r="AS40" s="95" t="str">
        <f>IFERROR(__xludf.DUMMYFUNCTION("""COMPUTED_VALUE"""),"A Saya ingin dapat menyelesaikan persoalan yang dianggap sukar bagi orang lain.")</f>
        <v>A Saya ingin dapat menyelesaikan persoalan yang dianggap sukar bagi orang lain.</v>
      </c>
      <c r="AT40" s="95" t="str">
        <f>IFERROR(__xludf.DUMMYFUNCTION("""COMPUTED_VALUE"""),"A Saya ingin bisa melakukan dengan baik sesuatu pekerjaan sulit.")</f>
        <v>A Saya ingin bisa melakukan dengan baik sesuatu pekerjaan sulit.</v>
      </c>
      <c r="AU40" s="95" t="str">
        <f>IFERROR(__xludf.DUMMYFUNCTION("""COMPUTED_VALUE"""),"A Saya ingin menyelesaikan pekerjaan satu persatu sebelum memulai yang lain.")</f>
        <v>A Saya ingin menyelesaikan pekerjaan satu persatu sebelum memulai yang lain.</v>
      </c>
      <c r="AV40" s="95" t="str">
        <f>IFERROR(__xludf.DUMMYFUNCTION("""COMPUTED_VALUE"""),"B Saya suka menolong teman-teman saya.")</f>
        <v>B Saya suka menolong teman-teman saya.</v>
      </c>
      <c r="AW40" s="95" t="str">
        <f>IFERROR(__xludf.DUMMYFUNCTION("""COMPUTED_VALUE"""),"B Saya ingin teman-teman saya percaya bahwa saya bisa menolong mereka.")</f>
        <v>B Saya ingin teman-teman saya percaya bahwa saya bisa menolong mereka.</v>
      </c>
      <c r="AX40" s="95" t="str">
        <f>IFERROR(__xludf.DUMMYFUNCTION("""COMPUTED_VALUE"""),"A Saya suka menolong teman-teman saya apabila mereka dalam kesulitan.")</f>
        <v>A Saya suka menolong teman-teman saya apabila mereka dalam kesulitan.</v>
      </c>
      <c r="AY40" s="95" t="str">
        <f>IFERROR(__xludf.DUMMYFUNCTION("""COMPUTED_VALUE"""),"B Saya suka menolong teman-teman saya apabila mereka dalam kesulitan.")</f>
        <v>B Saya suka menolong teman-teman saya apabila mereka dalam kesulitan.</v>
      </c>
      <c r="AZ40" s="95" t="str">
        <f>IFERROR(__xludf.DUMMYFUNCTION("""COMPUTED_VALUE"""),"A Saya ingin agar teman-teman saya bersimpati dan menghibur saya bila saya sedih.")</f>
        <v>A Saya ingin agar teman-teman saya bersimpati dan menghibur saya bila saya sedih.</v>
      </c>
      <c r="BA40" s="95" t="str">
        <f>IFERROR(__xludf.DUMMYFUNCTION("""COMPUTED_VALUE"""),"B Saya suka memperlakukan orang lain dengan baik dan ramah.")</f>
        <v>B Saya suka memperlakukan orang lain dengan baik dan ramah.</v>
      </c>
      <c r="BB40" s="95" t="str">
        <f>IFERROR(__xludf.DUMMYFUNCTION("""COMPUTED_VALUE"""),"B Saya suka bermurah hati terhadap teman-teman saya.")</f>
        <v>B Saya suka bermurah hati terhadap teman-teman saya.</v>
      </c>
      <c r="BC40" s="95" t="str">
        <f>IFERROR(__xludf.DUMMYFUNCTION("""COMPUTED_VALUE"""),"B Saya suka membantu orang lain yang menurut saya perlu dikasihani.")</f>
        <v>B Saya suka membantu orang lain yang menurut saya perlu dikasihani.</v>
      </c>
      <c r="BD40" s="95" t="str">
        <f>IFERROR(__xludf.DUMMYFUNCTION("""COMPUTED_VALUE"""),"B Saya suka bersikukuh dengan pendirian saya.")</f>
        <v>B Saya suka bersikukuh dengan pendirian saya.</v>
      </c>
      <c r="BE40" s="95" t="str">
        <f>IFERROR(__xludf.DUMMYFUNCTION("""COMPUTED_VALUE"""),"A Saya suka mendengarkan atau menceritakan hal-hal yang sebaiknya tidak diceritakan.")</f>
        <v>A Saya suka mendengarkan atau menceritakan hal-hal yang sebaiknya tidak diceritakan.</v>
      </c>
      <c r="BF40" s="95" t="str">
        <f>IFERROR(__xludf.DUMMYFUNCTION("""COMPUTED_VALUE"""),"B Bila saya dalam kelompok, saya ingin menentukan apa yang akan kita lakukan.")</f>
        <v>B Bila saya dalam kelompok, saya ingin menentukan apa yang akan kita lakukan.</v>
      </c>
      <c r="BG40" s="95" t="str">
        <f>IFERROR(__xludf.DUMMYFUNCTION("""COMPUTED_VALUE"""),"A Saya ingin teman-teman banyak menunjukkan rasa sayang mereka terhadap saya.")</f>
        <v>A Saya ingin teman-teman banyak menunjukkan rasa sayang mereka terhadap saya.</v>
      </c>
      <c r="BH40" s="95" t="str">
        <f>IFERROR(__xludf.DUMMYFUNCTION("""COMPUTED_VALUE"""),"A Saya suka menghindar dari situasi yang tidak saya harapkan.")</f>
        <v>A Saya suka menghindar dari situasi yang tidak saya harapkan.</v>
      </c>
      <c r="BI40" s="95" t="str">
        <f>IFERROR(__xludf.DUMMYFUNCTION("""COMPUTED_VALUE"""),"A Saya suka bermurah hati terhadap teman-teman saya.")</f>
        <v>A Saya suka bermurah hati terhadap teman-teman saya.</v>
      </c>
      <c r="BJ40" s="95" t="str">
        <f>IFERROR(__xludf.DUMMYFUNCTION("""COMPUTED_VALUE"""),"A Saya ingin mengerjakan tugas sampai selesai.")</f>
        <v>A Saya ingin mengerjakan tugas sampai selesai.</v>
      </c>
      <c r="BK40" s="95" t="str">
        <f>IFERROR(__xludf.DUMMYFUNCTION("""COMPUTED_VALUE"""),"A Saya ingin menyelesaikan pekerjaan satu persatu sebelum memulai yang lain.")</f>
        <v>A Saya ingin menyelesaikan pekerjaan satu persatu sebelum memulai yang lain.</v>
      </c>
      <c r="BL40" s="95" t="str">
        <f>IFERROR(__xludf.DUMMYFUNCTION("""COMPUTED_VALUE"""),"A Saya suka belajar saya teratur dan ada waktu-waktu tertentu untuk belajar.")</f>
        <v>A Saya suka belajar saya teratur dan ada waktu-waktu tertentu untuk belajar.</v>
      </c>
      <c r="BM40" s="95" t="str">
        <f>IFERROR(__xludf.DUMMYFUNCTION("""COMPUTED_VALUE"""),"A Saya suka melakukan pekerjaan sebaik mungkin.")</f>
        <v>A Saya suka melakukan pekerjaan sebaik mungkin.</v>
      </c>
      <c r="BN40" s="95" t="str">
        <f>IFERROR(__xludf.DUMMYFUNCTION("""COMPUTED_VALUE"""),"B Saya ingin teman-teman memberi dorongan bila saya menghadapi kegagalan.")</f>
        <v>B Saya ingin teman-teman memberi dorongan bila saya menghadapi kegagalan.</v>
      </c>
      <c r="BO40" s="95" t="str">
        <f>IFERROR(__xludf.DUMMYFUNCTION("""COMPUTED_VALUE"""),"B Saya ingin diperlakukan dengan baik oleh teman-teman saya.")</f>
        <v>B Saya ingin diperlakukan dengan baik oleh teman-teman saya.</v>
      </c>
      <c r="BP40" s="95" t="str">
        <f>IFERROR(__xludf.DUMMYFUNCTION("""COMPUTED_VALUE"""),"A Saya ingin menyelesaikan sesuatu yang sangat penting artinya.")</f>
        <v>A Saya ingin menyelesaikan sesuatu yang sangat penting artinya.</v>
      </c>
      <c r="BQ40" s="95" t="str">
        <f>IFERROR(__xludf.DUMMYFUNCTION("""COMPUTED_VALUE"""),"A Saya ingin mengerjakannya tugas sampai selesai.")</f>
        <v>A Saya ingin mengerjakannya tugas sampai selesai.</v>
      </c>
      <c r="BR40" s="95" t="str">
        <f>IFERROR(__xludf.DUMMYFUNCTION("""COMPUTED_VALUE"""),"A Saya suka memaafkan teman-teman saya yang menyakiti hati saya.")</f>
        <v>A Saya suka memaafkan teman-teman saya yang menyakiti hati saya.</v>
      </c>
      <c r="BS40" s="95" t="str">
        <f>IFERROR(__xludf.DUMMYFUNCTION("""COMPUTED_VALUE"""),"B Saya ingin teman-teman saya membantu saya bila saya mengalami kesulitan")</f>
        <v>B Saya ingin teman-teman saya membantu saya bila saya mengalami kesulitan</v>
      </c>
      <c r="BT40" s="95" t="str">
        <f>IFERROR(__xludf.DUMMYFUNCTION("""COMPUTED_VALUE"""),"B Saya ingin teman-teman banyak menunjukkan rasa sayang mereka terhadap saya.")</f>
        <v>B Saya ingin teman-teman banyak menunjukkan rasa sayang mereka terhadap saya.</v>
      </c>
      <c r="BU40" s="95" t="str">
        <f>IFERROR(__xludf.DUMMYFUNCTION("""COMPUTED_VALUE"""),"A Saya kadang-kadang suka melakukan hal-hal yang dapat dipuji oleh orang lain.")</f>
        <v>A Saya kadang-kadang suka melakukan hal-hal yang dapat dipuji oleh orang lain.</v>
      </c>
      <c r="BV40" s="95" t="str">
        <f>IFERROR(__xludf.DUMMYFUNCTION("""COMPUTED_VALUE"""),"B Saya ingin teman-teman dengan gembira memberikan pertolongan kepada saya.")</f>
        <v>B Saya ingin teman-teman dengan gembira memberikan pertolongan kepada saya.</v>
      </c>
      <c r="BW40" s="95" t="str">
        <f>IFERROR(__xludf.DUMMYFUNCTION("""COMPUTED_VALUE"""),"B Saya ingin diperlakukan dengan baik oleh teman-teman saya.")</f>
        <v>B Saya ingin diperlakukan dengan baik oleh teman-teman saya.</v>
      </c>
      <c r="BX40" s="95" t="str">
        <f>IFERROR(__xludf.DUMMYFUNCTION("""COMPUTED_VALUE"""),"B Saya kadang-kadang suka melakukan hal-hal yang dapat dipuji oleh orang lain.")</f>
        <v>B Saya kadang-kadang suka melakukan hal-hal yang dapat dipuji oleh orang lain.</v>
      </c>
      <c r="BY40" s="95" t="str">
        <f>IFERROR(__xludf.DUMMYFUNCTION("""COMPUTED_VALUE"""),"B Saya ingin orang lain memperhatikan dan berkomentar tentang penampilan saya.")</f>
        <v>B Saya ingin orang lain memperhatikan dan berkomentar tentang penampilan saya.</v>
      </c>
      <c r="BZ40" s="95" t="str">
        <f>IFERROR(__xludf.DUMMYFUNCTION("""COMPUTED_VALUE"""),"B Saya suka diperhatikan, apabila saya ada di dalam suatu kelompok.")</f>
        <v>B Saya suka diperhatikan, apabila saya ada di dalam suatu kelompok.</v>
      </c>
      <c r="CA40" s="95" t="str">
        <f>IFERROR(__xludf.DUMMYFUNCTION("""COMPUTED_VALUE"""),"A Saya ingin teman-teman dengan gembira memberikan pertolongan kepada saya.")</f>
        <v>A Saya ingin teman-teman dengan gembira memberikan pertolongan kepada saya.</v>
      </c>
      <c r="CB40" s="95" t="str">
        <f>IFERROR(__xludf.DUMMYFUNCTION("""COMPUTED_VALUE"""),"B Saya suka berbicara tentang hal-hal yang telah saya capai.")</f>
        <v>B Saya suka berbicara tentang hal-hal yang telah saya capai.</v>
      </c>
      <c r="CC40" s="95" t="str">
        <f>IFERROR(__xludf.DUMMYFUNCTION("""COMPUTED_VALUE"""),"A Apabila saya berkumpul dalam kelompok, saya ingin dihargai teman-teman.")</f>
        <v>A Apabila saya berkumpul dalam kelompok, saya ingin dihargai teman-teman.</v>
      </c>
      <c r="CD40" s="95" t="str">
        <f>IFERROR(__xludf.DUMMYFUNCTION("""COMPUTED_VALUE"""),"A Saya suka menyelesaikan setiap tugas meskipun membutuhkan waktu lama.")</f>
        <v>A Saya suka menyelesaikan setiap tugas meskipun membutuhkan waktu lama.</v>
      </c>
      <c r="CE40" s="95" t="str">
        <f>IFERROR(__xludf.DUMMYFUNCTION("""COMPUTED_VALUE"""),"A Saya suka menyelesaikan setiap tugas belajar yang telah saya mulai.")</f>
        <v>A Saya suka menyelesaikan setiap tugas belajar yang telah saya mulai.</v>
      </c>
      <c r="CF40" s="95" t="str">
        <f>IFERROR(__xludf.DUMMYFUNCTION("""COMPUTED_VALUE"""),"A Saya ingin agar hidup saya teratur sesuai cita-cita saya.")</f>
        <v>A Saya ingin agar hidup saya teratur sesuai cita-cita saya.</v>
      </c>
      <c r="CG40" s="95" t="str">
        <f>IFERROR(__xludf.DUMMYFUNCTION("""COMPUTED_VALUE"""),"A Saya ingin berhasil dalam apa yang saya lakukan.")</f>
        <v>A Saya ingin berhasil dalam apa yang saya lakukan.</v>
      </c>
      <c r="CH40" s="95" t="str">
        <f>IFERROR(__xludf.DUMMYFUNCTION("""COMPUTED_VALUE"""),"A Saya ingin bisa melakukan dengan baik sesuatu pekerjaan sulit.")</f>
        <v>A Saya ingin bisa melakukan dengan baik sesuatu pekerjaan sulit.</v>
      </c>
      <c r="CI40" s="95" t="str">
        <f>IFERROR(__xludf.DUMMYFUNCTION("""COMPUTED_VALUE"""),"A Saya suka belajar saya teratur dan ada waktu-waktu tertentu untuk belajar.")</f>
        <v>A Saya suka belajar saya teratur dan ada waktu-waktu tertentu untuk belajar.</v>
      </c>
      <c r="CJ40" s="95" t="str">
        <f>IFERROR(__xludf.DUMMYFUNCTION("""COMPUTED_VALUE"""),"A Saya ingin tidak tergantung dari orang lain terhadap apa yang akan saya lakukan.")</f>
        <v>A Saya ingin tidak tergantung dari orang lain terhadap apa yang akan saya lakukan.</v>
      </c>
      <c r="CK40" s="95" t="str">
        <f>IFERROR(__xludf.DUMMYFUNCTION("""COMPUTED_VALUE"""),"B Saya senang ikut beraktivitas bersama teman sebaya saya.")</f>
        <v>B Saya senang ikut beraktivitas bersama teman sebaya saya.</v>
      </c>
      <c r="CL40" s="95" t="str">
        <f>IFERROR(__xludf.DUMMYFUNCTION("""COMPUTED_VALUE"""),"A Saya suka menolong teman-teman saya, apabila mereka dalam kesulitan.")</f>
        <v>A Saya suka menolong teman-teman saya, apabila mereka dalam kesulitan.</v>
      </c>
      <c r="CM40" s="95" t="str">
        <f>IFERROR(__xludf.DUMMYFUNCTION("""COMPUTED_VALUE"""),"A Saya ingin ditunjuk atau dipilih sebagai ketua dalam suatu kelompok.")</f>
        <v>A Saya ingin ditunjuk atau dipilih sebagai ketua dalam suatu kelompok.</v>
      </c>
      <c r="CN40" s="95" t="str">
        <f>IFERROR(__xludf.DUMMYFUNCTION("""COMPUTED_VALUE"""),"A Saya ingin diperlakukan dengan baik oleh teman-teman saya.")</f>
        <v>A Saya ingin diperlakukan dengan baik oleh teman-teman saya.</v>
      </c>
      <c r="CO40" s="95" t="str">
        <f>IFERROR(__xludf.DUMMYFUNCTION("""COMPUTED_VALUE"""),"A Saya suka menceritakan hal-hal lucu agar diperhatikan oleh orang lain.")</f>
        <v>A Saya suka menceritakan hal-hal lucu agar diperhatikan oleh orang lain.</v>
      </c>
      <c r="CP40" s="95" t="str">
        <f>IFERROR(__xludf.DUMMYFUNCTION("""COMPUTED_VALUE"""),"A Saya suka melamun atau membayangkan sesuatu sendirian.")</f>
        <v>A Saya suka melamun atau membayangkan sesuatu sendirian.</v>
      </c>
      <c r="CQ40" s="95" t="str">
        <f>IFERROR(__xludf.DUMMYFUNCTION("""COMPUTED_VALUE"""),"B Saya merasa kagum pada seseorang.")</f>
        <v>B Saya merasa kagum pada seseorang.</v>
      </c>
      <c r="CR40" s="95" t="str">
        <f>IFERROR(__xludf.DUMMYFUNCTION("""COMPUTED_VALUE"""),"A Saya ingin memperolok-olok orang yang saya anggap melakukan tindakan bodoh.")</f>
        <v>A Saya ingin memperolok-olok orang yang saya anggap melakukan tindakan bodoh.</v>
      </c>
      <c r="CS40" s="95" t="str">
        <f>IFERROR(__xludf.DUMMYFUNCTION("""COMPUTED_VALUE"""),"A Saya ingin terlihat menarik di depan teman-teman saya.")</f>
        <v>A Saya ingin terlihat menarik di depan teman-teman saya.</v>
      </c>
      <c r="CT40" s="95" t="str">
        <f>IFERROR(__xludf.DUMMYFUNCTION("""COMPUTED_VALUE"""),"A Saya ingin orang-orang memperhatikan komentar mengenai penampilan saya.")</f>
        <v>A Saya ingin orang-orang memperhatikan komentar mengenai penampilan saya.</v>
      </c>
      <c r="CU40" s="95" t="str">
        <f>IFERROR(__xludf.DUMMYFUNCTION("""COMPUTED_VALUE"""),"A Saya ingin diperlakukan dengan ramah oleh teman-teman saya.")</f>
        <v>A Saya ingin diperlakukan dengan ramah oleh teman-teman saya.</v>
      </c>
      <c r="CV40" s="95" t="str">
        <f>IFERROR(__xludf.DUMMYFUNCTION("""COMPUTED_VALUE"""),"A Saya ingin ditunjuk atau dipilih sebagai ketua dalam suatu kelompok.")</f>
        <v>A Saya ingin ditunjuk atau dipilih sebagai ketua dalam suatu kelompok.</v>
      </c>
      <c r="CW40" s="95" t="str">
        <f>IFERROR(__xludf.DUMMYFUNCTION("""COMPUTED_VALUE"""),"A Saya suka menolong teman-teman saya, apabila mereka dalam kesulitan.")</f>
        <v>A Saya suka menolong teman-teman saya, apabila mereka dalam kesulitan.</v>
      </c>
      <c r="CX40" s="95" t="str">
        <f>IFERROR(__xludf.DUMMYFUNCTION("""COMPUTED_VALUE"""),"A Saya suka belajar sampai malam untuk menyelesaikan suatu tugas.")</f>
        <v>A Saya suka belajar sampai malam untuk menyelesaikan suatu tugas.</v>
      </c>
      <c r="CY40" s="95" t="str">
        <f>IFERROR(__xludf.DUMMYFUNCTION("""COMPUTED_VALUE"""),"A Saya ingin tidak tergantung dari orang lain terhadap apa yang akan saya lakukan.")</f>
        <v>A Saya ingin tidak tergantung dari orang lain terhadap apa yang akan saya lakukan.</v>
      </c>
      <c r="CZ40" s="95" t="str">
        <f>IFERROR(__xludf.DUMMYFUNCTION("""COMPUTED_VALUE"""),"A Saya suka merencanakan dan mengatur setiap pekerjaan yang harus saya lakukan.")</f>
        <v>A Saya suka merencanakan dan mengatur setiap pekerjaan yang harus saya lakukan.</v>
      </c>
      <c r="DA40" s="95" t="str">
        <f>IFERROR(__xludf.DUMMYFUNCTION("""COMPUTED_VALUE"""),"A Saya ingin melakukan apa saja sebaik mungkin.")</f>
        <v>A Saya ingin melakukan apa saja sebaik mungkin.</v>
      </c>
      <c r="DB40" s="89" t="s">
        <v>23</v>
      </c>
      <c r="DC40" s="97" t="str">
        <f t="shared" ref="DC40:GX40" si="85">LEFT(F40,1)</f>
        <v>B</v>
      </c>
      <c r="DD40" s="97" t="str">
        <f t="shared" si="85"/>
        <v>A</v>
      </c>
      <c r="DE40" s="97" t="str">
        <f t="shared" si="85"/>
        <v>A</v>
      </c>
      <c r="DF40" s="97" t="str">
        <f t="shared" si="85"/>
        <v>B</v>
      </c>
      <c r="DG40" s="97" t="str">
        <f t="shared" si="85"/>
        <v>A</v>
      </c>
      <c r="DH40" s="97" t="str">
        <f t="shared" si="85"/>
        <v>B</v>
      </c>
      <c r="DI40" s="97" t="str">
        <f t="shared" si="85"/>
        <v>B</v>
      </c>
      <c r="DJ40" s="97" t="str">
        <f t="shared" si="85"/>
        <v>A</v>
      </c>
      <c r="DK40" s="97" t="str">
        <f t="shared" si="85"/>
        <v>B</v>
      </c>
      <c r="DL40" s="97" t="str">
        <f t="shared" si="85"/>
        <v>B</v>
      </c>
      <c r="DM40" s="97" t="str">
        <f t="shared" si="85"/>
        <v>A</v>
      </c>
      <c r="DN40" s="97" t="str">
        <f t="shared" si="85"/>
        <v>B</v>
      </c>
      <c r="DO40" s="97" t="str">
        <f t="shared" si="85"/>
        <v>B</v>
      </c>
      <c r="DP40" s="97" t="str">
        <f t="shared" si="85"/>
        <v>A</v>
      </c>
      <c r="DQ40" s="97" t="str">
        <f t="shared" si="85"/>
        <v>A</v>
      </c>
      <c r="DR40" s="97" t="str">
        <f t="shared" si="85"/>
        <v>A</v>
      </c>
      <c r="DS40" s="97" t="str">
        <f t="shared" si="85"/>
        <v>A</v>
      </c>
      <c r="DT40" s="97" t="str">
        <f t="shared" si="85"/>
        <v>A</v>
      </c>
      <c r="DU40" s="97" t="str">
        <f t="shared" si="85"/>
        <v>B</v>
      </c>
      <c r="DV40" s="97" t="str">
        <f t="shared" si="85"/>
        <v>B</v>
      </c>
      <c r="DW40" s="97" t="str">
        <f t="shared" si="85"/>
        <v>A</v>
      </c>
      <c r="DX40" s="97" t="str">
        <f t="shared" si="85"/>
        <v>B</v>
      </c>
      <c r="DY40" s="97" t="str">
        <f t="shared" si="85"/>
        <v>A</v>
      </c>
      <c r="DZ40" s="97" t="str">
        <f t="shared" si="85"/>
        <v>B</v>
      </c>
      <c r="EA40" s="97" t="str">
        <f t="shared" si="85"/>
        <v>B</v>
      </c>
      <c r="EB40" s="97" t="str">
        <f t="shared" si="85"/>
        <v>B</v>
      </c>
      <c r="EC40" s="97" t="str">
        <f t="shared" si="85"/>
        <v>A</v>
      </c>
      <c r="ED40" s="97" t="str">
        <f t="shared" si="85"/>
        <v>B</v>
      </c>
      <c r="EE40" s="97" t="str">
        <f t="shared" si="85"/>
        <v>A</v>
      </c>
      <c r="EF40" s="97" t="str">
        <f t="shared" si="85"/>
        <v>B</v>
      </c>
      <c r="EG40" s="97" t="str">
        <f t="shared" si="85"/>
        <v>B</v>
      </c>
      <c r="EH40" s="97" t="str">
        <f t="shared" si="85"/>
        <v>B</v>
      </c>
      <c r="EI40" s="97" t="str">
        <f t="shared" si="85"/>
        <v>B</v>
      </c>
      <c r="EJ40" s="97" t="str">
        <f t="shared" si="85"/>
        <v>B</v>
      </c>
      <c r="EK40" s="97" t="str">
        <f t="shared" si="85"/>
        <v>A</v>
      </c>
      <c r="EL40" s="97" t="str">
        <f t="shared" si="85"/>
        <v>A</v>
      </c>
      <c r="EM40" s="97" t="str">
        <f t="shared" si="85"/>
        <v>A</v>
      </c>
      <c r="EN40" s="97" t="str">
        <f t="shared" si="85"/>
        <v>B</v>
      </c>
      <c r="EO40" s="97" t="str">
        <f t="shared" si="85"/>
        <v>B</v>
      </c>
      <c r="EP40" s="97" t="str">
        <f t="shared" si="85"/>
        <v>A</v>
      </c>
      <c r="EQ40" s="97" t="str">
        <f t="shared" si="85"/>
        <v>A</v>
      </c>
      <c r="ER40" s="97" t="str">
        <f t="shared" si="85"/>
        <v>A</v>
      </c>
      <c r="ES40" s="97" t="str">
        <f t="shared" si="85"/>
        <v>B</v>
      </c>
      <c r="ET40" s="97" t="str">
        <f t="shared" si="85"/>
        <v>B</v>
      </c>
      <c r="EU40" s="97" t="str">
        <f t="shared" si="85"/>
        <v>A</v>
      </c>
      <c r="EV40" s="97" t="str">
        <f t="shared" si="85"/>
        <v>B</v>
      </c>
      <c r="EW40" s="97" t="str">
        <f t="shared" si="85"/>
        <v>A</v>
      </c>
      <c r="EX40" s="97" t="str">
        <f t="shared" si="85"/>
        <v>B</v>
      </c>
      <c r="EY40" s="97" t="str">
        <f t="shared" si="85"/>
        <v>B</v>
      </c>
      <c r="EZ40" s="97" t="str">
        <f t="shared" si="85"/>
        <v>B</v>
      </c>
      <c r="FA40" s="97" t="str">
        <f t="shared" si="85"/>
        <v>B</v>
      </c>
      <c r="FB40" s="97" t="str">
        <f t="shared" si="85"/>
        <v>A</v>
      </c>
      <c r="FC40" s="97" t="str">
        <f t="shared" si="85"/>
        <v>B</v>
      </c>
      <c r="FD40" s="97" t="str">
        <f t="shared" si="85"/>
        <v>A</v>
      </c>
      <c r="FE40" s="97" t="str">
        <f t="shared" si="85"/>
        <v>A</v>
      </c>
      <c r="FF40" s="97" t="str">
        <f t="shared" si="85"/>
        <v>A</v>
      </c>
      <c r="FG40" s="97" t="str">
        <f t="shared" si="85"/>
        <v>A</v>
      </c>
      <c r="FH40" s="97" t="str">
        <f t="shared" si="85"/>
        <v>A</v>
      </c>
      <c r="FI40" s="97" t="str">
        <f t="shared" si="85"/>
        <v>A</v>
      </c>
      <c r="FJ40" s="97" t="str">
        <f t="shared" si="85"/>
        <v>A</v>
      </c>
      <c r="FK40" s="97" t="str">
        <f t="shared" si="85"/>
        <v>B</v>
      </c>
      <c r="FL40" s="97" t="str">
        <f t="shared" si="85"/>
        <v>B</v>
      </c>
      <c r="FM40" s="97" t="str">
        <f t="shared" si="85"/>
        <v>A</v>
      </c>
      <c r="FN40" s="97" t="str">
        <f t="shared" si="85"/>
        <v>A</v>
      </c>
      <c r="FO40" s="97" t="str">
        <f t="shared" si="85"/>
        <v>A</v>
      </c>
      <c r="FP40" s="97" t="str">
        <f t="shared" si="85"/>
        <v>B</v>
      </c>
      <c r="FQ40" s="97" t="str">
        <f t="shared" si="85"/>
        <v>B</v>
      </c>
      <c r="FR40" s="97" t="str">
        <f t="shared" si="85"/>
        <v>A</v>
      </c>
      <c r="FS40" s="97" t="str">
        <f t="shared" si="85"/>
        <v>B</v>
      </c>
      <c r="FT40" s="97" t="str">
        <f t="shared" si="85"/>
        <v>B</v>
      </c>
      <c r="FU40" s="97" t="str">
        <f t="shared" si="85"/>
        <v>B</v>
      </c>
      <c r="FV40" s="97" t="str">
        <f t="shared" si="85"/>
        <v>B</v>
      </c>
      <c r="FW40" s="97" t="str">
        <f t="shared" si="85"/>
        <v>B</v>
      </c>
      <c r="FX40" s="97" t="str">
        <f t="shared" si="85"/>
        <v>A</v>
      </c>
      <c r="FY40" s="97" t="str">
        <f t="shared" si="85"/>
        <v>B</v>
      </c>
      <c r="FZ40" s="97" t="str">
        <f t="shared" si="85"/>
        <v>A</v>
      </c>
      <c r="GA40" s="97" t="str">
        <f t="shared" si="85"/>
        <v>A</v>
      </c>
      <c r="GB40" s="97" t="str">
        <f t="shared" si="85"/>
        <v>A</v>
      </c>
      <c r="GC40" s="97" t="str">
        <f t="shared" si="85"/>
        <v>A</v>
      </c>
      <c r="GD40" s="97" t="str">
        <f t="shared" si="85"/>
        <v>A</v>
      </c>
      <c r="GE40" s="97" t="str">
        <f t="shared" si="85"/>
        <v>A</v>
      </c>
      <c r="GF40" s="97" t="str">
        <f t="shared" si="85"/>
        <v>A</v>
      </c>
      <c r="GG40" s="97" t="str">
        <f t="shared" si="85"/>
        <v>A</v>
      </c>
      <c r="GH40" s="97" t="str">
        <f t="shared" si="85"/>
        <v>B</v>
      </c>
      <c r="GI40" s="97" t="str">
        <f t="shared" si="85"/>
        <v>A</v>
      </c>
      <c r="GJ40" s="97" t="str">
        <f t="shared" si="85"/>
        <v>A</v>
      </c>
      <c r="GK40" s="97" t="str">
        <f t="shared" si="85"/>
        <v>A</v>
      </c>
      <c r="GL40" s="97" t="str">
        <f t="shared" si="85"/>
        <v>A</v>
      </c>
      <c r="GM40" s="97" t="str">
        <f t="shared" si="85"/>
        <v>A</v>
      </c>
      <c r="GN40" s="97" t="str">
        <f t="shared" si="85"/>
        <v>B</v>
      </c>
      <c r="GO40" s="97" t="str">
        <f t="shared" si="85"/>
        <v>A</v>
      </c>
      <c r="GP40" s="97" t="str">
        <f t="shared" si="85"/>
        <v>A</v>
      </c>
      <c r="GQ40" s="97" t="str">
        <f t="shared" si="85"/>
        <v>A</v>
      </c>
      <c r="GR40" s="97" t="str">
        <f t="shared" si="85"/>
        <v>A</v>
      </c>
      <c r="GS40" s="97" t="str">
        <f t="shared" si="85"/>
        <v>A</v>
      </c>
      <c r="GT40" s="97" t="str">
        <f t="shared" si="85"/>
        <v>A</v>
      </c>
      <c r="GU40" s="97" t="str">
        <f t="shared" si="85"/>
        <v>A</v>
      </c>
      <c r="GV40" s="97" t="str">
        <f t="shared" si="85"/>
        <v>A</v>
      </c>
      <c r="GW40" s="97" t="str">
        <f t="shared" si="85"/>
        <v>A</v>
      </c>
      <c r="GX40" s="97" t="str">
        <f t="shared" si="85"/>
        <v>A</v>
      </c>
      <c r="GY40" s="98"/>
      <c r="GZ40" s="97">
        <f t="shared" si="3"/>
        <v>58</v>
      </c>
      <c r="HA40" s="97">
        <f t="shared" si="4"/>
        <v>42</v>
      </c>
      <c r="HB40" s="90">
        <f t="shared" si="5"/>
        <v>100</v>
      </c>
      <c r="HC40" s="99"/>
      <c r="HD40" s="97">
        <f t="shared" si="6"/>
        <v>7</v>
      </c>
      <c r="HE40" s="97">
        <f t="shared" si="7"/>
        <v>5</v>
      </c>
      <c r="HF40" s="90">
        <f t="shared" si="8"/>
        <v>12</v>
      </c>
      <c r="HG40" s="99"/>
      <c r="HH40" s="97">
        <f t="shared" si="9"/>
        <v>6</v>
      </c>
      <c r="HI40" s="97">
        <f t="shared" si="10"/>
        <v>4</v>
      </c>
      <c r="HJ40" s="90">
        <f t="shared" si="11"/>
        <v>10</v>
      </c>
      <c r="HK40" s="99"/>
      <c r="HL40" s="97">
        <f t="shared" si="12"/>
        <v>7</v>
      </c>
      <c r="HM40" s="97">
        <f t="shared" si="13"/>
        <v>6</v>
      </c>
      <c r="HN40" s="90">
        <f t="shared" si="14"/>
        <v>13</v>
      </c>
      <c r="HO40" s="99"/>
      <c r="HP40" s="97">
        <f t="shared" si="15"/>
        <v>5</v>
      </c>
      <c r="HQ40" s="97">
        <f t="shared" si="16"/>
        <v>6</v>
      </c>
      <c r="HR40" s="90">
        <f t="shared" si="17"/>
        <v>11</v>
      </c>
      <c r="HS40" s="99"/>
      <c r="HT40" s="97">
        <f t="shared" si="18"/>
        <v>8</v>
      </c>
      <c r="HU40" s="97">
        <f t="shared" si="19"/>
        <v>6</v>
      </c>
      <c r="HV40" s="90">
        <f t="shared" si="20"/>
        <v>14</v>
      </c>
      <c r="HW40" s="99"/>
      <c r="HX40" s="97">
        <f t="shared" si="21"/>
        <v>4</v>
      </c>
      <c r="HY40" s="97">
        <f t="shared" si="22"/>
        <v>2</v>
      </c>
      <c r="HZ40" s="90">
        <f t="shared" si="23"/>
        <v>6</v>
      </c>
      <c r="IA40" s="99"/>
      <c r="IB40" s="97">
        <f t="shared" si="24"/>
        <v>7</v>
      </c>
      <c r="IC40" s="97">
        <f t="shared" si="25"/>
        <v>6</v>
      </c>
      <c r="ID40" s="90">
        <f t="shared" si="26"/>
        <v>13</v>
      </c>
      <c r="IE40" s="99"/>
      <c r="IF40" s="97">
        <f t="shared" si="27"/>
        <v>4</v>
      </c>
      <c r="IG40" s="97">
        <f t="shared" si="28"/>
        <v>4</v>
      </c>
      <c r="IH40" s="90">
        <f t="shared" si="29"/>
        <v>8</v>
      </c>
      <c r="II40" s="99"/>
      <c r="IJ40" s="97">
        <f t="shared" si="30"/>
        <v>3</v>
      </c>
      <c r="IK40" s="97">
        <f t="shared" si="31"/>
        <v>2</v>
      </c>
      <c r="IL40" s="90">
        <f t="shared" si="32"/>
        <v>5</v>
      </c>
      <c r="IM40" s="99"/>
      <c r="IN40" s="97">
        <f t="shared" si="33"/>
        <v>1</v>
      </c>
      <c r="IO40" s="97">
        <f t="shared" si="34"/>
        <v>0</v>
      </c>
      <c r="IP40" s="90">
        <f t="shared" si="35"/>
        <v>1</v>
      </c>
      <c r="IQ40" s="99"/>
      <c r="IR40" s="99"/>
      <c r="IS40" s="100">
        <f t="shared" si="36"/>
        <v>12</v>
      </c>
      <c r="IT40" s="100">
        <f t="shared" si="37"/>
        <v>10</v>
      </c>
      <c r="IU40" s="100">
        <f t="shared" si="38"/>
        <v>13</v>
      </c>
      <c r="IV40" s="100">
        <f t="shared" si="39"/>
        <v>11</v>
      </c>
      <c r="IW40" s="100">
        <f t="shared" si="40"/>
        <v>14</v>
      </c>
      <c r="IX40" s="100">
        <f t="shared" si="41"/>
        <v>6</v>
      </c>
      <c r="IY40" s="100">
        <f t="shared" si="42"/>
        <v>13</v>
      </c>
      <c r="IZ40" s="100">
        <f t="shared" si="43"/>
        <v>8</v>
      </c>
      <c r="JA40" s="100">
        <f t="shared" si="44"/>
        <v>5</v>
      </c>
      <c r="JB40" s="101">
        <f t="shared" si="45"/>
        <v>1</v>
      </c>
      <c r="JC40" s="102">
        <f t="shared" si="46"/>
        <v>93</v>
      </c>
      <c r="JD40" s="67">
        <f t="shared" si="50"/>
        <v>0</v>
      </c>
      <c r="JE40" s="67">
        <f t="shared" si="47"/>
        <v>1</v>
      </c>
      <c r="JF40" s="67">
        <f t="shared" si="48"/>
        <v>1</v>
      </c>
    </row>
    <row r="41">
      <c r="A41" s="103">
        <f>IFERROR(__xludf.DUMMYFUNCTION("""COMPUTED_VALUE"""),45927.55451326389)</f>
        <v>45927.55451</v>
      </c>
      <c r="B41" s="95" t="str">
        <f>IFERROR(__xludf.DUMMYFUNCTION("""COMPUTED_VALUE"""),"Muhammad Kamil Athaillah Rizki")</f>
        <v>Muhammad Kamil Athaillah Rizki</v>
      </c>
      <c r="C41" s="96" t="str">
        <f>IFERROR(__xludf.DUMMYFUNCTION("""COMPUTED_VALUE"""),"A250053")</f>
        <v>A250053</v>
      </c>
      <c r="D41" s="96" t="str">
        <f>IFERROR(__xludf.DUMMYFUNCTION("""COMPUTED_VALUE"""),"MTs Putra")</f>
        <v>MTs Putra</v>
      </c>
      <c r="E41" s="96" t="str">
        <f>IFERROR(__xludf.DUMMYFUNCTION("""COMPUTED_VALUE"""),"Ya")</f>
        <v>Ya</v>
      </c>
      <c r="F41" s="95" t="str">
        <f>IFERROR(__xludf.DUMMYFUNCTION("""COMPUTED_VALUE"""),"B Saya ingin melakukan apa saja sebaik mungkin.")</f>
        <v>B Saya ingin melakukan apa saja sebaik mungkin.</v>
      </c>
      <c r="G41" s="95" t="str">
        <f>IFERROR(__xludf.DUMMYFUNCTION("""COMPUTED_VALUE"""),"B Saya ingin menyelesaikan tugas yang segera dikumpulkan.")</f>
        <v>B Saya ingin menyelesaikan tugas yang segera dikumpulkan.</v>
      </c>
      <c r="H41" s="95" t="str">
        <f>IFERROR(__xludf.DUMMYFUNCTION("""COMPUTED_VALUE"""),"A Saya ingin berbuat sesuai kata hati saya.")</f>
        <v>A Saya ingin berbuat sesuai kata hati saya.</v>
      </c>
      <c r="I41" s="95" t="str">
        <f>IFERROR(__xludf.DUMMYFUNCTION("""COMPUTED_VALUE"""),"B Saya ingin bisa melakukan dengan baik meskipun tugas yang sulit.")</f>
        <v>B Saya ingin bisa melakukan dengan baik meskipun tugas yang sulit.</v>
      </c>
      <c r="J41" s="95" t="str">
        <f>IFERROR(__xludf.DUMMYFUNCTION("""COMPUTED_VALUE"""),"A Saya suka membantu teman-teman saya apabila mereka mengalami kesulitan.")</f>
        <v>A Saya suka membantu teman-teman saya apabila mereka mengalami kesulitan.</v>
      </c>
      <c r="K41" s="95" t="str">
        <f>IFERROR(__xludf.DUMMYFUNCTION("""COMPUTED_VALUE"""),"B Saya ingin mengatakan telah melakukan dengan baik sesuatu tugas yang sulit.")</f>
        <v>B Saya ingin mengatakan telah melakukan dengan baik sesuatu tugas yang sulit.</v>
      </c>
      <c r="L41" s="95" t="str">
        <f>IFERROR(__xludf.DUMMYFUNCTION("""COMPUTED_VALUE"""),"B Saya ingin mengatakan telah melakukan dengan baik sesuatu tugas yang sulit")</f>
        <v>B Saya ingin mengatakan telah melakukan dengan baik sesuatu tugas yang sulit</v>
      </c>
      <c r="M41" s="95" t="str">
        <f>IFERROR(__xludf.DUMMYFUNCTION("""COMPUTED_VALUE"""),"B Saya ingin mengerjakan segala tugas lebih baik daripada orang lain.")</f>
        <v>B Saya ingin mengerjakan segala tugas lebih baik daripada orang lain.</v>
      </c>
      <c r="N41" s="95" t="str">
        <f>IFERROR(__xludf.DUMMYFUNCTION("""COMPUTED_VALUE"""),"A Saya suka pergi dengan pakaian rapi agar lebih menarik perhatian orang lain.")</f>
        <v>A Saya suka pergi dengan pakaian rapi agar lebih menarik perhatian orang lain.</v>
      </c>
      <c r="O41" s="95" t="str">
        <f>IFERROR(__xludf.DUMMYFUNCTION("""COMPUTED_VALUE"""),"B Saya suka melakukan tugas sebaik mungkin.")</f>
        <v>B Saya suka melakukan tugas sebaik mungkin.</v>
      </c>
      <c r="P41" s="95" t="str">
        <f>IFERROR(__xludf.DUMMYFUNCTION("""COMPUTED_VALUE"""),"A Saya suka bercerita tentang hal-hal yang menegangkan atau menantang.")</f>
        <v>A Saya suka bercerita tentang hal-hal yang menegangkan atau menantang.</v>
      </c>
      <c r="Q41" s="95" t="str">
        <f>IFERROR(__xludf.DUMMYFUNCTION("""COMPUTED_VALUE"""),"A Saya mulai suka dengan lawan jenis.")</f>
        <v>A Saya mulai suka dengan lawan jenis.</v>
      </c>
      <c r="R41" s="95" t="str">
        <f>IFERROR(__xludf.DUMMYFUNCTION("""COMPUTED_VALUE"""),"A Saya ingin orang-orang memperhatikan penampilan saya.")</f>
        <v>A Saya ingin orang-orang memperhatikan penampilan saya.</v>
      </c>
      <c r="S41" s="95" t="str">
        <f>IFERROR(__xludf.DUMMYFUNCTION("""COMPUTED_VALUE"""),"A Saya ingin agar teman-teman pengertian bila saya mengalami kesukaran.")</f>
        <v>A Saya ingin agar teman-teman pengertian bila saya mengalami kesukaran.</v>
      </c>
      <c r="T41" s="95" t="str">
        <f>IFERROR(__xludf.DUMMYFUNCTION("""COMPUTED_VALUE"""),"B Saya ingin agar hidup saya teratur sesuai cita-cita saya.")</f>
        <v>B Saya ingin agar hidup saya teratur sesuai cita-cita saya.</v>
      </c>
      <c r="U41" s="95" t="str">
        <f>IFERROR(__xludf.DUMMYFUNCTION("""COMPUTED_VALUE"""),"A Saya suka memberikan bantuan kepada teman-teman saya.")</f>
        <v>A Saya suka memberikan bantuan kepada teman-teman saya.</v>
      </c>
      <c r="V41" s="95" t="str">
        <f>IFERROR(__xludf.DUMMYFUNCTION("""COMPUTED_VALUE"""),"A Saya suka belajar sampai malam untuk menyelesaikan suatu tugas.")</f>
        <v>A Saya suka belajar sampai malam untuk menyelesaikan suatu tugas.</v>
      </c>
      <c r="W41" s="95" t="str">
        <f>IFERROR(__xludf.DUMMYFUNCTION("""COMPUTED_VALUE"""),"A Saya suka melakukan kegiatan sesuai kondisi yang saya inginkan.")</f>
        <v>A Saya suka melakukan kegiatan sesuai kondisi yang saya inginkan.</v>
      </c>
      <c r="X41" s="95" t="str">
        <f>IFERROR(__xludf.DUMMYFUNCTION("""COMPUTED_VALUE"""),"B Saya ingin agar hidup saya teratur sesuai cita-cita saya.")</f>
        <v>B Saya ingin agar hidup saya teratur sesuai cita-cita saya.</v>
      </c>
      <c r="Y41" s="95" t="str">
        <f>IFERROR(__xludf.DUMMYFUNCTION("""COMPUTED_VALUE"""),"A Saya suka menyelesaikan tugas-tugas yang membutuhkan ketrampilan dan usaha.")</f>
        <v>A Saya suka menyelesaikan tugas-tugas yang membutuhkan ketrampilan dan usaha.</v>
      </c>
      <c r="Z41" s="95" t="str">
        <f>IFERROR(__xludf.DUMMYFUNCTION("""COMPUTED_VALUE"""),"B Saya ingin merasa bebas untuk melakukan apa yang saya inginkan.")</f>
        <v>B Saya ingin merasa bebas untuk melakukan apa yang saya inginkan.</v>
      </c>
      <c r="AA41" s="95" t="str">
        <f>IFERROR(__xludf.DUMMYFUNCTION("""COMPUTED_VALUE"""),"A Saya suka menyelesaikan tugas yang telah saya rencanakan.")</f>
        <v>A Saya suka menyelesaikan tugas yang telah saya rencanakan.</v>
      </c>
      <c r="AB41" s="95" t="str">
        <f>IFERROR(__xludf.DUMMYFUNCTION("""COMPUTED_VALUE"""),"A Saya ingin tidak tergantung dari orang lain terhadap apa yang akan saya lakukan.")</f>
        <v>A Saya ingin tidak tergantung dari orang lain terhadap apa yang akan saya lakukan.</v>
      </c>
      <c r="AC41" s="95" t="str">
        <f>IFERROR(__xludf.DUMMYFUNCTION("""COMPUTED_VALUE"""),"B Saya suka melakukan kegiatan sesuai kondisi yang saya inginkan.")</f>
        <v>B Saya suka melakukan kegiatan sesuai kondisi yang saya inginkan.</v>
      </c>
      <c r="AD41" s="95" t="str">
        <f>IFERROR(__xludf.DUMMYFUNCTION("""COMPUTED_VALUE"""),"A Saya suka bermurah hati terhadap teman-teman saya.")</f>
        <v>A Saya suka bermurah hati terhadap teman-teman saya.</v>
      </c>
      <c r="AE41" s="95" t="str">
        <f>IFERROR(__xludf.DUMMYFUNCTION("""COMPUTED_VALUE"""),"B Saya suka melakukan hal-hal yang dianggap orang lain tidak sesuai.")</f>
        <v>B Saya suka melakukan hal-hal yang dianggap orang lain tidak sesuai.</v>
      </c>
      <c r="AF41" s="95" t="str">
        <f>IFERROR(__xludf.DUMMYFUNCTION("""COMPUTED_VALUE"""),"A Saya ingin agar teman-teman mengerti bila saya mengalami kesukaran.")</f>
        <v>A Saya ingin agar teman-teman mengerti bila saya mengalami kesukaran.</v>
      </c>
      <c r="AG41" s="95" t="str">
        <f>IFERROR(__xludf.DUMMYFUNCTION("""COMPUTED_VALUE"""),"B Saya ingin berhasil dengan tugas yang saya lakukan.")</f>
        <v>B Saya ingin berhasil dengan tugas yang saya lakukan.</v>
      </c>
      <c r="AH41" s="95" t="str">
        <f>IFERROR(__xludf.DUMMYFUNCTION("""COMPUTED_VALUE"""),"B Saya ingin merasa bebas untuk melakukan apa yang saya kehendaki.")</f>
        <v>B Saya ingin merasa bebas untuk melakukan apa yang saya kehendaki.</v>
      </c>
      <c r="AI41" s="95" t="str">
        <f>IFERROR(__xludf.DUMMYFUNCTION("""COMPUTED_VALUE"""),"B Saya suka melakukan kegiatan sesuai kondisi yang saya inginkan.")</f>
        <v>B Saya suka melakukan kegiatan sesuai kondisi yang saya inginkan.</v>
      </c>
      <c r="AJ41" s="95" t="str">
        <f>IFERROR(__xludf.DUMMYFUNCTION("""COMPUTED_VALUE"""),"B Saya suka bertahan menghadapi satu masalah meskipun belum tentu berhasil.")</f>
        <v>B Saya suka bertahan menghadapi satu masalah meskipun belum tentu berhasil.</v>
      </c>
      <c r="AK41" s="95" t="str">
        <f>IFERROR(__xludf.DUMMYFUNCTION("""COMPUTED_VALUE"""),"B Bila saya harus melakukan suatu tugas, saya ingin mengerjakan sampai selesai.")</f>
        <v>B Bila saya harus melakukan suatu tugas, saya ingin mengerjakan sampai selesai.</v>
      </c>
      <c r="AL41" s="95" t="str">
        <f>IFERROR(__xludf.DUMMYFUNCTION("""COMPUTED_VALUE"""),"A Saya suka berbicara tentang hal-hal yang telah saya capai.")</f>
        <v>A Saya suka berbicara tentang hal-hal yang telah saya capai.</v>
      </c>
      <c r="AM41" s="95" t="str">
        <f>IFERROR(__xludf.DUMMYFUNCTION("""COMPUTED_VALUE"""),"B Saya suka belajar sampai malam untuk menyelesaikan suatu tugas.")</f>
        <v>B Saya suka belajar sampai malam untuk menyelesaikan suatu tugas.</v>
      </c>
      <c r="AN41" s="95" t="str">
        <f>IFERROR(__xludf.DUMMYFUNCTION("""COMPUTED_VALUE"""),"A Saya tidak suka pada orang yang semena-mena.")</f>
        <v>A Saya tidak suka pada orang yang semena-mena.</v>
      </c>
      <c r="AO41" s="95" t="str">
        <f>IFERROR(__xludf.DUMMYFUNCTION("""COMPUTED_VALUE"""),"A Saya suka berlaku sangat ramah terhadap teman-teman saya.")</f>
        <v>A Saya suka berlaku sangat ramah terhadap teman-teman saya.</v>
      </c>
      <c r="AP41" s="95" t="str">
        <f>IFERROR(__xludf.DUMMYFUNCTION("""COMPUTED_VALUE"""),"B Saya suka bertahan menghadapi satu masalah meskipun belum tentu berhasil.")</f>
        <v>B Saya suka bertahan menghadapi satu masalah meskipun belum tentu berhasil.</v>
      </c>
      <c r="AQ41" s="95" t="str">
        <f>IFERROR(__xludf.DUMMYFUNCTION("""COMPUTED_VALUE"""),"B Bila saya harus melakukan suatu tugas, saya ingin mengerjakan sampai selesai.")</f>
        <v>B Bila saya harus melakukan suatu tugas, saya ingin mengerjakan sampai selesai.</v>
      </c>
      <c r="AR41" s="95" t="str">
        <f>IFERROR(__xludf.DUMMYFUNCTION("""COMPUTED_VALUE"""),"B Saya suka belajar keras pada tiap pelajaran yang saya hadapi.")</f>
        <v>B Saya suka belajar keras pada tiap pelajaran yang saya hadapi.</v>
      </c>
      <c r="AS41" s="95" t="str">
        <f>IFERROR(__xludf.DUMMYFUNCTION("""COMPUTED_VALUE"""),"B Saya suka belajar sampai malam untuk menyelesaikan suatu tugas.")</f>
        <v>B Saya suka belajar sampai malam untuk menyelesaikan suatu tugas.</v>
      </c>
      <c r="AT41" s="95" t="str">
        <f>IFERROR(__xludf.DUMMYFUNCTION("""COMPUTED_VALUE"""),"A Saya ingin bisa melakukan dengan baik sesuatu pekerjaan sulit.")</f>
        <v>A Saya ingin bisa melakukan dengan baik sesuatu pekerjaan sulit.</v>
      </c>
      <c r="AU41" s="95" t="str">
        <f>IFERROR(__xludf.DUMMYFUNCTION("""COMPUTED_VALUE"""),"B Saya suka bermurah hati terhadap teman-teman saya.")</f>
        <v>B Saya suka bermurah hati terhadap teman-teman saya.</v>
      </c>
      <c r="AV41" s="95" t="str">
        <f>IFERROR(__xludf.DUMMYFUNCTION("""COMPUTED_VALUE"""),"A Saya ingin merasa bebas untuk melakukan apa yang saya kehendaki.")</f>
        <v>A Saya ingin merasa bebas untuk melakukan apa yang saya kehendaki.</v>
      </c>
      <c r="AW41" s="95" t="str">
        <f>IFERROR(__xludf.DUMMYFUNCTION("""COMPUTED_VALUE"""),"A Saya ingin mengerjakan tugas sampai selesai.")</f>
        <v>A Saya ingin mengerjakan tugas sampai selesai.</v>
      </c>
      <c r="AX41" s="95" t="str">
        <f>IFERROR(__xludf.DUMMYFUNCTION("""COMPUTED_VALUE"""),"A Saya suka menolong teman-teman saya apabila mereka dalam kesulitan.")</f>
        <v>A Saya suka menolong teman-teman saya apabila mereka dalam kesulitan.</v>
      </c>
      <c r="AY41" s="95" t="str">
        <f>IFERROR(__xludf.DUMMYFUNCTION("""COMPUTED_VALUE"""),"B Saya suka menolong teman-teman saya apabila mereka dalam kesulitan.")</f>
        <v>B Saya suka menolong teman-teman saya apabila mereka dalam kesulitan.</v>
      </c>
      <c r="AZ41" s="95" t="str">
        <f>IFERROR(__xludf.DUMMYFUNCTION("""COMPUTED_VALUE"""),"B Saya suka menunjukkan simpati saya kepada teman-teman saya.")</f>
        <v>B Saya suka menunjukkan simpati saya kepada teman-teman saya.</v>
      </c>
      <c r="BA41" s="95" t="str">
        <f>IFERROR(__xludf.DUMMYFUNCTION("""COMPUTED_VALUE"""),"B Saya suka memperlakukan orang lain dengan baik dan ramah.")</f>
        <v>B Saya suka memperlakukan orang lain dengan baik dan ramah.</v>
      </c>
      <c r="BB41" s="95" t="str">
        <f>IFERROR(__xludf.DUMMYFUNCTION("""COMPUTED_VALUE"""),"A Saya berkeinginan untuk bersama orang yang menarik bagi saya.")</f>
        <v>A Saya berkeinginan untuk bersama orang yang menarik bagi saya.</v>
      </c>
      <c r="BC41" s="95" t="str">
        <f>IFERROR(__xludf.DUMMYFUNCTION("""COMPUTED_VALUE"""),"B Saya suka membantu orang lain yang menurut saya perlu dikasihani.")</f>
        <v>B Saya suka membantu orang lain yang menurut saya perlu dikasihani.</v>
      </c>
      <c r="BD41" s="95" t="str">
        <f>IFERROR(__xludf.DUMMYFUNCTION("""COMPUTED_VALUE"""),"B Saya suka bersikukuh dengan pendirian saya.")</f>
        <v>B Saya suka bersikukuh dengan pendirian saya.</v>
      </c>
      <c r="BE41" s="95" t="str">
        <f>IFERROR(__xludf.DUMMYFUNCTION("""COMPUTED_VALUE"""),"B Saya ingin orang lain melakukan apa yang saya kehendaki.")</f>
        <v>B Saya ingin orang lain melakukan apa yang saya kehendaki.</v>
      </c>
      <c r="BF41" s="95" t="str">
        <f>IFERROR(__xludf.DUMMYFUNCTION("""COMPUTED_VALUE"""),"A Saya ingin orang lain memperhatikan dan berkomentar tentang penampilan saya.")</f>
        <v>A Saya ingin orang lain memperhatikan dan berkomentar tentang penampilan saya.</v>
      </c>
      <c r="BG41" s="95" t="str">
        <f>IFERROR(__xludf.DUMMYFUNCTION("""COMPUTED_VALUE"""),"B Saya suka mengarahkan kepada orang lain apa yang harus dilakukan.")</f>
        <v>B Saya suka mengarahkan kepada orang lain apa yang harus dilakukan.</v>
      </c>
      <c r="BH41" s="95" t="str">
        <f>IFERROR(__xludf.DUMMYFUNCTION("""COMPUTED_VALUE"""),"B Apabila saya berkumpul dalam kelompok, saya ingin dihargai teman-teman.")</f>
        <v>B Apabila saya berkumpul dalam kelompok, saya ingin dihargai teman-teman.</v>
      </c>
      <c r="BI41" s="95" t="str">
        <f>IFERROR(__xludf.DUMMYFUNCTION("""COMPUTED_VALUE"""),"A Saya suka bermurah hati terhadap teman-teman saya.")</f>
        <v>A Saya suka bermurah hati terhadap teman-teman saya.</v>
      </c>
      <c r="BJ41" s="95" t="str">
        <f>IFERROR(__xludf.DUMMYFUNCTION("""COMPUTED_VALUE"""),"A Saya ingin mengerjakan tugas sampai selesai.")</f>
        <v>A Saya ingin mengerjakan tugas sampai selesai.</v>
      </c>
      <c r="BK41" s="95" t="str">
        <f>IFERROR(__xludf.DUMMYFUNCTION("""COMPUTED_VALUE"""),"A Saya ingin menyelesaikan pekerjaan satu persatu sebelum memulai yang lain.")</f>
        <v>A Saya ingin menyelesaikan pekerjaan satu persatu sebelum memulai yang lain.</v>
      </c>
      <c r="BL41" s="95" t="str">
        <f>IFERROR(__xludf.DUMMYFUNCTION("""COMPUTED_VALUE"""),"B Saya suka bersikukuh dengan pendirian saya.")</f>
        <v>B Saya suka bersikukuh dengan pendirian saya.</v>
      </c>
      <c r="BM41" s="95" t="str">
        <f>IFERROR(__xludf.DUMMYFUNCTION("""COMPUTED_VALUE"""),"A Saya suka melakukan pekerjaan sebaik mungkin.")</f>
        <v>A Saya suka melakukan pekerjaan sebaik mungkin.</v>
      </c>
      <c r="BN41" s="95" t="str">
        <f>IFERROR(__xludf.DUMMYFUNCTION("""COMPUTED_VALUE"""),"B Saya ingin teman-teman memberi dorongan bila saya menghadapi kegagalan.")</f>
        <v>B Saya ingin teman-teman memberi dorongan bila saya menghadapi kegagalan.</v>
      </c>
      <c r="BO41" s="95" t="str">
        <f>IFERROR(__xludf.DUMMYFUNCTION("""COMPUTED_VALUE"""),"B Saya ingin diperlakukan dengan baik oleh teman-teman saya.")</f>
        <v>B Saya ingin diperlakukan dengan baik oleh teman-teman saya.</v>
      </c>
      <c r="BP41" s="95" t="str">
        <f>IFERROR(__xludf.DUMMYFUNCTION("""COMPUTED_VALUE"""),"A Saya ingin menyelesaikan sesuatu yang sangat penting artinya.")</f>
        <v>A Saya ingin menyelesaikan sesuatu yang sangat penting artinya.</v>
      </c>
      <c r="BQ41" s="95" t="str">
        <f>IFERROR(__xludf.DUMMYFUNCTION("""COMPUTED_VALUE"""),"A Saya ingin mengerjakannya tugas sampai selesai.")</f>
        <v>A Saya ingin mengerjakannya tugas sampai selesai.</v>
      </c>
      <c r="BR41" s="95" t="str">
        <f>IFERROR(__xludf.DUMMYFUNCTION("""COMPUTED_VALUE"""),"A Saya suka memaafkan teman-teman saya yang menyakiti hati saya.")</f>
        <v>A Saya suka memaafkan teman-teman saya yang menyakiti hati saya.</v>
      </c>
      <c r="BS41" s="95" t="str">
        <f>IFERROR(__xludf.DUMMYFUNCTION("""COMPUTED_VALUE"""),"B Saya ingin teman-teman saya membantu saya bila saya mengalami kesulitan")</f>
        <v>B Saya ingin teman-teman saya membantu saya bila saya mengalami kesulitan</v>
      </c>
      <c r="BT41" s="95" t="str">
        <f>IFERROR(__xludf.DUMMYFUNCTION("""COMPUTED_VALUE"""),"B Saya ingin teman-teman banyak menunjukkan rasa sayang mereka terhadap saya.")</f>
        <v>B Saya ingin teman-teman banyak menunjukkan rasa sayang mereka terhadap saya.</v>
      </c>
      <c r="BU41" s="95" t="str">
        <f>IFERROR(__xludf.DUMMYFUNCTION("""COMPUTED_VALUE"""),"A Saya kadang-kadang suka melakukan hal-hal yang dapat dipuji oleh orang lain.")</f>
        <v>A Saya kadang-kadang suka melakukan hal-hal yang dapat dipuji oleh orang lain.</v>
      </c>
      <c r="BV41" s="95" t="str">
        <f>IFERROR(__xludf.DUMMYFUNCTION("""COMPUTED_VALUE"""),"A Saya ingin dianggap menarik oleh orang lain.")</f>
        <v>A Saya ingin dianggap menarik oleh orang lain.</v>
      </c>
      <c r="BW41" s="95" t="str">
        <f>IFERROR(__xludf.DUMMYFUNCTION("""COMPUTED_VALUE"""),"B Saya ingin diperlakukan dengan baik oleh teman-teman saya.")</f>
        <v>B Saya ingin diperlakukan dengan baik oleh teman-teman saya.</v>
      </c>
      <c r="BX41" s="95" t="str">
        <f>IFERROR(__xludf.DUMMYFUNCTION("""COMPUTED_VALUE"""),"B Saya kadang-kadang suka melakukan hal-hal yang dapat dipuji oleh orang lain.")</f>
        <v>B Saya kadang-kadang suka melakukan hal-hal yang dapat dipuji oleh orang lain.</v>
      </c>
      <c r="BY41" s="95" t="str">
        <f>IFERROR(__xludf.DUMMYFUNCTION("""COMPUTED_VALUE"""),"A Saya suka melamun atau membayangkan hal-hal yang tidak jelas.")</f>
        <v>A Saya suka melamun atau membayangkan hal-hal yang tidak jelas.</v>
      </c>
      <c r="BZ41" s="95" t="str">
        <f>IFERROR(__xludf.DUMMYFUNCTION("""COMPUTED_VALUE"""),"B Saya suka diperhatikan, apabila saya ada di dalam suatu kelompok.")</f>
        <v>B Saya suka diperhatikan, apabila saya ada di dalam suatu kelompok.</v>
      </c>
      <c r="CA41" s="95" t="str">
        <f>IFERROR(__xludf.DUMMYFUNCTION("""COMPUTED_VALUE"""),"A Saya ingin teman-teman dengan gembira memberikan pertolongan kepada saya.")</f>
        <v>A Saya ingin teman-teman dengan gembira memberikan pertolongan kepada saya.</v>
      </c>
      <c r="CB41" s="95" t="str">
        <f>IFERROR(__xludf.DUMMYFUNCTION("""COMPUTED_VALUE"""),"B Saya suka berbicara tentang hal-hal yang telah saya capai.")</f>
        <v>B Saya suka berbicara tentang hal-hal yang telah saya capai.</v>
      </c>
      <c r="CC41" s="95" t="str">
        <f>IFERROR(__xludf.DUMMYFUNCTION("""COMPUTED_VALUE"""),"A Apabila saya berkumpul dalam kelompok, saya ingin dihargai teman-teman.")</f>
        <v>A Apabila saya berkumpul dalam kelompok, saya ingin dihargai teman-teman.</v>
      </c>
      <c r="CD41" s="95" t="str">
        <f>IFERROR(__xludf.DUMMYFUNCTION("""COMPUTED_VALUE"""),"A Saya suka menyelesaikan setiap tugas meskipun membutuhkan waktu lama.")</f>
        <v>A Saya suka menyelesaikan setiap tugas meskipun membutuhkan waktu lama.</v>
      </c>
      <c r="CE41" s="95" t="str">
        <f>IFERROR(__xludf.DUMMYFUNCTION("""COMPUTED_VALUE"""),"B Saya kadang-kadang suka melakukan hal-hal yang dapat dipuji oleh orang lain.")</f>
        <v>B Saya kadang-kadang suka melakukan hal-hal yang dapat dipuji oleh orang lain.</v>
      </c>
      <c r="CF41" s="95" t="str">
        <f>IFERROR(__xludf.DUMMYFUNCTION("""COMPUTED_VALUE"""),"A Saya ingin agar hidup saya teratur sesuai cita-cita saya.")</f>
        <v>A Saya ingin agar hidup saya teratur sesuai cita-cita saya.</v>
      </c>
      <c r="CG41" s="95" t="str">
        <f>IFERROR(__xludf.DUMMYFUNCTION("""COMPUTED_VALUE"""),"B Saya suka berbicara tentang hal-hal yang telah saya capai.")</f>
        <v>B Saya suka berbicara tentang hal-hal yang telah saya capai.</v>
      </c>
      <c r="CH41" s="95" t="str">
        <f>IFERROR(__xludf.DUMMYFUNCTION("""COMPUTED_VALUE"""),"A Saya ingin bisa melakukan dengan baik sesuatu pekerjaan sulit.")</f>
        <v>A Saya ingin bisa melakukan dengan baik sesuatu pekerjaan sulit.</v>
      </c>
      <c r="CI41" s="95" t="str">
        <f>IFERROR(__xludf.DUMMYFUNCTION("""COMPUTED_VALUE"""),"B Saya ingin dianggap menarik oleh orang lain.")</f>
        <v>B Saya ingin dianggap menarik oleh orang lain.</v>
      </c>
      <c r="CJ41" s="95" t="str">
        <f>IFERROR(__xludf.DUMMYFUNCTION("""COMPUTED_VALUE"""),"A Saya ingin tidak tergantung dari orang lain terhadap apa yang akan saya lakukan.")</f>
        <v>A Saya ingin tidak tergantung dari orang lain terhadap apa yang akan saya lakukan.</v>
      </c>
      <c r="CK41" s="95" t="str">
        <f>IFERROR(__xludf.DUMMYFUNCTION("""COMPUTED_VALUE"""),"A Saya suka bertahan menghadapi satu masalah, meskipun belum tentu berhasil.")</f>
        <v>A Saya suka bertahan menghadapi satu masalah, meskipun belum tentu berhasil.</v>
      </c>
      <c r="CL41" s="95" t="str">
        <f>IFERROR(__xludf.DUMMYFUNCTION("""COMPUTED_VALUE"""),"A Saya suka menolong teman-teman saya, apabila mereka dalam kesulitan.")</f>
        <v>A Saya suka menolong teman-teman saya, apabila mereka dalam kesulitan.</v>
      </c>
      <c r="CM41" s="95" t="str">
        <f>IFERROR(__xludf.DUMMYFUNCTION("""COMPUTED_VALUE"""),"B Saya merasa kagum pada seseorang.")</f>
        <v>B Saya merasa kagum pada seseorang.</v>
      </c>
      <c r="CN41" s="95" t="str">
        <f>IFERROR(__xludf.DUMMYFUNCTION("""COMPUTED_VALUE"""),"A Saya ingin diperlakukan dengan baik oleh teman-teman saya.")</f>
        <v>A Saya ingin diperlakukan dengan baik oleh teman-teman saya.</v>
      </c>
      <c r="CO41" s="95" t="str">
        <f>IFERROR(__xludf.DUMMYFUNCTION("""COMPUTED_VALUE"""),"B Saya suka memuji orang yang saya kagumi.")</f>
        <v>B Saya suka memuji orang yang saya kagumi.</v>
      </c>
      <c r="CP41" s="95" t="str">
        <f>IFERROR(__xludf.DUMMYFUNCTION("""COMPUTED_VALUE"""),"B Saya ingin dianggap menarik oleh orang lain.")</f>
        <v>B Saya ingin dianggap menarik oleh orang lain.</v>
      </c>
      <c r="CQ41" s="95" t="str">
        <f>IFERROR(__xludf.DUMMYFUNCTION("""COMPUTED_VALUE"""),"B Saya merasa kagum pada seseorang.")</f>
        <v>B Saya merasa kagum pada seseorang.</v>
      </c>
      <c r="CR41" s="95" t="str">
        <f>IFERROR(__xludf.DUMMYFUNCTION("""COMPUTED_VALUE"""),"B Saya rasanya ingin mengecam seseorang bila orang itu menjengkelkan.")</f>
        <v>B Saya rasanya ingin mengecam seseorang bila orang itu menjengkelkan.</v>
      </c>
      <c r="CS41" s="95" t="str">
        <f>IFERROR(__xludf.DUMMYFUNCTION("""COMPUTED_VALUE"""),"A Saya ingin terlihat menarik di depan teman-teman saya.")</f>
        <v>A Saya ingin terlihat menarik di depan teman-teman saya.</v>
      </c>
      <c r="CT41" s="95" t="str">
        <f>IFERROR(__xludf.DUMMYFUNCTION("""COMPUTED_VALUE"""),"A Saya ingin orang-orang memperhatikan komentar mengenai penampilan saya.")</f>
        <v>A Saya ingin orang-orang memperhatikan komentar mengenai penampilan saya.</v>
      </c>
      <c r="CU41" s="95" t="str">
        <f>IFERROR(__xludf.DUMMYFUNCTION("""COMPUTED_VALUE"""),"A Saya ingin diperlakukan dengan ramah oleh teman-teman saya.")</f>
        <v>A Saya ingin diperlakukan dengan ramah oleh teman-teman saya.</v>
      </c>
      <c r="CV41" s="95" t="str">
        <f>IFERROR(__xludf.DUMMYFUNCTION("""COMPUTED_VALUE"""),"B Saya menyerang pendirian-pendirian yang bertentangan dengan pendirian saya.")</f>
        <v>B Saya menyerang pendirian-pendirian yang bertentangan dengan pendirian saya.</v>
      </c>
      <c r="CW41" s="95" t="str">
        <f>IFERROR(__xludf.DUMMYFUNCTION("""COMPUTED_VALUE"""),"A Saya suka menolong teman-teman saya, apabila mereka dalam kesulitan.")</f>
        <v>A Saya suka menolong teman-teman saya, apabila mereka dalam kesulitan.</v>
      </c>
      <c r="CX41" s="95" t="str">
        <f>IFERROR(__xludf.DUMMYFUNCTION("""COMPUTED_VALUE"""),"A Saya suka belajar sampai malam untuk menyelesaikan suatu tugas.")</f>
        <v>A Saya suka belajar sampai malam untuk menyelesaikan suatu tugas.</v>
      </c>
      <c r="CY41" s="95" t="str">
        <f>IFERROR(__xludf.DUMMYFUNCTION("""COMPUTED_VALUE"""),"A Saya ingin tidak tergantung dari orang lain terhadap apa yang akan saya lakukan.")</f>
        <v>A Saya ingin tidak tergantung dari orang lain terhadap apa yang akan saya lakukan.</v>
      </c>
      <c r="CZ41" s="95" t="str">
        <f>IFERROR(__xludf.DUMMYFUNCTION("""COMPUTED_VALUE"""),"A Saya suka merencanakan dan mengatur setiap pekerjaan yang harus saya lakukan.")</f>
        <v>A Saya suka merencanakan dan mengatur setiap pekerjaan yang harus saya lakukan.</v>
      </c>
      <c r="DA41" s="95" t="str">
        <f>IFERROR(__xludf.DUMMYFUNCTION("""COMPUTED_VALUE"""),"A Saya ingin melakukan apa saja sebaik mungkin.")</f>
        <v>A Saya ingin melakukan apa saja sebaik mungkin.</v>
      </c>
      <c r="DB41" s="89" t="s">
        <v>23</v>
      </c>
      <c r="DC41" s="97" t="str">
        <f t="shared" ref="DC41:GX41" si="86">LEFT(F41,1)</f>
        <v>B</v>
      </c>
      <c r="DD41" s="97" t="str">
        <f t="shared" si="86"/>
        <v>B</v>
      </c>
      <c r="DE41" s="97" t="str">
        <f t="shared" si="86"/>
        <v>A</v>
      </c>
      <c r="DF41" s="97" t="str">
        <f t="shared" si="86"/>
        <v>B</v>
      </c>
      <c r="DG41" s="97" t="str">
        <f t="shared" si="86"/>
        <v>A</v>
      </c>
      <c r="DH41" s="97" t="str">
        <f t="shared" si="86"/>
        <v>B</v>
      </c>
      <c r="DI41" s="97" t="str">
        <f t="shared" si="86"/>
        <v>B</v>
      </c>
      <c r="DJ41" s="97" t="str">
        <f t="shared" si="86"/>
        <v>B</v>
      </c>
      <c r="DK41" s="97" t="str">
        <f t="shared" si="86"/>
        <v>A</v>
      </c>
      <c r="DL41" s="97" t="str">
        <f t="shared" si="86"/>
        <v>B</v>
      </c>
      <c r="DM41" s="97" t="str">
        <f t="shared" si="86"/>
        <v>A</v>
      </c>
      <c r="DN41" s="97" t="str">
        <f t="shared" si="86"/>
        <v>A</v>
      </c>
      <c r="DO41" s="97" t="str">
        <f t="shared" si="86"/>
        <v>A</v>
      </c>
      <c r="DP41" s="97" t="str">
        <f t="shared" si="86"/>
        <v>A</v>
      </c>
      <c r="DQ41" s="97" t="str">
        <f t="shared" si="86"/>
        <v>B</v>
      </c>
      <c r="DR41" s="97" t="str">
        <f t="shared" si="86"/>
        <v>A</v>
      </c>
      <c r="DS41" s="97" t="str">
        <f t="shared" si="86"/>
        <v>A</v>
      </c>
      <c r="DT41" s="97" t="str">
        <f t="shared" si="86"/>
        <v>A</v>
      </c>
      <c r="DU41" s="97" t="str">
        <f t="shared" si="86"/>
        <v>B</v>
      </c>
      <c r="DV41" s="97" t="str">
        <f t="shared" si="86"/>
        <v>A</v>
      </c>
      <c r="DW41" s="97" t="str">
        <f t="shared" si="86"/>
        <v>B</v>
      </c>
      <c r="DX41" s="97" t="str">
        <f t="shared" si="86"/>
        <v>A</v>
      </c>
      <c r="DY41" s="97" t="str">
        <f t="shared" si="86"/>
        <v>A</v>
      </c>
      <c r="DZ41" s="97" t="str">
        <f t="shared" si="86"/>
        <v>B</v>
      </c>
      <c r="EA41" s="97" t="str">
        <f t="shared" si="86"/>
        <v>A</v>
      </c>
      <c r="EB41" s="97" t="str">
        <f t="shared" si="86"/>
        <v>B</v>
      </c>
      <c r="EC41" s="97" t="str">
        <f t="shared" si="86"/>
        <v>A</v>
      </c>
      <c r="ED41" s="97" t="str">
        <f t="shared" si="86"/>
        <v>B</v>
      </c>
      <c r="EE41" s="97" t="str">
        <f t="shared" si="86"/>
        <v>B</v>
      </c>
      <c r="EF41" s="97" t="str">
        <f t="shared" si="86"/>
        <v>B</v>
      </c>
      <c r="EG41" s="97" t="str">
        <f t="shared" si="86"/>
        <v>B</v>
      </c>
      <c r="EH41" s="97" t="str">
        <f t="shared" si="86"/>
        <v>B</v>
      </c>
      <c r="EI41" s="97" t="str">
        <f t="shared" si="86"/>
        <v>A</v>
      </c>
      <c r="EJ41" s="97" t="str">
        <f t="shared" si="86"/>
        <v>B</v>
      </c>
      <c r="EK41" s="97" t="str">
        <f t="shared" si="86"/>
        <v>A</v>
      </c>
      <c r="EL41" s="97" t="str">
        <f t="shared" si="86"/>
        <v>A</v>
      </c>
      <c r="EM41" s="97" t="str">
        <f t="shared" si="86"/>
        <v>B</v>
      </c>
      <c r="EN41" s="97" t="str">
        <f t="shared" si="86"/>
        <v>B</v>
      </c>
      <c r="EO41" s="97" t="str">
        <f t="shared" si="86"/>
        <v>B</v>
      </c>
      <c r="EP41" s="97" t="str">
        <f t="shared" si="86"/>
        <v>B</v>
      </c>
      <c r="EQ41" s="97" t="str">
        <f t="shared" si="86"/>
        <v>A</v>
      </c>
      <c r="ER41" s="97" t="str">
        <f t="shared" si="86"/>
        <v>B</v>
      </c>
      <c r="ES41" s="97" t="str">
        <f t="shared" si="86"/>
        <v>A</v>
      </c>
      <c r="ET41" s="97" t="str">
        <f t="shared" si="86"/>
        <v>A</v>
      </c>
      <c r="EU41" s="97" t="str">
        <f t="shared" si="86"/>
        <v>A</v>
      </c>
      <c r="EV41" s="97" t="str">
        <f t="shared" si="86"/>
        <v>B</v>
      </c>
      <c r="EW41" s="97" t="str">
        <f t="shared" si="86"/>
        <v>B</v>
      </c>
      <c r="EX41" s="97" t="str">
        <f t="shared" si="86"/>
        <v>B</v>
      </c>
      <c r="EY41" s="97" t="str">
        <f t="shared" si="86"/>
        <v>A</v>
      </c>
      <c r="EZ41" s="97" t="str">
        <f t="shared" si="86"/>
        <v>B</v>
      </c>
      <c r="FA41" s="97" t="str">
        <f t="shared" si="86"/>
        <v>B</v>
      </c>
      <c r="FB41" s="97" t="str">
        <f t="shared" si="86"/>
        <v>B</v>
      </c>
      <c r="FC41" s="97" t="str">
        <f t="shared" si="86"/>
        <v>A</v>
      </c>
      <c r="FD41" s="97" t="str">
        <f t="shared" si="86"/>
        <v>B</v>
      </c>
      <c r="FE41" s="97" t="str">
        <f t="shared" si="86"/>
        <v>B</v>
      </c>
      <c r="FF41" s="97" t="str">
        <f t="shared" si="86"/>
        <v>A</v>
      </c>
      <c r="FG41" s="97" t="str">
        <f t="shared" si="86"/>
        <v>A</v>
      </c>
      <c r="FH41" s="97" t="str">
        <f t="shared" si="86"/>
        <v>A</v>
      </c>
      <c r="FI41" s="97" t="str">
        <f t="shared" si="86"/>
        <v>B</v>
      </c>
      <c r="FJ41" s="97" t="str">
        <f t="shared" si="86"/>
        <v>A</v>
      </c>
      <c r="FK41" s="97" t="str">
        <f t="shared" si="86"/>
        <v>B</v>
      </c>
      <c r="FL41" s="97" t="str">
        <f t="shared" si="86"/>
        <v>B</v>
      </c>
      <c r="FM41" s="97" t="str">
        <f t="shared" si="86"/>
        <v>A</v>
      </c>
      <c r="FN41" s="97" t="str">
        <f t="shared" si="86"/>
        <v>A</v>
      </c>
      <c r="FO41" s="97" t="str">
        <f t="shared" si="86"/>
        <v>A</v>
      </c>
      <c r="FP41" s="97" t="str">
        <f t="shared" si="86"/>
        <v>B</v>
      </c>
      <c r="FQ41" s="97" t="str">
        <f t="shared" si="86"/>
        <v>B</v>
      </c>
      <c r="FR41" s="97" t="str">
        <f t="shared" si="86"/>
        <v>A</v>
      </c>
      <c r="FS41" s="97" t="str">
        <f t="shared" si="86"/>
        <v>A</v>
      </c>
      <c r="FT41" s="97" t="str">
        <f t="shared" si="86"/>
        <v>B</v>
      </c>
      <c r="FU41" s="97" t="str">
        <f t="shared" si="86"/>
        <v>B</v>
      </c>
      <c r="FV41" s="97" t="str">
        <f t="shared" si="86"/>
        <v>A</v>
      </c>
      <c r="FW41" s="97" t="str">
        <f t="shared" si="86"/>
        <v>B</v>
      </c>
      <c r="FX41" s="97" t="str">
        <f t="shared" si="86"/>
        <v>A</v>
      </c>
      <c r="FY41" s="97" t="str">
        <f t="shared" si="86"/>
        <v>B</v>
      </c>
      <c r="FZ41" s="97" t="str">
        <f t="shared" si="86"/>
        <v>A</v>
      </c>
      <c r="GA41" s="97" t="str">
        <f t="shared" si="86"/>
        <v>A</v>
      </c>
      <c r="GB41" s="97" t="str">
        <f t="shared" si="86"/>
        <v>B</v>
      </c>
      <c r="GC41" s="97" t="str">
        <f t="shared" si="86"/>
        <v>A</v>
      </c>
      <c r="GD41" s="97" t="str">
        <f t="shared" si="86"/>
        <v>B</v>
      </c>
      <c r="GE41" s="97" t="str">
        <f t="shared" si="86"/>
        <v>A</v>
      </c>
      <c r="GF41" s="97" t="str">
        <f t="shared" si="86"/>
        <v>B</v>
      </c>
      <c r="GG41" s="97" t="str">
        <f t="shared" si="86"/>
        <v>A</v>
      </c>
      <c r="GH41" s="97" t="str">
        <f t="shared" si="86"/>
        <v>A</v>
      </c>
      <c r="GI41" s="97" t="str">
        <f t="shared" si="86"/>
        <v>A</v>
      </c>
      <c r="GJ41" s="97" t="str">
        <f t="shared" si="86"/>
        <v>B</v>
      </c>
      <c r="GK41" s="97" t="str">
        <f t="shared" si="86"/>
        <v>A</v>
      </c>
      <c r="GL41" s="97" t="str">
        <f t="shared" si="86"/>
        <v>B</v>
      </c>
      <c r="GM41" s="97" t="str">
        <f t="shared" si="86"/>
        <v>B</v>
      </c>
      <c r="GN41" s="97" t="str">
        <f t="shared" si="86"/>
        <v>B</v>
      </c>
      <c r="GO41" s="97" t="str">
        <f t="shared" si="86"/>
        <v>B</v>
      </c>
      <c r="GP41" s="97" t="str">
        <f t="shared" si="86"/>
        <v>A</v>
      </c>
      <c r="GQ41" s="97" t="str">
        <f t="shared" si="86"/>
        <v>A</v>
      </c>
      <c r="GR41" s="97" t="str">
        <f t="shared" si="86"/>
        <v>A</v>
      </c>
      <c r="GS41" s="97" t="str">
        <f t="shared" si="86"/>
        <v>B</v>
      </c>
      <c r="GT41" s="97" t="str">
        <f t="shared" si="86"/>
        <v>A</v>
      </c>
      <c r="GU41" s="97" t="str">
        <f t="shared" si="86"/>
        <v>A</v>
      </c>
      <c r="GV41" s="97" t="str">
        <f t="shared" si="86"/>
        <v>A</v>
      </c>
      <c r="GW41" s="97" t="str">
        <f t="shared" si="86"/>
        <v>A</v>
      </c>
      <c r="GX41" s="97" t="str">
        <f t="shared" si="86"/>
        <v>A</v>
      </c>
      <c r="GY41" s="98"/>
      <c r="GZ41" s="97">
        <f t="shared" si="3"/>
        <v>51</v>
      </c>
      <c r="HA41" s="97">
        <f t="shared" si="4"/>
        <v>49</v>
      </c>
      <c r="HB41" s="90">
        <f t="shared" si="5"/>
        <v>100</v>
      </c>
      <c r="HC41" s="99"/>
      <c r="HD41" s="97">
        <f t="shared" si="6"/>
        <v>5</v>
      </c>
      <c r="HE41" s="97">
        <f t="shared" si="7"/>
        <v>6</v>
      </c>
      <c r="HF41" s="90">
        <f t="shared" si="8"/>
        <v>11</v>
      </c>
      <c r="HG41" s="99"/>
      <c r="HH41" s="97">
        <f t="shared" si="9"/>
        <v>3</v>
      </c>
      <c r="HI41" s="97">
        <f t="shared" si="10"/>
        <v>2</v>
      </c>
      <c r="HJ41" s="90">
        <f t="shared" si="11"/>
        <v>5</v>
      </c>
      <c r="HK41" s="99"/>
      <c r="HL41" s="97">
        <f t="shared" si="12"/>
        <v>7</v>
      </c>
      <c r="HM41" s="97">
        <f t="shared" si="13"/>
        <v>6</v>
      </c>
      <c r="HN41" s="90">
        <f t="shared" si="14"/>
        <v>13</v>
      </c>
      <c r="HO41" s="99"/>
      <c r="HP41" s="97">
        <f t="shared" si="15"/>
        <v>7</v>
      </c>
      <c r="HQ41" s="97">
        <f t="shared" si="16"/>
        <v>7</v>
      </c>
      <c r="HR41" s="90">
        <f t="shared" si="17"/>
        <v>14</v>
      </c>
      <c r="HS41" s="99"/>
      <c r="HT41" s="97">
        <f t="shared" si="18"/>
        <v>9</v>
      </c>
      <c r="HU41" s="97">
        <f t="shared" si="19"/>
        <v>5</v>
      </c>
      <c r="HV41" s="90">
        <f t="shared" si="20"/>
        <v>14</v>
      </c>
      <c r="HW41" s="99"/>
      <c r="HX41" s="97">
        <f t="shared" si="21"/>
        <v>1</v>
      </c>
      <c r="HY41" s="97">
        <f t="shared" si="22"/>
        <v>5</v>
      </c>
      <c r="HZ41" s="90">
        <f t="shared" si="23"/>
        <v>6</v>
      </c>
      <c r="IA41" s="99"/>
      <c r="IB41" s="97">
        <f t="shared" si="24"/>
        <v>5</v>
      </c>
      <c r="IC41" s="97">
        <f t="shared" si="25"/>
        <v>5</v>
      </c>
      <c r="ID41" s="90">
        <f t="shared" si="26"/>
        <v>10</v>
      </c>
      <c r="IE41" s="99"/>
      <c r="IF41" s="97">
        <f t="shared" si="27"/>
        <v>5</v>
      </c>
      <c r="IG41" s="97">
        <f t="shared" si="28"/>
        <v>5</v>
      </c>
      <c r="IH41" s="90">
        <f t="shared" si="29"/>
        <v>10</v>
      </c>
      <c r="II41" s="99"/>
      <c r="IJ41" s="97">
        <f t="shared" si="30"/>
        <v>6</v>
      </c>
      <c r="IK41" s="97">
        <f t="shared" si="31"/>
        <v>5</v>
      </c>
      <c r="IL41" s="90">
        <f t="shared" si="32"/>
        <v>11</v>
      </c>
      <c r="IM41" s="99"/>
      <c r="IN41" s="97">
        <f t="shared" si="33"/>
        <v>1</v>
      </c>
      <c r="IO41" s="97">
        <f t="shared" si="34"/>
        <v>2</v>
      </c>
      <c r="IP41" s="90">
        <f t="shared" si="35"/>
        <v>3</v>
      </c>
      <c r="IQ41" s="99"/>
      <c r="IR41" s="99"/>
      <c r="IS41" s="100">
        <f t="shared" si="36"/>
        <v>11</v>
      </c>
      <c r="IT41" s="100">
        <f t="shared" si="37"/>
        <v>5</v>
      </c>
      <c r="IU41" s="100">
        <f t="shared" si="38"/>
        <v>13</v>
      </c>
      <c r="IV41" s="100">
        <f t="shared" si="39"/>
        <v>14</v>
      </c>
      <c r="IW41" s="100">
        <f t="shared" si="40"/>
        <v>14</v>
      </c>
      <c r="IX41" s="100">
        <f t="shared" si="41"/>
        <v>6</v>
      </c>
      <c r="IY41" s="100">
        <f t="shared" si="42"/>
        <v>10</v>
      </c>
      <c r="IZ41" s="100">
        <f t="shared" si="43"/>
        <v>10</v>
      </c>
      <c r="JA41" s="100">
        <f t="shared" si="44"/>
        <v>11</v>
      </c>
      <c r="JB41" s="101">
        <f t="shared" si="45"/>
        <v>3</v>
      </c>
      <c r="JC41" s="102">
        <f t="shared" si="46"/>
        <v>97</v>
      </c>
      <c r="JD41" s="67">
        <f t="shared" si="50"/>
        <v>1</v>
      </c>
      <c r="JE41" s="67">
        <f t="shared" si="47"/>
        <v>3</v>
      </c>
      <c r="JF41" s="67">
        <f t="shared" si="48"/>
        <v>4</v>
      </c>
    </row>
    <row r="42">
      <c r="A42" s="103">
        <f>IFERROR(__xludf.DUMMYFUNCTION("""COMPUTED_VALUE"""),45927.59670462963)</f>
        <v>45927.5967</v>
      </c>
      <c r="B42" s="95" t="str">
        <f>IFERROR(__xludf.DUMMYFUNCTION("""COMPUTED_VALUE"""),"Hibban Hibaturrahman")</f>
        <v>Hibban Hibaturrahman</v>
      </c>
      <c r="C42" s="96" t="str">
        <f>IFERROR(__xludf.DUMMYFUNCTION("""COMPUTED_VALUE"""),"C250003")</f>
        <v>C250003</v>
      </c>
      <c r="D42" s="96" t="str">
        <f>IFERROR(__xludf.DUMMYFUNCTION("""COMPUTED_VALUE"""),"SMA")</f>
        <v>SMA</v>
      </c>
      <c r="E42" s="96" t="str">
        <f>IFERROR(__xludf.DUMMYFUNCTION("""COMPUTED_VALUE"""),"Ya")</f>
        <v>Ya</v>
      </c>
      <c r="F42" s="95" t="str">
        <f>IFERROR(__xludf.DUMMYFUNCTION("""COMPUTED_VALUE"""),"A Saya ingin mengerjakan segala tugas lebih baik daripada orang lain.")</f>
        <v>A Saya ingin mengerjakan segala tugas lebih baik daripada orang lain.</v>
      </c>
      <c r="G42" s="95" t="str">
        <f>IFERROR(__xludf.DUMMYFUNCTION("""COMPUTED_VALUE"""),"A Saya ingin setiap tulisan saya teliti, rapi, dan tersusun dengan baik.")</f>
        <v>A Saya ingin setiap tulisan saya teliti, rapi, dan tersusun dengan baik.</v>
      </c>
      <c r="H42" s="95" t="str">
        <f>IFERROR(__xludf.DUMMYFUNCTION("""COMPUTED_VALUE"""),"B Saya ingin menjadi orang yang diakui dalam suatu pekerjaan atau bidang khusus.")</f>
        <v>B Saya ingin menjadi orang yang diakui dalam suatu pekerjaan atau bidang khusus.</v>
      </c>
      <c r="I42" s="95" t="str">
        <f>IFERROR(__xludf.DUMMYFUNCTION("""COMPUTED_VALUE"""),"B Saya ingin bisa melakukan dengan baik meskipun tugas yang sulit.")</f>
        <v>B Saya ingin bisa melakukan dengan baik meskipun tugas yang sulit.</v>
      </c>
      <c r="J42" s="95" t="str">
        <f>IFERROR(__xludf.DUMMYFUNCTION("""COMPUTED_VALUE"""),"A Saya suka membantu teman-teman saya apabila mereka mengalami kesulitan.")</f>
        <v>A Saya suka membantu teman-teman saya apabila mereka mengalami kesulitan.</v>
      </c>
      <c r="K42" s="95" t="str">
        <f>IFERROR(__xludf.DUMMYFUNCTION("""COMPUTED_VALUE"""),"B Saya ingin mengatakan telah melakukan dengan baik sesuatu tugas yang sulit.")</f>
        <v>B Saya ingin mengatakan telah melakukan dengan baik sesuatu tugas yang sulit.</v>
      </c>
      <c r="L42" s="95" t="str">
        <f>IFERROR(__xludf.DUMMYFUNCTION("""COMPUTED_VALUE"""),"B Saya ingin mengatakan telah melakukan dengan baik sesuatu tugas yang sulit")</f>
        <v>B Saya ingin mengatakan telah melakukan dengan baik sesuatu tugas yang sulit</v>
      </c>
      <c r="M42" s="95" t="str">
        <f>IFERROR(__xludf.DUMMYFUNCTION("""COMPUTED_VALUE"""),"A Saya suka berbicara tentang hal-hal yang telah berhasil saya lakukan.")</f>
        <v>A Saya suka berbicara tentang hal-hal yang telah berhasil saya lakukan.</v>
      </c>
      <c r="N42" s="95" t="str">
        <f>IFERROR(__xludf.DUMMYFUNCTION("""COMPUTED_VALUE"""),"A Saya suka pergi dengan pakaian rapi agar lebih menarik perhatian orang lain.")</f>
        <v>A Saya suka pergi dengan pakaian rapi agar lebih menarik perhatian orang lain.</v>
      </c>
      <c r="O42" s="95" t="str">
        <f>IFERROR(__xludf.DUMMYFUNCTION("""COMPUTED_VALUE"""),"B Saya suka melakukan tugas sebaik mungkin.")</f>
        <v>B Saya suka melakukan tugas sebaik mungkin.</v>
      </c>
      <c r="P42" s="95" t="str">
        <f>IFERROR(__xludf.DUMMYFUNCTION("""COMPUTED_VALUE"""),"B Saya ingin setiap belajar itu teratur dan direncanakan.")</f>
        <v>B Saya ingin setiap belajar itu teratur dan direncanakan.</v>
      </c>
      <c r="Q42" s="95" t="str">
        <f>IFERROR(__xludf.DUMMYFUNCTION("""COMPUTED_VALUE"""),"B Saya merencanakan keperluan yang dibutuhkan sebelum bepergian.")</f>
        <v>B Saya merencanakan keperluan yang dibutuhkan sebelum bepergian.</v>
      </c>
      <c r="R42" s="95" t="str">
        <f>IFERROR(__xludf.DUMMYFUNCTION("""COMPUTED_VALUE"""),"B Saya suka barang-barang saya tersusun rapi dan teratur.")</f>
        <v>B Saya suka barang-barang saya tersusun rapi dan teratur.</v>
      </c>
      <c r="S42" s="95" t="str">
        <f>IFERROR(__xludf.DUMMYFUNCTION("""COMPUTED_VALUE"""),"A Saya ingin agar teman-teman pengertian bila saya mengalami kesukaran.")</f>
        <v>A Saya ingin agar teman-teman pengertian bila saya mengalami kesukaran.</v>
      </c>
      <c r="T42" s="95" t="str">
        <f>IFERROR(__xludf.DUMMYFUNCTION("""COMPUTED_VALUE"""),"B Saya ingin agar hidup saya teratur sesuai cita-cita saya.")</f>
        <v>B Saya ingin agar hidup saya teratur sesuai cita-cita saya.</v>
      </c>
      <c r="U42" s="95" t="str">
        <f>IFERROR(__xludf.DUMMYFUNCTION("""COMPUTED_VALUE"""),"A Saya suka memberikan bantuan kepada teman-teman saya.")</f>
        <v>A Saya suka memberikan bantuan kepada teman-teman saya.</v>
      </c>
      <c r="V42" s="95" t="str">
        <f>IFERROR(__xludf.DUMMYFUNCTION("""COMPUTED_VALUE"""),"B Saya suka belajar saya teratur dan ada waktu-waktu tertentu untuk belajar.")</f>
        <v>B Saya suka belajar saya teratur dan ada waktu-waktu tertentu untuk belajar.</v>
      </c>
      <c r="W42" s="95" t="str">
        <f>IFERROR(__xludf.DUMMYFUNCTION("""COMPUTED_VALUE"""),"A Saya suka melakukan kegiatan sesuai kondisi yang saya inginkan.")</f>
        <v>A Saya suka melakukan kegiatan sesuai kondisi yang saya inginkan.</v>
      </c>
      <c r="X42" s="95" t="str">
        <f>IFERROR(__xludf.DUMMYFUNCTION("""COMPUTED_VALUE"""),"A Saya suka merencanakan dan mengatur setiap apa yang harus saya lakukan.")</f>
        <v>A Saya suka merencanakan dan mengatur setiap apa yang harus saya lakukan.</v>
      </c>
      <c r="Y42" s="95" t="str">
        <f>IFERROR(__xludf.DUMMYFUNCTION("""COMPUTED_VALUE"""),"B Saya senang merencanakan untuk masa depan.")</f>
        <v>B Saya senang merencanakan untuk masa depan.</v>
      </c>
      <c r="Z42" s="95" t="str">
        <f>IFERROR(__xludf.DUMMYFUNCTION("""COMPUTED_VALUE"""),"A Saya ingin berhasil dengan belajar yang saya lakukan.")</f>
        <v>A Saya ingin berhasil dengan belajar yang saya lakukan.</v>
      </c>
      <c r="AA42" s="95" t="str">
        <f>IFERROR(__xludf.DUMMYFUNCTION("""COMPUTED_VALUE"""),"B Saya tidak suka pada orang yang berbuat seenaknya sendiri.")</f>
        <v>B Saya tidak suka pada orang yang berbuat seenaknya sendiri.</v>
      </c>
      <c r="AB42" s="95" t="str">
        <f>IFERROR(__xludf.DUMMYFUNCTION("""COMPUTED_VALUE"""),"A Saya ingin tidak tergantung dari orang lain terhadap apa yang akan saya lakukan.")</f>
        <v>A Saya ingin tidak tergantung dari orang lain terhadap apa yang akan saya lakukan.</v>
      </c>
      <c r="AC42" s="95" t="str">
        <f>IFERROR(__xludf.DUMMYFUNCTION("""COMPUTED_VALUE"""),"B Saya suka melakukan kegiatan sesuai kondisi yang saya inginkan.")</f>
        <v>B Saya suka melakukan kegiatan sesuai kondisi yang saya inginkan.</v>
      </c>
      <c r="AD42" s="95" t="str">
        <f>IFERROR(__xludf.DUMMYFUNCTION("""COMPUTED_VALUE"""),"A Saya suka bermurah hati terhadap teman-teman saya.")</f>
        <v>A Saya suka bermurah hati terhadap teman-teman saya.</v>
      </c>
      <c r="AE42" s="95" t="str">
        <f>IFERROR(__xludf.DUMMYFUNCTION("""COMPUTED_VALUE"""),"A Saya ingin dianggap sebagai pemimpin oleh teman di kelompok.")</f>
        <v>A Saya ingin dianggap sebagai pemimpin oleh teman di kelompok.</v>
      </c>
      <c r="AF42" s="95" t="str">
        <f>IFERROR(__xludf.DUMMYFUNCTION("""COMPUTED_VALUE"""),"A Saya ingin agar teman-teman mengerti bila saya mengalami kesukaran.")</f>
        <v>A Saya ingin agar teman-teman mengerti bila saya mengalami kesukaran.</v>
      </c>
      <c r="AG42" s="95" t="str">
        <f>IFERROR(__xludf.DUMMYFUNCTION("""COMPUTED_VALUE"""),"B Saya ingin berhasil dengan tugas yang saya lakukan.")</f>
        <v>B Saya ingin berhasil dengan tugas yang saya lakukan.</v>
      </c>
      <c r="AH42" s="95" t="str">
        <f>IFERROR(__xludf.DUMMYFUNCTION("""COMPUTED_VALUE"""),"A Saya suka membaca buku-buku tentang pergaulan remaja.")</f>
        <v>A Saya suka membaca buku-buku tentang pergaulan remaja.</v>
      </c>
      <c r="AI42" s="95" t="str">
        <f>IFERROR(__xludf.DUMMYFUNCTION("""COMPUTED_VALUE"""),"B Saya suka melakukan kegiatan sesuai kondisi yang saya inginkan.")</f>
        <v>B Saya suka melakukan kegiatan sesuai kondisi yang saya inginkan.</v>
      </c>
      <c r="AJ42" s="95" t="str">
        <f>IFERROR(__xludf.DUMMYFUNCTION("""COMPUTED_VALUE"""),"A Saya rasanya ingin membalas dendam bila seseorang menghina saya.")</f>
        <v>A Saya rasanya ingin membalas dendam bila seseorang menghina saya.</v>
      </c>
      <c r="AK42" s="95" t="str">
        <f>IFERROR(__xludf.DUMMYFUNCTION("""COMPUTED_VALUE"""),"B Bila saya harus melakukan suatu tugas, saya ingin mengerjakan sampai selesai.")</f>
        <v>B Bila saya harus melakukan suatu tugas, saya ingin mengerjakan sampai selesai.</v>
      </c>
      <c r="AL42" s="95" t="str">
        <f>IFERROR(__xludf.DUMMYFUNCTION("""COMPUTED_VALUE"""),"B Saya ingin menghindarkan gangguan bila saya sedang belajar.")</f>
        <v>B Saya ingin menghindarkan gangguan bila saya sedang belajar.</v>
      </c>
      <c r="AM42" s="95" t="str">
        <f>IFERROR(__xludf.DUMMYFUNCTION("""COMPUTED_VALUE"""),"A Saya ingin teman-teman saya merasa kasihan pada saya apabila saya sakit.")</f>
        <v>A Saya ingin teman-teman saya merasa kasihan pada saya apabila saya sakit.</v>
      </c>
      <c r="AN42" s="95" t="str">
        <f>IFERROR(__xludf.DUMMYFUNCTION("""COMPUTED_VALUE"""),"A Saya tidak suka pada orang yang semena-mena.")</f>
        <v>A Saya tidak suka pada orang yang semena-mena.</v>
      </c>
      <c r="AO42" s="95" t="str">
        <f>IFERROR(__xludf.DUMMYFUNCTION("""COMPUTED_VALUE"""),"A Saya suka berlaku sangat ramah terhadap teman-teman saya.")</f>
        <v>A Saya suka berlaku sangat ramah terhadap teman-teman saya.</v>
      </c>
      <c r="AP42" s="95" t="str">
        <f>IFERROR(__xludf.DUMMYFUNCTION("""COMPUTED_VALUE"""),"A Saya ingin mengerjakannya tugas sampai selesai.")</f>
        <v>A Saya ingin mengerjakannya tugas sampai selesai.</v>
      </c>
      <c r="AQ42" s="95" t="str">
        <f>IFERROR(__xludf.DUMMYFUNCTION("""COMPUTED_VALUE"""),"B Bila saya harus melakukan suatu tugas, saya ingin mengerjakan sampai selesai.")</f>
        <v>B Bila saya harus melakukan suatu tugas, saya ingin mengerjakan sampai selesai.</v>
      </c>
      <c r="AR42" s="95" t="str">
        <f>IFERROR(__xludf.DUMMYFUNCTION("""COMPUTED_VALUE"""),"A Saya suka menyimpan catatan secara rapi.")</f>
        <v>A Saya suka menyimpan catatan secara rapi.</v>
      </c>
      <c r="AS42" s="95" t="str">
        <f>IFERROR(__xludf.DUMMYFUNCTION("""COMPUTED_VALUE"""),"A Saya ingin dapat menyelesaikan persoalan yang dianggap sukar bagi orang lain.")</f>
        <v>A Saya ingin dapat menyelesaikan persoalan yang dianggap sukar bagi orang lain.</v>
      </c>
      <c r="AT42" s="95" t="str">
        <f>IFERROR(__xludf.DUMMYFUNCTION("""COMPUTED_VALUE"""),"B Saya suka membantu orang lain yang menurut saya perlu dikasihani.")</f>
        <v>B Saya suka membantu orang lain yang menurut saya perlu dikasihani.</v>
      </c>
      <c r="AU42" s="95" t="str">
        <f>IFERROR(__xludf.DUMMYFUNCTION("""COMPUTED_VALUE"""),"B Saya suka bermurah hati terhadap teman-teman saya.")</f>
        <v>B Saya suka bermurah hati terhadap teman-teman saya.</v>
      </c>
      <c r="AV42" s="95" t="str">
        <f>IFERROR(__xludf.DUMMYFUNCTION("""COMPUTED_VALUE"""),"B Saya suka menolong teman-teman saya.")</f>
        <v>B Saya suka menolong teman-teman saya.</v>
      </c>
      <c r="AW42" s="95" t="str">
        <f>IFERROR(__xludf.DUMMYFUNCTION("""COMPUTED_VALUE"""),"B Saya ingin teman-teman saya percaya bahwa saya bisa menolong mereka.")</f>
        <v>B Saya ingin teman-teman saya percaya bahwa saya bisa menolong mereka.</v>
      </c>
      <c r="AX42" s="95" t="str">
        <f>IFERROR(__xludf.DUMMYFUNCTION("""COMPUTED_VALUE"""),"A Saya suka menolong teman-teman saya apabila mereka dalam kesulitan.")</f>
        <v>A Saya suka menolong teman-teman saya apabila mereka dalam kesulitan.</v>
      </c>
      <c r="AY42" s="95" t="str">
        <f>IFERROR(__xludf.DUMMYFUNCTION("""COMPUTED_VALUE"""),"B Saya suka menolong teman-teman saya apabila mereka dalam kesulitan.")</f>
        <v>B Saya suka menolong teman-teman saya apabila mereka dalam kesulitan.</v>
      </c>
      <c r="AZ42" s="95" t="str">
        <f>IFERROR(__xludf.DUMMYFUNCTION("""COMPUTED_VALUE"""),"A Saya ingin agar teman-teman saya bersimpati dan menghibur saya bila saya sedih.")</f>
        <v>A Saya ingin agar teman-teman saya bersimpati dan menghibur saya bila saya sedih.</v>
      </c>
      <c r="BA42" s="95" t="str">
        <f>IFERROR(__xludf.DUMMYFUNCTION("""COMPUTED_VALUE"""),"A Saya suka menyatakan pendapat saya tentang berbagai hal.")</f>
        <v>A Saya suka menyatakan pendapat saya tentang berbagai hal.</v>
      </c>
      <c r="BB42" s="95" t="str">
        <f>IFERROR(__xludf.DUMMYFUNCTION("""COMPUTED_VALUE"""),"A Saya berkeinginan untuk bersama orang yang menarik bagi saya.")</f>
        <v>A Saya berkeinginan untuk bersama orang yang menarik bagi saya.</v>
      </c>
      <c r="BC42" s="95" t="str">
        <f>IFERROR(__xludf.DUMMYFUNCTION("""COMPUTED_VALUE"""),"B Saya suka membantu orang lain yang menurut saya perlu dikasihani.")</f>
        <v>B Saya suka membantu orang lain yang menurut saya perlu dikasihani.</v>
      </c>
      <c r="BD42" s="95" t="str">
        <f>IFERROR(__xludf.DUMMYFUNCTION("""COMPUTED_VALUE"""),"B Saya suka bersikukuh dengan pendirian saya.")</f>
        <v>B Saya suka bersikukuh dengan pendirian saya.</v>
      </c>
      <c r="BE42" s="95" t="str">
        <f>IFERROR(__xludf.DUMMYFUNCTION("""COMPUTED_VALUE"""),"B Saya ingin orang lain melakukan apa yang saya kehendaki.")</f>
        <v>B Saya ingin orang lain melakukan apa yang saya kehendaki.</v>
      </c>
      <c r="BF42" s="95" t="str">
        <f>IFERROR(__xludf.DUMMYFUNCTION("""COMPUTED_VALUE"""),"A Saya ingin orang lain memperhatikan dan berkomentar tentang penampilan saya.")</f>
        <v>A Saya ingin orang lain memperhatikan dan berkomentar tentang penampilan saya.</v>
      </c>
      <c r="BG42" s="95" t="str">
        <f>IFERROR(__xludf.DUMMYFUNCTION("""COMPUTED_VALUE"""),"A Saya ingin teman-teman banyak menunjukkan rasa sayang mereka terhadap saya.")</f>
        <v>A Saya ingin teman-teman banyak menunjukkan rasa sayang mereka terhadap saya.</v>
      </c>
      <c r="BH42" s="95" t="str">
        <f>IFERROR(__xludf.DUMMYFUNCTION("""COMPUTED_VALUE"""),"B Apabila saya berkumpul dalam kelompok, saya ingin dihargai teman-teman.")</f>
        <v>B Apabila saya berkumpul dalam kelompok, saya ingin dihargai teman-teman.</v>
      </c>
      <c r="BI42" s="95" t="str">
        <f>IFERROR(__xludf.DUMMYFUNCTION("""COMPUTED_VALUE"""),"A Saya suka bermurah hati terhadap teman-teman saya.")</f>
        <v>A Saya suka bermurah hati terhadap teman-teman saya.</v>
      </c>
      <c r="BJ42" s="95" t="str">
        <f>IFERROR(__xludf.DUMMYFUNCTION("""COMPUTED_VALUE"""),"A Saya ingin mengerjakan tugas sampai selesai.")</f>
        <v>A Saya ingin mengerjakan tugas sampai selesai.</v>
      </c>
      <c r="BK42" s="95" t="str">
        <f>IFERROR(__xludf.DUMMYFUNCTION("""COMPUTED_VALUE"""),"A Saya ingin menyelesaikan pekerjaan satu persatu sebelum memulai yang lain.")</f>
        <v>A Saya ingin menyelesaikan pekerjaan satu persatu sebelum memulai yang lain.</v>
      </c>
      <c r="BL42" s="95" t="str">
        <f>IFERROR(__xludf.DUMMYFUNCTION("""COMPUTED_VALUE"""),"A Saya suka belajar saya teratur dan ada waktu-waktu tertentu untuk belajar.")</f>
        <v>A Saya suka belajar saya teratur dan ada waktu-waktu tertentu untuk belajar.</v>
      </c>
      <c r="BM42" s="95" t="str">
        <f>IFERROR(__xludf.DUMMYFUNCTION("""COMPUTED_VALUE"""),"A Saya suka melakukan pekerjaan sebaik mungkin.")</f>
        <v>A Saya suka melakukan pekerjaan sebaik mungkin.</v>
      </c>
      <c r="BN42" s="95" t="str">
        <f>IFERROR(__xludf.DUMMYFUNCTION("""COMPUTED_VALUE"""),"B Saya ingin teman-teman memberi dorongan bila saya menghadapi kegagalan.")</f>
        <v>B Saya ingin teman-teman memberi dorongan bila saya menghadapi kegagalan.</v>
      </c>
      <c r="BO42" s="95" t="str">
        <f>IFERROR(__xludf.DUMMYFUNCTION("""COMPUTED_VALUE"""),"B Saya ingin diperlakukan dengan baik oleh teman-teman saya.")</f>
        <v>B Saya ingin diperlakukan dengan baik oleh teman-teman saya.</v>
      </c>
      <c r="BP42" s="95" t="str">
        <f>IFERROR(__xludf.DUMMYFUNCTION("""COMPUTED_VALUE"""),"B Saya ingin teman-teman saya merasa kasihan pada saya apabila saya sakit.")</f>
        <v>B Saya ingin teman-teman saya merasa kasihan pada saya apabila saya sakit.</v>
      </c>
      <c r="BQ42" s="95" t="str">
        <f>IFERROR(__xludf.DUMMYFUNCTION("""COMPUTED_VALUE"""),"B Saya ingin agar teman-teman menceritakan diri saya apabila saya sakit.")</f>
        <v>B Saya ingin agar teman-teman menceritakan diri saya apabila saya sakit.</v>
      </c>
      <c r="BR42" s="95" t="str">
        <f>IFERROR(__xludf.DUMMYFUNCTION("""COMPUTED_VALUE"""),"B Saya ingin agar teman-teman saya bersimpati dan menghibur saya bila saya sedih.")</f>
        <v>B Saya ingin agar teman-teman saya bersimpati dan menghibur saya bila saya sedih.</v>
      </c>
      <c r="BS42" s="95" t="str">
        <f>IFERROR(__xludf.DUMMYFUNCTION("""COMPUTED_VALUE"""),"B Saya ingin teman-teman saya membantu saya bila saya mengalami kesulitan")</f>
        <v>B Saya ingin teman-teman saya membantu saya bila saya mengalami kesulitan</v>
      </c>
      <c r="BT42" s="95" t="str">
        <f>IFERROR(__xludf.DUMMYFUNCTION("""COMPUTED_VALUE"""),"B Saya ingin teman-teman banyak menunjukkan rasa sayang mereka terhadap saya.")</f>
        <v>B Saya ingin teman-teman banyak menunjukkan rasa sayang mereka terhadap saya.</v>
      </c>
      <c r="BU42" s="95" t="str">
        <f>IFERROR(__xludf.DUMMYFUNCTION("""COMPUTED_VALUE"""),"A Saya kadang-kadang suka melakukan hal-hal yang dapat dipuji oleh orang lain.")</f>
        <v>A Saya kadang-kadang suka melakukan hal-hal yang dapat dipuji oleh orang lain.</v>
      </c>
      <c r="BV42" s="95" t="str">
        <f>IFERROR(__xludf.DUMMYFUNCTION("""COMPUTED_VALUE"""),"B Saya ingin teman-teman dengan gembira memberikan pertolongan kepada saya.")</f>
        <v>B Saya ingin teman-teman dengan gembira memberikan pertolongan kepada saya.</v>
      </c>
      <c r="BW42" s="95" t="str">
        <f>IFERROR(__xludf.DUMMYFUNCTION("""COMPUTED_VALUE"""),"B Saya ingin diperlakukan dengan baik oleh teman-teman saya.")</f>
        <v>B Saya ingin diperlakukan dengan baik oleh teman-teman saya.</v>
      </c>
      <c r="BX42" s="95" t="str">
        <f>IFERROR(__xludf.DUMMYFUNCTION("""COMPUTED_VALUE"""),"B Saya kadang-kadang suka melakukan hal-hal yang dapat dipuji oleh orang lain.")</f>
        <v>B Saya kadang-kadang suka melakukan hal-hal yang dapat dipuji oleh orang lain.</v>
      </c>
      <c r="BY42" s="95" t="str">
        <f>IFERROR(__xludf.DUMMYFUNCTION("""COMPUTED_VALUE"""),"A Saya suka melamun atau membayangkan hal-hal yang tidak jelas.")</f>
        <v>A Saya suka melamun atau membayangkan hal-hal yang tidak jelas.</v>
      </c>
      <c r="BZ42" s="95" t="str">
        <f>IFERROR(__xludf.DUMMYFUNCTION("""COMPUTED_VALUE"""),"A Saya suka berkata yang artinya sulit dipahami oleh orang lain.")</f>
        <v>A Saya suka berkata yang artinya sulit dipahami oleh orang lain.</v>
      </c>
      <c r="CA42" s="95" t="str">
        <f>IFERROR(__xludf.DUMMYFUNCTION("""COMPUTED_VALUE"""),"A Saya ingin teman-teman dengan gembira memberikan pertolongan kepada saya.")</f>
        <v>A Saya ingin teman-teman dengan gembira memberikan pertolongan kepada saya.</v>
      </c>
      <c r="CB42" s="95" t="str">
        <f>IFERROR(__xludf.DUMMYFUNCTION("""COMPUTED_VALUE"""),"B Saya suka berbicara tentang hal-hal yang telah saya capai.")</f>
        <v>B Saya suka berbicara tentang hal-hal yang telah saya capai.</v>
      </c>
      <c r="CC42" s="95" t="str">
        <f>IFERROR(__xludf.DUMMYFUNCTION("""COMPUTED_VALUE"""),"B Saya suka menceritakan hal-hal lucu agar diperhatikan oleh orang lain.")</f>
        <v>B Saya suka menceritakan hal-hal lucu agar diperhatikan oleh orang lain.</v>
      </c>
      <c r="CD42" s="95" t="str">
        <f>IFERROR(__xludf.DUMMYFUNCTION("""COMPUTED_VALUE"""),"B Saya suka berkata yang artinya sulit dipahami oleh orang lain.")</f>
        <v>B Saya suka berkata yang artinya sulit dipahami oleh orang lain.</v>
      </c>
      <c r="CE42" s="95" t="str">
        <f>IFERROR(__xludf.DUMMYFUNCTION("""COMPUTED_VALUE"""),"A Saya suka menyelesaikan setiap tugas belajar yang telah saya mulai.")</f>
        <v>A Saya suka menyelesaikan setiap tugas belajar yang telah saya mulai.</v>
      </c>
      <c r="CF42" s="95" t="str">
        <f>IFERROR(__xludf.DUMMYFUNCTION("""COMPUTED_VALUE"""),"A Saya ingin agar hidup saya teratur sesuai cita-cita saya.")</f>
        <v>A Saya ingin agar hidup saya teratur sesuai cita-cita saya.</v>
      </c>
      <c r="CG42" s="95" t="str">
        <f>IFERROR(__xludf.DUMMYFUNCTION("""COMPUTED_VALUE"""),"A Saya ingin berhasil dalam apa yang saya lakukan.")</f>
        <v>A Saya ingin berhasil dalam apa yang saya lakukan.</v>
      </c>
      <c r="CH42" s="95" t="str">
        <f>IFERROR(__xludf.DUMMYFUNCTION("""COMPUTED_VALUE"""),"A Saya ingin bisa melakukan dengan baik sesuatu pekerjaan sulit.")</f>
        <v>A Saya ingin bisa melakukan dengan baik sesuatu pekerjaan sulit.</v>
      </c>
      <c r="CI42" s="95" t="str">
        <f>IFERROR(__xludf.DUMMYFUNCTION("""COMPUTED_VALUE"""),"A Saya suka belajar saya teratur dan ada waktu-waktu tertentu untuk belajar.")</f>
        <v>A Saya suka belajar saya teratur dan ada waktu-waktu tertentu untuk belajar.</v>
      </c>
      <c r="CJ42" s="95" t="str">
        <f>IFERROR(__xludf.DUMMYFUNCTION("""COMPUTED_VALUE"""),"A Saya ingin tidak tergantung dari orang lain terhadap apa yang akan saya lakukan.")</f>
        <v>A Saya ingin tidak tergantung dari orang lain terhadap apa yang akan saya lakukan.</v>
      </c>
      <c r="CK42" s="95" t="str">
        <f>IFERROR(__xludf.DUMMYFUNCTION("""COMPUTED_VALUE"""),"B Saya senang ikut beraktivitas bersama teman sebaya saya.")</f>
        <v>B Saya senang ikut beraktivitas bersama teman sebaya saya.</v>
      </c>
      <c r="CL42" s="95" t="str">
        <f>IFERROR(__xludf.DUMMYFUNCTION("""COMPUTED_VALUE"""),"A Saya suka menolong teman-teman saya, apabila mereka dalam kesulitan.")</f>
        <v>A Saya suka menolong teman-teman saya, apabila mereka dalam kesulitan.</v>
      </c>
      <c r="CM42" s="95" t="str">
        <f>IFERROR(__xludf.DUMMYFUNCTION("""COMPUTED_VALUE"""),"B Saya merasa kagum pada seseorang.")</f>
        <v>B Saya merasa kagum pada seseorang.</v>
      </c>
      <c r="CN42" s="95" t="str">
        <f>IFERROR(__xludf.DUMMYFUNCTION("""COMPUTED_VALUE"""),"A Saya ingin diperlakukan dengan baik oleh teman-teman saya.")</f>
        <v>A Saya ingin diperlakukan dengan baik oleh teman-teman saya.</v>
      </c>
      <c r="CO42" s="95" t="str">
        <f>IFERROR(__xludf.DUMMYFUNCTION("""COMPUTED_VALUE"""),"B Saya suka memuji orang yang saya kagumi.")</f>
        <v>B Saya suka memuji orang yang saya kagumi.</v>
      </c>
      <c r="CP42" s="95" t="str">
        <f>IFERROR(__xludf.DUMMYFUNCTION("""COMPUTED_VALUE"""),"A Saya suka melamun atau membayangkan sesuatu sendirian.")</f>
        <v>A Saya suka melamun atau membayangkan sesuatu sendirian.</v>
      </c>
      <c r="CQ42" s="95" t="str">
        <f>IFERROR(__xludf.DUMMYFUNCTION("""COMPUTED_VALUE"""),"B Saya merasa kagum pada seseorang.")</f>
        <v>B Saya merasa kagum pada seseorang.</v>
      </c>
      <c r="CR42" s="95" t="str">
        <f>IFERROR(__xludf.DUMMYFUNCTION("""COMPUTED_VALUE"""),"B Saya rasanya ingin mengecam seseorang bila orang itu menjengkelkan.")</f>
        <v>B Saya rasanya ingin mengecam seseorang bila orang itu menjengkelkan.</v>
      </c>
      <c r="CS42" s="95" t="str">
        <f>IFERROR(__xludf.DUMMYFUNCTION("""COMPUTED_VALUE"""),"B Saya rasanya ingin membalas dendam bila seseorang menghina saya.")</f>
        <v>B Saya rasanya ingin membalas dendam bila seseorang menghina saya.</v>
      </c>
      <c r="CT42" s="95" t="str">
        <f>IFERROR(__xludf.DUMMYFUNCTION("""COMPUTED_VALUE"""),"B Saya saat marah rasanya ingin melemparkan dan merusak barang-barang.")</f>
        <v>B Saya saat marah rasanya ingin melemparkan dan merusak barang-barang.</v>
      </c>
      <c r="CU42" s="95" t="str">
        <f>IFERROR(__xludf.DUMMYFUNCTION("""COMPUTED_VALUE"""),"A Saya ingin diperlakukan dengan ramah oleh teman-teman saya.")</f>
        <v>A Saya ingin diperlakukan dengan ramah oleh teman-teman saya.</v>
      </c>
      <c r="CV42" s="95" t="str">
        <f>IFERROR(__xludf.DUMMYFUNCTION("""COMPUTED_VALUE"""),"A Saya ingin ditunjuk atau dipilih sebagai ketua dalam suatu kelompok.")</f>
        <v>A Saya ingin ditunjuk atau dipilih sebagai ketua dalam suatu kelompok.</v>
      </c>
      <c r="CW42" s="95" t="str">
        <f>IFERROR(__xludf.DUMMYFUNCTION("""COMPUTED_VALUE"""),"A Saya suka menolong teman-teman saya, apabila mereka dalam kesulitan.")</f>
        <v>A Saya suka menolong teman-teman saya, apabila mereka dalam kesulitan.</v>
      </c>
      <c r="CX42" s="95" t="str">
        <f>IFERROR(__xludf.DUMMYFUNCTION("""COMPUTED_VALUE"""),"A Saya suka belajar sampai malam untuk menyelesaikan suatu tugas.")</f>
        <v>A Saya suka belajar sampai malam untuk menyelesaikan suatu tugas.</v>
      </c>
      <c r="CY42" s="95" t="str">
        <f>IFERROR(__xludf.DUMMYFUNCTION("""COMPUTED_VALUE"""),"A Saya ingin tidak tergantung dari orang lain terhadap apa yang akan saya lakukan.")</f>
        <v>A Saya ingin tidak tergantung dari orang lain terhadap apa yang akan saya lakukan.</v>
      </c>
      <c r="CZ42" s="95" t="str">
        <f>IFERROR(__xludf.DUMMYFUNCTION("""COMPUTED_VALUE"""),"A Saya suka merencanakan dan mengatur setiap pekerjaan yang harus saya lakukan.")</f>
        <v>A Saya suka merencanakan dan mengatur setiap pekerjaan yang harus saya lakukan.</v>
      </c>
      <c r="DA42" s="95" t="str">
        <f>IFERROR(__xludf.DUMMYFUNCTION("""COMPUTED_VALUE"""),"A Saya ingin melakukan apa saja sebaik mungkin.")</f>
        <v>A Saya ingin melakukan apa saja sebaik mungkin.</v>
      </c>
      <c r="DB42" s="89" t="s">
        <v>23</v>
      </c>
      <c r="DC42" s="97" t="str">
        <f t="shared" ref="DC42:GX42" si="87">LEFT(F42,1)</f>
        <v>A</v>
      </c>
      <c r="DD42" s="97" t="str">
        <f t="shared" si="87"/>
        <v>A</v>
      </c>
      <c r="DE42" s="97" t="str">
        <f t="shared" si="87"/>
        <v>B</v>
      </c>
      <c r="DF42" s="97" t="str">
        <f t="shared" si="87"/>
        <v>B</v>
      </c>
      <c r="DG42" s="97" t="str">
        <f t="shared" si="87"/>
        <v>A</v>
      </c>
      <c r="DH42" s="97" t="str">
        <f t="shared" si="87"/>
        <v>B</v>
      </c>
      <c r="DI42" s="97" t="str">
        <f t="shared" si="87"/>
        <v>B</v>
      </c>
      <c r="DJ42" s="97" t="str">
        <f t="shared" si="87"/>
        <v>A</v>
      </c>
      <c r="DK42" s="97" t="str">
        <f t="shared" si="87"/>
        <v>A</v>
      </c>
      <c r="DL42" s="97" t="str">
        <f t="shared" si="87"/>
        <v>B</v>
      </c>
      <c r="DM42" s="97" t="str">
        <f t="shared" si="87"/>
        <v>B</v>
      </c>
      <c r="DN42" s="97" t="str">
        <f t="shared" si="87"/>
        <v>B</v>
      </c>
      <c r="DO42" s="97" t="str">
        <f t="shared" si="87"/>
        <v>B</v>
      </c>
      <c r="DP42" s="97" t="str">
        <f t="shared" si="87"/>
        <v>A</v>
      </c>
      <c r="DQ42" s="97" t="str">
        <f t="shared" si="87"/>
        <v>B</v>
      </c>
      <c r="DR42" s="97" t="str">
        <f t="shared" si="87"/>
        <v>A</v>
      </c>
      <c r="DS42" s="97" t="str">
        <f t="shared" si="87"/>
        <v>B</v>
      </c>
      <c r="DT42" s="97" t="str">
        <f t="shared" si="87"/>
        <v>A</v>
      </c>
      <c r="DU42" s="97" t="str">
        <f t="shared" si="87"/>
        <v>A</v>
      </c>
      <c r="DV42" s="97" t="str">
        <f t="shared" si="87"/>
        <v>B</v>
      </c>
      <c r="DW42" s="97" t="str">
        <f t="shared" si="87"/>
        <v>A</v>
      </c>
      <c r="DX42" s="97" t="str">
        <f t="shared" si="87"/>
        <v>B</v>
      </c>
      <c r="DY42" s="97" t="str">
        <f t="shared" si="87"/>
        <v>A</v>
      </c>
      <c r="DZ42" s="97" t="str">
        <f t="shared" si="87"/>
        <v>B</v>
      </c>
      <c r="EA42" s="97" t="str">
        <f t="shared" si="87"/>
        <v>A</v>
      </c>
      <c r="EB42" s="97" t="str">
        <f t="shared" si="87"/>
        <v>A</v>
      </c>
      <c r="EC42" s="97" t="str">
        <f t="shared" si="87"/>
        <v>A</v>
      </c>
      <c r="ED42" s="97" t="str">
        <f t="shared" si="87"/>
        <v>B</v>
      </c>
      <c r="EE42" s="97" t="str">
        <f t="shared" si="87"/>
        <v>A</v>
      </c>
      <c r="EF42" s="97" t="str">
        <f t="shared" si="87"/>
        <v>B</v>
      </c>
      <c r="EG42" s="97" t="str">
        <f t="shared" si="87"/>
        <v>A</v>
      </c>
      <c r="EH42" s="97" t="str">
        <f t="shared" si="87"/>
        <v>B</v>
      </c>
      <c r="EI42" s="97" t="str">
        <f t="shared" si="87"/>
        <v>B</v>
      </c>
      <c r="EJ42" s="97" t="str">
        <f t="shared" si="87"/>
        <v>A</v>
      </c>
      <c r="EK42" s="97" t="str">
        <f t="shared" si="87"/>
        <v>A</v>
      </c>
      <c r="EL42" s="97" t="str">
        <f t="shared" si="87"/>
        <v>A</v>
      </c>
      <c r="EM42" s="97" t="str">
        <f t="shared" si="87"/>
        <v>A</v>
      </c>
      <c r="EN42" s="97" t="str">
        <f t="shared" si="87"/>
        <v>B</v>
      </c>
      <c r="EO42" s="97" t="str">
        <f t="shared" si="87"/>
        <v>A</v>
      </c>
      <c r="EP42" s="97" t="str">
        <f t="shared" si="87"/>
        <v>A</v>
      </c>
      <c r="EQ42" s="97" t="str">
        <f t="shared" si="87"/>
        <v>B</v>
      </c>
      <c r="ER42" s="97" t="str">
        <f t="shared" si="87"/>
        <v>B</v>
      </c>
      <c r="ES42" s="97" t="str">
        <f t="shared" si="87"/>
        <v>B</v>
      </c>
      <c r="ET42" s="97" t="str">
        <f t="shared" si="87"/>
        <v>B</v>
      </c>
      <c r="EU42" s="97" t="str">
        <f t="shared" si="87"/>
        <v>A</v>
      </c>
      <c r="EV42" s="97" t="str">
        <f t="shared" si="87"/>
        <v>B</v>
      </c>
      <c r="EW42" s="97" t="str">
        <f t="shared" si="87"/>
        <v>A</v>
      </c>
      <c r="EX42" s="97" t="str">
        <f t="shared" si="87"/>
        <v>A</v>
      </c>
      <c r="EY42" s="97" t="str">
        <f t="shared" si="87"/>
        <v>A</v>
      </c>
      <c r="EZ42" s="97" t="str">
        <f t="shared" si="87"/>
        <v>B</v>
      </c>
      <c r="FA42" s="97" t="str">
        <f t="shared" si="87"/>
        <v>B</v>
      </c>
      <c r="FB42" s="97" t="str">
        <f t="shared" si="87"/>
        <v>B</v>
      </c>
      <c r="FC42" s="97" t="str">
        <f t="shared" si="87"/>
        <v>A</v>
      </c>
      <c r="FD42" s="97" t="str">
        <f t="shared" si="87"/>
        <v>A</v>
      </c>
      <c r="FE42" s="97" t="str">
        <f t="shared" si="87"/>
        <v>B</v>
      </c>
      <c r="FF42" s="97" t="str">
        <f t="shared" si="87"/>
        <v>A</v>
      </c>
      <c r="FG42" s="97" t="str">
        <f t="shared" si="87"/>
        <v>A</v>
      </c>
      <c r="FH42" s="97" t="str">
        <f t="shared" si="87"/>
        <v>A</v>
      </c>
      <c r="FI42" s="97" t="str">
        <f t="shared" si="87"/>
        <v>A</v>
      </c>
      <c r="FJ42" s="97" t="str">
        <f t="shared" si="87"/>
        <v>A</v>
      </c>
      <c r="FK42" s="97" t="str">
        <f t="shared" si="87"/>
        <v>B</v>
      </c>
      <c r="FL42" s="97" t="str">
        <f t="shared" si="87"/>
        <v>B</v>
      </c>
      <c r="FM42" s="97" t="str">
        <f t="shared" si="87"/>
        <v>B</v>
      </c>
      <c r="FN42" s="97" t="str">
        <f t="shared" si="87"/>
        <v>B</v>
      </c>
      <c r="FO42" s="97" t="str">
        <f t="shared" si="87"/>
        <v>B</v>
      </c>
      <c r="FP42" s="97" t="str">
        <f t="shared" si="87"/>
        <v>B</v>
      </c>
      <c r="FQ42" s="97" t="str">
        <f t="shared" si="87"/>
        <v>B</v>
      </c>
      <c r="FR42" s="97" t="str">
        <f t="shared" si="87"/>
        <v>A</v>
      </c>
      <c r="FS42" s="97" t="str">
        <f t="shared" si="87"/>
        <v>B</v>
      </c>
      <c r="FT42" s="97" t="str">
        <f t="shared" si="87"/>
        <v>B</v>
      </c>
      <c r="FU42" s="97" t="str">
        <f t="shared" si="87"/>
        <v>B</v>
      </c>
      <c r="FV42" s="97" t="str">
        <f t="shared" si="87"/>
        <v>A</v>
      </c>
      <c r="FW42" s="97" t="str">
        <f t="shared" si="87"/>
        <v>A</v>
      </c>
      <c r="FX42" s="97" t="str">
        <f t="shared" si="87"/>
        <v>A</v>
      </c>
      <c r="FY42" s="97" t="str">
        <f t="shared" si="87"/>
        <v>B</v>
      </c>
      <c r="FZ42" s="97" t="str">
        <f t="shared" si="87"/>
        <v>B</v>
      </c>
      <c r="GA42" s="97" t="str">
        <f t="shared" si="87"/>
        <v>B</v>
      </c>
      <c r="GB42" s="97" t="str">
        <f t="shared" si="87"/>
        <v>A</v>
      </c>
      <c r="GC42" s="97" t="str">
        <f t="shared" si="87"/>
        <v>A</v>
      </c>
      <c r="GD42" s="97" t="str">
        <f t="shared" si="87"/>
        <v>A</v>
      </c>
      <c r="GE42" s="97" t="str">
        <f t="shared" si="87"/>
        <v>A</v>
      </c>
      <c r="GF42" s="97" t="str">
        <f t="shared" si="87"/>
        <v>A</v>
      </c>
      <c r="GG42" s="97" t="str">
        <f t="shared" si="87"/>
        <v>A</v>
      </c>
      <c r="GH42" s="97" t="str">
        <f t="shared" si="87"/>
        <v>B</v>
      </c>
      <c r="GI42" s="97" t="str">
        <f t="shared" si="87"/>
        <v>A</v>
      </c>
      <c r="GJ42" s="97" t="str">
        <f t="shared" si="87"/>
        <v>B</v>
      </c>
      <c r="GK42" s="97" t="str">
        <f t="shared" si="87"/>
        <v>A</v>
      </c>
      <c r="GL42" s="97" t="str">
        <f t="shared" si="87"/>
        <v>B</v>
      </c>
      <c r="GM42" s="97" t="str">
        <f t="shared" si="87"/>
        <v>A</v>
      </c>
      <c r="GN42" s="97" t="str">
        <f t="shared" si="87"/>
        <v>B</v>
      </c>
      <c r="GO42" s="97" t="str">
        <f t="shared" si="87"/>
        <v>B</v>
      </c>
      <c r="GP42" s="97" t="str">
        <f t="shared" si="87"/>
        <v>B</v>
      </c>
      <c r="GQ42" s="97" t="str">
        <f t="shared" si="87"/>
        <v>B</v>
      </c>
      <c r="GR42" s="97" t="str">
        <f t="shared" si="87"/>
        <v>A</v>
      </c>
      <c r="GS42" s="97" t="str">
        <f t="shared" si="87"/>
        <v>A</v>
      </c>
      <c r="GT42" s="97" t="str">
        <f t="shared" si="87"/>
        <v>A</v>
      </c>
      <c r="GU42" s="97" t="str">
        <f t="shared" si="87"/>
        <v>A</v>
      </c>
      <c r="GV42" s="97" t="str">
        <f t="shared" si="87"/>
        <v>A</v>
      </c>
      <c r="GW42" s="97" t="str">
        <f t="shared" si="87"/>
        <v>A</v>
      </c>
      <c r="GX42" s="97" t="str">
        <f t="shared" si="87"/>
        <v>A</v>
      </c>
      <c r="GY42" s="98"/>
      <c r="GZ42" s="97">
        <f t="shared" si="3"/>
        <v>53</v>
      </c>
      <c r="HA42" s="97">
        <f t="shared" si="4"/>
        <v>47</v>
      </c>
      <c r="HB42" s="90">
        <f t="shared" si="5"/>
        <v>100</v>
      </c>
      <c r="HC42" s="99"/>
      <c r="HD42" s="97">
        <f t="shared" si="6"/>
        <v>6</v>
      </c>
      <c r="HE42" s="97">
        <f t="shared" si="7"/>
        <v>5</v>
      </c>
      <c r="HF42" s="90">
        <f t="shared" si="8"/>
        <v>11</v>
      </c>
      <c r="HG42" s="99"/>
      <c r="HH42" s="97">
        <f t="shared" si="9"/>
        <v>6</v>
      </c>
      <c r="HI42" s="97">
        <f t="shared" si="10"/>
        <v>6</v>
      </c>
      <c r="HJ42" s="90">
        <f t="shared" si="11"/>
        <v>12</v>
      </c>
      <c r="HK42" s="99"/>
      <c r="HL42" s="97">
        <f t="shared" si="12"/>
        <v>5</v>
      </c>
      <c r="HM42" s="97">
        <f t="shared" si="13"/>
        <v>4</v>
      </c>
      <c r="HN42" s="90">
        <f t="shared" si="14"/>
        <v>9</v>
      </c>
      <c r="HO42" s="99"/>
      <c r="HP42" s="97">
        <f t="shared" si="15"/>
        <v>2</v>
      </c>
      <c r="HQ42" s="97">
        <f t="shared" si="16"/>
        <v>3</v>
      </c>
      <c r="HR42" s="90">
        <f t="shared" si="17"/>
        <v>5</v>
      </c>
      <c r="HS42" s="99"/>
      <c r="HT42" s="97">
        <f t="shared" si="18"/>
        <v>7</v>
      </c>
      <c r="HU42" s="97">
        <f t="shared" si="19"/>
        <v>6</v>
      </c>
      <c r="HV42" s="90">
        <f t="shared" si="20"/>
        <v>13</v>
      </c>
      <c r="HW42" s="99"/>
      <c r="HX42" s="97">
        <f t="shared" si="21"/>
        <v>3</v>
      </c>
      <c r="HY42" s="97">
        <f t="shared" si="22"/>
        <v>3</v>
      </c>
      <c r="HZ42" s="90">
        <f t="shared" si="23"/>
        <v>6</v>
      </c>
      <c r="IA42" s="99"/>
      <c r="IB42" s="97">
        <f t="shared" si="24"/>
        <v>8</v>
      </c>
      <c r="IC42" s="97">
        <f t="shared" si="25"/>
        <v>9</v>
      </c>
      <c r="ID42" s="90">
        <f t="shared" si="26"/>
        <v>17</v>
      </c>
      <c r="IE42" s="99"/>
      <c r="IF42" s="97">
        <f t="shared" si="27"/>
        <v>4</v>
      </c>
      <c r="IG42" s="97">
        <f t="shared" si="28"/>
        <v>4</v>
      </c>
      <c r="IH42" s="90">
        <f t="shared" si="29"/>
        <v>8</v>
      </c>
      <c r="II42" s="99"/>
      <c r="IJ42" s="97">
        <f t="shared" si="30"/>
        <v>4</v>
      </c>
      <c r="IK42" s="97">
        <f t="shared" si="31"/>
        <v>4</v>
      </c>
      <c r="IL42" s="90">
        <f t="shared" si="32"/>
        <v>8</v>
      </c>
      <c r="IM42" s="99"/>
      <c r="IN42" s="97">
        <f t="shared" si="33"/>
        <v>1</v>
      </c>
      <c r="IO42" s="97">
        <f t="shared" si="34"/>
        <v>3</v>
      </c>
      <c r="IP42" s="90">
        <f t="shared" si="35"/>
        <v>4</v>
      </c>
      <c r="IQ42" s="99"/>
      <c r="IR42" s="99"/>
      <c r="IS42" s="100">
        <f t="shared" si="36"/>
        <v>11</v>
      </c>
      <c r="IT42" s="100">
        <f t="shared" si="37"/>
        <v>12</v>
      </c>
      <c r="IU42" s="100">
        <f t="shared" si="38"/>
        <v>9</v>
      </c>
      <c r="IV42" s="100">
        <f t="shared" si="39"/>
        <v>5</v>
      </c>
      <c r="IW42" s="100">
        <f t="shared" si="40"/>
        <v>13</v>
      </c>
      <c r="IX42" s="100">
        <f t="shared" si="41"/>
        <v>6</v>
      </c>
      <c r="IY42" s="100">
        <f t="shared" si="42"/>
        <v>17</v>
      </c>
      <c r="IZ42" s="100">
        <f t="shared" si="43"/>
        <v>8</v>
      </c>
      <c r="JA42" s="100">
        <f t="shared" si="44"/>
        <v>8</v>
      </c>
      <c r="JB42" s="101">
        <f t="shared" si="45"/>
        <v>4</v>
      </c>
      <c r="JC42" s="102">
        <f t="shared" si="46"/>
        <v>93</v>
      </c>
      <c r="JD42" s="67">
        <f t="shared" si="50"/>
        <v>1</v>
      </c>
      <c r="JE42" s="67">
        <f t="shared" si="47"/>
        <v>1</v>
      </c>
      <c r="JF42" s="67">
        <f t="shared" si="48"/>
        <v>2</v>
      </c>
    </row>
    <row r="43">
      <c r="A43" s="103">
        <f>IFERROR(__xludf.DUMMYFUNCTION("""COMPUTED_VALUE"""),45927.68164524305)</f>
        <v>45927.68165</v>
      </c>
      <c r="B43" s="95" t="str">
        <f>IFERROR(__xludf.DUMMYFUNCTION("""COMPUTED_VALUE"""),"Lazuardi Akbar Narendra ")</f>
        <v>Lazuardi Akbar Narendra </v>
      </c>
      <c r="C43" s="96" t="str">
        <f>IFERROR(__xludf.DUMMYFUNCTION("""COMPUTED_VALUE"""),"A250007")</f>
        <v>A250007</v>
      </c>
      <c r="D43" s="96" t="str">
        <f>IFERROR(__xludf.DUMMYFUNCTION("""COMPUTED_VALUE"""),"MTs Putra")</f>
        <v>MTs Putra</v>
      </c>
      <c r="E43" s="96" t="str">
        <f>IFERROR(__xludf.DUMMYFUNCTION("""COMPUTED_VALUE"""),"Ya")</f>
        <v>Ya</v>
      </c>
      <c r="F43" s="95" t="str">
        <f>IFERROR(__xludf.DUMMYFUNCTION("""COMPUTED_VALUE"""),"B Saya ingin melakukan apa saja sebaik mungkin.")</f>
        <v>B Saya ingin melakukan apa saja sebaik mungkin.</v>
      </c>
      <c r="G43" s="95" t="str">
        <f>IFERROR(__xludf.DUMMYFUNCTION("""COMPUTED_VALUE"""),"A Saya ingin setiap tulisan saya teliti, rapi, dan tersusun dengan baik.")</f>
        <v>A Saya ingin setiap tulisan saya teliti, rapi, dan tersusun dengan baik.</v>
      </c>
      <c r="H43" s="95" t="str">
        <f>IFERROR(__xludf.DUMMYFUNCTION("""COMPUTED_VALUE"""),"B Saya ingin menjadi orang yang diakui dalam suatu pekerjaan atau bidang khusus.")</f>
        <v>B Saya ingin menjadi orang yang diakui dalam suatu pekerjaan atau bidang khusus.</v>
      </c>
      <c r="I43" s="95" t="str">
        <f>IFERROR(__xludf.DUMMYFUNCTION("""COMPUTED_VALUE"""),"B Saya ingin bisa melakukan dengan baik meskipun tugas yang sulit.")</f>
        <v>B Saya ingin bisa melakukan dengan baik meskipun tugas yang sulit.</v>
      </c>
      <c r="J43" s="95" t="str">
        <f>IFERROR(__xludf.DUMMYFUNCTION("""COMPUTED_VALUE"""),"A Saya suka membantu teman-teman saya apabila mereka mengalami kesulitan.")</f>
        <v>A Saya suka membantu teman-teman saya apabila mereka mengalami kesulitan.</v>
      </c>
      <c r="K43" s="95" t="str">
        <f>IFERROR(__xludf.DUMMYFUNCTION("""COMPUTED_VALUE"""),"A Saya ingin menjadi pemimpin dalam suatu kelompok.")</f>
        <v>A Saya ingin menjadi pemimpin dalam suatu kelompok.</v>
      </c>
      <c r="L43" s="95" t="str">
        <f>IFERROR(__xludf.DUMMYFUNCTION("""COMPUTED_VALUE"""),"A Saya ingin menjadi pemimpin dalam suatu kelompok")</f>
        <v>A Saya ingin menjadi pemimpin dalam suatu kelompok</v>
      </c>
      <c r="M43" s="95" t="str">
        <f>IFERROR(__xludf.DUMMYFUNCTION("""COMPUTED_VALUE"""),"A Saya suka berbicara tentang hal-hal yang telah berhasil saya lakukan.")</f>
        <v>A Saya suka berbicara tentang hal-hal yang telah berhasil saya lakukan.</v>
      </c>
      <c r="N43" s="95" t="str">
        <f>IFERROR(__xludf.DUMMYFUNCTION("""COMPUTED_VALUE"""),"B Saya suka memecahkan persoalan yang sukar bagi orang lain.")</f>
        <v>B Saya suka memecahkan persoalan yang sukar bagi orang lain.</v>
      </c>
      <c r="O43" s="95" t="str">
        <f>IFERROR(__xludf.DUMMYFUNCTION("""COMPUTED_VALUE"""),"A Saya marah saat ada teman memperolok-olok hal-hal yang saya anggap bodoh.")</f>
        <v>A Saya marah saat ada teman memperolok-olok hal-hal yang saya anggap bodoh.</v>
      </c>
      <c r="P43" s="95" t="str">
        <f>IFERROR(__xludf.DUMMYFUNCTION("""COMPUTED_VALUE"""),"A Saya suka bercerita tentang hal-hal yang menegangkan atau menantang.")</f>
        <v>A Saya suka bercerita tentang hal-hal yang menegangkan atau menantang.</v>
      </c>
      <c r="Q43" s="95" t="str">
        <f>IFERROR(__xludf.DUMMYFUNCTION("""COMPUTED_VALUE"""),"B Saya merencanakan keperluan yang dibutuhkan sebelum bepergian.")</f>
        <v>B Saya merencanakan keperluan yang dibutuhkan sebelum bepergian.</v>
      </c>
      <c r="R43" s="95" t="str">
        <f>IFERROR(__xludf.DUMMYFUNCTION("""COMPUTED_VALUE"""),"B Saya suka barang-barang saya tersusun rapi dan teratur.")</f>
        <v>B Saya suka barang-barang saya tersusun rapi dan teratur.</v>
      </c>
      <c r="S43" s="95" t="str">
        <f>IFERROR(__xludf.DUMMYFUNCTION("""COMPUTED_VALUE"""),"B Saya suka membuat perencanaan sebelum memulai tugas yang sulit.")</f>
        <v>B Saya suka membuat perencanaan sebelum memulai tugas yang sulit.</v>
      </c>
      <c r="T43" s="95" t="str">
        <f>IFERROR(__xludf.DUMMYFUNCTION("""COMPUTED_VALUE"""),"B Saya ingin agar hidup saya teratur sesuai cita-cita saya.")</f>
        <v>B Saya ingin agar hidup saya teratur sesuai cita-cita saya.</v>
      </c>
      <c r="U43" s="95" t="str">
        <f>IFERROR(__xludf.DUMMYFUNCTION("""COMPUTED_VALUE"""),"A Saya suka memberikan bantuan kepada teman-teman saya.")</f>
        <v>A Saya suka memberikan bantuan kepada teman-teman saya.</v>
      </c>
      <c r="V43" s="95" t="str">
        <f>IFERROR(__xludf.DUMMYFUNCTION("""COMPUTED_VALUE"""),"B Saya suka belajar saya teratur dan ada waktu-waktu tertentu untuk belajar.")</f>
        <v>B Saya suka belajar saya teratur dan ada waktu-waktu tertentu untuk belajar.</v>
      </c>
      <c r="W43" s="95" t="str">
        <f>IFERROR(__xludf.DUMMYFUNCTION("""COMPUTED_VALUE"""),"B Saya ingin kegiatan itu teratur dan direncanakan.")</f>
        <v>B Saya ingin kegiatan itu teratur dan direncanakan.</v>
      </c>
      <c r="X43" s="95" t="str">
        <f>IFERROR(__xludf.DUMMYFUNCTION("""COMPUTED_VALUE"""),"A Saya suka merencanakan dan mengatur setiap apa yang harus saya lakukan.")</f>
        <v>A Saya suka merencanakan dan mengatur setiap apa yang harus saya lakukan.</v>
      </c>
      <c r="Y43" s="95" t="str">
        <f>IFERROR(__xludf.DUMMYFUNCTION("""COMPUTED_VALUE"""),"A Saya suka menyelesaikan tugas-tugas yang membutuhkan ketrampilan dan usaha.")</f>
        <v>A Saya suka menyelesaikan tugas-tugas yang membutuhkan ketrampilan dan usaha.</v>
      </c>
      <c r="Z43" s="95" t="str">
        <f>IFERROR(__xludf.DUMMYFUNCTION("""COMPUTED_VALUE"""),"A Saya ingin berhasil dengan belajar yang saya lakukan.")</f>
        <v>A Saya ingin berhasil dengan belajar yang saya lakukan.</v>
      </c>
      <c r="AA43" s="95" t="str">
        <f>IFERROR(__xludf.DUMMYFUNCTION("""COMPUTED_VALUE"""),"A Saya suka menyelesaikan tugas yang telah saya rencanakan.")</f>
        <v>A Saya suka menyelesaikan tugas yang telah saya rencanakan.</v>
      </c>
      <c r="AB43" s="95" t="str">
        <f>IFERROR(__xludf.DUMMYFUNCTION("""COMPUTED_VALUE"""),"B Saya ingin menyelesaikan pekerjaan satu persatu sebelum memulai yang lain.")</f>
        <v>B Saya ingin menyelesaikan pekerjaan satu persatu sebelum memulai yang lain.</v>
      </c>
      <c r="AC43" s="95" t="str">
        <f>IFERROR(__xludf.DUMMYFUNCTION("""COMPUTED_VALUE"""),"A Saya suka menyelesaikan setiap tugas meskipun membutuhkan waktu lama.")</f>
        <v>A Saya suka menyelesaikan setiap tugas meskipun membutuhkan waktu lama.</v>
      </c>
      <c r="AD43" s="95" t="str">
        <f>IFERROR(__xludf.DUMMYFUNCTION("""COMPUTED_VALUE"""),"A Saya suka bermurah hati terhadap teman-teman saya.")</f>
        <v>A Saya suka bermurah hati terhadap teman-teman saya.</v>
      </c>
      <c r="AE43" s="95" t="str">
        <f>IFERROR(__xludf.DUMMYFUNCTION("""COMPUTED_VALUE"""),"A Saya ingin dianggap sebagai pemimpin oleh teman di kelompok.")</f>
        <v>A Saya ingin dianggap sebagai pemimpin oleh teman di kelompok.</v>
      </c>
      <c r="AF43" s="95" t="str">
        <f>IFERROR(__xludf.DUMMYFUNCTION("""COMPUTED_VALUE"""),"A Saya ingin agar teman-teman mengerti bila saya mengalami kesukaran.")</f>
        <v>A Saya ingin agar teman-teman mengerti bila saya mengalami kesukaran.</v>
      </c>
      <c r="AG43" s="95" t="str">
        <f>IFERROR(__xludf.DUMMYFUNCTION("""COMPUTED_VALUE"""),"A Saya mengajari orang lain bagaimana mereka harus melakukan pekerjaan mereka.")</f>
        <v>A Saya mengajari orang lain bagaimana mereka harus melakukan pekerjaan mereka.</v>
      </c>
      <c r="AH43" s="95" t="str">
        <f>IFERROR(__xludf.DUMMYFUNCTION("""COMPUTED_VALUE"""),"B Saya ingin merasa bebas untuk melakukan apa yang saya kehendaki.")</f>
        <v>B Saya ingin merasa bebas untuk melakukan apa yang saya kehendaki.</v>
      </c>
      <c r="AI43" s="95" t="str">
        <f>IFERROR(__xludf.DUMMYFUNCTION("""COMPUTED_VALUE"""),"B Saya suka melakukan kegiatan sesuai kondisi yang saya inginkan.")</f>
        <v>B Saya suka melakukan kegiatan sesuai kondisi yang saya inginkan.</v>
      </c>
      <c r="AJ43" s="95" t="str">
        <f>IFERROR(__xludf.DUMMYFUNCTION("""COMPUTED_VALUE"""),"B Saya suka bertahan menghadapi satu masalah meskipun belum tentu berhasil.")</f>
        <v>B Saya suka bertahan menghadapi satu masalah meskipun belum tentu berhasil.</v>
      </c>
      <c r="AK43" s="95" t="str">
        <f>IFERROR(__xludf.DUMMYFUNCTION("""COMPUTED_VALUE"""),"B Bila saya harus melakukan suatu tugas, saya ingin mengerjakan sampai selesai.")</f>
        <v>B Bila saya harus melakukan suatu tugas, saya ingin mengerjakan sampai selesai.</v>
      </c>
      <c r="AL43" s="95" t="str">
        <f>IFERROR(__xludf.DUMMYFUNCTION("""COMPUTED_VALUE"""),"A Saya suka berbicara tentang hal-hal yang telah saya capai.")</f>
        <v>A Saya suka berbicara tentang hal-hal yang telah saya capai.</v>
      </c>
      <c r="AM43" s="95" t="str">
        <f>IFERROR(__xludf.DUMMYFUNCTION("""COMPUTED_VALUE"""),"B Saya suka belajar sampai malam untuk menyelesaikan suatu tugas.")</f>
        <v>B Saya suka belajar sampai malam untuk menyelesaikan suatu tugas.</v>
      </c>
      <c r="AN43" s="95" t="str">
        <f>IFERROR(__xludf.DUMMYFUNCTION("""COMPUTED_VALUE"""),"B Saya ingin bekerja berjam-jam tanpa diganggu.")</f>
        <v>B Saya ingin bekerja berjam-jam tanpa diganggu.</v>
      </c>
      <c r="AO43" s="95" t="str">
        <f>IFERROR(__xludf.DUMMYFUNCTION("""COMPUTED_VALUE"""),"B Saya suka menyelesaikan setiap tugas meskipun membutuhkan waktu lama.")</f>
        <v>B Saya suka menyelesaikan setiap tugas meskipun membutuhkan waktu lama.</v>
      </c>
      <c r="AP43" s="95" t="str">
        <f>IFERROR(__xludf.DUMMYFUNCTION("""COMPUTED_VALUE"""),"B Saya suka bertahan menghadapi satu masalah meskipun belum tentu berhasil.")</f>
        <v>B Saya suka bertahan menghadapi satu masalah meskipun belum tentu berhasil.</v>
      </c>
      <c r="AQ43" s="95" t="str">
        <f>IFERROR(__xludf.DUMMYFUNCTION("""COMPUTED_VALUE"""),"B Bila saya harus melakukan suatu tugas, saya ingin mengerjakan sampai selesai.")</f>
        <v>B Bila saya harus melakukan suatu tugas, saya ingin mengerjakan sampai selesai.</v>
      </c>
      <c r="AR43" s="95" t="str">
        <f>IFERROR(__xludf.DUMMYFUNCTION("""COMPUTED_VALUE"""),"B Saya suka belajar keras pada tiap pelajaran yang saya hadapi.")</f>
        <v>B Saya suka belajar keras pada tiap pelajaran yang saya hadapi.</v>
      </c>
      <c r="AS43" s="95" t="str">
        <f>IFERROR(__xludf.DUMMYFUNCTION("""COMPUTED_VALUE"""),"A Saya ingin dapat menyelesaikan persoalan yang dianggap sukar bagi orang lain.")</f>
        <v>A Saya ingin dapat menyelesaikan persoalan yang dianggap sukar bagi orang lain.</v>
      </c>
      <c r="AT43" s="95" t="str">
        <f>IFERROR(__xludf.DUMMYFUNCTION("""COMPUTED_VALUE"""),"A Saya ingin bisa melakukan dengan baik sesuatu pekerjaan sulit.")</f>
        <v>A Saya ingin bisa melakukan dengan baik sesuatu pekerjaan sulit.</v>
      </c>
      <c r="AU43" s="95" t="str">
        <f>IFERROR(__xludf.DUMMYFUNCTION("""COMPUTED_VALUE"""),"B Saya suka bermurah hati terhadap teman-teman saya.")</f>
        <v>B Saya suka bermurah hati terhadap teman-teman saya.</v>
      </c>
      <c r="AV43" s="95" t="str">
        <f>IFERROR(__xludf.DUMMYFUNCTION("""COMPUTED_VALUE"""),"B Saya suka menolong teman-teman saya.")</f>
        <v>B Saya suka menolong teman-teman saya.</v>
      </c>
      <c r="AW43" s="95" t="str">
        <f>IFERROR(__xludf.DUMMYFUNCTION("""COMPUTED_VALUE"""),"B Saya ingin teman-teman saya percaya bahwa saya bisa menolong mereka.")</f>
        <v>B Saya ingin teman-teman saya percaya bahwa saya bisa menolong mereka.</v>
      </c>
      <c r="AX43" s="95" t="str">
        <f>IFERROR(__xludf.DUMMYFUNCTION("""COMPUTED_VALUE"""),"B Saya suka memaafkan teman-teman saya yang menyakiti hati saya.")</f>
        <v>B Saya suka memaafkan teman-teman saya yang menyakiti hati saya.</v>
      </c>
      <c r="AY43" s="95" t="str">
        <f>IFERROR(__xludf.DUMMYFUNCTION("""COMPUTED_VALUE"""),"B Saya suka menolong teman-teman saya apabila mereka dalam kesulitan.")</f>
        <v>B Saya suka menolong teman-teman saya apabila mereka dalam kesulitan.</v>
      </c>
      <c r="AZ43" s="95" t="str">
        <f>IFERROR(__xludf.DUMMYFUNCTION("""COMPUTED_VALUE"""),"B Saya suka menunjukkan simpati saya kepada teman-teman saya.")</f>
        <v>B Saya suka menunjukkan simpati saya kepada teman-teman saya.</v>
      </c>
      <c r="BA43" s="95" t="str">
        <f>IFERROR(__xludf.DUMMYFUNCTION("""COMPUTED_VALUE"""),"B Saya suka memperlakukan orang lain dengan baik dan ramah.")</f>
        <v>B Saya suka memperlakukan orang lain dengan baik dan ramah.</v>
      </c>
      <c r="BB43" s="95" t="str">
        <f>IFERROR(__xludf.DUMMYFUNCTION("""COMPUTED_VALUE"""),"B Saya suka bermurah hati terhadap teman-teman saya.")</f>
        <v>B Saya suka bermurah hati terhadap teman-teman saya.</v>
      </c>
      <c r="BC43" s="95" t="str">
        <f>IFERROR(__xludf.DUMMYFUNCTION("""COMPUTED_VALUE"""),"B Saya suka membantu orang lain yang menurut saya perlu dikasihani.")</f>
        <v>B Saya suka membantu orang lain yang menurut saya perlu dikasihani.</v>
      </c>
      <c r="BD43" s="95" t="str">
        <f>IFERROR(__xludf.DUMMYFUNCTION("""COMPUTED_VALUE"""),"B Saya suka bersikukuh dengan pendirian saya.")</f>
        <v>B Saya suka bersikukuh dengan pendirian saya.</v>
      </c>
      <c r="BE43" s="95" t="str">
        <f>IFERROR(__xludf.DUMMYFUNCTION("""COMPUTED_VALUE"""),"B Saya ingin orang lain melakukan apa yang saya kehendaki.")</f>
        <v>B Saya ingin orang lain melakukan apa yang saya kehendaki.</v>
      </c>
      <c r="BF43" s="95" t="str">
        <f>IFERROR(__xludf.DUMMYFUNCTION("""COMPUTED_VALUE"""),"B Bila saya dalam kelompok, saya ingin menentukan apa yang akan kita lakukan.")</f>
        <v>B Bila saya dalam kelompok, saya ingin menentukan apa yang akan kita lakukan.</v>
      </c>
      <c r="BG43" s="95" t="str">
        <f>IFERROR(__xludf.DUMMYFUNCTION("""COMPUTED_VALUE"""),"B Saya suka mengarahkan kepada orang lain apa yang harus dilakukan.")</f>
        <v>B Saya suka mengarahkan kepada orang lain apa yang harus dilakukan.</v>
      </c>
      <c r="BH43" s="95" t="str">
        <f>IFERROR(__xludf.DUMMYFUNCTION("""COMPUTED_VALUE"""),"A Saya suka menghindar dari situasi yang tidak saya harapkan.")</f>
        <v>A Saya suka menghindar dari situasi yang tidak saya harapkan.</v>
      </c>
      <c r="BI43" s="95" t="str">
        <f>IFERROR(__xludf.DUMMYFUNCTION("""COMPUTED_VALUE"""),"A Saya suka bermurah hati terhadap teman-teman saya.")</f>
        <v>A Saya suka bermurah hati terhadap teman-teman saya.</v>
      </c>
      <c r="BJ43" s="95" t="str">
        <f>IFERROR(__xludf.DUMMYFUNCTION("""COMPUTED_VALUE"""),"A Saya ingin mengerjakan tugas sampai selesai.")</f>
        <v>A Saya ingin mengerjakan tugas sampai selesai.</v>
      </c>
      <c r="BK43" s="95" t="str">
        <f>IFERROR(__xludf.DUMMYFUNCTION("""COMPUTED_VALUE"""),"B Saya senang untuk diminta menyelesaikan pertentangan-pertentangan.")</f>
        <v>B Saya senang untuk diminta menyelesaikan pertentangan-pertentangan.</v>
      </c>
      <c r="BL43" s="95" t="str">
        <f>IFERROR(__xludf.DUMMYFUNCTION("""COMPUTED_VALUE"""),"A Saya suka belajar saya teratur dan ada waktu-waktu tertentu untuk belajar.")</f>
        <v>A Saya suka belajar saya teratur dan ada waktu-waktu tertentu untuk belajar.</v>
      </c>
      <c r="BM43" s="95" t="str">
        <f>IFERROR(__xludf.DUMMYFUNCTION("""COMPUTED_VALUE"""),"A Saya suka melakukan pekerjaan sebaik mungkin.")</f>
        <v>A Saya suka melakukan pekerjaan sebaik mungkin.</v>
      </c>
      <c r="BN43" s="95" t="str">
        <f>IFERROR(__xludf.DUMMYFUNCTION("""COMPUTED_VALUE"""),"A Saya suka mengerjakan teka-teki atau memecahkan persoalan sampai selesai.")</f>
        <v>A Saya suka mengerjakan teka-teki atau memecahkan persoalan sampai selesai.</v>
      </c>
      <c r="BO43" s="95" t="str">
        <f>IFERROR(__xludf.DUMMYFUNCTION("""COMPUTED_VALUE"""),"A Saya suka membuat perencanaan sebelum memulai belajar yang sulit.")</f>
        <v>A Saya suka membuat perencanaan sebelum memulai belajar yang sulit.</v>
      </c>
      <c r="BP43" s="95" t="str">
        <f>IFERROR(__xludf.DUMMYFUNCTION("""COMPUTED_VALUE"""),"A Saya ingin menyelesaikan sesuatu yang sangat penting artinya.")</f>
        <v>A Saya ingin menyelesaikan sesuatu yang sangat penting artinya.</v>
      </c>
      <c r="BQ43" s="95" t="str">
        <f>IFERROR(__xludf.DUMMYFUNCTION("""COMPUTED_VALUE"""),"A Saya ingin mengerjakannya tugas sampai selesai.")</f>
        <v>A Saya ingin mengerjakannya tugas sampai selesai.</v>
      </c>
      <c r="BR43" s="95" t="str">
        <f>IFERROR(__xludf.DUMMYFUNCTION("""COMPUTED_VALUE"""),"A Saya suka memaafkan teman-teman saya yang menyakiti hati saya.")</f>
        <v>A Saya suka memaafkan teman-teman saya yang menyakiti hati saya.</v>
      </c>
      <c r="BS43" s="95" t="str">
        <f>IFERROR(__xludf.DUMMYFUNCTION("""COMPUTED_VALUE"""),"B Saya ingin teman-teman saya membantu saya bila saya mengalami kesulitan")</f>
        <v>B Saya ingin teman-teman saya membantu saya bila saya mengalami kesulitan</v>
      </c>
      <c r="BT43" s="95" t="str">
        <f>IFERROR(__xludf.DUMMYFUNCTION("""COMPUTED_VALUE"""),"B Saya ingin teman-teman banyak menunjukkan rasa sayang mereka terhadap saya.")</f>
        <v>B Saya ingin teman-teman banyak menunjukkan rasa sayang mereka terhadap saya.</v>
      </c>
      <c r="BU43" s="95" t="str">
        <f>IFERROR(__xludf.DUMMYFUNCTION("""COMPUTED_VALUE"""),"A Saya kadang-kadang suka melakukan hal-hal yang dapat dipuji oleh orang lain.")</f>
        <v>A Saya kadang-kadang suka melakukan hal-hal yang dapat dipuji oleh orang lain.</v>
      </c>
      <c r="BV43" s="95" t="str">
        <f>IFERROR(__xludf.DUMMYFUNCTION("""COMPUTED_VALUE"""),"B Saya ingin teman-teman dengan gembira memberikan pertolongan kepada saya.")</f>
        <v>B Saya ingin teman-teman dengan gembira memberikan pertolongan kepada saya.</v>
      </c>
      <c r="BW43" s="95" t="str">
        <f>IFERROR(__xludf.DUMMYFUNCTION("""COMPUTED_VALUE"""),"B Saya ingin diperlakukan dengan baik oleh teman-teman saya.")</f>
        <v>B Saya ingin diperlakukan dengan baik oleh teman-teman saya.</v>
      </c>
      <c r="BX43" s="95" t="str">
        <f>IFERROR(__xludf.DUMMYFUNCTION("""COMPUTED_VALUE"""),"B Saya kadang-kadang suka melakukan hal-hal yang dapat dipuji oleh orang lain.")</f>
        <v>B Saya kadang-kadang suka melakukan hal-hal yang dapat dipuji oleh orang lain.</v>
      </c>
      <c r="BY43" s="95" t="str">
        <f>IFERROR(__xludf.DUMMYFUNCTION("""COMPUTED_VALUE"""),"B Saya ingin orang lain memperhatikan dan berkomentar tentang penampilan saya.")</f>
        <v>B Saya ingin orang lain memperhatikan dan berkomentar tentang penampilan saya.</v>
      </c>
      <c r="BZ43" s="95" t="str">
        <f>IFERROR(__xludf.DUMMYFUNCTION("""COMPUTED_VALUE"""),"B Saya suka diperhatikan, apabila saya ada di dalam suatu kelompok.")</f>
        <v>B Saya suka diperhatikan, apabila saya ada di dalam suatu kelompok.</v>
      </c>
      <c r="CA43" s="95" t="str">
        <f>IFERROR(__xludf.DUMMYFUNCTION("""COMPUTED_VALUE"""),"A Saya ingin teman-teman dengan gembira memberikan pertolongan kepada saya.")</f>
        <v>A Saya ingin teman-teman dengan gembira memberikan pertolongan kepada saya.</v>
      </c>
      <c r="CB43" s="95" t="str">
        <f>IFERROR(__xludf.DUMMYFUNCTION("""COMPUTED_VALUE"""),"B Saya suka berbicara tentang hal-hal yang telah saya capai.")</f>
        <v>B Saya suka berbicara tentang hal-hal yang telah saya capai.</v>
      </c>
      <c r="CC43" s="95" t="str">
        <f>IFERROR(__xludf.DUMMYFUNCTION("""COMPUTED_VALUE"""),"A Apabila saya berkumpul dalam kelompok, saya ingin dihargai teman-teman.")</f>
        <v>A Apabila saya berkumpul dalam kelompok, saya ingin dihargai teman-teman.</v>
      </c>
      <c r="CD43" s="95" t="str">
        <f>IFERROR(__xludf.DUMMYFUNCTION("""COMPUTED_VALUE"""),"A Saya suka menyelesaikan setiap tugas meskipun membutuhkan waktu lama.")</f>
        <v>A Saya suka menyelesaikan setiap tugas meskipun membutuhkan waktu lama.</v>
      </c>
      <c r="CE43" s="95" t="str">
        <f>IFERROR(__xludf.DUMMYFUNCTION("""COMPUTED_VALUE"""),"B Saya kadang-kadang suka melakukan hal-hal yang dapat dipuji oleh orang lain.")</f>
        <v>B Saya kadang-kadang suka melakukan hal-hal yang dapat dipuji oleh orang lain.</v>
      </c>
      <c r="CF43" s="95" t="str">
        <f>IFERROR(__xludf.DUMMYFUNCTION("""COMPUTED_VALUE"""),"A Saya ingin agar hidup saya teratur sesuai cita-cita saya.")</f>
        <v>A Saya ingin agar hidup saya teratur sesuai cita-cita saya.</v>
      </c>
      <c r="CG43" s="95" t="str">
        <f>IFERROR(__xludf.DUMMYFUNCTION("""COMPUTED_VALUE"""),"A Saya ingin berhasil dalam apa yang saya lakukan.")</f>
        <v>A Saya ingin berhasil dalam apa yang saya lakukan.</v>
      </c>
      <c r="CH43" s="95" t="str">
        <f>IFERROR(__xludf.DUMMYFUNCTION("""COMPUTED_VALUE"""),"A Saya ingin bisa melakukan dengan baik sesuatu pekerjaan sulit.")</f>
        <v>A Saya ingin bisa melakukan dengan baik sesuatu pekerjaan sulit.</v>
      </c>
      <c r="CI43" s="95" t="str">
        <f>IFERROR(__xludf.DUMMYFUNCTION("""COMPUTED_VALUE"""),"A Saya suka belajar saya teratur dan ada waktu-waktu tertentu untuk belajar.")</f>
        <v>A Saya suka belajar saya teratur dan ada waktu-waktu tertentu untuk belajar.</v>
      </c>
      <c r="CJ43" s="95" t="str">
        <f>IFERROR(__xludf.DUMMYFUNCTION("""COMPUTED_VALUE"""),"A Saya ingin tidak tergantung dari orang lain terhadap apa yang akan saya lakukan.")</f>
        <v>A Saya ingin tidak tergantung dari orang lain terhadap apa yang akan saya lakukan.</v>
      </c>
      <c r="CK43" s="95" t="str">
        <f>IFERROR(__xludf.DUMMYFUNCTION("""COMPUTED_VALUE"""),"A Saya suka bertahan menghadapi satu masalah, meskipun belum tentu berhasil.")</f>
        <v>A Saya suka bertahan menghadapi satu masalah, meskipun belum tentu berhasil.</v>
      </c>
      <c r="CL43" s="95" t="str">
        <f>IFERROR(__xludf.DUMMYFUNCTION("""COMPUTED_VALUE"""),"A Saya suka menolong teman-teman saya, apabila mereka dalam kesulitan.")</f>
        <v>A Saya suka menolong teman-teman saya, apabila mereka dalam kesulitan.</v>
      </c>
      <c r="CM43" s="95" t="str">
        <f>IFERROR(__xludf.DUMMYFUNCTION("""COMPUTED_VALUE"""),"A Saya ingin ditunjuk atau dipilih sebagai ketua dalam suatu kelompok.")</f>
        <v>A Saya ingin ditunjuk atau dipilih sebagai ketua dalam suatu kelompok.</v>
      </c>
      <c r="CN43" s="95" t="str">
        <f>IFERROR(__xludf.DUMMYFUNCTION("""COMPUTED_VALUE"""),"A Saya ingin diperlakukan dengan baik oleh teman-teman saya.")</f>
        <v>A Saya ingin diperlakukan dengan baik oleh teman-teman saya.</v>
      </c>
      <c r="CO43" s="95" t="str">
        <f>IFERROR(__xludf.DUMMYFUNCTION("""COMPUTED_VALUE"""),"A Saya suka menceritakan hal-hal lucu agar diperhatikan oleh orang lain.")</f>
        <v>A Saya suka menceritakan hal-hal lucu agar diperhatikan oleh orang lain.</v>
      </c>
      <c r="CP43" s="95" t="str">
        <f>IFERROR(__xludf.DUMMYFUNCTION("""COMPUTED_VALUE"""),"A Saya suka melamun atau membayangkan sesuatu sendirian.")</f>
        <v>A Saya suka melamun atau membayangkan sesuatu sendirian.</v>
      </c>
      <c r="CQ43" s="95" t="str">
        <f>IFERROR(__xludf.DUMMYFUNCTION("""COMPUTED_VALUE"""),"B Saya merasa kagum pada seseorang.")</f>
        <v>B Saya merasa kagum pada seseorang.</v>
      </c>
      <c r="CR43" s="95" t="str">
        <f>IFERROR(__xludf.DUMMYFUNCTION("""COMPUTED_VALUE"""),"B Saya rasanya ingin mengecam seseorang bila orang itu menjengkelkan.")</f>
        <v>B Saya rasanya ingin mengecam seseorang bila orang itu menjengkelkan.</v>
      </c>
      <c r="CS43" s="95" t="str">
        <f>IFERROR(__xludf.DUMMYFUNCTION("""COMPUTED_VALUE"""),"A Saya ingin terlihat menarik di depan teman-teman saya.")</f>
        <v>A Saya ingin terlihat menarik di depan teman-teman saya.</v>
      </c>
      <c r="CT43" s="95" t="str">
        <f>IFERROR(__xludf.DUMMYFUNCTION("""COMPUTED_VALUE"""),"A Saya ingin orang-orang memperhatikan komentar mengenai penampilan saya.")</f>
        <v>A Saya ingin orang-orang memperhatikan komentar mengenai penampilan saya.</v>
      </c>
      <c r="CU43" s="95" t="str">
        <f>IFERROR(__xludf.DUMMYFUNCTION("""COMPUTED_VALUE"""),"A Saya ingin diperlakukan dengan ramah oleh teman-teman saya.")</f>
        <v>A Saya ingin diperlakukan dengan ramah oleh teman-teman saya.</v>
      </c>
      <c r="CV43" s="95" t="str">
        <f>IFERROR(__xludf.DUMMYFUNCTION("""COMPUTED_VALUE"""),"A Saya ingin ditunjuk atau dipilih sebagai ketua dalam suatu kelompok.")</f>
        <v>A Saya ingin ditunjuk atau dipilih sebagai ketua dalam suatu kelompok.</v>
      </c>
      <c r="CW43" s="95" t="str">
        <f>IFERROR(__xludf.DUMMYFUNCTION("""COMPUTED_VALUE"""),"A Saya suka menolong teman-teman saya, apabila mereka dalam kesulitan.")</f>
        <v>A Saya suka menolong teman-teman saya, apabila mereka dalam kesulitan.</v>
      </c>
      <c r="CX43" s="95" t="str">
        <f>IFERROR(__xludf.DUMMYFUNCTION("""COMPUTED_VALUE"""),"A Saya suka belajar sampai malam untuk menyelesaikan suatu tugas.")</f>
        <v>A Saya suka belajar sampai malam untuk menyelesaikan suatu tugas.</v>
      </c>
      <c r="CY43" s="95" t="str">
        <f>IFERROR(__xludf.DUMMYFUNCTION("""COMPUTED_VALUE"""),"A Saya ingin tidak tergantung dari orang lain terhadap apa yang akan saya lakukan.")</f>
        <v>A Saya ingin tidak tergantung dari orang lain terhadap apa yang akan saya lakukan.</v>
      </c>
      <c r="CZ43" s="95" t="str">
        <f>IFERROR(__xludf.DUMMYFUNCTION("""COMPUTED_VALUE"""),"A Saya suka merencanakan dan mengatur setiap pekerjaan yang harus saya lakukan.")</f>
        <v>A Saya suka merencanakan dan mengatur setiap pekerjaan yang harus saya lakukan.</v>
      </c>
      <c r="DA43" s="95" t="str">
        <f>IFERROR(__xludf.DUMMYFUNCTION("""COMPUTED_VALUE"""),"A Saya ingin melakukan apa saja sebaik mungkin.")</f>
        <v>A Saya ingin melakukan apa saja sebaik mungkin.</v>
      </c>
      <c r="DB43" s="89" t="s">
        <v>23</v>
      </c>
      <c r="DC43" s="97" t="str">
        <f t="shared" ref="DC43:GX43" si="88">LEFT(F43,1)</f>
        <v>B</v>
      </c>
      <c r="DD43" s="97" t="str">
        <f t="shared" si="88"/>
        <v>A</v>
      </c>
      <c r="DE43" s="97" t="str">
        <f t="shared" si="88"/>
        <v>B</v>
      </c>
      <c r="DF43" s="97" t="str">
        <f t="shared" si="88"/>
        <v>B</v>
      </c>
      <c r="DG43" s="97" t="str">
        <f t="shared" si="88"/>
        <v>A</v>
      </c>
      <c r="DH43" s="97" t="str">
        <f t="shared" si="88"/>
        <v>A</v>
      </c>
      <c r="DI43" s="97" t="str">
        <f t="shared" si="88"/>
        <v>A</v>
      </c>
      <c r="DJ43" s="97" t="str">
        <f t="shared" si="88"/>
        <v>A</v>
      </c>
      <c r="DK43" s="97" t="str">
        <f t="shared" si="88"/>
        <v>B</v>
      </c>
      <c r="DL43" s="97" t="str">
        <f t="shared" si="88"/>
        <v>A</v>
      </c>
      <c r="DM43" s="97" t="str">
        <f t="shared" si="88"/>
        <v>A</v>
      </c>
      <c r="DN43" s="97" t="str">
        <f t="shared" si="88"/>
        <v>B</v>
      </c>
      <c r="DO43" s="97" t="str">
        <f t="shared" si="88"/>
        <v>B</v>
      </c>
      <c r="DP43" s="97" t="str">
        <f t="shared" si="88"/>
        <v>B</v>
      </c>
      <c r="DQ43" s="97" t="str">
        <f t="shared" si="88"/>
        <v>B</v>
      </c>
      <c r="DR43" s="97" t="str">
        <f t="shared" si="88"/>
        <v>A</v>
      </c>
      <c r="DS43" s="97" t="str">
        <f t="shared" si="88"/>
        <v>B</v>
      </c>
      <c r="DT43" s="97" t="str">
        <f t="shared" si="88"/>
        <v>B</v>
      </c>
      <c r="DU43" s="97" t="str">
        <f t="shared" si="88"/>
        <v>A</v>
      </c>
      <c r="DV43" s="97" t="str">
        <f t="shared" si="88"/>
        <v>A</v>
      </c>
      <c r="DW43" s="97" t="str">
        <f t="shared" si="88"/>
        <v>A</v>
      </c>
      <c r="DX43" s="97" t="str">
        <f t="shared" si="88"/>
        <v>A</v>
      </c>
      <c r="DY43" s="97" t="str">
        <f t="shared" si="88"/>
        <v>B</v>
      </c>
      <c r="DZ43" s="97" t="str">
        <f t="shared" si="88"/>
        <v>A</v>
      </c>
      <c r="EA43" s="97" t="str">
        <f t="shared" si="88"/>
        <v>A</v>
      </c>
      <c r="EB43" s="97" t="str">
        <f t="shared" si="88"/>
        <v>A</v>
      </c>
      <c r="EC43" s="97" t="str">
        <f t="shared" si="88"/>
        <v>A</v>
      </c>
      <c r="ED43" s="97" t="str">
        <f t="shared" si="88"/>
        <v>A</v>
      </c>
      <c r="EE43" s="97" t="str">
        <f t="shared" si="88"/>
        <v>B</v>
      </c>
      <c r="EF43" s="97" t="str">
        <f t="shared" si="88"/>
        <v>B</v>
      </c>
      <c r="EG43" s="97" t="str">
        <f t="shared" si="88"/>
        <v>B</v>
      </c>
      <c r="EH43" s="97" t="str">
        <f t="shared" si="88"/>
        <v>B</v>
      </c>
      <c r="EI43" s="97" t="str">
        <f t="shared" si="88"/>
        <v>A</v>
      </c>
      <c r="EJ43" s="97" t="str">
        <f t="shared" si="88"/>
        <v>B</v>
      </c>
      <c r="EK43" s="97" t="str">
        <f t="shared" si="88"/>
        <v>B</v>
      </c>
      <c r="EL43" s="97" t="str">
        <f t="shared" si="88"/>
        <v>B</v>
      </c>
      <c r="EM43" s="97" t="str">
        <f t="shared" si="88"/>
        <v>B</v>
      </c>
      <c r="EN43" s="97" t="str">
        <f t="shared" si="88"/>
        <v>B</v>
      </c>
      <c r="EO43" s="97" t="str">
        <f t="shared" si="88"/>
        <v>B</v>
      </c>
      <c r="EP43" s="97" t="str">
        <f t="shared" si="88"/>
        <v>A</v>
      </c>
      <c r="EQ43" s="97" t="str">
        <f t="shared" si="88"/>
        <v>A</v>
      </c>
      <c r="ER43" s="97" t="str">
        <f t="shared" si="88"/>
        <v>B</v>
      </c>
      <c r="ES43" s="97" t="str">
        <f t="shared" si="88"/>
        <v>B</v>
      </c>
      <c r="ET43" s="97" t="str">
        <f t="shared" si="88"/>
        <v>B</v>
      </c>
      <c r="EU43" s="97" t="str">
        <f t="shared" si="88"/>
        <v>B</v>
      </c>
      <c r="EV43" s="97" t="str">
        <f t="shared" si="88"/>
        <v>B</v>
      </c>
      <c r="EW43" s="97" t="str">
        <f t="shared" si="88"/>
        <v>B</v>
      </c>
      <c r="EX43" s="97" t="str">
        <f t="shared" si="88"/>
        <v>B</v>
      </c>
      <c r="EY43" s="97" t="str">
        <f t="shared" si="88"/>
        <v>B</v>
      </c>
      <c r="EZ43" s="97" t="str">
        <f t="shared" si="88"/>
        <v>B</v>
      </c>
      <c r="FA43" s="97" t="str">
        <f t="shared" si="88"/>
        <v>B</v>
      </c>
      <c r="FB43" s="97" t="str">
        <f t="shared" si="88"/>
        <v>B</v>
      </c>
      <c r="FC43" s="97" t="str">
        <f t="shared" si="88"/>
        <v>B</v>
      </c>
      <c r="FD43" s="97" t="str">
        <f t="shared" si="88"/>
        <v>B</v>
      </c>
      <c r="FE43" s="97" t="str">
        <f t="shared" si="88"/>
        <v>A</v>
      </c>
      <c r="FF43" s="97" t="str">
        <f t="shared" si="88"/>
        <v>A</v>
      </c>
      <c r="FG43" s="97" t="str">
        <f t="shared" si="88"/>
        <v>A</v>
      </c>
      <c r="FH43" s="97" t="str">
        <f t="shared" si="88"/>
        <v>B</v>
      </c>
      <c r="FI43" s="97" t="str">
        <f t="shared" si="88"/>
        <v>A</v>
      </c>
      <c r="FJ43" s="97" t="str">
        <f t="shared" si="88"/>
        <v>A</v>
      </c>
      <c r="FK43" s="97" t="str">
        <f t="shared" si="88"/>
        <v>A</v>
      </c>
      <c r="FL43" s="97" t="str">
        <f t="shared" si="88"/>
        <v>A</v>
      </c>
      <c r="FM43" s="97" t="str">
        <f t="shared" si="88"/>
        <v>A</v>
      </c>
      <c r="FN43" s="97" t="str">
        <f t="shared" si="88"/>
        <v>A</v>
      </c>
      <c r="FO43" s="97" t="str">
        <f t="shared" si="88"/>
        <v>A</v>
      </c>
      <c r="FP43" s="97" t="str">
        <f t="shared" si="88"/>
        <v>B</v>
      </c>
      <c r="FQ43" s="97" t="str">
        <f t="shared" si="88"/>
        <v>B</v>
      </c>
      <c r="FR43" s="97" t="str">
        <f t="shared" si="88"/>
        <v>A</v>
      </c>
      <c r="FS43" s="97" t="str">
        <f t="shared" si="88"/>
        <v>B</v>
      </c>
      <c r="FT43" s="97" t="str">
        <f t="shared" si="88"/>
        <v>B</v>
      </c>
      <c r="FU43" s="97" t="str">
        <f t="shared" si="88"/>
        <v>B</v>
      </c>
      <c r="FV43" s="97" t="str">
        <f t="shared" si="88"/>
        <v>B</v>
      </c>
      <c r="FW43" s="97" t="str">
        <f t="shared" si="88"/>
        <v>B</v>
      </c>
      <c r="FX43" s="97" t="str">
        <f t="shared" si="88"/>
        <v>A</v>
      </c>
      <c r="FY43" s="97" t="str">
        <f t="shared" si="88"/>
        <v>B</v>
      </c>
      <c r="FZ43" s="97" t="str">
        <f t="shared" si="88"/>
        <v>A</v>
      </c>
      <c r="GA43" s="97" t="str">
        <f t="shared" si="88"/>
        <v>A</v>
      </c>
      <c r="GB43" s="97" t="str">
        <f t="shared" si="88"/>
        <v>B</v>
      </c>
      <c r="GC43" s="97" t="str">
        <f t="shared" si="88"/>
        <v>A</v>
      </c>
      <c r="GD43" s="97" t="str">
        <f t="shared" si="88"/>
        <v>A</v>
      </c>
      <c r="GE43" s="97" t="str">
        <f t="shared" si="88"/>
        <v>A</v>
      </c>
      <c r="GF43" s="97" t="str">
        <f t="shared" si="88"/>
        <v>A</v>
      </c>
      <c r="GG43" s="97" t="str">
        <f t="shared" si="88"/>
        <v>A</v>
      </c>
      <c r="GH43" s="97" t="str">
        <f t="shared" si="88"/>
        <v>A</v>
      </c>
      <c r="GI43" s="97" t="str">
        <f t="shared" si="88"/>
        <v>A</v>
      </c>
      <c r="GJ43" s="97" t="str">
        <f t="shared" si="88"/>
        <v>A</v>
      </c>
      <c r="GK43" s="97" t="str">
        <f t="shared" si="88"/>
        <v>A</v>
      </c>
      <c r="GL43" s="97" t="str">
        <f t="shared" si="88"/>
        <v>A</v>
      </c>
      <c r="GM43" s="97" t="str">
        <f t="shared" si="88"/>
        <v>A</v>
      </c>
      <c r="GN43" s="97" t="str">
        <f t="shared" si="88"/>
        <v>B</v>
      </c>
      <c r="GO43" s="97" t="str">
        <f t="shared" si="88"/>
        <v>B</v>
      </c>
      <c r="GP43" s="97" t="str">
        <f t="shared" si="88"/>
        <v>A</v>
      </c>
      <c r="GQ43" s="97" t="str">
        <f t="shared" si="88"/>
        <v>A</v>
      </c>
      <c r="GR43" s="97" t="str">
        <f t="shared" si="88"/>
        <v>A</v>
      </c>
      <c r="GS43" s="97" t="str">
        <f t="shared" si="88"/>
        <v>A</v>
      </c>
      <c r="GT43" s="97" t="str">
        <f t="shared" si="88"/>
        <v>A</v>
      </c>
      <c r="GU43" s="97" t="str">
        <f t="shared" si="88"/>
        <v>A</v>
      </c>
      <c r="GV43" s="97" t="str">
        <f t="shared" si="88"/>
        <v>A</v>
      </c>
      <c r="GW43" s="97" t="str">
        <f t="shared" si="88"/>
        <v>A</v>
      </c>
      <c r="GX43" s="97" t="str">
        <f t="shared" si="88"/>
        <v>A</v>
      </c>
      <c r="GY43" s="98"/>
      <c r="GZ43" s="97">
        <f t="shared" si="3"/>
        <v>54</v>
      </c>
      <c r="HA43" s="97">
        <f t="shared" si="4"/>
        <v>46</v>
      </c>
      <c r="HB43" s="90">
        <f t="shared" si="5"/>
        <v>100</v>
      </c>
      <c r="HC43" s="99"/>
      <c r="HD43" s="97">
        <f t="shared" si="6"/>
        <v>9</v>
      </c>
      <c r="HE43" s="97">
        <f t="shared" si="7"/>
        <v>3</v>
      </c>
      <c r="HF43" s="90">
        <f t="shared" si="8"/>
        <v>12</v>
      </c>
      <c r="HG43" s="99"/>
      <c r="HH43" s="97">
        <f t="shared" si="9"/>
        <v>7</v>
      </c>
      <c r="HI43" s="97">
        <f t="shared" si="10"/>
        <v>6</v>
      </c>
      <c r="HJ43" s="90">
        <f t="shared" si="11"/>
        <v>13</v>
      </c>
      <c r="HK43" s="99"/>
      <c r="HL43" s="97">
        <f t="shared" si="12"/>
        <v>3</v>
      </c>
      <c r="HM43" s="97">
        <f t="shared" si="13"/>
        <v>3</v>
      </c>
      <c r="HN43" s="90">
        <f t="shared" si="14"/>
        <v>6</v>
      </c>
      <c r="HO43" s="99"/>
      <c r="HP43" s="97">
        <f t="shared" si="15"/>
        <v>6</v>
      </c>
      <c r="HQ43" s="97">
        <f t="shared" si="16"/>
        <v>8</v>
      </c>
      <c r="HR43" s="90">
        <f t="shared" si="17"/>
        <v>14</v>
      </c>
      <c r="HS43" s="99"/>
      <c r="HT43" s="97">
        <f t="shared" si="18"/>
        <v>8</v>
      </c>
      <c r="HU43" s="97">
        <f t="shared" si="19"/>
        <v>9</v>
      </c>
      <c r="HV43" s="90">
        <f t="shared" si="20"/>
        <v>17</v>
      </c>
      <c r="HW43" s="99"/>
      <c r="HX43" s="97">
        <f t="shared" si="21"/>
        <v>4</v>
      </c>
      <c r="HY43" s="97">
        <f t="shared" si="22"/>
        <v>5</v>
      </c>
      <c r="HZ43" s="90">
        <f t="shared" si="23"/>
        <v>9</v>
      </c>
      <c r="IA43" s="99"/>
      <c r="IB43" s="97">
        <f t="shared" si="24"/>
        <v>5</v>
      </c>
      <c r="IC43" s="97">
        <f t="shared" si="25"/>
        <v>4</v>
      </c>
      <c r="ID43" s="90">
        <f t="shared" si="26"/>
        <v>9</v>
      </c>
      <c r="IE43" s="99"/>
      <c r="IF43" s="97">
        <f t="shared" si="27"/>
        <v>6</v>
      </c>
      <c r="IG43" s="97">
        <f t="shared" si="28"/>
        <v>5</v>
      </c>
      <c r="IH43" s="90">
        <f t="shared" si="29"/>
        <v>11</v>
      </c>
      <c r="II43" s="99"/>
      <c r="IJ43" s="97">
        <f t="shared" si="30"/>
        <v>1</v>
      </c>
      <c r="IK43" s="97">
        <f t="shared" si="31"/>
        <v>1</v>
      </c>
      <c r="IL43" s="90">
        <f t="shared" si="32"/>
        <v>2</v>
      </c>
      <c r="IM43" s="99"/>
      <c r="IN43" s="97">
        <f t="shared" si="33"/>
        <v>2</v>
      </c>
      <c r="IO43" s="97">
        <f t="shared" si="34"/>
        <v>1</v>
      </c>
      <c r="IP43" s="90">
        <f t="shared" si="35"/>
        <v>3</v>
      </c>
      <c r="IQ43" s="99"/>
      <c r="IR43" s="99"/>
      <c r="IS43" s="100">
        <f t="shared" si="36"/>
        <v>12</v>
      </c>
      <c r="IT43" s="100">
        <f t="shared" si="37"/>
        <v>13</v>
      </c>
      <c r="IU43" s="100">
        <f t="shared" si="38"/>
        <v>6</v>
      </c>
      <c r="IV43" s="100">
        <f t="shared" si="39"/>
        <v>14</v>
      </c>
      <c r="IW43" s="100">
        <f t="shared" si="40"/>
        <v>17</v>
      </c>
      <c r="IX43" s="100">
        <f t="shared" si="41"/>
        <v>9</v>
      </c>
      <c r="IY43" s="100">
        <f t="shared" si="42"/>
        <v>9</v>
      </c>
      <c r="IZ43" s="100">
        <f t="shared" si="43"/>
        <v>11</v>
      </c>
      <c r="JA43" s="100">
        <f t="shared" si="44"/>
        <v>2</v>
      </c>
      <c r="JB43" s="101">
        <f t="shared" si="45"/>
        <v>3</v>
      </c>
      <c r="JC43" s="102">
        <f t="shared" si="46"/>
        <v>96</v>
      </c>
      <c r="JD43" s="67">
        <f t="shared" si="50"/>
        <v>0</v>
      </c>
      <c r="JE43" s="67">
        <f t="shared" si="47"/>
        <v>1</v>
      </c>
      <c r="JF43" s="67">
        <f t="shared" si="48"/>
        <v>1</v>
      </c>
    </row>
    <row r="44">
      <c r="A44" s="103">
        <f>IFERROR(__xludf.DUMMYFUNCTION("""COMPUTED_VALUE"""),45927.70925825232)</f>
        <v>45927.70926</v>
      </c>
      <c r="B44" s="95" t="str">
        <f>IFERROR(__xludf.DUMMYFUNCTION("""COMPUTED_VALUE"""),"Muhammad Al-Fatih Fadhly")</f>
        <v>Muhammad Al-Fatih Fadhly</v>
      </c>
      <c r="C44" s="96" t="str">
        <f>IFERROR(__xludf.DUMMYFUNCTION("""COMPUTED_VALUE"""),"A250054")</f>
        <v>A250054</v>
      </c>
      <c r="D44" s="96" t="str">
        <f>IFERROR(__xludf.DUMMYFUNCTION("""COMPUTED_VALUE"""),"MTs Putra")</f>
        <v>MTs Putra</v>
      </c>
      <c r="E44" s="96" t="str">
        <f>IFERROR(__xludf.DUMMYFUNCTION("""COMPUTED_VALUE"""),"Ya")</f>
        <v>Ya</v>
      </c>
      <c r="F44" s="95" t="str">
        <f>IFERROR(__xludf.DUMMYFUNCTION("""COMPUTED_VALUE"""),"B Saya ingin melakukan apa saja sebaik mungkin.")</f>
        <v>B Saya ingin melakukan apa saja sebaik mungkin.</v>
      </c>
      <c r="G44" s="95" t="str">
        <f>IFERROR(__xludf.DUMMYFUNCTION("""COMPUTED_VALUE"""),"A Saya ingin setiap tulisan saya teliti, rapi, dan tersusun dengan baik.")</f>
        <v>A Saya ingin setiap tulisan saya teliti, rapi, dan tersusun dengan baik.</v>
      </c>
      <c r="H44" s="95" t="str">
        <f>IFERROR(__xludf.DUMMYFUNCTION("""COMPUTED_VALUE"""),"A Saya ingin berbuat sesuai kata hati saya.")</f>
        <v>A Saya ingin berbuat sesuai kata hati saya.</v>
      </c>
      <c r="I44" s="95" t="str">
        <f>IFERROR(__xludf.DUMMYFUNCTION("""COMPUTED_VALUE"""),"B Saya ingin bisa melakukan dengan baik meskipun tugas yang sulit.")</f>
        <v>B Saya ingin bisa melakukan dengan baik meskipun tugas yang sulit.</v>
      </c>
      <c r="J44" s="95" t="str">
        <f>IFERROR(__xludf.DUMMYFUNCTION("""COMPUTED_VALUE"""),"A Saya suka membantu teman-teman saya apabila mereka mengalami kesulitan.")</f>
        <v>A Saya suka membantu teman-teman saya apabila mereka mengalami kesulitan.</v>
      </c>
      <c r="K44" s="95" t="str">
        <f>IFERROR(__xludf.DUMMYFUNCTION("""COMPUTED_VALUE"""),"B Saya ingin mengatakan telah melakukan dengan baik sesuatu tugas yang sulit.")</f>
        <v>B Saya ingin mengatakan telah melakukan dengan baik sesuatu tugas yang sulit.</v>
      </c>
      <c r="L44" s="95" t="str">
        <f>IFERROR(__xludf.DUMMYFUNCTION("""COMPUTED_VALUE"""),"B Saya ingin mengatakan telah melakukan dengan baik sesuatu tugas yang sulit")</f>
        <v>B Saya ingin mengatakan telah melakukan dengan baik sesuatu tugas yang sulit</v>
      </c>
      <c r="M44" s="95" t="str">
        <f>IFERROR(__xludf.DUMMYFUNCTION("""COMPUTED_VALUE"""),"B Saya ingin mengerjakan segala tugas lebih baik daripada orang lain.")</f>
        <v>B Saya ingin mengerjakan segala tugas lebih baik daripada orang lain.</v>
      </c>
      <c r="N44" s="95" t="str">
        <f>IFERROR(__xludf.DUMMYFUNCTION("""COMPUTED_VALUE"""),"A Saya suka pergi dengan pakaian rapi agar lebih menarik perhatian orang lain.")</f>
        <v>A Saya suka pergi dengan pakaian rapi agar lebih menarik perhatian orang lain.</v>
      </c>
      <c r="O44" s="95" t="str">
        <f>IFERROR(__xludf.DUMMYFUNCTION("""COMPUTED_VALUE"""),"B Saya suka melakukan tugas sebaik mungkin.")</f>
        <v>B Saya suka melakukan tugas sebaik mungkin.</v>
      </c>
      <c r="P44" s="95" t="str">
        <f>IFERROR(__xludf.DUMMYFUNCTION("""COMPUTED_VALUE"""),"B Saya ingin setiap belajar itu teratur dan direncanakan.")</f>
        <v>B Saya ingin setiap belajar itu teratur dan direncanakan.</v>
      </c>
      <c r="Q44" s="95" t="str">
        <f>IFERROR(__xludf.DUMMYFUNCTION("""COMPUTED_VALUE"""),"B Saya merencanakan keperluan yang dibutuhkan sebelum bepergian.")</f>
        <v>B Saya merencanakan keperluan yang dibutuhkan sebelum bepergian.</v>
      </c>
      <c r="R44" s="95" t="str">
        <f>IFERROR(__xludf.DUMMYFUNCTION("""COMPUTED_VALUE"""),"B Saya suka barang-barang saya tersusun rapi dan teratur.")</f>
        <v>B Saya suka barang-barang saya tersusun rapi dan teratur.</v>
      </c>
      <c r="S44" s="95" t="str">
        <f>IFERROR(__xludf.DUMMYFUNCTION("""COMPUTED_VALUE"""),"B Saya suka membuat perencanaan sebelum memulai tugas yang sulit.")</f>
        <v>B Saya suka membuat perencanaan sebelum memulai tugas yang sulit.</v>
      </c>
      <c r="T44" s="95" t="str">
        <f>IFERROR(__xludf.DUMMYFUNCTION("""COMPUTED_VALUE"""),"B Saya ingin agar hidup saya teratur sesuai cita-cita saya.")</f>
        <v>B Saya ingin agar hidup saya teratur sesuai cita-cita saya.</v>
      </c>
      <c r="U44" s="95" t="str">
        <f>IFERROR(__xludf.DUMMYFUNCTION("""COMPUTED_VALUE"""),"B Saya suka menyimpan catatan secara rapi.")</f>
        <v>B Saya suka menyimpan catatan secara rapi.</v>
      </c>
      <c r="V44" s="95" t="str">
        <f>IFERROR(__xludf.DUMMYFUNCTION("""COMPUTED_VALUE"""),"A Saya suka belajar sampai malam untuk menyelesaikan suatu tugas.")</f>
        <v>A Saya suka belajar sampai malam untuk menyelesaikan suatu tugas.</v>
      </c>
      <c r="W44" s="95" t="str">
        <f>IFERROR(__xludf.DUMMYFUNCTION("""COMPUTED_VALUE"""),"B Saya ingin kegiatan itu teratur dan direncanakan.")</f>
        <v>B Saya ingin kegiatan itu teratur dan direncanakan.</v>
      </c>
      <c r="X44" s="95" t="str">
        <f>IFERROR(__xludf.DUMMYFUNCTION("""COMPUTED_VALUE"""),"B Saya ingin agar hidup saya teratur sesuai cita-cita saya.")</f>
        <v>B Saya ingin agar hidup saya teratur sesuai cita-cita saya.</v>
      </c>
      <c r="Y44" s="95" t="str">
        <f>IFERROR(__xludf.DUMMYFUNCTION("""COMPUTED_VALUE"""),"A Saya suka menyelesaikan tugas-tugas yang membutuhkan ketrampilan dan usaha.")</f>
        <v>A Saya suka menyelesaikan tugas-tugas yang membutuhkan ketrampilan dan usaha.</v>
      </c>
      <c r="Z44" s="95" t="str">
        <f>IFERROR(__xludf.DUMMYFUNCTION("""COMPUTED_VALUE"""),"A Saya ingin berhasil dengan belajar yang saya lakukan.")</f>
        <v>A Saya ingin berhasil dengan belajar yang saya lakukan.</v>
      </c>
      <c r="AA44" s="95" t="str">
        <f>IFERROR(__xludf.DUMMYFUNCTION("""COMPUTED_VALUE"""),"A Saya suka menyelesaikan tugas yang telah saya rencanakan.")</f>
        <v>A Saya suka menyelesaikan tugas yang telah saya rencanakan.</v>
      </c>
      <c r="AB44" s="95" t="str">
        <f>IFERROR(__xludf.DUMMYFUNCTION("""COMPUTED_VALUE"""),"B Saya ingin menyelesaikan pekerjaan satu persatu sebelum memulai yang lain.")</f>
        <v>B Saya ingin menyelesaikan pekerjaan satu persatu sebelum memulai yang lain.</v>
      </c>
      <c r="AC44" s="95" t="str">
        <f>IFERROR(__xludf.DUMMYFUNCTION("""COMPUTED_VALUE"""),"B Saya suka melakukan kegiatan sesuai kondisi yang saya inginkan.")</f>
        <v>B Saya suka melakukan kegiatan sesuai kondisi yang saya inginkan.</v>
      </c>
      <c r="AD44" s="95" t="str">
        <f>IFERROR(__xludf.DUMMYFUNCTION("""COMPUTED_VALUE"""),"B Saya suka menyatakan pendapat saya tentang berbagai hal.")</f>
        <v>B Saya suka menyatakan pendapat saya tentang berbagai hal.</v>
      </c>
      <c r="AE44" s="95" t="str">
        <f>IFERROR(__xludf.DUMMYFUNCTION("""COMPUTED_VALUE"""),"A Saya ingin dianggap sebagai pemimpin oleh teman di kelompok.")</f>
        <v>A Saya ingin dianggap sebagai pemimpin oleh teman di kelompok.</v>
      </c>
      <c r="AF44" s="95" t="str">
        <f>IFERROR(__xludf.DUMMYFUNCTION("""COMPUTED_VALUE"""),"B Saya suka melakukan hal-hal dengan cara saya sendiri.")</f>
        <v>B Saya suka melakukan hal-hal dengan cara saya sendiri.</v>
      </c>
      <c r="AG44" s="95" t="str">
        <f>IFERROR(__xludf.DUMMYFUNCTION("""COMPUTED_VALUE"""),"A Saya mengajari orang lain bagaimana mereka harus melakukan pekerjaan mereka.")</f>
        <v>A Saya mengajari orang lain bagaimana mereka harus melakukan pekerjaan mereka.</v>
      </c>
      <c r="AH44" s="95" t="str">
        <f>IFERROR(__xludf.DUMMYFUNCTION("""COMPUTED_VALUE"""),"B Saya ingin merasa bebas untuk melakukan apa yang saya kehendaki.")</f>
        <v>B Saya ingin merasa bebas untuk melakukan apa yang saya kehendaki.</v>
      </c>
      <c r="AI44" s="95" t="str">
        <f>IFERROR(__xludf.DUMMYFUNCTION("""COMPUTED_VALUE"""),"B Saya suka melakukan kegiatan sesuai kondisi yang saya inginkan.")</f>
        <v>B Saya suka melakukan kegiatan sesuai kondisi yang saya inginkan.</v>
      </c>
      <c r="AJ44" s="95" t="str">
        <f>IFERROR(__xludf.DUMMYFUNCTION("""COMPUTED_VALUE"""),"B Saya suka bertahan menghadapi satu masalah meskipun belum tentu berhasil.")</f>
        <v>B Saya suka bertahan menghadapi satu masalah meskipun belum tentu berhasil.</v>
      </c>
      <c r="AK44" s="95" t="str">
        <f>IFERROR(__xludf.DUMMYFUNCTION("""COMPUTED_VALUE"""),"B Bila saya harus melakukan suatu tugas, saya ingin mengerjakan sampai selesai.")</f>
        <v>B Bila saya harus melakukan suatu tugas, saya ingin mengerjakan sampai selesai.</v>
      </c>
      <c r="AL44" s="95" t="str">
        <f>IFERROR(__xludf.DUMMYFUNCTION("""COMPUTED_VALUE"""),"B Saya ingin menghindarkan gangguan bila saya sedang belajar.")</f>
        <v>B Saya ingin menghindarkan gangguan bila saya sedang belajar.</v>
      </c>
      <c r="AM44" s="95" t="str">
        <f>IFERROR(__xludf.DUMMYFUNCTION("""COMPUTED_VALUE"""),"B Saya suka belajar sampai malam untuk menyelesaikan suatu tugas.")</f>
        <v>B Saya suka belajar sampai malam untuk menyelesaikan suatu tugas.</v>
      </c>
      <c r="AN44" s="95" t="str">
        <f>IFERROR(__xludf.DUMMYFUNCTION("""COMPUTED_VALUE"""),"A Saya tidak suka pada orang yang semena-mena.")</f>
        <v>A Saya tidak suka pada orang yang semena-mena.</v>
      </c>
      <c r="AO44" s="95" t="str">
        <f>IFERROR(__xludf.DUMMYFUNCTION("""COMPUTED_VALUE"""),"B Saya suka menyelesaikan setiap tugas meskipun membutuhkan waktu lama.")</f>
        <v>B Saya suka menyelesaikan setiap tugas meskipun membutuhkan waktu lama.</v>
      </c>
      <c r="AP44" s="95" t="str">
        <f>IFERROR(__xludf.DUMMYFUNCTION("""COMPUTED_VALUE"""),"A Saya ingin mengerjakannya tugas sampai selesai.")</f>
        <v>A Saya ingin mengerjakannya tugas sampai selesai.</v>
      </c>
      <c r="AQ44" s="95" t="str">
        <f>IFERROR(__xludf.DUMMYFUNCTION("""COMPUTED_VALUE"""),"B Bila saya harus melakukan suatu tugas, saya ingin mengerjakan sampai selesai.")</f>
        <v>B Bila saya harus melakukan suatu tugas, saya ingin mengerjakan sampai selesai.</v>
      </c>
      <c r="AR44" s="95" t="str">
        <f>IFERROR(__xludf.DUMMYFUNCTION("""COMPUTED_VALUE"""),"A Saya suka menyimpan catatan secara rapi.")</f>
        <v>A Saya suka menyimpan catatan secara rapi.</v>
      </c>
      <c r="AS44" s="95" t="str">
        <f>IFERROR(__xludf.DUMMYFUNCTION("""COMPUTED_VALUE"""),"B Saya suka belajar sampai malam untuk menyelesaikan suatu tugas.")</f>
        <v>B Saya suka belajar sampai malam untuk menyelesaikan suatu tugas.</v>
      </c>
      <c r="AT44" s="95" t="str">
        <f>IFERROR(__xludf.DUMMYFUNCTION("""COMPUTED_VALUE"""),"A Saya ingin bisa melakukan dengan baik sesuatu pekerjaan sulit.")</f>
        <v>A Saya ingin bisa melakukan dengan baik sesuatu pekerjaan sulit.</v>
      </c>
      <c r="AU44" s="95" t="str">
        <f>IFERROR(__xludf.DUMMYFUNCTION("""COMPUTED_VALUE"""),"A Saya ingin menyelesaikan pekerjaan satu persatu sebelum memulai yang lain.")</f>
        <v>A Saya ingin menyelesaikan pekerjaan satu persatu sebelum memulai yang lain.</v>
      </c>
      <c r="AV44" s="95" t="str">
        <f>IFERROR(__xludf.DUMMYFUNCTION("""COMPUTED_VALUE"""),"B Saya suka menolong teman-teman saya.")</f>
        <v>B Saya suka menolong teman-teman saya.</v>
      </c>
      <c r="AW44" s="95" t="str">
        <f>IFERROR(__xludf.DUMMYFUNCTION("""COMPUTED_VALUE"""),"A Saya ingin mengerjakan tugas sampai selesai.")</f>
        <v>A Saya ingin mengerjakan tugas sampai selesai.</v>
      </c>
      <c r="AX44" s="95" t="str">
        <f>IFERROR(__xludf.DUMMYFUNCTION("""COMPUTED_VALUE"""),"B Saya suka memaafkan teman-teman saya yang menyakiti hati saya.")</f>
        <v>B Saya suka memaafkan teman-teman saya yang menyakiti hati saya.</v>
      </c>
      <c r="AY44" s="95" t="str">
        <f>IFERROR(__xludf.DUMMYFUNCTION("""COMPUTED_VALUE"""),"B Saya suka menolong teman-teman saya apabila mereka dalam kesulitan.")</f>
        <v>B Saya suka menolong teman-teman saya apabila mereka dalam kesulitan.</v>
      </c>
      <c r="AZ44" s="95" t="str">
        <f>IFERROR(__xludf.DUMMYFUNCTION("""COMPUTED_VALUE"""),"A Saya ingin agar teman-teman saya bersimpati dan menghibur saya bila saya sedih.")</f>
        <v>A Saya ingin agar teman-teman saya bersimpati dan menghibur saya bila saya sedih.</v>
      </c>
      <c r="BA44" s="95" t="str">
        <f>IFERROR(__xludf.DUMMYFUNCTION("""COMPUTED_VALUE"""),"A Saya suka menyatakan pendapat saya tentang berbagai hal.")</f>
        <v>A Saya suka menyatakan pendapat saya tentang berbagai hal.</v>
      </c>
      <c r="BB44" s="95" t="str">
        <f>IFERROR(__xludf.DUMMYFUNCTION("""COMPUTED_VALUE"""),"B Saya suka bermurah hati terhadap teman-teman saya.")</f>
        <v>B Saya suka bermurah hati terhadap teman-teman saya.</v>
      </c>
      <c r="BC44" s="95" t="str">
        <f>IFERROR(__xludf.DUMMYFUNCTION("""COMPUTED_VALUE"""),"B Saya suka membantu orang lain yang menurut saya perlu dikasihani.")</f>
        <v>B Saya suka membantu orang lain yang menurut saya perlu dikasihani.</v>
      </c>
      <c r="BD44" s="95" t="str">
        <f>IFERROR(__xludf.DUMMYFUNCTION("""COMPUTED_VALUE"""),"B Saya suka bersikukuh dengan pendirian saya.")</f>
        <v>B Saya suka bersikukuh dengan pendirian saya.</v>
      </c>
      <c r="BE44" s="95" t="str">
        <f>IFERROR(__xludf.DUMMYFUNCTION("""COMPUTED_VALUE"""),"B Saya ingin orang lain melakukan apa yang saya kehendaki.")</f>
        <v>B Saya ingin orang lain melakukan apa yang saya kehendaki.</v>
      </c>
      <c r="BF44" s="95" t="str">
        <f>IFERROR(__xludf.DUMMYFUNCTION("""COMPUTED_VALUE"""),"B Bila saya dalam kelompok, saya ingin menentukan apa yang akan kita lakukan.")</f>
        <v>B Bila saya dalam kelompok, saya ingin menentukan apa yang akan kita lakukan.</v>
      </c>
      <c r="BG44" s="95" t="str">
        <f>IFERROR(__xludf.DUMMYFUNCTION("""COMPUTED_VALUE"""),"A Saya ingin teman-teman banyak menunjukkan rasa sayang mereka terhadap saya.")</f>
        <v>A Saya ingin teman-teman banyak menunjukkan rasa sayang mereka terhadap saya.</v>
      </c>
      <c r="BH44" s="95" t="str">
        <f>IFERROR(__xludf.DUMMYFUNCTION("""COMPUTED_VALUE"""),"A Saya suka menghindar dari situasi yang tidak saya harapkan.")</f>
        <v>A Saya suka menghindar dari situasi yang tidak saya harapkan.</v>
      </c>
      <c r="BI44" s="95" t="str">
        <f>IFERROR(__xludf.DUMMYFUNCTION("""COMPUTED_VALUE"""),"A Saya suka bermurah hati terhadap teman-teman saya.")</f>
        <v>A Saya suka bermurah hati terhadap teman-teman saya.</v>
      </c>
      <c r="BJ44" s="95" t="str">
        <f>IFERROR(__xludf.DUMMYFUNCTION("""COMPUTED_VALUE"""),"A Saya ingin mengerjakan tugas sampai selesai.")</f>
        <v>A Saya ingin mengerjakan tugas sampai selesai.</v>
      </c>
      <c r="BK44" s="95" t="str">
        <f>IFERROR(__xludf.DUMMYFUNCTION("""COMPUTED_VALUE"""),"A Saya ingin menyelesaikan pekerjaan satu persatu sebelum memulai yang lain.")</f>
        <v>A Saya ingin menyelesaikan pekerjaan satu persatu sebelum memulai yang lain.</v>
      </c>
      <c r="BL44" s="95" t="str">
        <f>IFERROR(__xludf.DUMMYFUNCTION("""COMPUTED_VALUE"""),"A Saya suka belajar saya teratur dan ada waktu-waktu tertentu untuk belajar.")</f>
        <v>A Saya suka belajar saya teratur dan ada waktu-waktu tertentu untuk belajar.</v>
      </c>
      <c r="BM44" s="95" t="str">
        <f>IFERROR(__xludf.DUMMYFUNCTION("""COMPUTED_VALUE"""),"A Saya suka melakukan pekerjaan sebaik mungkin.")</f>
        <v>A Saya suka melakukan pekerjaan sebaik mungkin.</v>
      </c>
      <c r="BN44" s="95" t="str">
        <f>IFERROR(__xludf.DUMMYFUNCTION("""COMPUTED_VALUE"""),"B Saya ingin teman-teman memberi dorongan bila saya menghadapi kegagalan.")</f>
        <v>B Saya ingin teman-teman memberi dorongan bila saya menghadapi kegagalan.</v>
      </c>
      <c r="BO44" s="95" t="str">
        <f>IFERROR(__xludf.DUMMYFUNCTION("""COMPUTED_VALUE"""),"B Saya ingin diperlakukan dengan baik oleh teman-teman saya.")</f>
        <v>B Saya ingin diperlakukan dengan baik oleh teman-teman saya.</v>
      </c>
      <c r="BP44" s="95" t="str">
        <f>IFERROR(__xludf.DUMMYFUNCTION("""COMPUTED_VALUE"""),"A Saya ingin menyelesaikan sesuatu yang sangat penting artinya.")</f>
        <v>A Saya ingin menyelesaikan sesuatu yang sangat penting artinya.</v>
      </c>
      <c r="BQ44" s="95" t="str">
        <f>IFERROR(__xludf.DUMMYFUNCTION("""COMPUTED_VALUE"""),"A Saya ingin mengerjakannya tugas sampai selesai.")</f>
        <v>A Saya ingin mengerjakannya tugas sampai selesai.</v>
      </c>
      <c r="BR44" s="95" t="str">
        <f>IFERROR(__xludf.DUMMYFUNCTION("""COMPUTED_VALUE"""),"A Saya suka memaafkan teman-teman saya yang menyakiti hati saya.")</f>
        <v>A Saya suka memaafkan teman-teman saya yang menyakiti hati saya.</v>
      </c>
      <c r="BS44" s="95" t="str">
        <f>IFERROR(__xludf.DUMMYFUNCTION("""COMPUTED_VALUE"""),"A Saya suka menghindar dari tanggung jawab yang tidak saya inginkan.")</f>
        <v>A Saya suka menghindar dari tanggung jawab yang tidak saya inginkan.</v>
      </c>
      <c r="BT44" s="95" t="str">
        <f>IFERROR(__xludf.DUMMYFUNCTION("""COMPUTED_VALUE"""),"A Saya ingin teman-teman saya merasa kasihan pada saya apabila saya sakit.")</f>
        <v>A Saya ingin teman-teman saya merasa kasihan pada saya apabila saya sakit.</v>
      </c>
      <c r="BU44" s="95" t="str">
        <f>IFERROR(__xludf.DUMMYFUNCTION("""COMPUTED_VALUE"""),"A Saya kadang-kadang suka melakukan hal-hal yang dapat dipuji oleh orang lain.")</f>
        <v>A Saya kadang-kadang suka melakukan hal-hal yang dapat dipuji oleh orang lain.</v>
      </c>
      <c r="BV44" s="95" t="str">
        <f>IFERROR(__xludf.DUMMYFUNCTION("""COMPUTED_VALUE"""),"B Saya ingin teman-teman dengan gembira memberikan pertolongan kepada saya.")</f>
        <v>B Saya ingin teman-teman dengan gembira memberikan pertolongan kepada saya.</v>
      </c>
      <c r="BW44" s="95" t="str">
        <f>IFERROR(__xludf.DUMMYFUNCTION("""COMPUTED_VALUE"""),"B Saya ingin diperlakukan dengan baik oleh teman-teman saya.")</f>
        <v>B Saya ingin diperlakukan dengan baik oleh teman-teman saya.</v>
      </c>
      <c r="BX44" s="95" t="str">
        <f>IFERROR(__xludf.DUMMYFUNCTION("""COMPUTED_VALUE"""),"B Saya kadang-kadang suka melakukan hal-hal yang dapat dipuji oleh orang lain.")</f>
        <v>B Saya kadang-kadang suka melakukan hal-hal yang dapat dipuji oleh orang lain.</v>
      </c>
      <c r="BY44" s="95" t="str">
        <f>IFERROR(__xludf.DUMMYFUNCTION("""COMPUTED_VALUE"""),"B Saya ingin orang lain memperhatikan dan berkomentar tentang penampilan saya.")</f>
        <v>B Saya ingin orang lain memperhatikan dan berkomentar tentang penampilan saya.</v>
      </c>
      <c r="BZ44" s="95" t="str">
        <f>IFERROR(__xludf.DUMMYFUNCTION("""COMPUTED_VALUE"""),"A Saya suka berkata yang artinya sulit dipahami oleh orang lain.")</f>
        <v>A Saya suka berkata yang artinya sulit dipahami oleh orang lain.</v>
      </c>
      <c r="CA44" s="95" t="str">
        <f>IFERROR(__xludf.DUMMYFUNCTION("""COMPUTED_VALUE"""),"A Saya ingin teman-teman dengan gembira memberikan pertolongan kepada saya.")</f>
        <v>A Saya ingin teman-teman dengan gembira memberikan pertolongan kepada saya.</v>
      </c>
      <c r="CB44" s="95" t="str">
        <f>IFERROR(__xludf.DUMMYFUNCTION("""COMPUTED_VALUE"""),"B Saya suka berbicara tentang hal-hal yang telah saya capai.")</f>
        <v>B Saya suka berbicara tentang hal-hal yang telah saya capai.</v>
      </c>
      <c r="CC44" s="95" t="str">
        <f>IFERROR(__xludf.DUMMYFUNCTION("""COMPUTED_VALUE"""),"A Apabila saya berkumpul dalam kelompok, saya ingin dihargai teman-teman.")</f>
        <v>A Apabila saya berkumpul dalam kelompok, saya ingin dihargai teman-teman.</v>
      </c>
      <c r="CD44" s="95" t="str">
        <f>IFERROR(__xludf.DUMMYFUNCTION("""COMPUTED_VALUE"""),"A Saya suka menyelesaikan setiap tugas meskipun membutuhkan waktu lama.")</f>
        <v>A Saya suka menyelesaikan setiap tugas meskipun membutuhkan waktu lama.</v>
      </c>
      <c r="CE44" s="95" t="str">
        <f>IFERROR(__xludf.DUMMYFUNCTION("""COMPUTED_VALUE"""),"B Saya kadang-kadang suka melakukan hal-hal yang dapat dipuji oleh orang lain.")</f>
        <v>B Saya kadang-kadang suka melakukan hal-hal yang dapat dipuji oleh orang lain.</v>
      </c>
      <c r="CF44" s="95" t="str">
        <f>IFERROR(__xludf.DUMMYFUNCTION("""COMPUTED_VALUE"""),"A Saya ingin agar hidup saya teratur sesuai cita-cita saya.")</f>
        <v>A Saya ingin agar hidup saya teratur sesuai cita-cita saya.</v>
      </c>
      <c r="CG44" s="95" t="str">
        <f>IFERROR(__xludf.DUMMYFUNCTION("""COMPUTED_VALUE"""),"A Saya ingin berhasil dalam apa yang saya lakukan.")</f>
        <v>A Saya ingin berhasil dalam apa yang saya lakukan.</v>
      </c>
      <c r="CH44" s="95" t="str">
        <f>IFERROR(__xludf.DUMMYFUNCTION("""COMPUTED_VALUE"""),"A Saya ingin bisa melakukan dengan baik sesuatu pekerjaan sulit.")</f>
        <v>A Saya ingin bisa melakukan dengan baik sesuatu pekerjaan sulit.</v>
      </c>
      <c r="CI44" s="95" t="str">
        <f>IFERROR(__xludf.DUMMYFUNCTION("""COMPUTED_VALUE"""),"A Saya suka belajar saya teratur dan ada waktu-waktu tertentu untuk belajar.")</f>
        <v>A Saya suka belajar saya teratur dan ada waktu-waktu tertentu untuk belajar.</v>
      </c>
      <c r="CJ44" s="95" t="str">
        <f>IFERROR(__xludf.DUMMYFUNCTION("""COMPUTED_VALUE"""),"A Saya ingin tidak tergantung dari orang lain terhadap apa yang akan saya lakukan.")</f>
        <v>A Saya ingin tidak tergantung dari orang lain terhadap apa yang akan saya lakukan.</v>
      </c>
      <c r="CK44" s="95" t="str">
        <f>IFERROR(__xludf.DUMMYFUNCTION("""COMPUTED_VALUE"""),"A Saya suka bertahan menghadapi satu masalah, meskipun belum tentu berhasil.")</f>
        <v>A Saya suka bertahan menghadapi satu masalah, meskipun belum tentu berhasil.</v>
      </c>
      <c r="CL44" s="95" t="str">
        <f>IFERROR(__xludf.DUMMYFUNCTION("""COMPUTED_VALUE"""),"A Saya suka menolong teman-teman saya, apabila mereka dalam kesulitan.")</f>
        <v>A Saya suka menolong teman-teman saya, apabila mereka dalam kesulitan.</v>
      </c>
      <c r="CM44" s="95" t="str">
        <f>IFERROR(__xludf.DUMMYFUNCTION("""COMPUTED_VALUE"""),"B Saya merasa kagum pada seseorang.")</f>
        <v>B Saya merasa kagum pada seseorang.</v>
      </c>
      <c r="CN44" s="95" t="str">
        <f>IFERROR(__xludf.DUMMYFUNCTION("""COMPUTED_VALUE"""),"A Saya ingin diperlakukan dengan baik oleh teman-teman saya.")</f>
        <v>A Saya ingin diperlakukan dengan baik oleh teman-teman saya.</v>
      </c>
      <c r="CO44" s="95" t="str">
        <f>IFERROR(__xludf.DUMMYFUNCTION("""COMPUTED_VALUE"""),"B Saya suka memuji orang yang saya kagumi.")</f>
        <v>B Saya suka memuji orang yang saya kagumi.</v>
      </c>
      <c r="CP44" s="95" t="str">
        <f>IFERROR(__xludf.DUMMYFUNCTION("""COMPUTED_VALUE"""),"A Saya suka melamun atau membayangkan sesuatu sendirian.")</f>
        <v>A Saya suka melamun atau membayangkan sesuatu sendirian.</v>
      </c>
      <c r="CQ44" s="95" t="str">
        <f>IFERROR(__xludf.DUMMYFUNCTION("""COMPUTED_VALUE"""),"B Saya merasa kagum pada seseorang.")</f>
        <v>B Saya merasa kagum pada seseorang.</v>
      </c>
      <c r="CR44" s="95" t="str">
        <f>IFERROR(__xludf.DUMMYFUNCTION("""COMPUTED_VALUE"""),"B Saya rasanya ingin mengecam seseorang bila orang itu menjengkelkan.")</f>
        <v>B Saya rasanya ingin mengecam seseorang bila orang itu menjengkelkan.</v>
      </c>
      <c r="CS44" s="95" t="str">
        <f>IFERROR(__xludf.DUMMYFUNCTION("""COMPUTED_VALUE"""),"A Saya ingin terlihat menarik di depan teman-teman saya.")</f>
        <v>A Saya ingin terlihat menarik di depan teman-teman saya.</v>
      </c>
      <c r="CT44" s="95" t="str">
        <f>IFERROR(__xludf.DUMMYFUNCTION("""COMPUTED_VALUE"""),"B Saya saat marah rasanya ingin melemparkan dan merusak barang-barang.")</f>
        <v>B Saya saat marah rasanya ingin melemparkan dan merusak barang-barang.</v>
      </c>
      <c r="CU44" s="95" t="str">
        <f>IFERROR(__xludf.DUMMYFUNCTION("""COMPUTED_VALUE"""),"A Saya ingin diperlakukan dengan ramah oleh teman-teman saya.")</f>
        <v>A Saya ingin diperlakukan dengan ramah oleh teman-teman saya.</v>
      </c>
      <c r="CV44" s="95" t="str">
        <f>IFERROR(__xludf.DUMMYFUNCTION("""COMPUTED_VALUE"""),"A Saya ingin ditunjuk atau dipilih sebagai ketua dalam suatu kelompok.")</f>
        <v>A Saya ingin ditunjuk atau dipilih sebagai ketua dalam suatu kelompok.</v>
      </c>
      <c r="CW44" s="95" t="str">
        <f>IFERROR(__xludf.DUMMYFUNCTION("""COMPUTED_VALUE"""),"B Saya mengatakan kepada orang lain bagaimana pendapat saya terhadap mereka.")</f>
        <v>B Saya mengatakan kepada orang lain bagaimana pendapat saya terhadap mereka.</v>
      </c>
      <c r="CX44" s="95" t="str">
        <f>IFERROR(__xludf.DUMMYFUNCTION("""COMPUTED_VALUE"""),"A Saya suka belajar sampai malam untuk menyelesaikan suatu tugas.")</f>
        <v>A Saya suka belajar sampai malam untuk menyelesaikan suatu tugas.</v>
      </c>
      <c r="CY44" s="95" t="str">
        <f>IFERROR(__xludf.DUMMYFUNCTION("""COMPUTED_VALUE"""),"A Saya ingin tidak tergantung dari orang lain terhadap apa yang akan saya lakukan.")</f>
        <v>A Saya ingin tidak tergantung dari orang lain terhadap apa yang akan saya lakukan.</v>
      </c>
      <c r="CZ44" s="95" t="str">
        <f>IFERROR(__xludf.DUMMYFUNCTION("""COMPUTED_VALUE"""),"A Saya suka merencanakan dan mengatur setiap pekerjaan yang harus saya lakukan.")</f>
        <v>A Saya suka merencanakan dan mengatur setiap pekerjaan yang harus saya lakukan.</v>
      </c>
      <c r="DA44" s="95" t="str">
        <f>IFERROR(__xludf.DUMMYFUNCTION("""COMPUTED_VALUE"""),"A Saya ingin melakukan apa saja sebaik mungkin.")</f>
        <v>A Saya ingin melakukan apa saja sebaik mungkin.</v>
      </c>
      <c r="DB44" s="89" t="s">
        <v>23</v>
      </c>
      <c r="DC44" s="97" t="str">
        <f t="shared" ref="DC44:GX44" si="89">LEFT(F44,1)</f>
        <v>B</v>
      </c>
      <c r="DD44" s="97" t="str">
        <f t="shared" si="89"/>
        <v>A</v>
      </c>
      <c r="DE44" s="97" t="str">
        <f t="shared" si="89"/>
        <v>A</v>
      </c>
      <c r="DF44" s="97" t="str">
        <f t="shared" si="89"/>
        <v>B</v>
      </c>
      <c r="DG44" s="97" t="str">
        <f t="shared" si="89"/>
        <v>A</v>
      </c>
      <c r="DH44" s="97" t="str">
        <f t="shared" si="89"/>
        <v>B</v>
      </c>
      <c r="DI44" s="97" t="str">
        <f t="shared" si="89"/>
        <v>B</v>
      </c>
      <c r="DJ44" s="97" t="str">
        <f t="shared" si="89"/>
        <v>B</v>
      </c>
      <c r="DK44" s="97" t="str">
        <f t="shared" si="89"/>
        <v>A</v>
      </c>
      <c r="DL44" s="97" t="str">
        <f t="shared" si="89"/>
        <v>B</v>
      </c>
      <c r="DM44" s="97" t="str">
        <f t="shared" si="89"/>
        <v>B</v>
      </c>
      <c r="DN44" s="97" t="str">
        <f t="shared" si="89"/>
        <v>B</v>
      </c>
      <c r="DO44" s="97" t="str">
        <f t="shared" si="89"/>
        <v>B</v>
      </c>
      <c r="DP44" s="97" t="str">
        <f t="shared" si="89"/>
        <v>B</v>
      </c>
      <c r="DQ44" s="97" t="str">
        <f t="shared" si="89"/>
        <v>B</v>
      </c>
      <c r="DR44" s="97" t="str">
        <f t="shared" si="89"/>
        <v>B</v>
      </c>
      <c r="DS44" s="97" t="str">
        <f t="shared" si="89"/>
        <v>A</v>
      </c>
      <c r="DT44" s="97" t="str">
        <f t="shared" si="89"/>
        <v>B</v>
      </c>
      <c r="DU44" s="97" t="str">
        <f t="shared" si="89"/>
        <v>B</v>
      </c>
      <c r="DV44" s="97" t="str">
        <f t="shared" si="89"/>
        <v>A</v>
      </c>
      <c r="DW44" s="97" t="str">
        <f t="shared" si="89"/>
        <v>A</v>
      </c>
      <c r="DX44" s="97" t="str">
        <f t="shared" si="89"/>
        <v>A</v>
      </c>
      <c r="DY44" s="97" t="str">
        <f t="shared" si="89"/>
        <v>B</v>
      </c>
      <c r="DZ44" s="97" t="str">
        <f t="shared" si="89"/>
        <v>B</v>
      </c>
      <c r="EA44" s="97" t="str">
        <f t="shared" si="89"/>
        <v>B</v>
      </c>
      <c r="EB44" s="97" t="str">
        <f t="shared" si="89"/>
        <v>A</v>
      </c>
      <c r="EC44" s="97" t="str">
        <f t="shared" si="89"/>
        <v>B</v>
      </c>
      <c r="ED44" s="97" t="str">
        <f t="shared" si="89"/>
        <v>A</v>
      </c>
      <c r="EE44" s="97" t="str">
        <f t="shared" si="89"/>
        <v>B</v>
      </c>
      <c r="EF44" s="97" t="str">
        <f t="shared" si="89"/>
        <v>B</v>
      </c>
      <c r="EG44" s="97" t="str">
        <f t="shared" si="89"/>
        <v>B</v>
      </c>
      <c r="EH44" s="97" t="str">
        <f t="shared" si="89"/>
        <v>B</v>
      </c>
      <c r="EI44" s="97" t="str">
        <f t="shared" si="89"/>
        <v>B</v>
      </c>
      <c r="EJ44" s="97" t="str">
        <f t="shared" si="89"/>
        <v>B</v>
      </c>
      <c r="EK44" s="97" t="str">
        <f t="shared" si="89"/>
        <v>A</v>
      </c>
      <c r="EL44" s="97" t="str">
        <f t="shared" si="89"/>
        <v>B</v>
      </c>
      <c r="EM44" s="97" t="str">
        <f t="shared" si="89"/>
        <v>A</v>
      </c>
      <c r="EN44" s="97" t="str">
        <f t="shared" si="89"/>
        <v>B</v>
      </c>
      <c r="EO44" s="97" t="str">
        <f t="shared" si="89"/>
        <v>A</v>
      </c>
      <c r="EP44" s="97" t="str">
        <f t="shared" si="89"/>
        <v>B</v>
      </c>
      <c r="EQ44" s="97" t="str">
        <f t="shared" si="89"/>
        <v>A</v>
      </c>
      <c r="ER44" s="97" t="str">
        <f t="shared" si="89"/>
        <v>A</v>
      </c>
      <c r="ES44" s="97" t="str">
        <f t="shared" si="89"/>
        <v>B</v>
      </c>
      <c r="ET44" s="97" t="str">
        <f t="shared" si="89"/>
        <v>A</v>
      </c>
      <c r="EU44" s="97" t="str">
        <f t="shared" si="89"/>
        <v>B</v>
      </c>
      <c r="EV44" s="97" t="str">
        <f t="shared" si="89"/>
        <v>B</v>
      </c>
      <c r="EW44" s="97" t="str">
        <f t="shared" si="89"/>
        <v>A</v>
      </c>
      <c r="EX44" s="97" t="str">
        <f t="shared" si="89"/>
        <v>A</v>
      </c>
      <c r="EY44" s="97" t="str">
        <f t="shared" si="89"/>
        <v>B</v>
      </c>
      <c r="EZ44" s="97" t="str">
        <f t="shared" si="89"/>
        <v>B</v>
      </c>
      <c r="FA44" s="97" t="str">
        <f t="shared" si="89"/>
        <v>B</v>
      </c>
      <c r="FB44" s="97" t="str">
        <f t="shared" si="89"/>
        <v>B</v>
      </c>
      <c r="FC44" s="97" t="str">
        <f t="shared" si="89"/>
        <v>B</v>
      </c>
      <c r="FD44" s="97" t="str">
        <f t="shared" si="89"/>
        <v>A</v>
      </c>
      <c r="FE44" s="97" t="str">
        <f t="shared" si="89"/>
        <v>A</v>
      </c>
      <c r="FF44" s="97" t="str">
        <f t="shared" si="89"/>
        <v>A</v>
      </c>
      <c r="FG44" s="97" t="str">
        <f t="shared" si="89"/>
        <v>A</v>
      </c>
      <c r="FH44" s="97" t="str">
        <f t="shared" si="89"/>
        <v>A</v>
      </c>
      <c r="FI44" s="97" t="str">
        <f t="shared" si="89"/>
        <v>A</v>
      </c>
      <c r="FJ44" s="97" t="str">
        <f t="shared" si="89"/>
        <v>A</v>
      </c>
      <c r="FK44" s="97" t="str">
        <f t="shared" si="89"/>
        <v>B</v>
      </c>
      <c r="FL44" s="97" t="str">
        <f t="shared" si="89"/>
        <v>B</v>
      </c>
      <c r="FM44" s="97" t="str">
        <f t="shared" si="89"/>
        <v>A</v>
      </c>
      <c r="FN44" s="97" t="str">
        <f t="shared" si="89"/>
        <v>A</v>
      </c>
      <c r="FO44" s="97" t="str">
        <f t="shared" si="89"/>
        <v>A</v>
      </c>
      <c r="FP44" s="97" t="str">
        <f t="shared" si="89"/>
        <v>A</v>
      </c>
      <c r="FQ44" s="97" t="str">
        <f t="shared" si="89"/>
        <v>A</v>
      </c>
      <c r="FR44" s="97" t="str">
        <f t="shared" si="89"/>
        <v>A</v>
      </c>
      <c r="FS44" s="97" t="str">
        <f t="shared" si="89"/>
        <v>B</v>
      </c>
      <c r="FT44" s="97" t="str">
        <f t="shared" si="89"/>
        <v>B</v>
      </c>
      <c r="FU44" s="97" t="str">
        <f t="shared" si="89"/>
        <v>B</v>
      </c>
      <c r="FV44" s="97" t="str">
        <f t="shared" si="89"/>
        <v>B</v>
      </c>
      <c r="FW44" s="97" t="str">
        <f t="shared" si="89"/>
        <v>A</v>
      </c>
      <c r="FX44" s="97" t="str">
        <f t="shared" si="89"/>
        <v>A</v>
      </c>
      <c r="FY44" s="97" t="str">
        <f t="shared" si="89"/>
        <v>B</v>
      </c>
      <c r="FZ44" s="97" t="str">
        <f t="shared" si="89"/>
        <v>A</v>
      </c>
      <c r="GA44" s="97" t="str">
        <f t="shared" si="89"/>
        <v>A</v>
      </c>
      <c r="GB44" s="97" t="str">
        <f t="shared" si="89"/>
        <v>B</v>
      </c>
      <c r="GC44" s="97" t="str">
        <f t="shared" si="89"/>
        <v>A</v>
      </c>
      <c r="GD44" s="97" t="str">
        <f t="shared" si="89"/>
        <v>A</v>
      </c>
      <c r="GE44" s="97" t="str">
        <f t="shared" si="89"/>
        <v>A</v>
      </c>
      <c r="GF44" s="97" t="str">
        <f t="shared" si="89"/>
        <v>A</v>
      </c>
      <c r="GG44" s="97" t="str">
        <f t="shared" si="89"/>
        <v>A</v>
      </c>
      <c r="GH44" s="97" t="str">
        <f t="shared" si="89"/>
        <v>A</v>
      </c>
      <c r="GI44" s="97" t="str">
        <f t="shared" si="89"/>
        <v>A</v>
      </c>
      <c r="GJ44" s="97" t="str">
        <f t="shared" si="89"/>
        <v>B</v>
      </c>
      <c r="GK44" s="97" t="str">
        <f t="shared" si="89"/>
        <v>A</v>
      </c>
      <c r="GL44" s="97" t="str">
        <f t="shared" si="89"/>
        <v>B</v>
      </c>
      <c r="GM44" s="97" t="str">
        <f t="shared" si="89"/>
        <v>A</v>
      </c>
      <c r="GN44" s="97" t="str">
        <f t="shared" si="89"/>
        <v>B</v>
      </c>
      <c r="GO44" s="97" t="str">
        <f t="shared" si="89"/>
        <v>B</v>
      </c>
      <c r="GP44" s="97" t="str">
        <f t="shared" si="89"/>
        <v>A</v>
      </c>
      <c r="GQ44" s="97" t="str">
        <f t="shared" si="89"/>
        <v>B</v>
      </c>
      <c r="GR44" s="97" t="str">
        <f t="shared" si="89"/>
        <v>A</v>
      </c>
      <c r="GS44" s="97" t="str">
        <f t="shared" si="89"/>
        <v>A</v>
      </c>
      <c r="GT44" s="97" t="str">
        <f t="shared" si="89"/>
        <v>B</v>
      </c>
      <c r="GU44" s="97" t="str">
        <f t="shared" si="89"/>
        <v>A</v>
      </c>
      <c r="GV44" s="97" t="str">
        <f t="shared" si="89"/>
        <v>A</v>
      </c>
      <c r="GW44" s="97" t="str">
        <f t="shared" si="89"/>
        <v>A</v>
      </c>
      <c r="GX44" s="97" t="str">
        <f t="shared" si="89"/>
        <v>A</v>
      </c>
      <c r="GY44" s="98"/>
      <c r="GZ44" s="97">
        <f t="shared" si="3"/>
        <v>51</v>
      </c>
      <c r="HA44" s="97">
        <f t="shared" si="4"/>
        <v>49</v>
      </c>
      <c r="HB44" s="90">
        <f t="shared" si="5"/>
        <v>100</v>
      </c>
      <c r="HC44" s="99"/>
      <c r="HD44" s="97">
        <f t="shared" si="6"/>
        <v>7</v>
      </c>
      <c r="HE44" s="97">
        <f t="shared" si="7"/>
        <v>5</v>
      </c>
      <c r="HF44" s="90">
        <f t="shared" si="8"/>
        <v>12</v>
      </c>
      <c r="HG44" s="99"/>
      <c r="HH44" s="97">
        <f t="shared" si="9"/>
        <v>8</v>
      </c>
      <c r="HI44" s="97">
        <f t="shared" si="10"/>
        <v>8</v>
      </c>
      <c r="HJ44" s="90">
        <f t="shared" si="11"/>
        <v>16</v>
      </c>
      <c r="HK44" s="99"/>
      <c r="HL44" s="97">
        <f t="shared" si="12"/>
        <v>5</v>
      </c>
      <c r="HM44" s="97">
        <f t="shared" si="13"/>
        <v>6</v>
      </c>
      <c r="HN44" s="90">
        <f t="shared" si="14"/>
        <v>11</v>
      </c>
      <c r="HO44" s="99"/>
      <c r="HP44" s="97">
        <f t="shared" si="15"/>
        <v>7</v>
      </c>
      <c r="HQ44" s="97">
        <f t="shared" si="16"/>
        <v>7</v>
      </c>
      <c r="HR44" s="90">
        <f t="shared" si="17"/>
        <v>14</v>
      </c>
      <c r="HS44" s="99"/>
      <c r="HT44" s="97">
        <f t="shared" si="18"/>
        <v>5</v>
      </c>
      <c r="HU44" s="97">
        <f t="shared" si="19"/>
        <v>5</v>
      </c>
      <c r="HV44" s="90">
        <f t="shared" si="20"/>
        <v>10</v>
      </c>
      <c r="HW44" s="99"/>
      <c r="HX44" s="97">
        <f t="shared" si="21"/>
        <v>4</v>
      </c>
      <c r="HY44" s="97">
        <f t="shared" si="22"/>
        <v>3</v>
      </c>
      <c r="HZ44" s="90">
        <f t="shared" si="23"/>
        <v>7</v>
      </c>
      <c r="IA44" s="99"/>
      <c r="IB44" s="97">
        <f t="shared" si="24"/>
        <v>5</v>
      </c>
      <c r="IC44" s="97">
        <f t="shared" si="25"/>
        <v>4</v>
      </c>
      <c r="ID44" s="90">
        <f t="shared" si="26"/>
        <v>9</v>
      </c>
      <c r="IE44" s="99"/>
      <c r="IF44" s="97">
        <f t="shared" si="27"/>
        <v>3</v>
      </c>
      <c r="IG44" s="97">
        <f t="shared" si="28"/>
        <v>4</v>
      </c>
      <c r="IH44" s="90">
        <f t="shared" si="29"/>
        <v>7</v>
      </c>
      <c r="II44" s="99"/>
      <c r="IJ44" s="97">
        <f t="shared" si="30"/>
        <v>2</v>
      </c>
      <c r="IK44" s="97">
        <f t="shared" si="31"/>
        <v>3</v>
      </c>
      <c r="IL44" s="90">
        <f t="shared" si="32"/>
        <v>5</v>
      </c>
      <c r="IM44" s="99"/>
      <c r="IN44" s="97">
        <f t="shared" si="33"/>
        <v>0</v>
      </c>
      <c r="IO44" s="97">
        <f t="shared" si="34"/>
        <v>3</v>
      </c>
      <c r="IP44" s="90">
        <f t="shared" si="35"/>
        <v>3</v>
      </c>
      <c r="IQ44" s="99"/>
      <c r="IR44" s="99"/>
      <c r="IS44" s="100">
        <f t="shared" si="36"/>
        <v>12</v>
      </c>
      <c r="IT44" s="100">
        <f t="shared" si="37"/>
        <v>16</v>
      </c>
      <c r="IU44" s="100">
        <f t="shared" si="38"/>
        <v>11</v>
      </c>
      <c r="IV44" s="100">
        <f t="shared" si="39"/>
        <v>14</v>
      </c>
      <c r="IW44" s="100">
        <f t="shared" si="40"/>
        <v>10</v>
      </c>
      <c r="IX44" s="100">
        <f t="shared" si="41"/>
        <v>7</v>
      </c>
      <c r="IY44" s="100">
        <f t="shared" si="42"/>
        <v>9</v>
      </c>
      <c r="IZ44" s="100">
        <f t="shared" si="43"/>
        <v>7</v>
      </c>
      <c r="JA44" s="100">
        <f t="shared" si="44"/>
        <v>5</v>
      </c>
      <c r="JB44" s="101">
        <f t="shared" si="45"/>
        <v>3</v>
      </c>
      <c r="JC44" s="102">
        <f t="shared" si="46"/>
        <v>94</v>
      </c>
      <c r="JD44" s="67">
        <f t="shared" si="50"/>
        <v>0</v>
      </c>
      <c r="JE44" s="67">
        <f t="shared" si="47"/>
        <v>0</v>
      </c>
      <c r="JF44" s="67">
        <f t="shared" si="48"/>
        <v>0</v>
      </c>
    </row>
    <row r="45">
      <c r="A45" s="103">
        <f>IFERROR(__xludf.DUMMYFUNCTION("""COMPUTED_VALUE"""),45927.71364901621)</f>
        <v>45927.71365</v>
      </c>
      <c r="B45" s="95" t="str">
        <f>IFERROR(__xludf.DUMMYFUNCTION("""COMPUTED_VALUE"""),"M. Rezza Putra Darma")</f>
        <v>M. Rezza Putra Darma</v>
      </c>
      <c r="C45" s="96" t="str">
        <f>IFERROR(__xludf.DUMMYFUNCTION("""COMPUTED_VALUE"""),"A250038")</f>
        <v>A250038</v>
      </c>
      <c r="D45" s="96" t="str">
        <f>IFERROR(__xludf.DUMMYFUNCTION("""COMPUTED_VALUE"""),"MTs Putra")</f>
        <v>MTs Putra</v>
      </c>
      <c r="E45" s="96" t="str">
        <f>IFERROR(__xludf.DUMMYFUNCTION("""COMPUTED_VALUE"""),"Ya")</f>
        <v>Ya</v>
      </c>
      <c r="F45" s="95" t="str">
        <f>IFERROR(__xludf.DUMMYFUNCTION("""COMPUTED_VALUE"""),"B Saya ingin melakukan apa saja sebaik mungkin.")</f>
        <v>B Saya ingin melakukan apa saja sebaik mungkin.</v>
      </c>
      <c r="G45" s="95" t="str">
        <f>IFERROR(__xludf.DUMMYFUNCTION("""COMPUTED_VALUE"""),"A Saya ingin setiap tulisan saya teliti, rapi, dan tersusun dengan baik.")</f>
        <v>A Saya ingin setiap tulisan saya teliti, rapi, dan tersusun dengan baik.</v>
      </c>
      <c r="H45" s="95" t="str">
        <f>IFERROR(__xludf.DUMMYFUNCTION("""COMPUTED_VALUE"""),"B Saya ingin menjadi orang yang diakui dalam suatu pekerjaan atau bidang khusus.")</f>
        <v>B Saya ingin menjadi orang yang diakui dalam suatu pekerjaan atau bidang khusus.</v>
      </c>
      <c r="I45" s="95" t="str">
        <f>IFERROR(__xludf.DUMMYFUNCTION("""COMPUTED_VALUE"""),"B Saya ingin bisa melakukan dengan baik meskipun tugas yang sulit.")</f>
        <v>B Saya ingin bisa melakukan dengan baik meskipun tugas yang sulit.</v>
      </c>
      <c r="J45" s="95" t="str">
        <f>IFERROR(__xludf.DUMMYFUNCTION("""COMPUTED_VALUE"""),"A Saya suka membantu teman-teman saya apabila mereka mengalami kesulitan.")</f>
        <v>A Saya suka membantu teman-teman saya apabila mereka mengalami kesulitan.</v>
      </c>
      <c r="K45" s="95" t="str">
        <f>IFERROR(__xludf.DUMMYFUNCTION("""COMPUTED_VALUE"""),"B Saya ingin mengatakan telah melakukan dengan baik sesuatu tugas yang sulit.")</f>
        <v>B Saya ingin mengatakan telah melakukan dengan baik sesuatu tugas yang sulit.</v>
      </c>
      <c r="L45" s="95" t="str">
        <f>IFERROR(__xludf.DUMMYFUNCTION("""COMPUTED_VALUE"""),"A Saya ingin menjadi pemimpin dalam suatu kelompok")</f>
        <v>A Saya ingin menjadi pemimpin dalam suatu kelompok</v>
      </c>
      <c r="M45" s="95" t="str">
        <f>IFERROR(__xludf.DUMMYFUNCTION("""COMPUTED_VALUE"""),"B Saya ingin mengerjakan segala tugas lebih baik daripada orang lain.")</f>
        <v>B Saya ingin mengerjakan segala tugas lebih baik daripada orang lain.</v>
      </c>
      <c r="N45" s="95" t="str">
        <f>IFERROR(__xludf.DUMMYFUNCTION("""COMPUTED_VALUE"""),"B Saya suka memecahkan persoalan yang sukar bagi orang lain.")</f>
        <v>B Saya suka memecahkan persoalan yang sukar bagi orang lain.</v>
      </c>
      <c r="O45" s="95" t="str">
        <f>IFERROR(__xludf.DUMMYFUNCTION("""COMPUTED_VALUE"""),"B Saya suka melakukan tugas sebaik mungkin.")</f>
        <v>B Saya suka melakukan tugas sebaik mungkin.</v>
      </c>
      <c r="P45" s="95" t="str">
        <f>IFERROR(__xludf.DUMMYFUNCTION("""COMPUTED_VALUE"""),"B Saya ingin setiap belajar itu teratur dan direncanakan.")</f>
        <v>B Saya ingin setiap belajar itu teratur dan direncanakan.</v>
      </c>
      <c r="Q45" s="95" t="str">
        <f>IFERROR(__xludf.DUMMYFUNCTION("""COMPUTED_VALUE"""),"B Saya merencanakan keperluan yang dibutuhkan sebelum bepergian.")</f>
        <v>B Saya merencanakan keperluan yang dibutuhkan sebelum bepergian.</v>
      </c>
      <c r="R45" s="95" t="str">
        <f>IFERROR(__xludf.DUMMYFUNCTION("""COMPUTED_VALUE"""),"A Saya ingin orang-orang memperhatikan penampilan saya.")</f>
        <v>A Saya ingin orang-orang memperhatikan penampilan saya.</v>
      </c>
      <c r="S45" s="95" t="str">
        <f>IFERROR(__xludf.DUMMYFUNCTION("""COMPUTED_VALUE"""),"A Saya ingin agar teman-teman pengertian bila saya mengalami kesukaran.")</f>
        <v>A Saya ingin agar teman-teman pengertian bila saya mengalami kesukaran.</v>
      </c>
      <c r="T45" s="95" t="str">
        <f>IFERROR(__xludf.DUMMYFUNCTION("""COMPUTED_VALUE"""),"B Saya ingin agar hidup saya teratur sesuai cita-cita saya.")</f>
        <v>B Saya ingin agar hidup saya teratur sesuai cita-cita saya.</v>
      </c>
      <c r="U45" s="95" t="str">
        <f>IFERROR(__xludf.DUMMYFUNCTION("""COMPUTED_VALUE"""),"A Saya suka memberikan bantuan kepada teman-teman saya.")</f>
        <v>A Saya suka memberikan bantuan kepada teman-teman saya.</v>
      </c>
      <c r="V45" s="95" t="str">
        <f>IFERROR(__xludf.DUMMYFUNCTION("""COMPUTED_VALUE"""),"B Saya suka belajar saya teratur dan ada waktu-waktu tertentu untuk belajar.")</f>
        <v>B Saya suka belajar saya teratur dan ada waktu-waktu tertentu untuk belajar.</v>
      </c>
      <c r="W45" s="95" t="str">
        <f>IFERROR(__xludf.DUMMYFUNCTION("""COMPUTED_VALUE"""),"B Saya ingin kegiatan itu teratur dan direncanakan.")</f>
        <v>B Saya ingin kegiatan itu teratur dan direncanakan.</v>
      </c>
      <c r="X45" s="95" t="str">
        <f>IFERROR(__xludf.DUMMYFUNCTION("""COMPUTED_VALUE"""),"A Saya suka merencanakan dan mengatur setiap apa yang harus saya lakukan.")</f>
        <v>A Saya suka merencanakan dan mengatur setiap apa yang harus saya lakukan.</v>
      </c>
      <c r="Y45" s="95" t="str">
        <f>IFERROR(__xludf.DUMMYFUNCTION("""COMPUTED_VALUE"""),"A Saya suka menyelesaikan tugas-tugas yang membutuhkan ketrampilan dan usaha.")</f>
        <v>A Saya suka menyelesaikan tugas-tugas yang membutuhkan ketrampilan dan usaha.</v>
      </c>
      <c r="Z45" s="95" t="str">
        <f>IFERROR(__xludf.DUMMYFUNCTION("""COMPUTED_VALUE"""),"A Saya ingin berhasil dengan belajar yang saya lakukan.")</f>
        <v>A Saya ingin berhasil dengan belajar yang saya lakukan.</v>
      </c>
      <c r="AA45" s="95" t="str">
        <f>IFERROR(__xludf.DUMMYFUNCTION("""COMPUTED_VALUE"""),"B Saya tidak suka pada orang yang berbuat seenaknya sendiri.")</f>
        <v>B Saya tidak suka pada orang yang berbuat seenaknya sendiri.</v>
      </c>
      <c r="AB45" s="95" t="str">
        <f>IFERROR(__xludf.DUMMYFUNCTION("""COMPUTED_VALUE"""),"B Saya ingin menyelesaikan pekerjaan satu persatu sebelum memulai yang lain.")</f>
        <v>B Saya ingin menyelesaikan pekerjaan satu persatu sebelum memulai yang lain.</v>
      </c>
      <c r="AC45" s="95" t="str">
        <f>IFERROR(__xludf.DUMMYFUNCTION("""COMPUTED_VALUE"""),"A Saya suka menyelesaikan setiap tugas meskipun membutuhkan waktu lama.")</f>
        <v>A Saya suka menyelesaikan setiap tugas meskipun membutuhkan waktu lama.</v>
      </c>
      <c r="AD45" s="95" t="str">
        <f>IFERROR(__xludf.DUMMYFUNCTION("""COMPUTED_VALUE"""),"A Saya suka bermurah hati terhadap teman-teman saya.")</f>
        <v>A Saya suka bermurah hati terhadap teman-teman saya.</v>
      </c>
      <c r="AE45" s="95" t="str">
        <f>IFERROR(__xludf.DUMMYFUNCTION("""COMPUTED_VALUE"""),"A Saya ingin dianggap sebagai pemimpin oleh teman di kelompok.")</f>
        <v>A Saya ingin dianggap sebagai pemimpin oleh teman di kelompok.</v>
      </c>
      <c r="AF45" s="95" t="str">
        <f>IFERROR(__xludf.DUMMYFUNCTION("""COMPUTED_VALUE"""),"A Saya ingin agar teman-teman mengerti bila saya mengalami kesukaran.")</f>
        <v>A Saya ingin agar teman-teman mengerti bila saya mengalami kesukaran.</v>
      </c>
      <c r="AG45" s="95" t="str">
        <f>IFERROR(__xludf.DUMMYFUNCTION("""COMPUTED_VALUE"""),"B Saya ingin berhasil dengan tugas yang saya lakukan.")</f>
        <v>B Saya ingin berhasil dengan tugas yang saya lakukan.</v>
      </c>
      <c r="AH45" s="95" t="str">
        <f>IFERROR(__xludf.DUMMYFUNCTION("""COMPUTED_VALUE"""),"B Saya ingin merasa bebas untuk melakukan apa yang saya kehendaki.")</f>
        <v>B Saya ingin merasa bebas untuk melakukan apa yang saya kehendaki.</v>
      </c>
      <c r="AI45" s="95" t="str">
        <f>IFERROR(__xludf.DUMMYFUNCTION("""COMPUTED_VALUE"""),"B Saya suka melakukan kegiatan sesuai kondisi yang saya inginkan.")</f>
        <v>B Saya suka melakukan kegiatan sesuai kondisi yang saya inginkan.</v>
      </c>
      <c r="AJ45" s="95" t="str">
        <f>IFERROR(__xludf.DUMMYFUNCTION("""COMPUTED_VALUE"""),"B Saya suka bertahan menghadapi satu masalah meskipun belum tentu berhasil.")</f>
        <v>B Saya suka bertahan menghadapi satu masalah meskipun belum tentu berhasil.</v>
      </c>
      <c r="AK45" s="95" t="str">
        <f>IFERROR(__xludf.DUMMYFUNCTION("""COMPUTED_VALUE"""),"B Bila saya harus melakukan suatu tugas, saya ingin mengerjakan sampai selesai.")</f>
        <v>B Bila saya harus melakukan suatu tugas, saya ingin mengerjakan sampai selesai.</v>
      </c>
      <c r="AL45" s="95" t="str">
        <f>IFERROR(__xludf.DUMMYFUNCTION("""COMPUTED_VALUE"""),"A Saya suka berbicara tentang hal-hal yang telah saya capai.")</f>
        <v>A Saya suka berbicara tentang hal-hal yang telah saya capai.</v>
      </c>
      <c r="AM45" s="95" t="str">
        <f>IFERROR(__xludf.DUMMYFUNCTION("""COMPUTED_VALUE"""),"B Saya suka belajar sampai malam untuk menyelesaikan suatu tugas.")</f>
        <v>B Saya suka belajar sampai malam untuk menyelesaikan suatu tugas.</v>
      </c>
      <c r="AN45" s="95" t="str">
        <f>IFERROR(__xludf.DUMMYFUNCTION("""COMPUTED_VALUE"""),"B Saya ingin bekerja berjam-jam tanpa diganggu.")</f>
        <v>B Saya ingin bekerja berjam-jam tanpa diganggu.</v>
      </c>
      <c r="AO45" s="95" t="str">
        <f>IFERROR(__xludf.DUMMYFUNCTION("""COMPUTED_VALUE"""),"A Saya suka berlaku sangat ramah terhadap teman-teman saya.")</f>
        <v>A Saya suka berlaku sangat ramah terhadap teman-teman saya.</v>
      </c>
      <c r="AP45" s="95" t="str">
        <f>IFERROR(__xludf.DUMMYFUNCTION("""COMPUTED_VALUE"""),"A Saya ingin mengerjakannya tugas sampai selesai.")</f>
        <v>A Saya ingin mengerjakannya tugas sampai selesai.</v>
      </c>
      <c r="AQ45" s="95" t="str">
        <f>IFERROR(__xludf.DUMMYFUNCTION("""COMPUTED_VALUE"""),"B Bila saya harus melakukan suatu tugas, saya ingin mengerjakan sampai selesai.")</f>
        <v>B Bila saya harus melakukan suatu tugas, saya ingin mengerjakan sampai selesai.</v>
      </c>
      <c r="AR45" s="95" t="str">
        <f>IFERROR(__xludf.DUMMYFUNCTION("""COMPUTED_VALUE"""),"B Saya suka belajar keras pada tiap pelajaran yang saya hadapi.")</f>
        <v>B Saya suka belajar keras pada tiap pelajaran yang saya hadapi.</v>
      </c>
      <c r="AS45" s="95" t="str">
        <f>IFERROR(__xludf.DUMMYFUNCTION("""COMPUTED_VALUE"""),"A Saya ingin dapat menyelesaikan persoalan yang dianggap sukar bagi orang lain.")</f>
        <v>A Saya ingin dapat menyelesaikan persoalan yang dianggap sukar bagi orang lain.</v>
      </c>
      <c r="AT45" s="95" t="str">
        <f>IFERROR(__xludf.DUMMYFUNCTION("""COMPUTED_VALUE"""),"A Saya ingin bisa melakukan dengan baik sesuatu pekerjaan sulit.")</f>
        <v>A Saya ingin bisa melakukan dengan baik sesuatu pekerjaan sulit.</v>
      </c>
      <c r="AU45" s="95" t="str">
        <f>IFERROR(__xludf.DUMMYFUNCTION("""COMPUTED_VALUE"""),"B Saya suka bermurah hati terhadap teman-teman saya.")</f>
        <v>B Saya suka bermurah hati terhadap teman-teman saya.</v>
      </c>
      <c r="AV45" s="95" t="str">
        <f>IFERROR(__xludf.DUMMYFUNCTION("""COMPUTED_VALUE"""),"B Saya suka menolong teman-teman saya.")</f>
        <v>B Saya suka menolong teman-teman saya.</v>
      </c>
      <c r="AW45" s="95" t="str">
        <f>IFERROR(__xludf.DUMMYFUNCTION("""COMPUTED_VALUE"""),"B Saya ingin teman-teman saya percaya bahwa saya bisa menolong mereka.")</f>
        <v>B Saya ingin teman-teman saya percaya bahwa saya bisa menolong mereka.</v>
      </c>
      <c r="AX45" s="95" t="str">
        <f>IFERROR(__xludf.DUMMYFUNCTION("""COMPUTED_VALUE"""),"B Saya suka memaafkan teman-teman saya yang menyakiti hati saya.")</f>
        <v>B Saya suka memaafkan teman-teman saya yang menyakiti hati saya.</v>
      </c>
      <c r="AY45" s="95" t="str">
        <f>IFERROR(__xludf.DUMMYFUNCTION("""COMPUTED_VALUE"""),"B Saya suka menolong teman-teman saya apabila mereka dalam kesulitan.")</f>
        <v>B Saya suka menolong teman-teman saya apabila mereka dalam kesulitan.</v>
      </c>
      <c r="AZ45" s="95" t="str">
        <f>IFERROR(__xludf.DUMMYFUNCTION("""COMPUTED_VALUE"""),"A Saya ingin agar teman-teman saya bersimpati dan menghibur saya bila saya sedih.")</f>
        <v>A Saya ingin agar teman-teman saya bersimpati dan menghibur saya bila saya sedih.</v>
      </c>
      <c r="BA45" s="95" t="str">
        <f>IFERROR(__xludf.DUMMYFUNCTION("""COMPUTED_VALUE"""),"B Saya suka memperlakukan orang lain dengan baik dan ramah.")</f>
        <v>B Saya suka memperlakukan orang lain dengan baik dan ramah.</v>
      </c>
      <c r="BB45" s="95" t="str">
        <f>IFERROR(__xludf.DUMMYFUNCTION("""COMPUTED_VALUE"""),"B Saya suka bermurah hati terhadap teman-teman saya.")</f>
        <v>B Saya suka bermurah hati terhadap teman-teman saya.</v>
      </c>
      <c r="BC45" s="95" t="str">
        <f>IFERROR(__xludf.DUMMYFUNCTION("""COMPUTED_VALUE"""),"B Saya suka membantu orang lain yang menurut saya perlu dikasihani.")</f>
        <v>B Saya suka membantu orang lain yang menurut saya perlu dikasihani.</v>
      </c>
      <c r="BD45" s="95" t="str">
        <f>IFERROR(__xludf.DUMMYFUNCTION("""COMPUTED_VALUE"""),"B Saya suka bersikukuh dengan pendirian saya.")</f>
        <v>B Saya suka bersikukuh dengan pendirian saya.</v>
      </c>
      <c r="BE45" s="95" t="str">
        <f>IFERROR(__xludf.DUMMYFUNCTION("""COMPUTED_VALUE"""),"B Saya ingin orang lain melakukan apa yang saya kehendaki.")</f>
        <v>B Saya ingin orang lain melakukan apa yang saya kehendaki.</v>
      </c>
      <c r="BF45" s="95" t="str">
        <f>IFERROR(__xludf.DUMMYFUNCTION("""COMPUTED_VALUE"""),"B Bila saya dalam kelompok, saya ingin menentukan apa yang akan kita lakukan.")</f>
        <v>B Bila saya dalam kelompok, saya ingin menentukan apa yang akan kita lakukan.</v>
      </c>
      <c r="BG45" s="95" t="str">
        <f>IFERROR(__xludf.DUMMYFUNCTION("""COMPUTED_VALUE"""),"A Saya ingin teman-teman banyak menunjukkan rasa sayang mereka terhadap saya.")</f>
        <v>A Saya ingin teman-teman banyak menunjukkan rasa sayang mereka terhadap saya.</v>
      </c>
      <c r="BH45" s="95" t="str">
        <f>IFERROR(__xludf.DUMMYFUNCTION("""COMPUTED_VALUE"""),"B Apabila saya berkumpul dalam kelompok, saya ingin dihargai teman-teman.")</f>
        <v>B Apabila saya berkumpul dalam kelompok, saya ingin dihargai teman-teman.</v>
      </c>
      <c r="BI45" s="95" t="str">
        <f>IFERROR(__xludf.DUMMYFUNCTION("""COMPUTED_VALUE"""),"A Saya suka bermurah hati terhadap teman-teman saya.")</f>
        <v>A Saya suka bermurah hati terhadap teman-teman saya.</v>
      </c>
      <c r="BJ45" s="95" t="str">
        <f>IFERROR(__xludf.DUMMYFUNCTION("""COMPUTED_VALUE"""),"A Saya ingin mengerjakan tugas sampai selesai.")</f>
        <v>A Saya ingin mengerjakan tugas sampai selesai.</v>
      </c>
      <c r="BK45" s="95" t="str">
        <f>IFERROR(__xludf.DUMMYFUNCTION("""COMPUTED_VALUE"""),"A Saya ingin menyelesaikan pekerjaan satu persatu sebelum memulai yang lain.")</f>
        <v>A Saya ingin menyelesaikan pekerjaan satu persatu sebelum memulai yang lain.</v>
      </c>
      <c r="BL45" s="95" t="str">
        <f>IFERROR(__xludf.DUMMYFUNCTION("""COMPUTED_VALUE"""),"A Saya suka belajar saya teratur dan ada waktu-waktu tertentu untuk belajar.")</f>
        <v>A Saya suka belajar saya teratur dan ada waktu-waktu tertentu untuk belajar.</v>
      </c>
      <c r="BM45" s="95" t="str">
        <f>IFERROR(__xludf.DUMMYFUNCTION("""COMPUTED_VALUE"""),"A Saya suka melakukan pekerjaan sebaik mungkin.")</f>
        <v>A Saya suka melakukan pekerjaan sebaik mungkin.</v>
      </c>
      <c r="BN45" s="95" t="str">
        <f>IFERROR(__xludf.DUMMYFUNCTION("""COMPUTED_VALUE"""),"B Saya ingin teman-teman memberi dorongan bila saya menghadapi kegagalan.")</f>
        <v>B Saya ingin teman-teman memberi dorongan bila saya menghadapi kegagalan.</v>
      </c>
      <c r="BO45" s="95" t="str">
        <f>IFERROR(__xludf.DUMMYFUNCTION("""COMPUTED_VALUE"""),"B Saya ingin diperlakukan dengan baik oleh teman-teman saya.")</f>
        <v>B Saya ingin diperlakukan dengan baik oleh teman-teman saya.</v>
      </c>
      <c r="BP45" s="95" t="str">
        <f>IFERROR(__xludf.DUMMYFUNCTION("""COMPUTED_VALUE"""),"A Saya ingin menyelesaikan sesuatu yang sangat penting artinya.")</f>
        <v>A Saya ingin menyelesaikan sesuatu yang sangat penting artinya.</v>
      </c>
      <c r="BQ45" s="95" t="str">
        <f>IFERROR(__xludf.DUMMYFUNCTION("""COMPUTED_VALUE"""),"A Saya ingin mengerjakannya tugas sampai selesai.")</f>
        <v>A Saya ingin mengerjakannya tugas sampai selesai.</v>
      </c>
      <c r="BR45" s="95" t="str">
        <f>IFERROR(__xludf.DUMMYFUNCTION("""COMPUTED_VALUE"""),"A Saya suka memaafkan teman-teman saya yang menyakiti hati saya.")</f>
        <v>A Saya suka memaafkan teman-teman saya yang menyakiti hati saya.</v>
      </c>
      <c r="BS45" s="95" t="str">
        <f>IFERROR(__xludf.DUMMYFUNCTION("""COMPUTED_VALUE"""),"B Saya ingin teman-teman saya membantu saya bila saya mengalami kesulitan")</f>
        <v>B Saya ingin teman-teman saya membantu saya bila saya mengalami kesulitan</v>
      </c>
      <c r="BT45" s="95" t="str">
        <f>IFERROR(__xludf.DUMMYFUNCTION("""COMPUTED_VALUE"""),"B Saya ingin teman-teman banyak menunjukkan rasa sayang mereka terhadap saya.")</f>
        <v>B Saya ingin teman-teman banyak menunjukkan rasa sayang mereka terhadap saya.</v>
      </c>
      <c r="BU45" s="95" t="str">
        <f>IFERROR(__xludf.DUMMYFUNCTION("""COMPUTED_VALUE"""),"A Saya kadang-kadang suka melakukan hal-hal yang dapat dipuji oleh orang lain.")</f>
        <v>A Saya kadang-kadang suka melakukan hal-hal yang dapat dipuji oleh orang lain.</v>
      </c>
      <c r="BV45" s="95" t="str">
        <f>IFERROR(__xludf.DUMMYFUNCTION("""COMPUTED_VALUE"""),"A Saya ingin dianggap menarik oleh orang lain.")</f>
        <v>A Saya ingin dianggap menarik oleh orang lain.</v>
      </c>
      <c r="BW45" s="95" t="str">
        <f>IFERROR(__xludf.DUMMYFUNCTION("""COMPUTED_VALUE"""),"B Saya ingin diperlakukan dengan baik oleh teman-teman saya.")</f>
        <v>B Saya ingin diperlakukan dengan baik oleh teman-teman saya.</v>
      </c>
      <c r="BX45" s="95" t="str">
        <f>IFERROR(__xludf.DUMMYFUNCTION("""COMPUTED_VALUE"""),"B Saya kadang-kadang suka melakukan hal-hal yang dapat dipuji oleh orang lain.")</f>
        <v>B Saya kadang-kadang suka melakukan hal-hal yang dapat dipuji oleh orang lain.</v>
      </c>
      <c r="BY45" s="95" t="str">
        <f>IFERROR(__xludf.DUMMYFUNCTION("""COMPUTED_VALUE"""),"B Saya ingin orang lain memperhatikan dan berkomentar tentang penampilan saya.")</f>
        <v>B Saya ingin orang lain memperhatikan dan berkomentar tentang penampilan saya.</v>
      </c>
      <c r="BZ45" s="95" t="str">
        <f>IFERROR(__xludf.DUMMYFUNCTION("""COMPUTED_VALUE"""),"B Saya suka diperhatikan, apabila saya ada di dalam suatu kelompok.")</f>
        <v>B Saya suka diperhatikan, apabila saya ada di dalam suatu kelompok.</v>
      </c>
      <c r="CA45" s="95" t="str">
        <f>IFERROR(__xludf.DUMMYFUNCTION("""COMPUTED_VALUE"""),"A Saya ingin teman-teman dengan gembira memberikan pertolongan kepada saya.")</f>
        <v>A Saya ingin teman-teman dengan gembira memberikan pertolongan kepada saya.</v>
      </c>
      <c r="CB45" s="95" t="str">
        <f>IFERROR(__xludf.DUMMYFUNCTION("""COMPUTED_VALUE"""),"A Saya suka menghindar dari tanggung jawab yang tidak saya inginkan.")</f>
        <v>A Saya suka menghindar dari tanggung jawab yang tidak saya inginkan.</v>
      </c>
      <c r="CC45" s="95" t="str">
        <f>IFERROR(__xludf.DUMMYFUNCTION("""COMPUTED_VALUE"""),"A Apabila saya berkumpul dalam kelompok, saya ingin dihargai teman-teman.")</f>
        <v>A Apabila saya berkumpul dalam kelompok, saya ingin dihargai teman-teman.</v>
      </c>
      <c r="CD45" s="95" t="str">
        <f>IFERROR(__xludf.DUMMYFUNCTION("""COMPUTED_VALUE"""),"A Saya suka menyelesaikan setiap tugas meskipun membutuhkan waktu lama.")</f>
        <v>A Saya suka menyelesaikan setiap tugas meskipun membutuhkan waktu lama.</v>
      </c>
      <c r="CE45" s="95" t="str">
        <f>IFERROR(__xludf.DUMMYFUNCTION("""COMPUTED_VALUE"""),"B Saya kadang-kadang suka melakukan hal-hal yang dapat dipuji oleh orang lain.")</f>
        <v>B Saya kadang-kadang suka melakukan hal-hal yang dapat dipuji oleh orang lain.</v>
      </c>
      <c r="CF45" s="95" t="str">
        <f>IFERROR(__xludf.DUMMYFUNCTION("""COMPUTED_VALUE"""),"A Saya ingin agar hidup saya teratur sesuai cita-cita saya.")</f>
        <v>A Saya ingin agar hidup saya teratur sesuai cita-cita saya.</v>
      </c>
      <c r="CG45" s="95" t="str">
        <f>IFERROR(__xludf.DUMMYFUNCTION("""COMPUTED_VALUE"""),"B Saya suka berbicara tentang hal-hal yang telah saya capai.")</f>
        <v>B Saya suka berbicara tentang hal-hal yang telah saya capai.</v>
      </c>
      <c r="CH45" s="95" t="str">
        <f>IFERROR(__xludf.DUMMYFUNCTION("""COMPUTED_VALUE"""),"A Saya ingin bisa melakukan dengan baik sesuatu pekerjaan sulit.")</f>
        <v>A Saya ingin bisa melakukan dengan baik sesuatu pekerjaan sulit.</v>
      </c>
      <c r="CI45" s="95" t="str">
        <f>IFERROR(__xludf.DUMMYFUNCTION("""COMPUTED_VALUE"""),"B Saya ingin dianggap menarik oleh orang lain.")</f>
        <v>B Saya ingin dianggap menarik oleh orang lain.</v>
      </c>
      <c r="CJ45" s="95" t="str">
        <f>IFERROR(__xludf.DUMMYFUNCTION("""COMPUTED_VALUE"""),"A Saya ingin tidak tergantung dari orang lain terhadap apa yang akan saya lakukan.")</f>
        <v>A Saya ingin tidak tergantung dari orang lain terhadap apa yang akan saya lakukan.</v>
      </c>
      <c r="CK45" s="95" t="str">
        <f>IFERROR(__xludf.DUMMYFUNCTION("""COMPUTED_VALUE"""),"B Saya senang ikut beraktivitas bersama teman sebaya saya.")</f>
        <v>B Saya senang ikut beraktivitas bersama teman sebaya saya.</v>
      </c>
      <c r="CL45" s="95" t="str">
        <f>IFERROR(__xludf.DUMMYFUNCTION("""COMPUTED_VALUE"""),"A Saya suka menolong teman-teman saya, apabila mereka dalam kesulitan.")</f>
        <v>A Saya suka menolong teman-teman saya, apabila mereka dalam kesulitan.</v>
      </c>
      <c r="CM45" s="95" t="str">
        <f>IFERROR(__xludf.DUMMYFUNCTION("""COMPUTED_VALUE"""),"B Saya merasa kagum pada seseorang.")</f>
        <v>B Saya merasa kagum pada seseorang.</v>
      </c>
      <c r="CN45" s="95" t="str">
        <f>IFERROR(__xludf.DUMMYFUNCTION("""COMPUTED_VALUE"""),"A Saya ingin diperlakukan dengan baik oleh teman-teman saya.")</f>
        <v>A Saya ingin diperlakukan dengan baik oleh teman-teman saya.</v>
      </c>
      <c r="CO45" s="95" t="str">
        <f>IFERROR(__xludf.DUMMYFUNCTION("""COMPUTED_VALUE"""),"B Saya suka memuji orang yang saya kagumi.")</f>
        <v>B Saya suka memuji orang yang saya kagumi.</v>
      </c>
      <c r="CP45" s="95" t="str">
        <f>IFERROR(__xludf.DUMMYFUNCTION("""COMPUTED_VALUE"""),"B Saya ingin dianggap menarik oleh orang lain.")</f>
        <v>B Saya ingin dianggap menarik oleh orang lain.</v>
      </c>
      <c r="CQ45" s="95" t="str">
        <f>IFERROR(__xludf.DUMMYFUNCTION("""COMPUTED_VALUE"""),"B Saya merasa kagum pada seseorang.")</f>
        <v>B Saya merasa kagum pada seseorang.</v>
      </c>
      <c r="CR45" s="95" t="str">
        <f>IFERROR(__xludf.DUMMYFUNCTION("""COMPUTED_VALUE"""),"B Saya rasanya ingin mengecam seseorang bila orang itu menjengkelkan.")</f>
        <v>B Saya rasanya ingin mengecam seseorang bila orang itu menjengkelkan.</v>
      </c>
      <c r="CS45" s="95" t="str">
        <f>IFERROR(__xludf.DUMMYFUNCTION("""COMPUTED_VALUE"""),"B Saya rasanya ingin membalas dendam bila seseorang menghina saya.")</f>
        <v>B Saya rasanya ingin membalas dendam bila seseorang menghina saya.</v>
      </c>
      <c r="CT45" s="95" t="str">
        <f>IFERROR(__xludf.DUMMYFUNCTION("""COMPUTED_VALUE"""),"A Saya ingin orang-orang memperhatikan komentar mengenai penampilan saya.")</f>
        <v>A Saya ingin orang-orang memperhatikan komentar mengenai penampilan saya.</v>
      </c>
      <c r="CU45" s="95" t="str">
        <f>IFERROR(__xludf.DUMMYFUNCTION("""COMPUTED_VALUE"""),"A Saya ingin diperlakukan dengan ramah oleh teman-teman saya.")</f>
        <v>A Saya ingin diperlakukan dengan ramah oleh teman-teman saya.</v>
      </c>
      <c r="CV45" s="95" t="str">
        <f>IFERROR(__xludf.DUMMYFUNCTION("""COMPUTED_VALUE"""),"A Saya ingin ditunjuk atau dipilih sebagai ketua dalam suatu kelompok.")</f>
        <v>A Saya ingin ditunjuk atau dipilih sebagai ketua dalam suatu kelompok.</v>
      </c>
      <c r="CW45" s="95" t="str">
        <f>IFERROR(__xludf.DUMMYFUNCTION("""COMPUTED_VALUE"""),"B Saya mengatakan kepada orang lain bagaimana pendapat saya terhadap mereka.")</f>
        <v>B Saya mengatakan kepada orang lain bagaimana pendapat saya terhadap mereka.</v>
      </c>
      <c r="CX45" s="95" t="str">
        <f>IFERROR(__xludf.DUMMYFUNCTION("""COMPUTED_VALUE"""),"A Saya suka belajar sampai malam untuk menyelesaikan suatu tugas.")</f>
        <v>A Saya suka belajar sampai malam untuk menyelesaikan suatu tugas.</v>
      </c>
      <c r="CY45" s="95" t="str">
        <f>IFERROR(__xludf.DUMMYFUNCTION("""COMPUTED_VALUE"""),"A Saya ingin tidak tergantung dari orang lain terhadap apa yang akan saya lakukan.")</f>
        <v>A Saya ingin tidak tergantung dari orang lain terhadap apa yang akan saya lakukan.</v>
      </c>
      <c r="CZ45" s="95" t="str">
        <f>IFERROR(__xludf.DUMMYFUNCTION("""COMPUTED_VALUE"""),"A Saya suka merencanakan dan mengatur setiap pekerjaan yang harus saya lakukan.")</f>
        <v>A Saya suka merencanakan dan mengatur setiap pekerjaan yang harus saya lakukan.</v>
      </c>
      <c r="DA45" s="95" t="str">
        <f>IFERROR(__xludf.DUMMYFUNCTION("""COMPUTED_VALUE"""),"A Saya ingin melakukan apa saja sebaik mungkin.")</f>
        <v>A Saya ingin melakukan apa saja sebaik mungkin.</v>
      </c>
      <c r="DB45" s="89" t="s">
        <v>23</v>
      </c>
      <c r="DC45" s="97" t="str">
        <f t="shared" ref="DC45:GX45" si="90">LEFT(F45,1)</f>
        <v>B</v>
      </c>
      <c r="DD45" s="97" t="str">
        <f t="shared" si="90"/>
        <v>A</v>
      </c>
      <c r="DE45" s="97" t="str">
        <f t="shared" si="90"/>
        <v>B</v>
      </c>
      <c r="DF45" s="97" t="str">
        <f t="shared" si="90"/>
        <v>B</v>
      </c>
      <c r="DG45" s="97" t="str">
        <f t="shared" si="90"/>
        <v>A</v>
      </c>
      <c r="DH45" s="97" t="str">
        <f t="shared" si="90"/>
        <v>B</v>
      </c>
      <c r="DI45" s="97" t="str">
        <f t="shared" si="90"/>
        <v>A</v>
      </c>
      <c r="DJ45" s="97" t="str">
        <f t="shared" si="90"/>
        <v>B</v>
      </c>
      <c r="DK45" s="97" t="str">
        <f t="shared" si="90"/>
        <v>B</v>
      </c>
      <c r="DL45" s="97" t="str">
        <f t="shared" si="90"/>
        <v>B</v>
      </c>
      <c r="DM45" s="97" t="str">
        <f t="shared" si="90"/>
        <v>B</v>
      </c>
      <c r="DN45" s="97" t="str">
        <f t="shared" si="90"/>
        <v>B</v>
      </c>
      <c r="DO45" s="97" t="str">
        <f t="shared" si="90"/>
        <v>A</v>
      </c>
      <c r="DP45" s="97" t="str">
        <f t="shared" si="90"/>
        <v>A</v>
      </c>
      <c r="DQ45" s="97" t="str">
        <f t="shared" si="90"/>
        <v>B</v>
      </c>
      <c r="DR45" s="97" t="str">
        <f t="shared" si="90"/>
        <v>A</v>
      </c>
      <c r="DS45" s="97" t="str">
        <f t="shared" si="90"/>
        <v>B</v>
      </c>
      <c r="DT45" s="97" t="str">
        <f t="shared" si="90"/>
        <v>B</v>
      </c>
      <c r="DU45" s="97" t="str">
        <f t="shared" si="90"/>
        <v>A</v>
      </c>
      <c r="DV45" s="97" t="str">
        <f t="shared" si="90"/>
        <v>A</v>
      </c>
      <c r="DW45" s="97" t="str">
        <f t="shared" si="90"/>
        <v>A</v>
      </c>
      <c r="DX45" s="97" t="str">
        <f t="shared" si="90"/>
        <v>B</v>
      </c>
      <c r="DY45" s="97" t="str">
        <f t="shared" si="90"/>
        <v>B</v>
      </c>
      <c r="DZ45" s="97" t="str">
        <f t="shared" si="90"/>
        <v>A</v>
      </c>
      <c r="EA45" s="97" t="str">
        <f t="shared" si="90"/>
        <v>A</v>
      </c>
      <c r="EB45" s="97" t="str">
        <f t="shared" si="90"/>
        <v>A</v>
      </c>
      <c r="EC45" s="97" t="str">
        <f t="shared" si="90"/>
        <v>A</v>
      </c>
      <c r="ED45" s="97" t="str">
        <f t="shared" si="90"/>
        <v>B</v>
      </c>
      <c r="EE45" s="97" t="str">
        <f t="shared" si="90"/>
        <v>B</v>
      </c>
      <c r="EF45" s="97" t="str">
        <f t="shared" si="90"/>
        <v>B</v>
      </c>
      <c r="EG45" s="97" t="str">
        <f t="shared" si="90"/>
        <v>B</v>
      </c>
      <c r="EH45" s="97" t="str">
        <f t="shared" si="90"/>
        <v>B</v>
      </c>
      <c r="EI45" s="97" t="str">
        <f t="shared" si="90"/>
        <v>A</v>
      </c>
      <c r="EJ45" s="97" t="str">
        <f t="shared" si="90"/>
        <v>B</v>
      </c>
      <c r="EK45" s="97" t="str">
        <f t="shared" si="90"/>
        <v>B</v>
      </c>
      <c r="EL45" s="97" t="str">
        <f t="shared" si="90"/>
        <v>A</v>
      </c>
      <c r="EM45" s="97" t="str">
        <f t="shared" si="90"/>
        <v>A</v>
      </c>
      <c r="EN45" s="97" t="str">
        <f t="shared" si="90"/>
        <v>B</v>
      </c>
      <c r="EO45" s="97" t="str">
        <f t="shared" si="90"/>
        <v>B</v>
      </c>
      <c r="EP45" s="97" t="str">
        <f t="shared" si="90"/>
        <v>A</v>
      </c>
      <c r="EQ45" s="97" t="str">
        <f t="shared" si="90"/>
        <v>A</v>
      </c>
      <c r="ER45" s="97" t="str">
        <f t="shared" si="90"/>
        <v>B</v>
      </c>
      <c r="ES45" s="97" t="str">
        <f t="shared" si="90"/>
        <v>B</v>
      </c>
      <c r="ET45" s="97" t="str">
        <f t="shared" si="90"/>
        <v>B</v>
      </c>
      <c r="EU45" s="97" t="str">
        <f t="shared" si="90"/>
        <v>B</v>
      </c>
      <c r="EV45" s="97" t="str">
        <f t="shared" si="90"/>
        <v>B</v>
      </c>
      <c r="EW45" s="97" t="str">
        <f t="shared" si="90"/>
        <v>A</v>
      </c>
      <c r="EX45" s="97" t="str">
        <f t="shared" si="90"/>
        <v>B</v>
      </c>
      <c r="EY45" s="97" t="str">
        <f t="shared" si="90"/>
        <v>B</v>
      </c>
      <c r="EZ45" s="97" t="str">
        <f t="shared" si="90"/>
        <v>B</v>
      </c>
      <c r="FA45" s="97" t="str">
        <f t="shared" si="90"/>
        <v>B</v>
      </c>
      <c r="FB45" s="97" t="str">
        <f t="shared" si="90"/>
        <v>B</v>
      </c>
      <c r="FC45" s="97" t="str">
        <f t="shared" si="90"/>
        <v>B</v>
      </c>
      <c r="FD45" s="97" t="str">
        <f t="shared" si="90"/>
        <v>A</v>
      </c>
      <c r="FE45" s="97" t="str">
        <f t="shared" si="90"/>
        <v>B</v>
      </c>
      <c r="FF45" s="97" t="str">
        <f t="shared" si="90"/>
        <v>A</v>
      </c>
      <c r="FG45" s="97" t="str">
        <f t="shared" si="90"/>
        <v>A</v>
      </c>
      <c r="FH45" s="97" t="str">
        <f t="shared" si="90"/>
        <v>A</v>
      </c>
      <c r="FI45" s="97" t="str">
        <f t="shared" si="90"/>
        <v>A</v>
      </c>
      <c r="FJ45" s="97" t="str">
        <f t="shared" si="90"/>
        <v>A</v>
      </c>
      <c r="FK45" s="97" t="str">
        <f t="shared" si="90"/>
        <v>B</v>
      </c>
      <c r="FL45" s="97" t="str">
        <f t="shared" si="90"/>
        <v>B</v>
      </c>
      <c r="FM45" s="97" t="str">
        <f t="shared" si="90"/>
        <v>A</v>
      </c>
      <c r="FN45" s="97" t="str">
        <f t="shared" si="90"/>
        <v>A</v>
      </c>
      <c r="FO45" s="97" t="str">
        <f t="shared" si="90"/>
        <v>A</v>
      </c>
      <c r="FP45" s="97" t="str">
        <f t="shared" si="90"/>
        <v>B</v>
      </c>
      <c r="FQ45" s="97" t="str">
        <f t="shared" si="90"/>
        <v>B</v>
      </c>
      <c r="FR45" s="97" t="str">
        <f t="shared" si="90"/>
        <v>A</v>
      </c>
      <c r="FS45" s="97" t="str">
        <f t="shared" si="90"/>
        <v>A</v>
      </c>
      <c r="FT45" s="97" t="str">
        <f t="shared" si="90"/>
        <v>B</v>
      </c>
      <c r="FU45" s="97" t="str">
        <f t="shared" si="90"/>
        <v>B</v>
      </c>
      <c r="FV45" s="97" t="str">
        <f t="shared" si="90"/>
        <v>B</v>
      </c>
      <c r="FW45" s="97" t="str">
        <f t="shared" si="90"/>
        <v>B</v>
      </c>
      <c r="FX45" s="97" t="str">
        <f t="shared" si="90"/>
        <v>A</v>
      </c>
      <c r="FY45" s="97" t="str">
        <f t="shared" si="90"/>
        <v>A</v>
      </c>
      <c r="FZ45" s="97" t="str">
        <f t="shared" si="90"/>
        <v>A</v>
      </c>
      <c r="GA45" s="97" t="str">
        <f t="shared" si="90"/>
        <v>A</v>
      </c>
      <c r="GB45" s="97" t="str">
        <f t="shared" si="90"/>
        <v>B</v>
      </c>
      <c r="GC45" s="97" t="str">
        <f t="shared" si="90"/>
        <v>A</v>
      </c>
      <c r="GD45" s="97" t="str">
        <f t="shared" si="90"/>
        <v>B</v>
      </c>
      <c r="GE45" s="97" t="str">
        <f t="shared" si="90"/>
        <v>A</v>
      </c>
      <c r="GF45" s="97" t="str">
        <f t="shared" si="90"/>
        <v>B</v>
      </c>
      <c r="GG45" s="97" t="str">
        <f t="shared" si="90"/>
        <v>A</v>
      </c>
      <c r="GH45" s="97" t="str">
        <f t="shared" si="90"/>
        <v>B</v>
      </c>
      <c r="GI45" s="97" t="str">
        <f t="shared" si="90"/>
        <v>A</v>
      </c>
      <c r="GJ45" s="97" t="str">
        <f t="shared" si="90"/>
        <v>B</v>
      </c>
      <c r="GK45" s="97" t="str">
        <f t="shared" si="90"/>
        <v>A</v>
      </c>
      <c r="GL45" s="97" t="str">
        <f t="shared" si="90"/>
        <v>B</v>
      </c>
      <c r="GM45" s="97" t="str">
        <f t="shared" si="90"/>
        <v>B</v>
      </c>
      <c r="GN45" s="97" t="str">
        <f t="shared" si="90"/>
        <v>B</v>
      </c>
      <c r="GO45" s="97" t="str">
        <f t="shared" si="90"/>
        <v>B</v>
      </c>
      <c r="GP45" s="97" t="str">
        <f t="shared" si="90"/>
        <v>B</v>
      </c>
      <c r="GQ45" s="97" t="str">
        <f t="shared" si="90"/>
        <v>A</v>
      </c>
      <c r="GR45" s="97" t="str">
        <f t="shared" si="90"/>
        <v>A</v>
      </c>
      <c r="GS45" s="97" t="str">
        <f t="shared" si="90"/>
        <v>A</v>
      </c>
      <c r="GT45" s="97" t="str">
        <f t="shared" si="90"/>
        <v>B</v>
      </c>
      <c r="GU45" s="97" t="str">
        <f t="shared" si="90"/>
        <v>A</v>
      </c>
      <c r="GV45" s="97" t="str">
        <f t="shared" si="90"/>
        <v>A</v>
      </c>
      <c r="GW45" s="97" t="str">
        <f t="shared" si="90"/>
        <v>A</v>
      </c>
      <c r="GX45" s="97" t="str">
        <f t="shared" si="90"/>
        <v>A</v>
      </c>
      <c r="GY45" s="98"/>
      <c r="GZ45" s="97">
        <f t="shared" si="3"/>
        <v>46</v>
      </c>
      <c r="HA45" s="97">
        <f t="shared" si="4"/>
        <v>54</v>
      </c>
      <c r="HB45" s="90">
        <f t="shared" si="5"/>
        <v>100</v>
      </c>
      <c r="HC45" s="99"/>
      <c r="HD45" s="97">
        <f t="shared" si="6"/>
        <v>7</v>
      </c>
      <c r="HE45" s="97">
        <f t="shared" si="7"/>
        <v>6</v>
      </c>
      <c r="HF45" s="90">
        <f t="shared" si="8"/>
        <v>13</v>
      </c>
      <c r="HG45" s="99"/>
      <c r="HH45" s="97">
        <f t="shared" si="9"/>
        <v>4</v>
      </c>
      <c r="HI45" s="97">
        <f t="shared" si="10"/>
        <v>5</v>
      </c>
      <c r="HJ45" s="90">
        <f t="shared" si="11"/>
        <v>9</v>
      </c>
      <c r="HK45" s="99"/>
      <c r="HL45" s="97">
        <f t="shared" si="12"/>
        <v>4</v>
      </c>
      <c r="HM45" s="97">
        <f t="shared" si="13"/>
        <v>5</v>
      </c>
      <c r="HN45" s="90">
        <f t="shared" si="14"/>
        <v>9</v>
      </c>
      <c r="HO45" s="99"/>
      <c r="HP45" s="97">
        <f t="shared" si="15"/>
        <v>5</v>
      </c>
      <c r="HQ45" s="97">
        <f t="shared" si="16"/>
        <v>6</v>
      </c>
      <c r="HR45" s="90">
        <f t="shared" si="17"/>
        <v>11</v>
      </c>
      <c r="HS45" s="99"/>
      <c r="HT45" s="97">
        <f t="shared" si="18"/>
        <v>8</v>
      </c>
      <c r="HU45" s="97">
        <f t="shared" si="19"/>
        <v>8</v>
      </c>
      <c r="HV45" s="90">
        <f t="shared" si="20"/>
        <v>16</v>
      </c>
      <c r="HW45" s="99"/>
      <c r="HX45" s="97">
        <f t="shared" si="21"/>
        <v>3</v>
      </c>
      <c r="HY45" s="97">
        <f t="shared" si="22"/>
        <v>4</v>
      </c>
      <c r="HZ45" s="90">
        <f t="shared" si="23"/>
        <v>7</v>
      </c>
      <c r="IA45" s="99"/>
      <c r="IB45" s="97">
        <f t="shared" si="24"/>
        <v>8</v>
      </c>
      <c r="IC45" s="97">
        <f t="shared" si="25"/>
        <v>5</v>
      </c>
      <c r="ID45" s="90">
        <f t="shared" si="26"/>
        <v>13</v>
      </c>
      <c r="IE45" s="99"/>
      <c r="IF45" s="97">
        <f t="shared" si="27"/>
        <v>4</v>
      </c>
      <c r="IG45" s="97">
        <f t="shared" si="28"/>
        <v>5</v>
      </c>
      <c r="IH45" s="90">
        <f t="shared" si="29"/>
        <v>9</v>
      </c>
      <c r="II45" s="99"/>
      <c r="IJ45" s="97">
        <f t="shared" si="30"/>
        <v>1</v>
      </c>
      <c r="IK45" s="97">
        <f t="shared" si="31"/>
        <v>6</v>
      </c>
      <c r="IL45" s="90">
        <f t="shared" si="32"/>
        <v>7</v>
      </c>
      <c r="IM45" s="99"/>
      <c r="IN45" s="97">
        <f t="shared" si="33"/>
        <v>0</v>
      </c>
      <c r="IO45" s="97">
        <f t="shared" si="34"/>
        <v>3</v>
      </c>
      <c r="IP45" s="90">
        <f t="shared" si="35"/>
        <v>3</v>
      </c>
      <c r="IQ45" s="99"/>
      <c r="IR45" s="99"/>
      <c r="IS45" s="100">
        <f t="shared" si="36"/>
        <v>13</v>
      </c>
      <c r="IT45" s="100">
        <f t="shared" si="37"/>
        <v>9</v>
      </c>
      <c r="IU45" s="100">
        <f t="shared" si="38"/>
        <v>9</v>
      </c>
      <c r="IV45" s="100">
        <f t="shared" si="39"/>
        <v>11</v>
      </c>
      <c r="IW45" s="100">
        <f t="shared" si="40"/>
        <v>16</v>
      </c>
      <c r="IX45" s="100">
        <f t="shared" si="41"/>
        <v>7</v>
      </c>
      <c r="IY45" s="100">
        <f t="shared" si="42"/>
        <v>13</v>
      </c>
      <c r="IZ45" s="100">
        <f t="shared" si="43"/>
        <v>9</v>
      </c>
      <c r="JA45" s="100">
        <f t="shared" si="44"/>
        <v>7</v>
      </c>
      <c r="JB45" s="101">
        <f t="shared" si="45"/>
        <v>3</v>
      </c>
      <c r="JC45" s="102">
        <f t="shared" si="46"/>
        <v>97</v>
      </c>
      <c r="JD45" s="67">
        <f t="shared" si="50"/>
        <v>0</v>
      </c>
      <c r="JE45" s="67">
        <f t="shared" si="47"/>
        <v>1</v>
      </c>
      <c r="JF45" s="67">
        <f t="shared" si="48"/>
        <v>1</v>
      </c>
    </row>
    <row r="46">
      <c r="A46" s="103">
        <f>IFERROR(__xludf.DUMMYFUNCTION("""COMPUTED_VALUE"""),45928.35660782407)</f>
        <v>45928.35661</v>
      </c>
      <c r="B46" s="95" t="str">
        <f>IFERROR(__xludf.DUMMYFUNCTION("""COMPUTED_VALUE"""),"Maryam Al-Kayyisah ")</f>
        <v>Maryam Al-Kayyisah </v>
      </c>
      <c r="C46" s="96" t="str">
        <f>IFERROR(__xludf.DUMMYFUNCTION("""COMPUTED_VALUE"""),"D250019")</f>
        <v>D250019</v>
      </c>
      <c r="D46" s="96" t="str">
        <f>IFERROR(__xludf.DUMMYFUNCTION("""COMPUTED_VALUE"""),"MTs Putri")</f>
        <v>MTs Putri</v>
      </c>
      <c r="E46" s="96" t="str">
        <f>IFERROR(__xludf.DUMMYFUNCTION("""COMPUTED_VALUE"""),"Ya")</f>
        <v>Ya</v>
      </c>
      <c r="F46" s="95" t="str">
        <f>IFERROR(__xludf.DUMMYFUNCTION("""COMPUTED_VALUE"""),"B Saya ingin melakukan apa saja sebaik mungkin.")</f>
        <v>B Saya ingin melakukan apa saja sebaik mungkin.</v>
      </c>
      <c r="G46" s="95" t="str">
        <f>IFERROR(__xludf.DUMMYFUNCTION("""COMPUTED_VALUE"""),"A Saya ingin setiap tulisan saya teliti, rapi, dan tersusun dengan baik.")</f>
        <v>A Saya ingin setiap tulisan saya teliti, rapi, dan tersusun dengan baik.</v>
      </c>
      <c r="H46" s="95" t="str">
        <f>IFERROR(__xludf.DUMMYFUNCTION("""COMPUTED_VALUE"""),"B Saya ingin menjadi orang yang diakui dalam suatu pekerjaan atau bidang khusus.")</f>
        <v>B Saya ingin menjadi orang yang diakui dalam suatu pekerjaan atau bidang khusus.</v>
      </c>
      <c r="I46" s="95" t="str">
        <f>IFERROR(__xludf.DUMMYFUNCTION("""COMPUTED_VALUE"""),"B Saya ingin bisa melakukan dengan baik meskipun tugas yang sulit.")</f>
        <v>B Saya ingin bisa melakukan dengan baik meskipun tugas yang sulit.</v>
      </c>
      <c r="J46" s="95" t="str">
        <f>IFERROR(__xludf.DUMMYFUNCTION("""COMPUTED_VALUE"""),"B Saya ingin mengerjakan tugas sebaik mungkin.")</f>
        <v>B Saya ingin mengerjakan tugas sebaik mungkin.</v>
      </c>
      <c r="K46" s="95" t="str">
        <f>IFERROR(__xludf.DUMMYFUNCTION("""COMPUTED_VALUE"""),"B Saya ingin mengatakan telah melakukan dengan baik sesuatu tugas yang sulit.")</f>
        <v>B Saya ingin mengatakan telah melakukan dengan baik sesuatu tugas yang sulit.</v>
      </c>
      <c r="L46" s="95" t="str">
        <f>IFERROR(__xludf.DUMMYFUNCTION("""COMPUTED_VALUE"""),"B Saya ingin mengatakan telah melakukan dengan baik sesuatu tugas yang sulit")</f>
        <v>B Saya ingin mengatakan telah melakukan dengan baik sesuatu tugas yang sulit</v>
      </c>
      <c r="M46" s="95" t="str">
        <f>IFERROR(__xludf.DUMMYFUNCTION("""COMPUTED_VALUE"""),"B Saya ingin mengerjakan segala tugas lebih baik daripada orang lain.")</f>
        <v>B Saya ingin mengerjakan segala tugas lebih baik daripada orang lain.</v>
      </c>
      <c r="N46" s="95" t="str">
        <f>IFERROR(__xludf.DUMMYFUNCTION("""COMPUTED_VALUE"""),"B Saya suka memecahkan persoalan yang sukar bagi orang lain.")</f>
        <v>B Saya suka memecahkan persoalan yang sukar bagi orang lain.</v>
      </c>
      <c r="O46" s="95" t="str">
        <f>IFERROR(__xludf.DUMMYFUNCTION("""COMPUTED_VALUE"""),"B Saya suka melakukan tugas sebaik mungkin.")</f>
        <v>B Saya suka melakukan tugas sebaik mungkin.</v>
      </c>
      <c r="P46" s="95" t="str">
        <f>IFERROR(__xludf.DUMMYFUNCTION("""COMPUTED_VALUE"""),"B Saya ingin setiap belajar itu teratur dan direncanakan.")</f>
        <v>B Saya ingin setiap belajar itu teratur dan direncanakan.</v>
      </c>
      <c r="Q46" s="95" t="str">
        <f>IFERROR(__xludf.DUMMYFUNCTION("""COMPUTED_VALUE"""),"A Saya mulai suka dengan lawan jenis.")</f>
        <v>A Saya mulai suka dengan lawan jenis.</v>
      </c>
      <c r="R46" s="95" t="str">
        <f>IFERROR(__xludf.DUMMYFUNCTION("""COMPUTED_VALUE"""),"B Saya suka barang-barang saya tersusun rapi dan teratur.")</f>
        <v>B Saya suka barang-barang saya tersusun rapi dan teratur.</v>
      </c>
      <c r="S46" s="95" t="str">
        <f>IFERROR(__xludf.DUMMYFUNCTION("""COMPUTED_VALUE"""),"B Saya suka membuat perencanaan sebelum memulai tugas yang sulit.")</f>
        <v>B Saya suka membuat perencanaan sebelum memulai tugas yang sulit.</v>
      </c>
      <c r="T46" s="95" t="str">
        <f>IFERROR(__xludf.DUMMYFUNCTION("""COMPUTED_VALUE"""),"B Saya ingin agar hidup saya teratur sesuai cita-cita saya.")</f>
        <v>B Saya ingin agar hidup saya teratur sesuai cita-cita saya.</v>
      </c>
      <c r="U46" s="95" t="str">
        <f>IFERROR(__xludf.DUMMYFUNCTION("""COMPUTED_VALUE"""),"A Saya suka memberikan bantuan kepada teman-teman saya.")</f>
        <v>A Saya suka memberikan bantuan kepada teman-teman saya.</v>
      </c>
      <c r="V46" s="95" t="str">
        <f>IFERROR(__xludf.DUMMYFUNCTION("""COMPUTED_VALUE"""),"B Saya suka belajar saya teratur dan ada waktu-waktu tertentu untuk belajar.")</f>
        <v>B Saya suka belajar saya teratur dan ada waktu-waktu tertentu untuk belajar.</v>
      </c>
      <c r="W46" s="95" t="str">
        <f>IFERROR(__xludf.DUMMYFUNCTION("""COMPUTED_VALUE"""),"B Saya ingin kegiatan itu teratur dan direncanakan.")</f>
        <v>B Saya ingin kegiatan itu teratur dan direncanakan.</v>
      </c>
      <c r="X46" s="95" t="str">
        <f>IFERROR(__xludf.DUMMYFUNCTION("""COMPUTED_VALUE"""),"A Saya suka merencanakan dan mengatur setiap apa yang harus saya lakukan.")</f>
        <v>A Saya suka merencanakan dan mengatur setiap apa yang harus saya lakukan.</v>
      </c>
      <c r="Y46" s="95" t="str">
        <f>IFERROR(__xludf.DUMMYFUNCTION("""COMPUTED_VALUE"""),"B Saya senang merencanakan untuk masa depan.")</f>
        <v>B Saya senang merencanakan untuk masa depan.</v>
      </c>
      <c r="Z46" s="95" t="str">
        <f>IFERROR(__xludf.DUMMYFUNCTION("""COMPUTED_VALUE"""),"A Saya ingin berhasil dengan belajar yang saya lakukan.")</f>
        <v>A Saya ingin berhasil dengan belajar yang saya lakukan.</v>
      </c>
      <c r="AA46" s="95" t="str">
        <f>IFERROR(__xludf.DUMMYFUNCTION("""COMPUTED_VALUE"""),"B Saya tidak suka pada orang yang berbuat seenaknya sendiri.")</f>
        <v>B Saya tidak suka pada orang yang berbuat seenaknya sendiri.</v>
      </c>
      <c r="AB46" s="95" t="str">
        <f>IFERROR(__xludf.DUMMYFUNCTION("""COMPUTED_VALUE"""),"B Saya ingin menyelesaikan pekerjaan satu persatu sebelum memulai yang lain.")</f>
        <v>B Saya ingin menyelesaikan pekerjaan satu persatu sebelum memulai yang lain.</v>
      </c>
      <c r="AC46" s="95" t="str">
        <f>IFERROR(__xludf.DUMMYFUNCTION("""COMPUTED_VALUE"""),"B Saya suka melakukan kegiatan sesuai kondisi yang saya inginkan.")</f>
        <v>B Saya suka melakukan kegiatan sesuai kondisi yang saya inginkan.</v>
      </c>
      <c r="AD46" s="95" t="str">
        <f>IFERROR(__xludf.DUMMYFUNCTION("""COMPUTED_VALUE"""),"A Saya suka bermurah hati terhadap teman-teman saya.")</f>
        <v>A Saya suka bermurah hati terhadap teman-teman saya.</v>
      </c>
      <c r="AE46" s="95" t="str">
        <f>IFERROR(__xludf.DUMMYFUNCTION("""COMPUTED_VALUE"""),"A Saya ingin dianggap sebagai pemimpin oleh teman di kelompok.")</f>
        <v>A Saya ingin dianggap sebagai pemimpin oleh teman di kelompok.</v>
      </c>
      <c r="AF46" s="95" t="str">
        <f>IFERROR(__xludf.DUMMYFUNCTION("""COMPUTED_VALUE"""),"A Saya ingin agar teman-teman mengerti bila saya mengalami kesukaran.")</f>
        <v>A Saya ingin agar teman-teman mengerti bila saya mengalami kesukaran.</v>
      </c>
      <c r="AG46" s="95" t="str">
        <f>IFERROR(__xludf.DUMMYFUNCTION("""COMPUTED_VALUE"""),"B Saya ingin berhasil dengan tugas yang saya lakukan.")</f>
        <v>B Saya ingin berhasil dengan tugas yang saya lakukan.</v>
      </c>
      <c r="AH46" s="95" t="str">
        <f>IFERROR(__xludf.DUMMYFUNCTION("""COMPUTED_VALUE"""),"A Saya suka membaca buku-buku tentang pergaulan remaja.")</f>
        <v>A Saya suka membaca buku-buku tentang pergaulan remaja.</v>
      </c>
      <c r="AI46" s="95" t="str">
        <f>IFERROR(__xludf.DUMMYFUNCTION("""COMPUTED_VALUE"""),"B Saya suka melakukan kegiatan sesuai kondisi yang saya inginkan.")</f>
        <v>B Saya suka melakukan kegiatan sesuai kondisi yang saya inginkan.</v>
      </c>
      <c r="AJ46" s="95" t="str">
        <f>IFERROR(__xludf.DUMMYFUNCTION("""COMPUTED_VALUE"""),"B Saya suka bertahan menghadapi satu masalah meskipun belum tentu berhasil.")</f>
        <v>B Saya suka bertahan menghadapi satu masalah meskipun belum tentu berhasil.</v>
      </c>
      <c r="AK46" s="95" t="str">
        <f>IFERROR(__xludf.DUMMYFUNCTION("""COMPUTED_VALUE"""),"B Bila saya harus melakukan suatu tugas, saya ingin mengerjakan sampai selesai.")</f>
        <v>B Bila saya harus melakukan suatu tugas, saya ingin mengerjakan sampai selesai.</v>
      </c>
      <c r="AL46" s="95" t="str">
        <f>IFERROR(__xludf.DUMMYFUNCTION("""COMPUTED_VALUE"""),"B Saya ingin menghindarkan gangguan bila saya sedang belajar.")</f>
        <v>B Saya ingin menghindarkan gangguan bila saya sedang belajar.</v>
      </c>
      <c r="AM46" s="95" t="str">
        <f>IFERROR(__xludf.DUMMYFUNCTION("""COMPUTED_VALUE"""),"A Saya ingin teman-teman saya merasa kasihan pada saya apabila saya sakit.")</f>
        <v>A Saya ingin teman-teman saya merasa kasihan pada saya apabila saya sakit.</v>
      </c>
      <c r="AN46" s="95" t="str">
        <f>IFERROR(__xludf.DUMMYFUNCTION("""COMPUTED_VALUE"""),"A Saya tidak suka pada orang yang semena-mena.")</f>
        <v>A Saya tidak suka pada orang yang semena-mena.</v>
      </c>
      <c r="AO46" s="95" t="str">
        <f>IFERROR(__xludf.DUMMYFUNCTION("""COMPUTED_VALUE"""),"B Saya suka menyelesaikan setiap tugas meskipun membutuhkan waktu lama.")</f>
        <v>B Saya suka menyelesaikan setiap tugas meskipun membutuhkan waktu lama.</v>
      </c>
      <c r="AP46" s="95" t="str">
        <f>IFERROR(__xludf.DUMMYFUNCTION("""COMPUTED_VALUE"""),"B Saya suka bertahan menghadapi satu masalah meskipun belum tentu berhasil.")</f>
        <v>B Saya suka bertahan menghadapi satu masalah meskipun belum tentu berhasil.</v>
      </c>
      <c r="AQ46" s="95" t="str">
        <f>IFERROR(__xludf.DUMMYFUNCTION("""COMPUTED_VALUE"""),"A Saya ingin bisa mengerjakan segala sesuatu lebih baik daripada orang-orang lain.")</f>
        <v>A Saya ingin bisa mengerjakan segala sesuatu lebih baik daripada orang-orang lain.</v>
      </c>
      <c r="AR46" s="95" t="str">
        <f>IFERROR(__xludf.DUMMYFUNCTION("""COMPUTED_VALUE"""),"A Saya suka menyimpan catatan secara rapi.")</f>
        <v>A Saya suka menyimpan catatan secara rapi.</v>
      </c>
      <c r="AS46" s="95" t="str">
        <f>IFERROR(__xludf.DUMMYFUNCTION("""COMPUTED_VALUE"""),"A Saya ingin dapat menyelesaikan persoalan yang dianggap sukar bagi orang lain.")</f>
        <v>A Saya ingin dapat menyelesaikan persoalan yang dianggap sukar bagi orang lain.</v>
      </c>
      <c r="AT46" s="95" t="str">
        <f>IFERROR(__xludf.DUMMYFUNCTION("""COMPUTED_VALUE"""),"B Saya suka membantu orang lain yang menurut saya perlu dikasihani.")</f>
        <v>B Saya suka membantu orang lain yang menurut saya perlu dikasihani.</v>
      </c>
      <c r="AU46" s="95" t="str">
        <f>IFERROR(__xludf.DUMMYFUNCTION("""COMPUTED_VALUE"""),"A Saya ingin menyelesaikan pekerjaan satu persatu sebelum memulai yang lain.")</f>
        <v>A Saya ingin menyelesaikan pekerjaan satu persatu sebelum memulai yang lain.</v>
      </c>
      <c r="AV46" s="95" t="str">
        <f>IFERROR(__xludf.DUMMYFUNCTION("""COMPUTED_VALUE"""),"B Saya suka menolong teman-teman saya.")</f>
        <v>B Saya suka menolong teman-teman saya.</v>
      </c>
      <c r="AW46" s="95" t="str">
        <f>IFERROR(__xludf.DUMMYFUNCTION("""COMPUTED_VALUE"""),"A Saya ingin mengerjakan tugas sampai selesai.")</f>
        <v>A Saya ingin mengerjakan tugas sampai selesai.</v>
      </c>
      <c r="AX46" s="95" t="str">
        <f>IFERROR(__xludf.DUMMYFUNCTION("""COMPUTED_VALUE"""),"B Saya suka memaafkan teman-teman saya yang menyakiti hati saya.")</f>
        <v>B Saya suka memaafkan teman-teman saya yang menyakiti hati saya.</v>
      </c>
      <c r="AY46" s="95" t="str">
        <f>IFERROR(__xludf.DUMMYFUNCTION("""COMPUTED_VALUE"""),"B Saya suka menolong teman-teman saya apabila mereka dalam kesulitan.")</f>
        <v>B Saya suka menolong teman-teman saya apabila mereka dalam kesulitan.</v>
      </c>
      <c r="AZ46" s="95" t="str">
        <f>IFERROR(__xludf.DUMMYFUNCTION("""COMPUTED_VALUE"""),"B Saya suka menunjukkan simpati saya kepada teman-teman saya.")</f>
        <v>B Saya suka menunjukkan simpati saya kepada teman-teman saya.</v>
      </c>
      <c r="BA46" s="95" t="str">
        <f>IFERROR(__xludf.DUMMYFUNCTION("""COMPUTED_VALUE"""),"B Saya suka memperlakukan orang lain dengan baik dan ramah.")</f>
        <v>B Saya suka memperlakukan orang lain dengan baik dan ramah.</v>
      </c>
      <c r="BB46" s="95" t="str">
        <f>IFERROR(__xludf.DUMMYFUNCTION("""COMPUTED_VALUE"""),"A Saya berkeinginan untuk bersama orang yang menarik bagi saya.")</f>
        <v>A Saya berkeinginan untuk bersama orang yang menarik bagi saya.</v>
      </c>
      <c r="BC46" s="95" t="str">
        <f>IFERROR(__xludf.DUMMYFUNCTION("""COMPUTED_VALUE"""),"B Saya suka membantu orang lain yang menurut saya perlu dikasihani.")</f>
        <v>B Saya suka membantu orang lain yang menurut saya perlu dikasihani.</v>
      </c>
      <c r="BD46" s="95" t="str">
        <f>IFERROR(__xludf.DUMMYFUNCTION("""COMPUTED_VALUE"""),"B Saya suka bersikukuh dengan pendirian saya.")</f>
        <v>B Saya suka bersikukuh dengan pendirian saya.</v>
      </c>
      <c r="BE46" s="95" t="str">
        <f>IFERROR(__xludf.DUMMYFUNCTION("""COMPUTED_VALUE"""),"B Saya ingin orang lain melakukan apa yang saya kehendaki.")</f>
        <v>B Saya ingin orang lain melakukan apa yang saya kehendaki.</v>
      </c>
      <c r="BF46" s="95" t="str">
        <f>IFERROR(__xludf.DUMMYFUNCTION("""COMPUTED_VALUE"""),"A Saya ingin orang lain memperhatikan dan berkomentar tentang penampilan saya.")</f>
        <v>A Saya ingin orang lain memperhatikan dan berkomentar tentang penampilan saya.</v>
      </c>
      <c r="BG46" s="95" t="str">
        <f>IFERROR(__xludf.DUMMYFUNCTION("""COMPUTED_VALUE"""),"B Saya suka mengarahkan kepada orang lain apa yang harus dilakukan.")</f>
        <v>B Saya suka mengarahkan kepada orang lain apa yang harus dilakukan.</v>
      </c>
      <c r="BH46" s="95" t="str">
        <f>IFERROR(__xludf.DUMMYFUNCTION("""COMPUTED_VALUE"""),"B Apabila saya berkumpul dalam kelompok, saya ingin dihargai teman-teman.")</f>
        <v>B Apabila saya berkumpul dalam kelompok, saya ingin dihargai teman-teman.</v>
      </c>
      <c r="BI46" s="95" t="str">
        <f>IFERROR(__xludf.DUMMYFUNCTION("""COMPUTED_VALUE"""),"A Saya suka bermurah hati terhadap teman-teman saya.")</f>
        <v>A Saya suka bermurah hati terhadap teman-teman saya.</v>
      </c>
      <c r="BJ46" s="95" t="str">
        <f>IFERROR(__xludf.DUMMYFUNCTION("""COMPUTED_VALUE"""),"A Saya ingin mengerjakan tugas sampai selesai.")</f>
        <v>A Saya ingin mengerjakan tugas sampai selesai.</v>
      </c>
      <c r="BK46" s="95" t="str">
        <f>IFERROR(__xludf.DUMMYFUNCTION("""COMPUTED_VALUE"""),"A Saya ingin menyelesaikan pekerjaan satu persatu sebelum memulai yang lain.")</f>
        <v>A Saya ingin menyelesaikan pekerjaan satu persatu sebelum memulai yang lain.</v>
      </c>
      <c r="BL46" s="95" t="str">
        <f>IFERROR(__xludf.DUMMYFUNCTION("""COMPUTED_VALUE"""),"A Saya suka belajar saya teratur dan ada waktu-waktu tertentu untuk belajar.")</f>
        <v>A Saya suka belajar saya teratur dan ada waktu-waktu tertentu untuk belajar.</v>
      </c>
      <c r="BM46" s="95" t="str">
        <f>IFERROR(__xludf.DUMMYFUNCTION("""COMPUTED_VALUE"""),"A Saya suka melakukan pekerjaan sebaik mungkin.")</f>
        <v>A Saya suka melakukan pekerjaan sebaik mungkin.</v>
      </c>
      <c r="BN46" s="95" t="str">
        <f>IFERROR(__xludf.DUMMYFUNCTION("""COMPUTED_VALUE"""),"B Saya ingin teman-teman memberi dorongan bila saya menghadapi kegagalan.")</f>
        <v>B Saya ingin teman-teman memberi dorongan bila saya menghadapi kegagalan.</v>
      </c>
      <c r="BO46" s="95" t="str">
        <f>IFERROR(__xludf.DUMMYFUNCTION("""COMPUTED_VALUE"""),"B Saya ingin diperlakukan dengan baik oleh teman-teman saya.")</f>
        <v>B Saya ingin diperlakukan dengan baik oleh teman-teman saya.</v>
      </c>
      <c r="BP46" s="95" t="str">
        <f>IFERROR(__xludf.DUMMYFUNCTION("""COMPUTED_VALUE"""),"A Saya ingin menyelesaikan sesuatu yang sangat penting artinya.")</f>
        <v>A Saya ingin menyelesaikan sesuatu yang sangat penting artinya.</v>
      </c>
      <c r="BQ46" s="95" t="str">
        <f>IFERROR(__xludf.DUMMYFUNCTION("""COMPUTED_VALUE"""),"A Saya ingin mengerjakannya tugas sampai selesai.")</f>
        <v>A Saya ingin mengerjakannya tugas sampai selesai.</v>
      </c>
      <c r="BR46" s="95" t="str">
        <f>IFERROR(__xludf.DUMMYFUNCTION("""COMPUTED_VALUE"""),"B Saya ingin agar teman-teman saya bersimpati dan menghibur saya bila saya sedih.")</f>
        <v>B Saya ingin agar teman-teman saya bersimpati dan menghibur saya bila saya sedih.</v>
      </c>
      <c r="BS46" s="95" t="str">
        <f>IFERROR(__xludf.DUMMYFUNCTION("""COMPUTED_VALUE"""),"B Saya ingin teman-teman saya membantu saya bila saya mengalami kesulitan")</f>
        <v>B Saya ingin teman-teman saya membantu saya bila saya mengalami kesulitan</v>
      </c>
      <c r="BT46" s="95" t="str">
        <f>IFERROR(__xludf.DUMMYFUNCTION("""COMPUTED_VALUE"""),"A Saya ingin teman-teman saya merasa kasihan pada saya apabila saya sakit.")</f>
        <v>A Saya ingin teman-teman saya merasa kasihan pada saya apabila saya sakit.</v>
      </c>
      <c r="BU46" s="95" t="str">
        <f>IFERROR(__xludf.DUMMYFUNCTION("""COMPUTED_VALUE"""),"B Saya ingin agar teman-teman saya merasa kasihan pada saya apabila saya sakit.")</f>
        <v>B Saya ingin agar teman-teman saya merasa kasihan pada saya apabila saya sakit.</v>
      </c>
      <c r="BV46" s="95" t="str">
        <f>IFERROR(__xludf.DUMMYFUNCTION("""COMPUTED_VALUE"""),"B Saya ingin teman-teman dengan gembira memberikan pertolongan kepada saya.")</f>
        <v>B Saya ingin teman-teman dengan gembira memberikan pertolongan kepada saya.</v>
      </c>
      <c r="BW46" s="95" t="str">
        <f>IFERROR(__xludf.DUMMYFUNCTION("""COMPUTED_VALUE"""),"B Saya ingin diperlakukan dengan baik oleh teman-teman saya.")</f>
        <v>B Saya ingin diperlakukan dengan baik oleh teman-teman saya.</v>
      </c>
      <c r="BX46" s="95" t="str">
        <f>IFERROR(__xludf.DUMMYFUNCTION("""COMPUTED_VALUE"""),"B Saya kadang-kadang suka melakukan hal-hal yang dapat dipuji oleh orang lain.")</f>
        <v>B Saya kadang-kadang suka melakukan hal-hal yang dapat dipuji oleh orang lain.</v>
      </c>
      <c r="BY46" s="95" t="str">
        <f>IFERROR(__xludf.DUMMYFUNCTION("""COMPUTED_VALUE"""),"A Saya suka melamun atau membayangkan hal-hal yang tidak jelas.")</f>
        <v>A Saya suka melamun atau membayangkan hal-hal yang tidak jelas.</v>
      </c>
      <c r="BZ46" s="95" t="str">
        <f>IFERROR(__xludf.DUMMYFUNCTION("""COMPUTED_VALUE"""),"B Saya suka diperhatikan, apabila saya ada di dalam suatu kelompok.")</f>
        <v>B Saya suka diperhatikan, apabila saya ada di dalam suatu kelompok.</v>
      </c>
      <c r="CA46" s="95" t="str">
        <f>IFERROR(__xludf.DUMMYFUNCTION("""COMPUTED_VALUE"""),"A Saya ingin teman-teman dengan gembira memberikan pertolongan kepada saya.")</f>
        <v>A Saya ingin teman-teman dengan gembira memberikan pertolongan kepada saya.</v>
      </c>
      <c r="CB46" s="95" t="str">
        <f>IFERROR(__xludf.DUMMYFUNCTION("""COMPUTED_VALUE"""),"B Saya suka berbicara tentang hal-hal yang telah saya capai.")</f>
        <v>B Saya suka berbicara tentang hal-hal yang telah saya capai.</v>
      </c>
      <c r="CC46" s="95" t="str">
        <f>IFERROR(__xludf.DUMMYFUNCTION("""COMPUTED_VALUE"""),"A Apabila saya berkumpul dalam kelompok, saya ingin dihargai teman-teman.")</f>
        <v>A Apabila saya berkumpul dalam kelompok, saya ingin dihargai teman-teman.</v>
      </c>
      <c r="CD46" s="95" t="str">
        <f>IFERROR(__xludf.DUMMYFUNCTION("""COMPUTED_VALUE"""),"A Saya suka menyelesaikan setiap tugas meskipun membutuhkan waktu lama.")</f>
        <v>A Saya suka menyelesaikan setiap tugas meskipun membutuhkan waktu lama.</v>
      </c>
      <c r="CE46" s="95" t="str">
        <f>IFERROR(__xludf.DUMMYFUNCTION("""COMPUTED_VALUE"""),"A Saya suka menyelesaikan setiap tugas belajar yang telah saya mulai.")</f>
        <v>A Saya suka menyelesaikan setiap tugas belajar yang telah saya mulai.</v>
      </c>
      <c r="CF46" s="95" t="str">
        <f>IFERROR(__xludf.DUMMYFUNCTION("""COMPUTED_VALUE"""),"A Saya ingin agar hidup saya teratur sesuai cita-cita saya.")</f>
        <v>A Saya ingin agar hidup saya teratur sesuai cita-cita saya.</v>
      </c>
      <c r="CG46" s="95" t="str">
        <f>IFERROR(__xludf.DUMMYFUNCTION("""COMPUTED_VALUE"""),"A Saya ingin berhasil dalam apa yang saya lakukan.")</f>
        <v>A Saya ingin berhasil dalam apa yang saya lakukan.</v>
      </c>
      <c r="CH46" s="95" t="str">
        <f>IFERROR(__xludf.DUMMYFUNCTION("""COMPUTED_VALUE"""),"A Saya ingin bisa melakukan dengan baik sesuatu pekerjaan sulit.")</f>
        <v>A Saya ingin bisa melakukan dengan baik sesuatu pekerjaan sulit.</v>
      </c>
      <c r="CI46" s="95" t="str">
        <f>IFERROR(__xludf.DUMMYFUNCTION("""COMPUTED_VALUE"""),"A Saya suka belajar saya teratur dan ada waktu-waktu tertentu untuk belajar.")</f>
        <v>A Saya suka belajar saya teratur dan ada waktu-waktu tertentu untuk belajar.</v>
      </c>
      <c r="CJ46" s="95" t="str">
        <f>IFERROR(__xludf.DUMMYFUNCTION("""COMPUTED_VALUE"""),"A Saya ingin tidak tergantung dari orang lain terhadap apa yang akan saya lakukan.")</f>
        <v>A Saya ingin tidak tergantung dari orang lain terhadap apa yang akan saya lakukan.</v>
      </c>
      <c r="CK46" s="95" t="str">
        <f>IFERROR(__xludf.DUMMYFUNCTION("""COMPUTED_VALUE"""),"B Saya senang ikut beraktivitas bersama teman sebaya saya.")</f>
        <v>B Saya senang ikut beraktivitas bersama teman sebaya saya.</v>
      </c>
      <c r="CL46" s="95" t="str">
        <f>IFERROR(__xludf.DUMMYFUNCTION("""COMPUTED_VALUE"""),"B Saya berkeinginan untuk bersama teman yang menurut saya menarik.")</f>
        <v>B Saya berkeinginan untuk bersama teman yang menurut saya menarik.</v>
      </c>
      <c r="CM46" s="95" t="str">
        <f>IFERROR(__xludf.DUMMYFUNCTION("""COMPUTED_VALUE"""),"B Saya merasa kagum pada seseorang.")</f>
        <v>B Saya merasa kagum pada seseorang.</v>
      </c>
      <c r="CN46" s="95" t="str">
        <f>IFERROR(__xludf.DUMMYFUNCTION("""COMPUTED_VALUE"""),"A Saya ingin diperlakukan dengan baik oleh teman-teman saya.")</f>
        <v>A Saya ingin diperlakukan dengan baik oleh teman-teman saya.</v>
      </c>
      <c r="CO46" s="95" t="str">
        <f>IFERROR(__xludf.DUMMYFUNCTION("""COMPUTED_VALUE"""),"B Saya suka memuji orang yang saya kagumi.")</f>
        <v>B Saya suka memuji orang yang saya kagumi.</v>
      </c>
      <c r="CP46" s="95" t="str">
        <f>IFERROR(__xludf.DUMMYFUNCTION("""COMPUTED_VALUE"""),"A Saya suka melamun atau membayangkan sesuatu sendirian.")</f>
        <v>A Saya suka melamun atau membayangkan sesuatu sendirian.</v>
      </c>
      <c r="CQ46" s="95" t="str">
        <f>IFERROR(__xludf.DUMMYFUNCTION("""COMPUTED_VALUE"""),"B Saya merasa kagum pada seseorang.")</f>
        <v>B Saya merasa kagum pada seseorang.</v>
      </c>
      <c r="CR46" s="95" t="str">
        <f>IFERROR(__xludf.DUMMYFUNCTION("""COMPUTED_VALUE"""),"B Saya rasanya ingin mengecam seseorang bila orang itu menjengkelkan.")</f>
        <v>B Saya rasanya ingin mengecam seseorang bila orang itu menjengkelkan.</v>
      </c>
      <c r="CS46" s="95" t="str">
        <f>IFERROR(__xludf.DUMMYFUNCTION("""COMPUTED_VALUE"""),"B Saya rasanya ingin membalas dendam bila seseorang menghina saya.")</f>
        <v>B Saya rasanya ingin membalas dendam bila seseorang menghina saya.</v>
      </c>
      <c r="CT46" s="95" t="str">
        <f>IFERROR(__xludf.DUMMYFUNCTION("""COMPUTED_VALUE"""),"A Saya ingin orang-orang memperhatikan komentar mengenai penampilan saya.")</f>
        <v>A Saya ingin orang-orang memperhatikan komentar mengenai penampilan saya.</v>
      </c>
      <c r="CU46" s="95" t="str">
        <f>IFERROR(__xludf.DUMMYFUNCTION("""COMPUTED_VALUE"""),"A Saya ingin diperlakukan dengan ramah oleh teman-teman saya.")</f>
        <v>A Saya ingin diperlakukan dengan ramah oleh teman-teman saya.</v>
      </c>
      <c r="CV46" s="95" t="str">
        <f>IFERROR(__xludf.DUMMYFUNCTION("""COMPUTED_VALUE"""),"A Saya ingin ditunjuk atau dipilih sebagai ketua dalam suatu kelompok.")</f>
        <v>A Saya ingin ditunjuk atau dipilih sebagai ketua dalam suatu kelompok.</v>
      </c>
      <c r="CW46" s="95" t="str">
        <f>IFERROR(__xludf.DUMMYFUNCTION("""COMPUTED_VALUE"""),"A Saya suka menolong teman-teman saya, apabila mereka dalam kesulitan.")</f>
        <v>A Saya suka menolong teman-teman saya, apabila mereka dalam kesulitan.</v>
      </c>
      <c r="CX46" s="95" t="str">
        <f>IFERROR(__xludf.DUMMYFUNCTION("""COMPUTED_VALUE"""),"A Saya suka belajar sampai malam untuk menyelesaikan suatu tugas.")</f>
        <v>A Saya suka belajar sampai malam untuk menyelesaikan suatu tugas.</v>
      </c>
      <c r="CY46" s="95" t="str">
        <f>IFERROR(__xludf.DUMMYFUNCTION("""COMPUTED_VALUE"""),"A Saya ingin tidak tergantung dari orang lain terhadap apa yang akan saya lakukan.")</f>
        <v>A Saya ingin tidak tergantung dari orang lain terhadap apa yang akan saya lakukan.</v>
      </c>
      <c r="CZ46" s="95" t="str">
        <f>IFERROR(__xludf.DUMMYFUNCTION("""COMPUTED_VALUE"""),"A Saya suka merencanakan dan mengatur setiap pekerjaan yang harus saya lakukan.")</f>
        <v>A Saya suka merencanakan dan mengatur setiap pekerjaan yang harus saya lakukan.</v>
      </c>
      <c r="DA46" s="95" t="str">
        <f>IFERROR(__xludf.DUMMYFUNCTION("""COMPUTED_VALUE"""),"A Saya ingin melakukan apa saja sebaik mungkin.")</f>
        <v>A Saya ingin melakukan apa saja sebaik mungkin.</v>
      </c>
      <c r="DB46" s="89" t="s">
        <v>23</v>
      </c>
      <c r="DC46" s="97" t="str">
        <f t="shared" ref="DC46:GX46" si="91">LEFT(F46,1)</f>
        <v>B</v>
      </c>
      <c r="DD46" s="97" t="str">
        <f t="shared" si="91"/>
        <v>A</v>
      </c>
      <c r="DE46" s="97" t="str">
        <f t="shared" si="91"/>
        <v>B</v>
      </c>
      <c r="DF46" s="97" t="str">
        <f t="shared" si="91"/>
        <v>B</v>
      </c>
      <c r="DG46" s="97" t="str">
        <f t="shared" si="91"/>
        <v>B</v>
      </c>
      <c r="DH46" s="97" t="str">
        <f t="shared" si="91"/>
        <v>B</v>
      </c>
      <c r="DI46" s="97" t="str">
        <f t="shared" si="91"/>
        <v>B</v>
      </c>
      <c r="DJ46" s="97" t="str">
        <f t="shared" si="91"/>
        <v>B</v>
      </c>
      <c r="DK46" s="97" t="str">
        <f t="shared" si="91"/>
        <v>B</v>
      </c>
      <c r="DL46" s="97" t="str">
        <f t="shared" si="91"/>
        <v>B</v>
      </c>
      <c r="DM46" s="97" t="str">
        <f t="shared" si="91"/>
        <v>B</v>
      </c>
      <c r="DN46" s="97" t="str">
        <f t="shared" si="91"/>
        <v>A</v>
      </c>
      <c r="DO46" s="97" t="str">
        <f t="shared" si="91"/>
        <v>B</v>
      </c>
      <c r="DP46" s="97" t="str">
        <f t="shared" si="91"/>
        <v>B</v>
      </c>
      <c r="DQ46" s="97" t="str">
        <f t="shared" si="91"/>
        <v>B</v>
      </c>
      <c r="DR46" s="97" t="str">
        <f t="shared" si="91"/>
        <v>A</v>
      </c>
      <c r="DS46" s="97" t="str">
        <f t="shared" si="91"/>
        <v>B</v>
      </c>
      <c r="DT46" s="97" t="str">
        <f t="shared" si="91"/>
        <v>B</v>
      </c>
      <c r="DU46" s="97" t="str">
        <f t="shared" si="91"/>
        <v>A</v>
      </c>
      <c r="DV46" s="97" t="str">
        <f t="shared" si="91"/>
        <v>B</v>
      </c>
      <c r="DW46" s="97" t="str">
        <f t="shared" si="91"/>
        <v>A</v>
      </c>
      <c r="DX46" s="97" t="str">
        <f t="shared" si="91"/>
        <v>B</v>
      </c>
      <c r="DY46" s="97" t="str">
        <f t="shared" si="91"/>
        <v>B</v>
      </c>
      <c r="DZ46" s="97" t="str">
        <f t="shared" si="91"/>
        <v>B</v>
      </c>
      <c r="EA46" s="97" t="str">
        <f t="shared" si="91"/>
        <v>A</v>
      </c>
      <c r="EB46" s="97" t="str">
        <f t="shared" si="91"/>
        <v>A</v>
      </c>
      <c r="EC46" s="97" t="str">
        <f t="shared" si="91"/>
        <v>A</v>
      </c>
      <c r="ED46" s="97" t="str">
        <f t="shared" si="91"/>
        <v>B</v>
      </c>
      <c r="EE46" s="97" t="str">
        <f t="shared" si="91"/>
        <v>A</v>
      </c>
      <c r="EF46" s="97" t="str">
        <f t="shared" si="91"/>
        <v>B</v>
      </c>
      <c r="EG46" s="97" t="str">
        <f t="shared" si="91"/>
        <v>B</v>
      </c>
      <c r="EH46" s="97" t="str">
        <f t="shared" si="91"/>
        <v>B</v>
      </c>
      <c r="EI46" s="97" t="str">
        <f t="shared" si="91"/>
        <v>B</v>
      </c>
      <c r="EJ46" s="97" t="str">
        <f t="shared" si="91"/>
        <v>A</v>
      </c>
      <c r="EK46" s="97" t="str">
        <f t="shared" si="91"/>
        <v>A</v>
      </c>
      <c r="EL46" s="97" t="str">
        <f t="shared" si="91"/>
        <v>B</v>
      </c>
      <c r="EM46" s="97" t="str">
        <f t="shared" si="91"/>
        <v>B</v>
      </c>
      <c r="EN46" s="97" t="str">
        <f t="shared" si="91"/>
        <v>A</v>
      </c>
      <c r="EO46" s="97" t="str">
        <f t="shared" si="91"/>
        <v>A</v>
      </c>
      <c r="EP46" s="97" t="str">
        <f t="shared" si="91"/>
        <v>A</v>
      </c>
      <c r="EQ46" s="97" t="str">
        <f t="shared" si="91"/>
        <v>B</v>
      </c>
      <c r="ER46" s="97" t="str">
        <f t="shared" si="91"/>
        <v>A</v>
      </c>
      <c r="ES46" s="97" t="str">
        <f t="shared" si="91"/>
        <v>B</v>
      </c>
      <c r="ET46" s="97" t="str">
        <f t="shared" si="91"/>
        <v>A</v>
      </c>
      <c r="EU46" s="97" t="str">
        <f t="shared" si="91"/>
        <v>B</v>
      </c>
      <c r="EV46" s="97" t="str">
        <f t="shared" si="91"/>
        <v>B</v>
      </c>
      <c r="EW46" s="97" t="str">
        <f t="shared" si="91"/>
        <v>B</v>
      </c>
      <c r="EX46" s="97" t="str">
        <f t="shared" si="91"/>
        <v>B</v>
      </c>
      <c r="EY46" s="97" t="str">
        <f t="shared" si="91"/>
        <v>A</v>
      </c>
      <c r="EZ46" s="97" t="str">
        <f t="shared" si="91"/>
        <v>B</v>
      </c>
      <c r="FA46" s="97" t="str">
        <f t="shared" si="91"/>
        <v>B</v>
      </c>
      <c r="FB46" s="97" t="str">
        <f t="shared" si="91"/>
        <v>B</v>
      </c>
      <c r="FC46" s="97" t="str">
        <f t="shared" si="91"/>
        <v>A</v>
      </c>
      <c r="FD46" s="97" t="str">
        <f t="shared" si="91"/>
        <v>B</v>
      </c>
      <c r="FE46" s="97" t="str">
        <f t="shared" si="91"/>
        <v>B</v>
      </c>
      <c r="FF46" s="97" t="str">
        <f t="shared" si="91"/>
        <v>A</v>
      </c>
      <c r="FG46" s="97" t="str">
        <f t="shared" si="91"/>
        <v>A</v>
      </c>
      <c r="FH46" s="97" t="str">
        <f t="shared" si="91"/>
        <v>A</v>
      </c>
      <c r="FI46" s="97" t="str">
        <f t="shared" si="91"/>
        <v>A</v>
      </c>
      <c r="FJ46" s="97" t="str">
        <f t="shared" si="91"/>
        <v>A</v>
      </c>
      <c r="FK46" s="97" t="str">
        <f t="shared" si="91"/>
        <v>B</v>
      </c>
      <c r="FL46" s="97" t="str">
        <f t="shared" si="91"/>
        <v>B</v>
      </c>
      <c r="FM46" s="97" t="str">
        <f t="shared" si="91"/>
        <v>A</v>
      </c>
      <c r="FN46" s="97" t="str">
        <f t="shared" si="91"/>
        <v>A</v>
      </c>
      <c r="FO46" s="97" t="str">
        <f t="shared" si="91"/>
        <v>B</v>
      </c>
      <c r="FP46" s="97" t="str">
        <f t="shared" si="91"/>
        <v>B</v>
      </c>
      <c r="FQ46" s="97" t="str">
        <f t="shared" si="91"/>
        <v>A</v>
      </c>
      <c r="FR46" s="97" t="str">
        <f t="shared" si="91"/>
        <v>B</v>
      </c>
      <c r="FS46" s="97" t="str">
        <f t="shared" si="91"/>
        <v>B</v>
      </c>
      <c r="FT46" s="97" t="str">
        <f t="shared" si="91"/>
        <v>B</v>
      </c>
      <c r="FU46" s="97" t="str">
        <f t="shared" si="91"/>
        <v>B</v>
      </c>
      <c r="FV46" s="97" t="str">
        <f t="shared" si="91"/>
        <v>A</v>
      </c>
      <c r="FW46" s="97" t="str">
        <f t="shared" si="91"/>
        <v>B</v>
      </c>
      <c r="FX46" s="97" t="str">
        <f t="shared" si="91"/>
        <v>A</v>
      </c>
      <c r="FY46" s="97" t="str">
        <f t="shared" si="91"/>
        <v>B</v>
      </c>
      <c r="FZ46" s="97" t="str">
        <f t="shared" si="91"/>
        <v>A</v>
      </c>
      <c r="GA46" s="97" t="str">
        <f t="shared" si="91"/>
        <v>A</v>
      </c>
      <c r="GB46" s="97" t="str">
        <f t="shared" si="91"/>
        <v>A</v>
      </c>
      <c r="GC46" s="97" t="str">
        <f t="shared" si="91"/>
        <v>A</v>
      </c>
      <c r="GD46" s="97" t="str">
        <f t="shared" si="91"/>
        <v>A</v>
      </c>
      <c r="GE46" s="97" t="str">
        <f t="shared" si="91"/>
        <v>A</v>
      </c>
      <c r="GF46" s="97" t="str">
        <f t="shared" si="91"/>
        <v>A</v>
      </c>
      <c r="GG46" s="97" t="str">
        <f t="shared" si="91"/>
        <v>A</v>
      </c>
      <c r="GH46" s="97" t="str">
        <f t="shared" si="91"/>
        <v>B</v>
      </c>
      <c r="GI46" s="97" t="str">
        <f t="shared" si="91"/>
        <v>B</v>
      </c>
      <c r="GJ46" s="97" t="str">
        <f t="shared" si="91"/>
        <v>B</v>
      </c>
      <c r="GK46" s="97" t="str">
        <f t="shared" si="91"/>
        <v>A</v>
      </c>
      <c r="GL46" s="97" t="str">
        <f t="shared" si="91"/>
        <v>B</v>
      </c>
      <c r="GM46" s="97" t="str">
        <f t="shared" si="91"/>
        <v>A</v>
      </c>
      <c r="GN46" s="97" t="str">
        <f t="shared" si="91"/>
        <v>B</v>
      </c>
      <c r="GO46" s="97" t="str">
        <f t="shared" si="91"/>
        <v>B</v>
      </c>
      <c r="GP46" s="97" t="str">
        <f t="shared" si="91"/>
        <v>B</v>
      </c>
      <c r="GQ46" s="97" t="str">
        <f t="shared" si="91"/>
        <v>A</v>
      </c>
      <c r="GR46" s="97" t="str">
        <f t="shared" si="91"/>
        <v>A</v>
      </c>
      <c r="GS46" s="97" t="str">
        <f t="shared" si="91"/>
        <v>A</v>
      </c>
      <c r="GT46" s="97" t="str">
        <f t="shared" si="91"/>
        <v>A</v>
      </c>
      <c r="GU46" s="97" t="str">
        <f t="shared" si="91"/>
        <v>A</v>
      </c>
      <c r="GV46" s="97" t="str">
        <f t="shared" si="91"/>
        <v>A</v>
      </c>
      <c r="GW46" s="97" t="str">
        <f t="shared" si="91"/>
        <v>A</v>
      </c>
      <c r="GX46" s="97" t="str">
        <f t="shared" si="91"/>
        <v>A</v>
      </c>
      <c r="GY46" s="98"/>
      <c r="GZ46" s="97">
        <f t="shared" si="3"/>
        <v>46</v>
      </c>
      <c r="HA46" s="97">
        <f t="shared" si="4"/>
        <v>54</v>
      </c>
      <c r="HB46" s="90">
        <f t="shared" si="5"/>
        <v>100</v>
      </c>
      <c r="HC46" s="99"/>
      <c r="HD46" s="97">
        <f t="shared" si="6"/>
        <v>6</v>
      </c>
      <c r="HE46" s="97">
        <f t="shared" si="7"/>
        <v>8</v>
      </c>
      <c r="HF46" s="90">
        <f t="shared" si="8"/>
        <v>14</v>
      </c>
      <c r="HG46" s="99"/>
      <c r="HH46" s="97">
        <f t="shared" si="9"/>
        <v>7</v>
      </c>
      <c r="HI46" s="97">
        <f t="shared" si="10"/>
        <v>7</v>
      </c>
      <c r="HJ46" s="90">
        <f t="shared" si="11"/>
        <v>14</v>
      </c>
      <c r="HK46" s="99"/>
      <c r="HL46" s="97">
        <f t="shared" si="12"/>
        <v>6</v>
      </c>
      <c r="HM46" s="97">
        <f t="shared" si="13"/>
        <v>5</v>
      </c>
      <c r="HN46" s="90">
        <f t="shared" si="14"/>
        <v>11</v>
      </c>
      <c r="HO46" s="99"/>
      <c r="HP46" s="97">
        <f t="shared" si="15"/>
        <v>5</v>
      </c>
      <c r="HQ46" s="97">
        <f t="shared" si="16"/>
        <v>5</v>
      </c>
      <c r="HR46" s="90">
        <f t="shared" si="17"/>
        <v>10</v>
      </c>
      <c r="HS46" s="99"/>
      <c r="HT46" s="97">
        <f t="shared" si="18"/>
        <v>5</v>
      </c>
      <c r="HU46" s="97">
        <f t="shared" si="19"/>
        <v>7</v>
      </c>
      <c r="HV46" s="90">
        <f t="shared" si="20"/>
        <v>12</v>
      </c>
      <c r="HW46" s="99"/>
      <c r="HX46" s="97">
        <f t="shared" si="21"/>
        <v>3</v>
      </c>
      <c r="HY46" s="97">
        <f t="shared" si="22"/>
        <v>4</v>
      </c>
      <c r="HZ46" s="90">
        <f t="shared" si="23"/>
        <v>7</v>
      </c>
      <c r="IA46" s="99"/>
      <c r="IB46" s="97">
        <f t="shared" si="24"/>
        <v>5</v>
      </c>
      <c r="IC46" s="97">
        <f t="shared" si="25"/>
        <v>7</v>
      </c>
      <c r="ID46" s="90">
        <f t="shared" si="26"/>
        <v>12</v>
      </c>
      <c r="IE46" s="99"/>
      <c r="IF46" s="97">
        <f t="shared" si="27"/>
        <v>2</v>
      </c>
      <c r="IG46" s="97">
        <f t="shared" si="28"/>
        <v>3</v>
      </c>
      <c r="IH46" s="90">
        <f t="shared" si="29"/>
        <v>5</v>
      </c>
      <c r="II46" s="99"/>
      <c r="IJ46" s="97">
        <f t="shared" si="30"/>
        <v>4</v>
      </c>
      <c r="IK46" s="97">
        <f t="shared" si="31"/>
        <v>5</v>
      </c>
      <c r="IL46" s="90">
        <f t="shared" si="32"/>
        <v>9</v>
      </c>
      <c r="IM46" s="99"/>
      <c r="IN46" s="97">
        <f t="shared" si="33"/>
        <v>0</v>
      </c>
      <c r="IO46" s="97">
        <f t="shared" si="34"/>
        <v>2</v>
      </c>
      <c r="IP46" s="90">
        <f t="shared" si="35"/>
        <v>2</v>
      </c>
      <c r="IQ46" s="99"/>
      <c r="IR46" s="99"/>
      <c r="IS46" s="100">
        <f t="shared" si="36"/>
        <v>14</v>
      </c>
      <c r="IT46" s="100">
        <f t="shared" si="37"/>
        <v>14</v>
      </c>
      <c r="IU46" s="100">
        <f t="shared" si="38"/>
        <v>11</v>
      </c>
      <c r="IV46" s="100">
        <f t="shared" si="39"/>
        <v>10</v>
      </c>
      <c r="IW46" s="100">
        <f t="shared" si="40"/>
        <v>12</v>
      </c>
      <c r="IX46" s="100">
        <f t="shared" si="41"/>
        <v>7</v>
      </c>
      <c r="IY46" s="100">
        <f t="shared" si="42"/>
        <v>12</v>
      </c>
      <c r="IZ46" s="100">
        <f t="shared" si="43"/>
        <v>5</v>
      </c>
      <c r="JA46" s="100">
        <f t="shared" si="44"/>
        <v>9</v>
      </c>
      <c r="JB46" s="101">
        <f t="shared" si="45"/>
        <v>2</v>
      </c>
      <c r="JC46" s="102">
        <f t="shared" si="46"/>
        <v>96</v>
      </c>
      <c r="JD46" s="67">
        <f t="shared" si="50"/>
        <v>0</v>
      </c>
      <c r="JE46" s="67">
        <f t="shared" si="47"/>
        <v>1</v>
      </c>
      <c r="JF46" s="67">
        <f t="shared" si="48"/>
        <v>1</v>
      </c>
    </row>
    <row r="47">
      <c r="A47" s="103">
        <f>IFERROR(__xludf.DUMMYFUNCTION("""COMPUTED_VALUE"""),45928.39136256944)</f>
        <v>45928.39136</v>
      </c>
      <c r="B47" s="95" t="str">
        <f>IFERROR(__xludf.DUMMYFUNCTION("""COMPUTED_VALUE"""),"keanu azka wibowo")</f>
        <v>keanu azka wibowo</v>
      </c>
      <c r="C47" s="96" t="str">
        <f>IFERROR(__xludf.DUMMYFUNCTION("""COMPUTED_VALUE"""),"B250021")</f>
        <v>B250021</v>
      </c>
      <c r="D47" s="96" t="str">
        <f>IFERROR(__xludf.DUMMYFUNCTION("""COMPUTED_VALUE"""),"IL Putra")</f>
        <v>IL Putra</v>
      </c>
      <c r="E47" s="96" t="str">
        <f>IFERROR(__xludf.DUMMYFUNCTION("""COMPUTED_VALUE"""),"Ya")</f>
        <v>Ya</v>
      </c>
      <c r="F47" s="95" t="str">
        <f>IFERROR(__xludf.DUMMYFUNCTION("""COMPUTED_VALUE"""),"A Saya ingin mengerjakan segala tugas lebih baik daripada orang lain.")</f>
        <v>A Saya ingin mengerjakan segala tugas lebih baik daripada orang lain.</v>
      </c>
      <c r="G47" s="95" t="str">
        <f>IFERROR(__xludf.DUMMYFUNCTION("""COMPUTED_VALUE"""),"A Saya ingin setiap tulisan saya teliti, rapi, dan tersusun dengan baik.")</f>
        <v>A Saya ingin setiap tulisan saya teliti, rapi, dan tersusun dengan baik.</v>
      </c>
      <c r="H47" s="95" t="str">
        <f>IFERROR(__xludf.DUMMYFUNCTION("""COMPUTED_VALUE"""),"B Saya ingin menjadi orang yang diakui dalam suatu pekerjaan atau bidang khusus.")</f>
        <v>B Saya ingin menjadi orang yang diakui dalam suatu pekerjaan atau bidang khusus.</v>
      </c>
      <c r="I47" s="95" t="str">
        <f>IFERROR(__xludf.DUMMYFUNCTION("""COMPUTED_VALUE"""),"A Saya suka belajar keras pada tiap pelajaran yang saya hadapi.")</f>
        <v>A Saya suka belajar keras pada tiap pelajaran yang saya hadapi.</v>
      </c>
      <c r="J47" s="95" t="str">
        <f>IFERROR(__xludf.DUMMYFUNCTION("""COMPUTED_VALUE"""),"A Saya suka membantu teman-teman saya apabila mereka mengalami kesulitan.")</f>
        <v>A Saya suka membantu teman-teman saya apabila mereka mengalami kesulitan.</v>
      </c>
      <c r="K47" s="95" t="str">
        <f>IFERROR(__xludf.DUMMYFUNCTION("""COMPUTED_VALUE"""),"A Saya ingin menjadi pemimpin dalam suatu kelompok.")</f>
        <v>A Saya ingin menjadi pemimpin dalam suatu kelompok.</v>
      </c>
      <c r="L47" s="95" t="str">
        <f>IFERROR(__xludf.DUMMYFUNCTION("""COMPUTED_VALUE"""),"A Saya ingin menjadi pemimpin dalam suatu kelompok")</f>
        <v>A Saya ingin menjadi pemimpin dalam suatu kelompok</v>
      </c>
      <c r="M47" s="95" t="str">
        <f>IFERROR(__xludf.DUMMYFUNCTION("""COMPUTED_VALUE"""),"B Saya ingin mengerjakan segala tugas lebih baik daripada orang lain.")</f>
        <v>B Saya ingin mengerjakan segala tugas lebih baik daripada orang lain.</v>
      </c>
      <c r="N47" s="95" t="str">
        <f>IFERROR(__xludf.DUMMYFUNCTION("""COMPUTED_VALUE"""),"B Saya suka memecahkan persoalan yang sukar bagi orang lain.")</f>
        <v>B Saya suka memecahkan persoalan yang sukar bagi orang lain.</v>
      </c>
      <c r="O47" s="95" t="str">
        <f>IFERROR(__xludf.DUMMYFUNCTION("""COMPUTED_VALUE"""),"B Saya suka melakukan tugas sebaik mungkin.")</f>
        <v>B Saya suka melakukan tugas sebaik mungkin.</v>
      </c>
      <c r="P47" s="95" t="str">
        <f>IFERROR(__xludf.DUMMYFUNCTION("""COMPUTED_VALUE"""),"B Saya ingin setiap belajar itu teratur dan direncanakan.")</f>
        <v>B Saya ingin setiap belajar itu teratur dan direncanakan.</v>
      </c>
      <c r="Q47" s="95" t="str">
        <f>IFERROR(__xludf.DUMMYFUNCTION("""COMPUTED_VALUE"""),"A Saya mulai suka dengan lawan jenis.")</f>
        <v>A Saya mulai suka dengan lawan jenis.</v>
      </c>
      <c r="R47" s="95" t="str">
        <f>IFERROR(__xludf.DUMMYFUNCTION("""COMPUTED_VALUE"""),"B Saya suka barang-barang saya tersusun rapi dan teratur.")</f>
        <v>B Saya suka barang-barang saya tersusun rapi dan teratur.</v>
      </c>
      <c r="S47" s="95" t="str">
        <f>IFERROR(__xludf.DUMMYFUNCTION("""COMPUTED_VALUE"""),"B Saya suka membuat perencanaan sebelum memulai tugas yang sulit.")</f>
        <v>B Saya suka membuat perencanaan sebelum memulai tugas yang sulit.</v>
      </c>
      <c r="T47" s="95" t="str">
        <f>IFERROR(__xludf.DUMMYFUNCTION("""COMPUTED_VALUE"""),"B Saya ingin agar hidup saya teratur sesuai cita-cita saya.")</f>
        <v>B Saya ingin agar hidup saya teratur sesuai cita-cita saya.</v>
      </c>
      <c r="U47" s="95" t="str">
        <f>IFERROR(__xludf.DUMMYFUNCTION("""COMPUTED_VALUE"""),"A Saya suka memberikan bantuan kepada teman-teman saya.")</f>
        <v>A Saya suka memberikan bantuan kepada teman-teman saya.</v>
      </c>
      <c r="V47" s="95" t="str">
        <f>IFERROR(__xludf.DUMMYFUNCTION("""COMPUTED_VALUE"""),"B Saya suka belajar saya teratur dan ada waktu-waktu tertentu untuk belajar.")</f>
        <v>B Saya suka belajar saya teratur dan ada waktu-waktu tertentu untuk belajar.</v>
      </c>
      <c r="W47" s="95" t="str">
        <f>IFERROR(__xludf.DUMMYFUNCTION("""COMPUTED_VALUE"""),"B Saya ingin kegiatan itu teratur dan direncanakan.")</f>
        <v>B Saya ingin kegiatan itu teratur dan direncanakan.</v>
      </c>
      <c r="X47" s="95" t="str">
        <f>IFERROR(__xludf.DUMMYFUNCTION("""COMPUTED_VALUE"""),"B Saya ingin agar hidup saya teratur sesuai cita-cita saya.")</f>
        <v>B Saya ingin agar hidup saya teratur sesuai cita-cita saya.</v>
      </c>
      <c r="Y47" s="95" t="str">
        <f>IFERROR(__xludf.DUMMYFUNCTION("""COMPUTED_VALUE"""),"B Saya senang merencanakan untuk masa depan.")</f>
        <v>B Saya senang merencanakan untuk masa depan.</v>
      </c>
      <c r="Z47" s="95" t="str">
        <f>IFERROR(__xludf.DUMMYFUNCTION("""COMPUTED_VALUE"""),"A Saya ingin berhasil dengan belajar yang saya lakukan.")</f>
        <v>A Saya ingin berhasil dengan belajar yang saya lakukan.</v>
      </c>
      <c r="AA47" s="95" t="str">
        <f>IFERROR(__xludf.DUMMYFUNCTION("""COMPUTED_VALUE"""),"A Saya suka menyelesaikan tugas yang telah saya rencanakan.")</f>
        <v>A Saya suka menyelesaikan tugas yang telah saya rencanakan.</v>
      </c>
      <c r="AB47" s="95" t="str">
        <f>IFERROR(__xludf.DUMMYFUNCTION("""COMPUTED_VALUE"""),"A Saya ingin tidak tergantung dari orang lain terhadap apa yang akan saya lakukan.")</f>
        <v>A Saya ingin tidak tergantung dari orang lain terhadap apa yang akan saya lakukan.</v>
      </c>
      <c r="AC47" s="95" t="str">
        <f>IFERROR(__xludf.DUMMYFUNCTION("""COMPUTED_VALUE"""),"A Saya suka menyelesaikan setiap tugas meskipun membutuhkan waktu lama.")</f>
        <v>A Saya suka menyelesaikan setiap tugas meskipun membutuhkan waktu lama.</v>
      </c>
      <c r="AD47" s="95" t="str">
        <f>IFERROR(__xludf.DUMMYFUNCTION("""COMPUTED_VALUE"""),"B Saya suka menyatakan pendapat saya tentang berbagai hal.")</f>
        <v>B Saya suka menyatakan pendapat saya tentang berbagai hal.</v>
      </c>
      <c r="AE47" s="95" t="str">
        <f>IFERROR(__xludf.DUMMYFUNCTION("""COMPUTED_VALUE"""),"B Saya suka melakukan hal-hal yang dianggap orang lain tidak sesuai.")</f>
        <v>B Saya suka melakukan hal-hal yang dianggap orang lain tidak sesuai.</v>
      </c>
      <c r="AF47" s="95" t="str">
        <f>IFERROR(__xludf.DUMMYFUNCTION("""COMPUTED_VALUE"""),"B Saya suka melakukan hal-hal dengan cara saya sendiri.")</f>
        <v>B Saya suka melakukan hal-hal dengan cara saya sendiri.</v>
      </c>
      <c r="AG47" s="95" t="str">
        <f>IFERROR(__xludf.DUMMYFUNCTION("""COMPUTED_VALUE"""),"A Saya mengajari orang lain bagaimana mereka harus melakukan pekerjaan mereka.")</f>
        <v>A Saya mengajari orang lain bagaimana mereka harus melakukan pekerjaan mereka.</v>
      </c>
      <c r="AH47" s="95" t="str">
        <f>IFERROR(__xludf.DUMMYFUNCTION("""COMPUTED_VALUE"""),"A Saya suka membaca buku-buku tentang pergaulan remaja.")</f>
        <v>A Saya suka membaca buku-buku tentang pergaulan remaja.</v>
      </c>
      <c r="AI47" s="95" t="str">
        <f>IFERROR(__xludf.DUMMYFUNCTION("""COMPUTED_VALUE"""),"B Saya suka melakukan kegiatan sesuai kondisi yang saya inginkan.")</f>
        <v>B Saya suka melakukan kegiatan sesuai kondisi yang saya inginkan.</v>
      </c>
      <c r="AJ47" s="95" t="str">
        <f>IFERROR(__xludf.DUMMYFUNCTION("""COMPUTED_VALUE"""),"B Saya suka bertahan menghadapi satu masalah meskipun belum tentu berhasil.")</f>
        <v>B Saya suka bertahan menghadapi satu masalah meskipun belum tentu berhasil.</v>
      </c>
      <c r="AK47" s="95" t="str">
        <f>IFERROR(__xludf.DUMMYFUNCTION("""COMPUTED_VALUE"""),"B Bila saya harus melakukan suatu tugas, saya ingin mengerjakan sampai selesai.")</f>
        <v>B Bila saya harus melakukan suatu tugas, saya ingin mengerjakan sampai selesai.</v>
      </c>
      <c r="AL47" s="95" t="str">
        <f>IFERROR(__xludf.DUMMYFUNCTION("""COMPUTED_VALUE"""),"A Saya suka berbicara tentang hal-hal yang telah saya capai.")</f>
        <v>A Saya suka berbicara tentang hal-hal yang telah saya capai.</v>
      </c>
      <c r="AM47" s="95" t="str">
        <f>IFERROR(__xludf.DUMMYFUNCTION("""COMPUTED_VALUE"""),"B Saya suka belajar sampai malam untuk menyelesaikan suatu tugas.")</f>
        <v>B Saya suka belajar sampai malam untuk menyelesaikan suatu tugas.</v>
      </c>
      <c r="AN47" s="95" t="str">
        <f>IFERROR(__xludf.DUMMYFUNCTION("""COMPUTED_VALUE"""),"A Saya tidak suka pada orang yang semena-mena.")</f>
        <v>A Saya tidak suka pada orang yang semena-mena.</v>
      </c>
      <c r="AO47" s="95" t="str">
        <f>IFERROR(__xludf.DUMMYFUNCTION("""COMPUTED_VALUE"""),"A Saya suka berlaku sangat ramah terhadap teman-teman saya.")</f>
        <v>A Saya suka berlaku sangat ramah terhadap teman-teman saya.</v>
      </c>
      <c r="AP47" s="95" t="str">
        <f>IFERROR(__xludf.DUMMYFUNCTION("""COMPUTED_VALUE"""),"B Saya suka bertahan menghadapi satu masalah meskipun belum tentu berhasil.")</f>
        <v>B Saya suka bertahan menghadapi satu masalah meskipun belum tentu berhasil.</v>
      </c>
      <c r="AQ47" s="95" t="str">
        <f>IFERROR(__xludf.DUMMYFUNCTION("""COMPUTED_VALUE"""),"A Saya ingin bisa mengerjakan segala sesuatu lebih baik daripada orang-orang lain.")</f>
        <v>A Saya ingin bisa mengerjakan segala sesuatu lebih baik daripada orang-orang lain.</v>
      </c>
      <c r="AR47" s="95" t="str">
        <f>IFERROR(__xludf.DUMMYFUNCTION("""COMPUTED_VALUE"""),"A Saya suka menyimpan catatan secara rapi.")</f>
        <v>A Saya suka menyimpan catatan secara rapi.</v>
      </c>
      <c r="AS47" s="95" t="str">
        <f>IFERROR(__xludf.DUMMYFUNCTION("""COMPUTED_VALUE"""),"A Saya ingin dapat menyelesaikan persoalan yang dianggap sukar bagi orang lain.")</f>
        <v>A Saya ingin dapat menyelesaikan persoalan yang dianggap sukar bagi orang lain.</v>
      </c>
      <c r="AT47" s="95" t="str">
        <f>IFERROR(__xludf.DUMMYFUNCTION("""COMPUTED_VALUE"""),"A Saya ingin bisa melakukan dengan baik sesuatu pekerjaan sulit.")</f>
        <v>A Saya ingin bisa melakukan dengan baik sesuatu pekerjaan sulit.</v>
      </c>
      <c r="AU47" s="95" t="str">
        <f>IFERROR(__xludf.DUMMYFUNCTION("""COMPUTED_VALUE"""),"A Saya ingin menyelesaikan pekerjaan satu persatu sebelum memulai yang lain.")</f>
        <v>A Saya ingin menyelesaikan pekerjaan satu persatu sebelum memulai yang lain.</v>
      </c>
      <c r="AV47" s="95" t="str">
        <f>IFERROR(__xludf.DUMMYFUNCTION("""COMPUTED_VALUE"""),"B Saya suka menolong teman-teman saya.")</f>
        <v>B Saya suka menolong teman-teman saya.</v>
      </c>
      <c r="AW47" s="95" t="str">
        <f>IFERROR(__xludf.DUMMYFUNCTION("""COMPUTED_VALUE"""),"A Saya ingin mengerjakan tugas sampai selesai.")</f>
        <v>A Saya ingin mengerjakan tugas sampai selesai.</v>
      </c>
      <c r="AX47" s="95" t="str">
        <f>IFERROR(__xludf.DUMMYFUNCTION("""COMPUTED_VALUE"""),"B Saya suka memaafkan teman-teman saya yang menyakiti hati saya.")</f>
        <v>B Saya suka memaafkan teman-teman saya yang menyakiti hati saya.</v>
      </c>
      <c r="AY47" s="95" t="str">
        <f>IFERROR(__xludf.DUMMYFUNCTION("""COMPUTED_VALUE"""),"B Saya suka menolong teman-teman saya apabila mereka dalam kesulitan.")</f>
        <v>B Saya suka menolong teman-teman saya apabila mereka dalam kesulitan.</v>
      </c>
      <c r="AZ47" s="95" t="str">
        <f>IFERROR(__xludf.DUMMYFUNCTION("""COMPUTED_VALUE"""),"B Saya suka menunjukkan simpati saya kepada teman-teman saya.")</f>
        <v>B Saya suka menunjukkan simpati saya kepada teman-teman saya.</v>
      </c>
      <c r="BA47" s="95" t="str">
        <f>IFERROR(__xludf.DUMMYFUNCTION("""COMPUTED_VALUE"""),"A Saya suka menyatakan pendapat saya tentang berbagai hal.")</f>
        <v>A Saya suka menyatakan pendapat saya tentang berbagai hal.</v>
      </c>
      <c r="BB47" s="95" t="str">
        <f>IFERROR(__xludf.DUMMYFUNCTION("""COMPUTED_VALUE"""),"B Saya suka bermurah hati terhadap teman-teman saya.")</f>
        <v>B Saya suka bermurah hati terhadap teman-teman saya.</v>
      </c>
      <c r="BC47" s="95" t="str">
        <f>IFERROR(__xludf.DUMMYFUNCTION("""COMPUTED_VALUE"""),"B Saya suka membantu orang lain yang menurut saya perlu dikasihani.")</f>
        <v>B Saya suka membantu orang lain yang menurut saya perlu dikasihani.</v>
      </c>
      <c r="BD47" s="95" t="str">
        <f>IFERROR(__xludf.DUMMYFUNCTION("""COMPUTED_VALUE"""),"B Saya suka bersikukuh dengan pendirian saya.")</f>
        <v>B Saya suka bersikukuh dengan pendirian saya.</v>
      </c>
      <c r="BE47" s="95" t="str">
        <f>IFERROR(__xludf.DUMMYFUNCTION("""COMPUTED_VALUE"""),"A Saya suka mendengarkan atau menceritakan hal-hal yang sebaiknya tidak diceritakan.")</f>
        <v>A Saya suka mendengarkan atau menceritakan hal-hal yang sebaiknya tidak diceritakan.</v>
      </c>
      <c r="BF47" s="95" t="str">
        <f>IFERROR(__xludf.DUMMYFUNCTION("""COMPUTED_VALUE"""),"B Bila saya dalam kelompok, saya ingin menentukan apa yang akan kita lakukan.")</f>
        <v>B Bila saya dalam kelompok, saya ingin menentukan apa yang akan kita lakukan.</v>
      </c>
      <c r="BG47" s="95" t="str">
        <f>IFERROR(__xludf.DUMMYFUNCTION("""COMPUTED_VALUE"""),"B Saya suka mengarahkan kepada orang lain apa yang harus dilakukan.")</f>
        <v>B Saya suka mengarahkan kepada orang lain apa yang harus dilakukan.</v>
      </c>
      <c r="BH47" s="95" t="str">
        <f>IFERROR(__xludf.DUMMYFUNCTION("""COMPUTED_VALUE"""),"B Apabila saya berkumpul dalam kelompok, saya ingin dihargai teman-teman.")</f>
        <v>B Apabila saya berkumpul dalam kelompok, saya ingin dihargai teman-teman.</v>
      </c>
      <c r="BI47" s="95" t="str">
        <f>IFERROR(__xludf.DUMMYFUNCTION("""COMPUTED_VALUE"""),"A Saya suka bermurah hati terhadap teman-teman saya.")</f>
        <v>A Saya suka bermurah hati terhadap teman-teman saya.</v>
      </c>
      <c r="BJ47" s="95" t="str">
        <f>IFERROR(__xludf.DUMMYFUNCTION("""COMPUTED_VALUE"""),"A Saya ingin mengerjakan tugas sampai selesai.")</f>
        <v>A Saya ingin mengerjakan tugas sampai selesai.</v>
      </c>
      <c r="BK47" s="95" t="str">
        <f>IFERROR(__xludf.DUMMYFUNCTION("""COMPUTED_VALUE"""),"B Saya senang untuk diminta menyelesaikan pertentangan-pertentangan.")</f>
        <v>B Saya senang untuk diminta menyelesaikan pertentangan-pertentangan.</v>
      </c>
      <c r="BL47" s="95" t="str">
        <f>IFERROR(__xludf.DUMMYFUNCTION("""COMPUTED_VALUE"""),"A Saya suka belajar saya teratur dan ada waktu-waktu tertentu untuk belajar.")</f>
        <v>A Saya suka belajar saya teratur dan ada waktu-waktu tertentu untuk belajar.</v>
      </c>
      <c r="BM47" s="95" t="str">
        <f>IFERROR(__xludf.DUMMYFUNCTION("""COMPUTED_VALUE"""),"A Saya suka melakukan pekerjaan sebaik mungkin.")</f>
        <v>A Saya suka melakukan pekerjaan sebaik mungkin.</v>
      </c>
      <c r="BN47" s="95" t="str">
        <f>IFERROR(__xludf.DUMMYFUNCTION("""COMPUTED_VALUE"""),"A Saya suka mengerjakan teka-teki atau memecahkan persoalan sampai selesai.")</f>
        <v>A Saya suka mengerjakan teka-teki atau memecahkan persoalan sampai selesai.</v>
      </c>
      <c r="BO47" s="95" t="str">
        <f>IFERROR(__xludf.DUMMYFUNCTION("""COMPUTED_VALUE"""),"A Saya suka membuat perencanaan sebelum memulai belajar yang sulit.")</f>
        <v>A Saya suka membuat perencanaan sebelum memulai belajar yang sulit.</v>
      </c>
      <c r="BP47" s="95" t="str">
        <f>IFERROR(__xludf.DUMMYFUNCTION("""COMPUTED_VALUE"""),"A Saya ingin menyelesaikan sesuatu yang sangat penting artinya.")</f>
        <v>A Saya ingin menyelesaikan sesuatu yang sangat penting artinya.</v>
      </c>
      <c r="BQ47" s="95" t="str">
        <f>IFERROR(__xludf.DUMMYFUNCTION("""COMPUTED_VALUE"""),"A Saya ingin mengerjakannya tugas sampai selesai.")</f>
        <v>A Saya ingin mengerjakannya tugas sampai selesai.</v>
      </c>
      <c r="BR47" s="95" t="str">
        <f>IFERROR(__xludf.DUMMYFUNCTION("""COMPUTED_VALUE"""),"A Saya suka memaafkan teman-teman saya yang menyakiti hati saya.")</f>
        <v>A Saya suka memaafkan teman-teman saya yang menyakiti hati saya.</v>
      </c>
      <c r="BS47" s="95" t="str">
        <f>IFERROR(__xludf.DUMMYFUNCTION("""COMPUTED_VALUE"""),"B Saya ingin teman-teman saya membantu saya bila saya mengalami kesulitan")</f>
        <v>B Saya ingin teman-teman saya membantu saya bila saya mengalami kesulitan</v>
      </c>
      <c r="BT47" s="95" t="str">
        <f>IFERROR(__xludf.DUMMYFUNCTION("""COMPUTED_VALUE"""),"A Saya ingin teman-teman saya merasa kasihan pada saya apabila saya sakit.")</f>
        <v>A Saya ingin teman-teman saya merasa kasihan pada saya apabila saya sakit.</v>
      </c>
      <c r="BU47" s="95" t="str">
        <f>IFERROR(__xludf.DUMMYFUNCTION("""COMPUTED_VALUE"""),"A Saya kadang-kadang suka melakukan hal-hal yang dapat dipuji oleh orang lain.")</f>
        <v>A Saya kadang-kadang suka melakukan hal-hal yang dapat dipuji oleh orang lain.</v>
      </c>
      <c r="BV47" s="95" t="str">
        <f>IFERROR(__xludf.DUMMYFUNCTION("""COMPUTED_VALUE"""),"A Saya ingin dianggap menarik oleh orang lain.")</f>
        <v>A Saya ingin dianggap menarik oleh orang lain.</v>
      </c>
      <c r="BW47" s="95" t="str">
        <f>IFERROR(__xludf.DUMMYFUNCTION("""COMPUTED_VALUE"""),"A Saya akan menyerang pendapat yang bertentangan dengan pendirian saya.")</f>
        <v>A Saya akan menyerang pendapat yang bertentangan dengan pendirian saya.</v>
      </c>
      <c r="BX47" s="95" t="str">
        <f>IFERROR(__xludf.DUMMYFUNCTION("""COMPUTED_VALUE"""),"B Saya kadang-kadang suka melakukan hal-hal yang dapat dipuji oleh orang lain.")</f>
        <v>B Saya kadang-kadang suka melakukan hal-hal yang dapat dipuji oleh orang lain.</v>
      </c>
      <c r="BY47" s="95" t="str">
        <f>IFERROR(__xludf.DUMMYFUNCTION("""COMPUTED_VALUE"""),"B Saya ingin orang lain memperhatikan dan berkomentar tentang penampilan saya.")</f>
        <v>B Saya ingin orang lain memperhatikan dan berkomentar tentang penampilan saya.</v>
      </c>
      <c r="BZ47" s="95" t="str">
        <f>IFERROR(__xludf.DUMMYFUNCTION("""COMPUTED_VALUE"""),"A Saya suka berkata yang artinya sulit dipahami oleh orang lain.")</f>
        <v>A Saya suka berkata yang artinya sulit dipahami oleh orang lain.</v>
      </c>
      <c r="CA47" s="95" t="str">
        <f>IFERROR(__xludf.DUMMYFUNCTION("""COMPUTED_VALUE"""),"B Saya suka mengajukan pertanyaan agar orang lain memperhatikan saya.")</f>
        <v>B Saya suka mengajukan pertanyaan agar orang lain memperhatikan saya.</v>
      </c>
      <c r="CB47" s="95" t="str">
        <f>IFERROR(__xludf.DUMMYFUNCTION("""COMPUTED_VALUE"""),"B Saya suka berbicara tentang hal-hal yang telah saya capai.")</f>
        <v>B Saya suka berbicara tentang hal-hal yang telah saya capai.</v>
      </c>
      <c r="CC47" s="95" t="str">
        <f>IFERROR(__xludf.DUMMYFUNCTION("""COMPUTED_VALUE"""),"A Apabila saya berkumpul dalam kelompok, saya ingin dihargai teman-teman.")</f>
        <v>A Apabila saya berkumpul dalam kelompok, saya ingin dihargai teman-teman.</v>
      </c>
      <c r="CD47" s="95" t="str">
        <f>IFERROR(__xludf.DUMMYFUNCTION("""COMPUTED_VALUE"""),"B Saya suka berkata yang artinya sulit dipahami oleh orang lain.")</f>
        <v>B Saya suka berkata yang artinya sulit dipahami oleh orang lain.</v>
      </c>
      <c r="CE47" s="95" t="str">
        <f>IFERROR(__xludf.DUMMYFUNCTION("""COMPUTED_VALUE"""),"A Saya suka menyelesaikan setiap tugas belajar yang telah saya mulai.")</f>
        <v>A Saya suka menyelesaikan setiap tugas belajar yang telah saya mulai.</v>
      </c>
      <c r="CF47" s="95" t="str">
        <f>IFERROR(__xludf.DUMMYFUNCTION("""COMPUTED_VALUE"""),"A Saya ingin agar hidup saya teratur sesuai cita-cita saya.")</f>
        <v>A Saya ingin agar hidup saya teratur sesuai cita-cita saya.</v>
      </c>
      <c r="CG47" s="95" t="str">
        <f>IFERROR(__xludf.DUMMYFUNCTION("""COMPUTED_VALUE"""),"A Saya ingin berhasil dalam apa yang saya lakukan.")</f>
        <v>A Saya ingin berhasil dalam apa yang saya lakukan.</v>
      </c>
      <c r="CH47" s="95" t="str">
        <f>IFERROR(__xludf.DUMMYFUNCTION("""COMPUTED_VALUE"""),"A Saya ingin bisa melakukan dengan baik sesuatu pekerjaan sulit.")</f>
        <v>A Saya ingin bisa melakukan dengan baik sesuatu pekerjaan sulit.</v>
      </c>
      <c r="CI47" s="95" t="str">
        <f>IFERROR(__xludf.DUMMYFUNCTION("""COMPUTED_VALUE"""),"A Saya suka belajar saya teratur dan ada waktu-waktu tertentu untuk belajar.")</f>
        <v>A Saya suka belajar saya teratur dan ada waktu-waktu tertentu untuk belajar.</v>
      </c>
      <c r="CJ47" s="95" t="str">
        <f>IFERROR(__xludf.DUMMYFUNCTION("""COMPUTED_VALUE"""),"A Saya ingin tidak tergantung dari orang lain terhadap apa yang akan saya lakukan.")</f>
        <v>A Saya ingin tidak tergantung dari orang lain terhadap apa yang akan saya lakukan.</v>
      </c>
      <c r="CK47" s="95" t="str">
        <f>IFERROR(__xludf.DUMMYFUNCTION("""COMPUTED_VALUE"""),"A Saya suka bertahan menghadapi satu masalah, meskipun belum tentu berhasil.")</f>
        <v>A Saya suka bertahan menghadapi satu masalah, meskipun belum tentu berhasil.</v>
      </c>
      <c r="CL47" s="95" t="str">
        <f>IFERROR(__xludf.DUMMYFUNCTION("""COMPUTED_VALUE"""),"A Saya suka menolong teman-teman saya, apabila mereka dalam kesulitan.")</f>
        <v>A Saya suka menolong teman-teman saya, apabila mereka dalam kesulitan.</v>
      </c>
      <c r="CM47" s="95" t="str">
        <f>IFERROR(__xludf.DUMMYFUNCTION("""COMPUTED_VALUE"""),"B Saya merasa kagum pada seseorang.")</f>
        <v>B Saya merasa kagum pada seseorang.</v>
      </c>
      <c r="CN47" s="95" t="str">
        <f>IFERROR(__xludf.DUMMYFUNCTION("""COMPUTED_VALUE"""),"B Saya suka mendengarkan atau menceritakan hal-hal yang tidak pantas.")</f>
        <v>B Saya suka mendengarkan atau menceritakan hal-hal yang tidak pantas.</v>
      </c>
      <c r="CO47" s="95" t="str">
        <f>IFERROR(__xludf.DUMMYFUNCTION("""COMPUTED_VALUE"""),"B Saya suka memuji orang yang saya kagumi.")</f>
        <v>B Saya suka memuji orang yang saya kagumi.</v>
      </c>
      <c r="CP47" s="95" t="str">
        <f>IFERROR(__xludf.DUMMYFUNCTION("""COMPUTED_VALUE"""),"B Saya ingin dianggap menarik oleh orang lain.")</f>
        <v>B Saya ingin dianggap menarik oleh orang lain.</v>
      </c>
      <c r="CQ47" s="95" t="str">
        <f>IFERROR(__xludf.DUMMYFUNCTION("""COMPUTED_VALUE"""),"B Saya merasa kagum pada seseorang.")</f>
        <v>B Saya merasa kagum pada seseorang.</v>
      </c>
      <c r="CR47" s="95" t="str">
        <f>IFERROR(__xludf.DUMMYFUNCTION("""COMPUTED_VALUE"""),"A Saya ingin memperolok-olok orang yang saya anggap melakukan tindakan bodoh.")</f>
        <v>A Saya ingin memperolok-olok orang yang saya anggap melakukan tindakan bodoh.</v>
      </c>
      <c r="CS47" s="95" t="str">
        <f>IFERROR(__xludf.DUMMYFUNCTION("""COMPUTED_VALUE"""),"A Saya ingin terlihat menarik di depan teman-teman saya.")</f>
        <v>A Saya ingin terlihat menarik di depan teman-teman saya.</v>
      </c>
      <c r="CT47" s="95" t="str">
        <f>IFERROR(__xludf.DUMMYFUNCTION("""COMPUTED_VALUE"""),"A Saya ingin orang-orang memperhatikan komentar mengenai penampilan saya.")</f>
        <v>A Saya ingin orang-orang memperhatikan komentar mengenai penampilan saya.</v>
      </c>
      <c r="CU47" s="95" t="str">
        <f>IFERROR(__xludf.DUMMYFUNCTION("""COMPUTED_VALUE"""),"A Saya ingin diperlakukan dengan ramah oleh teman-teman saya.")</f>
        <v>A Saya ingin diperlakukan dengan ramah oleh teman-teman saya.</v>
      </c>
      <c r="CV47" s="95" t="str">
        <f>IFERROR(__xludf.DUMMYFUNCTION("""COMPUTED_VALUE"""),"A Saya ingin ditunjuk atau dipilih sebagai ketua dalam suatu kelompok.")</f>
        <v>A Saya ingin ditunjuk atau dipilih sebagai ketua dalam suatu kelompok.</v>
      </c>
      <c r="CW47" s="95" t="str">
        <f>IFERROR(__xludf.DUMMYFUNCTION("""COMPUTED_VALUE"""),"A Saya suka menolong teman-teman saya, apabila mereka dalam kesulitan.")</f>
        <v>A Saya suka menolong teman-teman saya, apabila mereka dalam kesulitan.</v>
      </c>
      <c r="CX47" s="95" t="str">
        <f>IFERROR(__xludf.DUMMYFUNCTION("""COMPUTED_VALUE"""),"A Saya suka belajar sampai malam untuk menyelesaikan suatu tugas.")</f>
        <v>A Saya suka belajar sampai malam untuk menyelesaikan suatu tugas.</v>
      </c>
      <c r="CY47" s="95" t="str">
        <f>IFERROR(__xludf.DUMMYFUNCTION("""COMPUTED_VALUE"""),"A Saya ingin tidak tergantung dari orang lain terhadap apa yang akan saya lakukan.")</f>
        <v>A Saya ingin tidak tergantung dari orang lain terhadap apa yang akan saya lakukan.</v>
      </c>
      <c r="CZ47" s="95" t="str">
        <f>IFERROR(__xludf.DUMMYFUNCTION("""COMPUTED_VALUE"""),"A Saya suka merencanakan dan mengatur setiap pekerjaan yang harus saya lakukan.")</f>
        <v>A Saya suka merencanakan dan mengatur setiap pekerjaan yang harus saya lakukan.</v>
      </c>
      <c r="DA47" s="95" t="str">
        <f>IFERROR(__xludf.DUMMYFUNCTION("""COMPUTED_VALUE"""),"A Saya ingin melakukan apa saja sebaik mungkin.")</f>
        <v>A Saya ingin melakukan apa saja sebaik mungkin.</v>
      </c>
      <c r="DB47" s="89" t="s">
        <v>23</v>
      </c>
      <c r="DC47" s="97" t="str">
        <f t="shared" ref="DC47:GX47" si="92">LEFT(F47,1)</f>
        <v>A</v>
      </c>
      <c r="DD47" s="97" t="str">
        <f t="shared" si="92"/>
        <v>A</v>
      </c>
      <c r="DE47" s="97" t="str">
        <f t="shared" si="92"/>
        <v>B</v>
      </c>
      <c r="DF47" s="97" t="str">
        <f t="shared" si="92"/>
        <v>A</v>
      </c>
      <c r="DG47" s="97" t="str">
        <f t="shared" si="92"/>
        <v>A</v>
      </c>
      <c r="DH47" s="97" t="str">
        <f t="shared" si="92"/>
        <v>A</v>
      </c>
      <c r="DI47" s="97" t="str">
        <f t="shared" si="92"/>
        <v>A</v>
      </c>
      <c r="DJ47" s="97" t="str">
        <f t="shared" si="92"/>
        <v>B</v>
      </c>
      <c r="DK47" s="97" t="str">
        <f t="shared" si="92"/>
        <v>B</v>
      </c>
      <c r="DL47" s="97" t="str">
        <f t="shared" si="92"/>
        <v>B</v>
      </c>
      <c r="DM47" s="97" t="str">
        <f t="shared" si="92"/>
        <v>B</v>
      </c>
      <c r="DN47" s="97" t="str">
        <f t="shared" si="92"/>
        <v>A</v>
      </c>
      <c r="DO47" s="97" t="str">
        <f t="shared" si="92"/>
        <v>B</v>
      </c>
      <c r="DP47" s="97" t="str">
        <f t="shared" si="92"/>
        <v>B</v>
      </c>
      <c r="DQ47" s="97" t="str">
        <f t="shared" si="92"/>
        <v>B</v>
      </c>
      <c r="DR47" s="97" t="str">
        <f t="shared" si="92"/>
        <v>A</v>
      </c>
      <c r="DS47" s="97" t="str">
        <f t="shared" si="92"/>
        <v>B</v>
      </c>
      <c r="DT47" s="97" t="str">
        <f t="shared" si="92"/>
        <v>B</v>
      </c>
      <c r="DU47" s="97" t="str">
        <f t="shared" si="92"/>
        <v>B</v>
      </c>
      <c r="DV47" s="97" t="str">
        <f t="shared" si="92"/>
        <v>B</v>
      </c>
      <c r="DW47" s="97" t="str">
        <f t="shared" si="92"/>
        <v>A</v>
      </c>
      <c r="DX47" s="97" t="str">
        <f t="shared" si="92"/>
        <v>A</v>
      </c>
      <c r="DY47" s="97" t="str">
        <f t="shared" si="92"/>
        <v>A</v>
      </c>
      <c r="DZ47" s="97" t="str">
        <f t="shared" si="92"/>
        <v>A</v>
      </c>
      <c r="EA47" s="97" t="str">
        <f t="shared" si="92"/>
        <v>B</v>
      </c>
      <c r="EB47" s="97" t="str">
        <f t="shared" si="92"/>
        <v>B</v>
      </c>
      <c r="EC47" s="97" t="str">
        <f t="shared" si="92"/>
        <v>B</v>
      </c>
      <c r="ED47" s="97" t="str">
        <f t="shared" si="92"/>
        <v>A</v>
      </c>
      <c r="EE47" s="97" t="str">
        <f t="shared" si="92"/>
        <v>A</v>
      </c>
      <c r="EF47" s="97" t="str">
        <f t="shared" si="92"/>
        <v>B</v>
      </c>
      <c r="EG47" s="97" t="str">
        <f t="shared" si="92"/>
        <v>B</v>
      </c>
      <c r="EH47" s="97" t="str">
        <f t="shared" si="92"/>
        <v>B</v>
      </c>
      <c r="EI47" s="97" t="str">
        <f t="shared" si="92"/>
        <v>A</v>
      </c>
      <c r="EJ47" s="97" t="str">
        <f t="shared" si="92"/>
        <v>B</v>
      </c>
      <c r="EK47" s="97" t="str">
        <f t="shared" si="92"/>
        <v>A</v>
      </c>
      <c r="EL47" s="97" t="str">
        <f t="shared" si="92"/>
        <v>A</v>
      </c>
      <c r="EM47" s="97" t="str">
        <f t="shared" si="92"/>
        <v>B</v>
      </c>
      <c r="EN47" s="97" t="str">
        <f t="shared" si="92"/>
        <v>A</v>
      </c>
      <c r="EO47" s="97" t="str">
        <f t="shared" si="92"/>
        <v>A</v>
      </c>
      <c r="EP47" s="97" t="str">
        <f t="shared" si="92"/>
        <v>A</v>
      </c>
      <c r="EQ47" s="97" t="str">
        <f t="shared" si="92"/>
        <v>A</v>
      </c>
      <c r="ER47" s="97" t="str">
        <f t="shared" si="92"/>
        <v>A</v>
      </c>
      <c r="ES47" s="97" t="str">
        <f t="shared" si="92"/>
        <v>B</v>
      </c>
      <c r="ET47" s="97" t="str">
        <f t="shared" si="92"/>
        <v>A</v>
      </c>
      <c r="EU47" s="97" t="str">
        <f t="shared" si="92"/>
        <v>B</v>
      </c>
      <c r="EV47" s="97" t="str">
        <f t="shared" si="92"/>
        <v>B</v>
      </c>
      <c r="EW47" s="97" t="str">
        <f t="shared" si="92"/>
        <v>B</v>
      </c>
      <c r="EX47" s="97" t="str">
        <f t="shared" si="92"/>
        <v>A</v>
      </c>
      <c r="EY47" s="97" t="str">
        <f t="shared" si="92"/>
        <v>B</v>
      </c>
      <c r="EZ47" s="97" t="str">
        <f t="shared" si="92"/>
        <v>B</v>
      </c>
      <c r="FA47" s="97" t="str">
        <f t="shared" si="92"/>
        <v>B</v>
      </c>
      <c r="FB47" s="97" t="str">
        <f t="shared" si="92"/>
        <v>A</v>
      </c>
      <c r="FC47" s="97" t="str">
        <f t="shared" si="92"/>
        <v>B</v>
      </c>
      <c r="FD47" s="97" t="str">
        <f t="shared" si="92"/>
        <v>B</v>
      </c>
      <c r="FE47" s="97" t="str">
        <f t="shared" si="92"/>
        <v>B</v>
      </c>
      <c r="FF47" s="97" t="str">
        <f t="shared" si="92"/>
        <v>A</v>
      </c>
      <c r="FG47" s="97" t="str">
        <f t="shared" si="92"/>
        <v>A</v>
      </c>
      <c r="FH47" s="97" t="str">
        <f t="shared" si="92"/>
        <v>B</v>
      </c>
      <c r="FI47" s="97" t="str">
        <f t="shared" si="92"/>
        <v>A</v>
      </c>
      <c r="FJ47" s="97" t="str">
        <f t="shared" si="92"/>
        <v>A</v>
      </c>
      <c r="FK47" s="97" t="str">
        <f t="shared" si="92"/>
        <v>A</v>
      </c>
      <c r="FL47" s="97" t="str">
        <f t="shared" si="92"/>
        <v>A</v>
      </c>
      <c r="FM47" s="97" t="str">
        <f t="shared" si="92"/>
        <v>A</v>
      </c>
      <c r="FN47" s="97" t="str">
        <f t="shared" si="92"/>
        <v>A</v>
      </c>
      <c r="FO47" s="97" t="str">
        <f t="shared" si="92"/>
        <v>A</v>
      </c>
      <c r="FP47" s="97" t="str">
        <f t="shared" si="92"/>
        <v>B</v>
      </c>
      <c r="FQ47" s="97" t="str">
        <f t="shared" si="92"/>
        <v>A</v>
      </c>
      <c r="FR47" s="97" t="str">
        <f t="shared" si="92"/>
        <v>A</v>
      </c>
      <c r="FS47" s="97" t="str">
        <f t="shared" si="92"/>
        <v>A</v>
      </c>
      <c r="FT47" s="97" t="str">
        <f t="shared" si="92"/>
        <v>A</v>
      </c>
      <c r="FU47" s="97" t="str">
        <f t="shared" si="92"/>
        <v>B</v>
      </c>
      <c r="FV47" s="97" t="str">
        <f t="shared" si="92"/>
        <v>B</v>
      </c>
      <c r="FW47" s="97" t="str">
        <f t="shared" si="92"/>
        <v>A</v>
      </c>
      <c r="FX47" s="97" t="str">
        <f t="shared" si="92"/>
        <v>B</v>
      </c>
      <c r="FY47" s="97" t="str">
        <f t="shared" si="92"/>
        <v>B</v>
      </c>
      <c r="FZ47" s="97" t="str">
        <f t="shared" si="92"/>
        <v>A</v>
      </c>
      <c r="GA47" s="97" t="str">
        <f t="shared" si="92"/>
        <v>B</v>
      </c>
      <c r="GB47" s="97" t="str">
        <f t="shared" si="92"/>
        <v>A</v>
      </c>
      <c r="GC47" s="97" t="str">
        <f t="shared" si="92"/>
        <v>A</v>
      </c>
      <c r="GD47" s="97" t="str">
        <f t="shared" si="92"/>
        <v>A</v>
      </c>
      <c r="GE47" s="97" t="str">
        <f t="shared" si="92"/>
        <v>A</v>
      </c>
      <c r="GF47" s="97" t="str">
        <f t="shared" si="92"/>
        <v>A</v>
      </c>
      <c r="GG47" s="97" t="str">
        <f t="shared" si="92"/>
        <v>A</v>
      </c>
      <c r="GH47" s="97" t="str">
        <f t="shared" si="92"/>
        <v>A</v>
      </c>
      <c r="GI47" s="97" t="str">
        <f t="shared" si="92"/>
        <v>A</v>
      </c>
      <c r="GJ47" s="97" t="str">
        <f t="shared" si="92"/>
        <v>B</v>
      </c>
      <c r="GK47" s="97" t="str">
        <f t="shared" si="92"/>
        <v>B</v>
      </c>
      <c r="GL47" s="97" t="str">
        <f t="shared" si="92"/>
        <v>B</v>
      </c>
      <c r="GM47" s="97" t="str">
        <f t="shared" si="92"/>
        <v>B</v>
      </c>
      <c r="GN47" s="97" t="str">
        <f t="shared" si="92"/>
        <v>B</v>
      </c>
      <c r="GO47" s="97" t="str">
        <f t="shared" si="92"/>
        <v>A</v>
      </c>
      <c r="GP47" s="97" t="str">
        <f t="shared" si="92"/>
        <v>A</v>
      </c>
      <c r="GQ47" s="97" t="str">
        <f t="shared" si="92"/>
        <v>A</v>
      </c>
      <c r="GR47" s="97" t="str">
        <f t="shared" si="92"/>
        <v>A</v>
      </c>
      <c r="GS47" s="97" t="str">
        <f t="shared" si="92"/>
        <v>A</v>
      </c>
      <c r="GT47" s="97" t="str">
        <f t="shared" si="92"/>
        <v>A</v>
      </c>
      <c r="GU47" s="97" t="str">
        <f t="shared" si="92"/>
        <v>A</v>
      </c>
      <c r="GV47" s="97" t="str">
        <f t="shared" si="92"/>
        <v>A</v>
      </c>
      <c r="GW47" s="97" t="str">
        <f t="shared" si="92"/>
        <v>A</v>
      </c>
      <c r="GX47" s="97" t="str">
        <f t="shared" si="92"/>
        <v>A</v>
      </c>
      <c r="GY47" s="98"/>
      <c r="GZ47" s="97">
        <f t="shared" si="3"/>
        <v>58</v>
      </c>
      <c r="HA47" s="97">
        <f t="shared" si="4"/>
        <v>42</v>
      </c>
      <c r="HB47" s="90">
        <f t="shared" si="5"/>
        <v>100</v>
      </c>
      <c r="HC47" s="99"/>
      <c r="HD47" s="97">
        <f t="shared" si="6"/>
        <v>8</v>
      </c>
      <c r="HE47" s="97">
        <f t="shared" si="7"/>
        <v>4</v>
      </c>
      <c r="HF47" s="90">
        <f t="shared" si="8"/>
        <v>12</v>
      </c>
      <c r="HG47" s="99"/>
      <c r="HH47" s="97">
        <f t="shared" si="9"/>
        <v>9</v>
      </c>
      <c r="HI47" s="97">
        <f t="shared" si="10"/>
        <v>8</v>
      </c>
      <c r="HJ47" s="90">
        <f t="shared" si="11"/>
        <v>17</v>
      </c>
      <c r="HK47" s="99"/>
      <c r="HL47" s="97">
        <f t="shared" si="12"/>
        <v>5</v>
      </c>
      <c r="HM47" s="97">
        <f t="shared" si="13"/>
        <v>4</v>
      </c>
      <c r="HN47" s="90">
        <f t="shared" si="14"/>
        <v>9</v>
      </c>
      <c r="HO47" s="99"/>
      <c r="HP47" s="97">
        <f t="shared" si="15"/>
        <v>7</v>
      </c>
      <c r="HQ47" s="97">
        <f t="shared" si="16"/>
        <v>4</v>
      </c>
      <c r="HR47" s="90">
        <f t="shared" si="17"/>
        <v>11</v>
      </c>
      <c r="HS47" s="99"/>
      <c r="HT47" s="97">
        <f t="shared" si="18"/>
        <v>8</v>
      </c>
      <c r="HU47" s="97">
        <f t="shared" si="19"/>
        <v>6</v>
      </c>
      <c r="HV47" s="90">
        <f t="shared" si="20"/>
        <v>14</v>
      </c>
      <c r="HW47" s="99"/>
      <c r="HX47" s="97">
        <f t="shared" si="21"/>
        <v>3</v>
      </c>
      <c r="HY47" s="97">
        <f t="shared" si="22"/>
        <v>5</v>
      </c>
      <c r="HZ47" s="90">
        <f t="shared" si="23"/>
        <v>8</v>
      </c>
      <c r="IA47" s="99"/>
      <c r="IB47" s="97">
        <f t="shared" si="24"/>
        <v>2</v>
      </c>
      <c r="IC47" s="97">
        <f t="shared" si="25"/>
        <v>1</v>
      </c>
      <c r="ID47" s="90">
        <f t="shared" si="26"/>
        <v>3</v>
      </c>
      <c r="IE47" s="99"/>
      <c r="IF47" s="97">
        <f t="shared" si="27"/>
        <v>5</v>
      </c>
      <c r="IG47" s="97">
        <f t="shared" si="28"/>
        <v>5</v>
      </c>
      <c r="IH47" s="90">
        <f t="shared" si="29"/>
        <v>10</v>
      </c>
      <c r="II47" s="99"/>
      <c r="IJ47" s="97">
        <f t="shared" si="30"/>
        <v>5</v>
      </c>
      <c r="IK47" s="97">
        <f t="shared" si="31"/>
        <v>5</v>
      </c>
      <c r="IL47" s="90">
        <f t="shared" si="32"/>
        <v>10</v>
      </c>
      <c r="IM47" s="99"/>
      <c r="IN47" s="97">
        <f t="shared" si="33"/>
        <v>1</v>
      </c>
      <c r="IO47" s="97">
        <f t="shared" si="34"/>
        <v>0</v>
      </c>
      <c r="IP47" s="90">
        <f t="shared" si="35"/>
        <v>1</v>
      </c>
      <c r="IQ47" s="99"/>
      <c r="IR47" s="99"/>
      <c r="IS47" s="100">
        <f t="shared" si="36"/>
        <v>12</v>
      </c>
      <c r="IT47" s="100">
        <f t="shared" si="37"/>
        <v>17</v>
      </c>
      <c r="IU47" s="100">
        <f t="shared" si="38"/>
        <v>9</v>
      </c>
      <c r="IV47" s="100">
        <f t="shared" si="39"/>
        <v>11</v>
      </c>
      <c r="IW47" s="100">
        <f t="shared" si="40"/>
        <v>14</v>
      </c>
      <c r="IX47" s="100">
        <f t="shared" si="41"/>
        <v>8</v>
      </c>
      <c r="IY47" s="100">
        <f t="shared" si="42"/>
        <v>3</v>
      </c>
      <c r="IZ47" s="100">
        <f t="shared" si="43"/>
        <v>10</v>
      </c>
      <c r="JA47" s="100">
        <f t="shared" si="44"/>
        <v>10</v>
      </c>
      <c r="JB47" s="101">
        <f t="shared" si="45"/>
        <v>1</v>
      </c>
      <c r="JC47" s="102">
        <f t="shared" si="46"/>
        <v>95</v>
      </c>
      <c r="JD47" s="67">
        <f t="shared" si="50"/>
        <v>0</v>
      </c>
      <c r="JE47" s="67">
        <f t="shared" si="47"/>
        <v>2</v>
      </c>
      <c r="JF47" s="67">
        <f t="shared" si="48"/>
        <v>2</v>
      </c>
    </row>
    <row r="48">
      <c r="A48" s="103">
        <f>IFERROR(__xludf.DUMMYFUNCTION("""COMPUTED_VALUE"""),45928.4074975463)</f>
        <v>45928.4075</v>
      </c>
      <c r="B48" s="95" t="str">
        <f>IFERROR(__xludf.DUMMYFUNCTION("""COMPUTED_VALUE"""),"Qaesyara Siti Zafna Fitriyadi")</f>
        <v>Qaesyara Siti Zafna Fitriyadi</v>
      </c>
      <c r="C48" s="96" t="str">
        <f>IFERROR(__xludf.DUMMYFUNCTION("""COMPUTED_VALUE"""),"D250017")</f>
        <v>D250017</v>
      </c>
      <c r="D48" s="96" t="str">
        <f>IFERROR(__xludf.DUMMYFUNCTION("""COMPUTED_VALUE"""),"MTs Putri")</f>
        <v>MTs Putri</v>
      </c>
      <c r="E48" s="96" t="str">
        <f>IFERROR(__xludf.DUMMYFUNCTION("""COMPUTED_VALUE"""),"Ya")</f>
        <v>Ya</v>
      </c>
      <c r="F48" s="95" t="str">
        <f>IFERROR(__xludf.DUMMYFUNCTION("""COMPUTED_VALUE"""),"B Saya ingin melakukan apa saja sebaik mungkin.")</f>
        <v>B Saya ingin melakukan apa saja sebaik mungkin.</v>
      </c>
      <c r="G48" s="95" t="str">
        <f>IFERROR(__xludf.DUMMYFUNCTION("""COMPUTED_VALUE"""),"A Saya ingin setiap tulisan saya teliti, rapi, dan tersusun dengan baik.")</f>
        <v>A Saya ingin setiap tulisan saya teliti, rapi, dan tersusun dengan baik.</v>
      </c>
      <c r="H48" s="95" t="str">
        <f>IFERROR(__xludf.DUMMYFUNCTION("""COMPUTED_VALUE"""),"A Saya ingin berbuat sesuai kata hati saya.")</f>
        <v>A Saya ingin berbuat sesuai kata hati saya.</v>
      </c>
      <c r="I48" s="95" t="str">
        <f>IFERROR(__xludf.DUMMYFUNCTION("""COMPUTED_VALUE"""),"B Saya ingin bisa melakukan dengan baik meskipun tugas yang sulit.")</f>
        <v>B Saya ingin bisa melakukan dengan baik meskipun tugas yang sulit.</v>
      </c>
      <c r="J48" s="95" t="str">
        <f>IFERROR(__xludf.DUMMYFUNCTION("""COMPUTED_VALUE"""),"A Saya suka membantu teman-teman saya apabila mereka mengalami kesulitan.")</f>
        <v>A Saya suka membantu teman-teman saya apabila mereka mengalami kesulitan.</v>
      </c>
      <c r="K48" s="95" t="str">
        <f>IFERROR(__xludf.DUMMYFUNCTION("""COMPUTED_VALUE"""),"B Saya ingin mengatakan telah melakukan dengan baik sesuatu tugas yang sulit.")</f>
        <v>B Saya ingin mengatakan telah melakukan dengan baik sesuatu tugas yang sulit.</v>
      </c>
      <c r="L48" s="95" t="str">
        <f>IFERROR(__xludf.DUMMYFUNCTION("""COMPUTED_VALUE"""),"B Saya ingin mengatakan telah melakukan dengan baik sesuatu tugas yang sulit")</f>
        <v>B Saya ingin mengatakan telah melakukan dengan baik sesuatu tugas yang sulit</v>
      </c>
      <c r="M48" s="95" t="str">
        <f>IFERROR(__xludf.DUMMYFUNCTION("""COMPUTED_VALUE"""),"A Saya suka berbicara tentang hal-hal yang telah berhasil saya lakukan.")</f>
        <v>A Saya suka berbicara tentang hal-hal yang telah berhasil saya lakukan.</v>
      </c>
      <c r="N48" s="95" t="str">
        <f>IFERROR(__xludf.DUMMYFUNCTION("""COMPUTED_VALUE"""),"B Saya suka memecahkan persoalan yang sukar bagi orang lain.")</f>
        <v>B Saya suka memecahkan persoalan yang sukar bagi orang lain.</v>
      </c>
      <c r="O48" s="95" t="str">
        <f>IFERROR(__xludf.DUMMYFUNCTION("""COMPUTED_VALUE"""),"B Saya suka melakukan tugas sebaik mungkin.")</f>
        <v>B Saya suka melakukan tugas sebaik mungkin.</v>
      </c>
      <c r="P48" s="95" t="str">
        <f>IFERROR(__xludf.DUMMYFUNCTION("""COMPUTED_VALUE"""),"B Saya ingin setiap belajar itu teratur dan direncanakan.")</f>
        <v>B Saya ingin setiap belajar itu teratur dan direncanakan.</v>
      </c>
      <c r="Q48" s="95" t="str">
        <f>IFERROR(__xludf.DUMMYFUNCTION("""COMPUTED_VALUE"""),"B Saya merencanakan keperluan yang dibutuhkan sebelum bepergian.")</f>
        <v>B Saya merencanakan keperluan yang dibutuhkan sebelum bepergian.</v>
      </c>
      <c r="R48" s="95" t="str">
        <f>IFERROR(__xludf.DUMMYFUNCTION("""COMPUTED_VALUE"""),"B Saya suka barang-barang saya tersusun rapi dan teratur.")</f>
        <v>B Saya suka barang-barang saya tersusun rapi dan teratur.</v>
      </c>
      <c r="S48" s="95" t="str">
        <f>IFERROR(__xludf.DUMMYFUNCTION("""COMPUTED_VALUE"""),"B Saya suka membuat perencanaan sebelum memulai tugas yang sulit.")</f>
        <v>B Saya suka membuat perencanaan sebelum memulai tugas yang sulit.</v>
      </c>
      <c r="T48" s="95" t="str">
        <f>IFERROR(__xludf.DUMMYFUNCTION("""COMPUTED_VALUE"""),"B Saya ingin agar hidup saya teratur sesuai cita-cita saya.")</f>
        <v>B Saya ingin agar hidup saya teratur sesuai cita-cita saya.</v>
      </c>
      <c r="U48" s="95" t="str">
        <f>IFERROR(__xludf.DUMMYFUNCTION("""COMPUTED_VALUE"""),"A Saya suka memberikan bantuan kepada teman-teman saya.")</f>
        <v>A Saya suka memberikan bantuan kepada teman-teman saya.</v>
      </c>
      <c r="V48" s="95" t="str">
        <f>IFERROR(__xludf.DUMMYFUNCTION("""COMPUTED_VALUE"""),"B Saya suka belajar saya teratur dan ada waktu-waktu tertentu untuk belajar.")</f>
        <v>B Saya suka belajar saya teratur dan ada waktu-waktu tertentu untuk belajar.</v>
      </c>
      <c r="W48" s="95" t="str">
        <f>IFERROR(__xludf.DUMMYFUNCTION("""COMPUTED_VALUE"""),"B Saya ingin kegiatan itu teratur dan direncanakan.")</f>
        <v>B Saya ingin kegiatan itu teratur dan direncanakan.</v>
      </c>
      <c r="X48" s="95" t="str">
        <f>IFERROR(__xludf.DUMMYFUNCTION("""COMPUTED_VALUE"""),"A Saya suka merencanakan dan mengatur setiap apa yang harus saya lakukan.")</f>
        <v>A Saya suka merencanakan dan mengatur setiap apa yang harus saya lakukan.</v>
      </c>
      <c r="Y48" s="95" t="str">
        <f>IFERROR(__xludf.DUMMYFUNCTION("""COMPUTED_VALUE"""),"A Saya suka menyelesaikan tugas-tugas yang membutuhkan ketrampilan dan usaha.")</f>
        <v>A Saya suka menyelesaikan tugas-tugas yang membutuhkan ketrampilan dan usaha.</v>
      </c>
      <c r="Z48" s="95" t="str">
        <f>IFERROR(__xludf.DUMMYFUNCTION("""COMPUTED_VALUE"""),"A Saya ingin berhasil dengan belajar yang saya lakukan.")</f>
        <v>A Saya ingin berhasil dengan belajar yang saya lakukan.</v>
      </c>
      <c r="AA48" s="95" t="str">
        <f>IFERROR(__xludf.DUMMYFUNCTION("""COMPUTED_VALUE"""),"B Saya tidak suka pada orang yang berbuat seenaknya sendiri.")</f>
        <v>B Saya tidak suka pada orang yang berbuat seenaknya sendiri.</v>
      </c>
      <c r="AB48" s="95" t="str">
        <f>IFERROR(__xludf.DUMMYFUNCTION("""COMPUTED_VALUE"""),"B Saya ingin menyelesaikan pekerjaan satu persatu sebelum memulai yang lain.")</f>
        <v>B Saya ingin menyelesaikan pekerjaan satu persatu sebelum memulai yang lain.</v>
      </c>
      <c r="AC48" s="95" t="str">
        <f>IFERROR(__xludf.DUMMYFUNCTION("""COMPUTED_VALUE"""),"A Saya suka menyelesaikan setiap tugas meskipun membutuhkan waktu lama.")</f>
        <v>A Saya suka menyelesaikan setiap tugas meskipun membutuhkan waktu lama.</v>
      </c>
      <c r="AD48" s="95" t="str">
        <f>IFERROR(__xludf.DUMMYFUNCTION("""COMPUTED_VALUE"""),"A Saya suka bermurah hati terhadap teman-teman saya.")</f>
        <v>A Saya suka bermurah hati terhadap teman-teman saya.</v>
      </c>
      <c r="AE48" s="95" t="str">
        <f>IFERROR(__xludf.DUMMYFUNCTION("""COMPUTED_VALUE"""),"B Saya suka melakukan hal-hal yang dianggap orang lain tidak sesuai.")</f>
        <v>B Saya suka melakukan hal-hal yang dianggap orang lain tidak sesuai.</v>
      </c>
      <c r="AF48" s="95" t="str">
        <f>IFERROR(__xludf.DUMMYFUNCTION("""COMPUTED_VALUE"""),"A Saya ingin agar teman-teman mengerti bila saya mengalami kesukaran.")</f>
        <v>A Saya ingin agar teman-teman mengerti bila saya mengalami kesukaran.</v>
      </c>
      <c r="AG48" s="95" t="str">
        <f>IFERROR(__xludf.DUMMYFUNCTION("""COMPUTED_VALUE"""),"B Saya ingin berhasil dengan tugas yang saya lakukan.")</f>
        <v>B Saya ingin berhasil dengan tugas yang saya lakukan.</v>
      </c>
      <c r="AH48" s="95" t="str">
        <f>IFERROR(__xludf.DUMMYFUNCTION("""COMPUTED_VALUE"""),"A Saya suka membaca buku-buku tentang pergaulan remaja.")</f>
        <v>A Saya suka membaca buku-buku tentang pergaulan remaja.</v>
      </c>
      <c r="AI48" s="95" t="str">
        <f>IFERROR(__xludf.DUMMYFUNCTION("""COMPUTED_VALUE"""),"B Saya suka melakukan kegiatan sesuai kondisi yang saya inginkan.")</f>
        <v>B Saya suka melakukan kegiatan sesuai kondisi yang saya inginkan.</v>
      </c>
      <c r="AJ48" s="95" t="str">
        <f>IFERROR(__xludf.DUMMYFUNCTION("""COMPUTED_VALUE"""),"B Saya suka bertahan menghadapi satu masalah meskipun belum tentu berhasil.")</f>
        <v>B Saya suka bertahan menghadapi satu masalah meskipun belum tentu berhasil.</v>
      </c>
      <c r="AK48" s="95" t="str">
        <f>IFERROR(__xludf.DUMMYFUNCTION("""COMPUTED_VALUE"""),"B Bila saya harus melakukan suatu tugas, saya ingin mengerjakan sampai selesai.")</f>
        <v>B Bila saya harus melakukan suatu tugas, saya ingin mengerjakan sampai selesai.</v>
      </c>
      <c r="AL48" s="95" t="str">
        <f>IFERROR(__xludf.DUMMYFUNCTION("""COMPUTED_VALUE"""),"B Saya ingin menghindarkan gangguan bila saya sedang belajar.")</f>
        <v>B Saya ingin menghindarkan gangguan bila saya sedang belajar.</v>
      </c>
      <c r="AM48" s="95" t="str">
        <f>IFERROR(__xludf.DUMMYFUNCTION("""COMPUTED_VALUE"""),"B Saya suka belajar sampai malam untuk menyelesaikan suatu tugas.")</f>
        <v>B Saya suka belajar sampai malam untuk menyelesaikan suatu tugas.</v>
      </c>
      <c r="AN48" s="95" t="str">
        <f>IFERROR(__xludf.DUMMYFUNCTION("""COMPUTED_VALUE"""),"A Saya tidak suka pada orang yang semena-mena.")</f>
        <v>A Saya tidak suka pada orang yang semena-mena.</v>
      </c>
      <c r="AO48" s="95" t="str">
        <f>IFERROR(__xludf.DUMMYFUNCTION("""COMPUTED_VALUE"""),"A Saya suka berlaku sangat ramah terhadap teman-teman saya.")</f>
        <v>A Saya suka berlaku sangat ramah terhadap teman-teman saya.</v>
      </c>
      <c r="AP48" s="95" t="str">
        <f>IFERROR(__xludf.DUMMYFUNCTION("""COMPUTED_VALUE"""),"B Saya suka bertahan menghadapi satu masalah meskipun belum tentu berhasil.")</f>
        <v>B Saya suka bertahan menghadapi satu masalah meskipun belum tentu berhasil.</v>
      </c>
      <c r="AQ48" s="95" t="str">
        <f>IFERROR(__xludf.DUMMYFUNCTION("""COMPUTED_VALUE"""),"B Bila saya harus melakukan suatu tugas, saya ingin mengerjakan sampai selesai.")</f>
        <v>B Bila saya harus melakukan suatu tugas, saya ingin mengerjakan sampai selesai.</v>
      </c>
      <c r="AR48" s="95" t="str">
        <f>IFERROR(__xludf.DUMMYFUNCTION("""COMPUTED_VALUE"""),"B Saya suka belajar keras pada tiap pelajaran yang saya hadapi.")</f>
        <v>B Saya suka belajar keras pada tiap pelajaran yang saya hadapi.</v>
      </c>
      <c r="AS48" s="95" t="str">
        <f>IFERROR(__xludf.DUMMYFUNCTION("""COMPUTED_VALUE"""),"A Saya ingin dapat menyelesaikan persoalan yang dianggap sukar bagi orang lain.")</f>
        <v>A Saya ingin dapat menyelesaikan persoalan yang dianggap sukar bagi orang lain.</v>
      </c>
      <c r="AT48" s="95" t="str">
        <f>IFERROR(__xludf.DUMMYFUNCTION("""COMPUTED_VALUE"""),"A Saya ingin bisa melakukan dengan baik sesuatu pekerjaan sulit.")</f>
        <v>A Saya ingin bisa melakukan dengan baik sesuatu pekerjaan sulit.</v>
      </c>
      <c r="AU48" s="95" t="str">
        <f>IFERROR(__xludf.DUMMYFUNCTION("""COMPUTED_VALUE"""),"B Saya suka bermurah hati terhadap teman-teman saya.")</f>
        <v>B Saya suka bermurah hati terhadap teman-teman saya.</v>
      </c>
      <c r="AV48" s="95" t="str">
        <f>IFERROR(__xludf.DUMMYFUNCTION("""COMPUTED_VALUE"""),"B Saya suka menolong teman-teman saya.")</f>
        <v>B Saya suka menolong teman-teman saya.</v>
      </c>
      <c r="AW48" s="95" t="str">
        <f>IFERROR(__xludf.DUMMYFUNCTION("""COMPUTED_VALUE"""),"A Saya ingin mengerjakan tugas sampai selesai.")</f>
        <v>A Saya ingin mengerjakan tugas sampai selesai.</v>
      </c>
      <c r="AX48" s="95" t="str">
        <f>IFERROR(__xludf.DUMMYFUNCTION("""COMPUTED_VALUE"""),"B Saya suka memaafkan teman-teman saya yang menyakiti hati saya.")</f>
        <v>B Saya suka memaafkan teman-teman saya yang menyakiti hati saya.</v>
      </c>
      <c r="AY48" s="95" t="str">
        <f>IFERROR(__xludf.DUMMYFUNCTION("""COMPUTED_VALUE"""),"B Saya suka menolong teman-teman saya apabila mereka dalam kesulitan.")</f>
        <v>B Saya suka menolong teman-teman saya apabila mereka dalam kesulitan.</v>
      </c>
      <c r="AZ48" s="95" t="str">
        <f>IFERROR(__xludf.DUMMYFUNCTION("""COMPUTED_VALUE"""),"B Saya suka menunjukkan simpati saya kepada teman-teman saya.")</f>
        <v>B Saya suka menunjukkan simpati saya kepada teman-teman saya.</v>
      </c>
      <c r="BA48" s="95" t="str">
        <f>IFERROR(__xludf.DUMMYFUNCTION("""COMPUTED_VALUE"""),"B Saya suka memperlakukan orang lain dengan baik dan ramah.")</f>
        <v>B Saya suka memperlakukan orang lain dengan baik dan ramah.</v>
      </c>
      <c r="BB48" s="95" t="str">
        <f>IFERROR(__xludf.DUMMYFUNCTION("""COMPUTED_VALUE"""),"B Saya suka bermurah hati terhadap teman-teman saya.")</f>
        <v>B Saya suka bermurah hati terhadap teman-teman saya.</v>
      </c>
      <c r="BC48" s="95" t="str">
        <f>IFERROR(__xludf.DUMMYFUNCTION("""COMPUTED_VALUE"""),"B Saya suka membantu orang lain yang menurut saya perlu dikasihani.")</f>
        <v>B Saya suka membantu orang lain yang menurut saya perlu dikasihani.</v>
      </c>
      <c r="BD48" s="95" t="str">
        <f>IFERROR(__xludf.DUMMYFUNCTION("""COMPUTED_VALUE"""),"A Saya rasanya ingin menyalahkan orang lain bila keadaan tidak baik bagi saya.")</f>
        <v>A Saya rasanya ingin menyalahkan orang lain bila keadaan tidak baik bagi saya.</v>
      </c>
      <c r="BE48" s="95" t="str">
        <f>IFERROR(__xludf.DUMMYFUNCTION("""COMPUTED_VALUE"""),"A Saya suka mendengarkan atau menceritakan hal-hal yang sebaiknya tidak diceritakan.")</f>
        <v>A Saya suka mendengarkan atau menceritakan hal-hal yang sebaiknya tidak diceritakan.</v>
      </c>
      <c r="BF48" s="95" t="str">
        <f>IFERROR(__xludf.DUMMYFUNCTION("""COMPUTED_VALUE"""),"B Bila saya dalam kelompok, saya ingin menentukan apa yang akan kita lakukan.")</f>
        <v>B Bila saya dalam kelompok, saya ingin menentukan apa yang akan kita lakukan.</v>
      </c>
      <c r="BG48" s="95" t="str">
        <f>IFERROR(__xludf.DUMMYFUNCTION("""COMPUTED_VALUE"""),"A Saya ingin teman-teman banyak menunjukkan rasa sayang mereka terhadap saya.")</f>
        <v>A Saya ingin teman-teman banyak menunjukkan rasa sayang mereka terhadap saya.</v>
      </c>
      <c r="BH48" s="95" t="str">
        <f>IFERROR(__xludf.DUMMYFUNCTION("""COMPUTED_VALUE"""),"B Apabila saya berkumpul dalam kelompok, saya ingin dihargai teman-teman.")</f>
        <v>B Apabila saya berkumpul dalam kelompok, saya ingin dihargai teman-teman.</v>
      </c>
      <c r="BI48" s="95" t="str">
        <f>IFERROR(__xludf.DUMMYFUNCTION("""COMPUTED_VALUE"""),"A Saya suka bermurah hati terhadap teman-teman saya.")</f>
        <v>A Saya suka bermurah hati terhadap teman-teman saya.</v>
      </c>
      <c r="BJ48" s="95" t="str">
        <f>IFERROR(__xludf.DUMMYFUNCTION("""COMPUTED_VALUE"""),"A Saya ingin mengerjakan tugas sampai selesai.")</f>
        <v>A Saya ingin mengerjakan tugas sampai selesai.</v>
      </c>
      <c r="BK48" s="95" t="str">
        <f>IFERROR(__xludf.DUMMYFUNCTION("""COMPUTED_VALUE"""),"A Saya ingin menyelesaikan pekerjaan satu persatu sebelum memulai yang lain.")</f>
        <v>A Saya ingin menyelesaikan pekerjaan satu persatu sebelum memulai yang lain.</v>
      </c>
      <c r="BL48" s="95" t="str">
        <f>IFERROR(__xludf.DUMMYFUNCTION("""COMPUTED_VALUE"""),"A Saya suka belajar saya teratur dan ada waktu-waktu tertentu untuk belajar.")</f>
        <v>A Saya suka belajar saya teratur dan ada waktu-waktu tertentu untuk belajar.</v>
      </c>
      <c r="BM48" s="95" t="str">
        <f>IFERROR(__xludf.DUMMYFUNCTION("""COMPUTED_VALUE"""),"A Saya suka melakukan pekerjaan sebaik mungkin.")</f>
        <v>A Saya suka melakukan pekerjaan sebaik mungkin.</v>
      </c>
      <c r="BN48" s="95" t="str">
        <f>IFERROR(__xludf.DUMMYFUNCTION("""COMPUTED_VALUE"""),"B Saya ingin teman-teman memberi dorongan bila saya menghadapi kegagalan.")</f>
        <v>B Saya ingin teman-teman memberi dorongan bila saya menghadapi kegagalan.</v>
      </c>
      <c r="BO48" s="95" t="str">
        <f>IFERROR(__xludf.DUMMYFUNCTION("""COMPUTED_VALUE"""),"B Saya ingin diperlakukan dengan baik oleh teman-teman saya.")</f>
        <v>B Saya ingin diperlakukan dengan baik oleh teman-teman saya.</v>
      </c>
      <c r="BP48" s="95" t="str">
        <f>IFERROR(__xludf.DUMMYFUNCTION("""COMPUTED_VALUE"""),"A Saya ingin menyelesaikan sesuatu yang sangat penting artinya.")</f>
        <v>A Saya ingin menyelesaikan sesuatu yang sangat penting artinya.</v>
      </c>
      <c r="BQ48" s="95" t="str">
        <f>IFERROR(__xludf.DUMMYFUNCTION("""COMPUTED_VALUE"""),"A Saya ingin mengerjakannya tugas sampai selesai.")</f>
        <v>A Saya ingin mengerjakannya tugas sampai selesai.</v>
      </c>
      <c r="BR48" s="95" t="str">
        <f>IFERROR(__xludf.DUMMYFUNCTION("""COMPUTED_VALUE"""),"A Saya suka memaafkan teman-teman saya yang menyakiti hati saya.")</f>
        <v>A Saya suka memaafkan teman-teman saya yang menyakiti hati saya.</v>
      </c>
      <c r="BS48" s="95" t="str">
        <f>IFERROR(__xludf.DUMMYFUNCTION("""COMPUTED_VALUE"""),"B Saya ingin teman-teman saya membantu saya bila saya mengalami kesulitan")</f>
        <v>B Saya ingin teman-teman saya membantu saya bila saya mengalami kesulitan</v>
      </c>
      <c r="BT48" s="95" t="str">
        <f>IFERROR(__xludf.DUMMYFUNCTION("""COMPUTED_VALUE"""),"B Saya ingin teman-teman banyak menunjukkan rasa sayang mereka terhadap saya.")</f>
        <v>B Saya ingin teman-teman banyak menunjukkan rasa sayang mereka terhadap saya.</v>
      </c>
      <c r="BU48" s="95" t="str">
        <f>IFERROR(__xludf.DUMMYFUNCTION("""COMPUTED_VALUE"""),"B Saya ingin agar teman-teman saya merasa kasihan pada saya apabila saya sakit.")</f>
        <v>B Saya ingin agar teman-teman saya merasa kasihan pada saya apabila saya sakit.</v>
      </c>
      <c r="BV48" s="95" t="str">
        <f>IFERROR(__xludf.DUMMYFUNCTION("""COMPUTED_VALUE"""),"B Saya ingin teman-teman dengan gembira memberikan pertolongan kepada saya.")</f>
        <v>B Saya ingin teman-teman dengan gembira memberikan pertolongan kepada saya.</v>
      </c>
      <c r="BW48" s="95" t="str">
        <f>IFERROR(__xludf.DUMMYFUNCTION("""COMPUTED_VALUE"""),"B Saya ingin diperlakukan dengan baik oleh teman-teman saya.")</f>
        <v>B Saya ingin diperlakukan dengan baik oleh teman-teman saya.</v>
      </c>
      <c r="BX48" s="95" t="str">
        <f>IFERROR(__xludf.DUMMYFUNCTION("""COMPUTED_VALUE"""),"B Saya kadang-kadang suka melakukan hal-hal yang dapat dipuji oleh orang lain.")</f>
        <v>B Saya kadang-kadang suka melakukan hal-hal yang dapat dipuji oleh orang lain.</v>
      </c>
      <c r="BY48" s="95" t="str">
        <f>IFERROR(__xludf.DUMMYFUNCTION("""COMPUTED_VALUE"""),"A Saya suka melamun atau membayangkan hal-hal yang tidak jelas.")</f>
        <v>A Saya suka melamun atau membayangkan hal-hal yang tidak jelas.</v>
      </c>
      <c r="BZ48" s="95" t="str">
        <f>IFERROR(__xludf.DUMMYFUNCTION("""COMPUTED_VALUE"""),"B Saya suka diperhatikan, apabila saya ada di dalam suatu kelompok.")</f>
        <v>B Saya suka diperhatikan, apabila saya ada di dalam suatu kelompok.</v>
      </c>
      <c r="CA48" s="95" t="str">
        <f>IFERROR(__xludf.DUMMYFUNCTION("""COMPUTED_VALUE"""),"A Saya ingin teman-teman dengan gembira memberikan pertolongan kepada saya.")</f>
        <v>A Saya ingin teman-teman dengan gembira memberikan pertolongan kepada saya.</v>
      </c>
      <c r="CB48" s="95" t="str">
        <f>IFERROR(__xludf.DUMMYFUNCTION("""COMPUTED_VALUE"""),"B Saya suka berbicara tentang hal-hal yang telah saya capai.")</f>
        <v>B Saya suka berbicara tentang hal-hal yang telah saya capai.</v>
      </c>
      <c r="CC48" s="95" t="str">
        <f>IFERROR(__xludf.DUMMYFUNCTION("""COMPUTED_VALUE"""),"A Apabila saya berkumpul dalam kelompok, saya ingin dihargai teman-teman.")</f>
        <v>A Apabila saya berkumpul dalam kelompok, saya ingin dihargai teman-teman.</v>
      </c>
      <c r="CD48" s="95" t="str">
        <f>IFERROR(__xludf.DUMMYFUNCTION("""COMPUTED_VALUE"""),"A Saya suka menyelesaikan setiap tugas meskipun membutuhkan waktu lama.")</f>
        <v>A Saya suka menyelesaikan setiap tugas meskipun membutuhkan waktu lama.</v>
      </c>
      <c r="CE48" s="95" t="str">
        <f>IFERROR(__xludf.DUMMYFUNCTION("""COMPUTED_VALUE"""),"A Saya suka menyelesaikan setiap tugas belajar yang telah saya mulai.")</f>
        <v>A Saya suka menyelesaikan setiap tugas belajar yang telah saya mulai.</v>
      </c>
      <c r="CF48" s="95" t="str">
        <f>IFERROR(__xludf.DUMMYFUNCTION("""COMPUTED_VALUE"""),"A Saya ingin agar hidup saya teratur sesuai cita-cita saya.")</f>
        <v>A Saya ingin agar hidup saya teratur sesuai cita-cita saya.</v>
      </c>
      <c r="CG48" s="95" t="str">
        <f>IFERROR(__xludf.DUMMYFUNCTION("""COMPUTED_VALUE"""),"B Saya suka berbicara tentang hal-hal yang telah saya capai.")</f>
        <v>B Saya suka berbicara tentang hal-hal yang telah saya capai.</v>
      </c>
      <c r="CH48" s="95" t="str">
        <f>IFERROR(__xludf.DUMMYFUNCTION("""COMPUTED_VALUE"""),"A Saya ingin bisa melakukan dengan baik sesuatu pekerjaan sulit.")</f>
        <v>A Saya ingin bisa melakukan dengan baik sesuatu pekerjaan sulit.</v>
      </c>
      <c r="CI48" s="95" t="str">
        <f>IFERROR(__xludf.DUMMYFUNCTION("""COMPUTED_VALUE"""),"A Saya suka belajar saya teratur dan ada waktu-waktu tertentu untuk belajar.")</f>
        <v>A Saya suka belajar saya teratur dan ada waktu-waktu tertentu untuk belajar.</v>
      </c>
      <c r="CJ48" s="95" t="str">
        <f>IFERROR(__xludf.DUMMYFUNCTION("""COMPUTED_VALUE"""),"A Saya ingin tidak tergantung dari orang lain terhadap apa yang akan saya lakukan.")</f>
        <v>A Saya ingin tidak tergantung dari orang lain terhadap apa yang akan saya lakukan.</v>
      </c>
      <c r="CK48" s="95" t="str">
        <f>IFERROR(__xludf.DUMMYFUNCTION("""COMPUTED_VALUE"""),"B Saya senang ikut beraktivitas bersama teman sebaya saya.")</f>
        <v>B Saya senang ikut beraktivitas bersama teman sebaya saya.</v>
      </c>
      <c r="CL48" s="95" t="str">
        <f>IFERROR(__xludf.DUMMYFUNCTION("""COMPUTED_VALUE"""),"A Saya suka menolong teman-teman saya, apabila mereka dalam kesulitan.")</f>
        <v>A Saya suka menolong teman-teman saya, apabila mereka dalam kesulitan.</v>
      </c>
      <c r="CM48" s="95" t="str">
        <f>IFERROR(__xludf.DUMMYFUNCTION("""COMPUTED_VALUE"""),"B Saya merasa kagum pada seseorang.")</f>
        <v>B Saya merasa kagum pada seseorang.</v>
      </c>
      <c r="CN48" s="95" t="str">
        <f>IFERROR(__xludf.DUMMYFUNCTION("""COMPUTED_VALUE"""),"A Saya ingin diperlakukan dengan baik oleh teman-teman saya.")</f>
        <v>A Saya ingin diperlakukan dengan baik oleh teman-teman saya.</v>
      </c>
      <c r="CO48" s="95" t="str">
        <f>IFERROR(__xludf.DUMMYFUNCTION("""COMPUTED_VALUE"""),"B Saya suka memuji orang yang saya kagumi.")</f>
        <v>B Saya suka memuji orang yang saya kagumi.</v>
      </c>
      <c r="CP48" s="95" t="str">
        <f>IFERROR(__xludf.DUMMYFUNCTION("""COMPUTED_VALUE"""),"A Saya suka melamun atau membayangkan sesuatu sendirian.")</f>
        <v>A Saya suka melamun atau membayangkan sesuatu sendirian.</v>
      </c>
      <c r="CQ48" s="95" t="str">
        <f>IFERROR(__xludf.DUMMYFUNCTION("""COMPUTED_VALUE"""),"B Saya merasa kagum pada seseorang.")</f>
        <v>B Saya merasa kagum pada seseorang.</v>
      </c>
      <c r="CR48" s="95" t="str">
        <f>IFERROR(__xludf.DUMMYFUNCTION("""COMPUTED_VALUE"""),"B Saya rasanya ingin mengecam seseorang bila orang itu menjengkelkan.")</f>
        <v>B Saya rasanya ingin mengecam seseorang bila orang itu menjengkelkan.</v>
      </c>
      <c r="CS48" s="95" t="str">
        <f>IFERROR(__xludf.DUMMYFUNCTION("""COMPUTED_VALUE"""),"B Saya rasanya ingin membalas dendam bila seseorang menghina saya.")</f>
        <v>B Saya rasanya ingin membalas dendam bila seseorang menghina saya.</v>
      </c>
      <c r="CT48" s="95" t="str">
        <f>IFERROR(__xludf.DUMMYFUNCTION("""COMPUTED_VALUE"""),"A Saya ingin orang-orang memperhatikan komentar mengenai penampilan saya.")</f>
        <v>A Saya ingin orang-orang memperhatikan komentar mengenai penampilan saya.</v>
      </c>
      <c r="CU48" s="95" t="str">
        <f>IFERROR(__xludf.DUMMYFUNCTION("""COMPUTED_VALUE"""),"A Saya ingin diperlakukan dengan ramah oleh teman-teman saya.")</f>
        <v>A Saya ingin diperlakukan dengan ramah oleh teman-teman saya.</v>
      </c>
      <c r="CV48" s="95" t="str">
        <f>IFERROR(__xludf.DUMMYFUNCTION("""COMPUTED_VALUE"""),"A Saya ingin ditunjuk atau dipilih sebagai ketua dalam suatu kelompok.")</f>
        <v>A Saya ingin ditunjuk atau dipilih sebagai ketua dalam suatu kelompok.</v>
      </c>
      <c r="CW48" s="95" t="str">
        <f>IFERROR(__xludf.DUMMYFUNCTION("""COMPUTED_VALUE"""),"A Saya suka menolong teman-teman saya, apabila mereka dalam kesulitan.")</f>
        <v>A Saya suka menolong teman-teman saya, apabila mereka dalam kesulitan.</v>
      </c>
      <c r="CX48" s="95" t="str">
        <f>IFERROR(__xludf.DUMMYFUNCTION("""COMPUTED_VALUE"""),"A Saya suka belajar sampai malam untuk menyelesaikan suatu tugas.")</f>
        <v>A Saya suka belajar sampai malam untuk menyelesaikan suatu tugas.</v>
      </c>
      <c r="CY48" s="95" t="str">
        <f>IFERROR(__xludf.DUMMYFUNCTION("""COMPUTED_VALUE"""),"A Saya ingin tidak tergantung dari orang lain terhadap apa yang akan saya lakukan.")</f>
        <v>A Saya ingin tidak tergantung dari orang lain terhadap apa yang akan saya lakukan.</v>
      </c>
      <c r="CZ48" s="95" t="str">
        <f>IFERROR(__xludf.DUMMYFUNCTION("""COMPUTED_VALUE"""),"A Saya suka merencanakan dan mengatur setiap pekerjaan yang harus saya lakukan.")</f>
        <v>A Saya suka merencanakan dan mengatur setiap pekerjaan yang harus saya lakukan.</v>
      </c>
      <c r="DA48" s="95" t="str">
        <f>IFERROR(__xludf.DUMMYFUNCTION("""COMPUTED_VALUE"""),"A Saya ingin melakukan apa saja sebaik mungkin.")</f>
        <v>A Saya ingin melakukan apa saja sebaik mungkin.</v>
      </c>
      <c r="DB48" s="89" t="s">
        <v>23</v>
      </c>
      <c r="DC48" s="97" t="str">
        <f t="shared" ref="DC48:GX48" si="93">LEFT(F48,1)</f>
        <v>B</v>
      </c>
      <c r="DD48" s="97" t="str">
        <f t="shared" si="93"/>
        <v>A</v>
      </c>
      <c r="DE48" s="97" t="str">
        <f t="shared" si="93"/>
        <v>A</v>
      </c>
      <c r="DF48" s="97" t="str">
        <f t="shared" si="93"/>
        <v>B</v>
      </c>
      <c r="DG48" s="97" t="str">
        <f t="shared" si="93"/>
        <v>A</v>
      </c>
      <c r="DH48" s="97" t="str">
        <f t="shared" si="93"/>
        <v>B</v>
      </c>
      <c r="DI48" s="97" t="str">
        <f t="shared" si="93"/>
        <v>B</v>
      </c>
      <c r="DJ48" s="97" t="str">
        <f t="shared" si="93"/>
        <v>A</v>
      </c>
      <c r="DK48" s="97" t="str">
        <f t="shared" si="93"/>
        <v>B</v>
      </c>
      <c r="DL48" s="97" t="str">
        <f t="shared" si="93"/>
        <v>B</v>
      </c>
      <c r="DM48" s="97" t="str">
        <f t="shared" si="93"/>
        <v>B</v>
      </c>
      <c r="DN48" s="97" t="str">
        <f t="shared" si="93"/>
        <v>B</v>
      </c>
      <c r="DO48" s="97" t="str">
        <f t="shared" si="93"/>
        <v>B</v>
      </c>
      <c r="DP48" s="97" t="str">
        <f t="shared" si="93"/>
        <v>B</v>
      </c>
      <c r="DQ48" s="97" t="str">
        <f t="shared" si="93"/>
        <v>B</v>
      </c>
      <c r="DR48" s="97" t="str">
        <f t="shared" si="93"/>
        <v>A</v>
      </c>
      <c r="DS48" s="97" t="str">
        <f t="shared" si="93"/>
        <v>B</v>
      </c>
      <c r="DT48" s="97" t="str">
        <f t="shared" si="93"/>
        <v>B</v>
      </c>
      <c r="DU48" s="97" t="str">
        <f t="shared" si="93"/>
        <v>A</v>
      </c>
      <c r="DV48" s="97" t="str">
        <f t="shared" si="93"/>
        <v>A</v>
      </c>
      <c r="DW48" s="97" t="str">
        <f t="shared" si="93"/>
        <v>A</v>
      </c>
      <c r="DX48" s="97" t="str">
        <f t="shared" si="93"/>
        <v>B</v>
      </c>
      <c r="DY48" s="97" t="str">
        <f t="shared" si="93"/>
        <v>B</v>
      </c>
      <c r="DZ48" s="97" t="str">
        <f t="shared" si="93"/>
        <v>A</v>
      </c>
      <c r="EA48" s="97" t="str">
        <f t="shared" si="93"/>
        <v>A</v>
      </c>
      <c r="EB48" s="97" t="str">
        <f t="shared" si="93"/>
        <v>B</v>
      </c>
      <c r="EC48" s="97" t="str">
        <f t="shared" si="93"/>
        <v>A</v>
      </c>
      <c r="ED48" s="97" t="str">
        <f t="shared" si="93"/>
        <v>B</v>
      </c>
      <c r="EE48" s="97" t="str">
        <f t="shared" si="93"/>
        <v>A</v>
      </c>
      <c r="EF48" s="97" t="str">
        <f t="shared" si="93"/>
        <v>B</v>
      </c>
      <c r="EG48" s="97" t="str">
        <f t="shared" si="93"/>
        <v>B</v>
      </c>
      <c r="EH48" s="97" t="str">
        <f t="shared" si="93"/>
        <v>B</v>
      </c>
      <c r="EI48" s="97" t="str">
        <f t="shared" si="93"/>
        <v>B</v>
      </c>
      <c r="EJ48" s="97" t="str">
        <f t="shared" si="93"/>
        <v>B</v>
      </c>
      <c r="EK48" s="97" t="str">
        <f t="shared" si="93"/>
        <v>A</v>
      </c>
      <c r="EL48" s="97" t="str">
        <f t="shared" si="93"/>
        <v>A</v>
      </c>
      <c r="EM48" s="97" t="str">
        <f t="shared" si="93"/>
        <v>B</v>
      </c>
      <c r="EN48" s="97" t="str">
        <f t="shared" si="93"/>
        <v>B</v>
      </c>
      <c r="EO48" s="97" t="str">
        <f t="shared" si="93"/>
        <v>B</v>
      </c>
      <c r="EP48" s="97" t="str">
        <f t="shared" si="93"/>
        <v>A</v>
      </c>
      <c r="EQ48" s="97" t="str">
        <f t="shared" si="93"/>
        <v>A</v>
      </c>
      <c r="ER48" s="97" t="str">
        <f t="shared" si="93"/>
        <v>B</v>
      </c>
      <c r="ES48" s="97" t="str">
        <f t="shared" si="93"/>
        <v>B</v>
      </c>
      <c r="ET48" s="97" t="str">
        <f t="shared" si="93"/>
        <v>A</v>
      </c>
      <c r="EU48" s="97" t="str">
        <f t="shared" si="93"/>
        <v>B</v>
      </c>
      <c r="EV48" s="97" t="str">
        <f t="shared" si="93"/>
        <v>B</v>
      </c>
      <c r="EW48" s="97" t="str">
        <f t="shared" si="93"/>
        <v>B</v>
      </c>
      <c r="EX48" s="97" t="str">
        <f t="shared" si="93"/>
        <v>B</v>
      </c>
      <c r="EY48" s="97" t="str">
        <f t="shared" si="93"/>
        <v>B</v>
      </c>
      <c r="EZ48" s="97" t="str">
        <f t="shared" si="93"/>
        <v>B</v>
      </c>
      <c r="FA48" s="97" t="str">
        <f t="shared" si="93"/>
        <v>A</v>
      </c>
      <c r="FB48" s="97" t="str">
        <f t="shared" si="93"/>
        <v>A</v>
      </c>
      <c r="FC48" s="97" t="str">
        <f t="shared" si="93"/>
        <v>B</v>
      </c>
      <c r="FD48" s="97" t="str">
        <f t="shared" si="93"/>
        <v>A</v>
      </c>
      <c r="FE48" s="97" t="str">
        <f t="shared" si="93"/>
        <v>B</v>
      </c>
      <c r="FF48" s="97" t="str">
        <f t="shared" si="93"/>
        <v>A</v>
      </c>
      <c r="FG48" s="97" t="str">
        <f t="shared" si="93"/>
        <v>A</v>
      </c>
      <c r="FH48" s="97" t="str">
        <f t="shared" si="93"/>
        <v>A</v>
      </c>
      <c r="FI48" s="97" t="str">
        <f t="shared" si="93"/>
        <v>A</v>
      </c>
      <c r="FJ48" s="97" t="str">
        <f t="shared" si="93"/>
        <v>A</v>
      </c>
      <c r="FK48" s="97" t="str">
        <f t="shared" si="93"/>
        <v>B</v>
      </c>
      <c r="FL48" s="97" t="str">
        <f t="shared" si="93"/>
        <v>B</v>
      </c>
      <c r="FM48" s="97" t="str">
        <f t="shared" si="93"/>
        <v>A</v>
      </c>
      <c r="FN48" s="97" t="str">
        <f t="shared" si="93"/>
        <v>A</v>
      </c>
      <c r="FO48" s="97" t="str">
        <f t="shared" si="93"/>
        <v>A</v>
      </c>
      <c r="FP48" s="97" t="str">
        <f t="shared" si="93"/>
        <v>B</v>
      </c>
      <c r="FQ48" s="97" t="str">
        <f t="shared" si="93"/>
        <v>B</v>
      </c>
      <c r="FR48" s="97" t="str">
        <f t="shared" si="93"/>
        <v>B</v>
      </c>
      <c r="FS48" s="97" t="str">
        <f t="shared" si="93"/>
        <v>B</v>
      </c>
      <c r="FT48" s="97" t="str">
        <f t="shared" si="93"/>
        <v>B</v>
      </c>
      <c r="FU48" s="97" t="str">
        <f t="shared" si="93"/>
        <v>B</v>
      </c>
      <c r="FV48" s="97" t="str">
        <f t="shared" si="93"/>
        <v>A</v>
      </c>
      <c r="FW48" s="97" t="str">
        <f t="shared" si="93"/>
        <v>B</v>
      </c>
      <c r="FX48" s="97" t="str">
        <f t="shared" si="93"/>
        <v>A</v>
      </c>
      <c r="FY48" s="97" t="str">
        <f t="shared" si="93"/>
        <v>B</v>
      </c>
      <c r="FZ48" s="97" t="str">
        <f t="shared" si="93"/>
        <v>A</v>
      </c>
      <c r="GA48" s="97" t="str">
        <f t="shared" si="93"/>
        <v>A</v>
      </c>
      <c r="GB48" s="97" t="str">
        <f t="shared" si="93"/>
        <v>A</v>
      </c>
      <c r="GC48" s="97" t="str">
        <f t="shared" si="93"/>
        <v>A</v>
      </c>
      <c r="GD48" s="97" t="str">
        <f t="shared" si="93"/>
        <v>B</v>
      </c>
      <c r="GE48" s="97" t="str">
        <f t="shared" si="93"/>
        <v>A</v>
      </c>
      <c r="GF48" s="97" t="str">
        <f t="shared" si="93"/>
        <v>A</v>
      </c>
      <c r="GG48" s="97" t="str">
        <f t="shared" si="93"/>
        <v>A</v>
      </c>
      <c r="GH48" s="97" t="str">
        <f t="shared" si="93"/>
        <v>B</v>
      </c>
      <c r="GI48" s="97" t="str">
        <f t="shared" si="93"/>
        <v>A</v>
      </c>
      <c r="GJ48" s="97" t="str">
        <f t="shared" si="93"/>
        <v>B</v>
      </c>
      <c r="GK48" s="97" t="str">
        <f t="shared" si="93"/>
        <v>A</v>
      </c>
      <c r="GL48" s="97" t="str">
        <f t="shared" si="93"/>
        <v>B</v>
      </c>
      <c r="GM48" s="97" t="str">
        <f t="shared" si="93"/>
        <v>A</v>
      </c>
      <c r="GN48" s="97" t="str">
        <f t="shared" si="93"/>
        <v>B</v>
      </c>
      <c r="GO48" s="97" t="str">
        <f t="shared" si="93"/>
        <v>B</v>
      </c>
      <c r="GP48" s="97" t="str">
        <f t="shared" si="93"/>
        <v>B</v>
      </c>
      <c r="GQ48" s="97" t="str">
        <f t="shared" si="93"/>
        <v>A</v>
      </c>
      <c r="GR48" s="97" t="str">
        <f t="shared" si="93"/>
        <v>A</v>
      </c>
      <c r="GS48" s="97" t="str">
        <f t="shared" si="93"/>
        <v>A</v>
      </c>
      <c r="GT48" s="97" t="str">
        <f t="shared" si="93"/>
        <v>A</v>
      </c>
      <c r="GU48" s="97" t="str">
        <f t="shared" si="93"/>
        <v>A</v>
      </c>
      <c r="GV48" s="97" t="str">
        <f t="shared" si="93"/>
        <v>A</v>
      </c>
      <c r="GW48" s="97" t="str">
        <f t="shared" si="93"/>
        <v>A</v>
      </c>
      <c r="GX48" s="97" t="str">
        <f t="shared" si="93"/>
        <v>A</v>
      </c>
      <c r="GY48" s="98"/>
      <c r="GZ48" s="97">
        <f t="shared" si="3"/>
        <v>48</v>
      </c>
      <c r="HA48" s="97">
        <f t="shared" si="4"/>
        <v>52</v>
      </c>
      <c r="HB48" s="90">
        <f t="shared" si="5"/>
        <v>100</v>
      </c>
      <c r="HC48" s="99"/>
      <c r="HD48" s="97">
        <f t="shared" si="6"/>
        <v>7</v>
      </c>
      <c r="HE48" s="97">
        <f t="shared" si="7"/>
        <v>5</v>
      </c>
      <c r="HF48" s="90">
        <f t="shared" si="8"/>
        <v>12</v>
      </c>
      <c r="HG48" s="99"/>
      <c r="HH48" s="97">
        <f t="shared" si="9"/>
        <v>5</v>
      </c>
      <c r="HI48" s="97">
        <f t="shared" si="10"/>
        <v>7</v>
      </c>
      <c r="HJ48" s="90">
        <f t="shared" si="11"/>
        <v>12</v>
      </c>
      <c r="HK48" s="99"/>
      <c r="HL48" s="97">
        <f t="shared" si="12"/>
        <v>6</v>
      </c>
      <c r="HM48" s="97">
        <f t="shared" si="13"/>
        <v>5</v>
      </c>
      <c r="HN48" s="90">
        <f t="shared" si="14"/>
        <v>11</v>
      </c>
      <c r="HO48" s="99"/>
      <c r="HP48" s="97">
        <f t="shared" si="15"/>
        <v>6</v>
      </c>
      <c r="HQ48" s="97">
        <f t="shared" si="16"/>
        <v>7</v>
      </c>
      <c r="HR48" s="90">
        <f t="shared" si="17"/>
        <v>13</v>
      </c>
      <c r="HS48" s="99"/>
      <c r="HT48" s="97">
        <f t="shared" si="18"/>
        <v>9</v>
      </c>
      <c r="HU48" s="97">
        <f t="shared" si="19"/>
        <v>8</v>
      </c>
      <c r="HV48" s="90">
        <f t="shared" si="20"/>
        <v>17</v>
      </c>
      <c r="HW48" s="99"/>
      <c r="HX48" s="97">
        <f t="shared" si="21"/>
        <v>2</v>
      </c>
      <c r="HY48" s="97">
        <f t="shared" si="22"/>
        <v>2</v>
      </c>
      <c r="HZ48" s="90">
        <f t="shared" si="23"/>
        <v>4</v>
      </c>
      <c r="IA48" s="99"/>
      <c r="IB48" s="97">
        <f t="shared" si="24"/>
        <v>5</v>
      </c>
      <c r="IC48" s="97">
        <f t="shared" si="25"/>
        <v>7</v>
      </c>
      <c r="ID48" s="90">
        <f t="shared" si="26"/>
        <v>12</v>
      </c>
      <c r="IE48" s="99"/>
      <c r="IF48" s="97">
        <f t="shared" si="27"/>
        <v>2</v>
      </c>
      <c r="IG48" s="97">
        <f t="shared" si="28"/>
        <v>4</v>
      </c>
      <c r="IH48" s="90">
        <f t="shared" si="29"/>
        <v>6</v>
      </c>
      <c r="II48" s="99"/>
      <c r="IJ48" s="97">
        <f t="shared" si="30"/>
        <v>3</v>
      </c>
      <c r="IK48" s="97">
        <f t="shared" si="31"/>
        <v>4</v>
      </c>
      <c r="IL48" s="90">
        <f t="shared" si="32"/>
        <v>7</v>
      </c>
      <c r="IM48" s="99"/>
      <c r="IN48" s="97">
        <f t="shared" si="33"/>
        <v>1</v>
      </c>
      <c r="IO48" s="97">
        <f t="shared" si="34"/>
        <v>2</v>
      </c>
      <c r="IP48" s="90">
        <f t="shared" si="35"/>
        <v>3</v>
      </c>
      <c r="IQ48" s="99"/>
      <c r="IR48" s="99"/>
      <c r="IS48" s="100">
        <f t="shared" si="36"/>
        <v>12</v>
      </c>
      <c r="IT48" s="100">
        <f t="shared" si="37"/>
        <v>12</v>
      </c>
      <c r="IU48" s="100">
        <f t="shared" si="38"/>
        <v>11</v>
      </c>
      <c r="IV48" s="100">
        <f t="shared" si="39"/>
        <v>13</v>
      </c>
      <c r="IW48" s="100">
        <f t="shared" si="40"/>
        <v>17</v>
      </c>
      <c r="IX48" s="100">
        <f t="shared" si="41"/>
        <v>4</v>
      </c>
      <c r="IY48" s="100">
        <f t="shared" si="42"/>
        <v>12</v>
      </c>
      <c r="IZ48" s="100">
        <f t="shared" si="43"/>
        <v>6</v>
      </c>
      <c r="JA48" s="100">
        <f t="shared" si="44"/>
        <v>7</v>
      </c>
      <c r="JB48" s="101">
        <f t="shared" si="45"/>
        <v>3</v>
      </c>
      <c r="JC48" s="102">
        <f t="shared" si="46"/>
        <v>97</v>
      </c>
      <c r="JD48" s="67">
        <f t="shared" si="50"/>
        <v>0</v>
      </c>
      <c r="JE48" s="67">
        <f t="shared" si="47"/>
        <v>1</v>
      </c>
      <c r="JF48" s="67">
        <f t="shared" si="48"/>
        <v>1</v>
      </c>
    </row>
    <row r="49">
      <c r="A49" s="103">
        <f>IFERROR(__xludf.DUMMYFUNCTION("""COMPUTED_VALUE"""),45929.35388725695)</f>
        <v>45929.35389</v>
      </c>
      <c r="B49" s="95" t="str">
        <f>IFERROR(__xludf.DUMMYFUNCTION("""COMPUTED_VALUE"""),"abdurraman umar  ")</f>
        <v>abdurraman umar  </v>
      </c>
      <c r="C49" s="96" t="str">
        <f>IFERROR(__xludf.DUMMYFUNCTION("""COMPUTED_VALUE"""),"C250004")</f>
        <v>C250004</v>
      </c>
      <c r="D49" s="96" t="str">
        <f>IFERROR(__xludf.DUMMYFUNCTION("""COMPUTED_VALUE"""),"SMA")</f>
        <v>SMA</v>
      </c>
      <c r="E49" s="96" t="str">
        <f>IFERROR(__xludf.DUMMYFUNCTION("""COMPUTED_VALUE"""),"Ya")</f>
        <v>Ya</v>
      </c>
      <c r="F49" s="95" t="str">
        <f>IFERROR(__xludf.DUMMYFUNCTION("""COMPUTED_VALUE"""),"B Saya ingin melakukan apa saja sebaik mungkin.")</f>
        <v>B Saya ingin melakukan apa saja sebaik mungkin.</v>
      </c>
      <c r="G49" s="95" t="str">
        <f>IFERROR(__xludf.DUMMYFUNCTION("""COMPUTED_VALUE"""),"A Saya ingin setiap tulisan saya teliti, rapi, dan tersusun dengan baik.")</f>
        <v>A Saya ingin setiap tulisan saya teliti, rapi, dan tersusun dengan baik.</v>
      </c>
      <c r="H49" s="95" t="str">
        <f>IFERROR(__xludf.DUMMYFUNCTION("""COMPUTED_VALUE"""),"B Saya ingin menjadi orang yang diakui dalam suatu pekerjaan atau bidang khusus.")</f>
        <v>B Saya ingin menjadi orang yang diakui dalam suatu pekerjaan atau bidang khusus.</v>
      </c>
      <c r="I49" s="95" t="str">
        <f>IFERROR(__xludf.DUMMYFUNCTION("""COMPUTED_VALUE"""),"B Saya ingin bisa melakukan dengan baik meskipun tugas yang sulit.")</f>
        <v>B Saya ingin bisa melakukan dengan baik meskipun tugas yang sulit.</v>
      </c>
      <c r="J49" s="95" t="str">
        <f>IFERROR(__xludf.DUMMYFUNCTION("""COMPUTED_VALUE"""),"A Saya suka membantu teman-teman saya apabila mereka mengalami kesulitan.")</f>
        <v>A Saya suka membantu teman-teman saya apabila mereka mengalami kesulitan.</v>
      </c>
      <c r="K49" s="95" t="str">
        <f>IFERROR(__xludf.DUMMYFUNCTION("""COMPUTED_VALUE"""),"B Saya ingin mengatakan telah melakukan dengan baik sesuatu tugas yang sulit.")</f>
        <v>B Saya ingin mengatakan telah melakukan dengan baik sesuatu tugas yang sulit.</v>
      </c>
      <c r="L49" s="95" t="str">
        <f>IFERROR(__xludf.DUMMYFUNCTION("""COMPUTED_VALUE"""),"B Saya ingin mengatakan telah melakukan dengan baik sesuatu tugas yang sulit")</f>
        <v>B Saya ingin mengatakan telah melakukan dengan baik sesuatu tugas yang sulit</v>
      </c>
      <c r="M49" s="95" t="str">
        <f>IFERROR(__xludf.DUMMYFUNCTION("""COMPUTED_VALUE"""),"A Saya suka berbicara tentang hal-hal yang telah berhasil saya lakukan.")</f>
        <v>A Saya suka berbicara tentang hal-hal yang telah berhasil saya lakukan.</v>
      </c>
      <c r="N49" s="95" t="str">
        <f>IFERROR(__xludf.DUMMYFUNCTION("""COMPUTED_VALUE"""),"B Saya suka memecahkan persoalan yang sukar bagi orang lain.")</f>
        <v>B Saya suka memecahkan persoalan yang sukar bagi orang lain.</v>
      </c>
      <c r="O49" s="95" t="str">
        <f>IFERROR(__xludf.DUMMYFUNCTION("""COMPUTED_VALUE"""),"B Saya suka melakukan tugas sebaik mungkin.")</f>
        <v>B Saya suka melakukan tugas sebaik mungkin.</v>
      </c>
      <c r="P49" s="95" t="str">
        <f>IFERROR(__xludf.DUMMYFUNCTION("""COMPUTED_VALUE"""),"B Saya ingin setiap belajar itu teratur dan direncanakan.")</f>
        <v>B Saya ingin setiap belajar itu teratur dan direncanakan.</v>
      </c>
      <c r="Q49" s="95" t="str">
        <f>IFERROR(__xludf.DUMMYFUNCTION("""COMPUTED_VALUE"""),"A Saya mulai suka dengan lawan jenis.")</f>
        <v>A Saya mulai suka dengan lawan jenis.</v>
      </c>
      <c r="R49" s="95" t="str">
        <f>IFERROR(__xludf.DUMMYFUNCTION("""COMPUTED_VALUE"""),"B Saya suka barang-barang saya tersusun rapi dan teratur.")</f>
        <v>B Saya suka barang-barang saya tersusun rapi dan teratur.</v>
      </c>
      <c r="S49" s="95" t="str">
        <f>IFERROR(__xludf.DUMMYFUNCTION("""COMPUTED_VALUE"""),"B Saya suka membuat perencanaan sebelum memulai tugas yang sulit.")</f>
        <v>B Saya suka membuat perencanaan sebelum memulai tugas yang sulit.</v>
      </c>
      <c r="T49" s="95" t="str">
        <f>IFERROR(__xludf.DUMMYFUNCTION("""COMPUTED_VALUE"""),"B Saya ingin agar hidup saya teratur sesuai cita-cita saya.")</f>
        <v>B Saya ingin agar hidup saya teratur sesuai cita-cita saya.</v>
      </c>
      <c r="U49" s="95" t="str">
        <f>IFERROR(__xludf.DUMMYFUNCTION("""COMPUTED_VALUE"""),"A Saya suka memberikan bantuan kepada teman-teman saya.")</f>
        <v>A Saya suka memberikan bantuan kepada teman-teman saya.</v>
      </c>
      <c r="V49" s="95" t="str">
        <f>IFERROR(__xludf.DUMMYFUNCTION("""COMPUTED_VALUE"""),"B Saya suka belajar saya teratur dan ada waktu-waktu tertentu untuk belajar.")</f>
        <v>B Saya suka belajar saya teratur dan ada waktu-waktu tertentu untuk belajar.</v>
      </c>
      <c r="W49" s="95" t="str">
        <f>IFERROR(__xludf.DUMMYFUNCTION("""COMPUTED_VALUE"""),"A Saya suka melakukan kegiatan sesuai kondisi yang saya inginkan.")</f>
        <v>A Saya suka melakukan kegiatan sesuai kondisi yang saya inginkan.</v>
      </c>
      <c r="X49" s="95" t="str">
        <f>IFERROR(__xludf.DUMMYFUNCTION("""COMPUTED_VALUE"""),"A Saya suka merencanakan dan mengatur setiap apa yang harus saya lakukan.")</f>
        <v>A Saya suka merencanakan dan mengatur setiap apa yang harus saya lakukan.</v>
      </c>
      <c r="Y49" s="95" t="str">
        <f>IFERROR(__xludf.DUMMYFUNCTION("""COMPUTED_VALUE"""),"A Saya suka menyelesaikan tugas-tugas yang membutuhkan ketrampilan dan usaha.")</f>
        <v>A Saya suka menyelesaikan tugas-tugas yang membutuhkan ketrampilan dan usaha.</v>
      </c>
      <c r="Z49" s="95" t="str">
        <f>IFERROR(__xludf.DUMMYFUNCTION("""COMPUTED_VALUE"""),"A Saya ingin berhasil dengan belajar yang saya lakukan.")</f>
        <v>A Saya ingin berhasil dengan belajar yang saya lakukan.</v>
      </c>
      <c r="AA49" s="95" t="str">
        <f>IFERROR(__xludf.DUMMYFUNCTION("""COMPUTED_VALUE"""),"B Saya tidak suka pada orang yang berbuat seenaknya sendiri.")</f>
        <v>B Saya tidak suka pada orang yang berbuat seenaknya sendiri.</v>
      </c>
      <c r="AB49" s="95" t="str">
        <f>IFERROR(__xludf.DUMMYFUNCTION("""COMPUTED_VALUE"""),"A Saya ingin tidak tergantung dari orang lain terhadap apa yang akan saya lakukan.")</f>
        <v>A Saya ingin tidak tergantung dari orang lain terhadap apa yang akan saya lakukan.</v>
      </c>
      <c r="AC49" s="95" t="str">
        <f>IFERROR(__xludf.DUMMYFUNCTION("""COMPUTED_VALUE"""),"A Saya suka menyelesaikan setiap tugas meskipun membutuhkan waktu lama.")</f>
        <v>A Saya suka menyelesaikan setiap tugas meskipun membutuhkan waktu lama.</v>
      </c>
      <c r="AD49" s="95" t="str">
        <f>IFERROR(__xludf.DUMMYFUNCTION("""COMPUTED_VALUE"""),"B Saya suka menyatakan pendapat saya tentang berbagai hal.")</f>
        <v>B Saya suka menyatakan pendapat saya tentang berbagai hal.</v>
      </c>
      <c r="AE49" s="95" t="str">
        <f>IFERROR(__xludf.DUMMYFUNCTION("""COMPUTED_VALUE"""),"A Saya ingin dianggap sebagai pemimpin oleh teman di kelompok.")</f>
        <v>A Saya ingin dianggap sebagai pemimpin oleh teman di kelompok.</v>
      </c>
      <c r="AF49" s="95" t="str">
        <f>IFERROR(__xludf.DUMMYFUNCTION("""COMPUTED_VALUE"""),"B Saya suka melakukan hal-hal dengan cara saya sendiri.")</f>
        <v>B Saya suka melakukan hal-hal dengan cara saya sendiri.</v>
      </c>
      <c r="AG49" s="95" t="str">
        <f>IFERROR(__xludf.DUMMYFUNCTION("""COMPUTED_VALUE"""),"B Saya ingin berhasil dengan tugas yang saya lakukan.")</f>
        <v>B Saya ingin berhasil dengan tugas yang saya lakukan.</v>
      </c>
      <c r="AH49" s="95" t="str">
        <f>IFERROR(__xludf.DUMMYFUNCTION("""COMPUTED_VALUE"""),"A Saya suka membaca buku-buku tentang pergaulan remaja.")</f>
        <v>A Saya suka membaca buku-buku tentang pergaulan remaja.</v>
      </c>
      <c r="AI49" s="95" t="str">
        <f>IFERROR(__xludf.DUMMYFUNCTION("""COMPUTED_VALUE"""),"B Saya suka melakukan kegiatan sesuai kondisi yang saya inginkan.")</f>
        <v>B Saya suka melakukan kegiatan sesuai kondisi yang saya inginkan.</v>
      </c>
      <c r="AJ49" s="95" t="str">
        <f>IFERROR(__xludf.DUMMYFUNCTION("""COMPUTED_VALUE"""),"B Saya suka bertahan menghadapi satu masalah meskipun belum tentu berhasil.")</f>
        <v>B Saya suka bertahan menghadapi satu masalah meskipun belum tentu berhasil.</v>
      </c>
      <c r="AK49" s="95" t="str">
        <f>IFERROR(__xludf.DUMMYFUNCTION("""COMPUTED_VALUE"""),"B Bila saya harus melakukan suatu tugas, saya ingin mengerjakan sampai selesai.")</f>
        <v>B Bila saya harus melakukan suatu tugas, saya ingin mengerjakan sampai selesai.</v>
      </c>
      <c r="AL49" s="95" t="str">
        <f>IFERROR(__xludf.DUMMYFUNCTION("""COMPUTED_VALUE"""),"A Saya suka berbicara tentang hal-hal yang telah saya capai.")</f>
        <v>A Saya suka berbicara tentang hal-hal yang telah saya capai.</v>
      </c>
      <c r="AM49" s="95" t="str">
        <f>IFERROR(__xludf.DUMMYFUNCTION("""COMPUTED_VALUE"""),"B Saya suka belajar sampai malam untuk menyelesaikan suatu tugas.")</f>
        <v>B Saya suka belajar sampai malam untuk menyelesaikan suatu tugas.</v>
      </c>
      <c r="AN49" s="95" t="str">
        <f>IFERROR(__xludf.DUMMYFUNCTION("""COMPUTED_VALUE"""),"A Saya tidak suka pada orang yang semena-mena.")</f>
        <v>A Saya tidak suka pada orang yang semena-mena.</v>
      </c>
      <c r="AO49" s="95" t="str">
        <f>IFERROR(__xludf.DUMMYFUNCTION("""COMPUTED_VALUE"""),"A Saya suka berlaku sangat ramah terhadap teman-teman saya.")</f>
        <v>A Saya suka berlaku sangat ramah terhadap teman-teman saya.</v>
      </c>
      <c r="AP49" s="95" t="str">
        <f>IFERROR(__xludf.DUMMYFUNCTION("""COMPUTED_VALUE"""),"A Saya ingin mengerjakannya tugas sampai selesai.")</f>
        <v>A Saya ingin mengerjakannya tugas sampai selesai.</v>
      </c>
      <c r="AQ49" s="95" t="str">
        <f>IFERROR(__xludf.DUMMYFUNCTION("""COMPUTED_VALUE"""),"B Bila saya harus melakukan suatu tugas, saya ingin mengerjakan sampai selesai.")</f>
        <v>B Bila saya harus melakukan suatu tugas, saya ingin mengerjakan sampai selesai.</v>
      </c>
      <c r="AR49" s="95" t="str">
        <f>IFERROR(__xludf.DUMMYFUNCTION("""COMPUTED_VALUE"""),"A Saya suka menyimpan catatan secara rapi.")</f>
        <v>A Saya suka menyimpan catatan secara rapi.</v>
      </c>
      <c r="AS49" s="95" t="str">
        <f>IFERROR(__xludf.DUMMYFUNCTION("""COMPUTED_VALUE"""),"B Saya suka belajar sampai malam untuk menyelesaikan suatu tugas.")</f>
        <v>B Saya suka belajar sampai malam untuk menyelesaikan suatu tugas.</v>
      </c>
      <c r="AT49" s="95" t="str">
        <f>IFERROR(__xludf.DUMMYFUNCTION("""COMPUTED_VALUE"""),"A Saya ingin bisa melakukan dengan baik sesuatu pekerjaan sulit.")</f>
        <v>A Saya ingin bisa melakukan dengan baik sesuatu pekerjaan sulit.</v>
      </c>
      <c r="AU49" s="95" t="str">
        <f>IFERROR(__xludf.DUMMYFUNCTION("""COMPUTED_VALUE"""),"A Saya ingin menyelesaikan pekerjaan satu persatu sebelum memulai yang lain.")</f>
        <v>A Saya ingin menyelesaikan pekerjaan satu persatu sebelum memulai yang lain.</v>
      </c>
      <c r="AV49" s="95" t="str">
        <f>IFERROR(__xludf.DUMMYFUNCTION("""COMPUTED_VALUE"""),"B Saya suka menolong teman-teman saya.")</f>
        <v>B Saya suka menolong teman-teman saya.</v>
      </c>
      <c r="AW49" s="95" t="str">
        <f>IFERROR(__xludf.DUMMYFUNCTION("""COMPUTED_VALUE"""),"A Saya ingin mengerjakan tugas sampai selesai.")</f>
        <v>A Saya ingin mengerjakan tugas sampai selesai.</v>
      </c>
      <c r="AX49" s="95" t="str">
        <f>IFERROR(__xludf.DUMMYFUNCTION("""COMPUTED_VALUE"""),"B Saya suka memaafkan teman-teman saya yang menyakiti hati saya.")</f>
        <v>B Saya suka memaafkan teman-teman saya yang menyakiti hati saya.</v>
      </c>
      <c r="AY49" s="95" t="str">
        <f>IFERROR(__xludf.DUMMYFUNCTION("""COMPUTED_VALUE"""),"B Saya suka menolong teman-teman saya apabila mereka dalam kesulitan.")</f>
        <v>B Saya suka menolong teman-teman saya apabila mereka dalam kesulitan.</v>
      </c>
      <c r="AZ49" s="95" t="str">
        <f>IFERROR(__xludf.DUMMYFUNCTION("""COMPUTED_VALUE"""),"B Saya suka menunjukkan simpati saya kepada teman-teman saya.")</f>
        <v>B Saya suka menunjukkan simpati saya kepada teman-teman saya.</v>
      </c>
      <c r="BA49" s="95" t="str">
        <f>IFERROR(__xludf.DUMMYFUNCTION("""COMPUTED_VALUE"""),"A Saya suka menyatakan pendapat saya tentang berbagai hal.")</f>
        <v>A Saya suka menyatakan pendapat saya tentang berbagai hal.</v>
      </c>
      <c r="BB49" s="95" t="str">
        <f>IFERROR(__xludf.DUMMYFUNCTION("""COMPUTED_VALUE"""),"B Saya suka bermurah hati terhadap teman-teman saya.")</f>
        <v>B Saya suka bermurah hati terhadap teman-teman saya.</v>
      </c>
      <c r="BC49" s="95" t="str">
        <f>IFERROR(__xludf.DUMMYFUNCTION("""COMPUTED_VALUE"""),"A Saya rasanya ingin mengecam seseorang bila orang itu menjengkelkan.")</f>
        <v>A Saya rasanya ingin mengecam seseorang bila orang itu menjengkelkan.</v>
      </c>
      <c r="BD49" s="95" t="str">
        <f>IFERROR(__xludf.DUMMYFUNCTION("""COMPUTED_VALUE"""),"A Saya rasanya ingin menyalahkan orang lain bila keadaan tidak baik bagi saya.")</f>
        <v>A Saya rasanya ingin menyalahkan orang lain bila keadaan tidak baik bagi saya.</v>
      </c>
      <c r="BE49" s="95" t="str">
        <f>IFERROR(__xludf.DUMMYFUNCTION("""COMPUTED_VALUE"""),"A Saya suka mendengarkan atau menceritakan hal-hal yang sebaiknya tidak diceritakan.")</f>
        <v>A Saya suka mendengarkan atau menceritakan hal-hal yang sebaiknya tidak diceritakan.</v>
      </c>
      <c r="BF49" s="95" t="str">
        <f>IFERROR(__xludf.DUMMYFUNCTION("""COMPUTED_VALUE"""),"B Bila saya dalam kelompok, saya ingin menentukan apa yang akan kita lakukan.")</f>
        <v>B Bila saya dalam kelompok, saya ingin menentukan apa yang akan kita lakukan.</v>
      </c>
      <c r="BG49" s="95" t="str">
        <f>IFERROR(__xludf.DUMMYFUNCTION("""COMPUTED_VALUE"""),"B Saya suka mengarahkan kepada orang lain apa yang harus dilakukan.")</f>
        <v>B Saya suka mengarahkan kepada orang lain apa yang harus dilakukan.</v>
      </c>
      <c r="BH49" s="95" t="str">
        <f>IFERROR(__xludf.DUMMYFUNCTION("""COMPUTED_VALUE"""),"B Apabila saya berkumpul dalam kelompok, saya ingin dihargai teman-teman.")</f>
        <v>B Apabila saya berkumpul dalam kelompok, saya ingin dihargai teman-teman.</v>
      </c>
      <c r="BI49" s="95" t="str">
        <f>IFERROR(__xludf.DUMMYFUNCTION("""COMPUTED_VALUE"""),"A Saya suka bermurah hati terhadap teman-teman saya.")</f>
        <v>A Saya suka bermurah hati terhadap teman-teman saya.</v>
      </c>
      <c r="BJ49" s="95" t="str">
        <f>IFERROR(__xludf.DUMMYFUNCTION("""COMPUTED_VALUE"""),"A Saya ingin mengerjakan tugas sampai selesai.")</f>
        <v>A Saya ingin mengerjakan tugas sampai selesai.</v>
      </c>
      <c r="BK49" s="95" t="str">
        <f>IFERROR(__xludf.DUMMYFUNCTION("""COMPUTED_VALUE"""),"A Saya ingin menyelesaikan pekerjaan satu persatu sebelum memulai yang lain.")</f>
        <v>A Saya ingin menyelesaikan pekerjaan satu persatu sebelum memulai yang lain.</v>
      </c>
      <c r="BL49" s="95" t="str">
        <f>IFERROR(__xludf.DUMMYFUNCTION("""COMPUTED_VALUE"""),"A Saya suka belajar saya teratur dan ada waktu-waktu tertentu untuk belajar.")</f>
        <v>A Saya suka belajar saya teratur dan ada waktu-waktu tertentu untuk belajar.</v>
      </c>
      <c r="BM49" s="95" t="str">
        <f>IFERROR(__xludf.DUMMYFUNCTION("""COMPUTED_VALUE"""),"A Saya suka melakukan pekerjaan sebaik mungkin.")</f>
        <v>A Saya suka melakukan pekerjaan sebaik mungkin.</v>
      </c>
      <c r="BN49" s="95" t="str">
        <f>IFERROR(__xludf.DUMMYFUNCTION("""COMPUTED_VALUE"""),"B Saya ingin teman-teman memberi dorongan bila saya menghadapi kegagalan.")</f>
        <v>B Saya ingin teman-teman memberi dorongan bila saya menghadapi kegagalan.</v>
      </c>
      <c r="BO49" s="95" t="str">
        <f>IFERROR(__xludf.DUMMYFUNCTION("""COMPUTED_VALUE"""),"A Saya suka membuat perencanaan sebelum memulai belajar yang sulit.")</f>
        <v>A Saya suka membuat perencanaan sebelum memulai belajar yang sulit.</v>
      </c>
      <c r="BP49" s="95" t="str">
        <f>IFERROR(__xludf.DUMMYFUNCTION("""COMPUTED_VALUE"""),"A Saya ingin menyelesaikan sesuatu yang sangat penting artinya.")</f>
        <v>A Saya ingin menyelesaikan sesuatu yang sangat penting artinya.</v>
      </c>
      <c r="BQ49" s="95" t="str">
        <f>IFERROR(__xludf.DUMMYFUNCTION("""COMPUTED_VALUE"""),"A Saya ingin mengerjakannya tugas sampai selesai.")</f>
        <v>A Saya ingin mengerjakannya tugas sampai selesai.</v>
      </c>
      <c r="BR49" s="95" t="str">
        <f>IFERROR(__xludf.DUMMYFUNCTION("""COMPUTED_VALUE"""),"A Saya suka memaafkan teman-teman saya yang menyakiti hati saya.")</f>
        <v>A Saya suka memaafkan teman-teman saya yang menyakiti hati saya.</v>
      </c>
      <c r="BS49" s="95" t="str">
        <f>IFERROR(__xludf.DUMMYFUNCTION("""COMPUTED_VALUE"""),"B Saya ingin teman-teman saya membantu saya bila saya mengalami kesulitan")</f>
        <v>B Saya ingin teman-teman saya membantu saya bila saya mengalami kesulitan</v>
      </c>
      <c r="BT49" s="95" t="str">
        <f>IFERROR(__xludf.DUMMYFUNCTION("""COMPUTED_VALUE"""),"A Saya ingin teman-teman saya merasa kasihan pada saya apabila saya sakit.")</f>
        <v>A Saya ingin teman-teman saya merasa kasihan pada saya apabila saya sakit.</v>
      </c>
      <c r="BU49" s="95" t="str">
        <f>IFERROR(__xludf.DUMMYFUNCTION("""COMPUTED_VALUE"""),"A Saya kadang-kadang suka melakukan hal-hal yang dapat dipuji oleh orang lain.")</f>
        <v>A Saya kadang-kadang suka melakukan hal-hal yang dapat dipuji oleh orang lain.</v>
      </c>
      <c r="BV49" s="95" t="str">
        <f>IFERROR(__xludf.DUMMYFUNCTION("""COMPUTED_VALUE"""),"B Saya ingin teman-teman dengan gembira memberikan pertolongan kepada saya.")</f>
        <v>B Saya ingin teman-teman dengan gembira memberikan pertolongan kepada saya.</v>
      </c>
      <c r="BW49" s="95" t="str">
        <f>IFERROR(__xludf.DUMMYFUNCTION("""COMPUTED_VALUE"""),"B Saya ingin diperlakukan dengan baik oleh teman-teman saya.")</f>
        <v>B Saya ingin diperlakukan dengan baik oleh teman-teman saya.</v>
      </c>
      <c r="BX49" s="95" t="str">
        <f>IFERROR(__xludf.DUMMYFUNCTION("""COMPUTED_VALUE"""),"B Saya kadang-kadang suka melakukan hal-hal yang dapat dipuji oleh orang lain.")</f>
        <v>B Saya kadang-kadang suka melakukan hal-hal yang dapat dipuji oleh orang lain.</v>
      </c>
      <c r="BY49" s="95" t="str">
        <f>IFERROR(__xludf.DUMMYFUNCTION("""COMPUTED_VALUE"""),"A Saya suka melamun atau membayangkan hal-hal yang tidak jelas.")</f>
        <v>A Saya suka melamun atau membayangkan hal-hal yang tidak jelas.</v>
      </c>
      <c r="BZ49" s="95" t="str">
        <f>IFERROR(__xludf.DUMMYFUNCTION("""COMPUTED_VALUE"""),"B Saya suka diperhatikan, apabila saya ada di dalam suatu kelompok.")</f>
        <v>B Saya suka diperhatikan, apabila saya ada di dalam suatu kelompok.</v>
      </c>
      <c r="CA49" s="95" t="str">
        <f>IFERROR(__xludf.DUMMYFUNCTION("""COMPUTED_VALUE"""),"A Saya ingin teman-teman dengan gembira memberikan pertolongan kepada saya.")</f>
        <v>A Saya ingin teman-teman dengan gembira memberikan pertolongan kepada saya.</v>
      </c>
      <c r="CB49" s="95" t="str">
        <f>IFERROR(__xludf.DUMMYFUNCTION("""COMPUTED_VALUE"""),"B Saya suka berbicara tentang hal-hal yang telah saya capai.")</f>
        <v>B Saya suka berbicara tentang hal-hal yang telah saya capai.</v>
      </c>
      <c r="CC49" s="95" t="str">
        <f>IFERROR(__xludf.DUMMYFUNCTION("""COMPUTED_VALUE"""),"B Saya suka menceritakan hal-hal lucu agar diperhatikan oleh orang lain.")</f>
        <v>B Saya suka menceritakan hal-hal lucu agar diperhatikan oleh orang lain.</v>
      </c>
      <c r="CD49" s="95" t="str">
        <f>IFERROR(__xludf.DUMMYFUNCTION("""COMPUTED_VALUE"""),"A Saya suka menyelesaikan setiap tugas meskipun membutuhkan waktu lama.")</f>
        <v>A Saya suka menyelesaikan setiap tugas meskipun membutuhkan waktu lama.</v>
      </c>
      <c r="CE49" s="95" t="str">
        <f>IFERROR(__xludf.DUMMYFUNCTION("""COMPUTED_VALUE"""),"B Saya kadang-kadang suka melakukan hal-hal yang dapat dipuji oleh orang lain.")</f>
        <v>B Saya kadang-kadang suka melakukan hal-hal yang dapat dipuji oleh orang lain.</v>
      </c>
      <c r="CF49" s="95" t="str">
        <f>IFERROR(__xludf.DUMMYFUNCTION("""COMPUTED_VALUE"""),"A Saya ingin agar hidup saya teratur sesuai cita-cita saya.")</f>
        <v>A Saya ingin agar hidup saya teratur sesuai cita-cita saya.</v>
      </c>
      <c r="CG49" s="95" t="str">
        <f>IFERROR(__xludf.DUMMYFUNCTION("""COMPUTED_VALUE"""),"A Saya ingin berhasil dalam apa yang saya lakukan.")</f>
        <v>A Saya ingin berhasil dalam apa yang saya lakukan.</v>
      </c>
      <c r="CH49" s="95" t="str">
        <f>IFERROR(__xludf.DUMMYFUNCTION("""COMPUTED_VALUE"""),"A Saya ingin bisa melakukan dengan baik sesuatu pekerjaan sulit.")</f>
        <v>A Saya ingin bisa melakukan dengan baik sesuatu pekerjaan sulit.</v>
      </c>
      <c r="CI49" s="95" t="str">
        <f>IFERROR(__xludf.DUMMYFUNCTION("""COMPUTED_VALUE"""),"A Saya suka belajar saya teratur dan ada waktu-waktu tertentu untuk belajar.")</f>
        <v>A Saya suka belajar saya teratur dan ada waktu-waktu tertentu untuk belajar.</v>
      </c>
      <c r="CJ49" s="95" t="str">
        <f>IFERROR(__xludf.DUMMYFUNCTION("""COMPUTED_VALUE"""),"A Saya ingin tidak tergantung dari orang lain terhadap apa yang akan saya lakukan.")</f>
        <v>A Saya ingin tidak tergantung dari orang lain terhadap apa yang akan saya lakukan.</v>
      </c>
      <c r="CK49" s="95" t="str">
        <f>IFERROR(__xludf.DUMMYFUNCTION("""COMPUTED_VALUE"""),"B Saya senang ikut beraktivitas bersama teman sebaya saya.")</f>
        <v>B Saya senang ikut beraktivitas bersama teman sebaya saya.</v>
      </c>
      <c r="CL49" s="95" t="str">
        <f>IFERROR(__xludf.DUMMYFUNCTION("""COMPUTED_VALUE"""),"A Saya suka menolong teman-teman saya, apabila mereka dalam kesulitan.")</f>
        <v>A Saya suka menolong teman-teman saya, apabila mereka dalam kesulitan.</v>
      </c>
      <c r="CM49" s="95" t="str">
        <f>IFERROR(__xludf.DUMMYFUNCTION("""COMPUTED_VALUE"""),"B Saya merasa kagum pada seseorang.")</f>
        <v>B Saya merasa kagum pada seseorang.</v>
      </c>
      <c r="CN49" s="95" t="str">
        <f>IFERROR(__xludf.DUMMYFUNCTION("""COMPUTED_VALUE"""),"A Saya ingin diperlakukan dengan baik oleh teman-teman saya.")</f>
        <v>A Saya ingin diperlakukan dengan baik oleh teman-teman saya.</v>
      </c>
      <c r="CO49" s="95" t="str">
        <f>IFERROR(__xludf.DUMMYFUNCTION("""COMPUTED_VALUE"""),"A Saya suka menceritakan hal-hal lucu agar diperhatikan oleh orang lain.")</f>
        <v>A Saya suka menceritakan hal-hal lucu agar diperhatikan oleh orang lain.</v>
      </c>
      <c r="CP49" s="95" t="str">
        <f>IFERROR(__xludf.DUMMYFUNCTION("""COMPUTED_VALUE"""),"A Saya suka melamun atau membayangkan sesuatu sendirian.")</f>
        <v>A Saya suka melamun atau membayangkan sesuatu sendirian.</v>
      </c>
      <c r="CQ49" s="95" t="str">
        <f>IFERROR(__xludf.DUMMYFUNCTION("""COMPUTED_VALUE"""),"B Saya merasa kagum pada seseorang.")</f>
        <v>B Saya merasa kagum pada seseorang.</v>
      </c>
      <c r="CR49" s="95" t="str">
        <f>IFERROR(__xludf.DUMMYFUNCTION("""COMPUTED_VALUE"""),"B Saya rasanya ingin mengecam seseorang bila orang itu menjengkelkan.")</f>
        <v>B Saya rasanya ingin mengecam seseorang bila orang itu menjengkelkan.</v>
      </c>
      <c r="CS49" s="95" t="str">
        <f>IFERROR(__xludf.DUMMYFUNCTION("""COMPUTED_VALUE"""),"B Saya rasanya ingin membalas dendam bila seseorang menghina saya.")</f>
        <v>B Saya rasanya ingin membalas dendam bila seseorang menghina saya.</v>
      </c>
      <c r="CT49" s="95" t="str">
        <f>IFERROR(__xludf.DUMMYFUNCTION("""COMPUTED_VALUE"""),"A Saya ingin orang-orang memperhatikan komentar mengenai penampilan saya.")</f>
        <v>A Saya ingin orang-orang memperhatikan komentar mengenai penampilan saya.</v>
      </c>
      <c r="CU49" s="95" t="str">
        <f>IFERROR(__xludf.DUMMYFUNCTION("""COMPUTED_VALUE"""),"A Saya ingin diperlakukan dengan ramah oleh teman-teman saya.")</f>
        <v>A Saya ingin diperlakukan dengan ramah oleh teman-teman saya.</v>
      </c>
      <c r="CV49" s="95" t="str">
        <f>IFERROR(__xludf.DUMMYFUNCTION("""COMPUTED_VALUE"""),"B Saya menyerang pendirian-pendirian yang bertentangan dengan pendirian saya.")</f>
        <v>B Saya menyerang pendirian-pendirian yang bertentangan dengan pendirian saya.</v>
      </c>
      <c r="CW49" s="95" t="str">
        <f>IFERROR(__xludf.DUMMYFUNCTION("""COMPUTED_VALUE"""),"A Saya suka menolong teman-teman saya, apabila mereka dalam kesulitan.")</f>
        <v>A Saya suka menolong teman-teman saya, apabila mereka dalam kesulitan.</v>
      </c>
      <c r="CX49" s="95" t="str">
        <f>IFERROR(__xludf.DUMMYFUNCTION("""COMPUTED_VALUE"""),"A Saya suka belajar sampai malam untuk menyelesaikan suatu tugas.")</f>
        <v>A Saya suka belajar sampai malam untuk menyelesaikan suatu tugas.</v>
      </c>
      <c r="CY49" s="95" t="str">
        <f>IFERROR(__xludf.DUMMYFUNCTION("""COMPUTED_VALUE"""),"A Saya ingin tidak tergantung dari orang lain terhadap apa yang akan saya lakukan.")</f>
        <v>A Saya ingin tidak tergantung dari orang lain terhadap apa yang akan saya lakukan.</v>
      </c>
      <c r="CZ49" s="95" t="str">
        <f>IFERROR(__xludf.DUMMYFUNCTION("""COMPUTED_VALUE"""),"A Saya suka merencanakan dan mengatur setiap pekerjaan yang harus saya lakukan.")</f>
        <v>A Saya suka merencanakan dan mengatur setiap pekerjaan yang harus saya lakukan.</v>
      </c>
      <c r="DA49" s="95" t="str">
        <f>IFERROR(__xludf.DUMMYFUNCTION("""COMPUTED_VALUE"""),"A Saya ingin melakukan apa saja sebaik mungkin.")</f>
        <v>A Saya ingin melakukan apa saja sebaik mungkin.</v>
      </c>
      <c r="DB49" s="89" t="s">
        <v>23</v>
      </c>
      <c r="DC49" s="97" t="str">
        <f t="shared" ref="DC49:GX49" si="94">LEFT(F49,1)</f>
        <v>B</v>
      </c>
      <c r="DD49" s="97" t="str">
        <f t="shared" si="94"/>
        <v>A</v>
      </c>
      <c r="DE49" s="97" t="str">
        <f t="shared" si="94"/>
        <v>B</v>
      </c>
      <c r="DF49" s="97" t="str">
        <f t="shared" si="94"/>
        <v>B</v>
      </c>
      <c r="DG49" s="97" t="str">
        <f t="shared" si="94"/>
        <v>A</v>
      </c>
      <c r="DH49" s="97" t="str">
        <f t="shared" si="94"/>
        <v>B</v>
      </c>
      <c r="DI49" s="97" t="str">
        <f t="shared" si="94"/>
        <v>B</v>
      </c>
      <c r="DJ49" s="97" t="str">
        <f t="shared" si="94"/>
        <v>A</v>
      </c>
      <c r="DK49" s="97" t="str">
        <f t="shared" si="94"/>
        <v>B</v>
      </c>
      <c r="DL49" s="97" t="str">
        <f t="shared" si="94"/>
        <v>B</v>
      </c>
      <c r="DM49" s="97" t="str">
        <f t="shared" si="94"/>
        <v>B</v>
      </c>
      <c r="DN49" s="97" t="str">
        <f t="shared" si="94"/>
        <v>A</v>
      </c>
      <c r="DO49" s="97" t="str">
        <f t="shared" si="94"/>
        <v>B</v>
      </c>
      <c r="DP49" s="97" t="str">
        <f t="shared" si="94"/>
        <v>B</v>
      </c>
      <c r="DQ49" s="97" t="str">
        <f t="shared" si="94"/>
        <v>B</v>
      </c>
      <c r="DR49" s="97" t="str">
        <f t="shared" si="94"/>
        <v>A</v>
      </c>
      <c r="DS49" s="97" t="str">
        <f t="shared" si="94"/>
        <v>B</v>
      </c>
      <c r="DT49" s="97" t="str">
        <f t="shared" si="94"/>
        <v>A</v>
      </c>
      <c r="DU49" s="97" t="str">
        <f t="shared" si="94"/>
        <v>A</v>
      </c>
      <c r="DV49" s="97" t="str">
        <f t="shared" si="94"/>
        <v>A</v>
      </c>
      <c r="DW49" s="97" t="str">
        <f t="shared" si="94"/>
        <v>A</v>
      </c>
      <c r="DX49" s="97" t="str">
        <f t="shared" si="94"/>
        <v>B</v>
      </c>
      <c r="DY49" s="97" t="str">
        <f t="shared" si="94"/>
        <v>A</v>
      </c>
      <c r="DZ49" s="97" t="str">
        <f t="shared" si="94"/>
        <v>A</v>
      </c>
      <c r="EA49" s="97" t="str">
        <f t="shared" si="94"/>
        <v>B</v>
      </c>
      <c r="EB49" s="97" t="str">
        <f t="shared" si="94"/>
        <v>A</v>
      </c>
      <c r="EC49" s="97" t="str">
        <f t="shared" si="94"/>
        <v>B</v>
      </c>
      <c r="ED49" s="97" t="str">
        <f t="shared" si="94"/>
        <v>B</v>
      </c>
      <c r="EE49" s="97" t="str">
        <f t="shared" si="94"/>
        <v>A</v>
      </c>
      <c r="EF49" s="97" t="str">
        <f t="shared" si="94"/>
        <v>B</v>
      </c>
      <c r="EG49" s="97" t="str">
        <f t="shared" si="94"/>
        <v>B</v>
      </c>
      <c r="EH49" s="97" t="str">
        <f t="shared" si="94"/>
        <v>B</v>
      </c>
      <c r="EI49" s="97" t="str">
        <f t="shared" si="94"/>
        <v>A</v>
      </c>
      <c r="EJ49" s="97" t="str">
        <f t="shared" si="94"/>
        <v>B</v>
      </c>
      <c r="EK49" s="97" t="str">
        <f t="shared" si="94"/>
        <v>A</v>
      </c>
      <c r="EL49" s="97" t="str">
        <f t="shared" si="94"/>
        <v>A</v>
      </c>
      <c r="EM49" s="97" t="str">
        <f t="shared" si="94"/>
        <v>A</v>
      </c>
      <c r="EN49" s="97" t="str">
        <f t="shared" si="94"/>
        <v>B</v>
      </c>
      <c r="EO49" s="97" t="str">
        <f t="shared" si="94"/>
        <v>A</v>
      </c>
      <c r="EP49" s="97" t="str">
        <f t="shared" si="94"/>
        <v>B</v>
      </c>
      <c r="EQ49" s="97" t="str">
        <f t="shared" si="94"/>
        <v>A</v>
      </c>
      <c r="ER49" s="97" t="str">
        <f t="shared" si="94"/>
        <v>A</v>
      </c>
      <c r="ES49" s="97" t="str">
        <f t="shared" si="94"/>
        <v>B</v>
      </c>
      <c r="ET49" s="97" t="str">
        <f t="shared" si="94"/>
        <v>A</v>
      </c>
      <c r="EU49" s="97" t="str">
        <f t="shared" si="94"/>
        <v>B</v>
      </c>
      <c r="EV49" s="97" t="str">
        <f t="shared" si="94"/>
        <v>B</v>
      </c>
      <c r="EW49" s="97" t="str">
        <f t="shared" si="94"/>
        <v>B</v>
      </c>
      <c r="EX49" s="97" t="str">
        <f t="shared" si="94"/>
        <v>A</v>
      </c>
      <c r="EY49" s="97" t="str">
        <f t="shared" si="94"/>
        <v>B</v>
      </c>
      <c r="EZ49" s="97" t="str">
        <f t="shared" si="94"/>
        <v>A</v>
      </c>
      <c r="FA49" s="97" t="str">
        <f t="shared" si="94"/>
        <v>A</v>
      </c>
      <c r="FB49" s="97" t="str">
        <f t="shared" si="94"/>
        <v>A</v>
      </c>
      <c r="FC49" s="97" t="str">
        <f t="shared" si="94"/>
        <v>B</v>
      </c>
      <c r="FD49" s="97" t="str">
        <f t="shared" si="94"/>
        <v>B</v>
      </c>
      <c r="FE49" s="97" t="str">
        <f t="shared" si="94"/>
        <v>B</v>
      </c>
      <c r="FF49" s="97" t="str">
        <f t="shared" si="94"/>
        <v>A</v>
      </c>
      <c r="FG49" s="97" t="str">
        <f t="shared" si="94"/>
        <v>A</v>
      </c>
      <c r="FH49" s="97" t="str">
        <f t="shared" si="94"/>
        <v>A</v>
      </c>
      <c r="FI49" s="97" t="str">
        <f t="shared" si="94"/>
        <v>A</v>
      </c>
      <c r="FJ49" s="97" t="str">
        <f t="shared" si="94"/>
        <v>A</v>
      </c>
      <c r="FK49" s="97" t="str">
        <f t="shared" si="94"/>
        <v>B</v>
      </c>
      <c r="FL49" s="97" t="str">
        <f t="shared" si="94"/>
        <v>A</v>
      </c>
      <c r="FM49" s="97" t="str">
        <f t="shared" si="94"/>
        <v>A</v>
      </c>
      <c r="FN49" s="97" t="str">
        <f t="shared" si="94"/>
        <v>A</v>
      </c>
      <c r="FO49" s="97" t="str">
        <f t="shared" si="94"/>
        <v>A</v>
      </c>
      <c r="FP49" s="97" t="str">
        <f t="shared" si="94"/>
        <v>B</v>
      </c>
      <c r="FQ49" s="97" t="str">
        <f t="shared" si="94"/>
        <v>A</v>
      </c>
      <c r="FR49" s="97" t="str">
        <f t="shared" si="94"/>
        <v>A</v>
      </c>
      <c r="FS49" s="97" t="str">
        <f t="shared" si="94"/>
        <v>B</v>
      </c>
      <c r="FT49" s="97" t="str">
        <f t="shared" si="94"/>
        <v>B</v>
      </c>
      <c r="FU49" s="97" t="str">
        <f t="shared" si="94"/>
        <v>B</v>
      </c>
      <c r="FV49" s="97" t="str">
        <f t="shared" si="94"/>
        <v>A</v>
      </c>
      <c r="FW49" s="97" t="str">
        <f t="shared" si="94"/>
        <v>B</v>
      </c>
      <c r="FX49" s="97" t="str">
        <f t="shared" si="94"/>
        <v>A</v>
      </c>
      <c r="FY49" s="97" t="str">
        <f t="shared" si="94"/>
        <v>B</v>
      </c>
      <c r="FZ49" s="97" t="str">
        <f t="shared" si="94"/>
        <v>B</v>
      </c>
      <c r="GA49" s="97" t="str">
        <f t="shared" si="94"/>
        <v>A</v>
      </c>
      <c r="GB49" s="97" t="str">
        <f t="shared" si="94"/>
        <v>B</v>
      </c>
      <c r="GC49" s="97" t="str">
        <f t="shared" si="94"/>
        <v>A</v>
      </c>
      <c r="GD49" s="97" t="str">
        <f t="shared" si="94"/>
        <v>A</v>
      </c>
      <c r="GE49" s="97" t="str">
        <f t="shared" si="94"/>
        <v>A</v>
      </c>
      <c r="GF49" s="97" t="str">
        <f t="shared" si="94"/>
        <v>A</v>
      </c>
      <c r="GG49" s="97" t="str">
        <f t="shared" si="94"/>
        <v>A</v>
      </c>
      <c r="GH49" s="97" t="str">
        <f t="shared" si="94"/>
        <v>B</v>
      </c>
      <c r="GI49" s="97" t="str">
        <f t="shared" si="94"/>
        <v>A</v>
      </c>
      <c r="GJ49" s="97" t="str">
        <f t="shared" si="94"/>
        <v>B</v>
      </c>
      <c r="GK49" s="97" t="str">
        <f t="shared" si="94"/>
        <v>A</v>
      </c>
      <c r="GL49" s="97" t="str">
        <f t="shared" si="94"/>
        <v>A</v>
      </c>
      <c r="GM49" s="97" t="str">
        <f t="shared" si="94"/>
        <v>A</v>
      </c>
      <c r="GN49" s="97" t="str">
        <f t="shared" si="94"/>
        <v>B</v>
      </c>
      <c r="GO49" s="97" t="str">
        <f t="shared" si="94"/>
        <v>B</v>
      </c>
      <c r="GP49" s="97" t="str">
        <f t="shared" si="94"/>
        <v>B</v>
      </c>
      <c r="GQ49" s="97" t="str">
        <f t="shared" si="94"/>
        <v>A</v>
      </c>
      <c r="GR49" s="97" t="str">
        <f t="shared" si="94"/>
        <v>A</v>
      </c>
      <c r="GS49" s="97" t="str">
        <f t="shared" si="94"/>
        <v>B</v>
      </c>
      <c r="GT49" s="97" t="str">
        <f t="shared" si="94"/>
        <v>A</v>
      </c>
      <c r="GU49" s="97" t="str">
        <f t="shared" si="94"/>
        <v>A</v>
      </c>
      <c r="GV49" s="97" t="str">
        <f t="shared" si="94"/>
        <v>A</v>
      </c>
      <c r="GW49" s="97" t="str">
        <f t="shared" si="94"/>
        <v>A</v>
      </c>
      <c r="GX49" s="97" t="str">
        <f t="shared" si="94"/>
        <v>A</v>
      </c>
      <c r="GY49" s="98"/>
      <c r="GZ49" s="97">
        <f t="shared" si="3"/>
        <v>55</v>
      </c>
      <c r="HA49" s="97">
        <f t="shared" si="4"/>
        <v>45</v>
      </c>
      <c r="HB49" s="90">
        <f t="shared" si="5"/>
        <v>100</v>
      </c>
      <c r="HC49" s="99"/>
      <c r="HD49" s="97">
        <f t="shared" si="6"/>
        <v>7</v>
      </c>
      <c r="HE49" s="97">
        <f t="shared" si="7"/>
        <v>6</v>
      </c>
      <c r="HF49" s="90">
        <f t="shared" si="8"/>
        <v>13</v>
      </c>
      <c r="HG49" s="99"/>
      <c r="HH49" s="97">
        <f t="shared" si="9"/>
        <v>8</v>
      </c>
      <c r="HI49" s="97">
        <f t="shared" si="10"/>
        <v>5</v>
      </c>
      <c r="HJ49" s="90">
        <f t="shared" si="11"/>
        <v>13</v>
      </c>
      <c r="HK49" s="99"/>
      <c r="HL49" s="97">
        <f t="shared" si="12"/>
        <v>5</v>
      </c>
      <c r="HM49" s="97">
        <f t="shared" si="13"/>
        <v>5</v>
      </c>
      <c r="HN49" s="90">
        <f t="shared" si="14"/>
        <v>10</v>
      </c>
      <c r="HO49" s="99"/>
      <c r="HP49" s="97">
        <f t="shared" si="15"/>
        <v>6</v>
      </c>
      <c r="HQ49" s="97">
        <f t="shared" si="16"/>
        <v>5</v>
      </c>
      <c r="HR49" s="90">
        <f t="shared" si="17"/>
        <v>11</v>
      </c>
      <c r="HS49" s="99"/>
      <c r="HT49" s="97">
        <f t="shared" si="18"/>
        <v>7</v>
      </c>
      <c r="HU49" s="97">
        <f t="shared" si="19"/>
        <v>5</v>
      </c>
      <c r="HV49" s="90">
        <f t="shared" si="20"/>
        <v>12</v>
      </c>
      <c r="HW49" s="99"/>
      <c r="HX49" s="97">
        <f t="shared" si="21"/>
        <v>2</v>
      </c>
      <c r="HY49" s="97">
        <f t="shared" si="22"/>
        <v>3</v>
      </c>
      <c r="HZ49" s="90">
        <f t="shared" si="23"/>
        <v>5</v>
      </c>
      <c r="IA49" s="99"/>
      <c r="IB49" s="97">
        <f t="shared" si="24"/>
        <v>3</v>
      </c>
      <c r="IC49" s="97">
        <f t="shared" si="25"/>
        <v>4</v>
      </c>
      <c r="ID49" s="90">
        <f t="shared" si="26"/>
        <v>7</v>
      </c>
      <c r="IE49" s="99"/>
      <c r="IF49" s="97">
        <f t="shared" si="27"/>
        <v>6</v>
      </c>
      <c r="IG49" s="97">
        <f t="shared" si="28"/>
        <v>5</v>
      </c>
      <c r="IH49" s="90">
        <f t="shared" si="29"/>
        <v>11</v>
      </c>
      <c r="II49" s="99"/>
      <c r="IJ49" s="97">
        <f t="shared" si="30"/>
        <v>4</v>
      </c>
      <c r="IK49" s="97">
        <f t="shared" si="31"/>
        <v>3</v>
      </c>
      <c r="IL49" s="90">
        <f t="shared" si="32"/>
        <v>7</v>
      </c>
      <c r="IM49" s="99"/>
      <c r="IN49" s="97">
        <f t="shared" si="33"/>
        <v>2</v>
      </c>
      <c r="IO49" s="97">
        <f t="shared" si="34"/>
        <v>3</v>
      </c>
      <c r="IP49" s="90">
        <f t="shared" si="35"/>
        <v>5</v>
      </c>
      <c r="IQ49" s="99"/>
      <c r="IR49" s="99"/>
      <c r="IS49" s="100">
        <f t="shared" si="36"/>
        <v>13</v>
      </c>
      <c r="IT49" s="100">
        <f t="shared" si="37"/>
        <v>13</v>
      </c>
      <c r="IU49" s="100">
        <f t="shared" si="38"/>
        <v>10</v>
      </c>
      <c r="IV49" s="100">
        <f t="shared" si="39"/>
        <v>11</v>
      </c>
      <c r="IW49" s="100">
        <f t="shared" si="40"/>
        <v>12</v>
      </c>
      <c r="IX49" s="100">
        <f t="shared" si="41"/>
        <v>5</v>
      </c>
      <c r="IY49" s="100">
        <f t="shared" si="42"/>
        <v>7</v>
      </c>
      <c r="IZ49" s="100">
        <f t="shared" si="43"/>
        <v>11</v>
      </c>
      <c r="JA49" s="100">
        <f t="shared" si="44"/>
        <v>7</v>
      </c>
      <c r="JB49" s="101">
        <f t="shared" si="45"/>
        <v>5</v>
      </c>
      <c r="JC49" s="102">
        <f t="shared" si="46"/>
        <v>94</v>
      </c>
      <c r="JD49" s="67">
        <f t="shared" si="50"/>
        <v>0</v>
      </c>
      <c r="JE49" s="67">
        <f t="shared" si="47"/>
        <v>1</v>
      </c>
      <c r="JF49" s="67">
        <f t="shared" si="48"/>
        <v>1</v>
      </c>
    </row>
    <row r="50">
      <c r="A50" s="103">
        <f>IFERROR(__xludf.DUMMYFUNCTION("""COMPUTED_VALUE"""),45929.61738607639)</f>
        <v>45929.61739</v>
      </c>
      <c r="B50" s="95" t="str">
        <f>IFERROR(__xludf.DUMMYFUNCTION("""COMPUTED_VALUE"""),"Sulthan Faqih Al Hadziq")</f>
        <v>Sulthan Faqih Al Hadziq</v>
      </c>
      <c r="C50" s="96" t="str">
        <f>IFERROR(__xludf.DUMMYFUNCTION("""COMPUTED_VALUE"""),"A250046")</f>
        <v>A250046</v>
      </c>
      <c r="D50" s="96" t="str">
        <f>IFERROR(__xludf.DUMMYFUNCTION("""COMPUTED_VALUE"""),"MTs Putra")</f>
        <v>MTs Putra</v>
      </c>
      <c r="E50" s="96" t="str">
        <f>IFERROR(__xludf.DUMMYFUNCTION("""COMPUTED_VALUE"""),"Ya")</f>
        <v>Ya</v>
      </c>
      <c r="F50" s="95" t="str">
        <f>IFERROR(__xludf.DUMMYFUNCTION("""COMPUTED_VALUE"""),"B Saya ingin melakukan apa saja sebaik mungkin.")</f>
        <v>B Saya ingin melakukan apa saja sebaik mungkin.</v>
      </c>
      <c r="G50" s="95" t="str">
        <f>IFERROR(__xludf.DUMMYFUNCTION("""COMPUTED_VALUE"""),"A Saya ingin setiap tulisan saya teliti, rapi, dan tersusun dengan baik.")</f>
        <v>A Saya ingin setiap tulisan saya teliti, rapi, dan tersusun dengan baik.</v>
      </c>
      <c r="H50" s="95" t="str">
        <f>IFERROR(__xludf.DUMMYFUNCTION("""COMPUTED_VALUE"""),"B Saya ingin menjadi orang yang diakui dalam suatu pekerjaan atau bidang khusus.")</f>
        <v>B Saya ingin menjadi orang yang diakui dalam suatu pekerjaan atau bidang khusus.</v>
      </c>
      <c r="I50" s="95" t="str">
        <f>IFERROR(__xludf.DUMMYFUNCTION("""COMPUTED_VALUE"""),"B Saya ingin bisa melakukan dengan baik meskipun tugas yang sulit.")</f>
        <v>B Saya ingin bisa melakukan dengan baik meskipun tugas yang sulit.</v>
      </c>
      <c r="J50" s="95" t="str">
        <f>IFERROR(__xludf.DUMMYFUNCTION("""COMPUTED_VALUE"""),"A Saya suka membantu teman-teman saya apabila mereka mengalami kesulitan.")</f>
        <v>A Saya suka membantu teman-teman saya apabila mereka mengalami kesulitan.</v>
      </c>
      <c r="K50" s="95" t="str">
        <f>IFERROR(__xludf.DUMMYFUNCTION("""COMPUTED_VALUE"""),"B Saya ingin mengatakan telah melakukan dengan baik sesuatu tugas yang sulit.")</f>
        <v>B Saya ingin mengatakan telah melakukan dengan baik sesuatu tugas yang sulit.</v>
      </c>
      <c r="L50" s="95" t="str">
        <f>IFERROR(__xludf.DUMMYFUNCTION("""COMPUTED_VALUE"""),"B Saya ingin mengatakan telah melakukan dengan baik sesuatu tugas yang sulit")</f>
        <v>B Saya ingin mengatakan telah melakukan dengan baik sesuatu tugas yang sulit</v>
      </c>
      <c r="M50" s="95" t="str">
        <f>IFERROR(__xludf.DUMMYFUNCTION("""COMPUTED_VALUE"""),"B Saya ingin mengerjakan segala tugas lebih baik daripada orang lain.")</f>
        <v>B Saya ingin mengerjakan segala tugas lebih baik daripada orang lain.</v>
      </c>
      <c r="N50" s="95" t="str">
        <f>IFERROR(__xludf.DUMMYFUNCTION("""COMPUTED_VALUE"""),"B Saya suka memecahkan persoalan yang sukar bagi orang lain.")</f>
        <v>B Saya suka memecahkan persoalan yang sukar bagi orang lain.</v>
      </c>
      <c r="O50" s="95" t="str">
        <f>IFERROR(__xludf.DUMMYFUNCTION("""COMPUTED_VALUE"""),"B Saya suka melakukan tugas sebaik mungkin.")</f>
        <v>B Saya suka melakukan tugas sebaik mungkin.</v>
      </c>
      <c r="P50" s="95" t="str">
        <f>IFERROR(__xludf.DUMMYFUNCTION("""COMPUTED_VALUE"""),"B Saya ingin setiap belajar itu teratur dan direncanakan.")</f>
        <v>B Saya ingin setiap belajar itu teratur dan direncanakan.</v>
      </c>
      <c r="Q50" s="95" t="str">
        <f>IFERROR(__xludf.DUMMYFUNCTION("""COMPUTED_VALUE"""),"B Saya merencanakan keperluan yang dibutuhkan sebelum bepergian.")</f>
        <v>B Saya merencanakan keperluan yang dibutuhkan sebelum bepergian.</v>
      </c>
      <c r="R50" s="95" t="str">
        <f>IFERROR(__xludf.DUMMYFUNCTION("""COMPUTED_VALUE"""),"B Saya suka barang-barang saya tersusun rapi dan teratur.")</f>
        <v>B Saya suka barang-barang saya tersusun rapi dan teratur.</v>
      </c>
      <c r="S50" s="95" t="str">
        <f>IFERROR(__xludf.DUMMYFUNCTION("""COMPUTED_VALUE"""),"B Saya suka membuat perencanaan sebelum memulai tugas yang sulit.")</f>
        <v>B Saya suka membuat perencanaan sebelum memulai tugas yang sulit.</v>
      </c>
      <c r="T50" s="95" t="str">
        <f>IFERROR(__xludf.DUMMYFUNCTION("""COMPUTED_VALUE"""),"B Saya ingin agar hidup saya teratur sesuai cita-cita saya.")</f>
        <v>B Saya ingin agar hidup saya teratur sesuai cita-cita saya.</v>
      </c>
      <c r="U50" s="95" t="str">
        <f>IFERROR(__xludf.DUMMYFUNCTION("""COMPUTED_VALUE"""),"A Saya suka memberikan bantuan kepada teman-teman saya.")</f>
        <v>A Saya suka memberikan bantuan kepada teman-teman saya.</v>
      </c>
      <c r="V50" s="95" t="str">
        <f>IFERROR(__xludf.DUMMYFUNCTION("""COMPUTED_VALUE"""),"A Saya suka belajar sampai malam untuk menyelesaikan suatu tugas.")</f>
        <v>A Saya suka belajar sampai malam untuk menyelesaikan suatu tugas.</v>
      </c>
      <c r="W50" s="95" t="str">
        <f>IFERROR(__xludf.DUMMYFUNCTION("""COMPUTED_VALUE"""),"B Saya ingin kegiatan itu teratur dan direncanakan.")</f>
        <v>B Saya ingin kegiatan itu teratur dan direncanakan.</v>
      </c>
      <c r="X50" s="95" t="str">
        <f>IFERROR(__xludf.DUMMYFUNCTION("""COMPUTED_VALUE"""),"A Saya suka merencanakan dan mengatur setiap apa yang harus saya lakukan.")</f>
        <v>A Saya suka merencanakan dan mengatur setiap apa yang harus saya lakukan.</v>
      </c>
      <c r="Y50" s="95" t="str">
        <f>IFERROR(__xludf.DUMMYFUNCTION("""COMPUTED_VALUE"""),"A Saya suka menyelesaikan tugas-tugas yang membutuhkan ketrampilan dan usaha.")</f>
        <v>A Saya suka menyelesaikan tugas-tugas yang membutuhkan ketrampilan dan usaha.</v>
      </c>
      <c r="Z50" s="95" t="str">
        <f>IFERROR(__xludf.DUMMYFUNCTION("""COMPUTED_VALUE"""),"A Saya ingin berhasil dengan belajar yang saya lakukan.")</f>
        <v>A Saya ingin berhasil dengan belajar yang saya lakukan.</v>
      </c>
      <c r="AA50" s="95" t="str">
        <f>IFERROR(__xludf.DUMMYFUNCTION("""COMPUTED_VALUE"""),"B Saya tidak suka pada orang yang berbuat seenaknya sendiri.")</f>
        <v>B Saya tidak suka pada orang yang berbuat seenaknya sendiri.</v>
      </c>
      <c r="AB50" s="95" t="str">
        <f>IFERROR(__xludf.DUMMYFUNCTION("""COMPUTED_VALUE"""),"B Saya ingin menyelesaikan pekerjaan satu persatu sebelum memulai yang lain.")</f>
        <v>B Saya ingin menyelesaikan pekerjaan satu persatu sebelum memulai yang lain.</v>
      </c>
      <c r="AC50" s="95" t="str">
        <f>IFERROR(__xludf.DUMMYFUNCTION("""COMPUTED_VALUE"""),"A Saya suka menyelesaikan setiap tugas meskipun membutuhkan waktu lama.")</f>
        <v>A Saya suka menyelesaikan setiap tugas meskipun membutuhkan waktu lama.</v>
      </c>
      <c r="AD50" s="95" t="str">
        <f>IFERROR(__xludf.DUMMYFUNCTION("""COMPUTED_VALUE"""),"A Saya suka bermurah hati terhadap teman-teman saya.")</f>
        <v>A Saya suka bermurah hati terhadap teman-teman saya.</v>
      </c>
      <c r="AE50" s="95" t="str">
        <f>IFERROR(__xludf.DUMMYFUNCTION("""COMPUTED_VALUE"""),"B Saya suka melakukan hal-hal yang dianggap orang lain tidak sesuai.")</f>
        <v>B Saya suka melakukan hal-hal yang dianggap orang lain tidak sesuai.</v>
      </c>
      <c r="AF50" s="95" t="str">
        <f>IFERROR(__xludf.DUMMYFUNCTION("""COMPUTED_VALUE"""),"B Saya suka melakukan hal-hal dengan cara saya sendiri.")</f>
        <v>B Saya suka melakukan hal-hal dengan cara saya sendiri.</v>
      </c>
      <c r="AG50" s="95" t="str">
        <f>IFERROR(__xludf.DUMMYFUNCTION("""COMPUTED_VALUE"""),"A Saya mengajari orang lain bagaimana mereka harus melakukan pekerjaan mereka.")</f>
        <v>A Saya mengajari orang lain bagaimana mereka harus melakukan pekerjaan mereka.</v>
      </c>
      <c r="AH50" s="95" t="str">
        <f>IFERROR(__xludf.DUMMYFUNCTION("""COMPUTED_VALUE"""),"B Saya ingin merasa bebas untuk melakukan apa yang saya kehendaki.")</f>
        <v>B Saya ingin merasa bebas untuk melakukan apa yang saya kehendaki.</v>
      </c>
      <c r="AI50" s="95" t="str">
        <f>IFERROR(__xludf.DUMMYFUNCTION("""COMPUTED_VALUE"""),"B Saya suka melakukan kegiatan sesuai kondisi yang saya inginkan.")</f>
        <v>B Saya suka melakukan kegiatan sesuai kondisi yang saya inginkan.</v>
      </c>
      <c r="AJ50" s="95" t="str">
        <f>IFERROR(__xludf.DUMMYFUNCTION("""COMPUTED_VALUE"""),"B Saya suka bertahan menghadapi satu masalah meskipun belum tentu berhasil.")</f>
        <v>B Saya suka bertahan menghadapi satu masalah meskipun belum tentu berhasil.</v>
      </c>
      <c r="AK50" s="95" t="str">
        <f>IFERROR(__xludf.DUMMYFUNCTION("""COMPUTED_VALUE"""),"B Bila saya harus melakukan suatu tugas, saya ingin mengerjakan sampai selesai.")</f>
        <v>B Bila saya harus melakukan suatu tugas, saya ingin mengerjakan sampai selesai.</v>
      </c>
      <c r="AL50" s="95" t="str">
        <f>IFERROR(__xludf.DUMMYFUNCTION("""COMPUTED_VALUE"""),"B Saya ingin menghindarkan gangguan bila saya sedang belajar.")</f>
        <v>B Saya ingin menghindarkan gangguan bila saya sedang belajar.</v>
      </c>
      <c r="AM50" s="95" t="str">
        <f>IFERROR(__xludf.DUMMYFUNCTION("""COMPUTED_VALUE"""),"B Saya suka belajar sampai malam untuk menyelesaikan suatu tugas.")</f>
        <v>B Saya suka belajar sampai malam untuk menyelesaikan suatu tugas.</v>
      </c>
      <c r="AN50" s="95" t="str">
        <f>IFERROR(__xludf.DUMMYFUNCTION("""COMPUTED_VALUE"""),"A Saya tidak suka pada orang yang semena-mena.")</f>
        <v>A Saya tidak suka pada orang yang semena-mena.</v>
      </c>
      <c r="AO50" s="95" t="str">
        <f>IFERROR(__xludf.DUMMYFUNCTION("""COMPUTED_VALUE"""),"A Saya suka berlaku sangat ramah terhadap teman-teman saya.")</f>
        <v>A Saya suka berlaku sangat ramah terhadap teman-teman saya.</v>
      </c>
      <c r="AP50" s="95" t="str">
        <f>IFERROR(__xludf.DUMMYFUNCTION("""COMPUTED_VALUE"""),"B Saya suka bertahan menghadapi satu masalah meskipun belum tentu berhasil.")</f>
        <v>B Saya suka bertahan menghadapi satu masalah meskipun belum tentu berhasil.</v>
      </c>
      <c r="AQ50" s="95" t="str">
        <f>IFERROR(__xludf.DUMMYFUNCTION("""COMPUTED_VALUE"""),"B Bila saya harus melakukan suatu tugas, saya ingin mengerjakan sampai selesai.")</f>
        <v>B Bila saya harus melakukan suatu tugas, saya ingin mengerjakan sampai selesai.</v>
      </c>
      <c r="AR50" s="95" t="str">
        <f>IFERROR(__xludf.DUMMYFUNCTION("""COMPUTED_VALUE"""),"B Saya suka belajar keras pada tiap pelajaran yang saya hadapi.")</f>
        <v>B Saya suka belajar keras pada tiap pelajaran yang saya hadapi.</v>
      </c>
      <c r="AS50" s="95" t="str">
        <f>IFERROR(__xludf.DUMMYFUNCTION("""COMPUTED_VALUE"""),"A Saya ingin dapat menyelesaikan persoalan yang dianggap sukar bagi orang lain.")</f>
        <v>A Saya ingin dapat menyelesaikan persoalan yang dianggap sukar bagi orang lain.</v>
      </c>
      <c r="AT50" s="95" t="str">
        <f>IFERROR(__xludf.DUMMYFUNCTION("""COMPUTED_VALUE"""),"B Saya suka membantu orang lain yang menurut saya perlu dikasihani.")</f>
        <v>B Saya suka membantu orang lain yang menurut saya perlu dikasihani.</v>
      </c>
      <c r="AU50" s="95" t="str">
        <f>IFERROR(__xludf.DUMMYFUNCTION("""COMPUTED_VALUE"""),"A Saya ingin menyelesaikan pekerjaan satu persatu sebelum memulai yang lain.")</f>
        <v>A Saya ingin menyelesaikan pekerjaan satu persatu sebelum memulai yang lain.</v>
      </c>
      <c r="AV50" s="95" t="str">
        <f>IFERROR(__xludf.DUMMYFUNCTION("""COMPUTED_VALUE"""),"B Saya suka menolong teman-teman saya.")</f>
        <v>B Saya suka menolong teman-teman saya.</v>
      </c>
      <c r="AW50" s="95" t="str">
        <f>IFERROR(__xludf.DUMMYFUNCTION("""COMPUTED_VALUE"""),"A Saya ingin mengerjakan tugas sampai selesai.")</f>
        <v>A Saya ingin mengerjakan tugas sampai selesai.</v>
      </c>
      <c r="AX50" s="95" t="str">
        <f>IFERROR(__xludf.DUMMYFUNCTION("""COMPUTED_VALUE"""),"B Saya suka memaafkan teman-teman saya yang menyakiti hati saya.")</f>
        <v>B Saya suka memaafkan teman-teman saya yang menyakiti hati saya.</v>
      </c>
      <c r="AY50" s="95" t="str">
        <f>IFERROR(__xludf.DUMMYFUNCTION("""COMPUTED_VALUE"""),"B Saya suka menolong teman-teman saya apabila mereka dalam kesulitan.")</f>
        <v>B Saya suka menolong teman-teman saya apabila mereka dalam kesulitan.</v>
      </c>
      <c r="AZ50" s="95" t="str">
        <f>IFERROR(__xludf.DUMMYFUNCTION("""COMPUTED_VALUE"""),"B Saya suka menunjukkan simpati saya kepada teman-teman saya.")</f>
        <v>B Saya suka menunjukkan simpati saya kepada teman-teman saya.</v>
      </c>
      <c r="BA50" s="95" t="str">
        <f>IFERROR(__xludf.DUMMYFUNCTION("""COMPUTED_VALUE"""),"B Saya suka memperlakukan orang lain dengan baik dan ramah.")</f>
        <v>B Saya suka memperlakukan orang lain dengan baik dan ramah.</v>
      </c>
      <c r="BB50" s="95" t="str">
        <f>IFERROR(__xludf.DUMMYFUNCTION("""COMPUTED_VALUE"""),"A Saya berkeinginan untuk bersama orang yang menarik bagi saya.")</f>
        <v>A Saya berkeinginan untuk bersama orang yang menarik bagi saya.</v>
      </c>
      <c r="BC50" s="95" t="str">
        <f>IFERROR(__xludf.DUMMYFUNCTION("""COMPUTED_VALUE"""),"B Saya suka membantu orang lain yang menurut saya perlu dikasihani.")</f>
        <v>B Saya suka membantu orang lain yang menurut saya perlu dikasihani.</v>
      </c>
      <c r="BD50" s="95" t="str">
        <f>IFERROR(__xludf.DUMMYFUNCTION("""COMPUTED_VALUE"""),"B Saya suka bersikukuh dengan pendirian saya.")</f>
        <v>B Saya suka bersikukuh dengan pendirian saya.</v>
      </c>
      <c r="BE50" s="95" t="str">
        <f>IFERROR(__xludf.DUMMYFUNCTION("""COMPUTED_VALUE"""),"B Saya ingin orang lain melakukan apa yang saya kehendaki.")</f>
        <v>B Saya ingin orang lain melakukan apa yang saya kehendaki.</v>
      </c>
      <c r="BF50" s="95" t="str">
        <f>IFERROR(__xludf.DUMMYFUNCTION("""COMPUTED_VALUE"""),"B Bila saya dalam kelompok, saya ingin menentukan apa yang akan kita lakukan.")</f>
        <v>B Bila saya dalam kelompok, saya ingin menentukan apa yang akan kita lakukan.</v>
      </c>
      <c r="BG50" s="95" t="str">
        <f>IFERROR(__xludf.DUMMYFUNCTION("""COMPUTED_VALUE"""),"B Saya suka mengarahkan kepada orang lain apa yang harus dilakukan.")</f>
        <v>B Saya suka mengarahkan kepada orang lain apa yang harus dilakukan.</v>
      </c>
      <c r="BH50" s="95" t="str">
        <f>IFERROR(__xludf.DUMMYFUNCTION("""COMPUTED_VALUE"""),"A Saya suka menghindar dari situasi yang tidak saya harapkan.")</f>
        <v>A Saya suka menghindar dari situasi yang tidak saya harapkan.</v>
      </c>
      <c r="BI50" s="95" t="str">
        <f>IFERROR(__xludf.DUMMYFUNCTION("""COMPUTED_VALUE"""),"A Saya suka bermurah hati terhadap teman-teman saya.")</f>
        <v>A Saya suka bermurah hati terhadap teman-teman saya.</v>
      </c>
      <c r="BJ50" s="95" t="str">
        <f>IFERROR(__xludf.DUMMYFUNCTION("""COMPUTED_VALUE"""),"A Saya ingin mengerjakan tugas sampai selesai.")</f>
        <v>A Saya ingin mengerjakan tugas sampai selesai.</v>
      </c>
      <c r="BK50" s="95" t="str">
        <f>IFERROR(__xludf.DUMMYFUNCTION("""COMPUTED_VALUE"""),"B Saya senang untuk diminta menyelesaikan pertentangan-pertentangan.")</f>
        <v>B Saya senang untuk diminta menyelesaikan pertentangan-pertentangan.</v>
      </c>
      <c r="BL50" s="95" t="str">
        <f>IFERROR(__xludf.DUMMYFUNCTION("""COMPUTED_VALUE"""),"B Saya suka bersikukuh dengan pendirian saya.")</f>
        <v>B Saya suka bersikukuh dengan pendirian saya.</v>
      </c>
      <c r="BM50" s="95" t="str">
        <f>IFERROR(__xludf.DUMMYFUNCTION("""COMPUTED_VALUE"""),"A Saya suka melakukan pekerjaan sebaik mungkin.")</f>
        <v>A Saya suka melakukan pekerjaan sebaik mungkin.</v>
      </c>
      <c r="BN50" s="95" t="str">
        <f>IFERROR(__xludf.DUMMYFUNCTION("""COMPUTED_VALUE"""),"A Saya suka mengerjakan teka-teki atau memecahkan persoalan sampai selesai.")</f>
        <v>A Saya suka mengerjakan teka-teki atau memecahkan persoalan sampai selesai.</v>
      </c>
      <c r="BO50" s="95" t="str">
        <f>IFERROR(__xludf.DUMMYFUNCTION("""COMPUTED_VALUE"""),"A Saya suka membuat perencanaan sebelum memulai belajar yang sulit.")</f>
        <v>A Saya suka membuat perencanaan sebelum memulai belajar yang sulit.</v>
      </c>
      <c r="BP50" s="95" t="str">
        <f>IFERROR(__xludf.DUMMYFUNCTION("""COMPUTED_VALUE"""),"A Saya ingin menyelesaikan sesuatu yang sangat penting artinya.")</f>
        <v>A Saya ingin menyelesaikan sesuatu yang sangat penting artinya.</v>
      </c>
      <c r="BQ50" s="95" t="str">
        <f>IFERROR(__xludf.DUMMYFUNCTION("""COMPUTED_VALUE"""),"A Saya ingin mengerjakannya tugas sampai selesai.")</f>
        <v>A Saya ingin mengerjakannya tugas sampai selesai.</v>
      </c>
      <c r="BR50" s="95" t="str">
        <f>IFERROR(__xludf.DUMMYFUNCTION("""COMPUTED_VALUE"""),"A Saya suka memaafkan teman-teman saya yang menyakiti hati saya.")</f>
        <v>A Saya suka memaafkan teman-teman saya yang menyakiti hati saya.</v>
      </c>
      <c r="BS50" s="95" t="str">
        <f>IFERROR(__xludf.DUMMYFUNCTION("""COMPUTED_VALUE"""),"B Saya ingin teman-teman saya membantu saya bila saya mengalami kesulitan")</f>
        <v>B Saya ingin teman-teman saya membantu saya bila saya mengalami kesulitan</v>
      </c>
      <c r="BT50" s="95" t="str">
        <f>IFERROR(__xludf.DUMMYFUNCTION("""COMPUTED_VALUE"""),"B Saya ingin teman-teman banyak menunjukkan rasa sayang mereka terhadap saya.")</f>
        <v>B Saya ingin teman-teman banyak menunjukkan rasa sayang mereka terhadap saya.</v>
      </c>
      <c r="BU50" s="95" t="str">
        <f>IFERROR(__xludf.DUMMYFUNCTION("""COMPUTED_VALUE"""),"A Saya kadang-kadang suka melakukan hal-hal yang dapat dipuji oleh orang lain.")</f>
        <v>A Saya kadang-kadang suka melakukan hal-hal yang dapat dipuji oleh orang lain.</v>
      </c>
      <c r="BV50" s="95" t="str">
        <f>IFERROR(__xludf.DUMMYFUNCTION("""COMPUTED_VALUE"""),"A Saya ingin dianggap menarik oleh orang lain.")</f>
        <v>A Saya ingin dianggap menarik oleh orang lain.</v>
      </c>
      <c r="BW50" s="95" t="str">
        <f>IFERROR(__xludf.DUMMYFUNCTION("""COMPUTED_VALUE"""),"B Saya ingin diperlakukan dengan baik oleh teman-teman saya.")</f>
        <v>B Saya ingin diperlakukan dengan baik oleh teman-teman saya.</v>
      </c>
      <c r="BX50" s="95" t="str">
        <f>IFERROR(__xludf.DUMMYFUNCTION("""COMPUTED_VALUE"""),"B Saya kadang-kadang suka melakukan hal-hal yang dapat dipuji oleh orang lain.")</f>
        <v>B Saya kadang-kadang suka melakukan hal-hal yang dapat dipuji oleh orang lain.</v>
      </c>
      <c r="BY50" s="95" t="str">
        <f>IFERROR(__xludf.DUMMYFUNCTION("""COMPUTED_VALUE"""),"B Saya ingin orang lain memperhatikan dan berkomentar tentang penampilan saya.")</f>
        <v>B Saya ingin orang lain memperhatikan dan berkomentar tentang penampilan saya.</v>
      </c>
      <c r="BZ50" s="95" t="str">
        <f>IFERROR(__xludf.DUMMYFUNCTION("""COMPUTED_VALUE"""),"A Saya suka berkata yang artinya sulit dipahami oleh orang lain.")</f>
        <v>A Saya suka berkata yang artinya sulit dipahami oleh orang lain.</v>
      </c>
      <c r="CA50" s="95" t="str">
        <f>IFERROR(__xludf.DUMMYFUNCTION("""COMPUTED_VALUE"""),"A Saya ingin teman-teman dengan gembira memberikan pertolongan kepada saya.")</f>
        <v>A Saya ingin teman-teman dengan gembira memberikan pertolongan kepada saya.</v>
      </c>
      <c r="CB50" s="95" t="str">
        <f>IFERROR(__xludf.DUMMYFUNCTION("""COMPUTED_VALUE"""),"B Saya suka berbicara tentang hal-hal yang telah saya capai.")</f>
        <v>B Saya suka berbicara tentang hal-hal yang telah saya capai.</v>
      </c>
      <c r="CC50" s="95" t="str">
        <f>IFERROR(__xludf.DUMMYFUNCTION("""COMPUTED_VALUE"""),"A Apabila saya berkumpul dalam kelompok, saya ingin dihargai teman-teman.")</f>
        <v>A Apabila saya berkumpul dalam kelompok, saya ingin dihargai teman-teman.</v>
      </c>
      <c r="CD50" s="95" t="str">
        <f>IFERROR(__xludf.DUMMYFUNCTION("""COMPUTED_VALUE"""),"A Saya suka menyelesaikan setiap tugas meskipun membutuhkan waktu lama.")</f>
        <v>A Saya suka menyelesaikan setiap tugas meskipun membutuhkan waktu lama.</v>
      </c>
      <c r="CE50" s="95" t="str">
        <f>IFERROR(__xludf.DUMMYFUNCTION("""COMPUTED_VALUE"""),"A Saya suka menyelesaikan setiap tugas belajar yang telah saya mulai.")</f>
        <v>A Saya suka menyelesaikan setiap tugas belajar yang telah saya mulai.</v>
      </c>
      <c r="CF50" s="95" t="str">
        <f>IFERROR(__xludf.DUMMYFUNCTION("""COMPUTED_VALUE"""),"A Saya ingin agar hidup saya teratur sesuai cita-cita saya.")</f>
        <v>A Saya ingin agar hidup saya teratur sesuai cita-cita saya.</v>
      </c>
      <c r="CG50" s="95" t="str">
        <f>IFERROR(__xludf.DUMMYFUNCTION("""COMPUTED_VALUE"""),"A Saya ingin berhasil dalam apa yang saya lakukan.")</f>
        <v>A Saya ingin berhasil dalam apa yang saya lakukan.</v>
      </c>
      <c r="CH50" s="95" t="str">
        <f>IFERROR(__xludf.DUMMYFUNCTION("""COMPUTED_VALUE"""),"A Saya ingin bisa melakukan dengan baik sesuatu pekerjaan sulit.")</f>
        <v>A Saya ingin bisa melakukan dengan baik sesuatu pekerjaan sulit.</v>
      </c>
      <c r="CI50" s="95" t="str">
        <f>IFERROR(__xludf.DUMMYFUNCTION("""COMPUTED_VALUE"""),"A Saya suka belajar saya teratur dan ada waktu-waktu tertentu untuk belajar.")</f>
        <v>A Saya suka belajar saya teratur dan ada waktu-waktu tertentu untuk belajar.</v>
      </c>
      <c r="CJ50" s="95" t="str">
        <f>IFERROR(__xludf.DUMMYFUNCTION("""COMPUTED_VALUE"""),"A Saya ingin tidak tergantung dari orang lain terhadap apa yang akan saya lakukan.")</f>
        <v>A Saya ingin tidak tergantung dari orang lain terhadap apa yang akan saya lakukan.</v>
      </c>
      <c r="CK50" s="95" t="str">
        <f>IFERROR(__xludf.DUMMYFUNCTION("""COMPUTED_VALUE"""),"A Saya suka bertahan menghadapi satu masalah, meskipun belum tentu berhasil.")</f>
        <v>A Saya suka bertahan menghadapi satu masalah, meskipun belum tentu berhasil.</v>
      </c>
      <c r="CL50" s="95" t="str">
        <f>IFERROR(__xludf.DUMMYFUNCTION("""COMPUTED_VALUE"""),"A Saya suka menolong teman-teman saya, apabila mereka dalam kesulitan.")</f>
        <v>A Saya suka menolong teman-teman saya, apabila mereka dalam kesulitan.</v>
      </c>
      <c r="CM50" s="95" t="str">
        <f>IFERROR(__xludf.DUMMYFUNCTION("""COMPUTED_VALUE"""),"A Saya ingin ditunjuk atau dipilih sebagai ketua dalam suatu kelompok.")</f>
        <v>A Saya ingin ditunjuk atau dipilih sebagai ketua dalam suatu kelompok.</v>
      </c>
      <c r="CN50" s="95" t="str">
        <f>IFERROR(__xludf.DUMMYFUNCTION("""COMPUTED_VALUE"""),"A Saya ingin diperlakukan dengan baik oleh teman-teman saya.")</f>
        <v>A Saya ingin diperlakukan dengan baik oleh teman-teman saya.</v>
      </c>
      <c r="CO50" s="95" t="str">
        <f>IFERROR(__xludf.DUMMYFUNCTION("""COMPUTED_VALUE"""),"B Saya suka memuji orang yang saya kagumi.")</f>
        <v>B Saya suka memuji orang yang saya kagumi.</v>
      </c>
      <c r="CP50" s="95" t="str">
        <f>IFERROR(__xludf.DUMMYFUNCTION("""COMPUTED_VALUE"""),"B Saya ingin dianggap menarik oleh orang lain.")</f>
        <v>B Saya ingin dianggap menarik oleh orang lain.</v>
      </c>
      <c r="CQ50" s="95" t="str">
        <f>IFERROR(__xludf.DUMMYFUNCTION("""COMPUTED_VALUE"""),"B Saya merasa kagum pada seseorang.")</f>
        <v>B Saya merasa kagum pada seseorang.</v>
      </c>
      <c r="CR50" s="95" t="str">
        <f>IFERROR(__xludf.DUMMYFUNCTION("""COMPUTED_VALUE"""),"B Saya rasanya ingin mengecam seseorang bila orang itu menjengkelkan.")</f>
        <v>B Saya rasanya ingin mengecam seseorang bila orang itu menjengkelkan.</v>
      </c>
      <c r="CS50" s="95" t="str">
        <f>IFERROR(__xludf.DUMMYFUNCTION("""COMPUTED_VALUE"""),"A Saya ingin terlihat menarik di depan teman-teman saya.")</f>
        <v>A Saya ingin terlihat menarik di depan teman-teman saya.</v>
      </c>
      <c r="CT50" s="95" t="str">
        <f>IFERROR(__xludf.DUMMYFUNCTION("""COMPUTED_VALUE"""),"A Saya ingin orang-orang memperhatikan komentar mengenai penampilan saya.")</f>
        <v>A Saya ingin orang-orang memperhatikan komentar mengenai penampilan saya.</v>
      </c>
      <c r="CU50" s="95" t="str">
        <f>IFERROR(__xludf.DUMMYFUNCTION("""COMPUTED_VALUE"""),"A Saya ingin diperlakukan dengan ramah oleh teman-teman saya.")</f>
        <v>A Saya ingin diperlakukan dengan ramah oleh teman-teman saya.</v>
      </c>
      <c r="CV50" s="95" t="str">
        <f>IFERROR(__xludf.DUMMYFUNCTION("""COMPUTED_VALUE"""),"A Saya ingin ditunjuk atau dipilih sebagai ketua dalam suatu kelompok.")</f>
        <v>A Saya ingin ditunjuk atau dipilih sebagai ketua dalam suatu kelompok.</v>
      </c>
      <c r="CW50" s="95" t="str">
        <f>IFERROR(__xludf.DUMMYFUNCTION("""COMPUTED_VALUE"""),"A Saya suka menolong teman-teman saya, apabila mereka dalam kesulitan.")</f>
        <v>A Saya suka menolong teman-teman saya, apabila mereka dalam kesulitan.</v>
      </c>
      <c r="CX50" s="95" t="str">
        <f>IFERROR(__xludf.DUMMYFUNCTION("""COMPUTED_VALUE"""),"A Saya suka belajar sampai malam untuk menyelesaikan suatu tugas.")</f>
        <v>A Saya suka belajar sampai malam untuk menyelesaikan suatu tugas.</v>
      </c>
      <c r="CY50" s="95" t="str">
        <f>IFERROR(__xludf.DUMMYFUNCTION("""COMPUTED_VALUE"""),"A Saya ingin tidak tergantung dari orang lain terhadap apa yang akan saya lakukan.")</f>
        <v>A Saya ingin tidak tergantung dari orang lain terhadap apa yang akan saya lakukan.</v>
      </c>
      <c r="CZ50" s="95" t="str">
        <f>IFERROR(__xludf.DUMMYFUNCTION("""COMPUTED_VALUE"""),"A Saya suka merencanakan dan mengatur setiap pekerjaan yang harus saya lakukan.")</f>
        <v>A Saya suka merencanakan dan mengatur setiap pekerjaan yang harus saya lakukan.</v>
      </c>
      <c r="DA50" s="95" t="str">
        <f>IFERROR(__xludf.DUMMYFUNCTION("""COMPUTED_VALUE"""),"A Saya ingin melakukan apa saja sebaik mungkin.")</f>
        <v>A Saya ingin melakukan apa saja sebaik mungkin.</v>
      </c>
      <c r="DB50" s="89" t="s">
        <v>23</v>
      </c>
      <c r="DC50" s="97" t="str">
        <f t="shared" ref="DC50:GX50" si="95">LEFT(F50,1)</f>
        <v>B</v>
      </c>
      <c r="DD50" s="97" t="str">
        <f t="shared" si="95"/>
        <v>A</v>
      </c>
      <c r="DE50" s="97" t="str">
        <f t="shared" si="95"/>
        <v>B</v>
      </c>
      <c r="DF50" s="97" t="str">
        <f t="shared" si="95"/>
        <v>B</v>
      </c>
      <c r="DG50" s="97" t="str">
        <f t="shared" si="95"/>
        <v>A</v>
      </c>
      <c r="DH50" s="97" t="str">
        <f t="shared" si="95"/>
        <v>B</v>
      </c>
      <c r="DI50" s="97" t="str">
        <f t="shared" si="95"/>
        <v>B</v>
      </c>
      <c r="DJ50" s="97" t="str">
        <f t="shared" si="95"/>
        <v>B</v>
      </c>
      <c r="DK50" s="97" t="str">
        <f t="shared" si="95"/>
        <v>B</v>
      </c>
      <c r="DL50" s="97" t="str">
        <f t="shared" si="95"/>
        <v>B</v>
      </c>
      <c r="DM50" s="97" t="str">
        <f t="shared" si="95"/>
        <v>B</v>
      </c>
      <c r="DN50" s="97" t="str">
        <f t="shared" si="95"/>
        <v>B</v>
      </c>
      <c r="DO50" s="97" t="str">
        <f t="shared" si="95"/>
        <v>B</v>
      </c>
      <c r="DP50" s="97" t="str">
        <f t="shared" si="95"/>
        <v>B</v>
      </c>
      <c r="DQ50" s="97" t="str">
        <f t="shared" si="95"/>
        <v>B</v>
      </c>
      <c r="DR50" s="97" t="str">
        <f t="shared" si="95"/>
        <v>A</v>
      </c>
      <c r="DS50" s="97" t="str">
        <f t="shared" si="95"/>
        <v>A</v>
      </c>
      <c r="DT50" s="97" t="str">
        <f t="shared" si="95"/>
        <v>B</v>
      </c>
      <c r="DU50" s="97" t="str">
        <f t="shared" si="95"/>
        <v>A</v>
      </c>
      <c r="DV50" s="97" t="str">
        <f t="shared" si="95"/>
        <v>A</v>
      </c>
      <c r="DW50" s="97" t="str">
        <f t="shared" si="95"/>
        <v>A</v>
      </c>
      <c r="DX50" s="97" t="str">
        <f t="shared" si="95"/>
        <v>B</v>
      </c>
      <c r="DY50" s="97" t="str">
        <f t="shared" si="95"/>
        <v>B</v>
      </c>
      <c r="DZ50" s="97" t="str">
        <f t="shared" si="95"/>
        <v>A</v>
      </c>
      <c r="EA50" s="97" t="str">
        <f t="shared" si="95"/>
        <v>A</v>
      </c>
      <c r="EB50" s="97" t="str">
        <f t="shared" si="95"/>
        <v>B</v>
      </c>
      <c r="EC50" s="97" t="str">
        <f t="shared" si="95"/>
        <v>B</v>
      </c>
      <c r="ED50" s="97" t="str">
        <f t="shared" si="95"/>
        <v>A</v>
      </c>
      <c r="EE50" s="97" t="str">
        <f t="shared" si="95"/>
        <v>B</v>
      </c>
      <c r="EF50" s="97" t="str">
        <f t="shared" si="95"/>
        <v>B</v>
      </c>
      <c r="EG50" s="97" t="str">
        <f t="shared" si="95"/>
        <v>B</v>
      </c>
      <c r="EH50" s="97" t="str">
        <f t="shared" si="95"/>
        <v>B</v>
      </c>
      <c r="EI50" s="97" t="str">
        <f t="shared" si="95"/>
        <v>B</v>
      </c>
      <c r="EJ50" s="97" t="str">
        <f t="shared" si="95"/>
        <v>B</v>
      </c>
      <c r="EK50" s="97" t="str">
        <f t="shared" si="95"/>
        <v>A</v>
      </c>
      <c r="EL50" s="97" t="str">
        <f t="shared" si="95"/>
        <v>A</v>
      </c>
      <c r="EM50" s="97" t="str">
        <f t="shared" si="95"/>
        <v>B</v>
      </c>
      <c r="EN50" s="97" t="str">
        <f t="shared" si="95"/>
        <v>B</v>
      </c>
      <c r="EO50" s="97" t="str">
        <f t="shared" si="95"/>
        <v>B</v>
      </c>
      <c r="EP50" s="97" t="str">
        <f t="shared" si="95"/>
        <v>A</v>
      </c>
      <c r="EQ50" s="97" t="str">
        <f t="shared" si="95"/>
        <v>B</v>
      </c>
      <c r="ER50" s="97" t="str">
        <f t="shared" si="95"/>
        <v>A</v>
      </c>
      <c r="ES50" s="97" t="str">
        <f t="shared" si="95"/>
        <v>B</v>
      </c>
      <c r="ET50" s="97" t="str">
        <f t="shared" si="95"/>
        <v>A</v>
      </c>
      <c r="EU50" s="97" t="str">
        <f t="shared" si="95"/>
        <v>B</v>
      </c>
      <c r="EV50" s="97" t="str">
        <f t="shared" si="95"/>
        <v>B</v>
      </c>
      <c r="EW50" s="97" t="str">
        <f t="shared" si="95"/>
        <v>B</v>
      </c>
      <c r="EX50" s="97" t="str">
        <f t="shared" si="95"/>
        <v>B</v>
      </c>
      <c r="EY50" s="97" t="str">
        <f t="shared" si="95"/>
        <v>A</v>
      </c>
      <c r="EZ50" s="97" t="str">
        <f t="shared" si="95"/>
        <v>B</v>
      </c>
      <c r="FA50" s="97" t="str">
        <f t="shared" si="95"/>
        <v>B</v>
      </c>
      <c r="FB50" s="97" t="str">
        <f t="shared" si="95"/>
        <v>B</v>
      </c>
      <c r="FC50" s="97" t="str">
        <f t="shared" si="95"/>
        <v>B</v>
      </c>
      <c r="FD50" s="97" t="str">
        <f t="shared" si="95"/>
        <v>B</v>
      </c>
      <c r="FE50" s="97" t="str">
        <f t="shared" si="95"/>
        <v>A</v>
      </c>
      <c r="FF50" s="97" t="str">
        <f t="shared" si="95"/>
        <v>A</v>
      </c>
      <c r="FG50" s="97" t="str">
        <f t="shared" si="95"/>
        <v>A</v>
      </c>
      <c r="FH50" s="97" t="str">
        <f t="shared" si="95"/>
        <v>B</v>
      </c>
      <c r="FI50" s="97" t="str">
        <f t="shared" si="95"/>
        <v>B</v>
      </c>
      <c r="FJ50" s="97" t="str">
        <f t="shared" si="95"/>
        <v>A</v>
      </c>
      <c r="FK50" s="97" t="str">
        <f t="shared" si="95"/>
        <v>A</v>
      </c>
      <c r="FL50" s="97" t="str">
        <f t="shared" si="95"/>
        <v>A</v>
      </c>
      <c r="FM50" s="97" t="str">
        <f t="shared" si="95"/>
        <v>A</v>
      </c>
      <c r="FN50" s="97" t="str">
        <f t="shared" si="95"/>
        <v>A</v>
      </c>
      <c r="FO50" s="97" t="str">
        <f t="shared" si="95"/>
        <v>A</v>
      </c>
      <c r="FP50" s="97" t="str">
        <f t="shared" si="95"/>
        <v>B</v>
      </c>
      <c r="FQ50" s="97" t="str">
        <f t="shared" si="95"/>
        <v>B</v>
      </c>
      <c r="FR50" s="97" t="str">
        <f t="shared" si="95"/>
        <v>A</v>
      </c>
      <c r="FS50" s="97" t="str">
        <f t="shared" si="95"/>
        <v>A</v>
      </c>
      <c r="FT50" s="97" t="str">
        <f t="shared" si="95"/>
        <v>B</v>
      </c>
      <c r="FU50" s="97" t="str">
        <f t="shared" si="95"/>
        <v>B</v>
      </c>
      <c r="FV50" s="97" t="str">
        <f t="shared" si="95"/>
        <v>B</v>
      </c>
      <c r="FW50" s="97" t="str">
        <f t="shared" si="95"/>
        <v>A</v>
      </c>
      <c r="FX50" s="97" t="str">
        <f t="shared" si="95"/>
        <v>A</v>
      </c>
      <c r="FY50" s="97" t="str">
        <f t="shared" si="95"/>
        <v>B</v>
      </c>
      <c r="FZ50" s="97" t="str">
        <f t="shared" si="95"/>
        <v>A</v>
      </c>
      <c r="GA50" s="97" t="str">
        <f t="shared" si="95"/>
        <v>A</v>
      </c>
      <c r="GB50" s="97" t="str">
        <f t="shared" si="95"/>
        <v>A</v>
      </c>
      <c r="GC50" s="97" t="str">
        <f t="shared" si="95"/>
        <v>A</v>
      </c>
      <c r="GD50" s="97" t="str">
        <f t="shared" si="95"/>
        <v>A</v>
      </c>
      <c r="GE50" s="97" t="str">
        <f t="shared" si="95"/>
        <v>A</v>
      </c>
      <c r="GF50" s="97" t="str">
        <f t="shared" si="95"/>
        <v>A</v>
      </c>
      <c r="GG50" s="97" t="str">
        <f t="shared" si="95"/>
        <v>A</v>
      </c>
      <c r="GH50" s="97" t="str">
        <f t="shared" si="95"/>
        <v>A</v>
      </c>
      <c r="GI50" s="97" t="str">
        <f t="shared" si="95"/>
        <v>A</v>
      </c>
      <c r="GJ50" s="97" t="str">
        <f t="shared" si="95"/>
        <v>A</v>
      </c>
      <c r="GK50" s="97" t="str">
        <f t="shared" si="95"/>
        <v>A</v>
      </c>
      <c r="GL50" s="97" t="str">
        <f t="shared" si="95"/>
        <v>B</v>
      </c>
      <c r="GM50" s="97" t="str">
        <f t="shared" si="95"/>
        <v>B</v>
      </c>
      <c r="GN50" s="97" t="str">
        <f t="shared" si="95"/>
        <v>B</v>
      </c>
      <c r="GO50" s="97" t="str">
        <f t="shared" si="95"/>
        <v>B</v>
      </c>
      <c r="GP50" s="97" t="str">
        <f t="shared" si="95"/>
        <v>A</v>
      </c>
      <c r="GQ50" s="97" t="str">
        <f t="shared" si="95"/>
        <v>A</v>
      </c>
      <c r="GR50" s="97" t="str">
        <f t="shared" si="95"/>
        <v>A</v>
      </c>
      <c r="GS50" s="97" t="str">
        <f t="shared" si="95"/>
        <v>A</v>
      </c>
      <c r="GT50" s="97" t="str">
        <f t="shared" si="95"/>
        <v>A</v>
      </c>
      <c r="GU50" s="97" t="str">
        <f t="shared" si="95"/>
        <v>A</v>
      </c>
      <c r="GV50" s="97" t="str">
        <f t="shared" si="95"/>
        <v>A</v>
      </c>
      <c r="GW50" s="97" t="str">
        <f t="shared" si="95"/>
        <v>A</v>
      </c>
      <c r="GX50" s="97" t="str">
        <f t="shared" si="95"/>
        <v>A</v>
      </c>
      <c r="GY50" s="98"/>
      <c r="GZ50" s="97">
        <f t="shared" si="3"/>
        <v>50</v>
      </c>
      <c r="HA50" s="97">
        <f t="shared" si="4"/>
        <v>50</v>
      </c>
      <c r="HB50" s="90">
        <f t="shared" si="5"/>
        <v>100</v>
      </c>
      <c r="HC50" s="99"/>
      <c r="HD50" s="97">
        <f t="shared" si="6"/>
        <v>8</v>
      </c>
      <c r="HE50" s="97">
        <f t="shared" si="7"/>
        <v>7</v>
      </c>
      <c r="HF50" s="90">
        <f t="shared" si="8"/>
        <v>15</v>
      </c>
      <c r="HG50" s="99"/>
      <c r="HH50" s="97">
        <f t="shared" si="9"/>
        <v>6</v>
      </c>
      <c r="HI50" s="97">
        <f t="shared" si="10"/>
        <v>6</v>
      </c>
      <c r="HJ50" s="90">
        <f t="shared" si="11"/>
        <v>12</v>
      </c>
      <c r="HK50" s="99"/>
      <c r="HL50" s="97">
        <f t="shared" si="12"/>
        <v>4</v>
      </c>
      <c r="HM50" s="97">
        <f t="shared" si="13"/>
        <v>6</v>
      </c>
      <c r="HN50" s="90">
        <f t="shared" si="14"/>
        <v>10</v>
      </c>
      <c r="HO50" s="99"/>
      <c r="HP50" s="97">
        <f t="shared" si="15"/>
        <v>8</v>
      </c>
      <c r="HQ50" s="97">
        <f t="shared" si="16"/>
        <v>7</v>
      </c>
      <c r="HR50" s="90">
        <f t="shared" si="17"/>
        <v>15</v>
      </c>
      <c r="HS50" s="99"/>
      <c r="HT50" s="97">
        <f t="shared" si="18"/>
        <v>9</v>
      </c>
      <c r="HU50" s="97">
        <f t="shared" si="19"/>
        <v>7</v>
      </c>
      <c r="HV50" s="90">
        <f t="shared" si="20"/>
        <v>16</v>
      </c>
      <c r="HW50" s="99"/>
      <c r="HX50" s="97">
        <f t="shared" si="21"/>
        <v>3</v>
      </c>
      <c r="HY50" s="97">
        <f t="shared" si="22"/>
        <v>6</v>
      </c>
      <c r="HZ50" s="90">
        <f t="shared" si="23"/>
        <v>9</v>
      </c>
      <c r="IA50" s="99"/>
      <c r="IB50" s="97">
        <f t="shared" si="24"/>
        <v>3</v>
      </c>
      <c r="IC50" s="97">
        <f t="shared" si="25"/>
        <v>3</v>
      </c>
      <c r="ID50" s="90">
        <f t="shared" si="26"/>
        <v>6</v>
      </c>
      <c r="IE50" s="99"/>
      <c r="IF50" s="97">
        <f t="shared" si="27"/>
        <v>3</v>
      </c>
      <c r="IG50" s="97">
        <f t="shared" si="28"/>
        <v>3</v>
      </c>
      <c r="IH50" s="90">
        <f t="shared" si="29"/>
        <v>6</v>
      </c>
      <c r="II50" s="99"/>
      <c r="IJ50" s="97">
        <f t="shared" si="30"/>
        <v>3</v>
      </c>
      <c r="IK50" s="97">
        <f t="shared" si="31"/>
        <v>3</v>
      </c>
      <c r="IL50" s="90">
        <f t="shared" si="32"/>
        <v>6</v>
      </c>
      <c r="IM50" s="99"/>
      <c r="IN50" s="97">
        <f t="shared" si="33"/>
        <v>0</v>
      </c>
      <c r="IO50" s="97">
        <f t="shared" si="34"/>
        <v>1</v>
      </c>
      <c r="IP50" s="90">
        <f t="shared" si="35"/>
        <v>1</v>
      </c>
      <c r="IQ50" s="99"/>
      <c r="IR50" s="99"/>
      <c r="IS50" s="100">
        <f t="shared" si="36"/>
        <v>15</v>
      </c>
      <c r="IT50" s="100">
        <f t="shared" si="37"/>
        <v>12</v>
      </c>
      <c r="IU50" s="100">
        <f t="shared" si="38"/>
        <v>10</v>
      </c>
      <c r="IV50" s="100">
        <f t="shared" si="39"/>
        <v>15</v>
      </c>
      <c r="IW50" s="100">
        <f t="shared" si="40"/>
        <v>16</v>
      </c>
      <c r="IX50" s="100">
        <f t="shared" si="41"/>
        <v>9</v>
      </c>
      <c r="IY50" s="100">
        <f t="shared" si="42"/>
        <v>6</v>
      </c>
      <c r="IZ50" s="100">
        <f t="shared" si="43"/>
        <v>6</v>
      </c>
      <c r="JA50" s="100">
        <f t="shared" si="44"/>
        <v>6</v>
      </c>
      <c r="JB50" s="101">
        <f t="shared" si="45"/>
        <v>1</v>
      </c>
      <c r="JC50" s="102">
        <f t="shared" si="46"/>
        <v>96</v>
      </c>
      <c r="JD50" s="67">
        <f t="shared" si="50"/>
        <v>0</v>
      </c>
      <c r="JE50" s="67">
        <f t="shared" si="47"/>
        <v>0</v>
      </c>
      <c r="JF50" s="67">
        <f t="shared" si="48"/>
        <v>0</v>
      </c>
    </row>
    <row r="51">
      <c r="A51" s="103">
        <f>IFERROR(__xludf.DUMMYFUNCTION("""COMPUTED_VALUE"""),45929.630156875)</f>
        <v>45929.63016</v>
      </c>
      <c r="B51" s="95" t="str">
        <f>IFERROR(__xludf.DUMMYFUNCTION("""COMPUTED_VALUE"""),"Muhammad Arkan")</f>
        <v>Muhammad Arkan</v>
      </c>
      <c r="C51" s="96" t="str">
        <f>IFERROR(__xludf.DUMMYFUNCTION("""COMPUTED_VALUE"""),"A250037")</f>
        <v>A250037</v>
      </c>
      <c r="D51" s="96" t="str">
        <f>IFERROR(__xludf.DUMMYFUNCTION("""COMPUTED_VALUE"""),"MTs Putra")</f>
        <v>MTs Putra</v>
      </c>
      <c r="E51" s="96" t="str">
        <f>IFERROR(__xludf.DUMMYFUNCTION("""COMPUTED_VALUE"""),"Ya")</f>
        <v>Ya</v>
      </c>
      <c r="F51" s="95" t="str">
        <f>IFERROR(__xludf.DUMMYFUNCTION("""COMPUTED_VALUE"""),"B Saya ingin melakukan apa saja sebaik mungkin.")</f>
        <v>B Saya ingin melakukan apa saja sebaik mungkin.</v>
      </c>
      <c r="G51" s="95" t="str">
        <f>IFERROR(__xludf.DUMMYFUNCTION("""COMPUTED_VALUE"""),"B Saya ingin menyelesaikan tugas yang segera dikumpulkan.")</f>
        <v>B Saya ingin menyelesaikan tugas yang segera dikumpulkan.</v>
      </c>
      <c r="H51" s="95" t="str">
        <f>IFERROR(__xludf.DUMMYFUNCTION("""COMPUTED_VALUE"""),"A Saya ingin berbuat sesuai kata hati saya.")</f>
        <v>A Saya ingin berbuat sesuai kata hati saya.</v>
      </c>
      <c r="I51" s="95" t="str">
        <f>IFERROR(__xludf.DUMMYFUNCTION("""COMPUTED_VALUE"""),"B Saya ingin bisa melakukan dengan baik meskipun tugas yang sulit.")</f>
        <v>B Saya ingin bisa melakukan dengan baik meskipun tugas yang sulit.</v>
      </c>
      <c r="J51" s="95" t="str">
        <f>IFERROR(__xludf.DUMMYFUNCTION("""COMPUTED_VALUE"""),"A Saya suka membantu teman-teman saya apabila mereka mengalami kesulitan.")</f>
        <v>A Saya suka membantu teman-teman saya apabila mereka mengalami kesulitan.</v>
      </c>
      <c r="K51" s="95" t="str">
        <f>IFERROR(__xludf.DUMMYFUNCTION("""COMPUTED_VALUE"""),"A Saya ingin menjadi pemimpin dalam suatu kelompok.")</f>
        <v>A Saya ingin menjadi pemimpin dalam suatu kelompok.</v>
      </c>
      <c r="L51" s="95" t="str">
        <f>IFERROR(__xludf.DUMMYFUNCTION("""COMPUTED_VALUE"""),"A Saya ingin menjadi pemimpin dalam suatu kelompok")</f>
        <v>A Saya ingin menjadi pemimpin dalam suatu kelompok</v>
      </c>
      <c r="M51" s="95" t="str">
        <f>IFERROR(__xludf.DUMMYFUNCTION("""COMPUTED_VALUE"""),"B Saya ingin mengerjakan segala tugas lebih baik daripada orang lain.")</f>
        <v>B Saya ingin mengerjakan segala tugas lebih baik daripada orang lain.</v>
      </c>
      <c r="N51" s="95" t="str">
        <f>IFERROR(__xludf.DUMMYFUNCTION("""COMPUTED_VALUE"""),"B Saya suka memecahkan persoalan yang sukar bagi orang lain.")</f>
        <v>B Saya suka memecahkan persoalan yang sukar bagi orang lain.</v>
      </c>
      <c r="O51" s="95" t="str">
        <f>IFERROR(__xludf.DUMMYFUNCTION("""COMPUTED_VALUE"""),"B Saya suka melakukan tugas sebaik mungkin.")</f>
        <v>B Saya suka melakukan tugas sebaik mungkin.</v>
      </c>
      <c r="P51" s="95" t="str">
        <f>IFERROR(__xludf.DUMMYFUNCTION("""COMPUTED_VALUE"""),"B Saya ingin setiap belajar itu teratur dan direncanakan.")</f>
        <v>B Saya ingin setiap belajar itu teratur dan direncanakan.</v>
      </c>
      <c r="Q51" s="95" t="str">
        <f>IFERROR(__xludf.DUMMYFUNCTION("""COMPUTED_VALUE"""),"B Saya merencanakan keperluan yang dibutuhkan sebelum bepergian.")</f>
        <v>B Saya merencanakan keperluan yang dibutuhkan sebelum bepergian.</v>
      </c>
      <c r="R51" s="95" t="str">
        <f>IFERROR(__xludf.DUMMYFUNCTION("""COMPUTED_VALUE"""),"B Saya suka barang-barang saya tersusun rapi dan teratur.")</f>
        <v>B Saya suka barang-barang saya tersusun rapi dan teratur.</v>
      </c>
      <c r="S51" s="95" t="str">
        <f>IFERROR(__xludf.DUMMYFUNCTION("""COMPUTED_VALUE"""),"B Saya suka membuat perencanaan sebelum memulai tugas yang sulit.")</f>
        <v>B Saya suka membuat perencanaan sebelum memulai tugas yang sulit.</v>
      </c>
      <c r="T51" s="95" t="str">
        <f>IFERROR(__xludf.DUMMYFUNCTION("""COMPUTED_VALUE"""),"B Saya ingin agar hidup saya teratur sesuai cita-cita saya.")</f>
        <v>B Saya ingin agar hidup saya teratur sesuai cita-cita saya.</v>
      </c>
      <c r="U51" s="95" t="str">
        <f>IFERROR(__xludf.DUMMYFUNCTION("""COMPUTED_VALUE"""),"B Saya suka menyimpan catatan secara rapi.")</f>
        <v>B Saya suka menyimpan catatan secara rapi.</v>
      </c>
      <c r="V51" s="95" t="str">
        <f>IFERROR(__xludf.DUMMYFUNCTION("""COMPUTED_VALUE"""),"B Saya suka belajar saya teratur dan ada waktu-waktu tertentu untuk belajar.")</f>
        <v>B Saya suka belajar saya teratur dan ada waktu-waktu tertentu untuk belajar.</v>
      </c>
      <c r="W51" s="95" t="str">
        <f>IFERROR(__xludf.DUMMYFUNCTION("""COMPUTED_VALUE"""),"B Saya ingin kegiatan itu teratur dan direncanakan.")</f>
        <v>B Saya ingin kegiatan itu teratur dan direncanakan.</v>
      </c>
      <c r="X51" s="95" t="str">
        <f>IFERROR(__xludf.DUMMYFUNCTION("""COMPUTED_VALUE"""),"A Saya suka merencanakan dan mengatur setiap apa yang harus saya lakukan.")</f>
        <v>A Saya suka merencanakan dan mengatur setiap apa yang harus saya lakukan.</v>
      </c>
      <c r="Y51" s="95" t="str">
        <f>IFERROR(__xludf.DUMMYFUNCTION("""COMPUTED_VALUE"""),"A Saya suka menyelesaikan tugas-tugas yang membutuhkan ketrampilan dan usaha.")</f>
        <v>A Saya suka menyelesaikan tugas-tugas yang membutuhkan ketrampilan dan usaha.</v>
      </c>
      <c r="Z51" s="95" t="str">
        <f>IFERROR(__xludf.DUMMYFUNCTION("""COMPUTED_VALUE"""),"A Saya ingin berhasil dengan belajar yang saya lakukan.")</f>
        <v>A Saya ingin berhasil dengan belajar yang saya lakukan.</v>
      </c>
      <c r="AA51" s="95" t="str">
        <f>IFERROR(__xludf.DUMMYFUNCTION("""COMPUTED_VALUE"""),"A Saya suka menyelesaikan tugas yang telah saya rencanakan.")</f>
        <v>A Saya suka menyelesaikan tugas yang telah saya rencanakan.</v>
      </c>
      <c r="AB51" s="95" t="str">
        <f>IFERROR(__xludf.DUMMYFUNCTION("""COMPUTED_VALUE"""),"B Saya ingin menyelesaikan pekerjaan satu persatu sebelum memulai yang lain.")</f>
        <v>B Saya ingin menyelesaikan pekerjaan satu persatu sebelum memulai yang lain.</v>
      </c>
      <c r="AC51" s="95" t="str">
        <f>IFERROR(__xludf.DUMMYFUNCTION("""COMPUTED_VALUE"""),"B Saya suka melakukan kegiatan sesuai kondisi yang saya inginkan.")</f>
        <v>B Saya suka melakukan kegiatan sesuai kondisi yang saya inginkan.</v>
      </c>
      <c r="AD51" s="95" t="str">
        <f>IFERROR(__xludf.DUMMYFUNCTION("""COMPUTED_VALUE"""),"A Saya suka bermurah hati terhadap teman-teman saya.")</f>
        <v>A Saya suka bermurah hati terhadap teman-teman saya.</v>
      </c>
      <c r="AE51" s="95" t="str">
        <f>IFERROR(__xludf.DUMMYFUNCTION("""COMPUTED_VALUE"""),"A Saya ingin dianggap sebagai pemimpin oleh teman di kelompok.")</f>
        <v>A Saya ingin dianggap sebagai pemimpin oleh teman di kelompok.</v>
      </c>
      <c r="AF51" s="95" t="str">
        <f>IFERROR(__xludf.DUMMYFUNCTION("""COMPUTED_VALUE"""),"B Saya suka melakukan hal-hal dengan cara saya sendiri.")</f>
        <v>B Saya suka melakukan hal-hal dengan cara saya sendiri.</v>
      </c>
      <c r="AG51" s="95" t="str">
        <f>IFERROR(__xludf.DUMMYFUNCTION("""COMPUTED_VALUE"""),"B Saya ingin berhasil dengan tugas yang saya lakukan.")</f>
        <v>B Saya ingin berhasil dengan tugas yang saya lakukan.</v>
      </c>
      <c r="AH51" s="95" t="str">
        <f>IFERROR(__xludf.DUMMYFUNCTION("""COMPUTED_VALUE"""),"A Saya suka membaca buku-buku tentang pergaulan remaja.")</f>
        <v>A Saya suka membaca buku-buku tentang pergaulan remaja.</v>
      </c>
      <c r="AI51" s="95" t="str">
        <f>IFERROR(__xludf.DUMMYFUNCTION("""COMPUTED_VALUE"""),"B Saya suka melakukan kegiatan sesuai kondisi yang saya inginkan.")</f>
        <v>B Saya suka melakukan kegiatan sesuai kondisi yang saya inginkan.</v>
      </c>
      <c r="AJ51" s="95" t="str">
        <f>IFERROR(__xludf.DUMMYFUNCTION("""COMPUTED_VALUE"""),"B Saya suka bertahan menghadapi satu masalah meskipun belum tentu berhasil.")</f>
        <v>B Saya suka bertahan menghadapi satu masalah meskipun belum tentu berhasil.</v>
      </c>
      <c r="AK51" s="95" t="str">
        <f>IFERROR(__xludf.DUMMYFUNCTION("""COMPUTED_VALUE"""),"B Bila saya harus melakukan suatu tugas, saya ingin mengerjakan sampai selesai.")</f>
        <v>B Bila saya harus melakukan suatu tugas, saya ingin mengerjakan sampai selesai.</v>
      </c>
      <c r="AL51" s="95" t="str">
        <f>IFERROR(__xludf.DUMMYFUNCTION("""COMPUTED_VALUE"""),"B Saya ingin menghindarkan gangguan bila saya sedang belajar.")</f>
        <v>B Saya ingin menghindarkan gangguan bila saya sedang belajar.</v>
      </c>
      <c r="AM51" s="95" t="str">
        <f>IFERROR(__xludf.DUMMYFUNCTION("""COMPUTED_VALUE"""),"B Saya suka belajar sampai malam untuk menyelesaikan suatu tugas.")</f>
        <v>B Saya suka belajar sampai malam untuk menyelesaikan suatu tugas.</v>
      </c>
      <c r="AN51" s="95" t="str">
        <f>IFERROR(__xludf.DUMMYFUNCTION("""COMPUTED_VALUE"""),"B Saya ingin bekerja berjam-jam tanpa diganggu.")</f>
        <v>B Saya ingin bekerja berjam-jam tanpa diganggu.</v>
      </c>
      <c r="AO51" s="95" t="str">
        <f>IFERROR(__xludf.DUMMYFUNCTION("""COMPUTED_VALUE"""),"A Saya suka berlaku sangat ramah terhadap teman-teman saya.")</f>
        <v>A Saya suka berlaku sangat ramah terhadap teman-teman saya.</v>
      </c>
      <c r="AP51" s="95" t="str">
        <f>IFERROR(__xludf.DUMMYFUNCTION("""COMPUTED_VALUE"""),"B Saya suka bertahan menghadapi satu masalah meskipun belum tentu berhasil.")</f>
        <v>B Saya suka bertahan menghadapi satu masalah meskipun belum tentu berhasil.</v>
      </c>
      <c r="AQ51" s="95" t="str">
        <f>IFERROR(__xludf.DUMMYFUNCTION("""COMPUTED_VALUE"""),"B Bila saya harus melakukan suatu tugas, saya ingin mengerjakan sampai selesai.")</f>
        <v>B Bila saya harus melakukan suatu tugas, saya ingin mengerjakan sampai selesai.</v>
      </c>
      <c r="AR51" s="95" t="str">
        <f>IFERROR(__xludf.DUMMYFUNCTION("""COMPUTED_VALUE"""),"A Saya suka menyimpan catatan secara rapi.")</f>
        <v>A Saya suka menyimpan catatan secara rapi.</v>
      </c>
      <c r="AS51" s="95" t="str">
        <f>IFERROR(__xludf.DUMMYFUNCTION("""COMPUTED_VALUE"""),"A Saya ingin dapat menyelesaikan persoalan yang dianggap sukar bagi orang lain.")</f>
        <v>A Saya ingin dapat menyelesaikan persoalan yang dianggap sukar bagi orang lain.</v>
      </c>
      <c r="AT51" s="95" t="str">
        <f>IFERROR(__xludf.DUMMYFUNCTION("""COMPUTED_VALUE"""),"B Saya suka membantu orang lain yang menurut saya perlu dikasihani.")</f>
        <v>B Saya suka membantu orang lain yang menurut saya perlu dikasihani.</v>
      </c>
      <c r="AU51" s="95" t="str">
        <f>IFERROR(__xludf.DUMMYFUNCTION("""COMPUTED_VALUE"""),"A Saya ingin menyelesaikan pekerjaan satu persatu sebelum memulai yang lain.")</f>
        <v>A Saya ingin menyelesaikan pekerjaan satu persatu sebelum memulai yang lain.</v>
      </c>
      <c r="AV51" s="95" t="str">
        <f>IFERROR(__xludf.DUMMYFUNCTION("""COMPUTED_VALUE"""),"B Saya suka menolong teman-teman saya.")</f>
        <v>B Saya suka menolong teman-teman saya.</v>
      </c>
      <c r="AW51" s="95" t="str">
        <f>IFERROR(__xludf.DUMMYFUNCTION("""COMPUTED_VALUE"""),"A Saya ingin mengerjakan tugas sampai selesai.")</f>
        <v>A Saya ingin mengerjakan tugas sampai selesai.</v>
      </c>
      <c r="AX51" s="95" t="str">
        <f>IFERROR(__xludf.DUMMYFUNCTION("""COMPUTED_VALUE"""),"B Saya suka memaafkan teman-teman saya yang menyakiti hati saya.")</f>
        <v>B Saya suka memaafkan teman-teman saya yang menyakiti hati saya.</v>
      </c>
      <c r="AY51" s="95" t="str">
        <f>IFERROR(__xludf.DUMMYFUNCTION("""COMPUTED_VALUE"""),"B Saya suka menolong teman-teman saya apabila mereka dalam kesulitan.")</f>
        <v>B Saya suka menolong teman-teman saya apabila mereka dalam kesulitan.</v>
      </c>
      <c r="AZ51" s="95" t="str">
        <f>IFERROR(__xludf.DUMMYFUNCTION("""COMPUTED_VALUE"""),"B Saya suka menunjukkan simpati saya kepada teman-teman saya.")</f>
        <v>B Saya suka menunjukkan simpati saya kepada teman-teman saya.</v>
      </c>
      <c r="BA51" s="95" t="str">
        <f>IFERROR(__xludf.DUMMYFUNCTION("""COMPUTED_VALUE"""),"B Saya suka memperlakukan orang lain dengan baik dan ramah.")</f>
        <v>B Saya suka memperlakukan orang lain dengan baik dan ramah.</v>
      </c>
      <c r="BB51" s="95" t="str">
        <f>IFERROR(__xludf.DUMMYFUNCTION("""COMPUTED_VALUE"""),"B Saya suka bermurah hati terhadap teman-teman saya.")</f>
        <v>B Saya suka bermurah hati terhadap teman-teman saya.</v>
      </c>
      <c r="BC51" s="95" t="str">
        <f>IFERROR(__xludf.DUMMYFUNCTION("""COMPUTED_VALUE"""),"B Saya suka membantu orang lain yang menurut saya perlu dikasihani.")</f>
        <v>B Saya suka membantu orang lain yang menurut saya perlu dikasihani.</v>
      </c>
      <c r="BD51" s="95" t="str">
        <f>IFERROR(__xludf.DUMMYFUNCTION("""COMPUTED_VALUE"""),"B Saya suka bersikukuh dengan pendirian saya.")</f>
        <v>B Saya suka bersikukuh dengan pendirian saya.</v>
      </c>
      <c r="BE51" s="95" t="str">
        <f>IFERROR(__xludf.DUMMYFUNCTION("""COMPUTED_VALUE"""),"B Saya ingin orang lain melakukan apa yang saya kehendaki.")</f>
        <v>B Saya ingin orang lain melakukan apa yang saya kehendaki.</v>
      </c>
      <c r="BF51" s="95" t="str">
        <f>IFERROR(__xludf.DUMMYFUNCTION("""COMPUTED_VALUE"""),"B Bila saya dalam kelompok, saya ingin menentukan apa yang akan kita lakukan.")</f>
        <v>B Bila saya dalam kelompok, saya ingin menentukan apa yang akan kita lakukan.</v>
      </c>
      <c r="BG51" s="95" t="str">
        <f>IFERROR(__xludf.DUMMYFUNCTION("""COMPUTED_VALUE"""),"B Saya suka mengarahkan kepada orang lain apa yang harus dilakukan.")</f>
        <v>B Saya suka mengarahkan kepada orang lain apa yang harus dilakukan.</v>
      </c>
      <c r="BH51" s="95" t="str">
        <f>IFERROR(__xludf.DUMMYFUNCTION("""COMPUTED_VALUE"""),"A Saya suka menghindar dari situasi yang tidak saya harapkan.")</f>
        <v>A Saya suka menghindar dari situasi yang tidak saya harapkan.</v>
      </c>
      <c r="BI51" s="95" t="str">
        <f>IFERROR(__xludf.DUMMYFUNCTION("""COMPUTED_VALUE"""),"A Saya suka bermurah hati terhadap teman-teman saya.")</f>
        <v>A Saya suka bermurah hati terhadap teman-teman saya.</v>
      </c>
      <c r="BJ51" s="95" t="str">
        <f>IFERROR(__xludf.DUMMYFUNCTION("""COMPUTED_VALUE"""),"A Saya ingin mengerjakan tugas sampai selesai.")</f>
        <v>A Saya ingin mengerjakan tugas sampai selesai.</v>
      </c>
      <c r="BK51" s="95" t="str">
        <f>IFERROR(__xludf.DUMMYFUNCTION("""COMPUTED_VALUE"""),"A Saya ingin menyelesaikan pekerjaan satu persatu sebelum memulai yang lain.")</f>
        <v>A Saya ingin menyelesaikan pekerjaan satu persatu sebelum memulai yang lain.</v>
      </c>
      <c r="BL51" s="95" t="str">
        <f>IFERROR(__xludf.DUMMYFUNCTION("""COMPUTED_VALUE"""),"A Saya suka belajar saya teratur dan ada waktu-waktu tertentu untuk belajar.")</f>
        <v>A Saya suka belajar saya teratur dan ada waktu-waktu tertentu untuk belajar.</v>
      </c>
      <c r="BM51" s="95" t="str">
        <f>IFERROR(__xludf.DUMMYFUNCTION("""COMPUTED_VALUE"""),"A Saya suka melakukan pekerjaan sebaik mungkin.")</f>
        <v>A Saya suka melakukan pekerjaan sebaik mungkin.</v>
      </c>
      <c r="BN51" s="95" t="str">
        <f>IFERROR(__xludf.DUMMYFUNCTION("""COMPUTED_VALUE"""),"B Saya ingin teman-teman memberi dorongan bila saya menghadapi kegagalan.")</f>
        <v>B Saya ingin teman-teman memberi dorongan bila saya menghadapi kegagalan.</v>
      </c>
      <c r="BO51" s="95" t="str">
        <f>IFERROR(__xludf.DUMMYFUNCTION("""COMPUTED_VALUE"""),"A Saya suka membuat perencanaan sebelum memulai belajar yang sulit.")</f>
        <v>A Saya suka membuat perencanaan sebelum memulai belajar yang sulit.</v>
      </c>
      <c r="BP51" s="95" t="str">
        <f>IFERROR(__xludf.DUMMYFUNCTION("""COMPUTED_VALUE"""),"A Saya ingin menyelesaikan sesuatu yang sangat penting artinya.")</f>
        <v>A Saya ingin menyelesaikan sesuatu yang sangat penting artinya.</v>
      </c>
      <c r="BQ51" s="95" t="str">
        <f>IFERROR(__xludf.DUMMYFUNCTION("""COMPUTED_VALUE"""),"A Saya ingin mengerjakannya tugas sampai selesai.")</f>
        <v>A Saya ingin mengerjakannya tugas sampai selesai.</v>
      </c>
      <c r="BR51" s="95" t="str">
        <f>IFERROR(__xludf.DUMMYFUNCTION("""COMPUTED_VALUE"""),"A Saya suka memaafkan teman-teman saya yang menyakiti hati saya.")</f>
        <v>A Saya suka memaafkan teman-teman saya yang menyakiti hati saya.</v>
      </c>
      <c r="BS51" s="95" t="str">
        <f>IFERROR(__xludf.DUMMYFUNCTION("""COMPUTED_VALUE"""),"B Saya ingin teman-teman saya membantu saya bila saya mengalami kesulitan")</f>
        <v>B Saya ingin teman-teman saya membantu saya bila saya mengalami kesulitan</v>
      </c>
      <c r="BT51" s="95" t="str">
        <f>IFERROR(__xludf.DUMMYFUNCTION("""COMPUTED_VALUE"""),"B Saya ingin teman-teman banyak menunjukkan rasa sayang mereka terhadap saya.")</f>
        <v>B Saya ingin teman-teman banyak menunjukkan rasa sayang mereka terhadap saya.</v>
      </c>
      <c r="BU51" s="95" t="str">
        <f>IFERROR(__xludf.DUMMYFUNCTION("""COMPUTED_VALUE"""),"A Saya kadang-kadang suka melakukan hal-hal yang dapat dipuji oleh orang lain.")</f>
        <v>A Saya kadang-kadang suka melakukan hal-hal yang dapat dipuji oleh orang lain.</v>
      </c>
      <c r="BV51" s="95" t="str">
        <f>IFERROR(__xludf.DUMMYFUNCTION("""COMPUTED_VALUE"""),"B Saya ingin teman-teman dengan gembira memberikan pertolongan kepada saya.")</f>
        <v>B Saya ingin teman-teman dengan gembira memberikan pertolongan kepada saya.</v>
      </c>
      <c r="BW51" s="95" t="str">
        <f>IFERROR(__xludf.DUMMYFUNCTION("""COMPUTED_VALUE"""),"B Saya ingin diperlakukan dengan baik oleh teman-teman saya.")</f>
        <v>B Saya ingin diperlakukan dengan baik oleh teman-teman saya.</v>
      </c>
      <c r="BX51" s="95" t="str">
        <f>IFERROR(__xludf.DUMMYFUNCTION("""COMPUTED_VALUE"""),"B Saya kadang-kadang suka melakukan hal-hal yang dapat dipuji oleh orang lain.")</f>
        <v>B Saya kadang-kadang suka melakukan hal-hal yang dapat dipuji oleh orang lain.</v>
      </c>
      <c r="BY51" s="95" t="str">
        <f>IFERROR(__xludf.DUMMYFUNCTION("""COMPUTED_VALUE"""),"B Saya ingin orang lain memperhatikan dan berkomentar tentang penampilan saya.")</f>
        <v>B Saya ingin orang lain memperhatikan dan berkomentar tentang penampilan saya.</v>
      </c>
      <c r="BZ51" s="95" t="str">
        <f>IFERROR(__xludf.DUMMYFUNCTION("""COMPUTED_VALUE"""),"A Saya suka berkata yang artinya sulit dipahami oleh orang lain.")</f>
        <v>A Saya suka berkata yang artinya sulit dipahami oleh orang lain.</v>
      </c>
      <c r="CA51" s="95" t="str">
        <f>IFERROR(__xludf.DUMMYFUNCTION("""COMPUTED_VALUE"""),"A Saya ingin teman-teman dengan gembira memberikan pertolongan kepada saya.")</f>
        <v>A Saya ingin teman-teman dengan gembira memberikan pertolongan kepada saya.</v>
      </c>
      <c r="CB51" s="95" t="str">
        <f>IFERROR(__xludf.DUMMYFUNCTION("""COMPUTED_VALUE"""),"B Saya suka berbicara tentang hal-hal yang telah saya capai.")</f>
        <v>B Saya suka berbicara tentang hal-hal yang telah saya capai.</v>
      </c>
      <c r="CC51" s="95" t="str">
        <f>IFERROR(__xludf.DUMMYFUNCTION("""COMPUTED_VALUE"""),"A Apabila saya berkumpul dalam kelompok, saya ingin dihargai teman-teman.")</f>
        <v>A Apabila saya berkumpul dalam kelompok, saya ingin dihargai teman-teman.</v>
      </c>
      <c r="CD51" s="95" t="str">
        <f>IFERROR(__xludf.DUMMYFUNCTION("""COMPUTED_VALUE"""),"A Saya suka menyelesaikan setiap tugas meskipun membutuhkan waktu lama.")</f>
        <v>A Saya suka menyelesaikan setiap tugas meskipun membutuhkan waktu lama.</v>
      </c>
      <c r="CE51" s="95" t="str">
        <f>IFERROR(__xludf.DUMMYFUNCTION("""COMPUTED_VALUE"""),"A Saya suka menyelesaikan setiap tugas belajar yang telah saya mulai.")</f>
        <v>A Saya suka menyelesaikan setiap tugas belajar yang telah saya mulai.</v>
      </c>
      <c r="CF51" s="95" t="str">
        <f>IFERROR(__xludf.DUMMYFUNCTION("""COMPUTED_VALUE"""),"A Saya ingin agar hidup saya teratur sesuai cita-cita saya.")</f>
        <v>A Saya ingin agar hidup saya teratur sesuai cita-cita saya.</v>
      </c>
      <c r="CG51" s="95" t="str">
        <f>IFERROR(__xludf.DUMMYFUNCTION("""COMPUTED_VALUE"""),"A Saya ingin berhasil dalam apa yang saya lakukan.")</f>
        <v>A Saya ingin berhasil dalam apa yang saya lakukan.</v>
      </c>
      <c r="CH51" s="95" t="str">
        <f>IFERROR(__xludf.DUMMYFUNCTION("""COMPUTED_VALUE"""),"A Saya ingin bisa melakukan dengan baik sesuatu pekerjaan sulit.")</f>
        <v>A Saya ingin bisa melakukan dengan baik sesuatu pekerjaan sulit.</v>
      </c>
      <c r="CI51" s="95" t="str">
        <f>IFERROR(__xludf.DUMMYFUNCTION("""COMPUTED_VALUE"""),"A Saya suka belajar saya teratur dan ada waktu-waktu tertentu untuk belajar.")</f>
        <v>A Saya suka belajar saya teratur dan ada waktu-waktu tertentu untuk belajar.</v>
      </c>
      <c r="CJ51" s="95" t="str">
        <f>IFERROR(__xludf.DUMMYFUNCTION("""COMPUTED_VALUE"""),"A Saya ingin tidak tergantung dari orang lain terhadap apa yang akan saya lakukan.")</f>
        <v>A Saya ingin tidak tergantung dari orang lain terhadap apa yang akan saya lakukan.</v>
      </c>
      <c r="CK51" s="95" t="str">
        <f>IFERROR(__xludf.DUMMYFUNCTION("""COMPUTED_VALUE"""),"B Saya senang ikut beraktivitas bersama teman sebaya saya.")</f>
        <v>B Saya senang ikut beraktivitas bersama teman sebaya saya.</v>
      </c>
      <c r="CL51" s="95" t="str">
        <f>IFERROR(__xludf.DUMMYFUNCTION("""COMPUTED_VALUE"""),"A Saya suka menolong teman-teman saya, apabila mereka dalam kesulitan.")</f>
        <v>A Saya suka menolong teman-teman saya, apabila mereka dalam kesulitan.</v>
      </c>
      <c r="CM51" s="95" t="str">
        <f>IFERROR(__xludf.DUMMYFUNCTION("""COMPUTED_VALUE"""),"A Saya ingin ditunjuk atau dipilih sebagai ketua dalam suatu kelompok.")</f>
        <v>A Saya ingin ditunjuk atau dipilih sebagai ketua dalam suatu kelompok.</v>
      </c>
      <c r="CN51" s="95" t="str">
        <f>IFERROR(__xludf.DUMMYFUNCTION("""COMPUTED_VALUE"""),"A Saya ingin diperlakukan dengan baik oleh teman-teman saya.")</f>
        <v>A Saya ingin diperlakukan dengan baik oleh teman-teman saya.</v>
      </c>
      <c r="CO51" s="95" t="str">
        <f>IFERROR(__xludf.DUMMYFUNCTION("""COMPUTED_VALUE"""),"B Saya suka memuji orang yang saya kagumi.")</f>
        <v>B Saya suka memuji orang yang saya kagumi.</v>
      </c>
      <c r="CP51" s="95" t="str">
        <f>IFERROR(__xludf.DUMMYFUNCTION("""COMPUTED_VALUE"""),"A Saya suka melamun atau membayangkan sesuatu sendirian.")</f>
        <v>A Saya suka melamun atau membayangkan sesuatu sendirian.</v>
      </c>
      <c r="CQ51" s="95" t="str">
        <f>IFERROR(__xludf.DUMMYFUNCTION("""COMPUTED_VALUE"""),"B Saya merasa kagum pada seseorang.")</f>
        <v>B Saya merasa kagum pada seseorang.</v>
      </c>
      <c r="CR51" s="95" t="str">
        <f>IFERROR(__xludf.DUMMYFUNCTION("""COMPUTED_VALUE"""),"B Saya rasanya ingin mengecam seseorang bila orang itu menjengkelkan.")</f>
        <v>B Saya rasanya ingin mengecam seseorang bila orang itu menjengkelkan.</v>
      </c>
      <c r="CS51" s="95" t="str">
        <f>IFERROR(__xludf.DUMMYFUNCTION("""COMPUTED_VALUE"""),"A Saya ingin terlihat menarik di depan teman-teman saya.")</f>
        <v>A Saya ingin terlihat menarik di depan teman-teman saya.</v>
      </c>
      <c r="CT51" s="95" t="str">
        <f>IFERROR(__xludf.DUMMYFUNCTION("""COMPUTED_VALUE"""),"A Saya ingin orang-orang memperhatikan komentar mengenai penampilan saya.")</f>
        <v>A Saya ingin orang-orang memperhatikan komentar mengenai penampilan saya.</v>
      </c>
      <c r="CU51" s="95" t="str">
        <f>IFERROR(__xludf.DUMMYFUNCTION("""COMPUTED_VALUE"""),"A Saya ingin diperlakukan dengan ramah oleh teman-teman saya.")</f>
        <v>A Saya ingin diperlakukan dengan ramah oleh teman-teman saya.</v>
      </c>
      <c r="CV51" s="95" t="str">
        <f>IFERROR(__xludf.DUMMYFUNCTION("""COMPUTED_VALUE"""),"A Saya ingin ditunjuk atau dipilih sebagai ketua dalam suatu kelompok.")</f>
        <v>A Saya ingin ditunjuk atau dipilih sebagai ketua dalam suatu kelompok.</v>
      </c>
      <c r="CW51" s="95" t="str">
        <f>IFERROR(__xludf.DUMMYFUNCTION("""COMPUTED_VALUE"""),"A Saya suka menolong teman-teman saya, apabila mereka dalam kesulitan.")</f>
        <v>A Saya suka menolong teman-teman saya, apabila mereka dalam kesulitan.</v>
      </c>
      <c r="CX51" s="95" t="str">
        <f>IFERROR(__xludf.DUMMYFUNCTION("""COMPUTED_VALUE"""),"A Saya suka belajar sampai malam untuk menyelesaikan suatu tugas.")</f>
        <v>A Saya suka belajar sampai malam untuk menyelesaikan suatu tugas.</v>
      </c>
      <c r="CY51" s="95" t="str">
        <f>IFERROR(__xludf.DUMMYFUNCTION("""COMPUTED_VALUE"""),"A Saya ingin tidak tergantung dari orang lain terhadap apa yang akan saya lakukan.")</f>
        <v>A Saya ingin tidak tergantung dari orang lain terhadap apa yang akan saya lakukan.</v>
      </c>
      <c r="CZ51" s="95" t="str">
        <f>IFERROR(__xludf.DUMMYFUNCTION("""COMPUTED_VALUE"""),"A Saya suka merencanakan dan mengatur setiap pekerjaan yang harus saya lakukan.")</f>
        <v>A Saya suka merencanakan dan mengatur setiap pekerjaan yang harus saya lakukan.</v>
      </c>
      <c r="DA51" s="95" t="str">
        <f>IFERROR(__xludf.DUMMYFUNCTION("""COMPUTED_VALUE"""),"A Saya ingin melakukan apa saja sebaik mungkin.")</f>
        <v>A Saya ingin melakukan apa saja sebaik mungkin.</v>
      </c>
      <c r="DB51" s="89" t="s">
        <v>23</v>
      </c>
      <c r="DC51" s="97" t="str">
        <f t="shared" ref="DC51:GX51" si="96">LEFT(F51,1)</f>
        <v>B</v>
      </c>
      <c r="DD51" s="97" t="str">
        <f t="shared" si="96"/>
        <v>B</v>
      </c>
      <c r="DE51" s="97" t="str">
        <f t="shared" si="96"/>
        <v>A</v>
      </c>
      <c r="DF51" s="97" t="str">
        <f t="shared" si="96"/>
        <v>B</v>
      </c>
      <c r="DG51" s="97" t="str">
        <f t="shared" si="96"/>
        <v>A</v>
      </c>
      <c r="DH51" s="97" t="str">
        <f t="shared" si="96"/>
        <v>A</v>
      </c>
      <c r="DI51" s="97" t="str">
        <f t="shared" si="96"/>
        <v>A</v>
      </c>
      <c r="DJ51" s="97" t="str">
        <f t="shared" si="96"/>
        <v>B</v>
      </c>
      <c r="DK51" s="97" t="str">
        <f t="shared" si="96"/>
        <v>B</v>
      </c>
      <c r="DL51" s="97" t="str">
        <f t="shared" si="96"/>
        <v>B</v>
      </c>
      <c r="DM51" s="97" t="str">
        <f t="shared" si="96"/>
        <v>B</v>
      </c>
      <c r="DN51" s="97" t="str">
        <f t="shared" si="96"/>
        <v>B</v>
      </c>
      <c r="DO51" s="97" t="str">
        <f t="shared" si="96"/>
        <v>B</v>
      </c>
      <c r="DP51" s="97" t="str">
        <f t="shared" si="96"/>
        <v>B</v>
      </c>
      <c r="DQ51" s="97" t="str">
        <f t="shared" si="96"/>
        <v>B</v>
      </c>
      <c r="DR51" s="97" t="str">
        <f t="shared" si="96"/>
        <v>B</v>
      </c>
      <c r="DS51" s="97" t="str">
        <f t="shared" si="96"/>
        <v>B</v>
      </c>
      <c r="DT51" s="97" t="str">
        <f t="shared" si="96"/>
        <v>B</v>
      </c>
      <c r="DU51" s="97" t="str">
        <f t="shared" si="96"/>
        <v>A</v>
      </c>
      <c r="DV51" s="97" t="str">
        <f t="shared" si="96"/>
        <v>A</v>
      </c>
      <c r="DW51" s="97" t="str">
        <f t="shared" si="96"/>
        <v>A</v>
      </c>
      <c r="DX51" s="97" t="str">
        <f t="shared" si="96"/>
        <v>A</v>
      </c>
      <c r="DY51" s="97" t="str">
        <f t="shared" si="96"/>
        <v>B</v>
      </c>
      <c r="DZ51" s="97" t="str">
        <f t="shared" si="96"/>
        <v>B</v>
      </c>
      <c r="EA51" s="97" t="str">
        <f t="shared" si="96"/>
        <v>A</v>
      </c>
      <c r="EB51" s="97" t="str">
        <f t="shared" si="96"/>
        <v>A</v>
      </c>
      <c r="EC51" s="97" t="str">
        <f t="shared" si="96"/>
        <v>B</v>
      </c>
      <c r="ED51" s="97" t="str">
        <f t="shared" si="96"/>
        <v>B</v>
      </c>
      <c r="EE51" s="97" t="str">
        <f t="shared" si="96"/>
        <v>A</v>
      </c>
      <c r="EF51" s="97" t="str">
        <f t="shared" si="96"/>
        <v>B</v>
      </c>
      <c r="EG51" s="97" t="str">
        <f t="shared" si="96"/>
        <v>B</v>
      </c>
      <c r="EH51" s="97" t="str">
        <f t="shared" si="96"/>
        <v>B</v>
      </c>
      <c r="EI51" s="97" t="str">
        <f t="shared" si="96"/>
        <v>B</v>
      </c>
      <c r="EJ51" s="97" t="str">
        <f t="shared" si="96"/>
        <v>B</v>
      </c>
      <c r="EK51" s="97" t="str">
        <f t="shared" si="96"/>
        <v>B</v>
      </c>
      <c r="EL51" s="97" t="str">
        <f t="shared" si="96"/>
        <v>A</v>
      </c>
      <c r="EM51" s="97" t="str">
        <f t="shared" si="96"/>
        <v>B</v>
      </c>
      <c r="EN51" s="97" t="str">
        <f t="shared" si="96"/>
        <v>B</v>
      </c>
      <c r="EO51" s="97" t="str">
        <f t="shared" si="96"/>
        <v>A</v>
      </c>
      <c r="EP51" s="97" t="str">
        <f t="shared" si="96"/>
        <v>A</v>
      </c>
      <c r="EQ51" s="97" t="str">
        <f t="shared" si="96"/>
        <v>B</v>
      </c>
      <c r="ER51" s="97" t="str">
        <f t="shared" si="96"/>
        <v>A</v>
      </c>
      <c r="ES51" s="97" t="str">
        <f t="shared" si="96"/>
        <v>B</v>
      </c>
      <c r="ET51" s="97" t="str">
        <f t="shared" si="96"/>
        <v>A</v>
      </c>
      <c r="EU51" s="97" t="str">
        <f t="shared" si="96"/>
        <v>B</v>
      </c>
      <c r="EV51" s="97" t="str">
        <f t="shared" si="96"/>
        <v>B</v>
      </c>
      <c r="EW51" s="97" t="str">
        <f t="shared" si="96"/>
        <v>B</v>
      </c>
      <c r="EX51" s="97" t="str">
        <f t="shared" si="96"/>
        <v>B</v>
      </c>
      <c r="EY51" s="97" t="str">
        <f t="shared" si="96"/>
        <v>B</v>
      </c>
      <c r="EZ51" s="97" t="str">
        <f t="shared" si="96"/>
        <v>B</v>
      </c>
      <c r="FA51" s="97" t="str">
        <f t="shared" si="96"/>
        <v>B</v>
      </c>
      <c r="FB51" s="97" t="str">
        <f t="shared" si="96"/>
        <v>B</v>
      </c>
      <c r="FC51" s="97" t="str">
        <f t="shared" si="96"/>
        <v>B</v>
      </c>
      <c r="FD51" s="97" t="str">
        <f t="shared" si="96"/>
        <v>B</v>
      </c>
      <c r="FE51" s="97" t="str">
        <f t="shared" si="96"/>
        <v>A</v>
      </c>
      <c r="FF51" s="97" t="str">
        <f t="shared" si="96"/>
        <v>A</v>
      </c>
      <c r="FG51" s="97" t="str">
        <f t="shared" si="96"/>
        <v>A</v>
      </c>
      <c r="FH51" s="97" t="str">
        <f t="shared" si="96"/>
        <v>A</v>
      </c>
      <c r="FI51" s="97" t="str">
        <f t="shared" si="96"/>
        <v>A</v>
      </c>
      <c r="FJ51" s="97" t="str">
        <f t="shared" si="96"/>
        <v>A</v>
      </c>
      <c r="FK51" s="97" t="str">
        <f t="shared" si="96"/>
        <v>B</v>
      </c>
      <c r="FL51" s="97" t="str">
        <f t="shared" si="96"/>
        <v>A</v>
      </c>
      <c r="FM51" s="97" t="str">
        <f t="shared" si="96"/>
        <v>A</v>
      </c>
      <c r="FN51" s="97" t="str">
        <f t="shared" si="96"/>
        <v>A</v>
      </c>
      <c r="FO51" s="97" t="str">
        <f t="shared" si="96"/>
        <v>A</v>
      </c>
      <c r="FP51" s="97" t="str">
        <f t="shared" si="96"/>
        <v>B</v>
      </c>
      <c r="FQ51" s="97" t="str">
        <f t="shared" si="96"/>
        <v>B</v>
      </c>
      <c r="FR51" s="97" t="str">
        <f t="shared" si="96"/>
        <v>A</v>
      </c>
      <c r="FS51" s="97" t="str">
        <f t="shared" si="96"/>
        <v>B</v>
      </c>
      <c r="FT51" s="97" t="str">
        <f t="shared" si="96"/>
        <v>B</v>
      </c>
      <c r="FU51" s="97" t="str">
        <f t="shared" si="96"/>
        <v>B</v>
      </c>
      <c r="FV51" s="97" t="str">
        <f t="shared" si="96"/>
        <v>B</v>
      </c>
      <c r="FW51" s="97" t="str">
        <f t="shared" si="96"/>
        <v>A</v>
      </c>
      <c r="FX51" s="97" t="str">
        <f t="shared" si="96"/>
        <v>A</v>
      </c>
      <c r="FY51" s="97" t="str">
        <f t="shared" si="96"/>
        <v>B</v>
      </c>
      <c r="FZ51" s="97" t="str">
        <f t="shared" si="96"/>
        <v>A</v>
      </c>
      <c r="GA51" s="97" t="str">
        <f t="shared" si="96"/>
        <v>A</v>
      </c>
      <c r="GB51" s="97" t="str">
        <f t="shared" si="96"/>
        <v>A</v>
      </c>
      <c r="GC51" s="97" t="str">
        <f t="shared" si="96"/>
        <v>A</v>
      </c>
      <c r="GD51" s="97" t="str">
        <f t="shared" si="96"/>
        <v>A</v>
      </c>
      <c r="GE51" s="97" t="str">
        <f t="shared" si="96"/>
        <v>A</v>
      </c>
      <c r="GF51" s="97" t="str">
        <f t="shared" si="96"/>
        <v>A</v>
      </c>
      <c r="GG51" s="97" t="str">
        <f t="shared" si="96"/>
        <v>A</v>
      </c>
      <c r="GH51" s="97" t="str">
        <f t="shared" si="96"/>
        <v>B</v>
      </c>
      <c r="GI51" s="97" t="str">
        <f t="shared" si="96"/>
        <v>A</v>
      </c>
      <c r="GJ51" s="97" t="str">
        <f t="shared" si="96"/>
        <v>A</v>
      </c>
      <c r="GK51" s="97" t="str">
        <f t="shared" si="96"/>
        <v>A</v>
      </c>
      <c r="GL51" s="97" t="str">
        <f t="shared" si="96"/>
        <v>B</v>
      </c>
      <c r="GM51" s="97" t="str">
        <f t="shared" si="96"/>
        <v>A</v>
      </c>
      <c r="GN51" s="97" t="str">
        <f t="shared" si="96"/>
        <v>B</v>
      </c>
      <c r="GO51" s="97" t="str">
        <f t="shared" si="96"/>
        <v>B</v>
      </c>
      <c r="GP51" s="97" t="str">
        <f t="shared" si="96"/>
        <v>A</v>
      </c>
      <c r="GQ51" s="97" t="str">
        <f t="shared" si="96"/>
        <v>A</v>
      </c>
      <c r="GR51" s="97" t="str">
        <f t="shared" si="96"/>
        <v>A</v>
      </c>
      <c r="GS51" s="97" t="str">
        <f t="shared" si="96"/>
        <v>A</v>
      </c>
      <c r="GT51" s="97" t="str">
        <f t="shared" si="96"/>
        <v>A</v>
      </c>
      <c r="GU51" s="97" t="str">
        <f t="shared" si="96"/>
        <v>A</v>
      </c>
      <c r="GV51" s="97" t="str">
        <f t="shared" si="96"/>
        <v>A</v>
      </c>
      <c r="GW51" s="97" t="str">
        <f t="shared" si="96"/>
        <v>A</v>
      </c>
      <c r="GX51" s="97" t="str">
        <f t="shared" si="96"/>
        <v>A</v>
      </c>
      <c r="GY51" s="98"/>
      <c r="GZ51" s="97">
        <f t="shared" si="3"/>
        <v>50</v>
      </c>
      <c r="HA51" s="97">
        <f t="shared" si="4"/>
        <v>50</v>
      </c>
      <c r="HB51" s="90">
        <f t="shared" si="5"/>
        <v>100</v>
      </c>
      <c r="HC51" s="99"/>
      <c r="HD51" s="97">
        <f t="shared" si="6"/>
        <v>7</v>
      </c>
      <c r="HE51" s="97">
        <f t="shared" si="7"/>
        <v>5</v>
      </c>
      <c r="HF51" s="90">
        <f t="shared" si="8"/>
        <v>12</v>
      </c>
      <c r="HG51" s="99"/>
      <c r="HH51" s="97">
        <f t="shared" si="9"/>
        <v>8</v>
      </c>
      <c r="HI51" s="97">
        <f t="shared" si="10"/>
        <v>8</v>
      </c>
      <c r="HJ51" s="90">
        <f t="shared" si="11"/>
        <v>16</v>
      </c>
      <c r="HK51" s="99"/>
      <c r="HL51" s="97">
        <f t="shared" si="12"/>
        <v>6</v>
      </c>
      <c r="HM51" s="97">
        <f t="shared" si="13"/>
        <v>5</v>
      </c>
      <c r="HN51" s="90">
        <f t="shared" si="14"/>
        <v>11</v>
      </c>
      <c r="HO51" s="99"/>
      <c r="HP51" s="97">
        <f t="shared" si="15"/>
        <v>5</v>
      </c>
      <c r="HQ51" s="97">
        <f t="shared" si="16"/>
        <v>7</v>
      </c>
      <c r="HR51" s="90">
        <f t="shared" si="17"/>
        <v>12</v>
      </c>
      <c r="HS51" s="99"/>
      <c r="HT51" s="97">
        <f t="shared" si="18"/>
        <v>8</v>
      </c>
      <c r="HU51" s="97">
        <f t="shared" si="19"/>
        <v>8</v>
      </c>
      <c r="HV51" s="90">
        <f t="shared" si="20"/>
        <v>16</v>
      </c>
      <c r="HW51" s="99"/>
      <c r="HX51" s="97">
        <f t="shared" si="21"/>
        <v>4</v>
      </c>
      <c r="HY51" s="97">
        <f t="shared" si="22"/>
        <v>4</v>
      </c>
      <c r="HZ51" s="90">
        <f t="shared" si="23"/>
        <v>8</v>
      </c>
      <c r="IA51" s="99"/>
      <c r="IB51" s="97">
        <f t="shared" si="24"/>
        <v>4</v>
      </c>
      <c r="IC51" s="97">
        <f t="shared" si="25"/>
        <v>5</v>
      </c>
      <c r="ID51" s="90">
        <f t="shared" si="26"/>
        <v>9</v>
      </c>
      <c r="IE51" s="99"/>
      <c r="IF51" s="97">
        <f t="shared" si="27"/>
        <v>2</v>
      </c>
      <c r="IG51" s="97">
        <f t="shared" si="28"/>
        <v>3</v>
      </c>
      <c r="IH51" s="90">
        <f t="shared" si="29"/>
        <v>5</v>
      </c>
      <c r="II51" s="99"/>
      <c r="IJ51" s="97">
        <f t="shared" si="30"/>
        <v>2</v>
      </c>
      <c r="IK51" s="97">
        <f t="shared" si="31"/>
        <v>3</v>
      </c>
      <c r="IL51" s="90">
        <f t="shared" si="32"/>
        <v>5</v>
      </c>
      <c r="IM51" s="99"/>
      <c r="IN51" s="97">
        <f t="shared" si="33"/>
        <v>0</v>
      </c>
      <c r="IO51" s="97">
        <f t="shared" si="34"/>
        <v>1</v>
      </c>
      <c r="IP51" s="90">
        <f t="shared" si="35"/>
        <v>1</v>
      </c>
      <c r="IQ51" s="99"/>
      <c r="IR51" s="99"/>
      <c r="IS51" s="100">
        <f t="shared" si="36"/>
        <v>12</v>
      </c>
      <c r="IT51" s="100">
        <f t="shared" si="37"/>
        <v>16</v>
      </c>
      <c r="IU51" s="100">
        <f t="shared" si="38"/>
        <v>11</v>
      </c>
      <c r="IV51" s="100">
        <f t="shared" si="39"/>
        <v>12</v>
      </c>
      <c r="IW51" s="100">
        <f t="shared" si="40"/>
        <v>16</v>
      </c>
      <c r="IX51" s="100">
        <f t="shared" si="41"/>
        <v>8</v>
      </c>
      <c r="IY51" s="100">
        <f t="shared" si="42"/>
        <v>9</v>
      </c>
      <c r="IZ51" s="100">
        <f t="shared" si="43"/>
        <v>5</v>
      </c>
      <c r="JA51" s="100">
        <f t="shared" si="44"/>
        <v>5</v>
      </c>
      <c r="JB51" s="101">
        <f t="shared" si="45"/>
        <v>1</v>
      </c>
      <c r="JC51" s="102">
        <f t="shared" si="46"/>
        <v>95</v>
      </c>
      <c r="JD51" s="67">
        <f t="shared" si="50"/>
        <v>0</v>
      </c>
      <c r="JE51" s="67">
        <f t="shared" si="47"/>
        <v>0</v>
      </c>
      <c r="JF51" s="67">
        <f t="shared" si="48"/>
        <v>0</v>
      </c>
    </row>
    <row r="52">
      <c r="A52" s="103">
        <f>IFERROR(__xludf.DUMMYFUNCTION("""COMPUTED_VALUE"""),45929.6926547801)</f>
        <v>45929.69265</v>
      </c>
      <c r="B52" s="95" t="str">
        <f>IFERROR(__xludf.DUMMYFUNCTION("""COMPUTED_VALUE"""),"Wahid Ahmad Nugraha")</f>
        <v>Wahid Ahmad Nugraha</v>
      </c>
      <c r="C52" s="96" t="str">
        <f>IFERROR(__xludf.DUMMYFUNCTION("""COMPUTED_VALUE"""),"A250043")</f>
        <v>A250043</v>
      </c>
      <c r="D52" s="96" t="str">
        <f>IFERROR(__xludf.DUMMYFUNCTION("""COMPUTED_VALUE"""),"MTs Putra")</f>
        <v>MTs Putra</v>
      </c>
      <c r="E52" s="96" t="str">
        <f>IFERROR(__xludf.DUMMYFUNCTION("""COMPUTED_VALUE"""),"Ya")</f>
        <v>Ya</v>
      </c>
      <c r="F52" s="95" t="str">
        <f>IFERROR(__xludf.DUMMYFUNCTION("""COMPUTED_VALUE"""),"B Saya ingin melakukan apa saja sebaik mungkin.")</f>
        <v>B Saya ingin melakukan apa saja sebaik mungkin.</v>
      </c>
      <c r="G52" s="95" t="str">
        <f>IFERROR(__xludf.DUMMYFUNCTION("""COMPUTED_VALUE"""),"A Saya ingin setiap tulisan saya teliti, rapi, dan tersusun dengan baik.")</f>
        <v>A Saya ingin setiap tulisan saya teliti, rapi, dan tersusun dengan baik.</v>
      </c>
      <c r="H52" s="95" t="str">
        <f>IFERROR(__xludf.DUMMYFUNCTION("""COMPUTED_VALUE"""),"A Saya ingin berbuat sesuai kata hati saya.")</f>
        <v>A Saya ingin berbuat sesuai kata hati saya.</v>
      </c>
      <c r="I52" s="95" t="str">
        <f>IFERROR(__xludf.DUMMYFUNCTION("""COMPUTED_VALUE"""),"B Saya ingin bisa melakukan dengan baik meskipun tugas yang sulit.")</f>
        <v>B Saya ingin bisa melakukan dengan baik meskipun tugas yang sulit.</v>
      </c>
      <c r="J52" s="95" t="str">
        <f>IFERROR(__xludf.DUMMYFUNCTION("""COMPUTED_VALUE"""),"A Saya suka membantu teman-teman saya apabila mereka mengalami kesulitan.")</f>
        <v>A Saya suka membantu teman-teman saya apabila mereka mengalami kesulitan.</v>
      </c>
      <c r="K52" s="95" t="str">
        <f>IFERROR(__xludf.DUMMYFUNCTION("""COMPUTED_VALUE"""),"B Saya ingin mengatakan telah melakukan dengan baik sesuatu tugas yang sulit.")</f>
        <v>B Saya ingin mengatakan telah melakukan dengan baik sesuatu tugas yang sulit.</v>
      </c>
      <c r="L52" s="95" t="str">
        <f>IFERROR(__xludf.DUMMYFUNCTION("""COMPUTED_VALUE"""),"B Saya ingin mengatakan telah melakukan dengan baik sesuatu tugas yang sulit")</f>
        <v>B Saya ingin mengatakan telah melakukan dengan baik sesuatu tugas yang sulit</v>
      </c>
      <c r="M52" s="95" t="str">
        <f>IFERROR(__xludf.DUMMYFUNCTION("""COMPUTED_VALUE"""),"A Saya suka berbicara tentang hal-hal yang telah berhasil saya lakukan.")</f>
        <v>A Saya suka berbicara tentang hal-hal yang telah berhasil saya lakukan.</v>
      </c>
      <c r="N52" s="95" t="str">
        <f>IFERROR(__xludf.DUMMYFUNCTION("""COMPUTED_VALUE"""),"B Saya suka memecahkan persoalan yang sukar bagi orang lain.")</f>
        <v>B Saya suka memecahkan persoalan yang sukar bagi orang lain.</v>
      </c>
      <c r="O52" s="95" t="str">
        <f>IFERROR(__xludf.DUMMYFUNCTION("""COMPUTED_VALUE"""),"B Saya suka melakukan tugas sebaik mungkin.")</f>
        <v>B Saya suka melakukan tugas sebaik mungkin.</v>
      </c>
      <c r="P52" s="95" t="str">
        <f>IFERROR(__xludf.DUMMYFUNCTION("""COMPUTED_VALUE"""),"B Saya ingin setiap belajar itu teratur dan direncanakan.")</f>
        <v>B Saya ingin setiap belajar itu teratur dan direncanakan.</v>
      </c>
      <c r="Q52" s="95" t="str">
        <f>IFERROR(__xludf.DUMMYFUNCTION("""COMPUTED_VALUE"""),"B Saya merencanakan keperluan yang dibutuhkan sebelum bepergian.")</f>
        <v>B Saya merencanakan keperluan yang dibutuhkan sebelum bepergian.</v>
      </c>
      <c r="R52" s="95" t="str">
        <f>IFERROR(__xludf.DUMMYFUNCTION("""COMPUTED_VALUE"""),"A Saya ingin orang-orang memperhatikan penampilan saya.")</f>
        <v>A Saya ingin orang-orang memperhatikan penampilan saya.</v>
      </c>
      <c r="S52" s="95" t="str">
        <f>IFERROR(__xludf.DUMMYFUNCTION("""COMPUTED_VALUE"""),"B Saya suka membuat perencanaan sebelum memulai tugas yang sulit.")</f>
        <v>B Saya suka membuat perencanaan sebelum memulai tugas yang sulit.</v>
      </c>
      <c r="T52" s="95" t="str">
        <f>IFERROR(__xludf.DUMMYFUNCTION("""COMPUTED_VALUE"""),"B Saya ingin agar hidup saya teratur sesuai cita-cita saya.")</f>
        <v>B Saya ingin agar hidup saya teratur sesuai cita-cita saya.</v>
      </c>
      <c r="U52" s="95" t="str">
        <f>IFERROR(__xludf.DUMMYFUNCTION("""COMPUTED_VALUE"""),"A Saya suka memberikan bantuan kepada teman-teman saya.")</f>
        <v>A Saya suka memberikan bantuan kepada teman-teman saya.</v>
      </c>
      <c r="V52" s="95" t="str">
        <f>IFERROR(__xludf.DUMMYFUNCTION("""COMPUTED_VALUE"""),"B Saya suka belajar saya teratur dan ada waktu-waktu tertentu untuk belajar.")</f>
        <v>B Saya suka belajar saya teratur dan ada waktu-waktu tertentu untuk belajar.</v>
      </c>
      <c r="W52" s="95" t="str">
        <f>IFERROR(__xludf.DUMMYFUNCTION("""COMPUTED_VALUE"""),"A Saya suka melakukan kegiatan sesuai kondisi yang saya inginkan.")</f>
        <v>A Saya suka melakukan kegiatan sesuai kondisi yang saya inginkan.</v>
      </c>
      <c r="X52" s="95" t="str">
        <f>IFERROR(__xludf.DUMMYFUNCTION("""COMPUTED_VALUE"""),"A Saya suka merencanakan dan mengatur setiap apa yang harus saya lakukan.")</f>
        <v>A Saya suka merencanakan dan mengatur setiap apa yang harus saya lakukan.</v>
      </c>
      <c r="Y52" s="95" t="str">
        <f>IFERROR(__xludf.DUMMYFUNCTION("""COMPUTED_VALUE"""),"A Saya suka menyelesaikan tugas-tugas yang membutuhkan ketrampilan dan usaha.")</f>
        <v>A Saya suka menyelesaikan tugas-tugas yang membutuhkan ketrampilan dan usaha.</v>
      </c>
      <c r="Z52" s="95" t="str">
        <f>IFERROR(__xludf.DUMMYFUNCTION("""COMPUTED_VALUE"""),"A Saya ingin berhasil dengan belajar yang saya lakukan.")</f>
        <v>A Saya ingin berhasil dengan belajar yang saya lakukan.</v>
      </c>
      <c r="AA52" s="95" t="str">
        <f>IFERROR(__xludf.DUMMYFUNCTION("""COMPUTED_VALUE"""),"B Saya tidak suka pada orang yang berbuat seenaknya sendiri.")</f>
        <v>B Saya tidak suka pada orang yang berbuat seenaknya sendiri.</v>
      </c>
      <c r="AB52" s="95" t="str">
        <f>IFERROR(__xludf.DUMMYFUNCTION("""COMPUTED_VALUE"""),"A Saya ingin tidak tergantung dari orang lain terhadap apa yang akan saya lakukan.")</f>
        <v>A Saya ingin tidak tergantung dari orang lain terhadap apa yang akan saya lakukan.</v>
      </c>
      <c r="AC52" s="95" t="str">
        <f>IFERROR(__xludf.DUMMYFUNCTION("""COMPUTED_VALUE"""),"B Saya suka melakukan kegiatan sesuai kondisi yang saya inginkan.")</f>
        <v>B Saya suka melakukan kegiatan sesuai kondisi yang saya inginkan.</v>
      </c>
      <c r="AD52" s="95" t="str">
        <f>IFERROR(__xludf.DUMMYFUNCTION("""COMPUTED_VALUE"""),"A Saya suka bermurah hati terhadap teman-teman saya.")</f>
        <v>A Saya suka bermurah hati terhadap teman-teman saya.</v>
      </c>
      <c r="AE52" s="95" t="str">
        <f>IFERROR(__xludf.DUMMYFUNCTION("""COMPUTED_VALUE"""),"A Saya ingin dianggap sebagai pemimpin oleh teman di kelompok.")</f>
        <v>A Saya ingin dianggap sebagai pemimpin oleh teman di kelompok.</v>
      </c>
      <c r="AF52" s="95" t="str">
        <f>IFERROR(__xludf.DUMMYFUNCTION("""COMPUTED_VALUE"""),"A Saya ingin agar teman-teman mengerti bila saya mengalami kesukaran.")</f>
        <v>A Saya ingin agar teman-teman mengerti bila saya mengalami kesukaran.</v>
      </c>
      <c r="AG52" s="95" t="str">
        <f>IFERROR(__xludf.DUMMYFUNCTION("""COMPUTED_VALUE"""),"A Saya mengajari orang lain bagaimana mereka harus melakukan pekerjaan mereka.")</f>
        <v>A Saya mengajari orang lain bagaimana mereka harus melakukan pekerjaan mereka.</v>
      </c>
      <c r="AH52" s="95" t="str">
        <f>IFERROR(__xludf.DUMMYFUNCTION("""COMPUTED_VALUE"""),"A Saya suka membaca buku-buku tentang pergaulan remaja.")</f>
        <v>A Saya suka membaca buku-buku tentang pergaulan remaja.</v>
      </c>
      <c r="AI52" s="95" t="str">
        <f>IFERROR(__xludf.DUMMYFUNCTION("""COMPUTED_VALUE"""),"B Saya suka melakukan kegiatan sesuai kondisi yang saya inginkan.")</f>
        <v>B Saya suka melakukan kegiatan sesuai kondisi yang saya inginkan.</v>
      </c>
      <c r="AJ52" s="95" t="str">
        <f>IFERROR(__xludf.DUMMYFUNCTION("""COMPUTED_VALUE"""),"B Saya suka bertahan menghadapi satu masalah meskipun belum tentu berhasil.")</f>
        <v>B Saya suka bertahan menghadapi satu masalah meskipun belum tentu berhasil.</v>
      </c>
      <c r="AK52" s="95" t="str">
        <f>IFERROR(__xludf.DUMMYFUNCTION("""COMPUTED_VALUE"""),"A Saya suka bercerita tentang hal-hal pribadi yang seharusnya tidak perlu diketahui orang lain.")</f>
        <v>A Saya suka bercerita tentang hal-hal pribadi yang seharusnya tidak perlu diketahui orang lain.</v>
      </c>
      <c r="AL52" s="95" t="str">
        <f>IFERROR(__xludf.DUMMYFUNCTION("""COMPUTED_VALUE"""),"A Saya suka berbicara tentang hal-hal yang telah saya capai.")</f>
        <v>A Saya suka berbicara tentang hal-hal yang telah saya capai.</v>
      </c>
      <c r="AM52" s="95" t="str">
        <f>IFERROR(__xludf.DUMMYFUNCTION("""COMPUTED_VALUE"""),"A Saya ingin teman-teman saya merasa kasihan pada saya apabila saya sakit.")</f>
        <v>A Saya ingin teman-teman saya merasa kasihan pada saya apabila saya sakit.</v>
      </c>
      <c r="AN52" s="95" t="str">
        <f>IFERROR(__xludf.DUMMYFUNCTION("""COMPUTED_VALUE"""),"A Saya tidak suka pada orang yang semena-mena.")</f>
        <v>A Saya tidak suka pada orang yang semena-mena.</v>
      </c>
      <c r="AO52" s="95" t="str">
        <f>IFERROR(__xludf.DUMMYFUNCTION("""COMPUTED_VALUE"""),"A Saya suka berlaku sangat ramah terhadap teman-teman saya.")</f>
        <v>A Saya suka berlaku sangat ramah terhadap teman-teman saya.</v>
      </c>
      <c r="AP52" s="95" t="str">
        <f>IFERROR(__xludf.DUMMYFUNCTION("""COMPUTED_VALUE"""),"B Saya suka bertahan menghadapi satu masalah meskipun belum tentu berhasil.")</f>
        <v>B Saya suka bertahan menghadapi satu masalah meskipun belum tentu berhasil.</v>
      </c>
      <c r="AQ52" s="95" t="str">
        <f>IFERROR(__xludf.DUMMYFUNCTION("""COMPUTED_VALUE"""),"A Saya ingin bisa mengerjakan segala sesuatu lebih baik daripada orang-orang lain.")</f>
        <v>A Saya ingin bisa mengerjakan segala sesuatu lebih baik daripada orang-orang lain.</v>
      </c>
      <c r="AR52" s="95" t="str">
        <f>IFERROR(__xludf.DUMMYFUNCTION("""COMPUTED_VALUE"""),"B Saya suka belajar keras pada tiap pelajaran yang saya hadapi.")</f>
        <v>B Saya suka belajar keras pada tiap pelajaran yang saya hadapi.</v>
      </c>
      <c r="AS52" s="95" t="str">
        <f>IFERROR(__xludf.DUMMYFUNCTION("""COMPUTED_VALUE"""),"A Saya ingin dapat menyelesaikan persoalan yang dianggap sukar bagi orang lain.")</f>
        <v>A Saya ingin dapat menyelesaikan persoalan yang dianggap sukar bagi orang lain.</v>
      </c>
      <c r="AT52" s="95" t="str">
        <f>IFERROR(__xludf.DUMMYFUNCTION("""COMPUTED_VALUE"""),"B Saya suka membantu orang lain yang menurut saya perlu dikasihani.")</f>
        <v>B Saya suka membantu orang lain yang menurut saya perlu dikasihani.</v>
      </c>
      <c r="AU52" s="95" t="str">
        <f>IFERROR(__xludf.DUMMYFUNCTION("""COMPUTED_VALUE"""),"B Saya suka bermurah hati terhadap teman-teman saya.")</f>
        <v>B Saya suka bermurah hati terhadap teman-teman saya.</v>
      </c>
      <c r="AV52" s="95" t="str">
        <f>IFERROR(__xludf.DUMMYFUNCTION("""COMPUTED_VALUE"""),"B Saya suka menolong teman-teman saya.")</f>
        <v>B Saya suka menolong teman-teman saya.</v>
      </c>
      <c r="AW52" s="95" t="str">
        <f>IFERROR(__xludf.DUMMYFUNCTION("""COMPUTED_VALUE"""),"B Saya ingin teman-teman saya percaya bahwa saya bisa menolong mereka.")</f>
        <v>B Saya ingin teman-teman saya percaya bahwa saya bisa menolong mereka.</v>
      </c>
      <c r="AX52" s="95" t="str">
        <f>IFERROR(__xludf.DUMMYFUNCTION("""COMPUTED_VALUE"""),"A Saya suka menolong teman-teman saya apabila mereka dalam kesulitan.")</f>
        <v>A Saya suka menolong teman-teman saya apabila mereka dalam kesulitan.</v>
      </c>
      <c r="AY52" s="95" t="str">
        <f>IFERROR(__xludf.DUMMYFUNCTION("""COMPUTED_VALUE"""),"B Saya suka menolong teman-teman saya apabila mereka dalam kesulitan.")</f>
        <v>B Saya suka menolong teman-teman saya apabila mereka dalam kesulitan.</v>
      </c>
      <c r="AZ52" s="95" t="str">
        <f>IFERROR(__xludf.DUMMYFUNCTION("""COMPUTED_VALUE"""),"A Saya ingin agar teman-teman saya bersimpati dan menghibur saya bila saya sedih.")</f>
        <v>A Saya ingin agar teman-teman saya bersimpati dan menghibur saya bila saya sedih.</v>
      </c>
      <c r="BA52" s="95" t="str">
        <f>IFERROR(__xludf.DUMMYFUNCTION("""COMPUTED_VALUE"""),"A Saya suka menyatakan pendapat saya tentang berbagai hal.")</f>
        <v>A Saya suka menyatakan pendapat saya tentang berbagai hal.</v>
      </c>
      <c r="BB52" s="95" t="str">
        <f>IFERROR(__xludf.DUMMYFUNCTION("""COMPUTED_VALUE"""),"B Saya suka bermurah hati terhadap teman-teman saya.")</f>
        <v>B Saya suka bermurah hati terhadap teman-teman saya.</v>
      </c>
      <c r="BC52" s="95" t="str">
        <f>IFERROR(__xludf.DUMMYFUNCTION("""COMPUTED_VALUE"""),"B Saya suka membantu orang lain yang menurut saya perlu dikasihani.")</f>
        <v>B Saya suka membantu orang lain yang menurut saya perlu dikasihani.</v>
      </c>
      <c r="BD52" s="95" t="str">
        <f>IFERROR(__xludf.DUMMYFUNCTION("""COMPUTED_VALUE"""),"B Saya suka bersikukuh dengan pendirian saya.")</f>
        <v>B Saya suka bersikukuh dengan pendirian saya.</v>
      </c>
      <c r="BE52" s="95" t="str">
        <f>IFERROR(__xludf.DUMMYFUNCTION("""COMPUTED_VALUE"""),"B Saya ingin orang lain melakukan apa yang saya kehendaki.")</f>
        <v>B Saya ingin orang lain melakukan apa yang saya kehendaki.</v>
      </c>
      <c r="BF52" s="95" t="str">
        <f>IFERROR(__xludf.DUMMYFUNCTION("""COMPUTED_VALUE"""),"B Bila saya dalam kelompok, saya ingin menentukan apa yang akan kita lakukan.")</f>
        <v>B Bila saya dalam kelompok, saya ingin menentukan apa yang akan kita lakukan.</v>
      </c>
      <c r="BG52" s="95" t="str">
        <f>IFERROR(__xludf.DUMMYFUNCTION("""COMPUTED_VALUE"""),"A Saya ingin teman-teman banyak menunjukkan rasa sayang mereka terhadap saya.")</f>
        <v>A Saya ingin teman-teman banyak menunjukkan rasa sayang mereka terhadap saya.</v>
      </c>
      <c r="BH52" s="95" t="str">
        <f>IFERROR(__xludf.DUMMYFUNCTION("""COMPUTED_VALUE"""),"B Apabila saya berkumpul dalam kelompok, saya ingin dihargai teman-teman.")</f>
        <v>B Apabila saya berkumpul dalam kelompok, saya ingin dihargai teman-teman.</v>
      </c>
      <c r="BI52" s="95" t="str">
        <f>IFERROR(__xludf.DUMMYFUNCTION("""COMPUTED_VALUE"""),"A Saya suka bermurah hati terhadap teman-teman saya.")</f>
        <v>A Saya suka bermurah hati terhadap teman-teman saya.</v>
      </c>
      <c r="BJ52" s="95" t="str">
        <f>IFERROR(__xludf.DUMMYFUNCTION("""COMPUTED_VALUE"""),"B Saya ingin menjadi pemimpin dalam kelompok di mana saya ada di situ")</f>
        <v>B Saya ingin menjadi pemimpin dalam kelompok di mana saya ada di situ</v>
      </c>
      <c r="BK52" s="95" t="str">
        <f>IFERROR(__xludf.DUMMYFUNCTION("""COMPUTED_VALUE"""),"A Saya ingin menyelesaikan pekerjaan satu persatu sebelum memulai yang lain.")</f>
        <v>A Saya ingin menyelesaikan pekerjaan satu persatu sebelum memulai yang lain.</v>
      </c>
      <c r="BL52" s="95" t="str">
        <f>IFERROR(__xludf.DUMMYFUNCTION("""COMPUTED_VALUE"""),"A Saya suka belajar saya teratur dan ada waktu-waktu tertentu untuk belajar.")</f>
        <v>A Saya suka belajar saya teratur dan ada waktu-waktu tertentu untuk belajar.</v>
      </c>
      <c r="BM52" s="95" t="str">
        <f>IFERROR(__xludf.DUMMYFUNCTION("""COMPUTED_VALUE"""),"A Saya suka melakukan pekerjaan sebaik mungkin.")</f>
        <v>A Saya suka melakukan pekerjaan sebaik mungkin.</v>
      </c>
      <c r="BN52" s="95" t="str">
        <f>IFERROR(__xludf.DUMMYFUNCTION("""COMPUTED_VALUE"""),"B Saya ingin teman-teman memberi dorongan bila saya menghadapi kegagalan.")</f>
        <v>B Saya ingin teman-teman memberi dorongan bila saya menghadapi kegagalan.</v>
      </c>
      <c r="BO52" s="95" t="str">
        <f>IFERROR(__xludf.DUMMYFUNCTION("""COMPUTED_VALUE"""),"B Saya ingin diperlakukan dengan baik oleh teman-teman saya.")</f>
        <v>B Saya ingin diperlakukan dengan baik oleh teman-teman saya.</v>
      </c>
      <c r="BP52" s="95" t="str">
        <f>IFERROR(__xludf.DUMMYFUNCTION("""COMPUTED_VALUE"""),"A Saya ingin menyelesaikan sesuatu yang sangat penting artinya.")</f>
        <v>A Saya ingin menyelesaikan sesuatu yang sangat penting artinya.</v>
      </c>
      <c r="BQ52" s="95" t="str">
        <f>IFERROR(__xludf.DUMMYFUNCTION("""COMPUTED_VALUE"""),"A Saya ingin mengerjakannya tugas sampai selesai.")</f>
        <v>A Saya ingin mengerjakannya tugas sampai selesai.</v>
      </c>
      <c r="BR52" s="95" t="str">
        <f>IFERROR(__xludf.DUMMYFUNCTION("""COMPUTED_VALUE"""),"A Saya suka memaafkan teman-teman saya yang menyakiti hati saya.")</f>
        <v>A Saya suka memaafkan teman-teman saya yang menyakiti hati saya.</v>
      </c>
      <c r="BS52" s="95" t="str">
        <f>IFERROR(__xludf.DUMMYFUNCTION("""COMPUTED_VALUE"""),"B Saya ingin teman-teman saya membantu saya bila saya mengalami kesulitan")</f>
        <v>B Saya ingin teman-teman saya membantu saya bila saya mengalami kesulitan</v>
      </c>
      <c r="BT52" s="95" t="str">
        <f>IFERROR(__xludf.DUMMYFUNCTION("""COMPUTED_VALUE"""),"B Saya ingin teman-teman banyak menunjukkan rasa sayang mereka terhadap saya.")</f>
        <v>B Saya ingin teman-teman banyak menunjukkan rasa sayang mereka terhadap saya.</v>
      </c>
      <c r="BU52" s="95" t="str">
        <f>IFERROR(__xludf.DUMMYFUNCTION("""COMPUTED_VALUE"""),"A Saya kadang-kadang suka melakukan hal-hal yang dapat dipuji oleh orang lain.")</f>
        <v>A Saya kadang-kadang suka melakukan hal-hal yang dapat dipuji oleh orang lain.</v>
      </c>
      <c r="BV52" s="95" t="str">
        <f>IFERROR(__xludf.DUMMYFUNCTION("""COMPUTED_VALUE"""),"A Saya ingin dianggap menarik oleh orang lain.")</f>
        <v>A Saya ingin dianggap menarik oleh orang lain.</v>
      </c>
      <c r="BW52" s="95" t="str">
        <f>IFERROR(__xludf.DUMMYFUNCTION("""COMPUTED_VALUE"""),"B Saya ingin diperlakukan dengan baik oleh teman-teman saya.")</f>
        <v>B Saya ingin diperlakukan dengan baik oleh teman-teman saya.</v>
      </c>
      <c r="BX52" s="95" t="str">
        <f>IFERROR(__xludf.DUMMYFUNCTION("""COMPUTED_VALUE"""),"B Saya kadang-kadang suka melakukan hal-hal yang dapat dipuji oleh orang lain.")</f>
        <v>B Saya kadang-kadang suka melakukan hal-hal yang dapat dipuji oleh orang lain.</v>
      </c>
      <c r="BY52" s="95" t="str">
        <f>IFERROR(__xludf.DUMMYFUNCTION("""COMPUTED_VALUE"""),"B Saya ingin orang lain memperhatikan dan berkomentar tentang penampilan saya.")</f>
        <v>B Saya ingin orang lain memperhatikan dan berkomentar tentang penampilan saya.</v>
      </c>
      <c r="BZ52" s="95" t="str">
        <f>IFERROR(__xludf.DUMMYFUNCTION("""COMPUTED_VALUE"""),"B Saya suka diperhatikan, apabila saya ada di dalam suatu kelompok.")</f>
        <v>B Saya suka diperhatikan, apabila saya ada di dalam suatu kelompok.</v>
      </c>
      <c r="CA52" s="95" t="str">
        <f>IFERROR(__xludf.DUMMYFUNCTION("""COMPUTED_VALUE"""),"A Saya ingin teman-teman dengan gembira memberikan pertolongan kepada saya.")</f>
        <v>A Saya ingin teman-teman dengan gembira memberikan pertolongan kepada saya.</v>
      </c>
      <c r="CB52" s="95" t="str">
        <f>IFERROR(__xludf.DUMMYFUNCTION("""COMPUTED_VALUE"""),"B Saya suka berbicara tentang hal-hal yang telah saya capai.")</f>
        <v>B Saya suka berbicara tentang hal-hal yang telah saya capai.</v>
      </c>
      <c r="CC52" s="95" t="str">
        <f>IFERROR(__xludf.DUMMYFUNCTION("""COMPUTED_VALUE"""),"B Saya suka menceritakan hal-hal lucu agar diperhatikan oleh orang lain.")</f>
        <v>B Saya suka menceritakan hal-hal lucu agar diperhatikan oleh orang lain.</v>
      </c>
      <c r="CD52" s="95" t="str">
        <f>IFERROR(__xludf.DUMMYFUNCTION("""COMPUTED_VALUE"""),"B Saya suka berkata yang artinya sulit dipahami oleh orang lain.")</f>
        <v>B Saya suka berkata yang artinya sulit dipahami oleh orang lain.</v>
      </c>
      <c r="CE52" s="95" t="str">
        <f>IFERROR(__xludf.DUMMYFUNCTION("""COMPUTED_VALUE"""),"A Saya suka menyelesaikan setiap tugas belajar yang telah saya mulai.")</f>
        <v>A Saya suka menyelesaikan setiap tugas belajar yang telah saya mulai.</v>
      </c>
      <c r="CF52" s="95" t="str">
        <f>IFERROR(__xludf.DUMMYFUNCTION("""COMPUTED_VALUE"""),"A Saya ingin agar hidup saya teratur sesuai cita-cita saya.")</f>
        <v>A Saya ingin agar hidup saya teratur sesuai cita-cita saya.</v>
      </c>
      <c r="CG52" s="95" t="str">
        <f>IFERROR(__xludf.DUMMYFUNCTION("""COMPUTED_VALUE"""),"A Saya ingin berhasil dalam apa yang saya lakukan.")</f>
        <v>A Saya ingin berhasil dalam apa yang saya lakukan.</v>
      </c>
      <c r="CH52" s="95" t="str">
        <f>IFERROR(__xludf.DUMMYFUNCTION("""COMPUTED_VALUE"""),"B Saya suka dengan orang yang berpenampilan menarik.")</f>
        <v>B Saya suka dengan orang yang berpenampilan menarik.</v>
      </c>
      <c r="CI52" s="95" t="str">
        <f>IFERROR(__xludf.DUMMYFUNCTION("""COMPUTED_VALUE"""),"A Saya suka belajar saya teratur dan ada waktu-waktu tertentu untuk belajar.")</f>
        <v>A Saya suka belajar saya teratur dan ada waktu-waktu tertentu untuk belajar.</v>
      </c>
      <c r="CJ52" s="95" t="str">
        <f>IFERROR(__xludf.DUMMYFUNCTION("""COMPUTED_VALUE"""),"B Saya suka kalau bercerita tentang hal-hal pribadi yang seharusnya tidak perlu diketahui orang lain.")</f>
        <v>B Saya suka kalau bercerita tentang hal-hal pribadi yang seharusnya tidak perlu diketahui orang lain.</v>
      </c>
      <c r="CK52" s="95" t="str">
        <f>IFERROR(__xludf.DUMMYFUNCTION("""COMPUTED_VALUE"""),"A Saya suka bertahan menghadapi satu masalah, meskipun belum tentu berhasil.")</f>
        <v>A Saya suka bertahan menghadapi satu masalah, meskipun belum tentu berhasil.</v>
      </c>
      <c r="CL52" s="95" t="str">
        <f>IFERROR(__xludf.DUMMYFUNCTION("""COMPUTED_VALUE"""),"A Saya suka menolong teman-teman saya, apabila mereka dalam kesulitan.")</f>
        <v>A Saya suka menolong teman-teman saya, apabila mereka dalam kesulitan.</v>
      </c>
      <c r="CM52" s="95" t="str">
        <f>IFERROR(__xludf.DUMMYFUNCTION("""COMPUTED_VALUE"""),"B Saya merasa kagum pada seseorang.")</f>
        <v>B Saya merasa kagum pada seseorang.</v>
      </c>
      <c r="CN52" s="95" t="str">
        <f>IFERROR(__xludf.DUMMYFUNCTION("""COMPUTED_VALUE"""),"A Saya ingin diperlakukan dengan baik oleh teman-teman saya.")</f>
        <v>A Saya ingin diperlakukan dengan baik oleh teman-teman saya.</v>
      </c>
      <c r="CO52" s="95" t="str">
        <f>IFERROR(__xludf.DUMMYFUNCTION("""COMPUTED_VALUE"""),"A Saya suka menceritakan hal-hal lucu agar diperhatikan oleh orang lain.")</f>
        <v>A Saya suka menceritakan hal-hal lucu agar diperhatikan oleh orang lain.</v>
      </c>
      <c r="CP52" s="95" t="str">
        <f>IFERROR(__xludf.DUMMYFUNCTION("""COMPUTED_VALUE"""),"A Saya suka melamun atau membayangkan sesuatu sendirian.")</f>
        <v>A Saya suka melamun atau membayangkan sesuatu sendirian.</v>
      </c>
      <c r="CQ52" s="95" t="str">
        <f>IFERROR(__xludf.DUMMYFUNCTION("""COMPUTED_VALUE"""),"B Saya merasa kagum pada seseorang.")</f>
        <v>B Saya merasa kagum pada seseorang.</v>
      </c>
      <c r="CR52" s="95" t="str">
        <f>IFERROR(__xludf.DUMMYFUNCTION("""COMPUTED_VALUE"""),"B Saya rasanya ingin mengecam seseorang bila orang itu menjengkelkan.")</f>
        <v>B Saya rasanya ingin mengecam seseorang bila orang itu menjengkelkan.</v>
      </c>
      <c r="CS52" s="95" t="str">
        <f>IFERROR(__xludf.DUMMYFUNCTION("""COMPUTED_VALUE"""),"A Saya ingin terlihat menarik di depan teman-teman saya.")</f>
        <v>A Saya ingin terlihat menarik di depan teman-teman saya.</v>
      </c>
      <c r="CT52" s="95" t="str">
        <f>IFERROR(__xludf.DUMMYFUNCTION("""COMPUTED_VALUE"""),"A Saya ingin orang-orang memperhatikan komentar mengenai penampilan saya.")</f>
        <v>A Saya ingin orang-orang memperhatikan komentar mengenai penampilan saya.</v>
      </c>
      <c r="CU52" s="95" t="str">
        <f>IFERROR(__xludf.DUMMYFUNCTION("""COMPUTED_VALUE"""),"A Saya ingin diperlakukan dengan ramah oleh teman-teman saya.")</f>
        <v>A Saya ingin diperlakukan dengan ramah oleh teman-teman saya.</v>
      </c>
      <c r="CV52" s="95" t="str">
        <f>IFERROR(__xludf.DUMMYFUNCTION("""COMPUTED_VALUE"""),"A Saya ingin ditunjuk atau dipilih sebagai ketua dalam suatu kelompok.")</f>
        <v>A Saya ingin ditunjuk atau dipilih sebagai ketua dalam suatu kelompok.</v>
      </c>
      <c r="CW52" s="95" t="str">
        <f>IFERROR(__xludf.DUMMYFUNCTION("""COMPUTED_VALUE"""),"A Saya suka menolong teman-teman saya, apabila mereka dalam kesulitan.")</f>
        <v>A Saya suka menolong teman-teman saya, apabila mereka dalam kesulitan.</v>
      </c>
      <c r="CX52" s="95" t="str">
        <f>IFERROR(__xludf.DUMMYFUNCTION("""COMPUTED_VALUE"""),"A Saya suka belajar sampai malam untuk menyelesaikan suatu tugas.")</f>
        <v>A Saya suka belajar sampai malam untuk menyelesaikan suatu tugas.</v>
      </c>
      <c r="CY52" s="95" t="str">
        <f>IFERROR(__xludf.DUMMYFUNCTION("""COMPUTED_VALUE"""),"A Saya ingin tidak tergantung dari orang lain terhadap apa yang akan saya lakukan.")</f>
        <v>A Saya ingin tidak tergantung dari orang lain terhadap apa yang akan saya lakukan.</v>
      </c>
      <c r="CZ52" s="95" t="str">
        <f>IFERROR(__xludf.DUMMYFUNCTION("""COMPUTED_VALUE"""),"A Saya suka merencanakan dan mengatur setiap pekerjaan yang harus saya lakukan.")</f>
        <v>A Saya suka merencanakan dan mengatur setiap pekerjaan yang harus saya lakukan.</v>
      </c>
      <c r="DA52" s="95" t="str">
        <f>IFERROR(__xludf.DUMMYFUNCTION("""COMPUTED_VALUE"""),"A Saya ingin melakukan apa saja sebaik mungkin.")</f>
        <v>A Saya ingin melakukan apa saja sebaik mungkin.</v>
      </c>
      <c r="DB52" s="89" t="s">
        <v>23</v>
      </c>
      <c r="DC52" s="97" t="str">
        <f t="shared" ref="DC52:GX52" si="97">LEFT(F52,1)</f>
        <v>B</v>
      </c>
      <c r="DD52" s="97" t="str">
        <f t="shared" si="97"/>
        <v>A</v>
      </c>
      <c r="DE52" s="97" t="str">
        <f t="shared" si="97"/>
        <v>A</v>
      </c>
      <c r="DF52" s="97" t="str">
        <f t="shared" si="97"/>
        <v>B</v>
      </c>
      <c r="DG52" s="97" t="str">
        <f t="shared" si="97"/>
        <v>A</v>
      </c>
      <c r="DH52" s="97" t="str">
        <f t="shared" si="97"/>
        <v>B</v>
      </c>
      <c r="DI52" s="97" t="str">
        <f t="shared" si="97"/>
        <v>B</v>
      </c>
      <c r="DJ52" s="97" t="str">
        <f t="shared" si="97"/>
        <v>A</v>
      </c>
      <c r="DK52" s="97" t="str">
        <f t="shared" si="97"/>
        <v>B</v>
      </c>
      <c r="DL52" s="97" t="str">
        <f t="shared" si="97"/>
        <v>B</v>
      </c>
      <c r="DM52" s="97" t="str">
        <f t="shared" si="97"/>
        <v>B</v>
      </c>
      <c r="DN52" s="97" t="str">
        <f t="shared" si="97"/>
        <v>B</v>
      </c>
      <c r="DO52" s="97" t="str">
        <f t="shared" si="97"/>
        <v>A</v>
      </c>
      <c r="DP52" s="97" t="str">
        <f t="shared" si="97"/>
        <v>B</v>
      </c>
      <c r="DQ52" s="97" t="str">
        <f t="shared" si="97"/>
        <v>B</v>
      </c>
      <c r="DR52" s="97" t="str">
        <f t="shared" si="97"/>
        <v>A</v>
      </c>
      <c r="DS52" s="97" t="str">
        <f t="shared" si="97"/>
        <v>B</v>
      </c>
      <c r="DT52" s="97" t="str">
        <f t="shared" si="97"/>
        <v>A</v>
      </c>
      <c r="DU52" s="97" t="str">
        <f t="shared" si="97"/>
        <v>A</v>
      </c>
      <c r="DV52" s="97" t="str">
        <f t="shared" si="97"/>
        <v>A</v>
      </c>
      <c r="DW52" s="97" t="str">
        <f t="shared" si="97"/>
        <v>A</v>
      </c>
      <c r="DX52" s="97" t="str">
        <f t="shared" si="97"/>
        <v>B</v>
      </c>
      <c r="DY52" s="97" t="str">
        <f t="shared" si="97"/>
        <v>A</v>
      </c>
      <c r="DZ52" s="97" t="str">
        <f t="shared" si="97"/>
        <v>B</v>
      </c>
      <c r="EA52" s="97" t="str">
        <f t="shared" si="97"/>
        <v>A</v>
      </c>
      <c r="EB52" s="97" t="str">
        <f t="shared" si="97"/>
        <v>A</v>
      </c>
      <c r="EC52" s="97" t="str">
        <f t="shared" si="97"/>
        <v>A</v>
      </c>
      <c r="ED52" s="97" t="str">
        <f t="shared" si="97"/>
        <v>A</v>
      </c>
      <c r="EE52" s="97" t="str">
        <f t="shared" si="97"/>
        <v>A</v>
      </c>
      <c r="EF52" s="97" t="str">
        <f t="shared" si="97"/>
        <v>B</v>
      </c>
      <c r="EG52" s="97" t="str">
        <f t="shared" si="97"/>
        <v>B</v>
      </c>
      <c r="EH52" s="97" t="str">
        <f t="shared" si="97"/>
        <v>A</v>
      </c>
      <c r="EI52" s="97" t="str">
        <f t="shared" si="97"/>
        <v>A</v>
      </c>
      <c r="EJ52" s="97" t="str">
        <f t="shared" si="97"/>
        <v>A</v>
      </c>
      <c r="EK52" s="97" t="str">
        <f t="shared" si="97"/>
        <v>A</v>
      </c>
      <c r="EL52" s="97" t="str">
        <f t="shared" si="97"/>
        <v>A</v>
      </c>
      <c r="EM52" s="97" t="str">
        <f t="shared" si="97"/>
        <v>B</v>
      </c>
      <c r="EN52" s="97" t="str">
        <f t="shared" si="97"/>
        <v>A</v>
      </c>
      <c r="EO52" s="97" t="str">
        <f t="shared" si="97"/>
        <v>B</v>
      </c>
      <c r="EP52" s="97" t="str">
        <f t="shared" si="97"/>
        <v>A</v>
      </c>
      <c r="EQ52" s="97" t="str">
        <f t="shared" si="97"/>
        <v>B</v>
      </c>
      <c r="ER52" s="97" t="str">
        <f t="shared" si="97"/>
        <v>B</v>
      </c>
      <c r="ES52" s="97" t="str">
        <f t="shared" si="97"/>
        <v>B</v>
      </c>
      <c r="ET52" s="97" t="str">
        <f t="shared" si="97"/>
        <v>B</v>
      </c>
      <c r="EU52" s="97" t="str">
        <f t="shared" si="97"/>
        <v>A</v>
      </c>
      <c r="EV52" s="97" t="str">
        <f t="shared" si="97"/>
        <v>B</v>
      </c>
      <c r="EW52" s="97" t="str">
        <f t="shared" si="97"/>
        <v>A</v>
      </c>
      <c r="EX52" s="97" t="str">
        <f t="shared" si="97"/>
        <v>A</v>
      </c>
      <c r="EY52" s="97" t="str">
        <f t="shared" si="97"/>
        <v>B</v>
      </c>
      <c r="EZ52" s="97" t="str">
        <f t="shared" si="97"/>
        <v>B</v>
      </c>
      <c r="FA52" s="97" t="str">
        <f t="shared" si="97"/>
        <v>B</v>
      </c>
      <c r="FB52" s="97" t="str">
        <f t="shared" si="97"/>
        <v>B</v>
      </c>
      <c r="FC52" s="97" t="str">
        <f t="shared" si="97"/>
        <v>B</v>
      </c>
      <c r="FD52" s="97" t="str">
        <f t="shared" si="97"/>
        <v>A</v>
      </c>
      <c r="FE52" s="97" t="str">
        <f t="shared" si="97"/>
        <v>B</v>
      </c>
      <c r="FF52" s="97" t="str">
        <f t="shared" si="97"/>
        <v>A</v>
      </c>
      <c r="FG52" s="97" t="str">
        <f t="shared" si="97"/>
        <v>B</v>
      </c>
      <c r="FH52" s="97" t="str">
        <f t="shared" si="97"/>
        <v>A</v>
      </c>
      <c r="FI52" s="97" t="str">
        <f t="shared" si="97"/>
        <v>A</v>
      </c>
      <c r="FJ52" s="97" t="str">
        <f t="shared" si="97"/>
        <v>A</v>
      </c>
      <c r="FK52" s="97" t="str">
        <f t="shared" si="97"/>
        <v>B</v>
      </c>
      <c r="FL52" s="97" t="str">
        <f t="shared" si="97"/>
        <v>B</v>
      </c>
      <c r="FM52" s="97" t="str">
        <f t="shared" si="97"/>
        <v>A</v>
      </c>
      <c r="FN52" s="97" t="str">
        <f t="shared" si="97"/>
        <v>A</v>
      </c>
      <c r="FO52" s="97" t="str">
        <f t="shared" si="97"/>
        <v>A</v>
      </c>
      <c r="FP52" s="97" t="str">
        <f t="shared" si="97"/>
        <v>B</v>
      </c>
      <c r="FQ52" s="97" t="str">
        <f t="shared" si="97"/>
        <v>B</v>
      </c>
      <c r="FR52" s="97" t="str">
        <f t="shared" si="97"/>
        <v>A</v>
      </c>
      <c r="FS52" s="97" t="str">
        <f t="shared" si="97"/>
        <v>A</v>
      </c>
      <c r="FT52" s="97" t="str">
        <f t="shared" si="97"/>
        <v>B</v>
      </c>
      <c r="FU52" s="97" t="str">
        <f t="shared" si="97"/>
        <v>B</v>
      </c>
      <c r="FV52" s="97" t="str">
        <f t="shared" si="97"/>
        <v>B</v>
      </c>
      <c r="FW52" s="97" t="str">
        <f t="shared" si="97"/>
        <v>B</v>
      </c>
      <c r="FX52" s="97" t="str">
        <f t="shared" si="97"/>
        <v>A</v>
      </c>
      <c r="FY52" s="97" t="str">
        <f t="shared" si="97"/>
        <v>B</v>
      </c>
      <c r="FZ52" s="97" t="str">
        <f t="shared" si="97"/>
        <v>B</v>
      </c>
      <c r="GA52" s="97" t="str">
        <f t="shared" si="97"/>
        <v>B</v>
      </c>
      <c r="GB52" s="97" t="str">
        <f t="shared" si="97"/>
        <v>A</v>
      </c>
      <c r="GC52" s="97" t="str">
        <f t="shared" si="97"/>
        <v>A</v>
      </c>
      <c r="GD52" s="97" t="str">
        <f t="shared" si="97"/>
        <v>A</v>
      </c>
      <c r="GE52" s="97" t="str">
        <f t="shared" si="97"/>
        <v>B</v>
      </c>
      <c r="GF52" s="97" t="str">
        <f t="shared" si="97"/>
        <v>A</v>
      </c>
      <c r="GG52" s="97" t="str">
        <f t="shared" si="97"/>
        <v>B</v>
      </c>
      <c r="GH52" s="97" t="str">
        <f t="shared" si="97"/>
        <v>A</v>
      </c>
      <c r="GI52" s="97" t="str">
        <f t="shared" si="97"/>
        <v>A</v>
      </c>
      <c r="GJ52" s="97" t="str">
        <f t="shared" si="97"/>
        <v>B</v>
      </c>
      <c r="GK52" s="97" t="str">
        <f t="shared" si="97"/>
        <v>A</v>
      </c>
      <c r="GL52" s="97" t="str">
        <f t="shared" si="97"/>
        <v>A</v>
      </c>
      <c r="GM52" s="97" t="str">
        <f t="shared" si="97"/>
        <v>A</v>
      </c>
      <c r="GN52" s="97" t="str">
        <f t="shared" si="97"/>
        <v>B</v>
      </c>
      <c r="GO52" s="97" t="str">
        <f t="shared" si="97"/>
        <v>B</v>
      </c>
      <c r="GP52" s="97" t="str">
        <f t="shared" si="97"/>
        <v>A</v>
      </c>
      <c r="GQ52" s="97" t="str">
        <f t="shared" si="97"/>
        <v>A</v>
      </c>
      <c r="GR52" s="97" t="str">
        <f t="shared" si="97"/>
        <v>A</v>
      </c>
      <c r="GS52" s="97" t="str">
        <f t="shared" si="97"/>
        <v>A</v>
      </c>
      <c r="GT52" s="97" t="str">
        <f t="shared" si="97"/>
        <v>A</v>
      </c>
      <c r="GU52" s="97" t="str">
        <f t="shared" si="97"/>
        <v>A</v>
      </c>
      <c r="GV52" s="97" t="str">
        <f t="shared" si="97"/>
        <v>A</v>
      </c>
      <c r="GW52" s="97" t="str">
        <f t="shared" si="97"/>
        <v>A</v>
      </c>
      <c r="GX52" s="97" t="str">
        <f t="shared" si="97"/>
        <v>A</v>
      </c>
      <c r="GY52" s="98"/>
      <c r="GZ52" s="97">
        <f t="shared" si="3"/>
        <v>55</v>
      </c>
      <c r="HA52" s="97">
        <f t="shared" si="4"/>
        <v>45</v>
      </c>
      <c r="HB52" s="90">
        <f t="shared" si="5"/>
        <v>100</v>
      </c>
      <c r="HC52" s="99"/>
      <c r="HD52" s="97">
        <f t="shared" si="6"/>
        <v>6</v>
      </c>
      <c r="HE52" s="97">
        <f t="shared" si="7"/>
        <v>5</v>
      </c>
      <c r="HF52" s="90">
        <f t="shared" si="8"/>
        <v>11</v>
      </c>
      <c r="HG52" s="99"/>
      <c r="HH52" s="97">
        <f t="shared" si="9"/>
        <v>5</v>
      </c>
      <c r="HI52" s="97">
        <f t="shared" si="10"/>
        <v>5</v>
      </c>
      <c r="HJ52" s="90">
        <f t="shared" si="11"/>
        <v>10</v>
      </c>
      <c r="HK52" s="99"/>
      <c r="HL52" s="97">
        <f t="shared" si="12"/>
        <v>7</v>
      </c>
      <c r="HM52" s="97">
        <f t="shared" si="13"/>
        <v>3</v>
      </c>
      <c r="HN52" s="90">
        <f t="shared" si="14"/>
        <v>10</v>
      </c>
      <c r="HO52" s="99"/>
      <c r="HP52" s="97">
        <f t="shared" si="15"/>
        <v>3</v>
      </c>
      <c r="HQ52" s="97">
        <f t="shared" si="16"/>
        <v>3</v>
      </c>
      <c r="HR52" s="90">
        <f t="shared" si="17"/>
        <v>6</v>
      </c>
      <c r="HS52" s="99"/>
      <c r="HT52" s="97">
        <f t="shared" si="18"/>
        <v>8</v>
      </c>
      <c r="HU52" s="97">
        <f t="shared" si="19"/>
        <v>7</v>
      </c>
      <c r="HV52" s="90">
        <f t="shared" si="20"/>
        <v>15</v>
      </c>
      <c r="HW52" s="99"/>
      <c r="HX52" s="97">
        <f t="shared" si="21"/>
        <v>3</v>
      </c>
      <c r="HY52" s="97">
        <f t="shared" si="22"/>
        <v>5</v>
      </c>
      <c r="HZ52" s="90">
        <f t="shared" si="23"/>
        <v>8</v>
      </c>
      <c r="IA52" s="99"/>
      <c r="IB52" s="97">
        <f t="shared" si="24"/>
        <v>7</v>
      </c>
      <c r="IC52" s="97">
        <f t="shared" si="25"/>
        <v>5</v>
      </c>
      <c r="ID52" s="90">
        <f t="shared" si="26"/>
        <v>12</v>
      </c>
      <c r="IE52" s="99"/>
      <c r="IF52" s="97">
        <f t="shared" si="27"/>
        <v>8</v>
      </c>
      <c r="IG52" s="97">
        <f t="shared" si="28"/>
        <v>6</v>
      </c>
      <c r="IH52" s="90">
        <f t="shared" si="29"/>
        <v>14</v>
      </c>
      <c r="II52" s="99"/>
      <c r="IJ52" s="97">
        <f t="shared" si="30"/>
        <v>4</v>
      </c>
      <c r="IK52" s="97">
        <f t="shared" si="31"/>
        <v>4</v>
      </c>
      <c r="IL52" s="90">
        <f t="shared" si="32"/>
        <v>8</v>
      </c>
      <c r="IM52" s="99"/>
      <c r="IN52" s="97">
        <f t="shared" si="33"/>
        <v>0</v>
      </c>
      <c r="IO52" s="97">
        <f t="shared" si="34"/>
        <v>1</v>
      </c>
      <c r="IP52" s="90">
        <f t="shared" si="35"/>
        <v>1</v>
      </c>
      <c r="IQ52" s="99"/>
      <c r="IR52" s="99"/>
      <c r="IS52" s="100">
        <f t="shared" si="36"/>
        <v>11</v>
      </c>
      <c r="IT52" s="100">
        <f t="shared" si="37"/>
        <v>10</v>
      </c>
      <c r="IU52" s="100">
        <f t="shared" si="38"/>
        <v>10</v>
      </c>
      <c r="IV52" s="100">
        <f t="shared" si="39"/>
        <v>6</v>
      </c>
      <c r="IW52" s="100">
        <f t="shared" si="40"/>
        <v>15</v>
      </c>
      <c r="IX52" s="100">
        <f t="shared" si="41"/>
        <v>8</v>
      </c>
      <c r="IY52" s="100">
        <f t="shared" si="42"/>
        <v>12</v>
      </c>
      <c r="IZ52" s="100">
        <f t="shared" si="43"/>
        <v>14</v>
      </c>
      <c r="JA52" s="100">
        <f t="shared" si="44"/>
        <v>8</v>
      </c>
      <c r="JB52" s="101">
        <f t="shared" si="45"/>
        <v>1</v>
      </c>
      <c r="JC52" s="102">
        <f t="shared" si="46"/>
        <v>95</v>
      </c>
      <c r="JD52" s="67">
        <f t="shared" si="50"/>
        <v>0</v>
      </c>
      <c r="JE52" s="67">
        <f t="shared" si="47"/>
        <v>2</v>
      </c>
      <c r="JF52" s="67">
        <f t="shared" si="48"/>
        <v>2</v>
      </c>
    </row>
    <row r="53">
      <c r="A53" s="103">
        <f>IFERROR(__xludf.DUMMYFUNCTION("""COMPUTED_VALUE"""),45929.86106633102)</f>
        <v>45929.86107</v>
      </c>
      <c r="B53" s="95" t="str">
        <f>IFERROR(__xludf.DUMMYFUNCTION("""COMPUTED_VALUE"""),"Rezvan Zhian Agusto")</f>
        <v>Rezvan Zhian Agusto</v>
      </c>
      <c r="C53" s="96" t="str">
        <f>IFERROR(__xludf.DUMMYFUNCTION("""COMPUTED_VALUE"""),"B250006")</f>
        <v>B250006</v>
      </c>
      <c r="D53" s="96" t="str">
        <f>IFERROR(__xludf.DUMMYFUNCTION("""COMPUTED_VALUE"""),"IL Putra")</f>
        <v>IL Putra</v>
      </c>
      <c r="E53" s="96" t="str">
        <f>IFERROR(__xludf.DUMMYFUNCTION("""COMPUTED_VALUE"""),"Ya")</f>
        <v>Ya</v>
      </c>
      <c r="F53" s="95" t="str">
        <f>IFERROR(__xludf.DUMMYFUNCTION("""COMPUTED_VALUE"""),"B Saya ingin melakukan apa saja sebaik mungkin.")</f>
        <v>B Saya ingin melakukan apa saja sebaik mungkin.</v>
      </c>
      <c r="G53" s="95" t="str">
        <f>IFERROR(__xludf.DUMMYFUNCTION("""COMPUTED_VALUE"""),"B Saya ingin menyelesaikan tugas yang segera dikumpulkan.")</f>
        <v>B Saya ingin menyelesaikan tugas yang segera dikumpulkan.</v>
      </c>
      <c r="H53" s="95" t="str">
        <f>IFERROR(__xludf.DUMMYFUNCTION("""COMPUTED_VALUE"""),"A Saya ingin berbuat sesuai kata hati saya.")</f>
        <v>A Saya ingin berbuat sesuai kata hati saya.</v>
      </c>
      <c r="I53" s="95" t="str">
        <f>IFERROR(__xludf.DUMMYFUNCTION("""COMPUTED_VALUE"""),"B Saya ingin bisa melakukan dengan baik meskipun tugas yang sulit.")</f>
        <v>B Saya ingin bisa melakukan dengan baik meskipun tugas yang sulit.</v>
      </c>
      <c r="J53" s="95" t="str">
        <f>IFERROR(__xludf.DUMMYFUNCTION("""COMPUTED_VALUE"""),"B Saya ingin mengerjakan tugas sebaik mungkin.")</f>
        <v>B Saya ingin mengerjakan tugas sebaik mungkin.</v>
      </c>
      <c r="K53" s="95" t="str">
        <f>IFERROR(__xludf.DUMMYFUNCTION("""COMPUTED_VALUE"""),"B Saya ingin mengatakan telah melakukan dengan baik sesuatu tugas yang sulit.")</f>
        <v>B Saya ingin mengatakan telah melakukan dengan baik sesuatu tugas yang sulit.</v>
      </c>
      <c r="L53" s="95" t="str">
        <f>IFERROR(__xludf.DUMMYFUNCTION("""COMPUTED_VALUE"""),"B Saya ingin mengatakan telah melakukan dengan baik sesuatu tugas yang sulit")</f>
        <v>B Saya ingin mengatakan telah melakukan dengan baik sesuatu tugas yang sulit</v>
      </c>
      <c r="M53" s="95" t="str">
        <f>IFERROR(__xludf.DUMMYFUNCTION("""COMPUTED_VALUE"""),"A Saya suka berbicara tentang hal-hal yang telah berhasil saya lakukan.")</f>
        <v>A Saya suka berbicara tentang hal-hal yang telah berhasil saya lakukan.</v>
      </c>
      <c r="N53" s="95" t="str">
        <f>IFERROR(__xludf.DUMMYFUNCTION("""COMPUTED_VALUE"""),"A Saya suka pergi dengan pakaian rapi agar lebih menarik perhatian orang lain.")</f>
        <v>A Saya suka pergi dengan pakaian rapi agar lebih menarik perhatian orang lain.</v>
      </c>
      <c r="O53" s="95" t="str">
        <f>IFERROR(__xludf.DUMMYFUNCTION("""COMPUTED_VALUE"""),"A Saya marah saat ada teman memperolok-olok hal-hal yang saya anggap bodoh.")</f>
        <v>A Saya marah saat ada teman memperolok-olok hal-hal yang saya anggap bodoh.</v>
      </c>
      <c r="P53" s="95" t="str">
        <f>IFERROR(__xludf.DUMMYFUNCTION("""COMPUTED_VALUE"""),"B Saya ingin setiap belajar itu teratur dan direncanakan.")</f>
        <v>B Saya ingin setiap belajar itu teratur dan direncanakan.</v>
      </c>
      <c r="Q53" s="95" t="str">
        <f>IFERROR(__xludf.DUMMYFUNCTION("""COMPUTED_VALUE"""),"B Saya merencanakan keperluan yang dibutuhkan sebelum bepergian.")</f>
        <v>B Saya merencanakan keperluan yang dibutuhkan sebelum bepergian.</v>
      </c>
      <c r="R53" s="95" t="str">
        <f>IFERROR(__xludf.DUMMYFUNCTION("""COMPUTED_VALUE"""),"A Saya ingin orang-orang memperhatikan penampilan saya.")</f>
        <v>A Saya ingin orang-orang memperhatikan penampilan saya.</v>
      </c>
      <c r="S53" s="95" t="str">
        <f>IFERROR(__xludf.DUMMYFUNCTION("""COMPUTED_VALUE"""),"B Saya suka membuat perencanaan sebelum memulai tugas yang sulit.")</f>
        <v>B Saya suka membuat perencanaan sebelum memulai tugas yang sulit.</v>
      </c>
      <c r="T53" s="95" t="str">
        <f>IFERROR(__xludf.DUMMYFUNCTION("""COMPUTED_VALUE"""),"A Saya ingin menjadi salah seorang pemimpin dalam kelompok yang saya kenal.")</f>
        <v>A Saya ingin menjadi salah seorang pemimpin dalam kelompok yang saya kenal.</v>
      </c>
      <c r="U53" s="95" t="str">
        <f>IFERROR(__xludf.DUMMYFUNCTION("""COMPUTED_VALUE"""),"A Saya suka memberikan bantuan kepada teman-teman saya.")</f>
        <v>A Saya suka memberikan bantuan kepada teman-teman saya.</v>
      </c>
      <c r="V53" s="95" t="str">
        <f>IFERROR(__xludf.DUMMYFUNCTION("""COMPUTED_VALUE"""),"A Saya suka belajar sampai malam untuk menyelesaikan suatu tugas.")</f>
        <v>A Saya suka belajar sampai malam untuk menyelesaikan suatu tugas.</v>
      </c>
      <c r="W53" s="95" t="str">
        <f>IFERROR(__xludf.DUMMYFUNCTION("""COMPUTED_VALUE"""),"B Saya ingin kegiatan itu teratur dan direncanakan.")</f>
        <v>B Saya ingin kegiatan itu teratur dan direncanakan.</v>
      </c>
      <c r="X53" s="95" t="str">
        <f>IFERROR(__xludf.DUMMYFUNCTION("""COMPUTED_VALUE"""),"A Saya suka merencanakan dan mengatur setiap apa yang harus saya lakukan.")</f>
        <v>A Saya suka merencanakan dan mengatur setiap apa yang harus saya lakukan.</v>
      </c>
      <c r="Y53" s="95" t="str">
        <f>IFERROR(__xludf.DUMMYFUNCTION("""COMPUTED_VALUE"""),"A Saya suka menyelesaikan tugas-tugas yang membutuhkan ketrampilan dan usaha.")</f>
        <v>A Saya suka menyelesaikan tugas-tugas yang membutuhkan ketrampilan dan usaha.</v>
      </c>
      <c r="Z53" s="95" t="str">
        <f>IFERROR(__xludf.DUMMYFUNCTION("""COMPUTED_VALUE"""),"B Saya ingin merasa bebas untuk melakukan apa yang saya inginkan.")</f>
        <v>B Saya ingin merasa bebas untuk melakukan apa yang saya inginkan.</v>
      </c>
      <c r="AA53" s="95" t="str">
        <f>IFERROR(__xludf.DUMMYFUNCTION("""COMPUTED_VALUE"""),"B Saya tidak suka pada orang yang berbuat seenaknya sendiri.")</f>
        <v>B Saya tidak suka pada orang yang berbuat seenaknya sendiri.</v>
      </c>
      <c r="AB53" s="95" t="str">
        <f>IFERROR(__xludf.DUMMYFUNCTION("""COMPUTED_VALUE"""),"A Saya ingin tidak tergantung dari orang lain terhadap apa yang akan saya lakukan.")</f>
        <v>A Saya ingin tidak tergantung dari orang lain terhadap apa yang akan saya lakukan.</v>
      </c>
      <c r="AC53" s="95" t="str">
        <f>IFERROR(__xludf.DUMMYFUNCTION("""COMPUTED_VALUE"""),"B Saya suka melakukan kegiatan sesuai kondisi yang saya inginkan.")</f>
        <v>B Saya suka melakukan kegiatan sesuai kondisi yang saya inginkan.</v>
      </c>
      <c r="AD53" s="95" t="str">
        <f>IFERROR(__xludf.DUMMYFUNCTION("""COMPUTED_VALUE"""),"B Saya suka menyatakan pendapat saya tentang berbagai hal.")</f>
        <v>B Saya suka menyatakan pendapat saya tentang berbagai hal.</v>
      </c>
      <c r="AE53" s="95" t="str">
        <f>IFERROR(__xludf.DUMMYFUNCTION("""COMPUTED_VALUE"""),"A Saya ingin dianggap sebagai pemimpin oleh teman di kelompok.")</f>
        <v>A Saya ingin dianggap sebagai pemimpin oleh teman di kelompok.</v>
      </c>
      <c r="AF53" s="95" t="str">
        <f>IFERROR(__xludf.DUMMYFUNCTION("""COMPUTED_VALUE"""),"B Saya suka melakukan hal-hal dengan cara saya sendiri.")</f>
        <v>B Saya suka melakukan hal-hal dengan cara saya sendiri.</v>
      </c>
      <c r="AG53" s="95" t="str">
        <f>IFERROR(__xludf.DUMMYFUNCTION("""COMPUTED_VALUE"""),"B Saya ingin berhasil dengan tugas yang saya lakukan.")</f>
        <v>B Saya ingin berhasil dengan tugas yang saya lakukan.</v>
      </c>
      <c r="AH53" s="95" t="str">
        <f>IFERROR(__xludf.DUMMYFUNCTION("""COMPUTED_VALUE"""),"B Saya ingin merasa bebas untuk melakukan apa yang saya kehendaki.")</f>
        <v>B Saya ingin merasa bebas untuk melakukan apa yang saya kehendaki.</v>
      </c>
      <c r="AI53" s="95" t="str">
        <f>IFERROR(__xludf.DUMMYFUNCTION("""COMPUTED_VALUE"""),"B Saya suka melakukan kegiatan sesuai kondisi yang saya inginkan.")</f>
        <v>B Saya suka melakukan kegiatan sesuai kondisi yang saya inginkan.</v>
      </c>
      <c r="AJ53" s="95" t="str">
        <f>IFERROR(__xludf.DUMMYFUNCTION("""COMPUTED_VALUE"""),"B Saya suka bertahan menghadapi satu masalah meskipun belum tentu berhasil.")</f>
        <v>B Saya suka bertahan menghadapi satu masalah meskipun belum tentu berhasil.</v>
      </c>
      <c r="AK53" s="95" t="str">
        <f>IFERROR(__xludf.DUMMYFUNCTION("""COMPUTED_VALUE"""),"B Bila saya harus melakukan suatu tugas, saya ingin mengerjakan sampai selesai.")</f>
        <v>B Bila saya harus melakukan suatu tugas, saya ingin mengerjakan sampai selesai.</v>
      </c>
      <c r="AL53" s="95" t="str">
        <f>IFERROR(__xludf.DUMMYFUNCTION("""COMPUTED_VALUE"""),"B Saya ingin menghindarkan gangguan bila saya sedang belajar.")</f>
        <v>B Saya ingin menghindarkan gangguan bila saya sedang belajar.</v>
      </c>
      <c r="AM53" s="95" t="str">
        <f>IFERROR(__xludf.DUMMYFUNCTION("""COMPUTED_VALUE"""),"B Saya suka belajar sampai malam untuk menyelesaikan suatu tugas.")</f>
        <v>B Saya suka belajar sampai malam untuk menyelesaikan suatu tugas.</v>
      </c>
      <c r="AN53" s="95" t="str">
        <f>IFERROR(__xludf.DUMMYFUNCTION("""COMPUTED_VALUE"""),"A Saya tidak suka pada orang yang semena-mena.")</f>
        <v>A Saya tidak suka pada orang yang semena-mena.</v>
      </c>
      <c r="AO53" s="95" t="str">
        <f>IFERROR(__xludf.DUMMYFUNCTION("""COMPUTED_VALUE"""),"B Saya suka menyelesaikan setiap tugas meskipun membutuhkan waktu lama.")</f>
        <v>B Saya suka menyelesaikan setiap tugas meskipun membutuhkan waktu lama.</v>
      </c>
      <c r="AP53" s="95" t="str">
        <f>IFERROR(__xludf.DUMMYFUNCTION("""COMPUTED_VALUE"""),"B Saya suka bertahan menghadapi satu masalah meskipun belum tentu berhasil.")</f>
        <v>B Saya suka bertahan menghadapi satu masalah meskipun belum tentu berhasil.</v>
      </c>
      <c r="AQ53" s="95" t="str">
        <f>IFERROR(__xludf.DUMMYFUNCTION("""COMPUTED_VALUE"""),"B Bila saya harus melakukan suatu tugas, saya ingin mengerjakan sampai selesai.")</f>
        <v>B Bila saya harus melakukan suatu tugas, saya ingin mengerjakan sampai selesai.</v>
      </c>
      <c r="AR53" s="95" t="str">
        <f>IFERROR(__xludf.DUMMYFUNCTION("""COMPUTED_VALUE"""),"A Saya suka menyimpan catatan secara rapi.")</f>
        <v>A Saya suka menyimpan catatan secara rapi.</v>
      </c>
      <c r="AS53" s="95" t="str">
        <f>IFERROR(__xludf.DUMMYFUNCTION("""COMPUTED_VALUE"""),"A Saya ingin dapat menyelesaikan persoalan yang dianggap sukar bagi orang lain.")</f>
        <v>A Saya ingin dapat menyelesaikan persoalan yang dianggap sukar bagi orang lain.</v>
      </c>
      <c r="AT53" s="95" t="str">
        <f>IFERROR(__xludf.DUMMYFUNCTION("""COMPUTED_VALUE"""),"A Saya ingin bisa melakukan dengan baik sesuatu pekerjaan sulit.")</f>
        <v>A Saya ingin bisa melakukan dengan baik sesuatu pekerjaan sulit.</v>
      </c>
      <c r="AU53" s="95" t="str">
        <f>IFERROR(__xludf.DUMMYFUNCTION("""COMPUTED_VALUE"""),"A Saya ingin menyelesaikan pekerjaan satu persatu sebelum memulai yang lain.")</f>
        <v>A Saya ingin menyelesaikan pekerjaan satu persatu sebelum memulai yang lain.</v>
      </c>
      <c r="AV53" s="95" t="str">
        <f>IFERROR(__xludf.DUMMYFUNCTION("""COMPUTED_VALUE"""),"A Saya ingin merasa bebas untuk melakukan apa yang saya kehendaki.")</f>
        <v>A Saya ingin merasa bebas untuk melakukan apa yang saya kehendaki.</v>
      </c>
      <c r="AW53" s="95" t="str">
        <f>IFERROR(__xludf.DUMMYFUNCTION("""COMPUTED_VALUE"""),"A Saya ingin mengerjakan tugas sampai selesai.")</f>
        <v>A Saya ingin mengerjakan tugas sampai selesai.</v>
      </c>
      <c r="AX53" s="95" t="str">
        <f>IFERROR(__xludf.DUMMYFUNCTION("""COMPUTED_VALUE"""),"A Saya suka menolong teman-teman saya apabila mereka dalam kesulitan.")</f>
        <v>A Saya suka menolong teman-teman saya apabila mereka dalam kesulitan.</v>
      </c>
      <c r="AY53" s="95" t="str">
        <f>IFERROR(__xludf.DUMMYFUNCTION("""COMPUTED_VALUE"""),"B Saya suka menolong teman-teman saya apabila mereka dalam kesulitan.")</f>
        <v>B Saya suka menolong teman-teman saya apabila mereka dalam kesulitan.</v>
      </c>
      <c r="AZ53" s="95" t="str">
        <f>IFERROR(__xludf.DUMMYFUNCTION("""COMPUTED_VALUE"""),"B Saya suka menunjukkan simpati saya kepada teman-teman saya.")</f>
        <v>B Saya suka menunjukkan simpati saya kepada teman-teman saya.</v>
      </c>
      <c r="BA53" s="95" t="str">
        <f>IFERROR(__xludf.DUMMYFUNCTION("""COMPUTED_VALUE"""),"A Saya suka menyatakan pendapat saya tentang berbagai hal.")</f>
        <v>A Saya suka menyatakan pendapat saya tentang berbagai hal.</v>
      </c>
      <c r="BB53" s="95" t="str">
        <f>IFERROR(__xludf.DUMMYFUNCTION("""COMPUTED_VALUE"""),"A Saya berkeinginan untuk bersama orang yang menarik bagi saya.")</f>
        <v>A Saya berkeinginan untuk bersama orang yang menarik bagi saya.</v>
      </c>
      <c r="BC53" s="95" t="str">
        <f>IFERROR(__xludf.DUMMYFUNCTION("""COMPUTED_VALUE"""),"A Saya rasanya ingin mengecam seseorang bila orang itu menjengkelkan.")</f>
        <v>A Saya rasanya ingin mengecam seseorang bila orang itu menjengkelkan.</v>
      </c>
      <c r="BD53" s="95" t="str">
        <f>IFERROR(__xludf.DUMMYFUNCTION("""COMPUTED_VALUE"""),"A Saya rasanya ingin menyalahkan orang lain bila keadaan tidak baik bagi saya.")</f>
        <v>A Saya rasanya ingin menyalahkan orang lain bila keadaan tidak baik bagi saya.</v>
      </c>
      <c r="BE53" s="95" t="str">
        <f>IFERROR(__xludf.DUMMYFUNCTION("""COMPUTED_VALUE"""),"A Saya suka mendengarkan atau menceritakan hal-hal yang sebaiknya tidak diceritakan.")</f>
        <v>A Saya suka mendengarkan atau menceritakan hal-hal yang sebaiknya tidak diceritakan.</v>
      </c>
      <c r="BF53" s="95" t="str">
        <f>IFERROR(__xludf.DUMMYFUNCTION("""COMPUTED_VALUE"""),"A Saya ingin orang lain memperhatikan dan berkomentar tentang penampilan saya.")</f>
        <v>A Saya ingin orang lain memperhatikan dan berkomentar tentang penampilan saya.</v>
      </c>
      <c r="BG53" s="95" t="str">
        <f>IFERROR(__xludf.DUMMYFUNCTION("""COMPUTED_VALUE"""),"B Saya suka mengarahkan kepada orang lain apa yang harus dilakukan.")</f>
        <v>B Saya suka mengarahkan kepada orang lain apa yang harus dilakukan.</v>
      </c>
      <c r="BH53" s="95" t="str">
        <f>IFERROR(__xludf.DUMMYFUNCTION("""COMPUTED_VALUE"""),"A Saya suka menghindar dari situasi yang tidak saya harapkan.")</f>
        <v>A Saya suka menghindar dari situasi yang tidak saya harapkan.</v>
      </c>
      <c r="BI53" s="95" t="str">
        <f>IFERROR(__xludf.DUMMYFUNCTION("""COMPUTED_VALUE"""),"A Saya suka bermurah hati terhadap teman-teman saya.")</f>
        <v>A Saya suka bermurah hati terhadap teman-teman saya.</v>
      </c>
      <c r="BJ53" s="95" t="str">
        <f>IFERROR(__xludf.DUMMYFUNCTION("""COMPUTED_VALUE"""),"A Saya ingin mengerjakan tugas sampai selesai.")</f>
        <v>A Saya ingin mengerjakan tugas sampai selesai.</v>
      </c>
      <c r="BK53" s="95" t="str">
        <f>IFERROR(__xludf.DUMMYFUNCTION("""COMPUTED_VALUE"""),"A Saya ingin menyelesaikan pekerjaan satu persatu sebelum memulai yang lain.")</f>
        <v>A Saya ingin menyelesaikan pekerjaan satu persatu sebelum memulai yang lain.</v>
      </c>
      <c r="BL53" s="95" t="str">
        <f>IFERROR(__xludf.DUMMYFUNCTION("""COMPUTED_VALUE"""),"A Saya suka belajar saya teratur dan ada waktu-waktu tertentu untuk belajar.")</f>
        <v>A Saya suka belajar saya teratur dan ada waktu-waktu tertentu untuk belajar.</v>
      </c>
      <c r="BM53" s="95" t="str">
        <f>IFERROR(__xludf.DUMMYFUNCTION("""COMPUTED_VALUE"""),"A Saya suka melakukan pekerjaan sebaik mungkin.")</f>
        <v>A Saya suka melakukan pekerjaan sebaik mungkin.</v>
      </c>
      <c r="BN53" s="95" t="str">
        <f>IFERROR(__xludf.DUMMYFUNCTION("""COMPUTED_VALUE"""),"A Saya suka mengerjakan teka-teki atau memecahkan persoalan sampai selesai.")</f>
        <v>A Saya suka mengerjakan teka-teki atau memecahkan persoalan sampai selesai.</v>
      </c>
      <c r="BO53" s="95" t="str">
        <f>IFERROR(__xludf.DUMMYFUNCTION("""COMPUTED_VALUE"""),"A Saya suka membuat perencanaan sebelum memulai belajar yang sulit.")</f>
        <v>A Saya suka membuat perencanaan sebelum memulai belajar yang sulit.</v>
      </c>
      <c r="BP53" s="95" t="str">
        <f>IFERROR(__xludf.DUMMYFUNCTION("""COMPUTED_VALUE"""),"A Saya ingin menyelesaikan sesuatu yang sangat penting artinya.")</f>
        <v>A Saya ingin menyelesaikan sesuatu yang sangat penting artinya.</v>
      </c>
      <c r="BQ53" s="95" t="str">
        <f>IFERROR(__xludf.DUMMYFUNCTION("""COMPUTED_VALUE"""),"A Saya ingin mengerjakannya tugas sampai selesai.")</f>
        <v>A Saya ingin mengerjakannya tugas sampai selesai.</v>
      </c>
      <c r="BR53" s="95" t="str">
        <f>IFERROR(__xludf.DUMMYFUNCTION("""COMPUTED_VALUE"""),"A Saya suka memaafkan teman-teman saya yang menyakiti hati saya.")</f>
        <v>A Saya suka memaafkan teman-teman saya yang menyakiti hati saya.</v>
      </c>
      <c r="BS53" s="95" t="str">
        <f>IFERROR(__xludf.DUMMYFUNCTION("""COMPUTED_VALUE"""),"A Saya suka menghindar dari tanggung jawab yang tidak saya inginkan.")</f>
        <v>A Saya suka menghindar dari tanggung jawab yang tidak saya inginkan.</v>
      </c>
      <c r="BT53" s="95" t="str">
        <f>IFERROR(__xludf.DUMMYFUNCTION("""COMPUTED_VALUE"""),"B Saya ingin teman-teman banyak menunjukkan rasa sayang mereka terhadap saya.")</f>
        <v>B Saya ingin teman-teman banyak menunjukkan rasa sayang mereka terhadap saya.</v>
      </c>
      <c r="BU53" s="95" t="str">
        <f>IFERROR(__xludf.DUMMYFUNCTION("""COMPUTED_VALUE"""),"A Saya kadang-kadang suka melakukan hal-hal yang dapat dipuji oleh orang lain.")</f>
        <v>A Saya kadang-kadang suka melakukan hal-hal yang dapat dipuji oleh orang lain.</v>
      </c>
      <c r="BV53" s="95" t="str">
        <f>IFERROR(__xludf.DUMMYFUNCTION("""COMPUTED_VALUE"""),"A Saya ingin dianggap menarik oleh orang lain.")</f>
        <v>A Saya ingin dianggap menarik oleh orang lain.</v>
      </c>
      <c r="BW53" s="95" t="str">
        <f>IFERROR(__xludf.DUMMYFUNCTION("""COMPUTED_VALUE"""),"B Saya ingin diperlakukan dengan baik oleh teman-teman saya.")</f>
        <v>B Saya ingin diperlakukan dengan baik oleh teman-teman saya.</v>
      </c>
      <c r="BX53" s="95" t="str">
        <f>IFERROR(__xludf.DUMMYFUNCTION("""COMPUTED_VALUE"""),"B Saya kadang-kadang suka melakukan hal-hal yang dapat dipuji oleh orang lain.")</f>
        <v>B Saya kadang-kadang suka melakukan hal-hal yang dapat dipuji oleh orang lain.</v>
      </c>
      <c r="BY53" s="95" t="str">
        <f>IFERROR(__xludf.DUMMYFUNCTION("""COMPUTED_VALUE"""),"A Saya suka melamun atau membayangkan hal-hal yang tidak jelas.")</f>
        <v>A Saya suka melamun atau membayangkan hal-hal yang tidak jelas.</v>
      </c>
      <c r="BZ53" s="95" t="str">
        <f>IFERROR(__xludf.DUMMYFUNCTION("""COMPUTED_VALUE"""),"A Saya suka berkata yang artinya sulit dipahami oleh orang lain.")</f>
        <v>A Saya suka berkata yang artinya sulit dipahami oleh orang lain.</v>
      </c>
      <c r="CA53" s="95" t="str">
        <f>IFERROR(__xludf.DUMMYFUNCTION("""COMPUTED_VALUE"""),"B Saya suka mengajukan pertanyaan agar orang lain memperhatikan saya.")</f>
        <v>B Saya suka mengajukan pertanyaan agar orang lain memperhatikan saya.</v>
      </c>
      <c r="CB53" s="95" t="str">
        <f>IFERROR(__xludf.DUMMYFUNCTION("""COMPUTED_VALUE"""),"A Saya suka menghindar dari tanggung jawab yang tidak saya inginkan.")</f>
        <v>A Saya suka menghindar dari tanggung jawab yang tidak saya inginkan.</v>
      </c>
      <c r="CC53" s="95" t="str">
        <f>IFERROR(__xludf.DUMMYFUNCTION("""COMPUTED_VALUE"""),"B Saya suka menceritakan hal-hal lucu agar diperhatikan oleh orang lain.")</f>
        <v>B Saya suka menceritakan hal-hal lucu agar diperhatikan oleh orang lain.</v>
      </c>
      <c r="CD53" s="95" t="str">
        <f>IFERROR(__xludf.DUMMYFUNCTION("""COMPUTED_VALUE"""),"B Saya suka berkata yang artinya sulit dipahami oleh orang lain.")</f>
        <v>B Saya suka berkata yang artinya sulit dipahami oleh orang lain.</v>
      </c>
      <c r="CE53" s="95" t="str">
        <f>IFERROR(__xludf.DUMMYFUNCTION("""COMPUTED_VALUE"""),"B Saya kadang-kadang suka melakukan hal-hal yang dapat dipuji oleh orang lain.")</f>
        <v>B Saya kadang-kadang suka melakukan hal-hal yang dapat dipuji oleh orang lain.</v>
      </c>
      <c r="CF53" s="95" t="str">
        <f>IFERROR(__xludf.DUMMYFUNCTION("""COMPUTED_VALUE"""),"B Saya ingin orang lain memperhatikan dan berkomentar tentang penampilan saya.")</f>
        <v>B Saya ingin orang lain memperhatikan dan berkomentar tentang penampilan saya.</v>
      </c>
      <c r="CG53" s="95" t="str">
        <f>IFERROR(__xludf.DUMMYFUNCTION("""COMPUTED_VALUE"""),"A Saya ingin berhasil dalam apa yang saya lakukan.")</f>
        <v>A Saya ingin berhasil dalam apa yang saya lakukan.</v>
      </c>
      <c r="CH53" s="95" t="str">
        <f>IFERROR(__xludf.DUMMYFUNCTION("""COMPUTED_VALUE"""),"B Saya suka dengan orang yang berpenampilan menarik.")</f>
        <v>B Saya suka dengan orang yang berpenampilan menarik.</v>
      </c>
      <c r="CI53" s="95" t="str">
        <f>IFERROR(__xludf.DUMMYFUNCTION("""COMPUTED_VALUE"""),"B Saya ingin dianggap menarik oleh orang lain.")</f>
        <v>B Saya ingin dianggap menarik oleh orang lain.</v>
      </c>
      <c r="CJ53" s="95" t="str">
        <f>IFERROR(__xludf.DUMMYFUNCTION("""COMPUTED_VALUE"""),"A Saya ingin tidak tergantung dari orang lain terhadap apa yang akan saya lakukan.")</f>
        <v>A Saya ingin tidak tergantung dari orang lain terhadap apa yang akan saya lakukan.</v>
      </c>
      <c r="CK53" s="95" t="str">
        <f>IFERROR(__xludf.DUMMYFUNCTION("""COMPUTED_VALUE"""),"B Saya senang ikut beraktivitas bersama teman sebaya saya.")</f>
        <v>B Saya senang ikut beraktivitas bersama teman sebaya saya.</v>
      </c>
      <c r="CL53" s="95" t="str">
        <f>IFERROR(__xludf.DUMMYFUNCTION("""COMPUTED_VALUE"""),"B Saya berkeinginan untuk bersama teman yang menurut saya menarik.")</f>
        <v>B Saya berkeinginan untuk bersama teman yang menurut saya menarik.</v>
      </c>
      <c r="CM53" s="95" t="str">
        <f>IFERROR(__xludf.DUMMYFUNCTION("""COMPUTED_VALUE"""),"B Saya merasa kagum pada seseorang.")</f>
        <v>B Saya merasa kagum pada seseorang.</v>
      </c>
      <c r="CN53" s="95" t="str">
        <f>IFERROR(__xludf.DUMMYFUNCTION("""COMPUTED_VALUE"""),"A Saya ingin diperlakukan dengan baik oleh teman-teman saya.")</f>
        <v>A Saya ingin diperlakukan dengan baik oleh teman-teman saya.</v>
      </c>
      <c r="CO53" s="95" t="str">
        <f>IFERROR(__xludf.DUMMYFUNCTION("""COMPUTED_VALUE"""),"A Saya suka menceritakan hal-hal lucu agar diperhatikan oleh orang lain.")</f>
        <v>A Saya suka menceritakan hal-hal lucu agar diperhatikan oleh orang lain.</v>
      </c>
      <c r="CP53" s="95" t="str">
        <f>IFERROR(__xludf.DUMMYFUNCTION("""COMPUTED_VALUE"""),"A Saya suka melamun atau membayangkan sesuatu sendirian.")</f>
        <v>A Saya suka melamun atau membayangkan sesuatu sendirian.</v>
      </c>
      <c r="CQ53" s="95" t="str">
        <f>IFERROR(__xludf.DUMMYFUNCTION("""COMPUTED_VALUE"""),"A Saya ingin menggertak orang bila saya berbeda pendapat dengan mereka.")</f>
        <v>A Saya ingin menggertak orang bila saya berbeda pendapat dengan mereka.</v>
      </c>
      <c r="CR53" s="95" t="str">
        <f>IFERROR(__xludf.DUMMYFUNCTION("""COMPUTED_VALUE"""),"A Saya ingin memperolok-olok orang yang saya anggap melakukan tindakan bodoh.")</f>
        <v>A Saya ingin memperolok-olok orang yang saya anggap melakukan tindakan bodoh.</v>
      </c>
      <c r="CS53" s="95" t="str">
        <f>IFERROR(__xludf.DUMMYFUNCTION("""COMPUTED_VALUE"""),"A Saya ingin terlihat menarik di depan teman-teman saya.")</f>
        <v>A Saya ingin terlihat menarik di depan teman-teman saya.</v>
      </c>
      <c r="CT53" s="95" t="str">
        <f>IFERROR(__xludf.DUMMYFUNCTION("""COMPUTED_VALUE"""),"A Saya ingin orang-orang memperhatikan komentar mengenai penampilan saya.")</f>
        <v>A Saya ingin orang-orang memperhatikan komentar mengenai penampilan saya.</v>
      </c>
      <c r="CU53" s="95" t="str">
        <f>IFERROR(__xludf.DUMMYFUNCTION("""COMPUTED_VALUE"""),"B Saya ingin menyalahkan orang lain bila keadaan tidak baik bagi saya.")</f>
        <v>B Saya ingin menyalahkan orang lain bila keadaan tidak baik bagi saya.</v>
      </c>
      <c r="CV53" s="95" t="str">
        <f>IFERROR(__xludf.DUMMYFUNCTION("""COMPUTED_VALUE"""),"B Saya menyerang pendirian-pendirian yang bertentangan dengan pendirian saya.")</f>
        <v>B Saya menyerang pendirian-pendirian yang bertentangan dengan pendirian saya.</v>
      </c>
      <c r="CW53" s="95" t="str">
        <f>IFERROR(__xludf.DUMMYFUNCTION("""COMPUTED_VALUE"""),"B Saya mengatakan kepada orang lain bagaimana pendapat saya terhadap mereka.")</f>
        <v>B Saya mengatakan kepada orang lain bagaimana pendapat saya terhadap mereka.</v>
      </c>
      <c r="CX53" s="95" t="str">
        <f>IFERROR(__xludf.DUMMYFUNCTION("""COMPUTED_VALUE"""),"A Saya suka belajar sampai malam untuk menyelesaikan suatu tugas.")</f>
        <v>A Saya suka belajar sampai malam untuk menyelesaikan suatu tugas.</v>
      </c>
      <c r="CY53" s="95" t="str">
        <f>IFERROR(__xludf.DUMMYFUNCTION("""COMPUTED_VALUE"""),"A Saya ingin tidak tergantung dari orang lain terhadap apa yang akan saya lakukan.")</f>
        <v>A Saya ingin tidak tergantung dari orang lain terhadap apa yang akan saya lakukan.</v>
      </c>
      <c r="CZ53" s="95" t="str">
        <f>IFERROR(__xludf.DUMMYFUNCTION("""COMPUTED_VALUE"""),"A Saya suka merencanakan dan mengatur setiap pekerjaan yang harus saya lakukan.")</f>
        <v>A Saya suka merencanakan dan mengatur setiap pekerjaan yang harus saya lakukan.</v>
      </c>
      <c r="DA53" s="95" t="str">
        <f>IFERROR(__xludf.DUMMYFUNCTION("""COMPUTED_VALUE"""),"A Saya ingin melakukan apa saja sebaik mungkin.")</f>
        <v>A Saya ingin melakukan apa saja sebaik mungkin.</v>
      </c>
      <c r="DB53" s="89" t="s">
        <v>23</v>
      </c>
      <c r="DC53" s="97" t="str">
        <f t="shared" ref="DC53:GX53" si="98">LEFT(F53,1)</f>
        <v>B</v>
      </c>
      <c r="DD53" s="97" t="str">
        <f t="shared" si="98"/>
        <v>B</v>
      </c>
      <c r="DE53" s="97" t="str">
        <f t="shared" si="98"/>
        <v>A</v>
      </c>
      <c r="DF53" s="97" t="str">
        <f t="shared" si="98"/>
        <v>B</v>
      </c>
      <c r="DG53" s="97" t="str">
        <f t="shared" si="98"/>
        <v>B</v>
      </c>
      <c r="DH53" s="97" t="str">
        <f t="shared" si="98"/>
        <v>B</v>
      </c>
      <c r="DI53" s="97" t="str">
        <f t="shared" si="98"/>
        <v>B</v>
      </c>
      <c r="DJ53" s="97" t="str">
        <f t="shared" si="98"/>
        <v>A</v>
      </c>
      <c r="DK53" s="97" t="str">
        <f t="shared" si="98"/>
        <v>A</v>
      </c>
      <c r="DL53" s="97" t="str">
        <f t="shared" si="98"/>
        <v>A</v>
      </c>
      <c r="DM53" s="97" t="str">
        <f t="shared" si="98"/>
        <v>B</v>
      </c>
      <c r="DN53" s="97" t="str">
        <f t="shared" si="98"/>
        <v>B</v>
      </c>
      <c r="DO53" s="97" t="str">
        <f t="shared" si="98"/>
        <v>A</v>
      </c>
      <c r="DP53" s="97" t="str">
        <f t="shared" si="98"/>
        <v>B</v>
      </c>
      <c r="DQ53" s="97" t="str">
        <f t="shared" si="98"/>
        <v>A</v>
      </c>
      <c r="DR53" s="97" t="str">
        <f t="shared" si="98"/>
        <v>A</v>
      </c>
      <c r="DS53" s="97" t="str">
        <f t="shared" si="98"/>
        <v>A</v>
      </c>
      <c r="DT53" s="97" t="str">
        <f t="shared" si="98"/>
        <v>B</v>
      </c>
      <c r="DU53" s="97" t="str">
        <f t="shared" si="98"/>
        <v>A</v>
      </c>
      <c r="DV53" s="97" t="str">
        <f t="shared" si="98"/>
        <v>A</v>
      </c>
      <c r="DW53" s="97" t="str">
        <f t="shared" si="98"/>
        <v>B</v>
      </c>
      <c r="DX53" s="97" t="str">
        <f t="shared" si="98"/>
        <v>B</v>
      </c>
      <c r="DY53" s="97" t="str">
        <f t="shared" si="98"/>
        <v>A</v>
      </c>
      <c r="DZ53" s="97" t="str">
        <f t="shared" si="98"/>
        <v>B</v>
      </c>
      <c r="EA53" s="97" t="str">
        <f t="shared" si="98"/>
        <v>B</v>
      </c>
      <c r="EB53" s="97" t="str">
        <f t="shared" si="98"/>
        <v>A</v>
      </c>
      <c r="EC53" s="97" t="str">
        <f t="shared" si="98"/>
        <v>B</v>
      </c>
      <c r="ED53" s="97" t="str">
        <f t="shared" si="98"/>
        <v>B</v>
      </c>
      <c r="EE53" s="97" t="str">
        <f t="shared" si="98"/>
        <v>B</v>
      </c>
      <c r="EF53" s="97" t="str">
        <f t="shared" si="98"/>
        <v>B</v>
      </c>
      <c r="EG53" s="97" t="str">
        <f t="shared" si="98"/>
        <v>B</v>
      </c>
      <c r="EH53" s="97" t="str">
        <f t="shared" si="98"/>
        <v>B</v>
      </c>
      <c r="EI53" s="97" t="str">
        <f t="shared" si="98"/>
        <v>B</v>
      </c>
      <c r="EJ53" s="97" t="str">
        <f t="shared" si="98"/>
        <v>B</v>
      </c>
      <c r="EK53" s="97" t="str">
        <f t="shared" si="98"/>
        <v>A</v>
      </c>
      <c r="EL53" s="97" t="str">
        <f t="shared" si="98"/>
        <v>B</v>
      </c>
      <c r="EM53" s="97" t="str">
        <f t="shared" si="98"/>
        <v>B</v>
      </c>
      <c r="EN53" s="97" t="str">
        <f t="shared" si="98"/>
        <v>B</v>
      </c>
      <c r="EO53" s="97" t="str">
        <f t="shared" si="98"/>
        <v>A</v>
      </c>
      <c r="EP53" s="97" t="str">
        <f t="shared" si="98"/>
        <v>A</v>
      </c>
      <c r="EQ53" s="97" t="str">
        <f t="shared" si="98"/>
        <v>A</v>
      </c>
      <c r="ER53" s="97" t="str">
        <f t="shared" si="98"/>
        <v>A</v>
      </c>
      <c r="ES53" s="97" t="str">
        <f t="shared" si="98"/>
        <v>A</v>
      </c>
      <c r="ET53" s="97" t="str">
        <f t="shared" si="98"/>
        <v>A</v>
      </c>
      <c r="EU53" s="97" t="str">
        <f t="shared" si="98"/>
        <v>A</v>
      </c>
      <c r="EV53" s="97" t="str">
        <f t="shared" si="98"/>
        <v>B</v>
      </c>
      <c r="EW53" s="97" t="str">
        <f t="shared" si="98"/>
        <v>B</v>
      </c>
      <c r="EX53" s="97" t="str">
        <f t="shared" si="98"/>
        <v>A</v>
      </c>
      <c r="EY53" s="97" t="str">
        <f t="shared" si="98"/>
        <v>A</v>
      </c>
      <c r="EZ53" s="97" t="str">
        <f t="shared" si="98"/>
        <v>A</v>
      </c>
      <c r="FA53" s="97" t="str">
        <f t="shared" si="98"/>
        <v>A</v>
      </c>
      <c r="FB53" s="97" t="str">
        <f t="shared" si="98"/>
        <v>A</v>
      </c>
      <c r="FC53" s="97" t="str">
        <f t="shared" si="98"/>
        <v>A</v>
      </c>
      <c r="FD53" s="97" t="str">
        <f t="shared" si="98"/>
        <v>B</v>
      </c>
      <c r="FE53" s="97" t="str">
        <f t="shared" si="98"/>
        <v>A</v>
      </c>
      <c r="FF53" s="97" t="str">
        <f t="shared" si="98"/>
        <v>A</v>
      </c>
      <c r="FG53" s="97" t="str">
        <f t="shared" si="98"/>
        <v>A</v>
      </c>
      <c r="FH53" s="97" t="str">
        <f t="shared" si="98"/>
        <v>A</v>
      </c>
      <c r="FI53" s="97" t="str">
        <f t="shared" si="98"/>
        <v>A</v>
      </c>
      <c r="FJ53" s="97" t="str">
        <f t="shared" si="98"/>
        <v>A</v>
      </c>
      <c r="FK53" s="97" t="str">
        <f t="shared" si="98"/>
        <v>A</v>
      </c>
      <c r="FL53" s="97" t="str">
        <f t="shared" si="98"/>
        <v>A</v>
      </c>
      <c r="FM53" s="97" t="str">
        <f t="shared" si="98"/>
        <v>A</v>
      </c>
      <c r="FN53" s="97" t="str">
        <f t="shared" si="98"/>
        <v>A</v>
      </c>
      <c r="FO53" s="97" t="str">
        <f t="shared" si="98"/>
        <v>A</v>
      </c>
      <c r="FP53" s="97" t="str">
        <f t="shared" si="98"/>
        <v>A</v>
      </c>
      <c r="FQ53" s="97" t="str">
        <f t="shared" si="98"/>
        <v>B</v>
      </c>
      <c r="FR53" s="97" t="str">
        <f t="shared" si="98"/>
        <v>A</v>
      </c>
      <c r="FS53" s="97" t="str">
        <f t="shared" si="98"/>
        <v>A</v>
      </c>
      <c r="FT53" s="97" t="str">
        <f t="shared" si="98"/>
        <v>B</v>
      </c>
      <c r="FU53" s="97" t="str">
        <f t="shared" si="98"/>
        <v>B</v>
      </c>
      <c r="FV53" s="97" t="str">
        <f t="shared" si="98"/>
        <v>A</v>
      </c>
      <c r="FW53" s="97" t="str">
        <f t="shared" si="98"/>
        <v>A</v>
      </c>
      <c r="FX53" s="97" t="str">
        <f t="shared" si="98"/>
        <v>B</v>
      </c>
      <c r="FY53" s="97" t="str">
        <f t="shared" si="98"/>
        <v>A</v>
      </c>
      <c r="FZ53" s="97" t="str">
        <f t="shared" si="98"/>
        <v>B</v>
      </c>
      <c r="GA53" s="97" t="str">
        <f t="shared" si="98"/>
        <v>B</v>
      </c>
      <c r="GB53" s="97" t="str">
        <f t="shared" si="98"/>
        <v>B</v>
      </c>
      <c r="GC53" s="97" t="str">
        <f t="shared" si="98"/>
        <v>B</v>
      </c>
      <c r="GD53" s="97" t="str">
        <f t="shared" si="98"/>
        <v>A</v>
      </c>
      <c r="GE53" s="97" t="str">
        <f t="shared" si="98"/>
        <v>B</v>
      </c>
      <c r="GF53" s="97" t="str">
        <f t="shared" si="98"/>
        <v>B</v>
      </c>
      <c r="GG53" s="97" t="str">
        <f t="shared" si="98"/>
        <v>A</v>
      </c>
      <c r="GH53" s="97" t="str">
        <f t="shared" si="98"/>
        <v>B</v>
      </c>
      <c r="GI53" s="97" t="str">
        <f t="shared" si="98"/>
        <v>B</v>
      </c>
      <c r="GJ53" s="97" t="str">
        <f t="shared" si="98"/>
        <v>B</v>
      </c>
      <c r="GK53" s="97" t="str">
        <f t="shared" si="98"/>
        <v>A</v>
      </c>
      <c r="GL53" s="97" t="str">
        <f t="shared" si="98"/>
        <v>A</v>
      </c>
      <c r="GM53" s="97" t="str">
        <f t="shared" si="98"/>
        <v>A</v>
      </c>
      <c r="GN53" s="97" t="str">
        <f t="shared" si="98"/>
        <v>A</v>
      </c>
      <c r="GO53" s="97" t="str">
        <f t="shared" si="98"/>
        <v>A</v>
      </c>
      <c r="GP53" s="97" t="str">
        <f t="shared" si="98"/>
        <v>A</v>
      </c>
      <c r="GQ53" s="97" t="str">
        <f t="shared" si="98"/>
        <v>A</v>
      </c>
      <c r="GR53" s="97" t="str">
        <f t="shared" si="98"/>
        <v>B</v>
      </c>
      <c r="GS53" s="97" t="str">
        <f t="shared" si="98"/>
        <v>B</v>
      </c>
      <c r="GT53" s="97" t="str">
        <f t="shared" si="98"/>
        <v>B</v>
      </c>
      <c r="GU53" s="97" t="str">
        <f t="shared" si="98"/>
        <v>A</v>
      </c>
      <c r="GV53" s="97" t="str">
        <f t="shared" si="98"/>
        <v>A</v>
      </c>
      <c r="GW53" s="97" t="str">
        <f t="shared" si="98"/>
        <v>A</v>
      </c>
      <c r="GX53" s="97" t="str">
        <f t="shared" si="98"/>
        <v>A</v>
      </c>
      <c r="GY53" s="98"/>
      <c r="GZ53" s="97">
        <f t="shared" si="3"/>
        <v>56</v>
      </c>
      <c r="HA53" s="97">
        <f t="shared" si="4"/>
        <v>44</v>
      </c>
      <c r="HB53" s="90">
        <f t="shared" si="5"/>
        <v>100</v>
      </c>
      <c r="HC53" s="99"/>
      <c r="HD53" s="97">
        <f t="shared" si="6"/>
        <v>7</v>
      </c>
      <c r="HE53" s="97">
        <f t="shared" si="7"/>
        <v>5</v>
      </c>
      <c r="HF53" s="90">
        <f t="shared" si="8"/>
        <v>12</v>
      </c>
      <c r="HG53" s="99"/>
      <c r="HH53" s="97">
        <f t="shared" si="9"/>
        <v>5</v>
      </c>
      <c r="HI53" s="97">
        <f t="shared" si="10"/>
        <v>4</v>
      </c>
      <c r="HJ53" s="90">
        <f t="shared" si="11"/>
        <v>9</v>
      </c>
      <c r="HK53" s="99"/>
      <c r="HL53" s="97">
        <f t="shared" si="12"/>
        <v>6</v>
      </c>
      <c r="HM53" s="97">
        <f t="shared" si="13"/>
        <v>8</v>
      </c>
      <c r="HN53" s="90">
        <f t="shared" si="14"/>
        <v>14</v>
      </c>
      <c r="HO53" s="99"/>
      <c r="HP53" s="97">
        <f t="shared" si="15"/>
        <v>5</v>
      </c>
      <c r="HQ53" s="97">
        <f t="shared" si="16"/>
        <v>7</v>
      </c>
      <c r="HR53" s="90">
        <f t="shared" si="17"/>
        <v>12</v>
      </c>
      <c r="HS53" s="99"/>
      <c r="HT53" s="97">
        <f t="shared" si="18"/>
        <v>3</v>
      </c>
      <c r="HU53" s="97">
        <f t="shared" si="19"/>
        <v>2</v>
      </c>
      <c r="HV53" s="90">
        <f t="shared" si="20"/>
        <v>5</v>
      </c>
      <c r="HW53" s="99"/>
      <c r="HX53" s="97">
        <f t="shared" si="21"/>
        <v>5</v>
      </c>
      <c r="HY53" s="97">
        <f t="shared" si="22"/>
        <v>1</v>
      </c>
      <c r="HZ53" s="90">
        <f t="shared" si="23"/>
        <v>6</v>
      </c>
      <c r="IA53" s="99"/>
      <c r="IB53" s="97">
        <f t="shared" si="24"/>
        <v>1</v>
      </c>
      <c r="IC53" s="97">
        <f t="shared" si="25"/>
        <v>2</v>
      </c>
      <c r="ID53" s="90">
        <f t="shared" si="26"/>
        <v>3</v>
      </c>
      <c r="IE53" s="99"/>
      <c r="IF53" s="97">
        <f t="shared" si="27"/>
        <v>7</v>
      </c>
      <c r="IG53" s="97">
        <f t="shared" si="28"/>
        <v>6</v>
      </c>
      <c r="IH53" s="90">
        <f t="shared" si="29"/>
        <v>13</v>
      </c>
      <c r="II53" s="99"/>
      <c r="IJ53" s="97">
        <f t="shared" si="30"/>
        <v>6</v>
      </c>
      <c r="IK53" s="97">
        <f t="shared" si="31"/>
        <v>5</v>
      </c>
      <c r="IL53" s="90">
        <f t="shared" si="32"/>
        <v>11</v>
      </c>
      <c r="IM53" s="99"/>
      <c r="IN53" s="97">
        <f t="shared" si="33"/>
        <v>4</v>
      </c>
      <c r="IO53" s="97">
        <f t="shared" si="34"/>
        <v>3</v>
      </c>
      <c r="IP53" s="90">
        <f t="shared" si="35"/>
        <v>7</v>
      </c>
      <c r="IQ53" s="99"/>
      <c r="IR53" s="99"/>
      <c r="IS53" s="100">
        <f t="shared" si="36"/>
        <v>12</v>
      </c>
      <c r="IT53" s="100">
        <f t="shared" si="37"/>
        <v>9</v>
      </c>
      <c r="IU53" s="100">
        <f t="shared" si="38"/>
        <v>14</v>
      </c>
      <c r="IV53" s="100">
        <f t="shared" si="39"/>
        <v>12</v>
      </c>
      <c r="IW53" s="100">
        <f t="shared" si="40"/>
        <v>5</v>
      </c>
      <c r="IX53" s="100">
        <f t="shared" si="41"/>
        <v>6</v>
      </c>
      <c r="IY53" s="100">
        <f t="shared" si="42"/>
        <v>3</v>
      </c>
      <c r="IZ53" s="100">
        <f t="shared" si="43"/>
        <v>13</v>
      </c>
      <c r="JA53" s="100">
        <f t="shared" si="44"/>
        <v>11</v>
      </c>
      <c r="JB53" s="101">
        <f t="shared" si="45"/>
        <v>7</v>
      </c>
      <c r="JC53" s="102">
        <f t="shared" si="46"/>
        <v>92</v>
      </c>
      <c r="JD53" s="67">
        <f t="shared" si="50"/>
        <v>1</v>
      </c>
      <c r="JE53" s="67">
        <f t="shared" si="47"/>
        <v>2</v>
      </c>
      <c r="JF53" s="67">
        <f t="shared" si="48"/>
        <v>3</v>
      </c>
    </row>
    <row r="54">
      <c r="A54" s="103">
        <f>IFERROR(__xludf.DUMMYFUNCTION("""COMPUTED_VALUE"""),45930.38249609954)</f>
        <v>45930.3825</v>
      </c>
      <c r="B54" s="95" t="str">
        <f>IFERROR(__xludf.DUMMYFUNCTION("""COMPUTED_VALUE"""),"Satria Ibrahim Tamaoki")</f>
        <v>Satria Ibrahim Tamaoki</v>
      </c>
      <c r="C54" s="96" t="str">
        <f>IFERROR(__xludf.DUMMYFUNCTION("""COMPUTED_VALUE"""),"A250072")</f>
        <v>A250072</v>
      </c>
      <c r="D54" s="96" t="str">
        <f>IFERROR(__xludf.DUMMYFUNCTION("""COMPUTED_VALUE"""),"MTs Putra")</f>
        <v>MTs Putra</v>
      </c>
      <c r="E54" s="96" t="str">
        <f>IFERROR(__xludf.DUMMYFUNCTION("""COMPUTED_VALUE"""),"Ya")</f>
        <v>Ya</v>
      </c>
      <c r="F54" s="95" t="str">
        <f>IFERROR(__xludf.DUMMYFUNCTION("""COMPUTED_VALUE"""),"B Saya ingin melakukan apa saja sebaik mungkin.")</f>
        <v>B Saya ingin melakukan apa saja sebaik mungkin.</v>
      </c>
      <c r="G54" s="95" t="str">
        <f>IFERROR(__xludf.DUMMYFUNCTION("""COMPUTED_VALUE"""),"A Saya ingin setiap tulisan saya teliti, rapi, dan tersusun dengan baik.")</f>
        <v>A Saya ingin setiap tulisan saya teliti, rapi, dan tersusun dengan baik.</v>
      </c>
      <c r="H54" s="95" t="str">
        <f>IFERROR(__xludf.DUMMYFUNCTION("""COMPUTED_VALUE"""),"B Saya ingin menjadi orang yang diakui dalam suatu pekerjaan atau bidang khusus.")</f>
        <v>B Saya ingin menjadi orang yang diakui dalam suatu pekerjaan atau bidang khusus.</v>
      </c>
      <c r="I54" s="95" t="str">
        <f>IFERROR(__xludf.DUMMYFUNCTION("""COMPUTED_VALUE"""),"B Saya ingin bisa melakukan dengan baik meskipun tugas yang sulit.")</f>
        <v>B Saya ingin bisa melakukan dengan baik meskipun tugas yang sulit.</v>
      </c>
      <c r="J54" s="95" t="str">
        <f>IFERROR(__xludf.DUMMYFUNCTION("""COMPUTED_VALUE"""),"A Saya suka membantu teman-teman saya apabila mereka mengalami kesulitan.")</f>
        <v>A Saya suka membantu teman-teman saya apabila mereka mengalami kesulitan.</v>
      </c>
      <c r="K54" s="95" t="str">
        <f>IFERROR(__xludf.DUMMYFUNCTION("""COMPUTED_VALUE"""),"B Saya ingin mengatakan telah melakukan dengan baik sesuatu tugas yang sulit.")</f>
        <v>B Saya ingin mengatakan telah melakukan dengan baik sesuatu tugas yang sulit.</v>
      </c>
      <c r="L54" s="95" t="str">
        <f>IFERROR(__xludf.DUMMYFUNCTION("""COMPUTED_VALUE"""),"B Saya ingin mengatakan telah melakukan dengan baik sesuatu tugas yang sulit")</f>
        <v>B Saya ingin mengatakan telah melakukan dengan baik sesuatu tugas yang sulit</v>
      </c>
      <c r="M54" s="95" t="str">
        <f>IFERROR(__xludf.DUMMYFUNCTION("""COMPUTED_VALUE"""),"B Saya ingin mengerjakan segala tugas lebih baik daripada orang lain.")</f>
        <v>B Saya ingin mengerjakan segala tugas lebih baik daripada orang lain.</v>
      </c>
      <c r="N54" s="95" t="str">
        <f>IFERROR(__xludf.DUMMYFUNCTION("""COMPUTED_VALUE"""),"B Saya suka memecahkan persoalan yang sukar bagi orang lain.")</f>
        <v>B Saya suka memecahkan persoalan yang sukar bagi orang lain.</v>
      </c>
      <c r="O54" s="95" t="str">
        <f>IFERROR(__xludf.DUMMYFUNCTION("""COMPUTED_VALUE"""),"B Saya suka melakukan tugas sebaik mungkin.")</f>
        <v>B Saya suka melakukan tugas sebaik mungkin.</v>
      </c>
      <c r="P54" s="95" t="str">
        <f>IFERROR(__xludf.DUMMYFUNCTION("""COMPUTED_VALUE"""),"B Saya ingin setiap belajar itu teratur dan direncanakan.")</f>
        <v>B Saya ingin setiap belajar itu teratur dan direncanakan.</v>
      </c>
      <c r="Q54" s="95" t="str">
        <f>IFERROR(__xludf.DUMMYFUNCTION("""COMPUTED_VALUE"""),"B Saya merencanakan keperluan yang dibutuhkan sebelum bepergian.")</f>
        <v>B Saya merencanakan keperluan yang dibutuhkan sebelum bepergian.</v>
      </c>
      <c r="R54" s="95" t="str">
        <f>IFERROR(__xludf.DUMMYFUNCTION("""COMPUTED_VALUE"""),"B Saya suka barang-barang saya tersusun rapi dan teratur.")</f>
        <v>B Saya suka barang-barang saya tersusun rapi dan teratur.</v>
      </c>
      <c r="S54" s="95" t="str">
        <f>IFERROR(__xludf.DUMMYFUNCTION("""COMPUTED_VALUE"""),"B Saya suka membuat perencanaan sebelum memulai tugas yang sulit.")</f>
        <v>B Saya suka membuat perencanaan sebelum memulai tugas yang sulit.</v>
      </c>
      <c r="T54" s="95" t="str">
        <f>IFERROR(__xludf.DUMMYFUNCTION("""COMPUTED_VALUE"""),"B Saya ingin agar hidup saya teratur sesuai cita-cita saya.")</f>
        <v>B Saya ingin agar hidup saya teratur sesuai cita-cita saya.</v>
      </c>
      <c r="U54" s="95" t="str">
        <f>IFERROR(__xludf.DUMMYFUNCTION("""COMPUTED_VALUE"""),"A Saya suka memberikan bantuan kepada teman-teman saya.")</f>
        <v>A Saya suka memberikan bantuan kepada teman-teman saya.</v>
      </c>
      <c r="V54" s="95" t="str">
        <f>IFERROR(__xludf.DUMMYFUNCTION("""COMPUTED_VALUE"""),"A Saya suka belajar sampai malam untuk menyelesaikan suatu tugas.")</f>
        <v>A Saya suka belajar sampai malam untuk menyelesaikan suatu tugas.</v>
      </c>
      <c r="W54" s="95" t="str">
        <f>IFERROR(__xludf.DUMMYFUNCTION("""COMPUTED_VALUE"""),"B Saya ingin kegiatan itu teratur dan direncanakan.")</f>
        <v>B Saya ingin kegiatan itu teratur dan direncanakan.</v>
      </c>
      <c r="X54" s="95" t="str">
        <f>IFERROR(__xludf.DUMMYFUNCTION("""COMPUTED_VALUE"""),"B Saya ingin agar hidup saya teratur sesuai cita-cita saya.")</f>
        <v>B Saya ingin agar hidup saya teratur sesuai cita-cita saya.</v>
      </c>
      <c r="Y54" s="95" t="str">
        <f>IFERROR(__xludf.DUMMYFUNCTION("""COMPUTED_VALUE"""),"B Saya senang merencanakan untuk masa depan.")</f>
        <v>B Saya senang merencanakan untuk masa depan.</v>
      </c>
      <c r="Z54" s="95" t="str">
        <f>IFERROR(__xludf.DUMMYFUNCTION("""COMPUTED_VALUE"""),"A Saya ingin berhasil dengan belajar yang saya lakukan.")</f>
        <v>A Saya ingin berhasil dengan belajar yang saya lakukan.</v>
      </c>
      <c r="AA54" s="95" t="str">
        <f>IFERROR(__xludf.DUMMYFUNCTION("""COMPUTED_VALUE"""),"A Saya suka menyelesaikan tugas yang telah saya rencanakan.")</f>
        <v>A Saya suka menyelesaikan tugas yang telah saya rencanakan.</v>
      </c>
      <c r="AB54" s="95" t="str">
        <f>IFERROR(__xludf.DUMMYFUNCTION("""COMPUTED_VALUE"""),"B Saya ingin menyelesaikan pekerjaan satu persatu sebelum memulai yang lain.")</f>
        <v>B Saya ingin menyelesaikan pekerjaan satu persatu sebelum memulai yang lain.</v>
      </c>
      <c r="AC54" s="95" t="str">
        <f>IFERROR(__xludf.DUMMYFUNCTION("""COMPUTED_VALUE"""),"A Saya suka menyelesaikan setiap tugas meskipun membutuhkan waktu lama.")</f>
        <v>A Saya suka menyelesaikan setiap tugas meskipun membutuhkan waktu lama.</v>
      </c>
      <c r="AD54" s="95" t="str">
        <f>IFERROR(__xludf.DUMMYFUNCTION("""COMPUTED_VALUE"""),"A Saya suka bermurah hati terhadap teman-teman saya.")</f>
        <v>A Saya suka bermurah hati terhadap teman-teman saya.</v>
      </c>
      <c r="AE54" s="95" t="str">
        <f>IFERROR(__xludf.DUMMYFUNCTION("""COMPUTED_VALUE"""),"A Saya ingin dianggap sebagai pemimpin oleh teman di kelompok.")</f>
        <v>A Saya ingin dianggap sebagai pemimpin oleh teman di kelompok.</v>
      </c>
      <c r="AF54" s="95" t="str">
        <f>IFERROR(__xludf.DUMMYFUNCTION("""COMPUTED_VALUE"""),"A Saya ingin agar teman-teman mengerti bila saya mengalami kesukaran.")</f>
        <v>A Saya ingin agar teman-teman mengerti bila saya mengalami kesukaran.</v>
      </c>
      <c r="AG54" s="95" t="str">
        <f>IFERROR(__xludf.DUMMYFUNCTION("""COMPUTED_VALUE"""),"A Saya mengajari orang lain bagaimana mereka harus melakukan pekerjaan mereka.")</f>
        <v>A Saya mengajari orang lain bagaimana mereka harus melakukan pekerjaan mereka.</v>
      </c>
      <c r="AH54" s="95" t="str">
        <f>IFERROR(__xludf.DUMMYFUNCTION("""COMPUTED_VALUE"""),"A Saya suka membaca buku-buku tentang pergaulan remaja.")</f>
        <v>A Saya suka membaca buku-buku tentang pergaulan remaja.</v>
      </c>
      <c r="AI54" s="95" t="str">
        <f>IFERROR(__xludf.DUMMYFUNCTION("""COMPUTED_VALUE"""),"B Saya suka melakukan kegiatan sesuai kondisi yang saya inginkan.")</f>
        <v>B Saya suka melakukan kegiatan sesuai kondisi yang saya inginkan.</v>
      </c>
      <c r="AJ54" s="95" t="str">
        <f>IFERROR(__xludf.DUMMYFUNCTION("""COMPUTED_VALUE"""),"B Saya suka bertahan menghadapi satu masalah meskipun belum tentu berhasil.")</f>
        <v>B Saya suka bertahan menghadapi satu masalah meskipun belum tentu berhasil.</v>
      </c>
      <c r="AK54" s="95" t="str">
        <f>IFERROR(__xludf.DUMMYFUNCTION("""COMPUTED_VALUE"""),"B Bila saya harus melakukan suatu tugas, saya ingin mengerjakan sampai selesai.")</f>
        <v>B Bila saya harus melakukan suatu tugas, saya ingin mengerjakan sampai selesai.</v>
      </c>
      <c r="AL54" s="95" t="str">
        <f>IFERROR(__xludf.DUMMYFUNCTION("""COMPUTED_VALUE"""),"B Saya ingin menghindarkan gangguan bila saya sedang belajar.")</f>
        <v>B Saya ingin menghindarkan gangguan bila saya sedang belajar.</v>
      </c>
      <c r="AM54" s="95" t="str">
        <f>IFERROR(__xludf.DUMMYFUNCTION("""COMPUTED_VALUE"""),"B Saya suka belajar sampai malam untuk menyelesaikan suatu tugas.")</f>
        <v>B Saya suka belajar sampai malam untuk menyelesaikan suatu tugas.</v>
      </c>
      <c r="AN54" s="95" t="str">
        <f>IFERROR(__xludf.DUMMYFUNCTION("""COMPUTED_VALUE"""),"A Saya tidak suka pada orang yang semena-mena.")</f>
        <v>A Saya tidak suka pada orang yang semena-mena.</v>
      </c>
      <c r="AO54" s="95" t="str">
        <f>IFERROR(__xludf.DUMMYFUNCTION("""COMPUTED_VALUE"""),"A Saya suka berlaku sangat ramah terhadap teman-teman saya.")</f>
        <v>A Saya suka berlaku sangat ramah terhadap teman-teman saya.</v>
      </c>
      <c r="AP54" s="95" t="str">
        <f>IFERROR(__xludf.DUMMYFUNCTION("""COMPUTED_VALUE"""),"B Saya suka bertahan menghadapi satu masalah meskipun belum tentu berhasil.")</f>
        <v>B Saya suka bertahan menghadapi satu masalah meskipun belum tentu berhasil.</v>
      </c>
      <c r="AQ54" s="95" t="str">
        <f>IFERROR(__xludf.DUMMYFUNCTION("""COMPUTED_VALUE"""),"A Saya ingin bisa mengerjakan segala sesuatu lebih baik daripada orang-orang lain.")</f>
        <v>A Saya ingin bisa mengerjakan segala sesuatu lebih baik daripada orang-orang lain.</v>
      </c>
      <c r="AR54" s="95" t="str">
        <f>IFERROR(__xludf.DUMMYFUNCTION("""COMPUTED_VALUE"""),"B Saya suka belajar keras pada tiap pelajaran yang saya hadapi.")</f>
        <v>B Saya suka belajar keras pada tiap pelajaran yang saya hadapi.</v>
      </c>
      <c r="AS54" s="95" t="str">
        <f>IFERROR(__xludf.DUMMYFUNCTION("""COMPUTED_VALUE"""),"B Saya suka belajar sampai malam untuk menyelesaikan suatu tugas.")</f>
        <v>B Saya suka belajar sampai malam untuk menyelesaikan suatu tugas.</v>
      </c>
      <c r="AT54" s="95" t="str">
        <f>IFERROR(__xludf.DUMMYFUNCTION("""COMPUTED_VALUE"""),"B Saya suka membantu orang lain yang menurut saya perlu dikasihani.")</f>
        <v>B Saya suka membantu orang lain yang menurut saya perlu dikasihani.</v>
      </c>
      <c r="AU54" s="95" t="str">
        <f>IFERROR(__xludf.DUMMYFUNCTION("""COMPUTED_VALUE"""),"B Saya suka bermurah hati terhadap teman-teman saya.")</f>
        <v>B Saya suka bermurah hati terhadap teman-teman saya.</v>
      </c>
      <c r="AV54" s="95" t="str">
        <f>IFERROR(__xludf.DUMMYFUNCTION("""COMPUTED_VALUE"""),"B Saya suka menolong teman-teman saya.")</f>
        <v>B Saya suka menolong teman-teman saya.</v>
      </c>
      <c r="AW54" s="95" t="str">
        <f>IFERROR(__xludf.DUMMYFUNCTION("""COMPUTED_VALUE"""),"B Saya ingin teman-teman saya percaya bahwa saya bisa menolong mereka.")</f>
        <v>B Saya ingin teman-teman saya percaya bahwa saya bisa menolong mereka.</v>
      </c>
      <c r="AX54" s="95" t="str">
        <f>IFERROR(__xludf.DUMMYFUNCTION("""COMPUTED_VALUE"""),"A Saya suka menolong teman-teman saya apabila mereka dalam kesulitan.")</f>
        <v>A Saya suka menolong teman-teman saya apabila mereka dalam kesulitan.</v>
      </c>
      <c r="AY54" s="95" t="str">
        <f>IFERROR(__xludf.DUMMYFUNCTION("""COMPUTED_VALUE"""),"B Saya suka menolong teman-teman saya apabila mereka dalam kesulitan.")</f>
        <v>B Saya suka menolong teman-teman saya apabila mereka dalam kesulitan.</v>
      </c>
      <c r="AZ54" s="95" t="str">
        <f>IFERROR(__xludf.DUMMYFUNCTION("""COMPUTED_VALUE"""),"B Saya suka menunjukkan simpati saya kepada teman-teman saya.")</f>
        <v>B Saya suka menunjukkan simpati saya kepada teman-teman saya.</v>
      </c>
      <c r="BA54" s="95" t="str">
        <f>IFERROR(__xludf.DUMMYFUNCTION("""COMPUTED_VALUE"""),"B Saya suka memperlakukan orang lain dengan baik dan ramah.")</f>
        <v>B Saya suka memperlakukan orang lain dengan baik dan ramah.</v>
      </c>
      <c r="BB54" s="95" t="str">
        <f>IFERROR(__xludf.DUMMYFUNCTION("""COMPUTED_VALUE"""),"B Saya suka bermurah hati terhadap teman-teman saya.")</f>
        <v>B Saya suka bermurah hati terhadap teman-teman saya.</v>
      </c>
      <c r="BC54" s="95" t="str">
        <f>IFERROR(__xludf.DUMMYFUNCTION("""COMPUTED_VALUE"""),"B Saya suka membantu orang lain yang menurut saya perlu dikasihani.")</f>
        <v>B Saya suka membantu orang lain yang menurut saya perlu dikasihani.</v>
      </c>
      <c r="BD54" s="95" t="str">
        <f>IFERROR(__xludf.DUMMYFUNCTION("""COMPUTED_VALUE"""),"B Saya suka bersikukuh dengan pendirian saya.")</f>
        <v>B Saya suka bersikukuh dengan pendirian saya.</v>
      </c>
      <c r="BE54" s="95" t="str">
        <f>IFERROR(__xludf.DUMMYFUNCTION("""COMPUTED_VALUE"""),"B Saya ingin orang lain melakukan apa yang saya kehendaki.")</f>
        <v>B Saya ingin orang lain melakukan apa yang saya kehendaki.</v>
      </c>
      <c r="BF54" s="95" t="str">
        <f>IFERROR(__xludf.DUMMYFUNCTION("""COMPUTED_VALUE"""),"B Bila saya dalam kelompok, saya ingin menentukan apa yang akan kita lakukan.")</f>
        <v>B Bila saya dalam kelompok, saya ingin menentukan apa yang akan kita lakukan.</v>
      </c>
      <c r="BG54" s="95" t="str">
        <f>IFERROR(__xludf.DUMMYFUNCTION("""COMPUTED_VALUE"""),"B Saya suka mengarahkan kepada orang lain apa yang harus dilakukan.")</f>
        <v>B Saya suka mengarahkan kepada orang lain apa yang harus dilakukan.</v>
      </c>
      <c r="BH54" s="95" t="str">
        <f>IFERROR(__xludf.DUMMYFUNCTION("""COMPUTED_VALUE"""),"B Apabila saya berkumpul dalam kelompok, saya ingin dihargai teman-teman.")</f>
        <v>B Apabila saya berkumpul dalam kelompok, saya ingin dihargai teman-teman.</v>
      </c>
      <c r="BI54" s="95" t="str">
        <f>IFERROR(__xludf.DUMMYFUNCTION("""COMPUTED_VALUE"""),"A Saya suka bermurah hati terhadap teman-teman saya.")</f>
        <v>A Saya suka bermurah hati terhadap teman-teman saya.</v>
      </c>
      <c r="BJ54" s="95" t="str">
        <f>IFERROR(__xludf.DUMMYFUNCTION("""COMPUTED_VALUE"""),"A Saya ingin mengerjakan tugas sampai selesai.")</f>
        <v>A Saya ingin mengerjakan tugas sampai selesai.</v>
      </c>
      <c r="BK54" s="95" t="str">
        <f>IFERROR(__xludf.DUMMYFUNCTION("""COMPUTED_VALUE"""),"A Saya ingin menyelesaikan pekerjaan satu persatu sebelum memulai yang lain.")</f>
        <v>A Saya ingin menyelesaikan pekerjaan satu persatu sebelum memulai yang lain.</v>
      </c>
      <c r="BL54" s="95" t="str">
        <f>IFERROR(__xludf.DUMMYFUNCTION("""COMPUTED_VALUE"""),"A Saya suka belajar saya teratur dan ada waktu-waktu tertentu untuk belajar.")</f>
        <v>A Saya suka belajar saya teratur dan ada waktu-waktu tertentu untuk belajar.</v>
      </c>
      <c r="BM54" s="95" t="str">
        <f>IFERROR(__xludf.DUMMYFUNCTION("""COMPUTED_VALUE"""),"A Saya suka melakukan pekerjaan sebaik mungkin.")</f>
        <v>A Saya suka melakukan pekerjaan sebaik mungkin.</v>
      </c>
      <c r="BN54" s="95" t="str">
        <f>IFERROR(__xludf.DUMMYFUNCTION("""COMPUTED_VALUE"""),"A Saya suka mengerjakan teka-teki atau memecahkan persoalan sampai selesai.")</f>
        <v>A Saya suka mengerjakan teka-teki atau memecahkan persoalan sampai selesai.</v>
      </c>
      <c r="BO54" s="95" t="str">
        <f>IFERROR(__xludf.DUMMYFUNCTION("""COMPUTED_VALUE"""),"A Saya suka membuat perencanaan sebelum memulai belajar yang sulit.")</f>
        <v>A Saya suka membuat perencanaan sebelum memulai belajar yang sulit.</v>
      </c>
      <c r="BP54" s="95" t="str">
        <f>IFERROR(__xludf.DUMMYFUNCTION("""COMPUTED_VALUE"""),"A Saya ingin menyelesaikan sesuatu yang sangat penting artinya.")</f>
        <v>A Saya ingin menyelesaikan sesuatu yang sangat penting artinya.</v>
      </c>
      <c r="BQ54" s="95" t="str">
        <f>IFERROR(__xludf.DUMMYFUNCTION("""COMPUTED_VALUE"""),"A Saya ingin mengerjakannya tugas sampai selesai.")</f>
        <v>A Saya ingin mengerjakannya tugas sampai selesai.</v>
      </c>
      <c r="BR54" s="95" t="str">
        <f>IFERROR(__xludf.DUMMYFUNCTION("""COMPUTED_VALUE"""),"A Saya suka memaafkan teman-teman saya yang menyakiti hati saya.")</f>
        <v>A Saya suka memaafkan teman-teman saya yang menyakiti hati saya.</v>
      </c>
      <c r="BS54" s="95" t="str">
        <f>IFERROR(__xludf.DUMMYFUNCTION("""COMPUTED_VALUE"""),"B Saya ingin teman-teman saya membantu saya bila saya mengalami kesulitan")</f>
        <v>B Saya ingin teman-teman saya membantu saya bila saya mengalami kesulitan</v>
      </c>
      <c r="BT54" s="95" t="str">
        <f>IFERROR(__xludf.DUMMYFUNCTION("""COMPUTED_VALUE"""),"B Saya ingin teman-teman banyak menunjukkan rasa sayang mereka terhadap saya.")</f>
        <v>B Saya ingin teman-teman banyak menunjukkan rasa sayang mereka terhadap saya.</v>
      </c>
      <c r="BU54" s="95" t="str">
        <f>IFERROR(__xludf.DUMMYFUNCTION("""COMPUTED_VALUE"""),"B Saya ingin agar teman-teman saya merasa kasihan pada saya apabila saya sakit.")</f>
        <v>B Saya ingin agar teman-teman saya merasa kasihan pada saya apabila saya sakit.</v>
      </c>
      <c r="BV54" s="95" t="str">
        <f>IFERROR(__xludf.DUMMYFUNCTION("""COMPUTED_VALUE"""),"B Saya ingin teman-teman dengan gembira memberikan pertolongan kepada saya.")</f>
        <v>B Saya ingin teman-teman dengan gembira memberikan pertolongan kepada saya.</v>
      </c>
      <c r="BW54" s="95" t="str">
        <f>IFERROR(__xludf.DUMMYFUNCTION("""COMPUTED_VALUE"""),"B Saya ingin diperlakukan dengan baik oleh teman-teman saya.")</f>
        <v>B Saya ingin diperlakukan dengan baik oleh teman-teman saya.</v>
      </c>
      <c r="BX54" s="95" t="str">
        <f>IFERROR(__xludf.DUMMYFUNCTION("""COMPUTED_VALUE"""),"B Saya kadang-kadang suka melakukan hal-hal yang dapat dipuji oleh orang lain.")</f>
        <v>B Saya kadang-kadang suka melakukan hal-hal yang dapat dipuji oleh orang lain.</v>
      </c>
      <c r="BY54" s="95" t="str">
        <f>IFERROR(__xludf.DUMMYFUNCTION("""COMPUTED_VALUE"""),"A Saya suka melamun atau membayangkan hal-hal yang tidak jelas.")</f>
        <v>A Saya suka melamun atau membayangkan hal-hal yang tidak jelas.</v>
      </c>
      <c r="BZ54" s="95" t="str">
        <f>IFERROR(__xludf.DUMMYFUNCTION("""COMPUTED_VALUE"""),"B Saya suka diperhatikan, apabila saya ada di dalam suatu kelompok.")</f>
        <v>B Saya suka diperhatikan, apabila saya ada di dalam suatu kelompok.</v>
      </c>
      <c r="CA54" s="95" t="str">
        <f>IFERROR(__xludf.DUMMYFUNCTION("""COMPUTED_VALUE"""),"A Saya ingin teman-teman dengan gembira memberikan pertolongan kepada saya.")</f>
        <v>A Saya ingin teman-teman dengan gembira memberikan pertolongan kepada saya.</v>
      </c>
      <c r="CB54" s="95" t="str">
        <f>IFERROR(__xludf.DUMMYFUNCTION("""COMPUTED_VALUE"""),"B Saya suka berbicara tentang hal-hal yang telah saya capai.")</f>
        <v>B Saya suka berbicara tentang hal-hal yang telah saya capai.</v>
      </c>
      <c r="CC54" s="95" t="str">
        <f>IFERROR(__xludf.DUMMYFUNCTION("""COMPUTED_VALUE"""),"B Saya suka menceritakan hal-hal lucu agar diperhatikan oleh orang lain.")</f>
        <v>B Saya suka menceritakan hal-hal lucu agar diperhatikan oleh orang lain.</v>
      </c>
      <c r="CD54" s="95" t="str">
        <f>IFERROR(__xludf.DUMMYFUNCTION("""COMPUTED_VALUE"""),"A Saya suka menyelesaikan setiap tugas meskipun membutuhkan waktu lama.")</f>
        <v>A Saya suka menyelesaikan setiap tugas meskipun membutuhkan waktu lama.</v>
      </c>
      <c r="CE54" s="95" t="str">
        <f>IFERROR(__xludf.DUMMYFUNCTION("""COMPUTED_VALUE"""),"A Saya suka menyelesaikan setiap tugas belajar yang telah saya mulai.")</f>
        <v>A Saya suka menyelesaikan setiap tugas belajar yang telah saya mulai.</v>
      </c>
      <c r="CF54" s="95" t="str">
        <f>IFERROR(__xludf.DUMMYFUNCTION("""COMPUTED_VALUE"""),"A Saya ingin agar hidup saya teratur sesuai cita-cita saya.")</f>
        <v>A Saya ingin agar hidup saya teratur sesuai cita-cita saya.</v>
      </c>
      <c r="CG54" s="95" t="str">
        <f>IFERROR(__xludf.DUMMYFUNCTION("""COMPUTED_VALUE"""),"A Saya ingin berhasil dalam apa yang saya lakukan.")</f>
        <v>A Saya ingin berhasil dalam apa yang saya lakukan.</v>
      </c>
      <c r="CH54" s="95" t="str">
        <f>IFERROR(__xludf.DUMMYFUNCTION("""COMPUTED_VALUE"""),"A Saya ingin bisa melakukan dengan baik sesuatu pekerjaan sulit.")</f>
        <v>A Saya ingin bisa melakukan dengan baik sesuatu pekerjaan sulit.</v>
      </c>
      <c r="CI54" s="95" t="str">
        <f>IFERROR(__xludf.DUMMYFUNCTION("""COMPUTED_VALUE"""),"B Saya ingin dianggap menarik oleh orang lain.")</f>
        <v>B Saya ingin dianggap menarik oleh orang lain.</v>
      </c>
      <c r="CJ54" s="95" t="str">
        <f>IFERROR(__xludf.DUMMYFUNCTION("""COMPUTED_VALUE"""),"A Saya ingin tidak tergantung dari orang lain terhadap apa yang akan saya lakukan.")</f>
        <v>A Saya ingin tidak tergantung dari orang lain terhadap apa yang akan saya lakukan.</v>
      </c>
      <c r="CK54" s="95" t="str">
        <f>IFERROR(__xludf.DUMMYFUNCTION("""COMPUTED_VALUE"""),"B Saya senang ikut beraktivitas bersama teman sebaya saya.")</f>
        <v>B Saya senang ikut beraktivitas bersama teman sebaya saya.</v>
      </c>
      <c r="CL54" s="95" t="str">
        <f>IFERROR(__xludf.DUMMYFUNCTION("""COMPUTED_VALUE"""),"A Saya suka menolong teman-teman saya, apabila mereka dalam kesulitan.")</f>
        <v>A Saya suka menolong teman-teman saya, apabila mereka dalam kesulitan.</v>
      </c>
      <c r="CM54" s="95" t="str">
        <f>IFERROR(__xludf.DUMMYFUNCTION("""COMPUTED_VALUE"""),"B Saya merasa kagum pada seseorang.")</f>
        <v>B Saya merasa kagum pada seseorang.</v>
      </c>
      <c r="CN54" s="95" t="str">
        <f>IFERROR(__xludf.DUMMYFUNCTION("""COMPUTED_VALUE"""),"A Saya ingin diperlakukan dengan baik oleh teman-teman saya.")</f>
        <v>A Saya ingin diperlakukan dengan baik oleh teman-teman saya.</v>
      </c>
      <c r="CO54" s="95" t="str">
        <f>IFERROR(__xludf.DUMMYFUNCTION("""COMPUTED_VALUE"""),"A Saya suka menceritakan hal-hal lucu agar diperhatikan oleh orang lain.")</f>
        <v>A Saya suka menceritakan hal-hal lucu agar diperhatikan oleh orang lain.</v>
      </c>
      <c r="CP54" s="95" t="str">
        <f>IFERROR(__xludf.DUMMYFUNCTION("""COMPUTED_VALUE"""),"A Saya suka melamun atau membayangkan sesuatu sendirian.")</f>
        <v>A Saya suka melamun atau membayangkan sesuatu sendirian.</v>
      </c>
      <c r="CQ54" s="95" t="str">
        <f>IFERROR(__xludf.DUMMYFUNCTION("""COMPUTED_VALUE"""),"B Saya merasa kagum pada seseorang.")</f>
        <v>B Saya merasa kagum pada seseorang.</v>
      </c>
      <c r="CR54" s="95" t="str">
        <f>IFERROR(__xludf.DUMMYFUNCTION("""COMPUTED_VALUE"""),"B Saya rasanya ingin mengecam seseorang bila orang itu menjengkelkan.")</f>
        <v>B Saya rasanya ingin mengecam seseorang bila orang itu menjengkelkan.</v>
      </c>
      <c r="CS54" s="95" t="str">
        <f>IFERROR(__xludf.DUMMYFUNCTION("""COMPUTED_VALUE"""),"A Saya ingin terlihat menarik di depan teman-teman saya.")</f>
        <v>A Saya ingin terlihat menarik di depan teman-teman saya.</v>
      </c>
      <c r="CT54" s="95" t="str">
        <f>IFERROR(__xludf.DUMMYFUNCTION("""COMPUTED_VALUE"""),"A Saya ingin orang-orang memperhatikan komentar mengenai penampilan saya.")</f>
        <v>A Saya ingin orang-orang memperhatikan komentar mengenai penampilan saya.</v>
      </c>
      <c r="CU54" s="95" t="str">
        <f>IFERROR(__xludf.DUMMYFUNCTION("""COMPUTED_VALUE"""),"A Saya ingin diperlakukan dengan ramah oleh teman-teman saya.")</f>
        <v>A Saya ingin diperlakukan dengan ramah oleh teman-teman saya.</v>
      </c>
      <c r="CV54" s="95" t="str">
        <f>IFERROR(__xludf.DUMMYFUNCTION("""COMPUTED_VALUE"""),"A Saya ingin ditunjuk atau dipilih sebagai ketua dalam suatu kelompok.")</f>
        <v>A Saya ingin ditunjuk atau dipilih sebagai ketua dalam suatu kelompok.</v>
      </c>
      <c r="CW54" s="95" t="str">
        <f>IFERROR(__xludf.DUMMYFUNCTION("""COMPUTED_VALUE"""),"A Saya suka menolong teman-teman saya, apabila mereka dalam kesulitan.")</f>
        <v>A Saya suka menolong teman-teman saya, apabila mereka dalam kesulitan.</v>
      </c>
      <c r="CX54" s="95" t="str">
        <f>IFERROR(__xludf.DUMMYFUNCTION("""COMPUTED_VALUE"""),"A Saya suka belajar sampai malam untuk menyelesaikan suatu tugas.")</f>
        <v>A Saya suka belajar sampai malam untuk menyelesaikan suatu tugas.</v>
      </c>
      <c r="CY54" s="95" t="str">
        <f>IFERROR(__xludf.DUMMYFUNCTION("""COMPUTED_VALUE"""),"A Saya ingin tidak tergantung dari orang lain terhadap apa yang akan saya lakukan.")</f>
        <v>A Saya ingin tidak tergantung dari orang lain terhadap apa yang akan saya lakukan.</v>
      </c>
      <c r="CZ54" s="95" t="str">
        <f>IFERROR(__xludf.DUMMYFUNCTION("""COMPUTED_VALUE"""),"A Saya suka merencanakan dan mengatur setiap pekerjaan yang harus saya lakukan.")</f>
        <v>A Saya suka merencanakan dan mengatur setiap pekerjaan yang harus saya lakukan.</v>
      </c>
      <c r="DA54" s="95" t="str">
        <f>IFERROR(__xludf.DUMMYFUNCTION("""COMPUTED_VALUE"""),"A Saya ingin melakukan apa saja sebaik mungkin.")</f>
        <v>A Saya ingin melakukan apa saja sebaik mungkin.</v>
      </c>
      <c r="DB54" s="89" t="s">
        <v>23</v>
      </c>
      <c r="DC54" s="97" t="str">
        <f t="shared" ref="DC54:GX54" si="99">LEFT(F54,1)</f>
        <v>B</v>
      </c>
      <c r="DD54" s="97" t="str">
        <f t="shared" si="99"/>
        <v>A</v>
      </c>
      <c r="DE54" s="97" t="str">
        <f t="shared" si="99"/>
        <v>B</v>
      </c>
      <c r="DF54" s="97" t="str">
        <f t="shared" si="99"/>
        <v>B</v>
      </c>
      <c r="DG54" s="97" t="str">
        <f t="shared" si="99"/>
        <v>A</v>
      </c>
      <c r="DH54" s="97" t="str">
        <f t="shared" si="99"/>
        <v>B</v>
      </c>
      <c r="DI54" s="97" t="str">
        <f t="shared" si="99"/>
        <v>B</v>
      </c>
      <c r="DJ54" s="97" t="str">
        <f t="shared" si="99"/>
        <v>B</v>
      </c>
      <c r="DK54" s="97" t="str">
        <f t="shared" si="99"/>
        <v>B</v>
      </c>
      <c r="DL54" s="97" t="str">
        <f t="shared" si="99"/>
        <v>B</v>
      </c>
      <c r="DM54" s="97" t="str">
        <f t="shared" si="99"/>
        <v>B</v>
      </c>
      <c r="DN54" s="97" t="str">
        <f t="shared" si="99"/>
        <v>B</v>
      </c>
      <c r="DO54" s="97" t="str">
        <f t="shared" si="99"/>
        <v>B</v>
      </c>
      <c r="DP54" s="97" t="str">
        <f t="shared" si="99"/>
        <v>B</v>
      </c>
      <c r="DQ54" s="97" t="str">
        <f t="shared" si="99"/>
        <v>B</v>
      </c>
      <c r="DR54" s="97" t="str">
        <f t="shared" si="99"/>
        <v>A</v>
      </c>
      <c r="DS54" s="97" t="str">
        <f t="shared" si="99"/>
        <v>A</v>
      </c>
      <c r="DT54" s="97" t="str">
        <f t="shared" si="99"/>
        <v>B</v>
      </c>
      <c r="DU54" s="97" t="str">
        <f t="shared" si="99"/>
        <v>B</v>
      </c>
      <c r="DV54" s="97" t="str">
        <f t="shared" si="99"/>
        <v>B</v>
      </c>
      <c r="DW54" s="97" t="str">
        <f t="shared" si="99"/>
        <v>A</v>
      </c>
      <c r="DX54" s="97" t="str">
        <f t="shared" si="99"/>
        <v>A</v>
      </c>
      <c r="DY54" s="97" t="str">
        <f t="shared" si="99"/>
        <v>B</v>
      </c>
      <c r="DZ54" s="97" t="str">
        <f t="shared" si="99"/>
        <v>A</v>
      </c>
      <c r="EA54" s="97" t="str">
        <f t="shared" si="99"/>
        <v>A</v>
      </c>
      <c r="EB54" s="97" t="str">
        <f t="shared" si="99"/>
        <v>A</v>
      </c>
      <c r="EC54" s="97" t="str">
        <f t="shared" si="99"/>
        <v>A</v>
      </c>
      <c r="ED54" s="97" t="str">
        <f t="shared" si="99"/>
        <v>A</v>
      </c>
      <c r="EE54" s="97" t="str">
        <f t="shared" si="99"/>
        <v>A</v>
      </c>
      <c r="EF54" s="97" t="str">
        <f t="shared" si="99"/>
        <v>B</v>
      </c>
      <c r="EG54" s="97" t="str">
        <f t="shared" si="99"/>
        <v>B</v>
      </c>
      <c r="EH54" s="97" t="str">
        <f t="shared" si="99"/>
        <v>B</v>
      </c>
      <c r="EI54" s="97" t="str">
        <f t="shared" si="99"/>
        <v>B</v>
      </c>
      <c r="EJ54" s="97" t="str">
        <f t="shared" si="99"/>
        <v>B</v>
      </c>
      <c r="EK54" s="97" t="str">
        <f t="shared" si="99"/>
        <v>A</v>
      </c>
      <c r="EL54" s="97" t="str">
        <f t="shared" si="99"/>
        <v>A</v>
      </c>
      <c r="EM54" s="97" t="str">
        <f t="shared" si="99"/>
        <v>B</v>
      </c>
      <c r="EN54" s="97" t="str">
        <f t="shared" si="99"/>
        <v>A</v>
      </c>
      <c r="EO54" s="97" t="str">
        <f t="shared" si="99"/>
        <v>B</v>
      </c>
      <c r="EP54" s="97" t="str">
        <f t="shared" si="99"/>
        <v>B</v>
      </c>
      <c r="EQ54" s="97" t="str">
        <f t="shared" si="99"/>
        <v>B</v>
      </c>
      <c r="ER54" s="97" t="str">
        <f t="shared" si="99"/>
        <v>B</v>
      </c>
      <c r="ES54" s="97" t="str">
        <f t="shared" si="99"/>
        <v>B</v>
      </c>
      <c r="ET54" s="97" t="str">
        <f t="shared" si="99"/>
        <v>B</v>
      </c>
      <c r="EU54" s="97" t="str">
        <f t="shared" si="99"/>
        <v>A</v>
      </c>
      <c r="EV54" s="97" t="str">
        <f t="shared" si="99"/>
        <v>B</v>
      </c>
      <c r="EW54" s="97" t="str">
        <f t="shared" si="99"/>
        <v>B</v>
      </c>
      <c r="EX54" s="97" t="str">
        <f t="shared" si="99"/>
        <v>B</v>
      </c>
      <c r="EY54" s="97" t="str">
        <f t="shared" si="99"/>
        <v>B</v>
      </c>
      <c r="EZ54" s="97" t="str">
        <f t="shared" si="99"/>
        <v>B</v>
      </c>
      <c r="FA54" s="97" t="str">
        <f t="shared" si="99"/>
        <v>B</v>
      </c>
      <c r="FB54" s="97" t="str">
        <f t="shared" si="99"/>
        <v>B</v>
      </c>
      <c r="FC54" s="97" t="str">
        <f t="shared" si="99"/>
        <v>B</v>
      </c>
      <c r="FD54" s="97" t="str">
        <f t="shared" si="99"/>
        <v>B</v>
      </c>
      <c r="FE54" s="97" t="str">
        <f t="shared" si="99"/>
        <v>B</v>
      </c>
      <c r="FF54" s="97" t="str">
        <f t="shared" si="99"/>
        <v>A</v>
      </c>
      <c r="FG54" s="97" t="str">
        <f t="shared" si="99"/>
        <v>A</v>
      </c>
      <c r="FH54" s="97" t="str">
        <f t="shared" si="99"/>
        <v>A</v>
      </c>
      <c r="FI54" s="97" t="str">
        <f t="shared" si="99"/>
        <v>A</v>
      </c>
      <c r="FJ54" s="97" t="str">
        <f t="shared" si="99"/>
        <v>A</v>
      </c>
      <c r="FK54" s="97" t="str">
        <f t="shared" si="99"/>
        <v>A</v>
      </c>
      <c r="FL54" s="97" t="str">
        <f t="shared" si="99"/>
        <v>A</v>
      </c>
      <c r="FM54" s="97" t="str">
        <f t="shared" si="99"/>
        <v>A</v>
      </c>
      <c r="FN54" s="97" t="str">
        <f t="shared" si="99"/>
        <v>A</v>
      </c>
      <c r="FO54" s="97" t="str">
        <f t="shared" si="99"/>
        <v>A</v>
      </c>
      <c r="FP54" s="97" t="str">
        <f t="shared" si="99"/>
        <v>B</v>
      </c>
      <c r="FQ54" s="97" t="str">
        <f t="shared" si="99"/>
        <v>B</v>
      </c>
      <c r="FR54" s="97" t="str">
        <f t="shared" si="99"/>
        <v>B</v>
      </c>
      <c r="FS54" s="97" t="str">
        <f t="shared" si="99"/>
        <v>B</v>
      </c>
      <c r="FT54" s="97" t="str">
        <f t="shared" si="99"/>
        <v>B</v>
      </c>
      <c r="FU54" s="97" t="str">
        <f t="shared" si="99"/>
        <v>B</v>
      </c>
      <c r="FV54" s="97" t="str">
        <f t="shared" si="99"/>
        <v>A</v>
      </c>
      <c r="FW54" s="97" t="str">
        <f t="shared" si="99"/>
        <v>B</v>
      </c>
      <c r="FX54" s="97" t="str">
        <f t="shared" si="99"/>
        <v>A</v>
      </c>
      <c r="FY54" s="97" t="str">
        <f t="shared" si="99"/>
        <v>B</v>
      </c>
      <c r="FZ54" s="97" t="str">
        <f t="shared" si="99"/>
        <v>B</v>
      </c>
      <c r="GA54" s="97" t="str">
        <f t="shared" si="99"/>
        <v>A</v>
      </c>
      <c r="GB54" s="97" t="str">
        <f t="shared" si="99"/>
        <v>A</v>
      </c>
      <c r="GC54" s="97" t="str">
        <f t="shared" si="99"/>
        <v>A</v>
      </c>
      <c r="GD54" s="97" t="str">
        <f t="shared" si="99"/>
        <v>A</v>
      </c>
      <c r="GE54" s="97" t="str">
        <f t="shared" si="99"/>
        <v>A</v>
      </c>
      <c r="GF54" s="97" t="str">
        <f t="shared" si="99"/>
        <v>B</v>
      </c>
      <c r="GG54" s="97" t="str">
        <f t="shared" si="99"/>
        <v>A</v>
      </c>
      <c r="GH54" s="97" t="str">
        <f t="shared" si="99"/>
        <v>B</v>
      </c>
      <c r="GI54" s="97" t="str">
        <f t="shared" si="99"/>
        <v>A</v>
      </c>
      <c r="GJ54" s="97" t="str">
        <f t="shared" si="99"/>
        <v>B</v>
      </c>
      <c r="GK54" s="97" t="str">
        <f t="shared" si="99"/>
        <v>A</v>
      </c>
      <c r="GL54" s="97" t="str">
        <f t="shared" si="99"/>
        <v>A</v>
      </c>
      <c r="GM54" s="97" t="str">
        <f t="shared" si="99"/>
        <v>A</v>
      </c>
      <c r="GN54" s="97" t="str">
        <f t="shared" si="99"/>
        <v>B</v>
      </c>
      <c r="GO54" s="97" t="str">
        <f t="shared" si="99"/>
        <v>B</v>
      </c>
      <c r="GP54" s="97" t="str">
        <f t="shared" si="99"/>
        <v>A</v>
      </c>
      <c r="GQ54" s="97" t="str">
        <f t="shared" si="99"/>
        <v>A</v>
      </c>
      <c r="GR54" s="97" t="str">
        <f t="shared" si="99"/>
        <v>A</v>
      </c>
      <c r="GS54" s="97" t="str">
        <f t="shared" si="99"/>
        <v>A</v>
      </c>
      <c r="GT54" s="97" t="str">
        <f t="shared" si="99"/>
        <v>A</v>
      </c>
      <c r="GU54" s="97" t="str">
        <f t="shared" si="99"/>
        <v>A</v>
      </c>
      <c r="GV54" s="97" t="str">
        <f t="shared" si="99"/>
        <v>A</v>
      </c>
      <c r="GW54" s="97" t="str">
        <f t="shared" si="99"/>
        <v>A</v>
      </c>
      <c r="GX54" s="97" t="str">
        <f t="shared" si="99"/>
        <v>A</v>
      </c>
      <c r="GY54" s="98"/>
      <c r="GZ54" s="97">
        <f t="shared" si="3"/>
        <v>47</v>
      </c>
      <c r="HA54" s="97">
        <f t="shared" si="4"/>
        <v>53</v>
      </c>
      <c r="HB54" s="90">
        <f t="shared" si="5"/>
        <v>100</v>
      </c>
      <c r="HC54" s="99"/>
      <c r="HD54" s="97">
        <f t="shared" si="6"/>
        <v>6</v>
      </c>
      <c r="HE54" s="97">
        <f t="shared" si="7"/>
        <v>7</v>
      </c>
      <c r="HF54" s="90">
        <f t="shared" si="8"/>
        <v>13</v>
      </c>
      <c r="HG54" s="99"/>
      <c r="HH54" s="97">
        <f t="shared" si="9"/>
        <v>6</v>
      </c>
      <c r="HI54" s="97">
        <f t="shared" si="10"/>
        <v>8</v>
      </c>
      <c r="HJ54" s="90">
        <f t="shared" si="11"/>
        <v>14</v>
      </c>
      <c r="HK54" s="99"/>
      <c r="HL54" s="97">
        <f t="shared" si="12"/>
        <v>6</v>
      </c>
      <c r="HM54" s="97">
        <f t="shared" si="13"/>
        <v>2</v>
      </c>
      <c r="HN54" s="90">
        <f t="shared" si="14"/>
        <v>8</v>
      </c>
      <c r="HO54" s="99"/>
      <c r="HP54" s="97">
        <f t="shared" si="15"/>
        <v>6</v>
      </c>
      <c r="HQ54" s="97">
        <f t="shared" si="16"/>
        <v>7</v>
      </c>
      <c r="HR54" s="90">
        <f t="shared" si="17"/>
        <v>13</v>
      </c>
      <c r="HS54" s="99"/>
      <c r="HT54" s="97">
        <f t="shared" si="18"/>
        <v>8</v>
      </c>
      <c r="HU54" s="97">
        <f t="shared" si="19"/>
        <v>9</v>
      </c>
      <c r="HV54" s="90">
        <f t="shared" si="20"/>
        <v>17</v>
      </c>
      <c r="HW54" s="99"/>
      <c r="HX54" s="97">
        <f t="shared" si="21"/>
        <v>3</v>
      </c>
      <c r="HY54" s="97">
        <f t="shared" si="22"/>
        <v>5</v>
      </c>
      <c r="HZ54" s="90">
        <f t="shared" si="23"/>
        <v>8</v>
      </c>
      <c r="IA54" s="99"/>
      <c r="IB54" s="97">
        <f t="shared" si="24"/>
        <v>4</v>
      </c>
      <c r="IC54" s="97">
        <f t="shared" si="25"/>
        <v>5</v>
      </c>
      <c r="ID54" s="90">
        <f t="shared" si="26"/>
        <v>9</v>
      </c>
      <c r="IE54" s="99"/>
      <c r="IF54" s="97">
        <f t="shared" si="27"/>
        <v>3</v>
      </c>
      <c r="IG54" s="97">
        <f t="shared" si="28"/>
        <v>4</v>
      </c>
      <c r="IH54" s="90">
        <f t="shared" si="29"/>
        <v>7</v>
      </c>
      <c r="II54" s="99"/>
      <c r="IJ54" s="97">
        <f t="shared" si="30"/>
        <v>3</v>
      </c>
      <c r="IK54" s="97">
        <f t="shared" si="31"/>
        <v>4</v>
      </c>
      <c r="IL54" s="90">
        <f t="shared" si="32"/>
        <v>7</v>
      </c>
      <c r="IM54" s="99"/>
      <c r="IN54" s="97">
        <f t="shared" si="33"/>
        <v>0</v>
      </c>
      <c r="IO54" s="97">
        <f t="shared" si="34"/>
        <v>1</v>
      </c>
      <c r="IP54" s="90">
        <f t="shared" si="35"/>
        <v>1</v>
      </c>
      <c r="IQ54" s="99"/>
      <c r="IR54" s="99"/>
      <c r="IS54" s="100">
        <f t="shared" si="36"/>
        <v>13</v>
      </c>
      <c r="IT54" s="100">
        <f t="shared" si="37"/>
        <v>14</v>
      </c>
      <c r="IU54" s="100">
        <f t="shared" si="38"/>
        <v>8</v>
      </c>
      <c r="IV54" s="100">
        <f t="shared" si="39"/>
        <v>13</v>
      </c>
      <c r="IW54" s="100">
        <f t="shared" si="40"/>
        <v>17</v>
      </c>
      <c r="IX54" s="100">
        <f t="shared" si="41"/>
        <v>8</v>
      </c>
      <c r="IY54" s="100">
        <f t="shared" si="42"/>
        <v>9</v>
      </c>
      <c r="IZ54" s="100">
        <f t="shared" si="43"/>
        <v>7</v>
      </c>
      <c r="JA54" s="100">
        <f t="shared" si="44"/>
        <v>7</v>
      </c>
      <c r="JB54" s="101">
        <f t="shared" si="45"/>
        <v>1</v>
      </c>
      <c r="JC54" s="102">
        <f t="shared" si="46"/>
        <v>97</v>
      </c>
      <c r="JD54" s="67">
        <f t="shared" si="50"/>
        <v>0</v>
      </c>
      <c r="JE54" s="67">
        <f t="shared" si="47"/>
        <v>0</v>
      </c>
      <c r="JF54" s="67">
        <f t="shared" si="48"/>
        <v>0</v>
      </c>
    </row>
    <row r="55">
      <c r="A55" s="103">
        <f>IFERROR(__xludf.DUMMYFUNCTION("""COMPUTED_VALUE"""),45930.77842857639)</f>
        <v>45930.77843</v>
      </c>
      <c r="B55" s="95" t="str">
        <f>IFERROR(__xludf.DUMMYFUNCTION("""COMPUTED_VALUE"""),"Ulfia Nurfauziah ")</f>
        <v>Ulfia Nurfauziah </v>
      </c>
      <c r="C55" s="96" t="str">
        <f>IFERROR(__xludf.DUMMYFUNCTION("""COMPUTED_VALUE"""),"D250027")</f>
        <v>D250027</v>
      </c>
      <c r="D55" s="96" t="str">
        <f>IFERROR(__xludf.DUMMYFUNCTION("""COMPUTED_VALUE"""),"MTs Putri")</f>
        <v>MTs Putri</v>
      </c>
      <c r="E55" s="96" t="str">
        <f>IFERROR(__xludf.DUMMYFUNCTION("""COMPUTED_VALUE"""),"Ya")</f>
        <v>Ya</v>
      </c>
      <c r="F55" s="95" t="str">
        <f>IFERROR(__xludf.DUMMYFUNCTION("""COMPUTED_VALUE"""),"B Saya ingin melakukan apa saja sebaik mungkin.")</f>
        <v>B Saya ingin melakukan apa saja sebaik mungkin.</v>
      </c>
      <c r="G55" s="95" t="str">
        <f>IFERROR(__xludf.DUMMYFUNCTION("""COMPUTED_VALUE"""),"B Saya ingin menyelesaikan tugas yang segera dikumpulkan.")</f>
        <v>B Saya ingin menyelesaikan tugas yang segera dikumpulkan.</v>
      </c>
      <c r="H55" s="95" t="str">
        <f>IFERROR(__xludf.DUMMYFUNCTION("""COMPUTED_VALUE"""),"B Saya ingin menjadi orang yang diakui dalam suatu pekerjaan atau bidang khusus.")</f>
        <v>B Saya ingin menjadi orang yang diakui dalam suatu pekerjaan atau bidang khusus.</v>
      </c>
      <c r="I55" s="95" t="str">
        <f>IFERROR(__xludf.DUMMYFUNCTION("""COMPUTED_VALUE"""),"B Saya ingin bisa melakukan dengan baik meskipun tugas yang sulit.")</f>
        <v>B Saya ingin bisa melakukan dengan baik meskipun tugas yang sulit.</v>
      </c>
      <c r="J55" s="95" t="str">
        <f>IFERROR(__xludf.DUMMYFUNCTION("""COMPUTED_VALUE"""),"A Saya suka membantu teman-teman saya apabila mereka mengalami kesulitan.")</f>
        <v>A Saya suka membantu teman-teman saya apabila mereka mengalami kesulitan.</v>
      </c>
      <c r="K55" s="95" t="str">
        <f>IFERROR(__xludf.DUMMYFUNCTION("""COMPUTED_VALUE"""),"B Saya ingin mengatakan telah melakukan dengan baik sesuatu tugas yang sulit.")</f>
        <v>B Saya ingin mengatakan telah melakukan dengan baik sesuatu tugas yang sulit.</v>
      </c>
      <c r="L55" s="95" t="str">
        <f>IFERROR(__xludf.DUMMYFUNCTION("""COMPUTED_VALUE"""),"B Saya ingin mengatakan telah melakukan dengan baik sesuatu tugas yang sulit")</f>
        <v>B Saya ingin mengatakan telah melakukan dengan baik sesuatu tugas yang sulit</v>
      </c>
      <c r="M55" s="95" t="str">
        <f>IFERROR(__xludf.DUMMYFUNCTION("""COMPUTED_VALUE"""),"A Saya suka berbicara tentang hal-hal yang telah berhasil saya lakukan.")</f>
        <v>A Saya suka berbicara tentang hal-hal yang telah berhasil saya lakukan.</v>
      </c>
      <c r="N55" s="95" t="str">
        <f>IFERROR(__xludf.DUMMYFUNCTION("""COMPUTED_VALUE"""),"B Saya suka memecahkan persoalan yang sukar bagi orang lain.")</f>
        <v>B Saya suka memecahkan persoalan yang sukar bagi orang lain.</v>
      </c>
      <c r="O55" s="95" t="str">
        <f>IFERROR(__xludf.DUMMYFUNCTION("""COMPUTED_VALUE"""),"B Saya suka melakukan tugas sebaik mungkin.")</f>
        <v>B Saya suka melakukan tugas sebaik mungkin.</v>
      </c>
      <c r="P55" s="95" t="str">
        <f>IFERROR(__xludf.DUMMYFUNCTION("""COMPUTED_VALUE"""),"B Saya ingin setiap belajar itu teratur dan direncanakan.")</f>
        <v>B Saya ingin setiap belajar itu teratur dan direncanakan.</v>
      </c>
      <c r="Q55" s="95" t="str">
        <f>IFERROR(__xludf.DUMMYFUNCTION("""COMPUTED_VALUE"""),"B Saya merencanakan keperluan yang dibutuhkan sebelum bepergian.")</f>
        <v>B Saya merencanakan keperluan yang dibutuhkan sebelum bepergian.</v>
      </c>
      <c r="R55" s="95" t="str">
        <f>IFERROR(__xludf.DUMMYFUNCTION("""COMPUTED_VALUE"""),"B Saya suka barang-barang saya tersusun rapi dan teratur.")</f>
        <v>B Saya suka barang-barang saya tersusun rapi dan teratur.</v>
      </c>
      <c r="S55" s="95" t="str">
        <f>IFERROR(__xludf.DUMMYFUNCTION("""COMPUTED_VALUE"""),"A Saya ingin agar teman-teman pengertian bila saya mengalami kesukaran.")</f>
        <v>A Saya ingin agar teman-teman pengertian bila saya mengalami kesukaran.</v>
      </c>
      <c r="T55" s="95" t="str">
        <f>IFERROR(__xludf.DUMMYFUNCTION("""COMPUTED_VALUE"""),"B Saya ingin agar hidup saya teratur sesuai cita-cita saya.")</f>
        <v>B Saya ingin agar hidup saya teratur sesuai cita-cita saya.</v>
      </c>
      <c r="U55" s="95" t="str">
        <f>IFERROR(__xludf.DUMMYFUNCTION("""COMPUTED_VALUE"""),"A Saya suka memberikan bantuan kepada teman-teman saya.")</f>
        <v>A Saya suka memberikan bantuan kepada teman-teman saya.</v>
      </c>
      <c r="V55" s="95" t="str">
        <f>IFERROR(__xludf.DUMMYFUNCTION("""COMPUTED_VALUE"""),"B Saya suka belajar saya teratur dan ada waktu-waktu tertentu untuk belajar.")</f>
        <v>B Saya suka belajar saya teratur dan ada waktu-waktu tertentu untuk belajar.</v>
      </c>
      <c r="W55" s="95" t="str">
        <f>IFERROR(__xludf.DUMMYFUNCTION("""COMPUTED_VALUE"""),"B Saya ingin kegiatan itu teratur dan direncanakan.")</f>
        <v>B Saya ingin kegiatan itu teratur dan direncanakan.</v>
      </c>
      <c r="X55" s="95" t="str">
        <f>IFERROR(__xludf.DUMMYFUNCTION("""COMPUTED_VALUE"""),"B Saya ingin agar hidup saya teratur sesuai cita-cita saya.")</f>
        <v>B Saya ingin agar hidup saya teratur sesuai cita-cita saya.</v>
      </c>
      <c r="Y55" s="95" t="str">
        <f>IFERROR(__xludf.DUMMYFUNCTION("""COMPUTED_VALUE"""),"A Saya suka menyelesaikan tugas-tugas yang membutuhkan ketrampilan dan usaha.")</f>
        <v>A Saya suka menyelesaikan tugas-tugas yang membutuhkan ketrampilan dan usaha.</v>
      </c>
      <c r="Z55" s="95" t="str">
        <f>IFERROR(__xludf.DUMMYFUNCTION("""COMPUTED_VALUE"""),"A Saya ingin berhasil dengan belajar yang saya lakukan.")</f>
        <v>A Saya ingin berhasil dengan belajar yang saya lakukan.</v>
      </c>
      <c r="AA55" s="95" t="str">
        <f>IFERROR(__xludf.DUMMYFUNCTION("""COMPUTED_VALUE"""),"A Saya suka menyelesaikan tugas yang telah saya rencanakan.")</f>
        <v>A Saya suka menyelesaikan tugas yang telah saya rencanakan.</v>
      </c>
      <c r="AB55" s="95" t="str">
        <f>IFERROR(__xludf.DUMMYFUNCTION("""COMPUTED_VALUE"""),"A Saya ingin tidak tergantung dari orang lain terhadap apa yang akan saya lakukan.")</f>
        <v>A Saya ingin tidak tergantung dari orang lain terhadap apa yang akan saya lakukan.</v>
      </c>
      <c r="AC55" s="95" t="str">
        <f>IFERROR(__xludf.DUMMYFUNCTION("""COMPUTED_VALUE"""),"A Saya suka menyelesaikan setiap tugas meskipun membutuhkan waktu lama.")</f>
        <v>A Saya suka menyelesaikan setiap tugas meskipun membutuhkan waktu lama.</v>
      </c>
      <c r="AD55" s="95" t="str">
        <f>IFERROR(__xludf.DUMMYFUNCTION("""COMPUTED_VALUE"""),"A Saya suka bermurah hati terhadap teman-teman saya.")</f>
        <v>A Saya suka bermurah hati terhadap teman-teman saya.</v>
      </c>
      <c r="AE55" s="95" t="str">
        <f>IFERROR(__xludf.DUMMYFUNCTION("""COMPUTED_VALUE"""),"B Saya suka melakukan hal-hal yang dianggap orang lain tidak sesuai.")</f>
        <v>B Saya suka melakukan hal-hal yang dianggap orang lain tidak sesuai.</v>
      </c>
      <c r="AF55" s="95" t="str">
        <f>IFERROR(__xludf.DUMMYFUNCTION("""COMPUTED_VALUE"""),"A Saya ingin agar teman-teman mengerti bila saya mengalami kesukaran.")</f>
        <v>A Saya ingin agar teman-teman mengerti bila saya mengalami kesukaran.</v>
      </c>
      <c r="AG55" s="95" t="str">
        <f>IFERROR(__xludf.DUMMYFUNCTION("""COMPUTED_VALUE"""),"B Saya ingin berhasil dengan tugas yang saya lakukan.")</f>
        <v>B Saya ingin berhasil dengan tugas yang saya lakukan.</v>
      </c>
      <c r="AH55" s="95" t="str">
        <f>IFERROR(__xludf.DUMMYFUNCTION("""COMPUTED_VALUE"""),"B Saya ingin merasa bebas untuk melakukan apa yang saya kehendaki.")</f>
        <v>B Saya ingin merasa bebas untuk melakukan apa yang saya kehendaki.</v>
      </c>
      <c r="AI55" s="95" t="str">
        <f>IFERROR(__xludf.DUMMYFUNCTION("""COMPUTED_VALUE"""),"A Saya ingin menghardik orang lain bila saya berbeda pendapat dengan mereka.")</f>
        <v>A Saya ingin menghardik orang lain bila saya berbeda pendapat dengan mereka.</v>
      </c>
      <c r="AJ55" s="95" t="str">
        <f>IFERROR(__xludf.DUMMYFUNCTION("""COMPUTED_VALUE"""),"B Saya suka bertahan menghadapi satu masalah meskipun belum tentu berhasil.")</f>
        <v>B Saya suka bertahan menghadapi satu masalah meskipun belum tentu berhasil.</v>
      </c>
      <c r="AK55" s="95" t="str">
        <f>IFERROR(__xludf.DUMMYFUNCTION("""COMPUTED_VALUE"""),"A Saya suka bercerita tentang hal-hal pribadi yang seharusnya tidak perlu diketahui orang lain.")</f>
        <v>A Saya suka bercerita tentang hal-hal pribadi yang seharusnya tidak perlu diketahui orang lain.</v>
      </c>
      <c r="AL55" s="95" t="str">
        <f>IFERROR(__xludf.DUMMYFUNCTION("""COMPUTED_VALUE"""),"B Saya ingin menghindarkan gangguan bila saya sedang belajar.")</f>
        <v>B Saya ingin menghindarkan gangguan bila saya sedang belajar.</v>
      </c>
      <c r="AM55" s="95" t="str">
        <f>IFERROR(__xludf.DUMMYFUNCTION("""COMPUTED_VALUE"""),"B Saya suka belajar sampai malam untuk menyelesaikan suatu tugas.")</f>
        <v>B Saya suka belajar sampai malam untuk menyelesaikan suatu tugas.</v>
      </c>
      <c r="AN55" s="95" t="str">
        <f>IFERROR(__xludf.DUMMYFUNCTION("""COMPUTED_VALUE"""),"A Saya tidak suka pada orang yang semena-mena.")</f>
        <v>A Saya tidak suka pada orang yang semena-mena.</v>
      </c>
      <c r="AO55" s="95" t="str">
        <f>IFERROR(__xludf.DUMMYFUNCTION("""COMPUTED_VALUE"""),"A Saya suka berlaku sangat ramah terhadap teman-teman saya.")</f>
        <v>A Saya suka berlaku sangat ramah terhadap teman-teman saya.</v>
      </c>
      <c r="AP55" s="95" t="str">
        <f>IFERROR(__xludf.DUMMYFUNCTION("""COMPUTED_VALUE"""),"B Saya suka bertahan menghadapi satu masalah meskipun belum tentu berhasil.")</f>
        <v>B Saya suka bertahan menghadapi satu masalah meskipun belum tentu berhasil.</v>
      </c>
      <c r="AQ55" s="95" t="str">
        <f>IFERROR(__xludf.DUMMYFUNCTION("""COMPUTED_VALUE"""),"A Saya ingin bisa mengerjakan segala sesuatu lebih baik daripada orang-orang lain.")</f>
        <v>A Saya ingin bisa mengerjakan segala sesuatu lebih baik daripada orang-orang lain.</v>
      </c>
      <c r="AR55" s="95" t="str">
        <f>IFERROR(__xludf.DUMMYFUNCTION("""COMPUTED_VALUE"""),"A Saya suka menyimpan catatan secara rapi.")</f>
        <v>A Saya suka menyimpan catatan secara rapi.</v>
      </c>
      <c r="AS55" s="95" t="str">
        <f>IFERROR(__xludf.DUMMYFUNCTION("""COMPUTED_VALUE"""),"A Saya ingin dapat menyelesaikan persoalan yang dianggap sukar bagi orang lain.")</f>
        <v>A Saya ingin dapat menyelesaikan persoalan yang dianggap sukar bagi orang lain.</v>
      </c>
      <c r="AT55" s="95" t="str">
        <f>IFERROR(__xludf.DUMMYFUNCTION("""COMPUTED_VALUE"""),"B Saya suka membantu orang lain yang menurut saya perlu dikasihani.")</f>
        <v>B Saya suka membantu orang lain yang menurut saya perlu dikasihani.</v>
      </c>
      <c r="AU55" s="95" t="str">
        <f>IFERROR(__xludf.DUMMYFUNCTION("""COMPUTED_VALUE"""),"B Saya suka bermurah hati terhadap teman-teman saya.")</f>
        <v>B Saya suka bermurah hati terhadap teman-teman saya.</v>
      </c>
      <c r="AV55" s="95" t="str">
        <f>IFERROR(__xludf.DUMMYFUNCTION("""COMPUTED_VALUE"""),"B Saya suka menolong teman-teman saya.")</f>
        <v>B Saya suka menolong teman-teman saya.</v>
      </c>
      <c r="AW55" s="95" t="str">
        <f>IFERROR(__xludf.DUMMYFUNCTION("""COMPUTED_VALUE"""),"B Saya ingin teman-teman saya percaya bahwa saya bisa menolong mereka.")</f>
        <v>B Saya ingin teman-teman saya percaya bahwa saya bisa menolong mereka.</v>
      </c>
      <c r="AX55" s="95" t="str">
        <f>IFERROR(__xludf.DUMMYFUNCTION("""COMPUTED_VALUE"""),"B Saya suka memaafkan teman-teman saya yang menyakiti hati saya.")</f>
        <v>B Saya suka memaafkan teman-teman saya yang menyakiti hati saya.</v>
      </c>
      <c r="AY55" s="95" t="str">
        <f>IFERROR(__xludf.DUMMYFUNCTION("""COMPUTED_VALUE"""),"B Saya suka menolong teman-teman saya apabila mereka dalam kesulitan.")</f>
        <v>B Saya suka menolong teman-teman saya apabila mereka dalam kesulitan.</v>
      </c>
      <c r="AZ55" s="95" t="str">
        <f>IFERROR(__xludf.DUMMYFUNCTION("""COMPUTED_VALUE"""),"B Saya suka menunjukkan simpati saya kepada teman-teman saya.")</f>
        <v>B Saya suka menunjukkan simpati saya kepada teman-teman saya.</v>
      </c>
      <c r="BA55" s="95" t="str">
        <f>IFERROR(__xludf.DUMMYFUNCTION("""COMPUTED_VALUE"""),"B Saya suka memperlakukan orang lain dengan baik dan ramah.")</f>
        <v>B Saya suka memperlakukan orang lain dengan baik dan ramah.</v>
      </c>
      <c r="BB55" s="95" t="str">
        <f>IFERROR(__xludf.DUMMYFUNCTION("""COMPUTED_VALUE"""),"A Saya berkeinginan untuk bersama orang yang menarik bagi saya.")</f>
        <v>A Saya berkeinginan untuk bersama orang yang menarik bagi saya.</v>
      </c>
      <c r="BC55" s="95" t="str">
        <f>IFERROR(__xludf.DUMMYFUNCTION("""COMPUTED_VALUE"""),"B Saya suka membantu orang lain yang menurut saya perlu dikasihani.")</f>
        <v>B Saya suka membantu orang lain yang menurut saya perlu dikasihani.</v>
      </c>
      <c r="BD55" s="95" t="str">
        <f>IFERROR(__xludf.DUMMYFUNCTION("""COMPUTED_VALUE"""),"A Saya rasanya ingin menyalahkan orang lain bila keadaan tidak baik bagi saya.")</f>
        <v>A Saya rasanya ingin menyalahkan orang lain bila keadaan tidak baik bagi saya.</v>
      </c>
      <c r="BE55" s="95" t="str">
        <f>IFERROR(__xludf.DUMMYFUNCTION("""COMPUTED_VALUE"""),"A Saya suka mendengarkan atau menceritakan hal-hal yang sebaiknya tidak diceritakan.")</f>
        <v>A Saya suka mendengarkan atau menceritakan hal-hal yang sebaiknya tidak diceritakan.</v>
      </c>
      <c r="BF55" s="95" t="str">
        <f>IFERROR(__xludf.DUMMYFUNCTION("""COMPUTED_VALUE"""),"B Bila saya dalam kelompok, saya ingin menentukan apa yang akan kita lakukan.")</f>
        <v>B Bila saya dalam kelompok, saya ingin menentukan apa yang akan kita lakukan.</v>
      </c>
      <c r="BG55" s="95" t="str">
        <f>IFERROR(__xludf.DUMMYFUNCTION("""COMPUTED_VALUE"""),"A Saya ingin teman-teman banyak menunjukkan rasa sayang mereka terhadap saya.")</f>
        <v>A Saya ingin teman-teman banyak menunjukkan rasa sayang mereka terhadap saya.</v>
      </c>
      <c r="BH55" s="95" t="str">
        <f>IFERROR(__xludf.DUMMYFUNCTION("""COMPUTED_VALUE"""),"B Apabila saya berkumpul dalam kelompok, saya ingin dihargai teman-teman.")</f>
        <v>B Apabila saya berkumpul dalam kelompok, saya ingin dihargai teman-teman.</v>
      </c>
      <c r="BI55" s="95" t="str">
        <f>IFERROR(__xludf.DUMMYFUNCTION("""COMPUTED_VALUE"""),"A Saya suka bermurah hati terhadap teman-teman saya.")</f>
        <v>A Saya suka bermurah hati terhadap teman-teman saya.</v>
      </c>
      <c r="BJ55" s="95" t="str">
        <f>IFERROR(__xludf.DUMMYFUNCTION("""COMPUTED_VALUE"""),"A Saya ingin mengerjakan tugas sampai selesai.")</f>
        <v>A Saya ingin mengerjakan tugas sampai selesai.</v>
      </c>
      <c r="BK55" s="95" t="str">
        <f>IFERROR(__xludf.DUMMYFUNCTION("""COMPUTED_VALUE"""),"A Saya ingin menyelesaikan pekerjaan satu persatu sebelum memulai yang lain.")</f>
        <v>A Saya ingin menyelesaikan pekerjaan satu persatu sebelum memulai yang lain.</v>
      </c>
      <c r="BL55" s="95" t="str">
        <f>IFERROR(__xludf.DUMMYFUNCTION("""COMPUTED_VALUE"""),"A Saya suka belajar saya teratur dan ada waktu-waktu tertentu untuk belajar.")</f>
        <v>A Saya suka belajar saya teratur dan ada waktu-waktu tertentu untuk belajar.</v>
      </c>
      <c r="BM55" s="95" t="str">
        <f>IFERROR(__xludf.DUMMYFUNCTION("""COMPUTED_VALUE"""),"A Saya suka melakukan pekerjaan sebaik mungkin.")</f>
        <v>A Saya suka melakukan pekerjaan sebaik mungkin.</v>
      </c>
      <c r="BN55" s="95" t="str">
        <f>IFERROR(__xludf.DUMMYFUNCTION("""COMPUTED_VALUE"""),"B Saya ingin teman-teman memberi dorongan bila saya menghadapi kegagalan.")</f>
        <v>B Saya ingin teman-teman memberi dorongan bila saya menghadapi kegagalan.</v>
      </c>
      <c r="BO55" s="95" t="str">
        <f>IFERROR(__xludf.DUMMYFUNCTION("""COMPUTED_VALUE"""),"A Saya suka membuat perencanaan sebelum memulai belajar yang sulit.")</f>
        <v>A Saya suka membuat perencanaan sebelum memulai belajar yang sulit.</v>
      </c>
      <c r="BP55" s="95" t="str">
        <f>IFERROR(__xludf.DUMMYFUNCTION("""COMPUTED_VALUE"""),"A Saya ingin menyelesaikan sesuatu yang sangat penting artinya.")</f>
        <v>A Saya ingin menyelesaikan sesuatu yang sangat penting artinya.</v>
      </c>
      <c r="BQ55" s="95" t="str">
        <f>IFERROR(__xludf.DUMMYFUNCTION("""COMPUTED_VALUE"""),"B Saya ingin agar teman-teman menceritakan diri saya apabila saya sakit.")</f>
        <v>B Saya ingin agar teman-teman menceritakan diri saya apabila saya sakit.</v>
      </c>
      <c r="BR55" s="95" t="str">
        <f>IFERROR(__xludf.DUMMYFUNCTION("""COMPUTED_VALUE"""),"B Saya ingin agar teman-teman saya bersimpati dan menghibur saya bila saya sedih.")</f>
        <v>B Saya ingin agar teman-teman saya bersimpati dan menghibur saya bila saya sedih.</v>
      </c>
      <c r="BS55" s="95" t="str">
        <f>IFERROR(__xludf.DUMMYFUNCTION("""COMPUTED_VALUE"""),"B Saya ingin teman-teman saya membantu saya bila saya mengalami kesulitan")</f>
        <v>B Saya ingin teman-teman saya membantu saya bila saya mengalami kesulitan</v>
      </c>
      <c r="BT55" s="95" t="str">
        <f>IFERROR(__xludf.DUMMYFUNCTION("""COMPUTED_VALUE"""),"B Saya ingin teman-teman banyak menunjukkan rasa sayang mereka terhadap saya.")</f>
        <v>B Saya ingin teman-teman banyak menunjukkan rasa sayang mereka terhadap saya.</v>
      </c>
      <c r="BU55" s="95" t="str">
        <f>IFERROR(__xludf.DUMMYFUNCTION("""COMPUTED_VALUE"""),"A Saya kadang-kadang suka melakukan hal-hal yang dapat dipuji oleh orang lain.")</f>
        <v>A Saya kadang-kadang suka melakukan hal-hal yang dapat dipuji oleh orang lain.</v>
      </c>
      <c r="BV55" s="95" t="str">
        <f>IFERROR(__xludf.DUMMYFUNCTION("""COMPUTED_VALUE"""),"B Saya ingin teman-teman dengan gembira memberikan pertolongan kepada saya.")</f>
        <v>B Saya ingin teman-teman dengan gembira memberikan pertolongan kepada saya.</v>
      </c>
      <c r="BW55" s="95" t="str">
        <f>IFERROR(__xludf.DUMMYFUNCTION("""COMPUTED_VALUE"""),"B Saya ingin diperlakukan dengan baik oleh teman-teman saya.")</f>
        <v>B Saya ingin diperlakukan dengan baik oleh teman-teman saya.</v>
      </c>
      <c r="BX55" s="95" t="str">
        <f>IFERROR(__xludf.DUMMYFUNCTION("""COMPUTED_VALUE"""),"B Saya kadang-kadang suka melakukan hal-hal yang dapat dipuji oleh orang lain.")</f>
        <v>B Saya kadang-kadang suka melakukan hal-hal yang dapat dipuji oleh orang lain.</v>
      </c>
      <c r="BY55" s="95" t="str">
        <f>IFERROR(__xludf.DUMMYFUNCTION("""COMPUTED_VALUE"""),"A Saya suka melamun atau membayangkan hal-hal yang tidak jelas.")</f>
        <v>A Saya suka melamun atau membayangkan hal-hal yang tidak jelas.</v>
      </c>
      <c r="BZ55" s="95" t="str">
        <f>IFERROR(__xludf.DUMMYFUNCTION("""COMPUTED_VALUE"""),"A Saya suka berkata yang artinya sulit dipahami oleh orang lain.")</f>
        <v>A Saya suka berkata yang artinya sulit dipahami oleh orang lain.</v>
      </c>
      <c r="CA55" s="95" t="str">
        <f>IFERROR(__xludf.DUMMYFUNCTION("""COMPUTED_VALUE"""),"A Saya ingin teman-teman dengan gembira memberikan pertolongan kepada saya.")</f>
        <v>A Saya ingin teman-teman dengan gembira memberikan pertolongan kepada saya.</v>
      </c>
      <c r="CB55" s="95" t="str">
        <f>IFERROR(__xludf.DUMMYFUNCTION("""COMPUTED_VALUE"""),"B Saya suka berbicara tentang hal-hal yang telah saya capai.")</f>
        <v>B Saya suka berbicara tentang hal-hal yang telah saya capai.</v>
      </c>
      <c r="CC55" s="95" t="str">
        <f>IFERROR(__xludf.DUMMYFUNCTION("""COMPUTED_VALUE"""),"A Apabila saya berkumpul dalam kelompok, saya ingin dihargai teman-teman.")</f>
        <v>A Apabila saya berkumpul dalam kelompok, saya ingin dihargai teman-teman.</v>
      </c>
      <c r="CD55" s="95" t="str">
        <f>IFERROR(__xludf.DUMMYFUNCTION("""COMPUTED_VALUE"""),"B Saya suka berkata yang artinya sulit dipahami oleh orang lain.")</f>
        <v>B Saya suka berkata yang artinya sulit dipahami oleh orang lain.</v>
      </c>
      <c r="CE55" s="95" t="str">
        <f>IFERROR(__xludf.DUMMYFUNCTION("""COMPUTED_VALUE"""),"A Saya suka menyelesaikan setiap tugas belajar yang telah saya mulai.")</f>
        <v>A Saya suka menyelesaikan setiap tugas belajar yang telah saya mulai.</v>
      </c>
      <c r="CF55" s="95" t="str">
        <f>IFERROR(__xludf.DUMMYFUNCTION("""COMPUTED_VALUE"""),"A Saya ingin agar hidup saya teratur sesuai cita-cita saya.")</f>
        <v>A Saya ingin agar hidup saya teratur sesuai cita-cita saya.</v>
      </c>
      <c r="CG55" s="95" t="str">
        <f>IFERROR(__xludf.DUMMYFUNCTION("""COMPUTED_VALUE"""),"A Saya ingin berhasil dalam apa yang saya lakukan.")</f>
        <v>A Saya ingin berhasil dalam apa yang saya lakukan.</v>
      </c>
      <c r="CH55" s="95" t="str">
        <f>IFERROR(__xludf.DUMMYFUNCTION("""COMPUTED_VALUE"""),"A Saya ingin bisa melakukan dengan baik sesuatu pekerjaan sulit.")</f>
        <v>A Saya ingin bisa melakukan dengan baik sesuatu pekerjaan sulit.</v>
      </c>
      <c r="CI55" s="95" t="str">
        <f>IFERROR(__xludf.DUMMYFUNCTION("""COMPUTED_VALUE"""),"A Saya suka belajar saya teratur dan ada waktu-waktu tertentu untuk belajar.")</f>
        <v>A Saya suka belajar saya teratur dan ada waktu-waktu tertentu untuk belajar.</v>
      </c>
      <c r="CJ55" s="95" t="str">
        <f>IFERROR(__xludf.DUMMYFUNCTION("""COMPUTED_VALUE"""),"A Saya ingin tidak tergantung dari orang lain terhadap apa yang akan saya lakukan.")</f>
        <v>A Saya ingin tidak tergantung dari orang lain terhadap apa yang akan saya lakukan.</v>
      </c>
      <c r="CK55" s="95" t="str">
        <f>IFERROR(__xludf.DUMMYFUNCTION("""COMPUTED_VALUE"""),"B Saya senang ikut beraktivitas bersama teman sebaya saya.")</f>
        <v>B Saya senang ikut beraktivitas bersama teman sebaya saya.</v>
      </c>
      <c r="CL55" s="95" t="str">
        <f>IFERROR(__xludf.DUMMYFUNCTION("""COMPUTED_VALUE"""),"A Saya suka menolong teman-teman saya, apabila mereka dalam kesulitan.")</f>
        <v>A Saya suka menolong teman-teman saya, apabila mereka dalam kesulitan.</v>
      </c>
      <c r="CM55" s="95" t="str">
        <f>IFERROR(__xludf.DUMMYFUNCTION("""COMPUTED_VALUE"""),"B Saya merasa kagum pada seseorang.")</f>
        <v>B Saya merasa kagum pada seseorang.</v>
      </c>
      <c r="CN55" s="95" t="str">
        <f>IFERROR(__xludf.DUMMYFUNCTION("""COMPUTED_VALUE"""),"A Saya ingin diperlakukan dengan baik oleh teman-teman saya.")</f>
        <v>A Saya ingin diperlakukan dengan baik oleh teman-teman saya.</v>
      </c>
      <c r="CO55" s="95" t="str">
        <f>IFERROR(__xludf.DUMMYFUNCTION("""COMPUTED_VALUE"""),"B Saya suka memuji orang yang saya kagumi.")</f>
        <v>B Saya suka memuji orang yang saya kagumi.</v>
      </c>
      <c r="CP55" s="95" t="str">
        <f>IFERROR(__xludf.DUMMYFUNCTION("""COMPUTED_VALUE"""),"A Saya suka melamun atau membayangkan sesuatu sendirian.")</f>
        <v>A Saya suka melamun atau membayangkan sesuatu sendirian.</v>
      </c>
      <c r="CQ55" s="95" t="str">
        <f>IFERROR(__xludf.DUMMYFUNCTION("""COMPUTED_VALUE"""),"B Saya merasa kagum pada seseorang.")</f>
        <v>B Saya merasa kagum pada seseorang.</v>
      </c>
      <c r="CR55" s="95" t="str">
        <f>IFERROR(__xludf.DUMMYFUNCTION("""COMPUTED_VALUE"""),"A Saya ingin memperolok-olok orang yang saya anggap melakukan tindakan bodoh.")</f>
        <v>A Saya ingin memperolok-olok orang yang saya anggap melakukan tindakan bodoh.</v>
      </c>
      <c r="CS55" s="95" t="str">
        <f>IFERROR(__xludf.DUMMYFUNCTION("""COMPUTED_VALUE"""),"B Saya rasanya ingin membalas dendam bila seseorang menghina saya.")</f>
        <v>B Saya rasanya ingin membalas dendam bila seseorang menghina saya.</v>
      </c>
      <c r="CT55" s="95" t="str">
        <f>IFERROR(__xludf.DUMMYFUNCTION("""COMPUTED_VALUE"""),"B Saya saat marah rasanya ingin melemparkan dan merusak barang-barang.")</f>
        <v>B Saya saat marah rasanya ingin melemparkan dan merusak barang-barang.</v>
      </c>
      <c r="CU55" s="95" t="str">
        <f>IFERROR(__xludf.DUMMYFUNCTION("""COMPUTED_VALUE"""),"A Saya ingin diperlakukan dengan ramah oleh teman-teman saya.")</f>
        <v>A Saya ingin diperlakukan dengan ramah oleh teman-teman saya.</v>
      </c>
      <c r="CV55" s="95" t="str">
        <f>IFERROR(__xludf.DUMMYFUNCTION("""COMPUTED_VALUE"""),"B Saya menyerang pendirian-pendirian yang bertentangan dengan pendirian saya.")</f>
        <v>B Saya menyerang pendirian-pendirian yang bertentangan dengan pendirian saya.</v>
      </c>
      <c r="CW55" s="95" t="str">
        <f>IFERROR(__xludf.DUMMYFUNCTION("""COMPUTED_VALUE"""),"B Saya mengatakan kepada orang lain bagaimana pendapat saya terhadap mereka.")</f>
        <v>B Saya mengatakan kepada orang lain bagaimana pendapat saya terhadap mereka.</v>
      </c>
      <c r="CX55" s="95" t="str">
        <f>IFERROR(__xludf.DUMMYFUNCTION("""COMPUTED_VALUE"""),"B Saya ingin memperolok-olok orang yang saya anggap melakukan tindakan bodoh.")</f>
        <v>B Saya ingin memperolok-olok orang yang saya anggap melakukan tindakan bodoh.</v>
      </c>
      <c r="CY55" s="95" t="str">
        <f>IFERROR(__xludf.DUMMYFUNCTION("""COMPUTED_VALUE"""),"A Saya ingin tidak tergantung dari orang lain terhadap apa yang akan saya lakukan.")</f>
        <v>A Saya ingin tidak tergantung dari orang lain terhadap apa yang akan saya lakukan.</v>
      </c>
      <c r="CZ55" s="95" t="str">
        <f>IFERROR(__xludf.DUMMYFUNCTION("""COMPUTED_VALUE"""),"A Saya suka merencanakan dan mengatur setiap pekerjaan yang harus saya lakukan.")</f>
        <v>A Saya suka merencanakan dan mengatur setiap pekerjaan yang harus saya lakukan.</v>
      </c>
      <c r="DA55" s="95" t="str">
        <f>IFERROR(__xludf.DUMMYFUNCTION("""COMPUTED_VALUE"""),"A Saya ingin melakukan apa saja sebaik mungkin.")</f>
        <v>A Saya ingin melakukan apa saja sebaik mungkin.</v>
      </c>
      <c r="DB55" s="89" t="s">
        <v>23</v>
      </c>
      <c r="DC55" s="97" t="str">
        <f t="shared" ref="DC55:GX55" si="100">LEFT(F55,1)</f>
        <v>B</v>
      </c>
      <c r="DD55" s="97" t="str">
        <f t="shared" si="100"/>
        <v>B</v>
      </c>
      <c r="DE55" s="97" t="str">
        <f t="shared" si="100"/>
        <v>B</v>
      </c>
      <c r="DF55" s="97" t="str">
        <f t="shared" si="100"/>
        <v>B</v>
      </c>
      <c r="DG55" s="97" t="str">
        <f t="shared" si="100"/>
        <v>A</v>
      </c>
      <c r="DH55" s="97" t="str">
        <f t="shared" si="100"/>
        <v>B</v>
      </c>
      <c r="DI55" s="97" t="str">
        <f t="shared" si="100"/>
        <v>B</v>
      </c>
      <c r="DJ55" s="97" t="str">
        <f t="shared" si="100"/>
        <v>A</v>
      </c>
      <c r="DK55" s="97" t="str">
        <f t="shared" si="100"/>
        <v>B</v>
      </c>
      <c r="DL55" s="97" t="str">
        <f t="shared" si="100"/>
        <v>B</v>
      </c>
      <c r="DM55" s="97" t="str">
        <f t="shared" si="100"/>
        <v>B</v>
      </c>
      <c r="DN55" s="97" t="str">
        <f t="shared" si="100"/>
        <v>B</v>
      </c>
      <c r="DO55" s="97" t="str">
        <f t="shared" si="100"/>
        <v>B</v>
      </c>
      <c r="DP55" s="97" t="str">
        <f t="shared" si="100"/>
        <v>A</v>
      </c>
      <c r="DQ55" s="97" t="str">
        <f t="shared" si="100"/>
        <v>B</v>
      </c>
      <c r="DR55" s="97" t="str">
        <f t="shared" si="100"/>
        <v>A</v>
      </c>
      <c r="DS55" s="97" t="str">
        <f t="shared" si="100"/>
        <v>B</v>
      </c>
      <c r="DT55" s="97" t="str">
        <f t="shared" si="100"/>
        <v>B</v>
      </c>
      <c r="DU55" s="97" t="str">
        <f t="shared" si="100"/>
        <v>B</v>
      </c>
      <c r="DV55" s="97" t="str">
        <f t="shared" si="100"/>
        <v>A</v>
      </c>
      <c r="DW55" s="97" t="str">
        <f t="shared" si="100"/>
        <v>A</v>
      </c>
      <c r="DX55" s="97" t="str">
        <f t="shared" si="100"/>
        <v>A</v>
      </c>
      <c r="DY55" s="97" t="str">
        <f t="shared" si="100"/>
        <v>A</v>
      </c>
      <c r="DZ55" s="97" t="str">
        <f t="shared" si="100"/>
        <v>A</v>
      </c>
      <c r="EA55" s="97" t="str">
        <f t="shared" si="100"/>
        <v>A</v>
      </c>
      <c r="EB55" s="97" t="str">
        <f t="shared" si="100"/>
        <v>B</v>
      </c>
      <c r="EC55" s="97" t="str">
        <f t="shared" si="100"/>
        <v>A</v>
      </c>
      <c r="ED55" s="97" t="str">
        <f t="shared" si="100"/>
        <v>B</v>
      </c>
      <c r="EE55" s="97" t="str">
        <f t="shared" si="100"/>
        <v>B</v>
      </c>
      <c r="EF55" s="97" t="str">
        <f t="shared" si="100"/>
        <v>A</v>
      </c>
      <c r="EG55" s="97" t="str">
        <f t="shared" si="100"/>
        <v>B</v>
      </c>
      <c r="EH55" s="97" t="str">
        <f t="shared" si="100"/>
        <v>A</v>
      </c>
      <c r="EI55" s="97" t="str">
        <f t="shared" si="100"/>
        <v>B</v>
      </c>
      <c r="EJ55" s="97" t="str">
        <f t="shared" si="100"/>
        <v>B</v>
      </c>
      <c r="EK55" s="97" t="str">
        <f t="shared" si="100"/>
        <v>A</v>
      </c>
      <c r="EL55" s="97" t="str">
        <f t="shared" si="100"/>
        <v>A</v>
      </c>
      <c r="EM55" s="97" t="str">
        <f t="shared" si="100"/>
        <v>B</v>
      </c>
      <c r="EN55" s="97" t="str">
        <f t="shared" si="100"/>
        <v>A</v>
      </c>
      <c r="EO55" s="97" t="str">
        <f t="shared" si="100"/>
        <v>A</v>
      </c>
      <c r="EP55" s="97" t="str">
        <f t="shared" si="100"/>
        <v>A</v>
      </c>
      <c r="EQ55" s="97" t="str">
        <f t="shared" si="100"/>
        <v>B</v>
      </c>
      <c r="ER55" s="97" t="str">
        <f t="shared" si="100"/>
        <v>B</v>
      </c>
      <c r="ES55" s="97" t="str">
        <f t="shared" si="100"/>
        <v>B</v>
      </c>
      <c r="ET55" s="97" t="str">
        <f t="shared" si="100"/>
        <v>B</v>
      </c>
      <c r="EU55" s="97" t="str">
        <f t="shared" si="100"/>
        <v>B</v>
      </c>
      <c r="EV55" s="97" t="str">
        <f t="shared" si="100"/>
        <v>B</v>
      </c>
      <c r="EW55" s="97" t="str">
        <f t="shared" si="100"/>
        <v>B</v>
      </c>
      <c r="EX55" s="97" t="str">
        <f t="shared" si="100"/>
        <v>B</v>
      </c>
      <c r="EY55" s="97" t="str">
        <f t="shared" si="100"/>
        <v>A</v>
      </c>
      <c r="EZ55" s="97" t="str">
        <f t="shared" si="100"/>
        <v>B</v>
      </c>
      <c r="FA55" s="97" t="str">
        <f t="shared" si="100"/>
        <v>A</v>
      </c>
      <c r="FB55" s="97" t="str">
        <f t="shared" si="100"/>
        <v>A</v>
      </c>
      <c r="FC55" s="97" t="str">
        <f t="shared" si="100"/>
        <v>B</v>
      </c>
      <c r="FD55" s="97" t="str">
        <f t="shared" si="100"/>
        <v>A</v>
      </c>
      <c r="FE55" s="97" t="str">
        <f t="shared" si="100"/>
        <v>B</v>
      </c>
      <c r="FF55" s="97" t="str">
        <f t="shared" si="100"/>
        <v>A</v>
      </c>
      <c r="FG55" s="97" t="str">
        <f t="shared" si="100"/>
        <v>A</v>
      </c>
      <c r="FH55" s="97" t="str">
        <f t="shared" si="100"/>
        <v>A</v>
      </c>
      <c r="FI55" s="97" t="str">
        <f t="shared" si="100"/>
        <v>A</v>
      </c>
      <c r="FJ55" s="97" t="str">
        <f t="shared" si="100"/>
        <v>A</v>
      </c>
      <c r="FK55" s="97" t="str">
        <f t="shared" si="100"/>
        <v>B</v>
      </c>
      <c r="FL55" s="97" t="str">
        <f t="shared" si="100"/>
        <v>A</v>
      </c>
      <c r="FM55" s="97" t="str">
        <f t="shared" si="100"/>
        <v>A</v>
      </c>
      <c r="FN55" s="97" t="str">
        <f t="shared" si="100"/>
        <v>B</v>
      </c>
      <c r="FO55" s="97" t="str">
        <f t="shared" si="100"/>
        <v>B</v>
      </c>
      <c r="FP55" s="97" t="str">
        <f t="shared" si="100"/>
        <v>B</v>
      </c>
      <c r="FQ55" s="97" t="str">
        <f t="shared" si="100"/>
        <v>B</v>
      </c>
      <c r="FR55" s="97" t="str">
        <f t="shared" si="100"/>
        <v>A</v>
      </c>
      <c r="FS55" s="97" t="str">
        <f t="shared" si="100"/>
        <v>B</v>
      </c>
      <c r="FT55" s="97" t="str">
        <f t="shared" si="100"/>
        <v>B</v>
      </c>
      <c r="FU55" s="97" t="str">
        <f t="shared" si="100"/>
        <v>B</v>
      </c>
      <c r="FV55" s="97" t="str">
        <f t="shared" si="100"/>
        <v>A</v>
      </c>
      <c r="FW55" s="97" t="str">
        <f t="shared" si="100"/>
        <v>A</v>
      </c>
      <c r="FX55" s="97" t="str">
        <f t="shared" si="100"/>
        <v>A</v>
      </c>
      <c r="FY55" s="97" t="str">
        <f t="shared" si="100"/>
        <v>B</v>
      </c>
      <c r="FZ55" s="97" t="str">
        <f t="shared" si="100"/>
        <v>A</v>
      </c>
      <c r="GA55" s="97" t="str">
        <f t="shared" si="100"/>
        <v>B</v>
      </c>
      <c r="GB55" s="97" t="str">
        <f t="shared" si="100"/>
        <v>A</v>
      </c>
      <c r="GC55" s="97" t="str">
        <f t="shared" si="100"/>
        <v>A</v>
      </c>
      <c r="GD55" s="97" t="str">
        <f t="shared" si="100"/>
        <v>A</v>
      </c>
      <c r="GE55" s="97" t="str">
        <f t="shared" si="100"/>
        <v>A</v>
      </c>
      <c r="GF55" s="97" t="str">
        <f t="shared" si="100"/>
        <v>A</v>
      </c>
      <c r="GG55" s="97" t="str">
        <f t="shared" si="100"/>
        <v>A</v>
      </c>
      <c r="GH55" s="97" t="str">
        <f t="shared" si="100"/>
        <v>B</v>
      </c>
      <c r="GI55" s="97" t="str">
        <f t="shared" si="100"/>
        <v>A</v>
      </c>
      <c r="GJ55" s="97" t="str">
        <f t="shared" si="100"/>
        <v>B</v>
      </c>
      <c r="GK55" s="97" t="str">
        <f t="shared" si="100"/>
        <v>A</v>
      </c>
      <c r="GL55" s="97" t="str">
        <f t="shared" si="100"/>
        <v>B</v>
      </c>
      <c r="GM55" s="97" t="str">
        <f t="shared" si="100"/>
        <v>A</v>
      </c>
      <c r="GN55" s="97" t="str">
        <f t="shared" si="100"/>
        <v>B</v>
      </c>
      <c r="GO55" s="97" t="str">
        <f t="shared" si="100"/>
        <v>A</v>
      </c>
      <c r="GP55" s="97" t="str">
        <f t="shared" si="100"/>
        <v>B</v>
      </c>
      <c r="GQ55" s="97" t="str">
        <f t="shared" si="100"/>
        <v>B</v>
      </c>
      <c r="GR55" s="97" t="str">
        <f t="shared" si="100"/>
        <v>A</v>
      </c>
      <c r="GS55" s="97" t="str">
        <f t="shared" si="100"/>
        <v>B</v>
      </c>
      <c r="GT55" s="97" t="str">
        <f t="shared" si="100"/>
        <v>B</v>
      </c>
      <c r="GU55" s="97" t="str">
        <f t="shared" si="100"/>
        <v>B</v>
      </c>
      <c r="GV55" s="97" t="str">
        <f t="shared" si="100"/>
        <v>A</v>
      </c>
      <c r="GW55" s="97" t="str">
        <f t="shared" si="100"/>
        <v>A</v>
      </c>
      <c r="GX55" s="97" t="str">
        <f t="shared" si="100"/>
        <v>A</v>
      </c>
      <c r="GY55" s="98"/>
      <c r="GZ55" s="97">
        <f t="shared" si="3"/>
        <v>48</v>
      </c>
      <c r="HA55" s="97">
        <f t="shared" si="4"/>
        <v>52</v>
      </c>
      <c r="HB55" s="90">
        <f t="shared" si="5"/>
        <v>100</v>
      </c>
      <c r="HC55" s="99"/>
      <c r="HD55" s="97">
        <f t="shared" si="6"/>
        <v>7</v>
      </c>
      <c r="HE55" s="97">
        <f t="shared" si="7"/>
        <v>7</v>
      </c>
      <c r="HF55" s="90">
        <f t="shared" si="8"/>
        <v>14</v>
      </c>
      <c r="HG55" s="99"/>
      <c r="HH55" s="97">
        <f t="shared" si="9"/>
        <v>7</v>
      </c>
      <c r="HI55" s="97">
        <f t="shared" si="10"/>
        <v>7</v>
      </c>
      <c r="HJ55" s="90">
        <f t="shared" si="11"/>
        <v>14</v>
      </c>
      <c r="HK55" s="99"/>
      <c r="HL55" s="97">
        <f t="shared" si="12"/>
        <v>6</v>
      </c>
      <c r="HM55" s="97">
        <f t="shared" si="13"/>
        <v>3</v>
      </c>
      <c r="HN55" s="90">
        <f t="shared" si="14"/>
        <v>9</v>
      </c>
      <c r="HO55" s="99"/>
      <c r="HP55" s="97">
        <f t="shared" si="15"/>
        <v>2</v>
      </c>
      <c r="HQ55" s="97">
        <f t="shared" si="16"/>
        <v>4</v>
      </c>
      <c r="HR55" s="90">
        <f t="shared" si="17"/>
        <v>6</v>
      </c>
      <c r="HS55" s="99"/>
      <c r="HT55" s="97">
        <f t="shared" si="18"/>
        <v>7</v>
      </c>
      <c r="HU55" s="97">
        <f t="shared" si="19"/>
        <v>9</v>
      </c>
      <c r="HV55" s="90">
        <f t="shared" si="20"/>
        <v>16</v>
      </c>
      <c r="HW55" s="99"/>
      <c r="HX55" s="97">
        <f t="shared" si="21"/>
        <v>1</v>
      </c>
      <c r="HY55" s="97">
        <f t="shared" si="22"/>
        <v>2</v>
      </c>
      <c r="HZ55" s="90">
        <f t="shared" si="23"/>
        <v>3</v>
      </c>
      <c r="IA55" s="99"/>
      <c r="IB55" s="97">
        <f t="shared" si="24"/>
        <v>6</v>
      </c>
      <c r="IC55" s="97">
        <f t="shared" si="25"/>
        <v>7</v>
      </c>
      <c r="ID55" s="90">
        <f t="shared" si="26"/>
        <v>13</v>
      </c>
      <c r="IE55" s="99"/>
      <c r="IF55" s="97">
        <f t="shared" si="27"/>
        <v>2</v>
      </c>
      <c r="IG55" s="97">
        <f t="shared" si="28"/>
        <v>3</v>
      </c>
      <c r="IH55" s="90">
        <f t="shared" si="29"/>
        <v>5</v>
      </c>
      <c r="II55" s="99"/>
      <c r="IJ55" s="97">
        <f t="shared" si="30"/>
        <v>4</v>
      </c>
      <c r="IK55" s="97">
        <f t="shared" si="31"/>
        <v>4</v>
      </c>
      <c r="IL55" s="90">
        <f t="shared" si="32"/>
        <v>8</v>
      </c>
      <c r="IM55" s="99"/>
      <c r="IN55" s="97">
        <f t="shared" si="33"/>
        <v>2</v>
      </c>
      <c r="IO55" s="97">
        <f t="shared" si="34"/>
        <v>5</v>
      </c>
      <c r="IP55" s="90">
        <f t="shared" si="35"/>
        <v>7</v>
      </c>
      <c r="IQ55" s="99"/>
      <c r="IR55" s="99"/>
      <c r="IS55" s="100">
        <f t="shared" si="36"/>
        <v>14</v>
      </c>
      <c r="IT55" s="100">
        <f t="shared" si="37"/>
        <v>14</v>
      </c>
      <c r="IU55" s="100">
        <f t="shared" si="38"/>
        <v>9</v>
      </c>
      <c r="IV55" s="100">
        <f t="shared" si="39"/>
        <v>6</v>
      </c>
      <c r="IW55" s="100">
        <f t="shared" si="40"/>
        <v>16</v>
      </c>
      <c r="IX55" s="100">
        <f t="shared" si="41"/>
        <v>3</v>
      </c>
      <c r="IY55" s="100">
        <f t="shared" si="42"/>
        <v>13</v>
      </c>
      <c r="IZ55" s="100">
        <f t="shared" si="43"/>
        <v>5</v>
      </c>
      <c r="JA55" s="100">
        <f t="shared" si="44"/>
        <v>8</v>
      </c>
      <c r="JB55" s="101">
        <f t="shared" si="45"/>
        <v>7</v>
      </c>
      <c r="JC55" s="102">
        <f t="shared" si="46"/>
        <v>95</v>
      </c>
      <c r="JD55" s="67">
        <f t="shared" si="50"/>
        <v>0</v>
      </c>
      <c r="JE55" s="67">
        <f t="shared" si="47"/>
        <v>1</v>
      </c>
      <c r="JF55" s="67">
        <f t="shared" si="48"/>
        <v>1</v>
      </c>
    </row>
    <row r="56">
      <c r="A56" s="103">
        <f>IFERROR(__xludf.DUMMYFUNCTION("""COMPUTED_VALUE"""),45930.81161829861)</f>
        <v>45930.81162</v>
      </c>
      <c r="B56" s="95" t="str">
        <f>IFERROR(__xludf.DUMMYFUNCTION("""COMPUTED_VALUE"""),"Siti Fatimah Azzahra")</f>
        <v>Siti Fatimah Azzahra</v>
      </c>
      <c r="C56" s="96" t="str">
        <f>IFERROR(__xludf.DUMMYFUNCTION("""COMPUTED_VALUE"""),"D250010")</f>
        <v>D250010</v>
      </c>
      <c r="D56" s="96" t="str">
        <f>IFERROR(__xludf.DUMMYFUNCTION("""COMPUTED_VALUE"""),"MTs Putri")</f>
        <v>MTs Putri</v>
      </c>
      <c r="E56" s="96" t="str">
        <f>IFERROR(__xludf.DUMMYFUNCTION("""COMPUTED_VALUE"""),"Ya")</f>
        <v>Ya</v>
      </c>
      <c r="F56" s="95" t="str">
        <f>IFERROR(__xludf.DUMMYFUNCTION("""COMPUTED_VALUE"""),"B Saya ingin melakukan apa saja sebaik mungkin.")</f>
        <v>B Saya ingin melakukan apa saja sebaik mungkin.</v>
      </c>
      <c r="G56" s="95" t="str">
        <f>IFERROR(__xludf.DUMMYFUNCTION("""COMPUTED_VALUE"""),"A Saya ingin setiap tulisan saya teliti, rapi, dan tersusun dengan baik.")</f>
        <v>A Saya ingin setiap tulisan saya teliti, rapi, dan tersusun dengan baik.</v>
      </c>
      <c r="H56" s="95" t="str">
        <f>IFERROR(__xludf.DUMMYFUNCTION("""COMPUTED_VALUE"""),"B Saya ingin menjadi orang yang diakui dalam suatu pekerjaan atau bidang khusus.")</f>
        <v>B Saya ingin menjadi orang yang diakui dalam suatu pekerjaan atau bidang khusus.</v>
      </c>
      <c r="I56" s="95" t="str">
        <f>IFERROR(__xludf.DUMMYFUNCTION("""COMPUTED_VALUE"""),"A Saya suka belajar keras pada tiap pelajaran yang saya hadapi.")</f>
        <v>A Saya suka belajar keras pada tiap pelajaran yang saya hadapi.</v>
      </c>
      <c r="J56" s="95" t="str">
        <f>IFERROR(__xludf.DUMMYFUNCTION("""COMPUTED_VALUE"""),"A Saya suka membantu teman-teman saya apabila mereka mengalami kesulitan.")</f>
        <v>A Saya suka membantu teman-teman saya apabila mereka mengalami kesulitan.</v>
      </c>
      <c r="K56" s="95" t="str">
        <f>IFERROR(__xludf.DUMMYFUNCTION("""COMPUTED_VALUE"""),"B Saya ingin mengatakan telah melakukan dengan baik sesuatu tugas yang sulit.")</f>
        <v>B Saya ingin mengatakan telah melakukan dengan baik sesuatu tugas yang sulit.</v>
      </c>
      <c r="L56" s="95" t="str">
        <f>IFERROR(__xludf.DUMMYFUNCTION("""COMPUTED_VALUE"""),"B Saya ingin mengatakan telah melakukan dengan baik sesuatu tugas yang sulit")</f>
        <v>B Saya ingin mengatakan telah melakukan dengan baik sesuatu tugas yang sulit</v>
      </c>
      <c r="M56" s="95" t="str">
        <f>IFERROR(__xludf.DUMMYFUNCTION("""COMPUTED_VALUE"""),"A Saya suka berbicara tentang hal-hal yang telah berhasil saya lakukan.")</f>
        <v>A Saya suka berbicara tentang hal-hal yang telah berhasil saya lakukan.</v>
      </c>
      <c r="N56" s="95" t="str">
        <f>IFERROR(__xludf.DUMMYFUNCTION("""COMPUTED_VALUE"""),"B Saya suka memecahkan persoalan yang sukar bagi orang lain.")</f>
        <v>B Saya suka memecahkan persoalan yang sukar bagi orang lain.</v>
      </c>
      <c r="O56" s="95" t="str">
        <f>IFERROR(__xludf.DUMMYFUNCTION("""COMPUTED_VALUE"""),"B Saya suka melakukan tugas sebaik mungkin.")</f>
        <v>B Saya suka melakukan tugas sebaik mungkin.</v>
      </c>
      <c r="P56" s="95" t="str">
        <f>IFERROR(__xludf.DUMMYFUNCTION("""COMPUTED_VALUE"""),"B Saya ingin setiap belajar itu teratur dan direncanakan.")</f>
        <v>B Saya ingin setiap belajar itu teratur dan direncanakan.</v>
      </c>
      <c r="Q56" s="95" t="str">
        <f>IFERROR(__xludf.DUMMYFUNCTION("""COMPUTED_VALUE"""),"B Saya merencanakan keperluan yang dibutuhkan sebelum bepergian.")</f>
        <v>B Saya merencanakan keperluan yang dibutuhkan sebelum bepergian.</v>
      </c>
      <c r="R56" s="95" t="str">
        <f>IFERROR(__xludf.DUMMYFUNCTION("""COMPUTED_VALUE"""),"B Saya suka barang-barang saya tersusun rapi dan teratur.")</f>
        <v>B Saya suka barang-barang saya tersusun rapi dan teratur.</v>
      </c>
      <c r="S56" s="95" t="str">
        <f>IFERROR(__xludf.DUMMYFUNCTION("""COMPUTED_VALUE"""),"B Saya suka membuat perencanaan sebelum memulai tugas yang sulit.")</f>
        <v>B Saya suka membuat perencanaan sebelum memulai tugas yang sulit.</v>
      </c>
      <c r="T56" s="95" t="str">
        <f>IFERROR(__xludf.DUMMYFUNCTION("""COMPUTED_VALUE"""),"B Saya ingin agar hidup saya teratur sesuai cita-cita saya.")</f>
        <v>B Saya ingin agar hidup saya teratur sesuai cita-cita saya.</v>
      </c>
      <c r="U56" s="95" t="str">
        <f>IFERROR(__xludf.DUMMYFUNCTION("""COMPUTED_VALUE"""),"A Saya suka memberikan bantuan kepada teman-teman saya.")</f>
        <v>A Saya suka memberikan bantuan kepada teman-teman saya.</v>
      </c>
      <c r="V56" s="95" t="str">
        <f>IFERROR(__xludf.DUMMYFUNCTION("""COMPUTED_VALUE"""),"B Saya suka belajar saya teratur dan ada waktu-waktu tertentu untuk belajar.")</f>
        <v>B Saya suka belajar saya teratur dan ada waktu-waktu tertentu untuk belajar.</v>
      </c>
      <c r="W56" s="95" t="str">
        <f>IFERROR(__xludf.DUMMYFUNCTION("""COMPUTED_VALUE"""),"B Saya ingin kegiatan itu teratur dan direncanakan.")</f>
        <v>B Saya ingin kegiatan itu teratur dan direncanakan.</v>
      </c>
      <c r="X56" s="95" t="str">
        <f>IFERROR(__xludf.DUMMYFUNCTION("""COMPUTED_VALUE"""),"A Saya suka merencanakan dan mengatur setiap apa yang harus saya lakukan.")</f>
        <v>A Saya suka merencanakan dan mengatur setiap apa yang harus saya lakukan.</v>
      </c>
      <c r="Y56" s="95" t="str">
        <f>IFERROR(__xludf.DUMMYFUNCTION("""COMPUTED_VALUE"""),"A Saya suka menyelesaikan tugas-tugas yang membutuhkan ketrampilan dan usaha.")</f>
        <v>A Saya suka menyelesaikan tugas-tugas yang membutuhkan ketrampilan dan usaha.</v>
      </c>
      <c r="Z56" s="95" t="str">
        <f>IFERROR(__xludf.DUMMYFUNCTION("""COMPUTED_VALUE"""),"A Saya ingin berhasil dengan belajar yang saya lakukan.")</f>
        <v>A Saya ingin berhasil dengan belajar yang saya lakukan.</v>
      </c>
      <c r="AA56" s="95" t="str">
        <f>IFERROR(__xludf.DUMMYFUNCTION("""COMPUTED_VALUE"""),"A Saya suka menyelesaikan tugas yang telah saya rencanakan.")</f>
        <v>A Saya suka menyelesaikan tugas yang telah saya rencanakan.</v>
      </c>
      <c r="AB56" s="95" t="str">
        <f>IFERROR(__xludf.DUMMYFUNCTION("""COMPUTED_VALUE"""),"B Saya ingin menyelesaikan pekerjaan satu persatu sebelum memulai yang lain.")</f>
        <v>B Saya ingin menyelesaikan pekerjaan satu persatu sebelum memulai yang lain.</v>
      </c>
      <c r="AC56" s="95" t="str">
        <f>IFERROR(__xludf.DUMMYFUNCTION("""COMPUTED_VALUE"""),"A Saya suka menyelesaikan setiap tugas meskipun membutuhkan waktu lama.")</f>
        <v>A Saya suka menyelesaikan setiap tugas meskipun membutuhkan waktu lama.</v>
      </c>
      <c r="AD56" s="95" t="str">
        <f>IFERROR(__xludf.DUMMYFUNCTION("""COMPUTED_VALUE"""),"A Saya suka bermurah hati terhadap teman-teman saya.")</f>
        <v>A Saya suka bermurah hati terhadap teman-teman saya.</v>
      </c>
      <c r="AE56" s="95" t="str">
        <f>IFERROR(__xludf.DUMMYFUNCTION("""COMPUTED_VALUE"""),"A Saya ingin dianggap sebagai pemimpin oleh teman di kelompok.")</f>
        <v>A Saya ingin dianggap sebagai pemimpin oleh teman di kelompok.</v>
      </c>
      <c r="AF56" s="95" t="str">
        <f>IFERROR(__xludf.DUMMYFUNCTION("""COMPUTED_VALUE"""),"A Saya ingin agar teman-teman mengerti bila saya mengalami kesukaran.")</f>
        <v>A Saya ingin agar teman-teman mengerti bila saya mengalami kesukaran.</v>
      </c>
      <c r="AG56" s="95" t="str">
        <f>IFERROR(__xludf.DUMMYFUNCTION("""COMPUTED_VALUE"""),"B Saya ingin berhasil dengan tugas yang saya lakukan.")</f>
        <v>B Saya ingin berhasil dengan tugas yang saya lakukan.</v>
      </c>
      <c r="AH56" s="95" t="str">
        <f>IFERROR(__xludf.DUMMYFUNCTION("""COMPUTED_VALUE"""),"B Saya ingin merasa bebas untuk melakukan apa yang saya kehendaki.")</f>
        <v>B Saya ingin merasa bebas untuk melakukan apa yang saya kehendaki.</v>
      </c>
      <c r="AI56" s="95" t="str">
        <f>IFERROR(__xludf.DUMMYFUNCTION("""COMPUTED_VALUE"""),"B Saya suka melakukan kegiatan sesuai kondisi yang saya inginkan.")</f>
        <v>B Saya suka melakukan kegiatan sesuai kondisi yang saya inginkan.</v>
      </c>
      <c r="AJ56" s="95" t="str">
        <f>IFERROR(__xludf.DUMMYFUNCTION("""COMPUTED_VALUE"""),"B Saya suka bertahan menghadapi satu masalah meskipun belum tentu berhasil.")</f>
        <v>B Saya suka bertahan menghadapi satu masalah meskipun belum tentu berhasil.</v>
      </c>
      <c r="AK56" s="95" t="str">
        <f>IFERROR(__xludf.DUMMYFUNCTION("""COMPUTED_VALUE"""),"B Bila saya harus melakukan suatu tugas, saya ingin mengerjakan sampai selesai.")</f>
        <v>B Bila saya harus melakukan suatu tugas, saya ingin mengerjakan sampai selesai.</v>
      </c>
      <c r="AL56" s="95" t="str">
        <f>IFERROR(__xludf.DUMMYFUNCTION("""COMPUTED_VALUE"""),"A Saya suka berbicara tentang hal-hal yang telah saya capai.")</f>
        <v>A Saya suka berbicara tentang hal-hal yang telah saya capai.</v>
      </c>
      <c r="AM56" s="95" t="str">
        <f>IFERROR(__xludf.DUMMYFUNCTION("""COMPUTED_VALUE"""),"B Saya suka belajar sampai malam untuk menyelesaikan suatu tugas.")</f>
        <v>B Saya suka belajar sampai malam untuk menyelesaikan suatu tugas.</v>
      </c>
      <c r="AN56" s="95" t="str">
        <f>IFERROR(__xludf.DUMMYFUNCTION("""COMPUTED_VALUE"""),"B Saya ingin bekerja berjam-jam tanpa diganggu.")</f>
        <v>B Saya ingin bekerja berjam-jam tanpa diganggu.</v>
      </c>
      <c r="AO56" s="95" t="str">
        <f>IFERROR(__xludf.DUMMYFUNCTION("""COMPUTED_VALUE"""),"B Saya suka menyelesaikan setiap tugas meskipun membutuhkan waktu lama.")</f>
        <v>B Saya suka menyelesaikan setiap tugas meskipun membutuhkan waktu lama.</v>
      </c>
      <c r="AP56" s="95" t="str">
        <f>IFERROR(__xludf.DUMMYFUNCTION("""COMPUTED_VALUE"""),"B Saya suka bertahan menghadapi satu masalah meskipun belum tentu berhasil.")</f>
        <v>B Saya suka bertahan menghadapi satu masalah meskipun belum tentu berhasil.</v>
      </c>
      <c r="AQ56" s="95" t="str">
        <f>IFERROR(__xludf.DUMMYFUNCTION("""COMPUTED_VALUE"""),"B Bila saya harus melakukan suatu tugas, saya ingin mengerjakan sampai selesai.")</f>
        <v>B Bila saya harus melakukan suatu tugas, saya ingin mengerjakan sampai selesai.</v>
      </c>
      <c r="AR56" s="95" t="str">
        <f>IFERROR(__xludf.DUMMYFUNCTION("""COMPUTED_VALUE"""),"B Saya suka belajar keras pada tiap pelajaran yang saya hadapi.")</f>
        <v>B Saya suka belajar keras pada tiap pelajaran yang saya hadapi.</v>
      </c>
      <c r="AS56" s="95" t="str">
        <f>IFERROR(__xludf.DUMMYFUNCTION("""COMPUTED_VALUE"""),"A Saya ingin dapat menyelesaikan persoalan yang dianggap sukar bagi orang lain.")</f>
        <v>A Saya ingin dapat menyelesaikan persoalan yang dianggap sukar bagi orang lain.</v>
      </c>
      <c r="AT56" s="95" t="str">
        <f>IFERROR(__xludf.DUMMYFUNCTION("""COMPUTED_VALUE"""),"A Saya ingin bisa melakukan dengan baik sesuatu pekerjaan sulit.")</f>
        <v>A Saya ingin bisa melakukan dengan baik sesuatu pekerjaan sulit.</v>
      </c>
      <c r="AU56" s="95" t="str">
        <f>IFERROR(__xludf.DUMMYFUNCTION("""COMPUTED_VALUE"""),"A Saya ingin menyelesaikan pekerjaan satu persatu sebelum memulai yang lain.")</f>
        <v>A Saya ingin menyelesaikan pekerjaan satu persatu sebelum memulai yang lain.</v>
      </c>
      <c r="AV56" s="95" t="str">
        <f>IFERROR(__xludf.DUMMYFUNCTION("""COMPUTED_VALUE"""),"A Saya ingin merasa bebas untuk melakukan apa yang saya kehendaki.")</f>
        <v>A Saya ingin merasa bebas untuk melakukan apa yang saya kehendaki.</v>
      </c>
      <c r="AW56" s="95" t="str">
        <f>IFERROR(__xludf.DUMMYFUNCTION("""COMPUTED_VALUE"""),"A Saya ingin mengerjakan tugas sampai selesai.")</f>
        <v>A Saya ingin mengerjakan tugas sampai selesai.</v>
      </c>
      <c r="AX56" s="95" t="str">
        <f>IFERROR(__xludf.DUMMYFUNCTION("""COMPUTED_VALUE"""),"A Saya suka menolong teman-teman saya apabila mereka dalam kesulitan.")</f>
        <v>A Saya suka menolong teman-teman saya apabila mereka dalam kesulitan.</v>
      </c>
      <c r="AY56" s="95" t="str">
        <f>IFERROR(__xludf.DUMMYFUNCTION("""COMPUTED_VALUE"""),"B Saya suka menolong teman-teman saya apabila mereka dalam kesulitan.")</f>
        <v>B Saya suka menolong teman-teman saya apabila mereka dalam kesulitan.</v>
      </c>
      <c r="AZ56" s="95" t="str">
        <f>IFERROR(__xludf.DUMMYFUNCTION("""COMPUTED_VALUE"""),"B Saya suka menunjukkan simpati saya kepada teman-teman saya.")</f>
        <v>B Saya suka menunjukkan simpati saya kepada teman-teman saya.</v>
      </c>
      <c r="BA56" s="95" t="str">
        <f>IFERROR(__xludf.DUMMYFUNCTION("""COMPUTED_VALUE"""),"A Saya suka menyatakan pendapat saya tentang berbagai hal.")</f>
        <v>A Saya suka menyatakan pendapat saya tentang berbagai hal.</v>
      </c>
      <c r="BB56" s="95" t="str">
        <f>IFERROR(__xludf.DUMMYFUNCTION("""COMPUTED_VALUE"""),"B Saya suka bermurah hati terhadap teman-teman saya.")</f>
        <v>B Saya suka bermurah hati terhadap teman-teman saya.</v>
      </c>
      <c r="BC56" s="95" t="str">
        <f>IFERROR(__xludf.DUMMYFUNCTION("""COMPUTED_VALUE"""),"B Saya suka membantu orang lain yang menurut saya perlu dikasihani.")</f>
        <v>B Saya suka membantu orang lain yang menurut saya perlu dikasihani.</v>
      </c>
      <c r="BD56" s="95" t="str">
        <f>IFERROR(__xludf.DUMMYFUNCTION("""COMPUTED_VALUE"""),"B Saya suka bersikukuh dengan pendirian saya.")</f>
        <v>B Saya suka bersikukuh dengan pendirian saya.</v>
      </c>
      <c r="BE56" s="95" t="str">
        <f>IFERROR(__xludf.DUMMYFUNCTION("""COMPUTED_VALUE"""),"B Saya ingin orang lain melakukan apa yang saya kehendaki.")</f>
        <v>B Saya ingin orang lain melakukan apa yang saya kehendaki.</v>
      </c>
      <c r="BF56" s="95" t="str">
        <f>IFERROR(__xludf.DUMMYFUNCTION("""COMPUTED_VALUE"""),"A Saya ingin orang lain memperhatikan dan berkomentar tentang penampilan saya.")</f>
        <v>A Saya ingin orang lain memperhatikan dan berkomentar tentang penampilan saya.</v>
      </c>
      <c r="BG56" s="95" t="str">
        <f>IFERROR(__xludf.DUMMYFUNCTION("""COMPUTED_VALUE"""),"A Saya ingin teman-teman banyak menunjukkan rasa sayang mereka terhadap saya.")</f>
        <v>A Saya ingin teman-teman banyak menunjukkan rasa sayang mereka terhadap saya.</v>
      </c>
      <c r="BH56" s="95" t="str">
        <f>IFERROR(__xludf.DUMMYFUNCTION("""COMPUTED_VALUE"""),"B Apabila saya berkumpul dalam kelompok, saya ingin dihargai teman-teman.")</f>
        <v>B Apabila saya berkumpul dalam kelompok, saya ingin dihargai teman-teman.</v>
      </c>
      <c r="BI56" s="95" t="str">
        <f>IFERROR(__xludf.DUMMYFUNCTION("""COMPUTED_VALUE"""),"A Saya suka bermurah hati terhadap teman-teman saya.")</f>
        <v>A Saya suka bermurah hati terhadap teman-teman saya.</v>
      </c>
      <c r="BJ56" s="95" t="str">
        <f>IFERROR(__xludf.DUMMYFUNCTION("""COMPUTED_VALUE"""),"A Saya ingin mengerjakan tugas sampai selesai.")</f>
        <v>A Saya ingin mengerjakan tugas sampai selesai.</v>
      </c>
      <c r="BK56" s="95" t="str">
        <f>IFERROR(__xludf.DUMMYFUNCTION("""COMPUTED_VALUE"""),"A Saya ingin menyelesaikan pekerjaan satu persatu sebelum memulai yang lain.")</f>
        <v>A Saya ingin menyelesaikan pekerjaan satu persatu sebelum memulai yang lain.</v>
      </c>
      <c r="BL56" s="95" t="str">
        <f>IFERROR(__xludf.DUMMYFUNCTION("""COMPUTED_VALUE"""),"A Saya suka belajar saya teratur dan ada waktu-waktu tertentu untuk belajar.")</f>
        <v>A Saya suka belajar saya teratur dan ada waktu-waktu tertentu untuk belajar.</v>
      </c>
      <c r="BM56" s="95" t="str">
        <f>IFERROR(__xludf.DUMMYFUNCTION("""COMPUTED_VALUE"""),"A Saya suka melakukan pekerjaan sebaik mungkin.")</f>
        <v>A Saya suka melakukan pekerjaan sebaik mungkin.</v>
      </c>
      <c r="BN56" s="95" t="str">
        <f>IFERROR(__xludf.DUMMYFUNCTION("""COMPUTED_VALUE"""),"A Saya suka mengerjakan teka-teki atau memecahkan persoalan sampai selesai.")</f>
        <v>A Saya suka mengerjakan teka-teki atau memecahkan persoalan sampai selesai.</v>
      </c>
      <c r="BO56" s="95" t="str">
        <f>IFERROR(__xludf.DUMMYFUNCTION("""COMPUTED_VALUE"""),"B Saya ingin diperlakukan dengan baik oleh teman-teman saya.")</f>
        <v>B Saya ingin diperlakukan dengan baik oleh teman-teman saya.</v>
      </c>
      <c r="BP56" s="95" t="str">
        <f>IFERROR(__xludf.DUMMYFUNCTION("""COMPUTED_VALUE"""),"A Saya ingin menyelesaikan sesuatu yang sangat penting artinya.")</f>
        <v>A Saya ingin menyelesaikan sesuatu yang sangat penting artinya.</v>
      </c>
      <c r="BQ56" s="95" t="str">
        <f>IFERROR(__xludf.DUMMYFUNCTION("""COMPUTED_VALUE"""),"A Saya ingin mengerjakannya tugas sampai selesai.")</f>
        <v>A Saya ingin mengerjakannya tugas sampai selesai.</v>
      </c>
      <c r="BR56" s="95" t="str">
        <f>IFERROR(__xludf.DUMMYFUNCTION("""COMPUTED_VALUE"""),"B Saya ingin agar teman-teman saya bersimpati dan menghibur saya bila saya sedih.")</f>
        <v>B Saya ingin agar teman-teman saya bersimpati dan menghibur saya bila saya sedih.</v>
      </c>
      <c r="BS56" s="95" t="str">
        <f>IFERROR(__xludf.DUMMYFUNCTION("""COMPUTED_VALUE"""),"B Saya ingin teman-teman saya membantu saya bila saya mengalami kesulitan")</f>
        <v>B Saya ingin teman-teman saya membantu saya bila saya mengalami kesulitan</v>
      </c>
      <c r="BT56" s="95" t="str">
        <f>IFERROR(__xludf.DUMMYFUNCTION("""COMPUTED_VALUE"""),"A Saya ingin teman-teman saya merasa kasihan pada saya apabila saya sakit.")</f>
        <v>A Saya ingin teman-teman saya merasa kasihan pada saya apabila saya sakit.</v>
      </c>
      <c r="BU56" s="95" t="str">
        <f>IFERROR(__xludf.DUMMYFUNCTION("""COMPUTED_VALUE"""),"B Saya ingin agar teman-teman saya merasa kasihan pada saya apabila saya sakit.")</f>
        <v>B Saya ingin agar teman-teman saya merasa kasihan pada saya apabila saya sakit.</v>
      </c>
      <c r="BV56" s="95" t="str">
        <f>IFERROR(__xludf.DUMMYFUNCTION("""COMPUTED_VALUE"""),"B Saya ingin teman-teman dengan gembira memberikan pertolongan kepada saya.")</f>
        <v>B Saya ingin teman-teman dengan gembira memberikan pertolongan kepada saya.</v>
      </c>
      <c r="BW56" s="95" t="str">
        <f>IFERROR(__xludf.DUMMYFUNCTION("""COMPUTED_VALUE"""),"B Saya ingin diperlakukan dengan baik oleh teman-teman saya.")</f>
        <v>B Saya ingin diperlakukan dengan baik oleh teman-teman saya.</v>
      </c>
      <c r="BX56" s="95" t="str">
        <f>IFERROR(__xludf.DUMMYFUNCTION("""COMPUTED_VALUE"""),"B Saya kadang-kadang suka melakukan hal-hal yang dapat dipuji oleh orang lain.")</f>
        <v>B Saya kadang-kadang suka melakukan hal-hal yang dapat dipuji oleh orang lain.</v>
      </c>
      <c r="BY56" s="95" t="str">
        <f>IFERROR(__xludf.DUMMYFUNCTION("""COMPUTED_VALUE"""),"B Saya ingin orang lain memperhatikan dan berkomentar tentang penampilan saya.")</f>
        <v>B Saya ingin orang lain memperhatikan dan berkomentar tentang penampilan saya.</v>
      </c>
      <c r="BZ56" s="95" t="str">
        <f>IFERROR(__xludf.DUMMYFUNCTION("""COMPUTED_VALUE"""),"A Saya suka berkata yang artinya sulit dipahami oleh orang lain.")</f>
        <v>A Saya suka berkata yang artinya sulit dipahami oleh orang lain.</v>
      </c>
      <c r="CA56" s="95" t="str">
        <f>IFERROR(__xludf.DUMMYFUNCTION("""COMPUTED_VALUE"""),"A Saya ingin teman-teman dengan gembira memberikan pertolongan kepada saya.")</f>
        <v>A Saya ingin teman-teman dengan gembira memberikan pertolongan kepada saya.</v>
      </c>
      <c r="CB56" s="95" t="str">
        <f>IFERROR(__xludf.DUMMYFUNCTION("""COMPUTED_VALUE"""),"B Saya suka berbicara tentang hal-hal yang telah saya capai.")</f>
        <v>B Saya suka berbicara tentang hal-hal yang telah saya capai.</v>
      </c>
      <c r="CC56" s="95" t="str">
        <f>IFERROR(__xludf.DUMMYFUNCTION("""COMPUTED_VALUE"""),"A Apabila saya berkumpul dalam kelompok, saya ingin dihargai teman-teman.")</f>
        <v>A Apabila saya berkumpul dalam kelompok, saya ingin dihargai teman-teman.</v>
      </c>
      <c r="CD56" s="95" t="str">
        <f>IFERROR(__xludf.DUMMYFUNCTION("""COMPUTED_VALUE"""),"A Saya suka menyelesaikan setiap tugas meskipun membutuhkan waktu lama.")</f>
        <v>A Saya suka menyelesaikan setiap tugas meskipun membutuhkan waktu lama.</v>
      </c>
      <c r="CE56" s="95" t="str">
        <f>IFERROR(__xludf.DUMMYFUNCTION("""COMPUTED_VALUE"""),"A Saya suka menyelesaikan setiap tugas belajar yang telah saya mulai.")</f>
        <v>A Saya suka menyelesaikan setiap tugas belajar yang telah saya mulai.</v>
      </c>
      <c r="CF56" s="95" t="str">
        <f>IFERROR(__xludf.DUMMYFUNCTION("""COMPUTED_VALUE"""),"A Saya ingin agar hidup saya teratur sesuai cita-cita saya.")</f>
        <v>A Saya ingin agar hidup saya teratur sesuai cita-cita saya.</v>
      </c>
      <c r="CG56" s="95" t="str">
        <f>IFERROR(__xludf.DUMMYFUNCTION("""COMPUTED_VALUE"""),"A Saya ingin berhasil dalam apa yang saya lakukan.")</f>
        <v>A Saya ingin berhasil dalam apa yang saya lakukan.</v>
      </c>
      <c r="CH56" s="95" t="str">
        <f>IFERROR(__xludf.DUMMYFUNCTION("""COMPUTED_VALUE"""),"A Saya ingin bisa melakukan dengan baik sesuatu pekerjaan sulit.")</f>
        <v>A Saya ingin bisa melakukan dengan baik sesuatu pekerjaan sulit.</v>
      </c>
      <c r="CI56" s="95" t="str">
        <f>IFERROR(__xludf.DUMMYFUNCTION("""COMPUTED_VALUE"""),"A Saya suka belajar saya teratur dan ada waktu-waktu tertentu untuk belajar.")</f>
        <v>A Saya suka belajar saya teratur dan ada waktu-waktu tertentu untuk belajar.</v>
      </c>
      <c r="CJ56" s="95" t="str">
        <f>IFERROR(__xludf.DUMMYFUNCTION("""COMPUTED_VALUE"""),"A Saya ingin tidak tergantung dari orang lain terhadap apa yang akan saya lakukan.")</f>
        <v>A Saya ingin tidak tergantung dari orang lain terhadap apa yang akan saya lakukan.</v>
      </c>
      <c r="CK56" s="95" t="str">
        <f>IFERROR(__xludf.DUMMYFUNCTION("""COMPUTED_VALUE"""),"B Saya senang ikut beraktivitas bersama teman sebaya saya.")</f>
        <v>B Saya senang ikut beraktivitas bersama teman sebaya saya.</v>
      </c>
      <c r="CL56" s="95" t="str">
        <f>IFERROR(__xludf.DUMMYFUNCTION("""COMPUTED_VALUE"""),"B Saya berkeinginan untuk bersama teman yang menurut saya menarik.")</f>
        <v>B Saya berkeinginan untuk bersama teman yang menurut saya menarik.</v>
      </c>
      <c r="CM56" s="95" t="str">
        <f>IFERROR(__xludf.DUMMYFUNCTION("""COMPUTED_VALUE"""),"B Saya merasa kagum pada seseorang.")</f>
        <v>B Saya merasa kagum pada seseorang.</v>
      </c>
      <c r="CN56" s="95" t="str">
        <f>IFERROR(__xludf.DUMMYFUNCTION("""COMPUTED_VALUE"""),"A Saya ingin diperlakukan dengan baik oleh teman-teman saya.")</f>
        <v>A Saya ingin diperlakukan dengan baik oleh teman-teman saya.</v>
      </c>
      <c r="CO56" s="95" t="str">
        <f>IFERROR(__xludf.DUMMYFUNCTION("""COMPUTED_VALUE"""),"B Saya suka memuji orang yang saya kagumi.")</f>
        <v>B Saya suka memuji orang yang saya kagumi.</v>
      </c>
      <c r="CP56" s="95" t="str">
        <f>IFERROR(__xludf.DUMMYFUNCTION("""COMPUTED_VALUE"""),"A Saya suka melamun atau membayangkan sesuatu sendirian.")</f>
        <v>A Saya suka melamun atau membayangkan sesuatu sendirian.</v>
      </c>
      <c r="CQ56" s="95" t="str">
        <f>IFERROR(__xludf.DUMMYFUNCTION("""COMPUTED_VALUE"""),"B Saya merasa kagum pada seseorang.")</f>
        <v>B Saya merasa kagum pada seseorang.</v>
      </c>
      <c r="CR56" s="95" t="str">
        <f>IFERROR(__xludf.DUMMYFUNCTION("""COMPUTED_VALUE"""),"B Saya rasanya ingin mengecam seseorang bila orang itu menjengkelkan.")</f>
        <v>B Saya rasanya ingin mengecam seseorang bila orang itu menjengkelkan.</v>
      </c>
      <c r="CS56" s="95" t="str">
        <f>IFERROR(__xludf.DUMMYFUNCTION("""COMPUTED_VALUE"""),"A Saya ingin terlihat menarik di depan teman-teman saya.")</f>
        <v>A Saya ingin terlihat menarik di depan teman-teman saya.</v>
      </c>
      <c r="CT56" s="95" t="str">
        <f>IFERROR(__xludf.DUMMYFUNCTION("""COMPUTED_VALUE"""),"A Saya ingin orang-orang memperhatikan komentar mengenai penampilan saya.")</f>
        <v>A Saya ingin orang-orang memperhatikan komentar mengenai penampilan saya.</v>
      </c>
      <c r="CU56" s="95" t="str">
        <f>IFERROR(__xludf.DUMMYFUNCTION("""COMPUTED_VALUE"""),"A Saya ingin diperlakukan dengan ramah oleh teman-teman saya.")</f>
        <v>A Saya ingin diperlakukan dengan ramah oleh teman-teman saya.</v>
      </c>
      <c r="CV56" s="95" t="str">
        <f>IFERROR(__xludf.DUMMYFUNCTION("""COMPUTED_VALUE"""),"A Saya ingin ditunjuk atau dipilih sebagai ketua dalam suatu kelompok.")</f>
        <v>A Saya ingin ditunjuk atau dipilih sebagai ketua dalam suatu kelompok.</v>
      </c>
      <c r="CW56" s="95" t="str">
        <f>IFERROR(__xludf.DUMMYFUNCTION("""COMPUTED_VALUE"""),"B Saya mengatakan kepada orang lain bagaimana pendapat saya terhadap mereka.")</f>
        <v>B Saya mengatakan kepada orang lain bagaimana pendapat saya terhadap mereka.</v>
      </c>
      <c r="CX56" s="95" t="str">
        <f>IFERROR(__xludf.DUMMYFUNCTION("""COMPUTED_VALUE"""),"A Saya suka belajar sampai malam untuk menyelesaikan suatu tugas.")</f>
        <v>A Saya suka belajar sampai malam untuk menyelesaikan suatu tugas.</v>
      </c>
      <c r="CY56" s="95" t="str">
        <f>IFERROR(__xludf.DUMMYFUNCTION("""COMPUTED_VALUE"""),"A Saya ingin tidak tergantung dari orang lain terhadap apa yang akan saya lakukan.")</f>
        <v>A Saya ingin tidak tergantung dari orang lain terhadap apa yang akan saya lakukan.</v>
      </c>
      <c r="CZ56" s="95" t="str">
        <f>IFERROR(__xludf.DUMMYFUNCTION("""COMPUTED_VALUE"""),"A Saya suka merencanakan dan mengatur setiap pekerjaan yang harus saya lakukan.")</f>
        <v>A Saya suka merencanakan dan mengatur setiap pekerjaan yang harus saya lakukan.</v>
      </c>
      <c r="DA56" s="95" t="str">
        <f>IFERROR(__xludf.DUMMYFUNCTION("""COMPUTED_VALUE"""),"A Saya ingin melakukan apa saja sebaik mungkin.")</f>
        <v>A Saya ingin melakukan apa saja sebaik mungkin.</v>
      </c>
      <c r="DB56" s="89" t="s">
        <v>23</v>
      </c>
      <c r="DC56" s="97" t="str">
        <f t="shared" ref="DC56:GX56" si="101">LEFT(F56,1)</f>
        <v>B</v>
      </c>
      <c r="DD56" s="97" t="str">
        <f t="shared" si="101"/>
        <v>A</v>
      </c>
      <c r="DE56" s="97" t="str">
        <f t="shared" si="101"/>
        <v>B</v>
      </c>
      <c r="DF56" s="97" t="str">
        <f t="shared" si="101"/>
        <v>A</v>
      </c>
      <c r="DG56" s="97" t="str">
        <f t="shared" si="101"/>
        <v>A</v>
      </c>
      <c r="DH56" s="97" t="str">
        <f t="shared" si="101"/>
        <v>B</v>
      </c>
      <c r="DI56" s="97" t="str">
        <f t="shared" si="101"/>
        <v>B</v>
      </c>
      <c r="DJ56" s="97" t="str">
        <f t="shared" si="101"/>
        <v>A</v>
      </c>
      <c r="DK56" s="97" t="str">
        <f t="shared" si="101"/>
        <v>B</v>
      </c>
      <c r="DL56" s="97" t="str">
        <f t="shared" si="101"/>
        <v>B</v>
      </c>
      <c r="DM56" s="97" t="str">
        <f t="shared" si="101"/>
        <v>B</v>
      </c>
      <c r="DN56" s="97" t="str">
        <f t="shared" si="101"/>
        <v>B</v>
      </c>
      <c r="DO56" s="97" t="str">
        <f t="shared" si="101"/>
        <v>B</v>
      </c>
      <c r="DP56" s="97" t="str">
        <f t="shared" si="101"/>
        <v>B</v>
      </c>
      <c r="DQ56" s="97" t="str">
        <f t="shared" si="101"/>
        <v>B</v>
      </c>
      <c r="DR56" s="97" t="str">
        <f t="shared" si="101"/>
        <v>A</v>
      </c>
      <c r="DS56" s="97" t="str">
        <f t="shared" si="101"/>
        <v>B</v>
      </c>
      <c r="DT56" s="97" t="str">
        <f t="shared" si="101"/>
        <v>B</v>
      </c>
      <c r="DU56" s="97" t="str">
        <f t="shared" si="101"/>
        <v>A</v>
      </c>
      <c r="DV56" s="97" t="str">
        <f t="shared" si="101"/>
        <v>A</v>
      </c>
      <c r="DW56" s="97" t="str">
        <f t="shared" si="101"/>
        <v>A</v>
      </c>
      <c r="DX56" s="97" t="str">
        <f t="shared" si="101"/>
        <v>A</v>
      </c>
      <c r="DY56" s="97" t="str">
        <f t="shared" si="101"/>
        <v>B</v>
      </c>
      <c r="DZ56" s="97" t="str">
        <f t="shared" si="101"/>
        <v>A</v>
      </c>
      <c r="EA56" s="97" t="str">
        <f t="shared" si="101"/>
        <v>A</v>
      </c>
      <c r="EB56" s="97" t="str">
        <f t="shared" si="101"/>
        <v>A</v>
      </c>
      <c r="EC56" s="97" t="str">
        <f t="shared" si="101"/>
        <v>A</v>
      </c>
      <c r="ED56" s="97" t="str">
        <f t="shared" si="101"/>
        <v>B</v>
      </c>
      <c r="EE56" s="97" t="str">
        <f t="shared" si="101"/>
        <v>B</v>
      </c>
      <c r="EF56" s="97" t="str">
        <f t="shared" si="101"/>
        <v>B</v>
      </c>
      <c r="EG56" s="97" t="str">
        <f t="shared" si="101"/>
        <v>B</v>
      </c>
      <c r="EH56" s="97" t="str">
        <f t="shared" si="101"/>
        <v>B</v>
      </c>
      <c r="EI56" s="97" t="str">
        <f t="shared" si="101"/>
        <v>A</v>
      </c>
      <c r="EJ56" s="97" t="str">
        <f t="shared" si="101"/>
        <v>B</v>
      </c>
      <c r="EK56" s="97" t="str">
        <f t="shared" si="101"/>
        <v>B</v>
      </c>
      <c r="EL56" s="97" t="str">
        <f t="shared" si="101"/>
        <v>B</v>
      </c>
      <c r="EM56" s="97" t="str">
        <f t="shared" si="101"/>
        <v>B</v>
      </c>
      <c r="EN56" s="97" t="str">
        <f t="shared" si="101"/>
        <v>B</v>
      </c>
      <c r="EO56" s="97" t="str">
        <f t="shared" si="101"/>
        <v>B</v>
      </c>
      <c r="EP56" s="97" t="str">
        <f t="shared" si="101"/>
        <v>A</v>
      </c>
      <c r="EQ56" s="97" t="str">
        <f t="shared" si="101"/>
        <v>A</v>
      </c>
      <c r="ER56" s="97" t="str">
        <f t="shared" si="101"/>
        <v>A</v>
      </c>
      <c r="ES56" s="97" t="str">
        <f t="shared" si="101"/>
        <v>A</v>
      </c>
      <c r="ET56" s="97" t="str">
        <f t="shared" si="101"/>
        <v>A</v>
      </c>
      <c r="EU56" s="97" t="str">
        <f t="shared" si="101"/>
        <v>A</v>
      </c>
      <c r="EV56" s="97" t="str">
        <f t="shared" si="101"/>
        <v>B</v>
      </c>
      <c r="EW56" s="97" t="str">
        <f t="shared" si="101"/>
        <v>B</v>
      </c>
      <c r="EX56" s="97" t="str">
        <f t="shared" si="101"/>
        <v>A</v>
      </c>
      <c r="EY56" s="97" t="str">
        <f t="shared" si="101"/>
        <v>B</v>
      </c>
      <c r="EZ56" s="97" t="str">
        <f t="shared" si="101"/>
        <v>B</v>
      </c>
      <c r="FA56" s="97" t="str">
        <f t="shared" si="101"/>
        <v>B</v>
      </c>
      <c r="FB56" s="97" t="str">
        <f t="shared" si="101"/>
        <v>B</v>
      </c>
      <c r="FC56" s="97" t="str">
        <f t="shared" si="101"/>
        <v>A</v>
      </c>
      <c r="FD56" s="97" t="str">
        <f t="shared" si="101"/>
        <v>A</v>
      </c>
      <c r="FE56" s="97" t="str">
        <f t="shared" si="101"/>
        <v>B</v>
      </c>
      <c r="FF56" s="97" t="str">
        <f t="shared" si="101"/>
        <v>A</v>
      </c>
      <c r="FG56" s="97" t="str">
        <f t="shared" si="101"/>
        <v>A</v>
      </c>
      <c r="FH56" s="97" t="str">
        <f t="shared" si="101"/>
        <v>A</v>
      </c>
      <c r="FI56" s="97" t="str">
        <f t="shared" si="101"/>
        <v>A</v>
      </c>
      <c r="FJ56" s="97" t="str">
        <f t="shared" si="101"/>
        <v>A</v>
      </c>
      <c r="FK56" s="97" t="str">
        <f t="shared" si="101"/>
        <v>A</v>
      </c>
      <c r="FL56" s="97" t="str">
        <f t="shared" si="101"/>
        <v>B</v>
      </c>
      <c r="FM56" s="97" t="str">
        <f t="shared" si="101"/>
        <v>A</v>
      </c>
      <c r="FN56" s="97" t="str">
        <f t="shared" si="101"/>
        <v>A</v>
      </c>
      <c r="FO56" s="97" t="str">
        <f t="shared" si="101"/>
        <v>B</v>
      </c>
      <c r="FP56" s="97" t="str">
        <f t="shared" si="101"/>
        <v>B</v>
      </c>
      <c r="FQ56" s="97" t="str">
        <f t="shared" si="101"/>
        <v>A</v>
      </c>
      <c r="FR56" s="97" t="str">
        <f t="shared" si="101"/>
        <v>B</v>
      </c>
      <c r="FS56" s="97" t="str">
        <f t="shared" si="101"/>
        <v>B</v>
      </c>
      <c r="FT56" s="97" t="str">
        <f t="shared" si="101"/>
        <v>B</v>
      </c>
      <c r="FU56" s="97" t="str">
        <f t="shared" si="101"/>
        <v>B</v>
      </c>
      <c r="FV56" s="97" t="str">
        <f t="shared" si="101"/>
        <v>B</v>
      </c>
      <c r="FW56" s="97" t="str">
        <f t="shared" si="101"/>
        <v>A</v>
      </c>
      <c r="FX56" s="97" t="str">
        <f t="shared" si="101"/>
        <v>A</v>
      </c>
      <c r="FY56" s="97" t="str">
        <f t="shared" si="101"/>
        <v>B</v>
      </c>
      <c r="FZ56" s="97" t="str">
        <f t="shared" si="101"/>
        <v>A</v>
      </c>
      <c r="GA56" s="97" t="str">
        <f t="shared" si="101"/>
        <v>A</v>
      </c>
      <c r="GB56" s="97" t="str">
        <f t="shared" si="101"/>
        <v>A</v>
      </c>
      <c r="GC56" s="97" t="str">
        <f t="shared" si="101"/>
        <v>A</v>
      </c>
      <c r="GD56" s="97" t="str">
        <f t="shared" si="101"/>
        <v>A</v>
      </c>
      <c r="GE56" s="97" t="str">
        <f t="shared" si="101"/>
        <v>A</v>
      </c>
      <c r="GF56" s="97" t="str">
        <f t="shared" si="101"/>
        <v>A</v>
      </c>
      <c r="GG56" s="97" t="str">
        <f t="shared" si="101"/>
        <v>A</v>
      </c>
      <c r="GH56" s="97" t="str">
        <f t="shared" si="101"/>
        <v>B</v>
      </c>
      <c r="GI56" s="97" t="str">
        <f t="shared" si="101"/>
        <v>B</v>
      </c>
      <c r="GJ56" s="97" t="str">
        <f t="shared" si="101"/>
        <v>B</v>
      </c>
      <c r="GK56" s="97" t="str">
        <f t="shared" si="101"/>
        <v>A</v>
      </c>
      <c r="GL56" s="97" t="str">
        <f t="shared" si="101"/>
        <v>B</v>
      </c>
      <c r="GM56" s="97" t="str">
        <f t="shared" si="101"/>
        <v>A</v>
      </c>
      <c r="GN56" s="97" t="str">
        <f t="shared" si="101"/>
        <v>B</v>
      </c>
      <c r="GO56" s="97" t="str">
        <f t="shared" si="101"/>
        <v>B</v>
      </c>
      <c r="GP56" s="97" t="str">
        <f t="shared" si="101"/>
        <v>A</v>
      </c>
      <c r="GQ56" s="97" t="str">
        <f t="shared" si="101"/>
        <v>A</v>
      </c>
      <c r="GR56" s="97" t="str">
        <f t="shared" si="101"/>
        <v>A</v>
      </c>
      <c r="GS56" s="97" t="str">
        <f t="shared" si="101"/>
        <v>A</v>
      </c>
      <c r="GT56" s="97" t="str">
        <f t="shared" si="101"/>
        <v>B</v>
      </c>
      <c r="GU56" s="97" t="str">
        <f t="shared" si="101"/>
        <v>A</v>
      </c>
      <c r="GV56" s="97" t="str">
        <f t="shared" si="101"/>
        <v>A</v>
      </c>
      <c r="GW56" s="97" t="str">
        <f t="shared" si="101"/>
        <v>A</v>
      </c>
      <c r="GX56" s="97" t="str">
        <f t="shared" si="101"/>
        <v>A</v>
      </c>
      <c r="GY56" s="98"/>
      <c r="GZ56" s="97">
        <f t="shared" si="3"/>
        <v>52</v>
      </c>
      <c r="HA56" s="97">
        <f t="shared" si="4"/>
        <v>48</v>
      </c>
      <c r="HB56" s="90">
        <f t="shared" si="5"/>
        <v>100</v>
      </c>
      <c r="HC56" s="99"/>
      <c r="HD56" s="97">
        <f t="shared" si="6"/>
        <v>9</v>
      </c>
      <c r="HE56" s="97">
        <f t="shared" si="7"/>
        <v>5</v>
      </c>
      <c r="HF56" s="90">
        <f t="shared" si="8"/>
        <v>14</v>
      </c>
      <c r="HG56" s="99"/>
      <c r="HH56" s="97">
        <f t="shared" si="9"/>
        <v>7</v>
      </c>
      <c r="HI56" s="97">
        <f t="shared" si="10"/>
        <v>7</v>
      </c>
      <c r="HJ56" s="90">
        <f t="shared" si="11"/>
        <v>14</v>
      </c>
      <c r="HK56" s="99"/>
      <c r="HL56" s="97">
        <f t="shared" si="12"/>
        <v>6</v>
      </c>
      <c r="HM56" s="97">
        <f t="shared" si="13"/>
        <v>4</v>
      </c>
      <c r="HN56" s="90">
        <f t="shared" si="14"/>
        <v>10</v>
      </c>
      <c r="HO56" s="99"/>
      <c r="HP56" s="97">
        <f t="shared" si="15"/>
        <v>7</v>
      </c>
      <c r="HQ56" s="97">
        <f t="shared" si="16"/>
        <v>8</v>
      </c>
      <c r="HR56" s="90">
        <f t="shared" si="17"/>
        <v>15</v>
      </c>
      <c r="HS56" s="99"/>
      <c r="HT56" s="97">
        <f t="shared" si="18"/>
        <v>5</v>
      </c>
      <c r="HU56" s="97">
        <f t="shared" si="19"/>
        <v>4</v>
      </c>
      <c r="HV56" s="90">
        <f t="shared" si="20"/>
        <v>9</v>
      </c>
      <c r="HW56" s="99"/>
      <c r="HX56" s="97">
        <f t="shared" si="21"/>
        <v>2</v>
      </c>
      <c r="HY56" s="97">
        <f t="shared" si="22"/>
        <v>3</v>
      </c>
      <c r="HZ56" s="90">
        <f t="shared" si="23"/>
        <v>5</v>
      </c>
      <c r="IA56" s="99"/>
      <c r="IB56" s="97">
        <f t="shared" si="24"/>
        <v>5</v>
      </c>
      <c r="IC56" s="97">
        <f t="shared" si="25"/>
        <v>6</v>
      </c>
      <c r="ID56" s="90">
        <f t="shared" si="26"/>
        <v>11</v>
      </c>
      <c r="IE56" s="99"/>
      <c r="IF56" s="97">
        <f t="shared" si="27"/>
        <v>5</v>
      </c>
      <c r="IG56" s="97">
        <f t="shared" si="28"/>
        <v>3</v>
      </c>
      <c r="IH56" s="90">
        <f t="shared" si="29"/>
        <v>8</v>
      </c>
      <c r="II56" s="99"/>
      <c r="IJ56" s="97">
        <f t="shared" si="30"/>
        <v>1</v>
      </c>
      <c r="IK56" s="97">
        <f t="shared" si="31"/>
        <v>5</v>
      </c>
      <c r="IL56" s="90">
        <f t="shared" si="32"/>
        <v>6</v>
      </c>
      <c r="IM56" s="99"/>
      <c r="IN56" s="97">
        <f t="shared" si="33"/>
        <v>0</v>
      </c>
      <c r="IO56" s="97">
        <f t="shared" si="34"/>
        <v>2</v>
      </c>
      <c r="IP56" s="90">
        <f t="shared" si="35"/>
        <v>2</v>
      </c>
      <c r="IQ56" s="99"/>
      <c r="IR56" s="99"/>
      <c r="IS56" s="100">
        <f t="shared" si="36"/>
        <v>14</v>
      </c>
      <c r="IT56" s="100">
        <f t="shared" si="37"/>
        <v>14</v>
      </c>
      <c r="IU56" s="100">
        <f t="shared" si="38"/>
        <v>10</v>
      </c>
      <c r="IV56" s="100">
        <f t="shared" si="39"/>
        <v>15</v>
      </c>
      <c r="IW56" s="100">
        <f t="shared" si="40"/>
        <v>9</v>
      </c>
      <c r="IX56" s="100">
        <f t="shared" si="41"/>
        <v>5</v>
      </c>
      <c r="IY56" s="100">
        <f t="shared" si="42"/>
        <v>11</v>
      </c>
      <c r="IZ56" s="100">
        <f t="shared" si="43"/>
        <v>8</v>
      </c>
      <c r="JA56" s="100">
        <f t="shared" si="44"/>
        <v>6</v>
      </c>
      <c r="JB56" s="101">
        <f t="shared" si="45"/>
        <v>2</v>
      </c>
      <c r="JC56" s="102">
        <f t="shared" si="46"/>
        <v>94</v>
      </c>
      <c r="JD56" s="67">
        <f t="shared" si="50"/>
        <v>0</v>
      </c>
      <c r="JE56" s="67">
        <f t="shared" si="47"/>
        <v>1</v>
      </c>
      <c r="JF56" s="67">
        <f t="shared" si="48"/>
        <v>1</v>
      </c>
    </row>
    <row r="57">
      <c r="A57" s="103">
        <f>IFERROR(__xludf.DUMMYFUNCTION("""COMPUTED_VALUE"""),45931.350433252315)</f>
        <v>45931.35043</v>
      </c>
      <c r="B57" s="95" t="str">
        <f>IFERROR(__xludf.DUMMYFUNCTION("""COMPUTED_VALUE"""),"FAIZ ABDUSSALAM TASLIM BUDIDOYO")</f>
        <v>FAIZ ABDUSSALAM TASLIM BUDIDOYO</v>
      </c>
      <c r="C57" s="96" t="str">
        <f>IFERROR(__xludf.DUMMYFUNCTION("""COMPUTED_VALUE"""),"B250014")</f>
        <v>B250014</v>
      </c>
      <c r="D57" s="96" t="str">
        <f>IFERROR(__xludf.DUMMYFUNCTION("""COMPUTED_VALUE"""),"IL Putra")</f>
        <v>IL Putra</v>
      </c>
      <c r="E57" s="96" t="str">
        <f>IFERROR(__xludf.DUMMYFUNCTION("""COMPUTED_VALUE"""),"Ya")</f>
        <v>Ya</v>
      </c>
      <c r="F57" s="95" t="str">
        <f>IFERROR(__xludf.DUMMYFUNCTION("""COMPUTED_VALUE"""),"B Saya ingin melakukan apa saja sebaik mungkin.")</f>
        <v>B Saya ingin melakukan apa saja sebaik mungkin.</v>
      </c>
      <c r="G57" s="95" t="str">
        <f>IFERROR(__xludf.DUMMYFUNCTION("""COMPUTED_VALUE"""),"A Saya ingin setiap tulisan saya teliti, rapi, dan tersusun dengan baik.")</f>
        <v>A Saya ingin setiap tulisan saya teliti, rapi, dan tersusun dengan baik.</v>
      </c>
      <c r="H57" s="95" t="str">
        <f>IFERROR(__xludf.DUMMYFUNCTION("""COMPUTED_VALUE"""),"A Saya ingin berbuat sesuai kata hati saya.")</f>
        <v>A Saya ingin berbuat sesuai kata hati saya.</v>
      </c>
      <c r="I57" s="95" t="str">
        <f>IFERROR(__xludf.DUMMYFUNCTION("""COMPUTED_VALUE"""),"B Saya ingin bisa melakukan dengan baik meskipun tugas yang sulit.")</f>
        <v>B Saya ingin bisa melakukan dengan baik meskipun tugas yang sulit.</v>
      </c>
      <c r="J57" s="95" t="str">
        <f>IFERROR(__xludf.DUMMYFUNCTION("""COMPUTED_VALUE"""),"A Saya suka membantu teman-teman saya apabila mereka mengalami kesulitan.")</f>
        <v>A Saya suka membantu teman-teman saya apabila mereka mengalami kesulitan.</v>
      </c>
      <c r="K57" s="95" t="str">
        <f>IFERROR(__xludf.DUMMYFUNCTION("""COMPUTED_VALUE"""),"A Saya ingin menjadi pemimpin dalam suatu kelompok.")</f>
        <v>A Saya ingin menjadi pemimpin dalam suatu kelompok.</v>
      </c>
      <c r="L57" s="95" t="str">
        <f>IFERROR(__xludf.DUMMYFUNCTION("""COMPUTED_VALUE"""),"A Saya ingin menjadi pemimpin dalam suatu kelompok")</f>
        <v>A Saya ingin menjadi pemimpin dalam suatu kelompok</v>
      </c>
      <c r="M57" s="95" t="str">
        <f>IFERROR(__xludf.DUMMYFUNCTION("""COMPUTED_VALUE"""),"A Saya suka berbicara tentang hal-hal yang telah berhasil saya lakukan.")</f>
        <v>A Saya suka berbicara tentang hal-hal yang telah berhasil saya lakukan.</v>
      </c>
      <c r="N57" s="95" t="str">
        <f>IFERROR(__xludf.DUMMYFUNCTION("""COMPUTED_VALUE"""),"B Saya suka memecahkan persoalan yang sukar bagi orang lain.")</f>
        <v>B Saya suka memecahkan persoalan yang sukar bagi orang lain.</v>
      </c>
      <c r="O57" s="95" t="str">
        <f>IFERROR(__xludf.DUMMYFUNCTION("""COMPUTED_VALUE"""),"A Saya marah saat ada teman memperolok-olok hal-hal yang saya anggap bodoh.")</f>
        <v>A Saya marah saat ada teman memperolok-olok hal-hal yang saya anggap bodoh.</v>
      </c>
      <c r="P57" s="95" t="str">
        <f>IFERROR(__xludf.DUMMYFUNCTION("""COMPUTED_VALUE"""),"A Saya suka bercerita tentang hal-hal yang menegangkan atau menantang.")</f>
        <v>A Saya suka bercerita tentang hal-hal yang menegangkan atau menantang.</v>
      </c>
      <c r="Q57" s="95" t="str">
        <f>IFERROR(__xludf.DUMMYFUNCTION("""COMPUTED_VALUE"""),"A Saya mulai suka dengan lawan jenis.")</f>
        <v>A Saya mulai suka dengan lawan jenis.</v>
      </c>
      <c r="R57" s="95" t="str">
        <f>IFERROR(__xludf.DUMMYFUNCTION("""COMPUTED_VALUE"""),"B Saya suka barang-barang saya tersusun rapi dan teratur.")</f>
        <v>B Saya suka barang-barang saya tersusun rapi dan teratur.</v>
      </c>
      <c r="S57" s="95" t="str">
        <f>IFERROR(__xludf.DUMMYFUNCTION("""COMPUTED_VALUE"""),"B Saya suka membuat perencanaan sebelum memulai tugas yang sulit.")</f>
        <v>B Saya suka membuat perencanaan sebelum memulai tugas yang sulit.</v>
      </c>
      <c r="T57" s="95" t="str">
        <f>IFERROR(__xludf.DUMMYFUNCTION("""COMPUTED_VALUE"""),"B Saya ingin agar hidup saya teratur sesuai cita-cita saya.")</f>
        <v>B Saya ingin agar hidup saya teratur sesuai cita-cita saya.</v>
      </c>
      <c r="U57" s="95" t="str">
        <f>IFERROR(__xludf.DUMMYFUNCTION("""COMPUTED_VALUE"""),"A Saya suka memberikan bantuan kepada teman-teman saya.")</f>
        <v>A Saya suka memberikan bantuan kepada teman-teman saya.</v>
      </c>
      <c r="V57" s="95" t="str">
        <f>IFERROR(__xludf.DUMMYFUNCTION("""COMPUTED_VALUE"""),"B Saya suka belajar saya teratur dan ada waktu-waktu tertentu untuk belajar.")</f>
        <v>B Saya suka belajar saya teratur dan ada waktu-waktu tertentu untuk belajar.</v>
      </c>
      <c r="W57" s="95" t="str">
        <f>IFERROR(__xludf.DUMMYFUNCTION("""COMPUTED_VALUE"""),"A Saya suka melakukan kegiatan sesuai kondisi yang saya inginkan.")</f>
        <v>A Saya suka melakukan kegiatan sesuai kondisi yang saya inginkan.</v>
      </c>
      <c r="X57" s="95" t="str">
        <f>IFERROR(__xludf.DUMMYFUNCTION("""COMPUTED_VALUE"""),"A Saya suka merencanakan dan mengatur setiap apa yang harus saya lakukan.")</f>
        <v>A Saya suka merencanakan dan mengatur setiap apa yang harus saya lakukan.</v>
      </c>
      <c r="Y57" s="95" t="str">
        <f>IFERROR(__xludf.DUMMYFUNCTION("""COMPUTED_VALUE"""),"B Saya senang merencanakan untuk masa depan.")</f>
        <v>B Saya senang merencanakan untuk masa depan.</v>
      </c>
      <c r="Z57" s="95" t="str">
        <f>IFERROR(__xludf.DUMMYFUNCTION("""COMPUTED_VALUE"""),"A Saya ingin berhasil dengan belajar yang saya lakukan.")</f>
        <v>A Saya ingin berhasil dengan belajar yang saya lakukan.</v>
      </c>
      <c r="AA57" s="95" t="str">
        <f>IFERROR(__xludf.DUMMYFUNCTION("""COMPUTED_VALUE"""),"B Saya tidak suka pada orang yang berbuat seenaknya sendiri.")</f>
        <v>B Saya tidak suka pada orang yang berbuat seenaknya sendiri.</v>
      </c>
      <c r="AB57" s="95" t="str">
        <f>IFERROR(__xludf.DUMMYFUNCTION("""COMPUTED_VALUE"""),"B Saya ingin menyelesaikan pekerjaan satu persatu sebelum memulai yang lain.")</f>
        <v>B Saya ingin menyelesaikan pekerjaan satu persatu sebelum memulai yang lain.</v>
      </c>
      <c r="AC57" s="95" t="str">
        <f>IFERROR(__xludf.DUMMYFUNCTION("""COMPUTED_VALUE"""),"A Saya suka menyelesaikan setiap tugas meskipun membutuhkan waktu lama.")</f>
        <v>A Saya suka menyelesaikan setiap tugas meskipun membutuhkan waktu lama.</v>
      </c>
      <c r="AD57" s="95" t="str">
        <f>IFERROR(__xludf.DUMMYFUNCTION("""COMPUTED_VALUE"""),"B Saya suka menyatakan pendapat saya tentang berbagai hal.")</f>
        <v>B Saya suka menyatakan pendapat saya tentang berbagai hal.</v>
      </c>
      <c r="AE57" s="95" t="str">
        <f>IFERROR(__xludf.DUMMYFUNCTION("""COMPUTED_VALUE"""),"B Saya suka melakukan hal-hal yang dianggap orang lain tidak sesuai.")</f>
        <v>B Saya suka melakukan hal-hal yang dianggap orang lain tidak sesuai.</v>
      </c>
      <c r="AF57" s="95" t="str">
        <f>IFERROR(__xludf.DUMMYFUNCTION("""COMPUTED_VALUE"""),"B Saya suka melakukan hal-hal dengan cara saya sendiri.")</f>
        <v>B Saya suka melakukan hal-hal dengan cara saya sendiri.</v>
      </c>
      <c r="AG57" s="95" t="str">
        <f>IFERROR(__xludf.DUMMYFUNCTION("""COMPUTED_VALUE"""),"A Saya mengajari orang lain bagaimana mereka harus melakukan pekerjaan mereka.")</f>
        <v>A Saya mengajari orang lain bagaimana mereka harus melakukan pekerjaan mereka.</v>
      </c>
      <c r="AH57" s="95" t="str">
        <f>IFERROR(__xludf.DUMMYFUNCTION("""COMPUTED_VALUE"""),"B Saya ingin merasa bebas untuk melakukan apa yang saya kehendaki.")</f>
        <v>B Saya ingin merasa bebas untuk melakukan apa yang saya kehendaki.</v>
      </c>
      <c r="AI57" s="95" t="str">
        <f>IFERROR(__xludf.DUMMYFUNCTION("""COMPUTED_VALUE"""),"B Saya suka melakukan kegiatan sesuai kondisi yang saya inginkan.")</f>
        <v>B Saya suka melakukan kegiatan sesuai kondisi yang saya inginkan.</v>
      </c>
      <c r="AJ57" s="95" t="str">
        <f>IFERROR(__xludf.DUMMYFUNCTION("""COMPUTED_VALUE"""),"A Saya rasanya ingin membalas dendam bila seseorang menghina saya.")</f>
        <v>A Saya rasanya ingin membalas dendam bila seseorang menghina saya.</v>
      </c>
      <c r="AK57" s="95" t="str">
        <f>IFERROR(__xludf.DUMMYFUNCTION("""COMPUTED_VALUE"""),"B Bila saya harus melakukan suatu tugas, saya ingin mengerjakan sampai selesai.")</f>
        <v>B Bila saya harus melakukan suatu tugas, saya ingin mengerjakan sampai selesai.</v>
      </c>
      <c r="AL57" s="95" t="str">
        <f>IFERROR(__xludf.DUMMYFUNCTION("""COMPUTED_VALUE"""),"B Saya ingin menghindarkan gangguan bila saya sedang belajar.")</f>
        <v>B Saya ingin menghindarkan gangguan bila saya sedang belajar.</v>
      </c>
      <c r="AM57" s="95" t="str">
        <f>IFERROR(__xludf.DUMMYFUNCTION("""COMPUTED_VALUE"""),"B Saya suka belajar sampai malam untuk menyelesaikan suatu tugas.")</f>
        <v>B Saya suka belajar sampai malam untuk menyelesaikan suatu tugas.</v>
      </c>
      <c r="AN57" s="95" t="str">
        <f>IFERROR(__xludf.DUMMYFUNCTION("""COMPUTED_VALUE"""),"A Saya tidak suka pada orang yang semena-mena.")</f>
        <v>A Saya tidak suka pada orang yang semena-mena.</v>
      </c>
      <c r="AO57" s="95" t="str">
        <f>IFERROR(__xludf.DUMMYFUNCTION("""COMPUTED_VALUE"""),"A Saya suka berlaku sangat ramah terhadap teman-teman saya.")</f>
        <v>A Saya suka berlaku sangat ramah terhadap teman-teman saya.</v>
      </c>
      <c r="AP57" s="95" t="str">
        <f>IFERROR(__xludf.DUMMYFUNCTION("""COMPUTED_VALUE"""),"B Saya suka bertahan menghadapi satu masalah meskipun belum tentu berhasil.")</f>
        <v>B Saya suka bertahan menghadapi satu masalah meskipun belum tentu berhasil.</v>
      </c>
      <c r="AQ57" s="95" t="str">
        <f>IFERROR(__xludf.DUMMYFUNCTION("""COMPUTED_VALUE"""),"A Saya ingin bisa mengerjakan segala sesuatu lebih baik daripada orang-orang lain.")</f>
        <v>A Saya ingin bisa mengerjakan segala sesuatu lebih baik daripada orang-orang lain.</v>
      </c>
      <c r="AR57" s="95" t="str">
        <f>IFERROR(__xludf.DUMMYFUNCTION("""COMPUTED_VALUE"""),"B Saya suka belajar keras pada tiap pelajaran yang saya hadapi.")</f>
        <v>B Saya suka belajar keras pada tiap pelajaran yang saya hadapi.</v>
      </c>
      <c r="AS57" s="95" t="str">
        <f>IFERROR(__xludf.DUMMYFUNCTION("""COMPUTED_VALUE"""),"A Saya ingin dapat menyelesaikan persoalan yang dianggap sukar bagi orang lain.")</f>
        <v>A Saya ingin dapat menyelesaikan persoalan yang dianggap sukar bagi orang lain.</v>
      </c>
      <c r="AT57" s="95" t="str">
        <f>IFERROR(__xludf.DUMMYFUNCTION("""COMPUTED_VALUE"""),"A Saya ingin bisa melakukan dengan baik sesuatu pekerjaan sulit.")</f>
        <v>A Saya ingin bisa melakukan dengan baik sesuatu pekerjaan sulit.</v>
      </c>
      <c r="AU57" s="95" t="str">
        <f>IFERROR(__xludf.DUMMYFUNCTION("""COMPUTED_VALUE"""),"A Saya ingin menyelesaikan pekerjaan satu persatu sebelum memulai yang lain.")</f>
        <v>A Saya ingin menyelesaikan pekerjaan satu persatu sebelum memulai yang lain.</v>
      </c>
      <c r="AV57" s="95" t="str">
        <f>IFERROR(__xludf.DUMMYFUNCTION("""COMPUTED_VALUE"""),"A Saya ingin merasa bebas untuk melakukan apa yang saya kehendaki.")</f>
        <v>A Saya ingin merasa bebas untuk melakukan apa yang saya kehendaki.</v>
      </c>
      <c r="AW57" s="95" t="str">
        <f>IFERROR(__xludf.DUMMYFUNCTION("""COMPUTED_VALUE"""),"B Saya ingin teman-teman saya percaya bahwa saya bisa menolong mereka.")</f>
        <v>B Saya ingin teman-teman saya percaya bahwa saya bisa menolong mereka.</v>
      </c>
      <c r="AX57" s="95" t="str">
        <f>IFERROR(__xludf.DUMMYFUNCTION("""COMPUTED_VALUE"""),"B Saya suka memaafkan teman-teman saya yang menyakiti hati saya.")</f>
        <v>B Saya suka memaafkan teman-teman saya yang menyakiti hati saya.</v>
      </c>
      <c r="AY57" s="95" t="str">
        <f>IFERROR(__xludf.DUMMYFUNCTION("""COMPUTED_VALUE"""),"A Saya rasanya ingin marah saat tidak sesuai dengan hati.")</f>
        <v>A Saya rasanya ingin marah saat tidak sesuai dengan hati.</v>
      </c>
      <c r="AZ57" s="95" t="str">
        <f>IFERROR(__xludf.DUMMYFUNCTION("""COMPUTED_VALUE"""),"B Saya suka menunjukkan simpati saya kepada teman-teman saya.")</f>
        <v>B Saya suka menunjukkan simpati saya kepada teman-teman saya.</v>
      </c>
      <c r="BA57" s="95" t="str">
        <f>IFERROR(__xludf.DUMMYFUNCTION("""COMPUTED_VALUE"""),"A Saya suka menyatakan pendapat saya tentang berbagai hal.")</f>
        <v>A Saya suka menyatakan pendapat saya tentang berbagai hal.</v>
      </c>
      <c r="BB57" s="95" t="str">
        <f>IFERROR(__xludf.DUMMYFUNCTION("""COMPUTED_VALUE"""),"A Saya berkeinginan untuk bersama orang yang menarik bagi saya.")</f>
        <v>A Saya berkeinginan untuk bersama orang yang menarik bagi saya.</v>
      </c>
      <c r="BC57" s="95" t="str">
        <f>IFERROR(__xludf.DUMMYFUNCTION("""COMPUTED_VALUE"""),"A Saya rasanya ingin mengecam seseorang bila orang itu menjengkelkan.")</f>
        <v>A Saya rasanya ingin mengecam seseorang bila orang itu menjengkelkan.</v>
      </c>
      <c r="BD57" s="95" t="str">
        <f>IFERROR(__xludf.DUMMYFUNCTION("""COMPUTED_VALUE"""),"B Saya suka bersikukuh dengan pendirian saya.")</f>
        <v>B Saya suka bersikukuh dengan pendirian saya.</v>
      </c>
      <c r="BE57" s="95" t="str">
        <f>IFERROR(__xludf.DUMMYFUNCTION("""COMPUTED_VALUE"""),"B Saya ingin orang lain melakukan apa yang saya kehendaki.")</f>
        <v>B Saya ingin orang lain melakukan apa yang saya kehendaki.</v>
      </c>
      <c r="BF57" s="95" t="str">
        <f>IFERROR(__xludf.DUMMYFUNCTION("""COMPUTED_VALUE"""),"B Bila saya dalam kelompok, saya ingin menentukan apa yang akan kita lakukan.")</f>
        <v>B Bila saya dalam kelompok, saya ingin menentukan apa yang akan kita lakukan.</v>
      </c>
      <c r="BG57" s="95" t="str">
        <f>IFERROR(__xludf.DUMMYFUNCTION("""COMPUTED_VALUE"""),"B Saya suka mengarahkan kepada orang lain apa yang harus dilakukan.")</f>
        <v>B Saya suka mengarahkan kepada orang lain apa yang harus dilakukan.</v>
      </c>
      <c r="BH57" s="95" t="str">
        <f>IFERROR(__xludf.DUMMYFUNCTION("""COMPUTED_VALUE"""),"A Saya suka menghindar dari situasi yang tidak saya harapkan.")</f>
        <v>A Saya suka menghindar dari situasi yang tidak saya harapkan.</v>
      </c>
      <c r="BI57" s="95" t="str">
        <f>IFERROR(__xludf.DUMMYFUNCTION("""COMPUTED_VALUE"""),"B Saya ingin orang lain melakukan apa yang saya kehendaki.")</f>
        <v>B Saya ingin orang lain melakukan apa yang saya kehendaki.</v>
      </c>
      <c r="BJ57" s="95" t="str">
        <f>IFERROR(__xludf.DUMMYFUNCTION("""COMPUTED_VALUE"""),"A Saya ingin mengerjakan tugas sampai selesai.")</f>
        <v>A Saya ingin mengerjakan tugas sampai selesai.</v>
      </c>
      <c r="BK57" s="95" t="str">
        <f>IFERROR(__xludf.DUMMYFUNCTION("""COMPUTED_VALUE"""),"B Saya senang untuk diminta menyelesaikan pertentangan-pertentangan.")</f>
        <v>B Saya senang untuk diminta menyelesaikan pertentangan-pertentangan.</v>
      </c>
      <c r="BL57" s="95" t="str">
        <f>IFERROR(__xludf.DUMMYFUNCTION("""COMPUTED_VALUE"""),"B Saya suka bersikukuh dengan pendirian saya.")</f>
        <v>B Saya suka bersikukuh dengan pendirian saya.</v>
      </c>
      <c r="BM57" s="95" t="str">
        <f>IFERROR(__xludf.DUMMYFUNCTION("""COMPUTED_VALUE"""),"A Saya suka melakukan pekerjaan sebaik mungkin.")</f>
        <v>A Saya suka melakukan pekerjaan sebaik mungkin.</v>
      </c>
      <c r="BN57" s="95" t="str">
        <f>IFERROR(__xludf.DUMMYFUNCTION("""COMPUTED_VALUE"""),"A Saya suka mengerjakan teka-teki atau memecahkan persoalan sampai selesai.")</f>
        <v>A Saya suka mengerjakan teka-teki atau memecahkan persoalan sampai selesai.</v>
      </c>
      <c r="BO57" s="95" t="str">
        <f>IFERROR(__xludf.DUMMYFUNCTION("""COMPUTED_VALUE"""),"A Saya suka membuat perencanaan sebelum memulai belajar yang sulit.")</f>
        <v>A Saya suka membuat perencanaan sebelum memulai belajar yang sulit.</v>
      </c>
      <c r="BP57" s="95" t="str">
        <f>IFERROR(__xludf.DUMMYFUNCTION("""COMPUTED_VALUE"""),"A Saya ingin menyelesaikan sesuatu yang sangat penting artinya.")</f>
        <v>A Saya ingin menyelesaikan sesuatu yang sangat penting artinya.</v>
      </c>
      <c r="BQ57" s="95" t="str">
        <f>IFERROR(__xludf.DUMMYFUNCTION("""COMPUTED_VALUE"""),"A Saya ingin mengerjakannya tugas sampai selesai.")</f>
        <v>A Saya ingin mengerjakannya tugas sampai selesai.</v>
      </c>
      <c r="BR57" s="95" t="str">
        <f>IFERROR(__xludf.DUMMYFUNCTION("""COMPUTED_VALUE"""),"A Saya suka memaafkan teman-teman saya yang menyakiti hati saya.")</f>
        <v>A Saya suka memaafkan teman-teman saya yang menyakiti hati saya.</v>
      </c>
      <c r="BS57" s="95" t="str">
        <f>IFERROR(__xludf.DUMMYFUNCTION("""COMPUTED_VALUE"""),"A Saya suka menghindar dari tanggung jawab yang tidak saya inginkan.")</f>
        <v>A Saya suka menghindar dari tanggung jawab yang tidak saya inginkan.</v>
      </c>
      <c r="BT57" s="95" t="str">
        <f>IFERROR(__xludf.DUMMYFUNCTION("""COMPUTED_VALUE"""),"A Saya ingin teman-teman saya merasa kasihan pada saya apabila saya sakit.")</f>
        <v>A Saya ingin teman-teman saya merasa kasihan pada saya apabila saya sakit.</v>
      </c>
      <c r="BU57" s="95" t="str">
        <f>IFERROR(__xludf.DUMMYFUNCTION("""COMPUTED_VALUE"""),"A Saya kadang-kadang suka melakukan hal-hal yang dapat dipuji oleh orang lain.")</f>
        <v>A Saya kadang-kadang suka melakukan hal-hal yang dapat dipuji oleh orang lain.</v>
      </c>
      <c r="BV57" s="95" t="str">
        <f>IFERROR(__xludf.DUMMYFUNCTION("""COMPUTED_VALUE"""),"A Saya ingin dianggap menarik oleh orang lain.")</f>
        <v>A Saya ingin dianggap menarik oleh orang lain.</v>
      </c>
      <c r="BW57" s="95" t="str">
        <f>IFERROR(__xludf.DUMMYFUNCTION("""COMPUTED_VALUE"""),"A Saya akan menyerang pendapat yang bertentangan dengan pendirian saya.")</f>
        <v>A Saya akan menyerang pendapat yang bertentangan dengan pendirian saya.</v>
      </c>
      <c r="BX57" s="95" t="str">
        <f>IFERROR(__xludf.DUMMYFUNCTION("""COMPUTED_VALUE"""),"B Saya kadang-kadang suka melakukan hal-hal yang dapat dipuji oleh orang lain.")</f>
        <v>B Saya kadang-kadang suka melakukan hal-hal yang dapat dipuji oleh orang lain.</v>
      </c>
      <c r="BY57" s="95" t="str">
        <f>IFERROR(__xludf.DUMMYFUNCTION("""COMPUTED_VALUE"""),"A Saya suka melamun atau membayangkan hal-hal yang tidak jelas.")</f>
        <v>A Saya suka melamun atau membayangkan hal-hal yang tidak jelas.</v>
      </c>
      <c r="BZ57" s="95" t="str">
        <f>IFERROR(__xludf.DUMMYFUNCTION("""COMPUTED_VALUE"""),"B Saya suka diperhatikan, apabila saya ada di dalam suatu kelompok.")</f>
        <v>B Saya suka diperhatikan, apabila saya ada di dalam suatu kelompok.</v>
      </c>
      <c r="CA57" s="95" t="str">
        <f>IFERROR(__xludf.DUMMYFUNCTION("""COMPUTED_VALUE"""),"B Saya suka mengajukan pertanyaan agar orang lain memperhatikan saya.")</f>
        <v>B Saya suka mengajukan pertanyaan agar orang lain memperhatikan saya.</v>
      </c>
      <c r="CB57" s="95" t="str">
        <f>IFERROR(__xludf.DUMMYFUNCTION("""COMPUTED_VALUE"""),"A Saya suka menghindar dari tanggung jawab yang tidak saya inginkan.")</f>
        <v>A Saya suka menghindar dari tanggung jawab yang tidak saya inginkan.</v>
      </c>
      <c r="CC57" s="95" t="str">
        <f>IFERROR(__xludf.DUMMYFUNCTION("""COMPUTED_VALUE"""),"B Saya suka menceritakan hal-hal lucu agar diperhatikan oleh orang lain.")</f>
        <v>B Saya suka menceritakan hal-hal lucu agar diperhatikan oleh orang lain.</v>
      </c>
      <c r="CD57" s="95" t="str">
        <f>IFERROR(__xludf.DUMMYFUNCTION("""COMPUTED_VALUE"""),"A Saya suka menyelesaikan setiap tugas meskipun membutuhkan waktu lama.")</f>
        <v>A Saya suka menyelesaikan setiap tugas meskipun membutuhkan waktu lama.</v>
      </c>
      <c r="CE57" s="95" t="str">
        <f>IFERROR(__xludf.DUMMYFUNCTION("""COMPUTED_VALUE"""),"A Saya suka menyelesaikan setiap tugas belajar yang telah saya mulai.")</f>
        <v>A Saya suka menyelesaikan setiap tugas belajar yang telah saya mulai.</v>
      </c>
      <c r="CF57" s="95" t="str">
        <f>IFERROR(__xludf.DUMMYFUNCTION("""COMPUTED_VALUE"""),"A Saya ingin agar hidup saya teratur sesuai cita-cita saya.")</f>
        <v>A Saya ingin agar hidup saya teratur sesuai cita-cita saya.</v>
      </c>
      <c r="CG57" s="95" t="str">
        <f>IFERROR(__xludf.DUMMYFUNCTION("""COMPUTED_VALUE"""),"A Saya ingin berhasil dalam apa yang saya lakukan.")</f>
        <v>A Saya ingin berhasil dalam apa yang saya lakukan.</v>
      </c>
      <c r="CH57" s="95" t="str">
        <f>IFERROR(__xludf.DUMMYFUNCTION("""COMPUTED_VALUE"""),"A Saya ingin bisa melakukan dengan baik sesuatu pekerjaan sulit.")</f>
        <v>A Saya ingin bisa melakukan dengan baik sesuatu pekerjaan sulit.</v>
      </c>
      <c r="CI57" s="95" t="str">
        <f>IFERROR(__xludf.DUMMYFUNCTION("""COMPUTED_VALUE"""),"A Saya suka belajar saya teratur dan ada waktu-waktu tertentu untuk belajar.")</f>
        <v>A Saya suka belajar saya teratur dan ada waktu-waktu tertentu untuk belajar.</v>
      </c>
      <c r="CJ57" s="95" t="str">
        <f>IFERROR(__xludf.DUMMYFUNCTION("""COMPUTED_VALUE"""),"A Saya ingin tidak tergantung dari orang lain terhadap apa yang akan saya lakukan.")</f>
        <v>A Saya ingin tidak tergantung dari orang lain terhadap apa yang akan saya lakukan.</v>
      </c>
      <c r="CK57" s="95" t="str">
        <f>IFERROR(__xludf.DUMMYFUNCTION("""COMPUTED_VALUE"""),"B Saya senang ikut beraktivitas bersama teman sebaya saya.")</f>
        <v>B Saya senang ikut beraktivitas bersama teman sebaya saya.</v>
      </c>
      <c r="CL57" s="95" t="str">
        <f>IFERROR(__xludf.DUMMYFUNCTION("""COMPUTED_VALUE"""),"B Saya berkeinginan untuk bersama teman yang menurut saya menarik.")</f>
        <v>B Saya berkeinginan untuk bersama teman yang menurut saya menarik.</v>
      </c>
      <c r="CM57" s="95" t="str">
        <f>IFERROR(__xludf.DUMMYFUNCTION("""COMPUTED_VALUE"""),"B Saya merasa kagum pada seseorang.")</f>
        <v>B Saya merasa kagum pada seseorang.</v>
      </c>
      <c r="CN57" s="95" t="str">
        <f>IFERROR(__xludf.DUMMYFUNCTION("""COMPUTED_VALUE"""),"B Saya suka mendengarkan atau menceritakan hal-hal yang tidak pantas.")</f>
        <v>B Saya suka mendengarkan atau menceritakan hal-hal yang tidak pantas.</v>
      </c>
      <c r="CO57" s="95" t="str">
        <f>IFERROR(__xludf.DUMMYFUNCTION("""COMPUTED_VALUE"""),"B Saya suka memuji orang yang saya kagumi.")</f>
        <v>B Saya suka memuji orang yang saya kagumi.</v>
      </c>
      <c r="CP57" s="95" t="str">
        <f>IFERROR(__xludf.DUMMYFUNCTION("""COMPUTED_VALUE"""),"A Saya suka melamun atau membayangkan sesuatu sendirian.")</f>
        <v>A Saya suka melamun atau membayangkan sesuatu sendirian.</v>
      </c>
      <c r="CQ57" s="95" t="str">
        <f>IFERROR(__xludf.DUMMYFUNCTION("""COMPUTED_VALUE"""),"A Saya ingin menggertak orang bila saya berbeda pendapat dengan mereka.")</f>
        <v>A Saya ingin menggertak orang bila saya berbeda pendapat dengan mereka.</v>
      </c>
      <c r="CR57" s="95" t="str">
        <f>IFERROR(__xludf.DUMMYFUNCTION("""COMPUTED_VALUE"""),"B Saya rasanya ingin mengecam seseorang bila orang itu menjengkelkan.")</f>
        <v>B Saya rasanya ingin mengecam seseorang bila orang itu menjengkelkan.</v>
      </c>
      <c r="CS57" s="95" t="str">
        <f>IFERROR(__xludf.DUMMYFUNCTION("""COMPUTED_VALUE"""),"B Saya rasanya ingin membalas dendam bila seseorang menghina saya.")</f>
        <v>B Saya rasanya ingin membalas dendam bila seseorang menghina saya.</v>
      </c>
      <c r="CT57" s="95" t="str">
        <f>IFERROR(__xludf.DUMMYFUNCTION("""COMPUTED_VALUE"""),"A Saya ingin orang-orang memperhatikan komentar mengenai penampilan saya.")</f>
        <v>A Saya ingin orang-orang memperhatikan komentar mengenai penampilan saya.</v>
      </c>
      <c r="CU57" s="95" t="str">
        <f>IFERROR(__xludf.DUMMYFUNCTION("""COMPUTED_VALUE"""),"A Saya ingin diperlakukan dengan ramah oleh teman-teman saya.")</f>
        <v>A Saya ingin diperlakukan dengan ramah oleh teman-teman saya.</v>
      </c>
      <c r="CV57" s="95" t="str">
        <f>IFERROR(__xludf.DUMMYFUNCTION("""COMPUTED_VALUE"""),"B Saya menyerang pendirian-pendirian yang bertentangan dengan pendirian saya.")</f>
        <v>B Saya menyerang pendirian-pendirian yang bertentangan dengan pendirian saya.</v>
      </c>
      <c r="CW57" s="95" t="str">
        <f>IFERROR(__xludf.DUMMYFUNCTION("""COMPUTED_VALUE"""),"B Saya mengatakan kepada orang lain bagaimana pendapat saya terhadap mereka.")</f>
        <v>B Saya mengatakan kepada orang lain bagaimana pendapat saya terhadap mereka.</v>
      </c>
      <c r="CX57" s="95" t="str">
        <f>IFERROR(__xludf.DUMMYFUNCTION("""COMPUTED_VALUE"""),"B Saya ingin memperolok-olok orang yang saya anggap melakukan tindakan bodoh.")</f>
        <v>B Saya ingin memperolok-olok orang yang saya anggap melakukan tindakan bodoh.</v>
      </c>
      <c r="CY57" s="95" t="str">
        <f>IFERROR(__xludf.DUMMYFUNCTION("""COMPUTED_VALUE"""),"B Saya rasanya ingin membalas dendam bila seseorang menghina saya.")</f>
        <v>B Saya rasanya ingin membalas dendam bila seseorang menghina saya.</v>
      </c>
      <c r="CZ57" s="95" t="str">
        <f>IFERROR(__xludf.DUMMYFUNCTION("""COMPUTED_VALUE"""),"B Saya rasanya ingin menggertak orang bila saya berbeda pendapat dengan mereka.")</f>
        <v>B Saya rasanya ingin menggertak orang bila saya berbeda pendapat dengan mereka.</v>
      </c>
      <c r="DA57" s="95" t="str">
        <f>IFERROR(__xludf.DUMMYFUNCTION("""COMPUTED_VALUE"""),"A Saya ingin melakukan apa saja sebaik mungkin.")</f>
        <v>A Saya ingin melakukan apa saja sebaik mungkin.</v>
      </c>
      <c r="DB57" s="89" t="s">
        <v>23</v>
      </c>
      <c r="DC57" s="97" t="str">
        <f t="shared" ref="DC57:GX57" si="102">LEFT(F57,1)</f>
        <v>B</v>
      </c>
      <c r="DD57" s="97" t="str">
        <f t="shared" si="102"/>
        <v>A</v>
      </c>
      <c r="DE57" s="97" t="str">
        <f t="shared" si="102"/>
        <v>A</v>
      </c>
      <c r="DF57" s="97" t="str">
        <f t="shared" si="102"/>
        <v>B</v>
      </c>
      <c r="DG57" s="97" t="str">
        <f t="shared" si="102"/>
        <v>A</v>
      </c>
      <c r="DH57" s="97" t="str">
        <f t="shared" si="102"/>
        <v>A</v>
      </c>
      <c r="DI57" s="97" t="str">
        <f t="shared" si="102"/>
        <v>A</v>
      </c>
      <c r="DJ57" s="97" t="str">
        <f t="shared" si="102"/>
        <v>A</v>
      </c>
      <c r="DK57" s="97" t="str">
        <f t="shared" si="102"/>
        <v>B</v>
      </c>
      <c r="DL57" s="97" t="str">
        <f t="shared" si="102"/>
        <v>A</v>
      </c>
      <c r="DM57" s="97" t="str">
        <f t="shared" si="102"/>
        <v>A</v>
      </c>
      <c r="DN57" s="97" t="str">
        <f t="shared" si="102"/>
        <v>A</v>
      </c>
      <c r="DO57" s="97" t="str">
        <f t="shared" si="102"/>
        <v>B</v>
      </c>
      <c r="DP57" s="97" t="str">
        <f t="shared" si="102"/>
        <v>B</v>
      </c>
      <c r="DQ57" s="97" t="str">
        <f t="shared" si="102"/>
        <v>B</v>
      </c>
      <c r="DR57" s="97" t="str">
        <f t="shared" si="102"/>
        <v>A</v>
      </c>
      <c r="DS57" s="97" t="str">
        <f t="shared" si="102"/>
        <v>B</v>
      </c>
      <c r="DT57" s="97" t="str">
        <f t="shared" si="102"/>
        <v>A</v>
      </c>
      <c r="DU57" s="97" t="str">
        <f t="shared" si="102"/>
        <v>A</v>
      </c>
      <c r="DV57" s="97" t="str">
        <f t="shared" si="102"/>
        <v>B</v>
      </c>
      <c r="DW57" s="97" t="str">
        <f t="shared" si="102"/>
        <v>A</v>
      </c>
      <c r="DX57" s="97" t="str">
        <f t="shared" si="102"/>
        <v>B</v>
      </c>
      <c r="DY57" s="97" t="str">
        <f t="shared" si="102"/>
        <v>B</v>
      </c>
      <c r="DZ57" s="97" t="str">
        <f t="shared" si="102"/>
        <v>A</v>
      </c>
      <c r="EA57" s="97" t="str">
        <f t="shared" si="102"/>
        <v>B</v>
      </c>
      <c r="EB57" s="97" t="str">
        <f t="shared" si="102"/>
        <v>B</v>
      </c>
      <c r="EC57" s="97" t="str">
        <f t="shared" si="102"/>
        <v>B</v>
      </c>
      <c r="ED57" s="97" t="str">
        <f t="shared" si="102"/>
        <v>A</v>
      </c>
      <c r="EE57" s="97" t="str">
        <f t="shared" si="102"/>
        <v>B</v>
      </c>
      <c r="EF57" s="97" t="str">
        <f t="shared" si="102"/>
        <v>B</v>
      </c>
      <c r="EG57" s="97" t="str">
        <f t="shared" si="102"/>
        <v>A</v>
      </c>
      <c r="EH57" s="97" t="str">
        <f t="shared" si="102"/>
        <v>B</v>
      </c>
      <c r="EI57" s="97" t="str">
        <f t="shared" si="102"/>
        <v>B</v>
      </c>
      <c r="EJ57" s="97" t="str">
        <f t="shared" si="102"/>
        <v>B</v>
      </c>
      <c r="EK57" s="97" t="str">
        <f t="shared" si="102"/>
        <v>A</v>
      </c>
      <c r="EL57" s="97" t="str">
        <f t="shared" si="102"/>
        <v>A</v>
      </c>
      <c r="EM57" s="97" t="str">
        <f t="shared" si="102"/>
        <v>B</v>
      </c>
      <c r="EN57" s="97" t="str">
        <f t="shared" si="102"/>
        <v>A</v>
      </c>
      <c r="EO57" s="97" t="str">
        <f t="shared" si="102"/>
        <v>B</v>
      </c>
      <c r="EP57" s="97" t="str">
        <f t="shared" si="102"/>
        <v>A</v>
      </c>
      <c r="EQ57" s="97" t="str">
        <f t="shared" si="102"/>
        <v>A</v>
      </c>
      <c r="ER57" s="97" t="str">
        <f t="shared" si="102"/>
        <v>A</v>
      </c>
      <c r="ES57" s="97" t="str">
        <f t="shared" si="102"/>
        <v>A</v>
      </c>
      <c r="ET57" s="97" t="str">
        <f t="shared" si="102"/>
        <v>B</v>
      </c>
      <c r="EU57" s="97" t="str">
        <f t="shared" si="102"/>
        <v>B</v>
      </c>
      <c r="EV57" s="97" t="str">
        <f t="shared" si="102"/>
        <v>A</v>
      </c>
      <c r="EW57" s="97" t="str">
        <f t="shared" si="102"/>
        <v>B</v>
      </c>
      <c r="EX57" s="97" t="str">
        <f t="shared" si="102"/>
        <v>A</v>
      </c>
      <c r="EY57" s="97" t="str">
        <f t="shared" si="102"/>
        <v>A</v>
      </c>
      <c r="EZ57" s="97" t="str">
        <f t="shared" si="102"/>
        <v>A</v>
      </c>
      <c r="FA57" s="97" t="str">
        <f t="shared" si="102"/>
        <v>B</v>
      </c>
      <c r="FB57" s="97" t="str">
        <f t="shared" si="102"/>
        <v>B</v>
      </c>
      <c r="FC57" s="97" t="str">
        <f t="shared" si="102"/>
        <v>B</v>
      </c>
      <c r="FD57" s="97" t="str">
        <f t="shared" si="102"/>
        <v>B</v>
      </c>
      <c r="FE57" s="97" t="str">
        <f t="shared" si="102"/>
        <v>A</v>
      </c>
      <c r="FF57" s="97" t="str">
        <f t="shared" si="102"/>
        <v>B</v>
      </c>
      <c r="FG57" s="97" t="str">
        <f t="shared" si="102"/>
        <v>A</v>
      </c>
      <c r="FH57" s="97" t="str">
        <f t="shared" si="102"/>
        <v>B</v>
      </c>
      <c r="FI57" s="97" t="str">
        <f t="shared" si="102"/>
        <v>B</v>
      </c>
      <c r="FJ57" s="97" t="str">
        <f t="shared" si="102"/>
        <v>A</v>
      </c>
      <c r="FK57" s="97" t="str">
        <f t="shared" si="102"/>
        <v>A</v>
      </c>
      <c r="FL57" s="97" t="str">
        <f t="shared" si="102"/>
        <v>A</v>
      </c>
      <c r="FM57" s="97" t="str">
        <f t="shared" si="102"/>
        <v>A</v>
      </c>
      <c r="FN57" s="97" t="str">
        <f t="shared" si="102"/>
        <v>A</v>
      </c>
      <c r="FO57" s="97" t="str">
        <f t="shared" si="102"/>
        <v>A</v>
      </c>
      <c r="FP57" s="97" t="str">
        <f t="shared" si="102"/>
        <v>A</v>
      </c>
      <c r="FQ57" s="97" t="str">
        <f t="shared" si="102"/>
        <v>A</v>
      </c>
      <c r="FR57" s="97" t="str">
        <f t="shared" si="102"/>
        <v>A</v>
      </c>
      <c r="FS57" s="97" t="str">
        <f t="shared" si="102"/>
        <v>A</v>
      </c>
      <c r="FT57" s="97" t="str">
        <f t="shared" si="102"/>
        <v>A</v>
      </c>
      <c r="FU57" s="97" t="str">
        <f t="shared" si="102"/>
        <v>B</v>
      </c>
      <c r="FV57" s="97" t="str">
        <f t="shared" si="102"/>
        <v>A</v>
      </c>
      <c r="FW57" s="97" t="str">
        <f t="shared" si="102"/>
        <v>B</v>
      </c>
      <c r="FX57" s="97" t="str">
        <f t="shared" si="102"/>
        <v>B</v>
      </c>
      <c r="FY57" s="97" t="str">
        <f t="shared" si="102"/>
        <v>A</v>
      </c>
      <c r="FZ57" s="97" t="str">
        <f t="shared" si="102"/>
        <v>B</v>
      </c>
      <c r="GA57" s="97" t="str">
        <f t="shared" si="102"/>
        <v>A</v>
      </c>
      <c r="GB57" s="97" t="str">
        <f t="shared" si="102"/>
        <v>A</v>
      </c>
      <c r="GC57" s="97" t="str">
        <f t="shared" si="102"/>
        <v>A</v>
      </c>
      <c r="GD57" s="97" t="str">
        <f t="shared" si="102"/>
        <v>A</v>
      </c>
      <c r="GE57" s="97" t="str">
        <f t="shared" si="102"/>
        <v>A</v>
      </c>
      <c r="GF57" s="97" t="str">
        <f t="shared" si="102"/>
        <v>A</v>
      </c>
      <c r="GG57" s="97" t="str">
        <f t="shared" si="102"/>
        <v>A</v>
      </c>
      <c r="GH57" s="97" t="str">
        <f t="shared" si="102"/>
        <v>B</v>
      </c>
      <c r="GI57" s="97" t="str">
        <f t="shared" si="102"/>
        <v>B</v>
      </c>
      <c r="GJ57" s="97" t="str">
        <f t="shared" si="102"/>
        <v>B</v>
      </c>
      <c r="GK57" s="97" t="str">
        <f t="shared" si="102"/>
        <v>B</v>
      </c>
      <c r="GL57" s="97" t="str">
        <f t="shared" si="102"/>
        <v>B</v>
      </c>
      <c r="GM57" s="97" t="str">
        <f t="shared" si="102"/>
        <v>A</v>
      </c>
      <c r="GN57" s="97" t="str">
        <f t="shared" si="102"/>
        <v>A</v>
      </c>
      <c r="GO57" s="97" t="str">
        <f t="shared" si="102"/>
        <v>B</v>
      </c>
      <c r="GP57" s="97" t="str">
        <f t="shared" si="102"/>
        <v>B</v>
      </c>
      <c r="GQ57" s="97" t="str">
        <f t="shared" si="102"/>
        <v>A</v>
      </c>
      <c r="GR57" s="97" t="str">
        <f t="shared" si="102"/>
        <v>A</v>
      </c>
      <c r="GS57" s="97" t="str">
        <f t="shared" si="102"/>
        <v>B</v>
      </c>
      <c r="GT57" s="97" t="str">
        <f t="shared" si="102"/>
        <v>B</v>
      </c>
      <c r="GU57" s="97" t="str">
        <f t="shared" si="102"/>
        <v>B</v>
      </c>
      <c r="GV57" s="97" t="str">
        <f t="shared" si="102"/>
        <v>B</v>
      </c>
      <c r="GW57" s="97" t="str">
        <f t="shared" si="102"/>
        <v>B</v>
      </c>
      <c r="GX57" s="97" t="str">
        <f t="shared" si="102"/>
        <v>A</v>
      </c>
      <c r="GY57" s="98"/>
      <c r="GZ57" s="97">
        <f t="shared" si="3"/>
        <v>54</v>
      </c>
      <c r="HA57" s="97">
        <f t="shared" si="4"/>
        <v>46</v>
      </c>
      <c r="HB57" s="90">
        <f t="shared" si="5"/>
        <v>100</v>
      </c>
      <c r="HC57" s="99"/>
      <c r="HD57" s="97">
        <f t="shared" si="6"/>
        <v>8</v>
      </c>
      <c r="HE57" s="97">
        <f t="shared" si="7"/>
        <v>2</v>
      </c>
      <c r="HF57" s="90">
        <f t="shared" si="8"/>
        <v>10</v>
      </c>
      <c r="HG57" s="99"/>
      <c r="HH57" s="97">
        <f t="shared" si="9"/>
        <v>5</v>
      </c>
      <c r="HI57" s="97">
        <f t="shared" si="10"/>
        <v>5</v>
      </c>
      <c r="HJ57" s="90">
        <f t="shared" si="11"/>
        <v>10</v>
      </c>
      <c r="HK57" s="99"/>
      <c r="HL57" s="97">
        <f t="shared" si="12"/>
        <v>7</v>
      </c>
      <c r="HM57" s="97">
        <f t="shared" si="13"/>
        <v>7</v>
      </c>
      <c r="HN57" s="90">
        <f t="shared" si="14"/>
        <v>14</v>
      </c>
      <c r="HO57" s="99"/>
      <c r="HP57" s="97">
        <f t="shared" si="15"/>
        <v>4</v>
      </c>
      <c r="HQ57" s="97">
        <f t="shared" si="16"/>
        <v>5</v>
      </c>
      <c r="HR57" s="90">
        <f t="shared" si="17"/>
        <v>9</v>
      </c>
      <c r="HS57" s="99"/>
      <c r="HT57" s="97">
        <f t="shared" si="18"/>
        <v>4</v>
      </c>
      <c r="HU57" s="97">
        <f t="shared" si="19"/>
        <v>3</v>
      </c>
      <c r="HV57" s="90">
        <f t="shared" si="20"/>
        <v>7</v>
      </c>
      <c r="HW57" s="99"/>
      <c r="HX57" s="97">
        <f t="shared" si="21"/>
        <v>5</v>
      </c>
      <c r="HY57" s="97">
        <f t="shared" si="22"/>
        <v>7</v>
      </c>
      <c r="HZ57" s="90">
        <f t="shared" si="23"/>
        <v>12</v>
      </c>
      <c r="IA57" s="99"/>
      <c r="IB57" s="97">
        <f t="shared" si="24"/>
        <v>2</v>
      </c>
      <c r="IC57" s="97">
        <f t="shared" si="25"/>
        <v>0</v>
      </c>
      <c r="ID57" s="90">
        <f t="shared" si="26"/>
        <v>2</v>
      </c>
      <c r="IE57" s="99"/>
      <c r="IF57" s="97">
        <f t="shared" si="27"/>
        <v>5</v>
      </c>
      <c r="IG57" s="97">
        <f t="shared" si="28"/>
        <v>4</v>
      </c>
      <c r="IH57" s="90">
        <f t="shared" si="29"/>
        <v>9</v>
      </c>
      <c r="II57" s="99"/>
      <c r="IJ57" s="97">
        <f t="shared" si="30"/>
        <v>4</v>
      </c>
      <c r="IK57" s="97">
        <f t="shared" si="31"/>
        <v>5</v>
      </c>
      <c r="IL57" s="90">
        <f t="shared" si="32"/>
        <v>9</v>
      </c>
      <c r="IM57" s="99"/>
      <c r="IN57" s="97">
        <f t="shared" si="33"/>
        <v>6</v>
      </c>
      <c r="IO57" s="97">
        <f t="shared" si="34"/>
        <v>7</v>
      </c>
      <c r="IP57" s="90">
        <f t="shared" si="35"/>
        <v>13</v>
      </c>
      <c r="IQ57" s="99"/>
      <c r="IR57" s="99"/>
      <c r="IS57" s="100">
        <f t="shared" si="36"/>
        <v>10</v>
      </c>
      <c r="IT57" s="100">
        <f t="shared" si="37"/>
        <v>10</v>
      </c>
      <c r="IU57" s="100">
        <f t="shared" si="38"/>
        <v>14</v>
      </c>
      <c r="IV57" s="100">
        <f t="shared" si="39"/>
        <v>9</v>
      </c>
      <c r="IW57" s="100">
        <f t="shared" si="40"/>
        <v>7</v>
      </c>
      <c r="IX57" s="100">
        <f t="shared" si="41"/>
        <v>12</v>
      </c>
      <c r="IY57" s="100">
        <f t="shared" si="42"/>
        <v>2</v>
      </c>
      <c r="IZ57" s="100">
        <f t="shared" si="43"/>
        <v>9</v>
      </c>
      <c r="JA57" s="100">
        <f t="shared" si="44"/>
        <v>9</v>
      </c>
      <c r="JB57" s="101">
        <f t="shared" si="45"/>
        <v>13</v>
      </c>
      <c r="JC57" s="102">
        <f t="shared" si="46"/>
        <v>95</v>
      </c>
      <c r="JD57" s="67">
        <f t="shared" si="50"/>
        <v>0</v>
      </c>
      <c r="JE57" s="67">
        <f t="shared" si="47"/>
        <v>2</v>
      </c>
      <c r="JF57" s="67">
        <f t="shared" si="48"/>
        <v>2</v>
      </c>
    </row>
    <row r="58">
      <c r="A58" s="103">
        <f>IFERROR(__xludf.DUMMYFUNCTION("""COMPUTED_VALUE"""),45933.60084112269)</f>
        <v>45933.60084</v>
      </c>
      <c r="B58" s="95" t="str">
        <f>IFERROR(__xludf.DUMMYFUNCTION("""COMPUTED_VALUE"""),"Farhan ibadurrohman ")</f>
        <v>Farhan ibadurrohman </v>
      </c>
      <c r="C58" s="96" t="str">
        <f>IFERROR(__xludf.DUMMYFUNCTION("""COMPUTED_VALUE"""),"B250018")</f>
        <v>B250018</v>
      </c>
      <c r="D58" s="96" t="str">
        <f>IFERROR(__xludf.DUMMYFUNCTION("""COMPUTED_VALUE"""),"IL Putra")</f>
        <v>IL Putra</v>
      </c>
      <c r="E58" s="96" t="str">
        <f>IFERROR(__xludf.DUMMYFUNCTION("""COMPUTED_VALUE"""),"Ya")</f>
        <v>Ya</v>
      </c>
      <c r="F58" s="95" t="str">
        <f>IFERROR(__xludf.DUMMYFUNCTION("""COMPUTED_VALUE"""),"A Saya ingin mengerjakan segala tugas lebih baik daripada orang lain.")</f>
        <v>A Saya ingin mengerjakan segala tugas lebih baik daripada orang lain.</v>
      </c>
      <c r="G58" s="95" t="str">
        <f>IFERROR(__xludf.DUMMYFUNCTION("""COMPUTED_VALUE"""),"A Saya ingin setiap tulisan saya teliti, rapi, dan tersusun dengan baik.")</f>
        <v>A Saya ingin setiap tulisan saya teliti, rapi, dan tersusun dengan baik.</v>
      </c>
      <c r="H58" s="95" t="str">
        <f>IFERROR(__xludf.DUMMYFUNCTION("""COMPUTED_VALUE"""),"A Saya ingin berbuat sesuai kata hati saya.")</f>
        <v>A Saya ingin berbuat sesuai kata hati saya.</v>
      </c>
      <c r="I58" s="95" t="str">
        <f>IFERROR(__xludf.DUMMYFUNCTION("""COMPUTED_VALUE"""),"B Saya ingin bisa melakukan dengan baik meskipun tugas yang sulit.")</f>
        <v>B Saya ingin bisa melakukan dengan baik meskipun tugas yang sulit.</v>
      </c>
      <c r="J58" s="95" t="str">
        <f>IFERROR(__xludf.DUMMYFUNCTION("""COMPUTED_VALUE"""),"B Saya ingin mengerjakan tugas sebaik mungkin.")</f>
        <v>B Saya ingin mengerjakan tugas sebaik mungkin.</v>
      </c>
      <c r="K58" s="95" t="str">
        <f>IFERROR(__xludf.DUMMYFUNCTION("""COMPUTED_VALUE"""),"B Saya ingin mengatakan telah melakukan dengan baik sesuatu tugas yang sulit.")</f>
        <v>B Saya ingin mengatakan telah melakukan dengan baik sesuatu tugas yang sulit.</v>
      </c>
      <c r="L58" s="95" t="str">
        <f>IFERROR(__xludf.DUMMYFUNCTION("""COMPUTED_VALUE"""),"B Saya ingin mengatakan telah melakukan dengan baik sesuatu tugas yang sulit")</f>
        <v>B Saya ingin mengatakan telah melakukan dengan baik sesuatu tugas yang sulit</v>
      </c>
      <c r="M58" s="95" t="str">
        <f>IFERROR(__xludf.DUMMYFUNCTION("""COMPUTED_VALUE"""),"B Saya ingin mengerjakan segala tugas lebih baik daripada orang lain.")</f>
        <v>B Saya ingin mengerjakan segala tugas lebih baik daripada orang lain.</v>
      </c>
      <c r="N58" s="95" t="str">
        <f>IFERROR(__xludf.DUMMYFUNCTION("""COMPUTED_VALUE"""),"A Saya suka pergi dengan pakaian rapi agar lebih menarik perhatian orang lain.")</f>
        <v>A Saya suka pergi dengan pakaian rapi agar lebih menarik perhatian orang lain.</v>
      </c>
      <c r="O58" s="95" t="str">
        <f>IFERROR(__xludf.DUMMYFUNCTION("""COMPUTED_VALUE"""),"B Saya suka melakukan tugas sebaik mungkin.")</f>
        <v>B Saya suka melakukan tugas sebaik mungkin.</v>
      </c>
      <c r="P58" s="95" t="str">
        <f>IFERROR(__xludf.DUMMYFUNCTION("""COMPUTED_VALUE"""),"A Saya suka bercerita tentang hal-hal yang menegangkan atau menantang.")</f>
        <v>A Saya suka bercerita tentang hal-hal yang menegangkan atau menantang.</v>
      </c>
      <c r="Q58" s="95" t="str">
        <f>IFERROR(__xludf.DUMMYFUNCTION("""COMPUTED_VALUE"""),"B Saya merencanakan keperluan yang dibutuhkan sebelum bepergian.")</f>
        <v>B Saya merencanakan keperluan yang dibutuhkan sebelum bepergian.</v>
      </c>
      <c r="R58" s="95" t="str">
        <f>IFERROR(__xludf.DUMMYFUNCTION("""COMPUTED_VALUE"""),"B Saya suka barang-barang saya tersusun rapi dan teratur.")</f>
        <v>B Saya suka barang-barang saya tersusun rapi dan teratur.</v>
      </c>
      <c r="S58" s="95" t="str">
        <f>IFERROR(__xludf.DUMMYFUNCTION("""COMPUTED_VALUE"""),"B Saya suka membuat perencanaan sebelum memulai tugas yang sulit.")</f>
        <v>B Saya suka membuat perencanaan sebelum memulai tugas yang sulit.</v>
      </c>
      <c r="T58" s="95" t="str">
        <f>IFERROR(__xludf.DUMMYFUNCTION("""COMPUTED_VALUE"""),"B Saya ingin agar hidup saya teratur sesuai cita-cita saya.")</f>
        <v>B Saya ingin agar hidup saya teratur sesuai cita-cita saya.</v>
      </c>
      <c r="U58" s="95" t="str">
        <f>IFERROR(__xludf.DUMMYFUNCTION("""COMPUTED_VALUE"""),"B Saya suka menyimpan catatan secara rapi.")</f>
        <v>B Saya suka menyimpan catatan secara rapi.</v>
      </c>
      <c r="V58" s="95" t="str">
        <f>IFERROR(__xludf.DUMMYFUNCTION("""COMPUTED_VALUE"""),"A Saya suka belajar sampai malam untuk menyelesaikan suatu tugas.")</f>
        <v>A Saya suka belajar sampai malam untuk menyelesaikan suatu tugas.</v>
      </c>
      <c r="W58" s="95" t="str">
        <f>IFERROR(__xludf.DUMMYFUNCTION("""COMPUTED_VALUE"""),"A Saya suka melakukan kegiatan sesuai kondisi yang saya inginkan.")</f>
        <v>A Saya suka melakukan kegiatan sesuai kondisi yang saya inginkan.</v>
      </c>
      <c r="X58" s="95" t="str">
        <f>IFERROR(__xludf.DUMMYFUNCTION("""COMPUTED_VALUE"""),"B Saya ingin agar hidup saya teratur sesuai cita-cita saya.")</f>
        <v>B Saya ingin agar hidup saya teratur sesuai cita-cita saya.</v>
      </c>
      <c r="Y58" s="95" t="str">
        <f>IFERROR(__xludf.DUMMYFUNCTION("""COMPUTED_VALUE"""),"B Saya senang merencanakan untuk masa depan.")</f>
        <v>B Saya senang merencanakan untuk masa depan.</v>
      </c>
      <c r="Z58" s="95" t="str">
        <f>IFERROR(__xludf.DUMMYFUNCTION("""COMPUTED_VALUE"""),"B Saya ingin merasa bebas untuk melakukan apa yang saya inginkan.")</f>
        <v>B Saya ingin merasa bebas untuk melakukan apa yang saya inginkan.</v>
      </c>
      <c r="AA58" s="95" t="str">
        <f>IFERROR(__xludf.DUMMYFUNCTION("""COMPUTED_VALUE"""),"B Saya tidak suka pada orang yang berbuat seenaknya sendiri.")</f>
        <v>B Saya tidak suka pada orang yang berbuat seenaknya sendiri.</v>
      </c>
      <c r="AB58" s="95" t="str">
        <f>IFERROR(__xludf.DUMMYFUNCTION("""COMPUTED_VALUE"""),"A Saya ingin tidak tergantung dari orang lain terhadap apa yang akan saya lakukan.")</f>
        <v>A Saya ingin tidak tergantung dari orang lain terhadap apa yang akan saya lakukan.</v>
      </c>
      <c r="AC58" s="95" t="str">
        <f>IFERROR(__xludf.DUMMYFUNCTION("""COMPUTED_VALUE"""),"B Saya suka melakukan kegiatan sesuai kondisi yang saya inginkan.")</f>
        <v>B Saya suka melakukan kegiatan sesuai kondisi yang saya inginkan.</v>
      </c>
      <c r="AD58" s="95" t="str">
        <f>IFERROR(__xludf.DUMMYFUNCTION("""COMPUTED_VALUE"""),"B Saya suka menyatakan pendapat saya tentang berbagai hal.")</f>
        <v>B Saya suka menyatakan pendapat saya tentang berbagai hal.</v>
      </c>
      <c r="AE58" s="95" t="str">
        <f>IFERROR(__xludf.DUMMYFUNCTION("""COMPUTED_VALUE"""),"A Saya ingin dianggap sebagai pemimpin oleh teman di kelompok.")</f>
        <v>A Saya ingin dianggap sebagai pemimpin oleh teman di kelompok.</v>
      </c>
      <c r="AF58" s="95" t="str">
        <f>IFERROR(__xludf.DUMMYFUNCTION("""COMPUTED_VALUE"""),"B Saya suka melakukan hal-hal dengan cara saya sendiri.")</f>
        <v>B Saya suka melakukan hal-hal dengan cara saya sendiri.</v>
      </c>
      <c r="AG58" s="95" t="str">
        <f>IFERROR(__xludf.DUMMYFUNCTION("""COMPUTED_VALUE"""),"B Saya ingin berhasil dengan tugas yang saya lakukan.")</f>
        <v>B Saya ingin berhasil dengan tugas yang saya lakukan.</v>
      </c>
      <c r="AH58" s="95" t="str">
        <f>IFERROR(__xludf.DUMMYFUNCTION("""COMPUTED_VALUE"""),"B Saya ingin merasa bebas untuk melakukan apa yang saya kehendaki.")</f>
        <v>B Saya ingin merasa bebas untuk melakukan apa yang saya kehendaki.</v>
      </c>
      <c r="AI58" s="95" t="str">
        <f>IFERROR(__xludf.DUMMYFUNCTION("""COMPUTED_VALUE"""),"B Saya suka melakukan kegiatan sesuai kondisi yang saya inginkan.")</f>
        <v>B Saya suka melakukan kegiatan sesuai kondisi yang saya inginkan.</v>
      </c>
      <c r="AJ58" s="95" t="str">
        <f>IFERROR(__xludf.DUMMYFUNCTION("""COMPUTED_VALUE"""),"B Saya suka bertahan menghadapi satu masalah meskipun belum tentu berhasil.")</f>
        <v>B Saya suka bertahan menghadapi satu masalah meskipun belum tentu berhasil.</v>
      </c>
      <c r="AK58" s="95" t="str">
        <f>IFERROR(__xludf.DUMMYFUNCTION("""COMPUTED_VALUE"""),"B Bila saya harus melakukan suatu tugas, saya ingin mengerjakan sampai selesai.")</f>
        <v>B Bila saya harus melakukan suatu tugas, saya ingin mengerjakan sampai selesai.</v>
      </c>
      <c r="AL58" s="95" t="str">
        <f>IFERROR(__xludf.DUMMYFUNCTION("""COMPUTED_VALUE"""),"B Saya ingin menghindarkan gangguan bila saya sedang belajar.")</f>
        <v>B Saya ingin menghindarkan gangguan bila saya sedang belajar.</v>
      </c>
      <c r="AM58" s="95" t="str">
        <f>IFERROR(__xludf.DUMMYFUNCTION("""COMPUTED_VALUE"""),"B Saya suka belajar sampai malam untuk menyelesaikan suatu tugas.")</f>
        <v>B Saya suka belajar sampai malam untuk menyelesaikan suatu tugas.</v>
      </c>
      <c r="AN58" s="95" t="str">
        <f>IFERROR(__xludf.DUMMYFUNCTION("""COMPUTED_VALUE"""),"A Saya tidak suka pada orang yang semena-mena.")</f>
        <v>A Saya tidak suka pada orang yang semena-mena.</v>
      </c>
      <c r="AO58" s="95" t="str">
        <f>IFERROR(__xludf.DUMMYFUNCTION("""COMPUTED_VALUE"""),"B Saya suka menyelesaikan setiap tugas meskipun membutuhkan waktu lama.")</f>
        <v>B Saya suka menyelesaikan setiap tugas meskipun membutuhkan waktu lama.</v>
      </c>
      <c r="AP58" s="95" t="str">
        <f>IFERROR(__xludf.DUMMYFUNCTION("""COMPUTED_VALUE"""),"A Saya ingin mengerjakannya tugas sampai selesai.")</f>
        <v>A Saya ingin mengerjakannya tugas sampai selesai.</v>
      </c>
      <c r="AQ58" s="95" t="str">
        <f>IFERROR(__xludf.DUMMYFUNCTION("""COMPUTED_VALUE"""),"A Saya ingin bisa mengerjakan segala sesuatu lebih baik daripada orang-orang lain.")</f>
        <v>A Saya ingin bisa mengerjakan segala sesuatu lebih baik daripada orang-orang lain.</v>
      </c>
      <c r="AR58" s="95" t="str">
        <f>IFERROR(__xludf.DUMMYFUNCTION("""COMPUTED_VALUE"""),"A Saya suka menyimpan catatan secara rapi.")</f>
        <v>A Saya suka menyimpan catatan secara rapi.</v>
      </c>
      <c r="AS58" s="95" t="str">
        <f>IFERROR(__xludf.DUMMYFUNCTION("""COMPUTED_VALUE"""),"B Saya suka belajar sampai malam untuk menyelesaikan suatu tugas.")</f>
        <v>B Saya suka belajar sampai malam untuk menyelesaikan suatu tugas.</v>
      </c>
      <c r="AT58" s="95" t="str">
        <f>IFERROR(__xludf.DUMMYFUNCTION("""COMPUTED_VALUE"""),"B Saya suka membantu orang lain yang menurut saya perlu dikasihani.")</f>
        <v>B Saya suka membantu orang lain yang menurut saya perlu dikasihani.</v>
      </c>
      <c r="AU58" s="95" t="str">
        <f>IFERROR(__xludf.DUMMYFUNCTION("""COMPUTED_VALUE"""),"A Saya ingin menyelesaikan pekerjaan satu persatu sebelum memulai yang lain.")</f>
        <v>A Saya ingin menyelesaikan pekerjaan satu persatu sebelum memulai yang lain.</v>
      </c>
      <c r="AV58" s="95" t="str">
        <f>IFERROR(__xludf.DUMMYFUNCTION("""COMPUTED_VALUE"""),"A Saya ingin merasa bebas untuk melakukan apa yang saya kehendaki.")</f>
        <v>A Saya ingin merasa bebas untuk melakukan apa yang saya kehendaki.</v>
      </c>
      <c r="AW58" s="95" t="str">
        <f>IFERROR(__xludf.DUMMYFUNCTION("""COMPUTED_VALUE"""),"A Saya ingin mengerjakan tugas sampai selesai.")</f>
        <v>A Saya ingin mengerjakan tugas sampai selesai.</v>
      </c>
      <c r="AX58" s="95" t="str">
        <f>IFERROR(__xludf.DUMMYFUNCTION("""COMPUTED_VALUE"""),"B Saya suka memaafkan teman-teman saya yang menyakiti hati saya.")</f>
        <v>B Saya suka memaafkan teman-teman saya yang menyakiti hati saya.</v>
      </c>
      <c r="AY58" s="95" t="str">
        <f>IFERROR(__xludf.DUMMYFUNCTION("""COMPUTED_VALUE"""),"A Saya rasanya ingin marah saat tidak sesuai dengan hati.")</f>
        <v>A Saya rasanya ingin marah saat tidak sesuai dengan hati.</v>
      </c>
      <c r="AZ58" s="95" t="str">
        <f>IFERROR(__xludf.DUMMYFUNCTION("""COMPUTED_VALUE"""),"B Saya suka menunjukkan simpati saya kepada teman-teman saya.")</f>
        <v>B Saya suka menunjukkan simpati saya kepada teman-teman saya.</v>
      </c>
      <c r="BA58" s="95" t="str">
        <f>IFERROR(__xludf.DUMMYFUNCTION("""COMPUTED_VALUE"""),"B Saya suka memperlakukan orang lain dengan baik dan ramah.")</f>
        <v>B Saya suka memperlakukan orang lain dengan baik dan ramah.</v>
      </c>
      <c r="BB58" s="95" t="str">
        <f>IFERROR(__xludf.DUMMYFUNCTION("""COMPUTED_VALUE"""),"A Saya berkeinginan untuk bersama orang yang menarik bagi saya.")</f>
        <v>A Saya berkeinginan untuk bersama orang yang menarik bagi saya.</v>
      </c>
      <c r="BC58" s="95" t="str">
        <f>IFERROR(__xludf.DUMMYFUNCTION("""COMPUTED_VALUE"""),"A Saya rasanya ingin mengecam seseorang bila orang itu menjengkelkan.")</f>
        <v>A Saya rasanya ingin mengecam seseorang bila orang itu menjengkelkan.</v>
      </c>
      <c r="BD58" s="95" t="str">
        <f>IFERROR(__xludf.DUMMYFUNCTION("""COMPUTED_VALUE"""),"B Saya suka bersikukuh dengan pendirian saya.")</f>
        <v>B Saya suka bersikukuh dengan pendirian saya.</v>
      </c>
      <c r="BE58" s="95" t="str">
        <f>IFERROR(__xludf.DUMMYFUNCTION("""COMPUTED_VALUE"""),"B Saya ingin orang lain melakukan apa yang saya kehendaki.")</f>
        <v>B Saya ingin orang lain melakukan apa yang saya kehendaki.</v>
      </c>
      <c r="BF58" s="95" t="str">
        <f>IFERROR(__xludf.DUMMYFUNCTION("""COMPUTED_VALUE"""),"B Bila saya dalam kelompok, saya ingin menentukan apa yang akan kita lakukan.")</f>
        <v>B Bila saya dalam kelompok, saya ingin menentukan apa yang akan kita lakukan.</v>
      </c>
      <c r="BG58" s="95" t="str">
        <f>IFERROR(__xludf.DUMMYFUNCTION("""COMPUTED_VALUE"""),"B Saya suka mengarahkan kepada orang lain apa yang harus dilakukan.")</f>
        <v>B Saya suka mengarahkan kepada orang lain apa yang harus dilakukan.</v>
      </c>
      <c r="BH58" s="95" t="str">
        <f>IFERROR(__xludf.DUMMYFUNCTION("""COMPUTED_VALUE"""),"A Saya suka menghindar dari situasi yang tidak saya harapkan.")</f>
        <v>A Saya suka menghindar dari situasi yang tidak saya harapkan.</v>
      </c>
      <c r="BI58" s="95" t="str">
        <f>IFERROR(__xludf.DUMMYFUNCTION("""COMPUTED_VALUE"""),"B Saya ingin orang lain melakukan apa yang saya kehendaki.")</f>
        <v>B Saya ingin orang lain melakukan apa yang saya kehendaki.</v>
      </c>
      <c r="BJ58" s="95" t="str">
        <f>IFERROR(__xludf.DUMMYFUNCTION("""COMPUTED_VALUE"""),"A Saya ingin mengerjakan tugas sampai selesai.")</f>
        <v>A Saya ingin mengerjakan tugas sampai selesai.</v>
      </c>
      <c r="BK58" s="95" t="str">
        <f>IFERROR(__xludf.DUMMYFUNCTION("""COMPUTED_VALUE"""),"A Saya ingin menyelesaikan pekerjaan satu persatu sebelum memulai yang lain.")</f>
        <v>A Saya ingin menyelesaikan pekerjaan satu persatu sebelum memulai yang lain.</v>
      </c>
      <c r="BL58" s="95" t="str">
        <f>IFERROR(__xludf.DUMMYFUNCTION("""COMPUTED_VALUE"""),"B Saya suka bersikukuh dengan pendirian saya.")</f>
        <v>B Saya suka bersikukuh dengan pendirian saya.</v>
      </c>
      <c r="BM58" s="95" t="str">
        <f>IFERROR(__xludf.DUMMYFUNCTION("""COMPUTED_VALUE"""),"A Saya suka melakukan pekerjaan sebaik mungkin.")</f>
        <v>A Saya suka melakukan pekerjaan sebaik mungkin.</v>
      </c>
      <c r="BN58" s="95" t="str">
        <f>IFERROR(__xludf.DUMMYFUNCTION("""COMPUTED_VALUE"""),"A Saya suka mengerjakan teka-teki atau memecahkan persoalan sampai selesai.")</f>
        <v>A Saya suka mengerjakan teka-teki atau memecahkan persoalan sampai selesai.</v>
      </c>
      <c r="BO58" s="95" t="str">
        <f>IFERROR(__xludf.DUMMYFUNCTION("""COMPUTED_VALUE"""),"A Saya suka membuat perencanaan sebelum memulai belajar yang sulit.")</f>
        <v>A Saya suka membuat perencanaan sebelum memulai belajar yang sulit.</v>
      </c>
      <c r="BP58" s="95" t="str">
        <f>IFERROR(__xludf.DUMMYFUNCTION("""COMPUTED_VALUE"""),"A Saya ingin menyelesaikan sesuatu yang sangat penting artinya.")</f>
        <v>A Saya ingin menyelesaikan sesuatu yang sangat penting artinya.</v>
      </c>
      <c r="BQ58" s="95" t="str">
        <f>IFERROR(__xludf.DUMMYFUNCTION("""COMPUTED_VALUE"""),"A Saya ingin mengerjakannya tugas sampai selesai.")</f>
        <v>A Saya ingin mengerjakannya tugas sampai selesai.</v>
      </c>
      <c r="BR58" s="95" t="str">
        <f>IFERROR(__xludf.DUMMYFUNCTION("""COMPUTED_VALUE"""),"A Saya suka memaafkan teman-teman saya yang menyakiti hati saya.")</f>
        <v>A Saya suka memaafkan teman-teman saya yang menyakiti hati saya.</v>
      </c>
      <c r="BS58" s="95" t="str">
        <f>IFERROR(__xludf.DUMMYFUNCTION("""COMPUTED_VALUE"""),"A Saya suka menghindar dari tanggung jawab yang tidak saya inginkan.")</f>
        <v>A Saya suka menghindar dari tanggung jawab yang tidak saya inginkan.</v>
      </c>
      <c r="BT58" s="95" t="str">
        <f>IFERROR(__xludf.DUMMYFUNCTION("""COMPUTED_VALUE"""),"B Saya ingin teman-teman banyak menunjukkan rasa sayang mereka terhadap saya.")</f>
        <v>B Saya ingin teman-teman banyak menunjukkan rasa sayang mereka terhadap saya.</v>
      </c>
      <c r="BU58" s="95" t="str">
        <f>IFERROR(__xludf.DUMMYFUNCTION("""COMPUTED_VALUE"""),"B Saya ingin agar teman-teman saya merasa kasihan pada saya apabila saya sakit.")</f>
        <v>B Saya ingin agar teman-teman saya merasa kasihan pada saya apabila saya sakit.</v>
      </c>
      <c r="BV58" s="95" t="str">
        <f>IFERROR(__xludf.DUMMYFUNCTION("""COMPUTED_VALUE"""),"B Saya ingin teman-teman dengan gembira memberikan pertolongan kepada saya.")</f>
        <v>B Saya ingin teman-teman dengan gembira memberikan pertolongan kepada saya.</v>
      </c>
      <c r="BW58" s="95" t="str">
        <f>IFERROR(__xludf.DUMMYFUNCTION("""COMPUTED_VALUE"""),"A Saya akan menyerang pendapat yang bertentangan dengan pendirian saya.")</f>
        <v>A Saya akan menyerang pendapat yang bertentangan dengan pendirian saya.</v>
      </c>
      <c r="BX58" s="95" t="str">
        <f>IFERROR(__xludf.DUMMYFUNCTION("""COMPUTED_VALUE"""),"A Saya ingin memperolok-olok orang yang saya anggap melakukan tindakan bodoh.")</f>
        <v>A Saya ingin memperolok-olok orang yang saya anggap melakukan tindakan bodoh.</v>
      </c>
      <c r="BY58" s="95" t="str">
        <f>IFERROR(__xludf.DUMMYFUNCTION("""COMPUTED_VALUE"""),"A Saya suka melamun atau membayangkan hal-hal yang tidak jelas.")</f>
        <v>A Saya suka melamun atau membayangkan hal-hal yang tidak jelas.</v>
      </c>
      <c r="BZ58" s="95" t="str">
        <f>IFERROR(__xludf.DUMMYFUNCTION("""COMPUTED_VALUE"""),"B Saya suka diperhatikan, apabila saya ada di dalam suatu kelompok.")</f>
        <v>B Saya suka diperhatikan, apabila saya ada di dalam suatu kelompok.</v>
      </c>
      <c r="CA58" s="95" t="str">
        <f>IFERROR(__xludf.DUMMYFUNCTION("""COMPUTED_VALUE"""),"A Saya ingin teman-teman dengan gembira memberikan pertolongan kepada saya.")</f>
        <v>A Saya ingin teman-teman dengan gembira memberikan pertolongan kepada saya.</v>
      </c>
      <c r="CB58" s="95" t="str">
        <f>IFERROR(__xludf.DUMMYFUNCTION("""COMPUTED_VALUE"""),"A Saya suka menghindar dari tanggung jawab yang tidak saya inginkan.")</f>
        <v>A Saya suka menghindar dari tanggung jawab yang tidak saya inginkan.</v>
      </c>
      <c r="CC58" s="95" t="str">
        <f>IFERROR(__xludf.DUMMYFUNCTION("""COMPUTED_VALUE"""),"A Apabila saya berkumpul dalam kelompok, saya ingin dihargai teman-teman.")</f>
        <v>A Apabila saya berkumpul dalam kelompok, saya ingin dihargai teman-teman.</v>
      </c>
      <c r="CD58" s="95" t="str">
        <f>IFERROR(__xludf.DUMMYFUNCTION("""COMPUTED_VALUE"""),"A Saya suka menyelesaikan setiap tugas meskipun membutuhkan waktu lama.")</f>
        <v>A Saya suka menyelesaikan setiap tugas meskipun membutuhkan waktu lama.</v>
      </c>
      <c r="CE58" s="95" t="str">
        <f>IFERROR(__xludf.DUMMYFUNCTION("""COMPUTED_VALUE"""),"A Saya suka menyelesaikan setiap tugas belajar yang telah saya mulai.")</f>
        <v>A Saya suka menyelesaikan setiap tugas belajar yang telah saya mulai.</v>
      </c>
      <c r="CF58" s="95" t="str">
        <f>IFERROR(__xludf.DUMMYFUNCTION("""COMPUTED_VALUE"""),"A Saya ingin agar hidup saya teratur sesuai cita-cita saya.")</f>
        <v>A Saya ingin agar hidup saya teratur sesuai cita-cita saya.</v>
      </c>
      <c r="CG58" s="95" t="str">
        <f>IFERROR(__xludf.DUMMYFUNCTION("""COMPUTED_VALUE"""),"A Saya ingin berhasil dalam apa yang saya lakukan.")</f>
        <v>A Saya ingin berhasil dalam apa yang saya lakukan.</v>
      </c>
      <c r="CH58" s="95" t="str">
        <f>IFERROR(__xludf.DUMMYFUNCTION("""COMPUTED_VALUE"""),"A Saya ingin bisa melakukan dengan baik sesuatu pekerjaan sulit.")</f>
        <v>A Saya ingin bisa melakukan dengan baik sesuatu pekerjaan sulit.</v>
      </c>
      <c r="CI58" s="95" t="str">
        <f>IFERROR(__xludf.DUMMYFUNCTION("""COMPUTED_VALUE"""),"A Saya suka belajar saya teratur dan ada waktu-waktu tertentu untuk belajar.")</f>
        <v>A Saya suka belajar saya teratur dan ada waktu-waktu tertentu untuk belajar.</v>
      </c>
      <c r="CJ58" s="95" t="str">
        <f>IFERROR(__xludf.DUMMYFUNCTION("""COMPUTED_VALUE"""),"A Saya ingin tidak tergantung dari orang lain terhadap apa yang akan saya lakukan.")</f>
        <v>A Saya ingin tidak tergantung dari orang lain terhadap apa yang akan saya lakukan.</v>
      </c>
      <c r="CK58" s="95" t="str">
        <f>IFERROR(__xludf.DUMMYFUNCTION("""COMPUTED_VALUE"""),"B Saya senang ikut beraktivitas bersama teman sebaya saya.")</f>
        <v>B Saya senang ikut beraktivitas bersama teman sebaya saya.</v>
      </c>
      <c r="CL58" s="95" t="str">
        <f>IFERROR(__xludf.DUMMYFUNCTION("""COMPUTED_VALUE"""),"B Saya berkeinginan untuk bersama teman yang menurut saya menarik.")</f>
        <v>B Saya berkeinginan untuk bersama teman yang menurut saya menarik.</v>
      </c>
      <c r="CM58" s="95" t="str">
        <f>IFERROR(__xludf.DUMMYFUNCTION("""COMPUTED_VALUE"""),"B Saya merasa kagum pada seseorang.")</f>
        <v>B Saya merasa kagum pada seseorang.</v>
      </c>
      <c r="CN58" s="95" t="str">
        <f>IFERROR(__xludf.DUMMYFUNCTION("""COMPUTED_VALUE"""),"A Saya ingin diperlakukan dengan baik oleh teman-teman saya.")</f>
        <v>A Saya ingin diperlakukan dengan baik oleh teman-teman saya.</v>
      </c>
      <c r="CO58" s="95" t="str">
        <f>IFERROR(__xludf.DUMMYFUNCTION("""COMPUTED_VALUE"""),"B Saya suka memuji orang yang saya kagumi.")</f>
        <v>B Saya suka memuji orang yang saya kagumi.</v>
      </c>
      <c r="CP58" s="95" t="str">
        <f>IFERROR(__xludf.DUMMYFUNCTION("""COMPUTED_VALUE"""),"A Saya suka melamun atau membayangkan sesuatu sendirian.")</f>
        <v>A Saya suka melamun atau membayangkan sesuatu sendirian.</v>
      </c>
      <c r="CQ58" s="95" t="str">
        <f>IFERROR(__xludf.DUMMYFUNCTION("""COMPUTED_VALUE"""),"B Saya merasa kagum pada seseorang.")</f>
        <v>B Saya merasa kagum pada seseorang.</v>
      </c>
      <c r="CR58" s="95" t="str">
        <f>IFERROR(__xludf.DUMMYFUNCTION("""COMPUTED_VALUE"""),"B Saya rasanya ingin mengecam seseorang bila orang itu menjengkelkan.")</f>
        <v>B Saya rasanya ingin mengecam seseorang bila orang itu menjengkelkan.</v>
      </c>
      <c r="CS58" s="95" t="str">
        <f>IFERROR(__xludf.DUMMYFUNCTION("""COMPUTED_VALUE"""),"B Saya rasanya ingin membalas dendam bila seseorang menghina saya.")</f>
        <v>B Saya rasanya ingin membalas dendam bila seseorang menghina saya.</v>
      </c>
      <c r="CT58" s="95" t="str">
        <f>IFERROR(__xludf.DUMMYFUNCTION("""COMPUTED_VALUE"""),"B Saya saat marah rasanya ingin melemparkan dan merusak barang-barang.")</f>
        <v>B Saya saat marah rasanya ingin melemparkan dan merusak barang-barang.</v>
      </c>
      <c r="CU58" s="95" t="str">
        <f>IFERROR(__xludf.DUMMYFUNCTION("""COMPUTED_VALUE"""),"A Saya ingin diperlakukan dengan ramah oleh teman-teman saya.")</f>
        <v>A Saya ingin diperlakukan dengan ramah oleh teman-teman saya.</v>
      </c>
      <c r="CV58" s="95" t="str">
        <f>IFERROR(__xludf.DUMMYFUNCTION("""COMPUTED_VALUE"""),"B Saya menyerang pendirian-pendirian yang bertentangan dengan pendirian saya.")</f>
        <v>B Saya menyerang pendirian-pendirian yang bertentangan dengan pendirian saya.</v>
      </c>
      <c r="CW58" s="95" t="str">
        <f>IFERROR(__xludf.DUMMYFUNCTION("""COMPUTED_VALUE"""),"B Saya mengatakan kepada orang lain bagaimana pendapat saya terhadap mereka.")</f>
        <v>B Saya mengatakan kepada orang lain bagaimana pendapat saya terhadap mereka.</v>
      </c>
      <c r="CX58" s="95" t="str">
        <f>IFERROR(__xludf.DUMMYFUNCTION("""COMPUTED_VALUE"""),"B Saya ingin memperolok-olok orang yang saya anggap melakukan tindakan bodoh.")</f>
        <v>B Saya ingin memperolok-olok orang yang saya anggap melakukan tindakan bodoh.</v>
      </c>
      <c r="CY58" s="95" t="str">
        <f>IFERROR(__xludf.DUMMYFUNCTION("""COMPUTED_VALUE"""),"B Saya rasanya ingin membalas dendam bila seseorang menghina saya.")</f>
        <v>B Saya rasanya ingin membalas dendam bila seseorang menghina saya.</v>
      </c>
      <c r="CZ58" s="95" t="str">
        <f>IFERROR(__xludf.DUMMYFUNCTION("""COMPUTED_VALUE"""),"A Saya suka merencanakan dan mengatur setiap pekerjaan yang harus saya lakukan.")</f>
        <v>A Saya suka merencanakan dan mengatur setiap pekerjaan yang harus saya lakukan.</v>
      </c>
      <c r="DA58" s="95" t="str">
        <f>IFERROR(__xludf.DUMMYFUNCTION("""COMPUTED_VALUE"""),"B Saya rasanya ingin mengecam seseorang bila orang itu menjengkelkan.")</f>
        <v>B Saya rasanya ingin mengecam seseorang bila orang itu menjengkelkan.</v>
      </c>
      <c r="DB58" s="89" t="s">
        <v>23</v>
      </c>
      <c r="DC58" s="97" t="str">
        <f t="shared" ref="DC58:GX58" si="103">LEFT(F58,1)</f>
        <v>A</v>
      </c>
      <c r="DD58" s="97" t="str">
        <f t="shared" si="103"/>
        <v>A</v>
      </c>
      <c r="DE58" s="97" t="str">
        <f t="shared" si="103"/>
        <v>A</v>
      </c>
      <c r="DF58" s="97" t="str">
        <f t="shared" si="103"/>
        <v>B</v>
      </c>
      <c r="DG58" s="97" t="str">
        <f t="shared" si="103"/>
        <v>B</v>
      </c>
      <c r="DH58" s="97" t="str">
        <f t="shared" si="103"/>
        <v>B</v>
      </c>
      <c r="DI58" s="97" t="str">
        <f t="shared" si="103"/>
        <v>B</v>
      </c>
      <c r="DJ58" s="97" t="str">
        <f t="shared" si="103"/>
        <v>B</v>
      </c>
      <c r="DK58" s="97" t="str">
        <f t="shared" si="103"/>
        <v>A</v>
      </c>
      <c r="DL58" s="97" t="str">
        <f t="shared" si="103"/>
        <v>B</v>
      </c>
      <c r="DM58" s="97" t="str">
        <f t="shared" si="103"/>
        <v>A</v>
      </c>
      <c r="DN58" s="97" t="str">
        <f t="shared" si="103"/>
        <v>B</v>
      </c>
      <c r="DO58" s="97" t="str">
        <f t="shared" si="103"/>
        <v>B</v>
      </c>
      <c r="DP58" s="97" t="str">
        <f t="shared" si="103"/>
        <v>B</v>
      </c>
      <c r="DQ58" s="97" t="str">
        <f t="shared" si="103"/>
        <v>B</v>
      </c>
      <c r="DR58" s="97" t="str">
        <f t="shared" si="103"/>
        <v>B</v>
      </c>
      <c r="DS58" s="97" t="str">
        <f t="shared" si="103"/>
        <v>A</v>
      </c>
      <c r="DT58" s="97" t="str">
        <f t="shared" si="103"/>
        <v>A</v>
      </c>
      <c r="DU58" s="97" t="str">
        <f t="shared" si="103"/>
        <v>B</v>
      </c>
      <c r="DV58" s="97" t="str">
        <f t="shared" si="103"/>
        <v>B</v>
      </c>
      <c r="DW58" s="97" t="str">
        <f t="shared" si="103"/>
        <v>B</v>
      </c>
      <c r="DX58" s="97" t="str">
        <f t="shared" si="103"/>
        <v>B</v>
      </c>
      <c r="DY58" s="97" t="str">
        <f t="shared" si="103"/>
        <v>A</v>
      </c>
      <c r="DZ58" s="97" t="str">
        <f t="shared" si="103"/>
        <v>B</v>
      </c>
      <c r="EA58" s="97" t="str">
        <f t="shared" si="103"/>
        <v>B</v>
      </c>
      <c r="EB58" s="97" t="str">
        <f t="shared" si="103"/>
        <v>A</v>
      </c>
      <c r="EC58" s="97" t="str">
        <f t="shared" si="103"/>
        <v>B</v>
      </c>
      <c r="ED58" s="97" t="str">
        <f t="shared" si="103"/>
        <v>B</v>
      </c>
      <c r="EE58" s="97" t="str">
        <f t="shared" si="103"/>
        <v>B</v>
      </c>
      <c r="EF58" s="97" t="str">
        <f t="shared" si="103"/>
        <v>B</v>
      </c>
      <c r="EG58" s="97" t="str">
        <f t="shared" si="103"/>
        <v>B</v>
      </c>
      <c r="EH58" s="97" t="str">
        <f t="shared" si="103"/>
        <v>B</v>
      </c>
      <c r="EI58" s="97" t="str">
        <f t="shared" si="103"/>
        <v>B</v>
      </c>
      <c r="EJ58" s="97" t="str">
        <f t="shared" si="103"/>
        <v>B</v>
      </c>
      <c r="EK58" s="97" t="str">
        <f t="shared" si="103"/>
        <v>A</v>
      </c>
      <c r="EL58" s="97" t="str">
        <f t="shared" si="103"/>
        <v>B</v>
      </c>
      <c r="EM58" s="97" t="str">
        <f t="shared" si="103"/>
        <v>A</v>
      </c>
      <c r="EN58" s="97" t="str">
        <f t="shared" si="103"/>
        <v>A</v>
      </c>
      <c r="EO58" s="97" t="str">
        <f t="shared" si="103"/>
        <v>A</v>
      </c>
      <c r="EP58" s="97" t="str">
        <f t="shared" si="103"/>
        <v>B</v>
      </c>
      <c r="EQ58" s="97" t="str">
        <f t="shared" si="103"/>
        <v>B</v>
      </c>
      <c r="ER58" s="97" t="str">
        <f t="shared" si="103"/>
        <v>A</v>
      </c>
      <c r="ES58" s="97" t="str">
        <f t="shared" si="103"/>
        <v>A</v>
      </c>
      <c r="ET58" s="97" t="str">
        <f t="shared" si="103"/>
        <v>A</v>
      </c>
      <c r="EU58" s="97" t="str">
        <f t="shared" si="103"/>
        <v>B</v>
      </c>
      <c r="EV58" s="97" t="str">
        <f t="shared" si="103"/>
        <v>A</v>
      </c>
      <c r="EW58" s="97" t="str">
        <f t="shared" si="103"/>
        <v>B</v>
      </c>
      <c r="EX58" s="97" t="str">
        <f t="shared" si="103"/>
        <v>B</v>
      </c>
      <c r="EY58" s="97" t="str">
        <f t="shared" si="103"/>
        <v>A</v>
      </c>
      <c r="EZ58" s="97" t="str">
        <f t="shared" si="103"/>
        <v>A</v>
      </c>
      <c r="FA58" s="97" t="str">
        <f t="shared" si="103"/>
        <v>B</v>
      </c>
      <c r="FB58" s="97" t="str">
        <f t="shared" si="103"/>
        <v>B</v>
      </c>
      <c r="FC58" s="97" t="str">
        <f t="shared" si="103"/>
        <v>B</v>
      </c>
      <c r="FD58" s="97" t="str">
        <f t="shared" si="103"/>
        <v>B</v>
      </c>
      <c r="FE58" s="97" t="str">
        <f t="shared" si="103"/>
        <v>A</v>
      </c>
      <c r="FF58" s="97" t="str">
        <f t="shared" si="103"/>
        <v>B</v>
      </c>
      <c r="FG58" s="97" t="str">
        <f t="shared" si="103"/>
        <v>A</v>
      </c>
      <c r="FH58" s="97" t="str">
        <f t="shared" si="103"/>
        <v>A</v>
      </c>
      <c r="FI58" s="97" t="str">
        <f t="shared" si="103"/>
        <v>B</v>
      </c>
      <c r="FJ58" s="97" t="str">
        <f t="shared" si="103"/>
        <v>A</v>
      </c>
      <c r="FK58" s="97" t="str">
        <f t="shared" si="103"/>
        <v>A</v>
      </c>
      <c r="FL58" s="97" t="str">
        <f t="shared" si="103"/>
        <v>A</v>
      </c>
      <c r="FM58" s="97" t="str">
        <f t="shared" si="103"/>
        <v>A</v>
      </c>
      <c r="FN58" s="97" t="str">
        <f t="shared" si="103"/>
        <v>A</v>
      </c>
      <c r="FO58" s="97" t="str">
        <f t="shared" si="103"/>
        <v>A</v>
      </c>
      <c r="FP58" s="97" t="str">
        <f t="shared" si="103"/>
        <v>A</v>
      </c>
      <c r="FQ58" s="97" t="str">
        <f t="shared" si="103"/>
        <v>B</v>
      </c>
      <c r="FR58" s="97" t="str">
        <f t="shared" si="103"/>
        <v>B</v>
      </c>
      <c r="FS58" s="97" t="str">
        <f t="shared" si="103"/>
        <v>B</v>
      </c>
      <c r="FT58" s="97" t="str">
        <f t="shared" si="103"/>
        <v>A</v>
      </c>
      <c r="FU58" s="97" t="str">
        <f t="shared" si="103"/>
        <v>A</v>
      </c>
      <c r="FV58" s="97" t="str">
        <f t="shared" si="103"/>
        <v>A</v>
      </c>
      <c r="FW58" s="97" t="str">
        <f t="shared" si="103"/>
        <v>B</v>
      </c>
      <c r="FX58" s="97" t="str">
        <f t="shared" si="103"/>
        <v>A</v>
      </c>
      <c r="FY58" s="97" t="str">
        <f t="shared" si="103"/>
        <v>A</v>
      </c>
      <c r="FZ58" s="97" t="str">
        <f t="shared" si="103"/>
        <v>A</v>
      </c>
      <c r="GA58" s="97" t="str">
        <f t="shared" si="103"/>
        <v>A</v>
      </c>
      <c r="GB58" s="97" t="str">
        <f t="shared" si="103"/>
        <v>A</v>
      </c>
      <c r="GC58" s="97" t="str">
        <f t="shared" si="103"/>
        <v>A</v>
      </c>
      <c r="GD58" s="97" t="str">
        <f t="shared" si="103"/>
        <v>A</v>
      </c>
      <c r="GE58" s="97" t="str">
        <f t="shared" si="103"/>
        <v>A</v>
      </c>
      <c r="GF58" s="97" t="str">
        <f t="shared" si="103"/>
        <v>A</v>
      </c>
      <c r="GG58" s="97" t="str">
        <f t="shared" si="103"/>
        <v>A</v>
      </c>
      <c r="GH58" s="97" t="str">
        <f t="shared" si="103"/>
        <v>B</v>
      </c>
      <c r="GI58" s="97" t="str">
        <f t="shared" si="103"/>
        <v>B</v>
      </c>
      <c r="GJ58" s="97" t="str">
        <f t="shared" si="103"/>
        <v>B</v>
      </c>
      <c r="GK58" s="97" t="str">
        <f t="shared" si="103"/>
        <v>A</v>
      </c>
      <c r="GL58" s="97" t="str">
        <f t="shared" si="103"/>
        <v>B</v>
      </c>
      <c r="GM58" s="97" t="str">
        <f t="shared" si="103"/>
        <v>A</v>
      </c>
      <c r="GN58" s="97" t="str">
        <f t="shared" si="103"/>
        <v>B</v>
      </c>
      <c r="GO58" s="97" t="str">
        <f t="shared" si="103"/>
        <v>B</v>
      </c>
      <c r="GP58" s="97" t="str">
        <f t="shared" si="103"/>
        <v>B</v>
      </c>
      <c r="GQ58" s="97" t="str">
        <f t="shared" si="103"/>
        <v>B</v>
      </c>
      <c r="GR58" s="97" t="str">
        <f t="shared" si="103"/>
        <v>A</v>
      </c>
      <c r="GS58" s="97" t="str">
        <f t="shared" si="103"/>
        <v>B</v>
      </c>
      <c r="GT58" s="97" t="str">
        <f t="shared" si="103"/>
        <v>B</v>
      </c>
      <c r="GU58" s="97" t="str">
        <f t="shared" si="103"/>
        <v>B</v>
      </c>
      <c r="GV58" s="97" t="str">
        <f t="shared" si="103"/>
        <v>B</v>
      </c>
      <c r="GW58" s="97" t="str">
        <f t="shared" si="103"/>
        <v>A</v>
      </c>
      <c r="GX58" s="97" t="str">
        <f t="shared" si="103"/>
        <v>B</v>
      </c>
      <c r="GY58" s="98"/>
      <c r="GZ58" s="97">
        <f t="shared" si="3"/>
        <v>46</v>
      </c>
      <c r="HA58" s="97">
        <f t="shared" si="4"/>
        <v>54</v>
      </c>
      <c r="HB58" s="90">
        <f t="shared" si="5"/>
        <v>100</v>
      </c>
      <c r="HC58" s="99"/>
      <c r="HD58" s="97">
        <f t="shared" si="6"/>
        <v>4</v>
      </c>
      <c r="HE58" s="97">
        <f t="shared" si="7"/>
        <v>6</v>
      </c>
      <c r="HF58" s="90">
        <f t="shared" si="8"/>
        <v>10</v>
      </c>
      <c r="HG58" s="99"/>
      <c r="HH58" s="97">
        <f t="shared" si="9"/>
        <v>7</v>
      </c>
      <c r="HI58" s="97">
        <f t="shared" si="10"/>
        <v>7</v>
      </c>
      <c r="HJ58" s="90">
        <f t="shared" si="11"/>
        <v>14</v>
      </c>
      <c r="HK58" s="99"/>
      <c r="HL58" s="97">
        <f t="shared" si="12"/>
        <v>8</v>
      </c>
      <c r="HM58" s="97">
        <f t="shared" si="13"/>
        <v>8</v>
      </c>
      <c r="HN58" s="90">
        <f t="shared" si="14"/>
        <v>16</v>
      </c>
      <c r="HO58" s="99"/>
      <c r="HP58" s="97">
        <f t="shared" si="15"/>
        <v>5</v>
      </c>
      <c r="HQ58" s="97">
        <f t="shared" si="16"/>
        <v>6</v>
      </c>
      <c r="HR58" s="90">
        <f t="shared" si="17"/>
        <v>11</v>
      </c>
      <c r="HS58" s="99"/>
      <c r="HT58" s="97">
        <f t="shared" si="18"/>
        <v>2</v>
      </c>
      <c r="HU58" s="97">
        <f t="shared" si="19"/>
        <v>4</v>
      </c>
      <c r="HV58" s="90">
        <f t="shared" si="20"/>
        <v>6</v>
      </c>
      <c r="HW58" s="99"/>
      <c r="HX58" s="97">
        <f t="shared" si="21"/>
        <v>5</v>
      </c>
      <c r="HY58" s="97">
        <f t="shared" si="22"/>
        <v>6</v>
      </c>
      <c r="HZ58" s="90">
        <f t="shared" si="23"/>
        <v>11</v>
      </c>
      <c r="IA58" s="99"/>
      <c r="IB58" s="97">
        <f t="shared" si="24"/>
        <v>3</v>
      </c>
      <c r="IC58" s="97">
        <f t="shared" si="25"/>
        <v>3</v>
      </c>
      <c r="ID58" s="90">
        <f t="shared" si="26"/>
        <v>6</v>
      </c>
      <c r="IE58" s="99"/>
      <c r="IF58" s="97">
        <f t="shared" si="27"/>
        <v>0</v>
      </c>
      <c r="IG58" s="97">
        <f t="shared" si="28"/>
        <v>1</v>
      </c>
      <c r="IH58" s="90">
        <f t="shared" si="29"/>
        <v>1</v>
      </c>
      <c r="II58" s="99"/>
      <c r="IJ58" s="97">
        <f t="shared" si="30"/>
        <v>3</v>
      </c>
      <c r="IK58" s="97">
        <f t="shared" si="31"/>
        <v>5</v>
      </c>
      <c r="IL58" s="90">
        <f t="shared" si="32"/>
        <v>8</v>
      </c>
      <c r="IM58" s="99"/>
      <c r="IN58" s="97">
        <f t="shared" si="33"/>
        <v>4</v>
      </c>
      <c r="IO58" s="97">
        <f t="shared" si="34"/>
        <v>8</v>
      </c>
      <c r="IP58" s="90">
        <f t="shared" si="35"/>
        <v>12</v>
      </c>
      <c r="IQ58" s="99"/>
      <c r="IR58" s="99"/>
      <c r="IS58" s="100">
        <f t="shared" si="36"/>
        <v>10</v>
      </c>
      <c r="IT58" s="100">
        <f t="shared" si="37"/>
        <v>14</v>
      </c>
      <c r="IU58" s="100">
        <f t="shared" si="38"/>
        <v>16</v>
      </c>
      <c r="IV58" s="100">
        <f t="shared" si="39"/>
        <v>11</v>
      </c>
      <c r="IW58" s="100">
        <f t="shared" si="40"/>
        <v>6</v>
      </c>
      <c r="IX58" s="100">
        <f t="shared" si="41"/>
        <v>11</v>
      </c>
      <c r="IY58" s="100">
        <f t="shared" si="42"/>
        <v>6</v>
      </c>
      <c r="IZ58" s="100">
        <f t="shared" si="43"/>
        <v>1</v>
      </c>
      <c r="JA58" s="100">
        <f t="shared" si="44"/>
        <v>8</v>
      </c>
      <c r="JB58" s="101">
        <f t="shared" si="45"/>
        <v>12</v>
      </c>
      <c r="JC58" s="102">
        <f t="shared" si="46"/>
        <v>95</v>
      </c>
      <c r="JD58" s="67">
        <f t="shared" si="50"/>
        <v>0</v>
      </c>
      <c r="JE58" s="67">
        <f t="shared" si="47"/>
        <v>2</v>
      </c>
      <c r="JF58" s="67">
        <f t="shared" si="48"/>
        <v>2</v>
      </c>
    </row>
    <row r="59">
      <c r="A59" s="103">
        <f>IFERROR(__xludf.DUMMYFUNCTION("""COMPUTED_VALUE"""),45933.604177280096)</f>
        <v>45933.60418</v>
      </c>
      <c r="B59" s="95" t="str">
        <f>IFERROR(__xludf.DUMMYFUNCTION("""COMPUTED_VALUE"""),"Siti Arafah ")</f>
        <v>Siti Arafah </v>
      </c>
      <c r="C59" s="96" t="str">
        <f>IFERROR(__xludf.DUMMYFUNCTION("""COMPUTED_VALUE"""),"E250008")</f>
        <v>E250008</v>
      </c>
      <c r="D59" s="96" t="str">
        <f>IFERROR(__xludf.DUMMYFUNCTION("""COMPUTED_VALUE"""),"IL Putri")</f>
        <v>IL Putri</v>
      </c>
      <c r="E59" s="96" t="str">
        <f>IFERROR(__xludf.DUMMYFUNCTION("""COMPUTED_VALUE"""),"Ya")</f>
        <v>Ya</v>
      </c>
      <c r="F59" s="95" t="str">
        <f>IFERROR(__xludf.DUMMYFUNCTION("""COMPUTED_VALUE"""),"B Saya ingin melakukan apa saja sebaik mungkin.")</f>
        <v>B Saya ingin melakukan apa saja sebaik mungkin.</v>
      </c>
      <c r="G59" s="95" t="str">
        <f>IFERROR(__xludf.DUMMYFUNCTION("""COMPUTED_VALUE"""),"B Saya ingin menyelesaikan tugas yang segera dikumpulkan.")</f>
        <v>B Saya ingin menyelesaikan tugas yang segera dikumpulkan.</v>
      </c>
      <c r="H59" s="95" t="str">
        <f>IFERROR(__xludf.DUMMYFUNCTION("""COMPUTED_VALUE"""),"B Saya ingin menjadi orang yang diakui dalam suatu pekerjaan atau bidang khusus.")</f>
        <v>B Saya ingin menjadi orang yang diakui dalam suatu pekerjaan atau bidang khusus.</v>
      </c>
      <c r="I59" s="95" t="str">
        <f>IFERROR(__xludf.DUMMYFUNCTION("""COMPUTED_VALUE"""),"B Saya ingin bisa melakukan dengan baik meskipun tugas yang sulit.")</f>
        <v>B Saya ingin bisa melakukan dengan baik meskipun tugas yang sulit.</v>
      </c>
      <c r="J59" s="95" t="str">
        <f>IFERROR(__xludf.DUMMYFUNCTION("""COMPUTED_VALUE"""),"A Saya suka membantu teman-teman saya apabila mereka mengalami kesulitan.")</f>
        <v>A Saya suka membantu teman-teman saya apabila mereka mengalami kesulitan.</v>
      </c>
      <c r="K59" s="95" t="str">
        <f>IFERROR(__xludf.DUMMYFUNCTION("""COMPUTED_VALUE"""),"A Saya ingin menjadi pemimpin dalam suatu kelompok.")</f>
        <v>A Saya ingin menjadi pemimpin dalam suatu kelompok.</v>
      </c>
      <c r="L59" s="95" t="str">
        <f>IFERROR(__xludf.DUMMYFUNCTION("""COMPUTED_VALUE"""),"B Saya ingin mengatakan telah melakukan dengan baik sesuatu tugas yang sulit")</f>
        <v>B Saya ingin mengatakan telah melakukan dengan baik sesuatu tugas yang sulit</v>
      </c>
      <c r="M59" s="95" t="str">
        <f>IFERROR(__xludf.DUMMYFUNCTION("""COMPUTED_VALUE"""),"A Saya suka berbicara tentang hal-hal yang telah berhasil saya lakukan.")</f>
        <v>A Saya suka berbicara tentang hal-hal yang telah berhasil saya lakukan.</v>
      </c>
      <c r="N59" s="95" t="str">
        <f>IFERROR(__xludf.DUMMYFUNCTION("""COMPUTED_VALUE"""),"A Saya suka pergi dengan pakaian rapi agar lebih menarik perhatian orang lain.")</f>
        <v>A Saya suka pergi dengan pakaian rapi agar lebih menarik perhatian orang lain.</v>
      </c>
      <c r="O59" s="95" t="str">
        <f>IFERROR(__xludf.DUMMYFUNCTION("""COMPUTED_VALUE"""),"B Saya suka melakukan tugas sebaik mungkin.")</f>
        <v>B Saya suka melakukan tugas sebaik mungkin.</v>
      </c>
      <c r="P59" s="95" t="str">
        <f>IFERROR(__xludf.DUMMYFUNCTION("""COMPUTED_VALUE"""),"B Saya ingin setiap belajar itu teratur dan direncanakan.")</f>
        <v>B Saya ingin setiap belajar itu teratur dan direncanakan.</v>
      </c>
      <c r="Q59" s="95" t="str">
        <f>IFERROR(__xludf.DUMMYFUNCTION("""COMPUTED_VALUE"""),"B Saya merencanakan keperluan yang dibutuhkan sebelum bepergian.")</f>
        <v>B Saya merencanakan keperluan yang dibutuhkan sebelum bepergian.</v>
      </c>
      <c r="R59" s="95" t="str">
        <f>IFERROR(__xludf.DUMMYFUNCTION("""COMPUTED_VALUE"""),"B Saya suka barang-barang saya tersusun rapi dan teratur.")</f>
        <v>B Saya suka barang-barang saya tersusun rapi dan teratur.</v>
      </c>
      <c r="S59" s="95" t="str">
        <f>IFERROR(__xludf.DUMMYFUNCTION("""COMPUTED_VALUE"""),"A Saya ingin agar teman-teman pengertian bila saya mengalami kesukaran.")</f>
        <v>A Saya ingin agar teman-teman pengertian bila saya mengalami kesukaran.</v>
      </c>
      <c r="T59" s="95" t="str">
        <f>IFERROR(__xludf.DUMMYFUNCTION("""COMPUTED_VALUE"""),"B Saya ingin agar hidup saya teratur sesuai cita-cita saya.")</f>
        <v>B Saya ingin agar hidup saya teratur sesuai cita-cita saya.</v>
      </c>
      <c r="U59" s="95" t="str">
        <f>IFERROR(__xludf.DUMMYFUNCTION("""COMPUTED_VALUE"""),"A Saya suka memberikan bantuan kepada teman-teman saya.")</f>
        <v>A Saya suka memberikan bantuan kepada teman-teman saya.</v>
      </c>
      <c r="V59" s="95" t="str">
        <f>IFERROR(__xludf.DUMMYFUNCTION("""COMPUTED_VALUE"""),"B Saya suka belajar saya teratur dan ada waktu-waktu tertentu untuk belajar.")</f>
        <v>B Saya suka belajar saya teratur dan ada waktu-waktu tertentu untuk belajar.</v>
      </c>
      <c r="W59" s="95" t="str">
        <f>IFERROR(__xludf.DUMMYFUNCTION("""COMPUTED_VALUE"""),"A Saya suka melakukan kegiatan sesuai kondisi yang saya inginkan.")</f>
        <v>A Saya suka melakukan kegiatan sesuai kondisi yang saya inginkan.</v>
      </c>
      <c r="X59" s="95" t="str">
        <f>IFERROR(__xludf.DUMMYFUNCTION("""COMPUTED_VALUE"""),"A Saya suka merencanakan dan mengatur setiap apa yang harus saya lakukan.")</f>
        <v>A Saya suka merencanakan dan mengatur setiap apa yang harus saya lakukan.</v>
      </c>
      <c r="Y59" s="95" t="str">
        <f>IFERROR(__xludf.DUMMYFUNCTION("""COMPUTED_VALUE"""),"A Saya suka menyelesaikan tugas-tugas yang membutuhkan ketrampilan dan usaha.")</f>
        <v>A Saya suka menyelesaikan tugas-tugas yang membutuhkan ketrampilan dan usaha.</v>
      </c>
      <c r="Z59" s="95" t="str">
        <f>IFERROR(__xludf.DUMMYFUNCTION("""COMPUTED_VALUE"""),"A Saya ingin berhasil dengan belajar yang saya lakukan.")</f>
        <v>A Saya ingin berhasil dengan belajar yang saya lakukan.</v>
      </c>
      <c r="AA59" s="95" t="str">
        <f>IFERROR(__xludf.DUMMYFUNCTION("""COMPUTED_VALUE"""),"A Saya suka menyelesaikan tugas yang telah saya rencanakan.")</f>
        <v>A Saya suka menyelesaikan tugas yang telah saya rencanakan.</v>
      </c>
      <c r="AB59" s="95" t="str">
        <f>IFERROR(__xludf.DUMMYFUNCTION("""COMPUTED_VALUE"""),"A Saya ingin tidak tergantung dari orang lain terhadap apa yang akan saya lakukan.")</f>
        <v>A Saya ingin tidak tergantung dari orang lain terhadap apa yang akan saya lakukan.</v>
      </c>
      <c r="AC59" s="95" t="str">
        <f>IFERROR(__xludf.DUMMYFUNCTION("""COMPUTED_VALUE"""),"A Saya suka menyelesaikan setiap tugas meskipun membutuhkan waktu lama.")</f>
        <v>A Saya suka menyelesaikan setiap tugas meskipun membutuhkan waktu lama.</v>
      </c>
      <c r="AD59" s="95" t="str">
        <f>IFERROR(__xludf.DUMMYFUNCTION("""COMPUTED_VALUE"""),"A Saya suka bermurah hati terhadap teman-teman saya.")</f>
        <v>A Saya suka bermurah hati terhadap teman-teman saya.</v>
      </c>
      <c r="AE59" s="95" t="str">
        <f>IFERROR(__xludf.DUMMYFUNCTION("""COMPUTED_VALUE"""),"A Saya ingin dianggap sebagai pemimpin oleh teman di kelompok.")</f>
        <v>A Saya ingin dianggap sebagai pemimpin oleh teman di kelompok.</v>
      </c>
      <c r="AF59" s="95" t="str">
        <f>IFERROR(__xludf.DUMMYFUNCTION("""COMPUTED_VALUE"""),"A Saya ingin agar teman-teman mengerti bila saya mengalami kesukaran.")</f>
        <v>A Saya ingin agar teman-teman mengerti bila saya mengalami kesukaran.</v>
      </c>
      <c r="AG59" s="95" t="str">
        <f>IFERROR(__xludf.DUMMYFUNCTION("""COMPUTED_VALUE"""),"A Saya mengajari orang lain bagaimana mereka harus melakukan pekerjaan mereka.")</f>
        <v>A Saya mengajari orang lain bagaimana mereka harus melakukan pekerjaan mereka.</v>
      </c>
      <c r="AH59" s="95" t="str">
        <f>IFERROR(__xludf.DUMMYFUNCTION("""COMPUTED_VALUE"""),"B Saya ingin merasa bebas untuk melakukan apa yang saya kehendaki.")</f>
        <v>B Saya ingin merasa bebas untuk melakukan apa yang saya kehendaki.</v>
      </c>
      <c r="AI59" s="95" t="str">
        <f>IFERROR(__xludf.DUMMYFUNCTION("""COMPUTED_VALUE"""),"A Saya ingin menghardik orang lain bila saya berbeda pendapat dengan mereka.")</f>
        <v>A Saya ingin menghardik orang lain bila saya berbeda pendapat dengan mereka.</v>
      </c>
      <c r="AJ59" s="95" t="str">
        <f>IFERROR(__xludf.DUMMYFUNCTION("""COMPUTED_VALUE"""),"B Saya suka bertahan menghadapi satu masalah meskipun belum tentu berhasil.")</f>
        <v>B Saya suka bertahan menghadapi satu masalah meskipun belum tentu berhasil.</v>
      </c>
      <c r="AK59" s="95" t="str">
        <f>IFERROR(__xludf.DUMMYFUNCTION("""COMPUTED_VALUE"""),"A Saya suka bercerita tentang hal-hal pribadi yang seharusnya tidak perlu diketahui orang lain.")</f>
        <v>A Saya suka bercerita tentang hal-hal pribadi yang seharusnya tidak perlu diketahui orang lain.</v>
      </c>
      <c r="AL59" s="95" t="str">
        <f>IFERROR(__xludf.DUMMYFUNCTION("""COMPUTED_VALUE"""),"B Saya ingin menghindarkan gangguan bila saya sedang belajar.")</f>
        <v>B Saya ingin menghindarkan gangguan bila saya sedang belajar.</v>
      </c>
      <c r="AM59" s="95" t="str">
        <f>IFERROR(__xludf.DUMMYFUNCTION("""COMPUTED_VALUE"""),"B Saya suka belajar sampai malam untuk menyelesaikan suatu tugas.")</f>
        <v>B Saya suka belajar sampai malam untuk menyelesaikan suatu tugas.</v>
      </c>
      <c r="AN59" s="95" t="str">
        <f>IFERROR(__xludf.DUMMYFUNCTION("""COMPUTED_VALUE"""),"A Saya tidak suka pada orang yang semena-mena.")</f>
        <v>A Saya tidak suka pada orang yang semena-mena.</v>
      </c>
      <c r="AO59" s="95" t="str">
        <f>IFERROR(__xludf.DUMMYFUNCTION("""COMPUTED_VALUE"""),"A Saya suka berlaku sangat ramah terhadap teman-teman saya.")</f>
        <v>A Saya suka berlaku sangat ramah terhadap teman-teman saya.</v>
      </c>
      <c r="AP59" s="95" t="str">
        <f>IFERROR(__xludf.DUMMYFUNCTION("""COMPUTED_VALUE"""),"A Saya ingin mengerjakannya tugas sampai selesai.")</f>
        <v>A Saya ingin mengerjakannya tugas sampai selesai.</v>
      </c>
      <c r="AQ59" s="95" t="str">
        <f>IFERROR(__xludf.DUMMYFUNCTION("""COMPUTED_VALUE"""),"B Bila saya harus melakukan suatu tugas, saya ingin mengerjakan sampai selesai.")</f>
        <v>B Bila saya harus melakukan suatu tugas, saya ingin mengerjakan sampai selesai.</v>
      </c>
      <c r="AR59" s="95" t="str">
        <f>IFERROR(__xludf.DUMMYFUNCTION("""COMPUTED_VALUE"""),"B Saya suka belajar keras pada tiap pelajaran yang saya hadapi.")</f>
        <v>B Saya suka belajar keras pada tiap pelajaran yang saya hadapi.</v>
      </c>
      <c r="AS59" s="95" t="str">
        <f>IFERROR(__xludf.DUMMYFUNCTION("""COMPUTED_VALUE"""),"A Saya ingin dapat menyelesaikan persoalan yang dianggap sukar bagi orang lain.")</f>
        <v>A Saya ingin dapat menyelesaikan persoalan yang dianggap sukar bagi orang lain.</v>
      </c>
      <c r="AT59" s="95" t="str">
        <f>IFERROR(__xludf.DUMMYFUNCTION("""COMPUTED_VALUE"""),"B Saya suka membantu orang lain yang menurut saya perlu dikasihani.")</f>
        <v>B Saya suka membantu orang lain yang menurut saya perlu dikasihani.</v>
      </c>
      <c r="AU59" s="95" t="str">
        <f>IFERROR(__xludf.DUMMYFUNCTION("""COMPUTED_VALUE"""),"B Saya suka bermurah hati terhadap teman-teman saya.")</f>
        <v>B Saya suka bermurah hati terhadap teman-teman saya.</v>
      </c>
      <c r="AV59" s="95" t="str">
        <f>IFERROR(__xludf.DUMMYFUNCTION("""COMPUTED_VALUE"""),"A Saya ingin merasa bebas untuk melakukan apa yang saya kehendaki.")</f>
        <v>A Saya ingin merasa bebas untuk melakukan apa yang saya kehendaki.</v>
      </c>
      <c r="AW59" s="95" t="str">
        <f>IFERROR(__xludf.DUMMYFUNCTION("""COMPUTED_VALUE"""),"B Saya ingin teman-teman saya percaya bahwa saya bisa menolong mereka.")</f>
        <v>B Saya ingin teman-teman saya percaya bahwa saya bisa menolong mereka.</v>
      </c>
      <c r="AX59" s="95" t="str">
        <f>IFERROR(__xludf.DUMMYFUNCTION("""COMPUTED_VALUE"""),"A Saya suka menolong teman-teman saya apabila mereka dalam kesulitan.")</f>
        <v>A Saya suka menolong teman-teman saya apabila mereka dalam kesulitan.</v>
      </c>
      <c r="AY59" s="95" t="str">
        <f>IFERROR(__xludf.DUMMYFUNCTION("""COMPUTED_VALUE"""),"B Saya suka menolong teman-teman saya apabila mereka dalam kesulitan.")</f>
        <v>B Saya suka menolong teman-teman saya apabila mereka dalam kesulitan.</v>
      </c>
      <c r="AZ59" s="95" t="str">
        <f>IFERROR(__xludf.DUMMYFUNCTION("""COMPUTED_VALUE"""),"A Saya ingin agar teman-teman saya bersimpati dan menghibur saya bila saya sedih.")</f>
        <v>A Saya ingin agar teman-teman saya bersimpati dan menghibur saya bila saya sedih.</v>
      </c>
      <c r="BA59" s="95" t="str">
        <f>IFERROR(__xludf.DUMMYFUNCTION("""COMPUTED_VALUE"""),"B Saya suka memperlakukan orang lain dengan baik dan ramah.")</f>
        <v>B Saya suka memperlakukan orang lain dengan baik dan ramah.</v>
      </c>
      <c r="BB59" s="95" t="str">
        <f>IFERROR(__xludf.DUMMYFUNCTION("""COMPUTED_VALUE"""),"B Saya suka bermurah hati terhadap teman-teman saya.")</f>
        <v>B Saya suka bermurah hati terhadap teman-teman saya.</v>
      </c>
      <c r="BC59" s="95" t="str">
        <f>IFERROR(__xludf.DUMMYFUNCTION("""COMPUTED_VALUE"""),"A Saya rasanya ingin mengecam seseorang bila orang itu menjengkelkan.")</f>
        <v>A Saya rasanya ingin mengecam seseorang bila orang itu menjengkelkan.</v>
      </c>
      <c r="BD59" s="95" t="str">
        <f>IFERROR(__xludf.DUMMYFUNCTION("""COMPUTED_VALUE"""),"B Saya suka bersikukuh dengan pendirian saya.")</f>
        <v>B Saya suka bersikukuh dengan pendirian saya.</v>
      </c>
      <c r="BE59" s="95" t="str">
        <f>IFERROR(__xludf.DUMMYFUNCTION("""COMPUTED_VALUE"""),"A Saya suka mendengarkan atau menceritakan hal-hal yang sebaiknya tidak diceritakan.")</f>
        <v>A Saya suka mendengarkan atau menceritakan hal-hal yang sebaiknya tidak diceritakan.</v>
      </c>
      <c r="BF59" s="95" t="str">
        <f>IFERROR(__xludf.DUMMYFUNCTION("""COMPUTED_VALUE"""),"A Saya ingin orang lain memperhatikan dan berkomentar tentang penampilan saya.")</f>
        <v>A Saya ingin orang lain memperhatikan dan berkomentar tentang penampilan saya.</v>
      </c>
      <c r="BG59" s="95" t="str">
        <f>IFERROR(__xludf.DUMMYFUNCTION("""COMPUTED_VALUE"""),"A Saya ingin teman-teman banyak menunjukkan rasa sayang mereka terhadap saya.")</f>
        <v>A Saya ingin teman-teman banyak menunjukkan rasa sayang mereka terhadap saya.</v>
      </c>
      <c r="BH59" s="95" t="str">
        <f>IFERROR(__xludf.DUMMYFUNCTION("""COMPUTED_VALUE"""),"B Apabila saya berkumpul dalam kelompok, saya ingin dihargai teman-teman.")</f>
        <v>B Apabila saya berkumpul dalam kelompok, saya ingin dihargai teman-teman.</v>
      </c>
      <c r="BI59" s="95" t="str">
        <f>IFERROR(__xludf.DUMMYFUNCTION("""COMPUTED_VALUE"""),"A Saya suka bermurah hati terhadap teman-teman saya.")</f>
        <v>A Saya suka bermurah hati terhadap teman-teman saya.</v>
      </c>
      <c r="BJ59" s="95" t="str">
        <f>IFERROR(__xludf.DUMMYFUNCTION("""COMPUTED_VALUE"""),"A Saya ingin mengerjakan tugas sampai selesai.")</f>
        <v>A Saya ingin mengerjakan tugas sampai selesai.</v>
      </c>
      <c r="BK59" s="95" t="str">
        <f>IFERROR(__xludf.DUMMYFUNCTION("""COMPUTED_VALUE"""),"A Saya ingin menyelesaikan pekerjaan satu persatu sebelum memulai yang lain.")</f>
        <v>A Saya ingin menyelesaikan pekerjaan satu persatu sebelum memulai yang lain.</v>
      </c>
      <c r="BL59" s="95" t="str">
        <f>IFERROR(__xludf.DUMMYFUNCTION("""COMPUTED_VALUE"""),"A Saya suka belajar saya teratur dan ada waktu-waktu tertentu untuk belajar.")</f>
        <v>A Saya suka belajar saya teratur dan ada waktu-waktu tertentu untuk belajar.</v>
      </c>
      <c r="BM59" s="95" t="str">
        <f>IFERROR(__xludf.DUMMYFUNCTION("""COMPUTED_VALUE"""),"A Saya suka melakukan pekerjaan sebaik mungkin.")</f>
        <v>A Saya suka melakukan pekerjaan sebaik mungkin.</v>
      </c>
      <c r="BN59" s="95" t="str">
        <f>IFERROR(__xludf.DUMMYFUNCTION("""COMPUTED_VALUE"""),"A Saya suka mengerjakan teka-teki atau memecahkan persoalan sampai selesai.")</f>
        <v>A Saya suka mengerjakan teka-teki atau memecahkan persoalan sampai selesai.</v>
      </c>
      <c r="BO59" s="95" t="str">
        <f>IFERROR(__xludf.DUMMYFUNCTION("""COMPUTED_VALUE"""),"A Saya suka membuat perencanaan sebelum memulai belajar yang sulit.")</f>
        <v>A Saya suka membuat perencanaan sebelum memulai belajar yang sulit.</v>
      </c>
      <c r="BP59" s="95" t="str">
        <f>IFERROR(__xludf.DUMMYFUNCTION("""COMPUTED_VALUE"""),"A Saya ingin menyelesaikan sesuatu yang sangat penting artinya.")</f>
        <v>A Saya ingin menyelesaikan sesuatu yang sangat penting artinya.</v>
      </c>
      <c r="BQ59" s="95" t="str">
        <f>IFERROR(__xludf.DUMMYFUNCTION("""COMPUTED_VALUE"""),"A Saya ingin mengerjakannya tugas sampai selesai.")</f>
        <v>A Saya ingin mengerjakannya tugas sampai selesai.</v>
      </c>
      <c r="BR59" s="95" t="str">
        <f>IFERROR(__xludf.DUMMYFUNCTION("""COMPUTED_VALUE"""),"B Saya ingin agar teman-teman saya bersimpati dan menghibur saya bila saya sedih.")</f>
        <v>B Saya ingin agar teman-teman saya bersimpati dan menghibur saya bila saya sedih.</v>
      </c>
      <c r="BS59" s="95" t="str">
        <f>IFERROR(__xludf.DUMMYFUNCTION("""COMPUTED_VALUE"""),"B Saya ingin teman-teman saya membantu saya bila saya mengalami kesulitan")</f>
        <v>B Saya ingin teman-teman saya membantu saya bila saya mengalami kesulitan</v>
      </c>
      <c r="BT59" s="95" t="str">
        <f>IFERROR(__xludf.DUMMYFUNCTION("""COMPUTED_VALUE"""),"B Saya ingin teman-teman banyak menunjukkan rasa sayang mereka terhadap saya.")</f>
        <v>B Saya ingin teman-teman banyak menunjukkan rasa sayang mereka terhadap saya.</v>
      </c>
      <c r="BU59" s="95" t="str">
        <f>IFERROR(__xludf.DUMMYFUNCTION("""COMPUTED_VALUE"""),"A Saya kadang-kadang suka melakukan hal-hal yang dapat dipuji oleh orang lain.")</f>
        <v>A Saya kadang-kadang suka melakukan hal-hal yang dapat dipuji oleh orang lain.</v>
      </c>
      <c r="BV59" s="95" t="str">
        <f>IFERROR(__xludf.DUMMYFUNCTION("""COMPUTED_VALUE"""),"B Saya ingin teman-teman dengan gembira memberikan pertolongan kepada saya.")</f>
        <v>B Saya ingin teman-teman dengan gembira memberikan pertolongan kepada saya.</v>
      </c>
      <c r="BW59" s="95" t="str">
        <f>IFERROR(__xludf.DUMMYFUNCTION("""COMPUTED_VALUE"""),"B Saya ingin diperlakukan dengan baik oleh teman-teman saya.")</f>
        <v>B Saya ingin diperlakukan dengan baik oleh teman-teman saya.</v>
      </c>
      <c r="BX59" s="95" t="str">
        <f>IFERROR(__xludf.DUMMYFUNCTION("""COMPUTED_VALUE"""),"A Saya ingin memperolok-olok orang yang saya anggap melakukan tindakan bodoh.")</f>
        <v>A Saya ingin memperolok-olok orang yang saya anggap melakukan tindakan bodoh.</v>
      </c>
      <c r="BY59" s="95" t="str">
        <f>IFERROR(__xludf.DUMMYFUNCTION("""COMPUTED_VALUE"""),"A Saya suka melamun atau membayangkan hal-hal yang tidak jelas.")</f>
        <v>A Saya suka melamun atau membayangkan hal-hal yang tidak jelas.</v>
      </c>
      <c r="BZ59" s="95" t="str">
        <f>IFERROR(__xludf.DUMMYFUNCTION("""COMPUTED_VALUE"""),"A Saya suka berkata yang artinya sulit dipahami oleh orang lain.")</f>
        <v>A Saya suka berkata yang artinya sulit dipahami oleh orang lain.</v>
      </c>
      <c r="CA59" s="95" t="str">
        <f>IFERROR(__xludf.DUMMYFUNCTION("""COMPUTED_VALUE"""),"A Saya ingin teman-teman dengan gembira memberikan pertolongan kepada saya.")</f>
        <v>A Saya ingin teman-teman dengan gembira memberikan pertolongan kepada saya.</v>
      </c>
      <c r="CB59" s="95" t="str">
        <f>IFERROR(__xludf.DUMMYFUNCTION("""COMPUTED_VALUE"""),"B Saya suka berbicara tentang hal-hal yang telah saya capai.")</f>
        <v>B Saya suka berbicara tentang hal-hal yang telah saya capai.</v>
      </c>
      <c r="CC59" s="95" t="str">
        <f>IFERROR(__xludf.DUMMYFUNCTION("""COMPUTED_VALUE"""),"A Apabila saya berkumpul dalam kelompok, saya ingin dihargai teman-teman.")</f>
        <v>A Apabila saya berkumpul dalam kelompok, saya ingin dihargai teman-teman.</v>
      </c>
      <c r="CD59" s="95" t="str">
        <f>IFERROR(__xludf.DUMMYFUNCTION("""COMPUTED_VALUE"""),"A Saya suka menyelesaikan setiap tugas meskipun membutuhkan waktu lama.")</f>
        <v>A Saya suka menyelesaikan setiap tugas meskipun membutuhkan waktu lama.</v>
      </c>
      <c r="CE59" s="95" t="str">
        <f>IFERROR(__xludf.DUMMYFUNCTION("""COMPUTED_VALUE"""),"B Saya kadang-kadang suka melakukan hal-hal yang dapat dipuji oleh orang lain.")</f>
        <v>B Saya kadang-kadang suka melakukan hal-hal yang dapat dipuji oleh orang lain.</v>
      </c>
      <c r="CF59" s="95" t="str">
        <f>IFERROR(__xludf.DUMMYFUNCTION("""COMPUTED_VALUE"""),"A Saya ingin agar hidup saya teratur sesuai cita-cita saya.")</f>
        <v>A Saya ingin agar hidup saya teratur sesuai cita-cita saya.</v>
      </c>
      <c r="CG59" s="95" t="str">
        <f>IFERROR(__xludf.DUMMYFUNCTION("""COMPUTED_VALUE"""),"B Saya suka berbicara tentang hal-hal yang telah saya capai.")</f>
        <v>B Saya suka berbicara tentang hal-hal yang telah saya capai.</v>
      </c>
      <c r="CH59" s="95" t="str">
        <f>IFERROR(__xludf.DUMMYFUNCTION("""COMPUTED_VALUE"""),"A Saya ingin bisa melakukan dengan baik sesuatu pekerjaan sulit.")</f>
        <v>A Saya ingin bisa melakukan dengan baik sesuatu pekerjaan sulit.</v>
      </c>
      <c r="CI59" s="95" t="str">
        <f>IFERROR(__xludf.DUMMYFUNCTION("""COMPUTED_VALUE"""),"B Saya ingin dianggap menarik oleh orang lain.")</f>
        <v>B Saya ingin dianggap menarik oleh orang lain.</v>
      </c>
      <c r="CJ59" s="95" t="str">
        <f>IFERROR(__xludf.DUMMYFUNCTION("""COMPUTED_VALUE"""),"A Saya ingin tidak tergantung dari orang lain terhadap apa yang akan saya lakukan.")</f>
        <v>A Saya ingin tidak tergantung dari orang lain terhadap apa yang akan saya lakukan.</v>
      </c>
      <c r="CK59" s="95" t="str">
        <f>IFERROR(__xludf.DUMMYFUNCTION("""COMPUTED_VALUE"""),"B Saya senang ikut beraktivitas bersama teman sebaya saya.")</f>
        <v>B Saya senang ikut beraktivitas bersama teman sebaya saya.</v>
      </c>
      <c r="CL59" s="95" t="str">
        <f>IFERROR(__xludf.DUMMYFUNCTION("""COMPUTED_VALUE"""),"A Saya suka menolong teman-teman saya, apabila mereka dalam kesulitan.")</f>
        <v>A Saya suka menolong teman-teman saya, apabila mereka dalam kesulitan.</v>
      </c>
      <c r="CM59" s="95" t="str">
        <f>IFERROR(__xludf.DUMMYFUNCTION("""COMPUTED_VALUE"""),"A Saya ingin ditunjuk atau dipilih sebagai ketua dalam suatu kelompok.")</f>
        <v>A Saya ingin ditunjuk atau dipilih sebagai ketua dalam suatu kelompok.</v>
      </c>
      <c r="CN59" s="95" t="str">
        <f>IFERROR(__xludf.DUMMYFUNCTION("""COMPUTED_VALUE"""),"A Saya ingin diperlakukan dengan baik oleh teman-teman saya.")</f>
        <v>A Saya ingin diperlakukan dengan baik oleh teman-teman saya.</v>
      </c>
      <c r="CO59" s="95" t="str">
        <f>IFERROR(__xludf.DUMMYFUNCTION("""COMPUTED_VALUE"""),"A Saya suka menceritakan hal-hal lucu agar diperhatikan oleh orang lain.")</f>
        <v>A Saya suka menceritakan hal-hal lucu agar diperhatikan oleh orang lain.</v>
      </c>
      <c r="CP59" s="95" t="str">
        <f>IFERROR(__xludf.DUMMYFUNCTION("""COMPUTED_VALUE"""),"A Saya suka melamun atau membayangkan sesuatu sendirian.")</f>
        <v>A Saya suka melamun atau membayangkan sesuatu sendirian.</v>
      </c>
      <c r="CQ59" s="95" t="str">
        <f>IFERROR(__xludf.DUMMYFUNCTION("""COMPUTED_VALUE"""),"A Saya ingin menggertak orang bila saya berbeda pendapat dengan mereka.")</f>
        <v>A Saya ingin menggertak orang bila saya berbeda pendapat dengan mereka.</v>
      </c>
      <c r="CR59" s="95" t="str">
        <f>IFERROR(__xludf.DUMMYFUNCTION("""COMPUTED_VALUE"""),"B Saya rasanya ingin mengecam seseorang bila orang itu menjengkelkan.")</f>
        <v>B Saya rasanya ingin mengecam seseorang bila orang itu menjengkelkan.</v>
      </c>
      <c r="CS59" s="95" t="str">
        <f>IFERROR(__xludf.DUMMYFUNCTION("""COMPUTED_VALUE"""),"B Saya rasanya ingin membalas dendam bila seseorang menghina saya.")</f>
        <v>B Saya rasanya ingin membalas dendam bila seseorang menghina saya.</v>
      </c>
      <c r="CT59" s="95" t="str">
        <f>IFERROR(__xludf.DUMMYFUNCTION("""COMPUTED_VALUE"""),"A Saya ingin orang-orang memperhatikan komentar mengenai penampilan saya.")</f>
        <v>A Saya ingin orang-orang memperhatikan komentar mengenai penampilan saya.</v>
      </c>
      <c r="CU59" s="95" t="str">
        <f>IFERROR(__xludf.DUMMYFUNCTION("""COMPUTED_VALUE"""),"B Saya ingin menyalahkan orang lain bila keadaan tidak baik bagi saya.")</f>
        <v>B Saya ingin menyalahkan orang lain bila keadaan tidak baik bagi saya.</v>
      </c>
      <c r="CV59" s="95" t="str">
        <f>IFERROR(__xludf.DUMMYFUNCTION("""COMPUTED_VALUE"""),"B Saya menyerang pendirian-pendirian yang bertentangan dengan pendirian saya.")</f>
        <v>B Saya menyerang pendirian-pendirian yang bertentangan dengan pendirian saya.</v>
      </c>
      <c r="CW59" s="95" t="str">
        <f>IFERROR(__xludf.DUMMYFUNCTION("""COMPUTED_VALUE"""),"B Saya mengatakan kepada orang lain bagaimana pendapat saya terhadap mereka.")</f>
        <v>B Saya mengatakan kepada orang lain bagaimana pendapat saya terhadap mereka.</v>
      </c>
      <c r="CX59" s="95" t="str">
        <f>IFERROR(__xludf.DUMMYFUNCTION("""COMPUTED_VALUE"""),"A Saya suka belajar sampai malam untuk menyelesaikan suatu tugas.")</f>
        <v>A Saya suka belajar sampai malam untuk menyelesaikan suatu tugas.</v>
      </c>
      <c r="CY59" s="95" t="str">
        <f>IFERROR(__xludf.DUMMYFUNCTION("""COMPUTED_VALUE"""),"B Saya rasanya ingin membalas dendam bila seseorang menghina saya.")</f>
        <v>B Saya rasanya ingin membalas dendam bila seseorang menghina saya.</v>
      </c>
      <c r="CZ59" s="95" t="str">
        <f>IFERROR(__xludf.DUMMYFUNCTION("""COMPUTED_VALUE"""),"A Saya suka merencanakan dan mengatur setiap pekerjaan yang harus saya lakukan.")</f>
        <v>A Saya suka merencanakan dan mengatur setiap pekerjaan yang harus saya lakukan.</v>
      </c>
      <c r="DA59" s="95" t="str">
        <f>IFERROR(__xludf.DUMMYFUNCTION("""COMPUTED_VALUE"""),"B Saya rasanya ingin mengecam seseorang bila orang itu menjengkelkan.")</f>
        <v>B Saya rasanya ingin mengecam seseorang bila orang itu menjengkelkan.</v>
      </c>
      <c r="DB59" s="89" t="s">
        <v>23</v>
      </c>
      <c r="DC59" s="97" t="str">
        <f t="shared" ref="DC59:GX59" si="104">LEFT(F59,1)</f>
        <v>B</v>
      </c>
      <c r="DD59" s="97" t="str">
        <f t="shared" si="104"/>
        <v>B</v>
      </c>
      <c r="DE59" s="97" t="str">
        <f t="shared" si="104"/>
        <v>B</v>
      </c>
      <c r="DF59" s="97" t="str">
        <f t="shared" si="104"/>
        <v>B</v>
      </c>
      <c r="DG59" s="97" t="str">
        <f t="shared" si="104"/>
        <v>A</v>
      </c>
      <c r="DH59" s="97" t="str">
        <f t="shared" si="104"/>
        <v>A</v>
      </c>
      <c r="DI59" s="97" t="str">
        <f t="shared" si="104"/>
        <v>B</v>
      </c>
      <c r="DJ59" s="97" t="str">
        <f t="shared" si="104"/>
        <v>A</v>
      </c>
      <c r="DK59" s="97" t="str">
        <f t="shared" si="104"/>
        <v>A</v>
      </c>
      <c r="DL59" s="97" t="str">
        <f t="shared" si="104"/>
        <v>B</v>
      </c>
      <c r="DM59" s="97" t="str">
        <f t="shared" si="104"/>
        <v>B</v>
      </c>
      <c r="DN59" s="97" t="str">
        <f t="shared" si="104"/>
        <v>B</v>
      </c>
      <c r="DO59" s="97" t="str">
        <f t="shared" si="104"/>
        <v>B</v>
      </c>
      <c r="DP59" s="97" t="str">
        <f t="shared" si="104"/>
        <v>A</v>
      </c>
      <c r="DQ59" s="97" t="str">
        <f t="shared" si="104"/>
        <v>B</v>
      </c>
      <c r="DR59" s="97" t="str">
        <f t="shared" si="104"/>
        <v>A</v>
      </c>
      <c r="DS59" s="97" t="str">
        <f t="shared" si="104"/>
        <v>B</v>
      </c>
      <c r="DT59" s="97" t="str">
        <f t="shared" si="104"/>
        <v>A</v>
      </c>
      <c r="DU59" s="97" t="str">
        <f t="shared" si="104"/>
        <v>A</v>
      </c>
      <c r="DV59" s="97" t="str">
        <f t="shared" si="104"/>
        <v>A</v>
      </c>
      <c r="DW59" s="97" t="str">
        <f t="shared" si="104"/>
        <v>A</v>
      </c>
      <c r="DX59" s="97" t="str">
        <f t="shared" si="104"/>
        <v>A</v>
      </c>
      <c r="DY59" s="97" t="str">
        <f t="shared" si="104"/>
        <v>A</v>
      </c>
      <c r="DZ59" s="97" t="str">
        <f t="shared" si="104"/>
        <v>A</v>
      </c>
      <c r="EA59" s="97" t="str">
        <f t="shared" si="104"/>
        <v>A</v>
      </c>
      <c r="EB59" s="97" t="str">
        <f t="shared" si="104"/>
        <v>A</v>
      </c>
      <c r="EC59" s="97" t="str">
        <f t="shared" si="104"/>
        <v>A</v>
      </c>
      <c r="ED59" s="97" t="str">
        <f t="shared" si="104"/>
        <v>A</v>
      </c>
      <c r="EE59" s="97" t="str">
        <f t="shared" si="104"/>
        <v>B</v>
      </c>
      <c r="EF59" s="97" t="str">
        <f t="shared" si="104"/>
        <v>A</v>
      </c>
      <c r="EG59" s="97" t="str">
        <f t="shared" si="104"/>
        <v>B</v>
      </c>
      <c r="EH59" s="97" t="str">
        <f t="shared" si="104"/>
        <v>A</v>
      </c>
      <c r="EI59" s="97" t="str">
        <f t="shared" si="104"/>
        <v>B</v>
      </c>
      <c r="EJ59" s="97" t="str">
        <f t="shared" si="104"/>
        <v>B</v>
      </c>
      <c r="EK59" s="97" t="str">
        <f t="shared" si="104"/>
        <v>A</v>
      </c>
      <c r="EL59" s="97" t="str">
        <f t="shared" si="104"/>
        <v>A</v>
      </c>
      <c r="EM59" s="97" t="str">
        <f t="shared" si="104"/>
        <v>A</v>
      </c>
      <c r="EN59" s="97" t="str">
        <f t="shared" si="104"/>
        <v>B</v>
      </c>
      <c r="EO59" s="97" t="str">
        <f t="shared" si="104"/>
        <v>B</v>
      </c>
      <c r="EP59" s="97" t="str">
        <f t="shared" si="104"/>
        <v>A</v>
      </c>
      <c r="EQ59" s="97" t="str">
        <f t="shared" si="104"/>
        <v>B</v>
      </c>
      <c r="ER59" s="97" t="str">
        <f t="shared" si="104"/>
        <v>B</v>
      </c>
      <c r="ES59" s="97" t="str">
        <f t="shared" si="104"/>
        <v>A</v>
      </c>
      <c r="ET59" s="97" t="str">
        <f t="shared" si="104"/>
        <v>B</v>
      </c>
      <c r="EU59" s="97" t="str">
        <f t="shared" si="104"/>
        <v>A</v>
      </c>
      <c r="EV59" s="97" t="str">
        <f t="shared" si="104"/>
        <v>B</v>
      </c>
      <c r="EW59" s="97" t="str">
        <f t="shared" si="104"/>
        <v>A</v>
      </c>
      <c r="EX59" s="97" t="str">
        <f t="shared" si="104"/>
        <v>B</v>
      </c>
      <c r="EY59" s="97" t="str">
        <f t="shared" si="104"/>
        <v>B</v>
      </c>
      <c r="EZ59" s="97" t="str">
        <f t="shared" si="104"/>
        <v>A</v>
      </c>
      <c r="FA59" s="97" t="str">
        <f t="shared" si="104"/>
        <v>B</v>
      </c>
      <c r="FB59" s="97" t="str">
        <f t="shared" si="104"/>
        <v>A</v>
      </c>
      <c r="FC59" s="97" t="str">
        <f t="shared" si="104"/>
        <v>A</v>
      </c>
      <c r="FD59" s="97" t="str">
        <f t="shared" si="104"/>
        <v>A</v>
      </c>
      <c r="FE59" s="97" t="str">
        <f t="shared" si="104"/>
        <v>B</v>
      </c>
      <c r="FF59" s="97" t="str">
        <f t="shared" si="104"/>
        <v>A</v>
      </c>
      <c r="FG59" s="97" t="str">
        <f t="shared" si="104"/>
        <v>A</v>
      </c>
      <c r="FH59" s="97" t="str">
        <f t="shared" si="104"/>
        <v>A</v>
      </c>
      <c r="FI59" s="97" t="str">
        <f t="shared" si="104"/>
        <v>A</v>
      </c>
      <c r="FJ59" s="97" t="str">
        <f t="shared" si="104"/>
        <v>A</v>
      </c>
      <c r="FK59" s="97" t="str">
        <f t="shared" si="104"/>
        <v>A</v>
      </c>
      <c r="FL59" s="97" t="str">
        <f t="shared" si="104"/>
        <v>A</v>
      </c>
      <c r="FM59" s="97" t="str">
        <f t="shared" si="104"/>
        <v>A</v>
      </c>
      <c r="FN59" s="97" t="str">
        <f t="shared" si="104"/>
        <v>A</v>
      </c>
      <c r="FO59" s="97" t="str">
        <f t="shared" si="104"/>
        <v>B</v>
      </c>
      <c r="FP59" s="97" t="str">
        <f t="shared" si="104"/>
        <v>B</v>
      </c>
      <c r="FQ59" s="97" t="str">
        <f t="shared" si="104"/>
        <v>B</v>
      </c>
      <c r="FR59" s="97" t="str">
        <f t="shared" si="104"/>
        <v>A</v>
      </c>
      <c r="FS59" s="97" t="str">
        <f t="shared" si="104"/>
        <v>B</v>
      </c>
      <c r="FT59" s="97" t="str">
        <f t="shared" si="104"/>
        <v>B</v>
      </c>
      <c r="FU59" s="97" t="str">
        <f t="shared" si="104"/>
        <v>A</v>
      </c>
      <c r="FV59" s="97" t="str">
        <f t="shared" si="104"/>
        <v>A</v>
      </c>
      <c r="FW59" s="97" t="str">
        <f t="shared" si="104"/>
        <v>A</v>
      </c>
      <c r="FX59" s="97" t="str">
        <f t="shared" si="104"/>
        <v>A</v>
      </c>
      <c r="FY59" s="97" t="str">
        <f t="shared" si="104"/>
        <v>B</v>
      </c>
      <c r="FZ59" s="97" t="str">
        <f t="shared" si="104"/>
        <v>A</v>
      </c>
      <c r="GA59" s="97" t="str">
        <f t="shared" si="104"/>
        <v>A</v>
      </c>
      <c r="GB59" s="97" t="str">
        <f t="shared" si="104"/>
        <v>B</v>
      </c>
      <c r="GC59" s="97" t="str">
        <f t="shared" si="104"/>
        <v>A</v>
      </c>
      <c r="GD59" s="97" t="str">
        <f t="shared" si="104"/>
        <v>B</v>
      </c>
      <c r="GE59" s="97" t="str">
        <f t="shared" si="104"/>
        <v>A</v>
      </c>
      <c r="GF59" s="97" t="str">
        <f t="shared" si="104"/>
        <v>B</v>
      </c>
      <c r="GG59" s="97" t="str">
        <f t="shared" si="104"/>
        <v>A</v>
      </c>
      <c r="GH59" s="97" t="str">
        <f t="shared" si="104"/>
        <v>B</v>
      </c>
      <c r="GI59" s="97" t="str">
        <f t="shared" si="104"/>
        <v>A</v>
      </c>
      <c r="GJ59" s="97" t="str">
        <f t="shared" si="104"/>
        <v>A</v>
      </c>
      <c r="GK59" s="97" t="str">
        <f t="shared" si="104"/>
        <v>A</v>
      </c>
      <c r="GL59" s="97" t="str">
        <f t="shared" si="104"/>
        <v>A</v>
      </c>
      <c r="GM59" s="97" t="str">
        <f t="shared" si="104"/>
        <v>A</v>
      </c>
      <c r="GN59" s="97" t="str">
        <f t="shared" si="104"/>
        <v>A</v>
      </c>
      <c r="GO59" s="97" t="str">
        <f t="shared" si="104"/>
        <v>B</v>
      </c>
      <c r="GP59" s="97" t="str">
        <f t="shared" si="104"/>
        <v>B</v>
      </c>
      <c r="GQ59" s="97" t="str">
        <f t="shared" si="104"/>
        <v>A</v>
      </c>
      <c r="GR59" s="97" t="str">
        <f t="shared" si="104"/>
        <v>B</v>
      </c>
      <c r="GS59" s="97" t="str">
        <f t="shared" si="104"/>
        <v>B</v>
      </c>
      <c r="GT59" s="97" t="str">
        <f t="shared" si="104"/>
        <v>B</v>
      </c>
      <c r="GU59" s="97" t="str">
        <f t="shared" si="104"/>
        <v>A</v>
      </c>
      <c r="GV59" s="97" t="str">
        <f t="shared" si="104"/>
        <v>B</v>
      </c>
      <c r="GW59" s="97" t="str">
        <f t="shared" si="104"/>
        <v>A</v>
      </c>
      <c r="GX59" s="97" t="str">
        <f t="shared" si="104"/>
        <v>B</v>
      </c>
      <c r="GY59" s="98"/>
      <c r="GZ59" s="97">
        <f t="shared" si="3"/>
        <v>58</v>
      </c>
      <c r="HA59" s="97">
        <f t="shared" si="4"/>
        <v>42</v>
      </c>
      <c r="HB59" s="90">
        <f t="shared" si="5"/>
        <v>100</v>
      </c>
      <c r="HC59" s="99"/>
      <c r="HD59" s="97">
        <f t="shared" si="6"/>
        <v>6</v>
      </c>
      <c r="HE59" s="97">
        <f t="shared" si="7"/>
        <v>5</v>
      </c>
      <c r="HF59" s="90">
        <f t="shared" si="8"/>
        <v>11</v>
      </c>
      <c r="HG59" s="99"/>
      <c r="HH59" s="97">
        <f t="shared" si="9"/>
        <v>5</v>
      </c>
      <c r="HI59" s="97">
        <f t="shared" si="10"/>
        <v>5</v>
      </c>
      <c r="HJ59" s="90">
        <f t="shared" si="11"/>
        <v>10</v>
      </c>
      <c r="HK59" s="99"/>
      <c r="HL59" s="97">
        <f t="shared" si="12"/>
        <v>5</v>
      </c>
      <c r="HM59" s="97">
        <f t="shared" si="13"/>
        <v>1</v>
      </c>
      <c r="HN59" s="90">
        <f t="shared" si="14"/>
        <v>6</v>
      </c>
      <c r="HO59" s="99"/>
      <c r="HP59" s="97">
        <f t="shared" si="15"/>
        <v>5</v>
      </c>
      <c r="HQ59" s="97">
        <f t="shared" si="16"/>
        <v>5</v>
      </c>
      <c r="HR59" s="90">
        <f t="shared" si="17"/>
        <v>10</v>
      </c>
      <c r="HS59" s="99"/>
      <c r="HT59" s="97">
        <f t="shared" si="18"/>
        <v>7</v>
      </c>
      <c r="HU59" s="97">
        <f t="shared" si="19"/>
        <v>6</v>
      </c>
      <c r="HV59" s="90">
        <f t="shared" si="20"/>
        <v>13</v>
      </c>
      <c r="HW59" s="99"/>
      <c r="HX59" s="97">
        <f t="shared" si="21"/>
        <v>4</v>
      </c>
      <c r="HY59" s="97">
        <f t="shared" si="22"/>
        <v>2</v>
      </c>
      <c r="HZ59" s="90">
        <f t="shared" si="23"/>
        <v>6</v>
      </c>
      <c r="IA59" s="99"/>
      <c r="IB59" s="97">
        <f t="shared" si="24"/>
        <v>6</v>
      </c>
      <c r="IC59" s="97">
        <f t="shared" si="25"/>
        <v>5</v>
      </c>
      <c r="ID59" s="90">
        <f t="shared" si="26"/>
        <v>11</v>
      </c>
      <c r="IE59" s="99"/>
      <c r="IF59" s="97">
        <f t="shared" si="27"/>
        <v>6</v>
      </c>
      <c r="IG59" s="97">
        <f t="shared" si="28"/>
        <v>3</v>
      </c>
      <c r="IH59" s="90">
        <f t="shared" si="29"/>
        <v>9</v>
      </c>
      <c r="II59" s="99"/>
      <c r="IJ59" s="97">
        <f t="shared" si="30"/>
        <v>4</v>
      </c>
      <c r="IK59" s="97">
        <f t="shared" si="31"/>
        <v>2</v>
      </c>
      <c r="IL59" s="90">
        <f t="shared" si="32"/>
        <v>6</v>
      </c>
      <c r="IM59" s="99"/>
      <c r="IN59" s="97">
        <f t="shared" si="33"/>
        <v>4</v>
      </c>
      <c r="IO59" s="97">
        <f t="shared" si="34"/>
        <v>7</v>
      </c>
      <c r="IP59" s="90">
        <f t="shared" si="35"/>
        <v>11</v>
      </c>
      <c r="IQ59" s="99"/>
      <c r="IR59" s="99"/>
      <c r="IS59" s="100">
        <f t="shared" si="36"/>
        <v>11</v>
      </c>
      <c r="IT59" s="100">
        <f t="shared" si="37"/>
        <v>10</v>
      </c>
      <c r="IU59" s="100">
        <f t="shared" si="38"/>
        <v>6</v>
      </c>
      <c r="IV59" s="100">
        <f t="shared" si="39"/>
        <v>10</v>
      </c>
      <c r="IW59" s="100">
        <f t="shared" si="40"/>
        <v>13</v>
      </c>
      <c r="IX59" s="100">
        <f t="shared" si="41"/>
        <v>6</v>
      </c>
      <c r="IY59" s="100">
        <f t="shared" si="42"/>
        <v>11</v>
      </c>
      <c r="IZ59" s="100">
        <f t="shared" si="43"/>
        <v>9</v>
      </c>
      <c r="JA59" s="100">
        <f t="shared" si="44"/>
        <v>6</v>
      </c>
      <c r="JB59" s="101">
        <f t="shared" si="45"/>
        <v>11</v>
      </c>
      <c r="JC59" s="102">
        <f t="shared" si="46"/>
        <v>93</v>
      </c>
      <c r="JD59" s="67">
        <f t="shared" si="50"/>
        <v>0</v>
      </c>
      <c r="JE59" s="67">
        <f t="shared" si="47"/>
        <v>2</v>
      </c>
      <c r="JF59" s="67">
        <f t="shared" si="48"/>
        <v>2</v>
      </c>
    </row>
    <row r="60">
      <c r="A60" s="103">
        <f>IFERROR(__xludf.DUMMYFUNCTION("""COMPUTED_VALUE"""),45933.63021440972)</f>
        <v>45933.63021</v>
      </c>
      <c r="B60" s="95" t="str">
        <f>IFERROR(__xludf.DUMMYFUNCTION("""COMPUTED_VALUE"""),"adinda humaira")</f>
        <v>adinda humaira</v>
      </c>
      <c r="C60" s="96" t="str">
        <f>IFERROR(__xludf.DUMMYFUNCTION("""COMPUTED_VALUE"""),"E250004")</f>
        <v>E250004</v>
      </c>
      <c r="D60" s="96" t="str">
        <f>IFERROR(__xludf.DUMMYFUNCTION("""COMPUTED_VALUE"""),"IL Putri")</f>
        <v>IL Putri</v>
      </c>
      <c r="E60" s="96" t="str">
        <f>IFERROR(__xludf.DUMMYFUNCTION("""COMPUTED_VALUE"""),"Ya")</f>
        <v>Ya</v>
      </c>
      <c r="F60" s="95" t="str">
        <f>IFERROR(__xludf.DUMMYFUNCTION("""COMPUTED_VALUE"""),"B Saya ingin melakukan apa saja sebaik mungkin.")</f>
        <v>B Saya ingin melakukan apa saja sebaik mungkin.</v>
      </c>
      <c r="G60" s="95" t="str">
        <f>IFERROR(__xludf.DUMMYFUNCTION("""COMPUTED_VALUE"""),"B Saya ingin menyelesaikan tugas yang segera dikumpulkan.")</f>
        <v>B Saya ingin menyelesaikan tugas yang segera dikumpulkan.</v>
      </c>
      <c r="H60" s="95" t="str">
        <f>IFERROR(__xludf.DUMMYFUNCTION("""COMPUTED_VALUE"""),"B Saya ingin menjadi orang yang diakui dalam suatu pekerjaan atau bidang khusus.")</f>
        <v>B Saya ingin menjadi orang yang diakui dalam suatu pekerjaan atau bidang khusus.</v>
      </c>
      <c r="I60" s="95" t="str">
        <f>IFERROR(__xludf.DUMMYFUNCTION("""COMPUTED_VALUE"""),"A Saya suka belajar keras pada tiap pelajaran yang saya hadapi.")</f>
        <v>A Saya suka belajar keras pada tiap pelajaran yang saya hadapi.</v>
      </c>
      <c r="J60" s="95" t="str">
        <f>IFERROR(__xludf.DUMMYFUNCTION("""COMPUTED_VALUE"""),"A Saya suka membantu teman-teman saya apabila mereka mengalami kesulitan.")</f>
        <v>A Saya suka membantu teman-teman saya apabila mereka mengalami kesulitan.</v>
      </c>
      <c r="K60" s="95" t="str">
        <f>IFERROR(__xludf.DUMMYFUNCTION("""COMPUTED_VALUE"""),"B Saya ingin mengatakan telah melakukan dengan baik sesuatu tugas yang sulit.")</f>
        <v>B Saya ingin mengatakan telah melakukan dengan baik sesuatu tugas yang sulit.</v>
      </c>
      <c r="L60" s="95" t="str">
        <f>IFERROR(__xludf.DUMMYFUNCTION("""COMPUTED_VALUE"""),"B Saya ingin mengatakan telah melakukan dengan baik sesuatu tugas yang sulit")</f>
        <v>B Saya ingin mengatakan telah melakukan dengan baik sesuatu tugas yang sulit</v>
      </c>
      <c r="M60" s="95" t="str">
        <f>IFERROR(__xludf.DUMMYFUNCTION("""COMPUTED_VALUE"""),"A Saya suka berbicara tentang hal-hal yang telah berhasil saya lakukan.")</f>
        <v>A Saya suka berbicara tentang hal-hal yang telah berhasil saya lakukan.</v>
      </c>
      <c r="N60" s="95" t="str">
        <f>IFERROR(__xludf.DUMMYFUNCTION("""COMPUTED_VALUE"""),"A Saya suka pergi dengan pakaian rapi agar lebih menarik perhatian orang lain.")</f>
        <v>A Saya suka pergi dengan pakaian rapi agar lebih menarik perhatian orang lain.</v>
      </c>
      <c r="O60" s="95" t="str">
        <f>IFERROR(__xludf.DUMMYFUNCTION("""COMPUTED_VALUE"""),"B Saya suka melakukan tugas sebaik mungkin.")</f>
        <v>B Saya suka melakukan tugas sebaik mungkin.</v>
      </c>
      <c r="P60" s="95" t="str">
        <f>IFERROR(__xludf.DUMMYFUNCTION("""COMPUTED_VALUE"""),"B Saya ingin setiap belajar itu teratur dan direncanakan.")</f>
        <v>B Saya ingin setiap belajar itu teratur dan direncanakan.</v>
      </c>
      <c r="Q60" s="95" t="str">
        <f>IFERROR(__xludf.DUMMYFUNCTION("""COMPUTED_VALUE"""),"B Saya merencanakan keperluan yang dibutuhkan sebelum bepergian.")</f>
        <v>B Saya merencanakan keperluan yang dibutuhkan sebelum bepergian.</v>
      </c>
      <c r="R60" s="95" t="str">
        <f>IFERROR(__xludf.DUMMYFUNCTION("""COMPUTED_VALUE"""),"B Saya suka barang-barang saya tersusun rapi dan teratur.")</f>
        <v>B Saya suka barang-barang saya tersusun rapi dan teratur.</v>
      </c>
      <c r="S60" s="95" t="str">
        <f>IFERROR(__xludf.DUMMYFUNCTION("""COMPUTED_VALUE"""),"B Saya suka membuat perencanaan sebelum memulai tugas yang sulit.")</f>
        <v>B Saya suka membuat perencanaan sebelum memulai tugas yang sulit.</v>
      </c>
      <c r="T60" s="95" t="str">
        <f>IFERROR(__xludf.DUMMYFUNCTION("""COMPUTED_VALUE"""),"B Saya ingin agar hidup saya teratur sesuai cita-cita saya.")</f>
        <v>B Saya ingin agar hidup saya teratur sesuai cita-cita saya.</v>
      </c>
      <c r="U60" s="95" t="str">
        <f>IFERROR(__xludf.DUMMYFUNCTION("""COMPUTED_VALUE"""),"A Saya suka memberikan bantuan kepada teman-teman saya.")</f>
        <v>A Saya suka memberikan bantuan kepada teman-teman saya.</v>
      </c>
      <c r="V60" s="95" t="str">
        <f>IFERROR(__xludf.DUMMYFUNCTION("""COMPUTED_VALUE"""),"B Saya suka belajar saya teratur dan ada waktu-waktu tertentu untuk belajar.")</f>
        <v>B Saya suka belajar saya teratur dan ada waktu-waktu tertentu untuk belajar.</v>
      </c>
      <c r="W60" s="95" t="str">
        <f>IFERROR(__xludf.DUMMYFUNCTION("""COMPUTED_VALUE"""),"B Saya ingin kegiatan itu teratur dan direncanakan.")</f>
        <v>B Saya ingin kegiatan itu teratur dan direncanakan.</v>
      </c>
      <c r="X60" s="95" t="str">
        <f>IFERROR(__xludf.DUMMYFUNCTION("""COMPUTED_VALUE"""),"A Saya suka merencanakan dan mengatur setiap apa yang harus saya lakukan.")</f>
        <v>A Saya suka merencanakan dan mengatur setiap apa yang harus saya lakukan.</v>
      </c>
      <c r="Y60" s="95" t="str">
        <f>IFERROR(__xludf.DUMMYFUNCTION("""COMPUTED_VALUE"""),"B Saya senang merencanakan untuk masa depan.")</f>
        <v>B Saya senang merencanakan untuk masa depan.</v>
      </c>
      <c r="Z60" s="95" t="str">
        <f>IFERROR(__xludf.DUMMYFUNCTION("""COMPUTED_VALUE"""),"B Saya ingin merasa bebas untuk melakukan apa yang saya inginkan.")</f>
        <v>B Saya ingin merasa bebas untuk melakukan apa yang saya inginkan.</v>
      </c>
      <c r="AA60" s="95" t="str">
        <f>IFERROR(__xludf.DUMMYFUNCTION("""COMPUTED_VALUE"""),"B Saya tidak suka pada orang yang berbuat seenaknya sendiri.")</f>
        <v>B Saya tidak suka pada orang yang berbuat seenaknya sendiri.</v>
      </c>
      <c r="AB60" s="95" t="str">
        <f>IFERROR(__xludf.DUMMYFUNCTION("""COMPUTED_VALUE"""),"A Saya ingin tidak tergantung dari orang lain terhadap apa yang akan saya lakukan.")</f>
        <v>A Saya ingin tidak tergantung dari orang lain terhadap apa yang akan saya lakukan.</v>
      </c>
      <c r="AC60" s="95" t="str">
        <f>IFERROR(__xludf.DUMMYFUNCTION("""COMPUTED_VALUE"""),"A Saya suka menyelesaikan setiap tugas meskipun membutuhkan waktu lama.")</f>
        <v>A Saya suka menyelesaikan setiap tugas meskipun membutuhkan waktu lama.</v>
      </c>
      <c r="AD60" s="95" t="str">
        <f>IFERROR(__xludf.DUMMYFUNCTION("""COMPUTED_VALUE"""),"B Saya suka menyatakan pendapat saya tentang berbagai hal.")</f>
        <v>B Saya suka menyatakan pendapat saya tentang berbagai hal.</v>
      </c>
      <c r="AE60" s="95" t="str">
        <f>IFERROR(__xludf.DUMMYFUNCTION("""COMPUTED_VALUE"""),"A Saya ingin dianggap sebagai pemimpin oleh teman di kelompok.")</f>
        <v>A Saya ingin dianggap sebagai pemimpin oleh teman di kelompok.</v>
      </c>
      <c r="AF60" s="95" t="str">
        <f>IFERROR(__xludf.DUMMYFUNCTION("""COMPUTED_VALUE"""),"B Saya suka melakukan hal-hal dengan cara saya sendiri.")</f>
        <v>B Saya suka melakukan hal-hal dengan cara saya sendiri.</v>
      </c>
      <c r="AG60" s="95" t="str">
        <f>IFERROR(__xludf.DUMMYFUNCTION("""COMPUTED_VALUE"""),"A Saya mengajari orang lain bagaimana mereka harus melakukan pekerjaan mereka.")</f>
        <v>A Saya mengajari orang lain bagaimana mereka harus melakukan pekerjaan mereka.</v>
      </c>
      <c r="AH60" s="95" t="str">
        <f>IFERROR(__xludf.DUMMYFUNCTION("""COMPUTED_VALUE"""),"B Saya ingin merasa bebas untuk melakukan apa yang saya kehendaki.")</f>
        <v>B Saya ingin merasa bebas untuk melakukan apa yang saya kehendaki.</v>
      </c>
      <c r="AI60" s="95" t="str">
        <f>IFERROR(__xludf.DUMMYFUNCTION("""COMPUTED_VALUE"""),"B Saya suka melakukan kegiatan sesuai kondisi yang saya inginkan.")</f>
        <v>B Saya suka melakukan kegiatan sesuai kondisi yang saya inginkan.</v>
      </c>
      <c r="AJ60" s="95" t="str">
        <f>IFERROR(__xludf.DUMMYFUNCTION("""COMPUTED_VALUE"""),"A Saya rasanya ingin membalas dendam bila seseorang menghina saya.")</f>
        <v>A Saya rasanya ingin membalas dendam bila seseorang menghina saya.</v>
      </c>
      <c r="AK60" s="95" t="str">
        <f>IFERROR(__xludf.DUMMYFUNCTION("""COMPUTED_VALUE"""),"B Bila saya harus melakukan suatu tugas, saya ingin mengerjakan sampai selesai.")</f>
        <v>B Bila saya harus melakukan suatu tugas, saya ingin mengerjakan sampai selesai.</v>
      </c>
      <c r="AL60" s="95" t="str">
        <f>IFERROR(__xludf.DUMMYFUNCTION("""COMPUTED_VALUE"""),"B Saya ingin menghindarkan gangguan bila saya sedang belajar.")</f>
        <v>B Saya ingin menghindarkan gangguan bila saya sedang belajar.</v>
      </c>
      <c r="AM60" s="95" t="str">
        <f>IFERROR(__xludf.DUMMYFUNCTION("""COMPUTED_VALUE"""),"B Saya suka belajar sampai malam untuk menyelesaikan suatu tugas.")</f>
        <v>B Saya suka belajar sampai malam untuk menyelesaikan suatu tugas.</v>
      </c>
      <c r="AN60" s="95" t="str">
        <f>IFERROR(__xludf.DUMMYFUNCTION("""COMPUTED_VALUE"""),"A Saya tidak suka pada orang yang semena-mena.")</f>
        <v>A Saya tidak suka pada orang yang semena-mena.</v>
      </c>
      <c r="AO60" s="95" t="str">
        <f>IFERROR(__xludf.DUMMYFUNCTION("""COMPUTED_VALUE"""),"B Saya suka menyelesaikan setiap tugas meskipun membutuhkan waktu lama.")</f>
        <v>B Saya suka menyelesaikan setiap tugas meskipun membutuhkan waktu lama.</v>
      </c>
      <c r="AP60" s="95" t="str">
        <f>IFERROR(__xludf.DUMMYFUNCTION("""COMPUTED_VALUE"""),"A Saya ingin mengerjakannya tugas sampai selesai.")</f>
        <v>A Saya ingin mengerjakannya tugas sampai selesai.</v>
      </c>
      <c r="AQ60" s="95" t="str">
        <f>IFERROR(__xludf.DUMMYFUNCTION("""COMPUTED_VALUE"""),"A Saya ingin bisa mengerjakan segala sesuatu lebih baik daripada orang-orang lain.")</f>
        <v>A Saya ingin bisa mengerjakan segala sesuatu lebih baik daripada orang-orang lain.</v>
      </c>
      <c r="AR60" s="95" t="str">
        <f>IFERROR(__xludf.DUMMYFUNCTION("""COMPUTED_VALUE"""),"B Saya suka belajar keras pada tiap pelajaran yang saya hadapi.")</f>
        <v>B Saya suka belajar keras pada tiap pelajaran yang saya hadapi.</v>
      </c>
      <c r="AS60" s="95" t="str">
        <f>IFERROR(__xludf.DUMMYFUNCTION("""COMPUTED_VALUE"""),"B Saya suka belajar sampai malam untuk menyelesaikan suatu tugas.")</f>
        <v>B Saya suka belajar sampai malam untuk menyelesaikan suatu tugas.</v>
      </c>
      <c r="AT60" s="95" t="str">
        <f>IFERROR(__xludf.DUMMYFUNCTION("""COMPUTED_VALUE"""),"A Saya ingin bisa melakukan dengan baik sesuatu pekerjaan sulit.")</f>
        <v>A Saya ingin bisa melakukan dengan baik sesuatu pekerjaan sulit.</v>
      </c>
      <c r="AU60" s="95" t="str">
        <f>IFERROR(__xludf.DUMMYFUNCTION("""COMPUTED_VALUE"""),"B Saya suka bermurah hati terhadap teman-teman saya.")</f>
        <v>B Saya suka bermurah hati terhadap teman-teman saya.</v>
      </c>
      <c r="AV60" s="95" t="str">
        <f>IFERROR(__xludf.DUMMYFUNCTION("""COMPUTED_VALUE"""),"B Saya suka menolong teman-teman saya.")</f>
        <v>B Saya suka menolong teman-teman saya.</v>
      </c>
      <c r="AW60" s="95" t="str">
        <f>IFERROR(__xludf.DUMMYFUNCTION("""COMPUTED_VALUE"""),"B Saya ingin teman-teman saya percaya bahwa saya bisa menolong mereka.")</f>
        <v>B Saya ingin teman-teman saya percaya bahwa saya bisa menolong mereka.</v>
      </c>
      <c r="AX60" s="95" t="str">
        <f>IFERROR(__xludf.DUMMYFUNCTION("""COMPUTED_VALUE"""),"A Saya suka menolong teman-teman saya apabila mereka dalam kesulitan.")</f>
        <v>A Saya suka menolong teman-teman saya apabila mereka dalam kesulitan.</v>
      </c>
      <c r="AY60" s="95" t="str">
        <f>IFERROR(__xludf.DUMMYFUNCTION("""COMPUTED_VALUE"""),"B Saya suka menolong teman-teman saya apabila mereka dalam kesulitan.")</f>
        <v>B Saya suka menolong teman-teman saya apabila mereka dalam kesulitan.</v>
      </c>
      <c r="AZ60" s="95" t="str">
        <f>IFERROR(__xludf.DUMMYFUNCTION("""COMPUTED_VALUE"""),"A Saya ingin agar teman-teman saya bersimpati dan menghibur saya bila saya sedih.")</f>
        <v>A Saya ingin agar teman-teman saya bersimpati dan menghibur saya bila saya sedih.</v>
      </c>
      <c r="BA60" s="95" t="str">
        <f>IFERROR(__xludf.DUMMYFUNCTION("""COMPUTED_VALUE"""),"A Saya suka menyatakan pendapat saya tentang berbagai hal.")</f>
        <v>A Saya suka menyatakan pendapat saya tentang berbagai hal.</v>
      </c>
      <c r="BB60" s="95" t="str">
        <f>IFERROR(__xludf.DUMMYFUNCTION("""COMPUTED_VALUE"""),"A Saya berkeinginan untuk bersama orang yang menarik bagi saya.")</f>
        <v>A Saya berkeinginan untuk bersama orang yang menarik bagi saya.</v>
      </c>
      <c r="BC60" s="95" t="str">
        <f>IFERROR(__xludf.DUMMYFUNCTION("""COMPUTED_VALUE"""),"B Saya suka membantu orang lain yang menurut saya perlu dikasihani.")</f>
        <v>B Saya suka membantu orang lain yang menurut saya perlu dikasihani.</v>
      </c>
      <c r="BD60" s="95" t="str">
        <f>IFERROR(__xludf.DUMMYFUNCTION("""COMPUTED_VALUE"""),"B Saya suka bersikukuh dengan pendirian saya.")</f>
        <v>B Saya suka bersikukuh dengan pendirian saya.</v>
      </c>
      <c r="BE60" s="95" t="str">
        <f>IFERROR(__xludf.DUMMYFUNCTION("""COMPUTED_VALUE"""),"A Saya suka mendengarkan atau menceritakan hal-hal yang sebaiknya tidak diceritakan.")</f>
        <v>A Saya suka mendengarkan atau menceritakan hal-hal yang sebaiknya tidak diceritakan.</v>
      </c>
      <c r="BF60" s="95" t="str">
        <f>IFERROR(__xludf.DUMMYFUNCTION("""COMPUTED_VALUE"""),"B Bila saya dalam kelompok, saya ingin menentukan apa yang akan kita lakukan.")</f>
        <v>B Bila saya dalam kelompok, saya ingin menentukan apa yang akan kita lakukan.</v>
      </c>
      <c r="BG60" s="95" t="str">
        <f>IFERROR(__xludf.DUMMYFUNCTION("""COMPUTED_VALUE"""),"B Saya suka mengarahkan kepada orang lain apa yang harus dilakukan.")</f>
        <v>B Saya suka mengarahkan kepada orang lain apa yang harus dilakukan.</v>
      </c>
      <c r="BH60" s="95" t="str">
        <f>IFERROR(__xludf.DUMMYFUNCTION("""COMPUTED_VALUE"""),"B Apabila saya berkumpul dalam kelompok, saya ingin dihargai teman-teman.")</f>
        <v>B Apabila saya berkumpul dalam kelompok, saya ingin dihargai teman-teman.</v>
      </c>
      <c r="BI60" s="95" t="str">
        <f>IFERROR(__xludf.DUMMYFUNCTION("""COMPUTED_VALUE"""),"B Saya ingin orang lain melakukan apa yang saya kehendaki.")</f>
        <v>B Saya ingin orang lain melakukan apa yang saya kehendaki.</v>
      </c>
      <c r="BJ60" s="95" t="str">
        <f>IFERROR(__xludf.DUMMYFUNCTION("""COMPUTED_VALUE"""),"A Saya ingin mengerjakan tugas sampai selesai.")</f>
        <v>A Saya ingin mengerjakan tugas sampai selesai.</v>
      </c>
      <c r="BK60" s="95" t="str">
        <f>IFERROR(__xludf.DUMMYFUNCTION("""COMPUTED_VALUE"""),"B Saya senang untuk diminta menyelesaikan pertentangan-pertentangan.")</f>
        <v>B Saya senang untuk diminta menyelesaikan pertentangan-pertentangan.</v>
      </c>
      <c r="BL60" s="95" t="str">
        <f>IFERROR(__xludf.DUMMYFUNCTION("""COMPUTED_VALUE"""),"A Saya suka belajar saya teratur dan ada waktu-waktu tertentu untuk belajar.")</f>
        <v>A Saya suka belajar saya teratur dan ada waktu-waktu tertentu untuk belajar.</v>
      </c>
      <c r="BM60" s="95" t="str">
        <f>IFERROR(__xludf.DUMMYFUNCTION("""COMPUTED_VALUE"""),"A Saya suka melakukan pekerjaan sebaik mungkin.")</f>
        <v>A Saya suka melakukan pekerjaan sebaik mungkin.</v>
      </c>
      <c r="BN60" s="95" t="str">
        <f>IFERROR(__xludf.DUMMYFUNCTION("""COMPUTED_VALUE"""),"B Saya ingin teman-teman memberi dorongan bila saya menghadapi kegagalan.")</f>
        <v>B Saya ingin teman-teman memberi dorongan bila saya menghadapi kegagalan.</v>
      </c>
      <c r="BO60" s="95" t="str">
        <f>IFERROR(__xludf.DUMMYFUNCTION("""COMPUTED_VALUE"""),"A Saya suka membuat perencanaan sebelum memulai belajar yang sulit.")</f>
        <v>A Saya suka membuat perencanaan sebelum memulai belajar yang sulit.</v>
      </c>
      <c r="BP60" s="95" t="str">
        <f>IFERROR(__xludf.DUMMYFUNCTION("""COMPUTED_VALUE"""),"A Saya ingin menyelesaikan sesuatu yang sangat penting artinya.")</f>
        <v>A Saya ingin menyelesaikan sesuatu yang sangat penting artinya.</v>
      </c>
      <c r="BQ60" s="95" t="str">
        <f>IFERROR(__xludf.DUMMYFUNCTION("""COMPUTED_VALUE"""),"A Saya ingin mengerjakannya tugas sampai selesai.")</f>
        <v>A Saya ingin mengerjakannya tugas sampai selesai.</v>
      </c>
      <c r="BR60" s="95" t="str">
        <f>IFERROR(__xludf.DUMMYFUNCTION("""COMPUTED_VALUE"""),"A Saya suka memaafkan teman-teman saya yang menyakiti hati saya.")</f>
        <v>A Saya suka memaafkan teman-teman saya yang menyakiti hati saya.</v>
      </c>
      <c r="BS60" s="95" t="str">
        <f>IFERROR(__xludf.DUMMYFUNCTION("""COMPUTED_VALUE"""),"B Saya ingin teman-teman saya membantu saya bila saya mengalami kesulitan")</f>
        <v>B Saya ingin teman-teman saya membantu saya bila saya mengalami kesulitan</v>
      </c>
      <c r="BT60" s="95" t="str">
        <f>IFERROR(__xludf.DUMMYFUNCTION("""COMPUTED_VALUE"""),"B Saya ingin teman-teman banyak menunjukkan rasa sayang mereka terhadap saya.")</f>
        <v>B Saya ingin teman-teman banyak menunjukkan rasa sayang mereka terhadap saya.</v>
      </c>
      <c r="BU60" s="95" t="str">
        <f>IFERROR(__xludf.DUMMYFUNCTION("""COMPUTED_VALUE"""),"A Saya kadang-kadang suka melakukan hal-hal yang dapat dipuji oleh orang lain.")</f>
        <v>A Saya kadang-kadang suka melakukan hal-hal yang dapat dipuji oleh orang lain.</v>
      </c>
      <c r="BV60" s="95" t="str">
        <f>IFERROR(__xludf.DUMMYFUNCTION("""COMPUTED_VALUE"""),"B Saya ingin teman-teman dengan gembira memberikan pertolongan kepada saya.")</f>
        <v>B Saya ingin teman-teman dengan gembira memberikan pertolongan kepada saya.</v>
      </c>
      <c r="BW60" s="95" t="str">
        <f>IFERROR(__xludf.DUMMYFUNCTION("""COMPUTED_VALUE"""),"A Saya akan menyerang pendapat yang bertentangan dengan pendirian saya.")</f>
        <v>A Saya akan menyerang pendapat yang bertentangan dengan pendirian saya.</v>
      </c>
      <c r="BX60" s="95" t="str">
        <f>IFERROR(__xludf.DUMMYFUNCTION("""COMPUTED_VALUE"""),"B Saya kadang-kadang suka melakukan hal-hal yang dapat dipuji oleh orang lain.")</f>
        <v>B Saya kadang-kadang suka melakukan hal-hal yang dapat dipuji oleh orang lain.</v>
      </c>
      <c r="BY60" s="95" t="str">
        <f>IFERROR(__xludf.DUMMYFUNCTION("""COMPUTED_VALUE"""),"A Saya suka melamun atau membayangkan hal-hal yang tidak jelas.")</f>
        <v>A Saya suka melamun atau membayangkan hal-hal yang tidak jelas.</v>
      </c>
      <c r="BZ60" s="95" t="str">
        <f>IFERROR(__xludf.DUMMYFUNCTION("""COMPUTED_VALUE"""),"B Saya suka diperhatikan, apabila saya ada di dalam suatu kelompok.")</f>
        <v>B Saya suka diperhatikan, apabila saya ada di dalam suatu kelompok.</v>
      </c>
      <c r="CA60" s="95" t="str">
        <f>IFERROR(__xludf.DUMMYFUNCTION("""COMPUTED_VALUE"""),"A Saya ingin teman-teman dengan gembira memberikan pertolongan kepada saya.")</f>
        <v>A Saya ingin teman-teman dengan gembira memberikan pertolongan kepada saya.</v>
      </c>
      <c r="CB60" s="95" t="str">
        <f>IFERROR(__xludf.DUMMYFUNCTION("""COMPUTED_VALUE"""),"B Saya suka berbicara tentang hal-hal yang telah saya capai.")</f>
        <v>B Saya suka berbicara tentang hal-hal yang telah saya capai.</v>
      </c>
      <c r="CC60" s="95" t="str">
        <f>IFERROR(__xludf.DUMMYFUNCTION("""COMPUTED_VALUE"""),"B Saya suka menceritakan hal-hal lucu agar diperhatikan oleh orang lain.")</f>
        <v>B Saya suka menceritakan hal-hal lucu agar diperhatikan oleh orang lain.</v>
      </c>
      <c r="CD60" s="95" t="str">
        <f>IFERROR(__xludf.DUMMYFUNCTION("""COMPUTED_VALUE"""),"A Saya suka menyelesaikan setiap tugas meskipun membutuhkan waktu lama.")</f>
        <v>A Saya suka menyelesaikan setiap tugas meskipun membutuhkan waktu lama.</v>
      </c>
      <c r="CE60" s="95" t="str">
        <f>IFERROR(__xludf.DUMMYFUNCTION("""COMPUTED_VALUE"""),"A Saya suka menyelesaikan setiap tugas belajar yang telah saya mulai.")</f>
        <v>A Saya suka menyelesaikan setiap tugas belajar yang telah saya mulai.</v>
      </c>
      <c r="CF60" s="95" t="str">
        <f>IFERROR(__xludf.DUMMYFUNCTION("""COMPUTED_VALUE"""),"A Saya ingin agar hidup saya teratur sesuai cita-cita saya.")</f>
        <v>A Saya ingin agar hidup saya teratur sesuai cita-cita saya.</v>
      </c>
      <c r="CG60" s="95" t="str">
        <f>IFERROR(__xludf.DUMMYFUNCTION("""COMPUTED_VALUE"""),"A Saya ingin berhasil dalam apa yang saya lakukan.")</f>
        <v>A Saya ingin berhasil dalam apa yang saya lakukan.</v>
      </c>
      <c r="CH60" s="95" t="str">
        <f>IFERROR(__xludf.DUMMYFUNCTION("""COMPUTED_VALUE"""),"B Saya suka dengan orang yang berpenampilan menarik.")</f>
        <v>B Saya suka dengan orang yang berpenampilan menarik.</v>
      </c>
      <c r="CI60" s="95" t="str">
        <f>IFERROR(__xludf.DUMMYFUNCTION("""COMPUTED_VALUE"""),"A Saya suka belajar saya teratur dan ada waktu-waktu tertentu untuk belajar.")</f>
        <v>A Saya suka belajar saya teratur dan ada waktu-waktu tertentu untuk belajar.</v>
      </c>
      <c r="CJ60" s="95" t="str">
        <f>IFERROR(__xludf.DUMMYFUNCTION("""COMPUTED_VALUE"""),"A Saya ingin tidak tergantung dari orang lain terhadap apa yang akan saya lakukan.")</f>
        <v>A Saya ingin tidak tergantung dari orang lain terhadap apa yang akan saya lakukan.</v>
      </c>
      <c r="CK60" s="95" t="str">
        <f>IFERROR(__xludf.DUMMYFUNCTION("""COMPUTED_VALUE"""),"B Saya senang ikut beraktivitas bersama teman sebaya saya.")</f>
        <v>B Saya senang ikut beraktivitas bersama teman sebaya saya.</v>
      </c>
      <c r="CL60" s="95" t="str">
        <f>IFERROR(__xludf.DUMMYFUNCTION("""COMPUTED_VALUE"""),"A Saya suka menolong teman-teman saya, apabila mereka dalam kesulitan.")</f>
        <v>A Saya suka menolong teman-teman saya, apabila mereka dalam kesulitan.</v>
      </c>
      <c r="CM60" s="95" t="str">
        <f>IFERROR(__xludf.DUMMYFUNCTION("""COMPUTED_VALUE"""),"A Saya ingin ditunjuk atau dipilih sebagai ketua dalam suatu kelompok.")</f>
        <v>A Saya ingin ditunjuk atau dipilih sebagai ketua dalam suatu kelompok.</v>
      </c>
      <c r="CN60" s="95" t="str">
        <f>IFERROR(__xludf.DUMMYFUNCTION("""COMPUTED_VALUE"""),"A Saya ingin diperlakukan dengan baik oleh teman-teman saya.")</f>
        <v>A Saya ingin diperlakukan dengan baik oleh teman-teman saya.</v>
      </c>
      <c r="CO60" s="95" t="str">
        <f>IFERROR(__xludf.DUMMYFUNCTION("""COMPUTED_VALUE"""),"B Saya suka memuji orang yang saya kagumi.")</f>
        <v>B Saya suka memuji orang yang saya kagumi.</v>
      </c>
      <c r="CP60" s="95" t="str">
        <f>IFERROR(__xludf.DUMMYFUNCTION("""COMPUTED_VALUE"""),"A Saya suka melamun atau membayangkan sesuatu sendirian.")</f>
        <v>A Saya suka melamun atau membayangkan sesuatu sendirian.</v>
      </c>
      <c r="CQ60" s="95" t="str">
        <f>IFERROR(__xludf.DUMMYFUNCTION("""COMPUTED_VALUE"""),"A Saya ingin menggertak orang bila saya berbeda pendapat dengan mereka.")</f>
        <v>A Saya ingin menggertak orang bila saya berbeda pendapat dengan mereka.</v>
      </c>
      <c r="CR60" s="95" t="str">
        <f>IFERROR(__xludf.DUMMYFUNCTION("""COMPUTED_VALUE"""),"A Saya ingin memperolok-olok orang yang saya anggap melakukan tindakan bodoh.")</f>
        <v>A Saya ingin memperolok-olok orang yang saya anggap melakukan tindakan bodoh.</v>
      </c>
      <c r="CS60" s="95" t="str">
        <f>IFERROR(__xludf.DUMMYFUNCTION("""COMPUTED_VALUE"""),"B Saya rasanya ingin membalas dendam bila seseorang menghina saya.")</f>
        <v>B Saya rasanya ingin membalas dendam bila seseorang menghina saya.</v>
      </c>
      <c r="CT60" s="95" t="str">
        <f>IFERROR(__xludf.DUMMYFUNCTION("""COMPUTED_VALUE"""),"A Saya ingin orang-orang memperhatikan komentar mengenai penampilan saya.")</f>
        <v>A Saya ingin orang-orang memperhatikan komentar mengenai penampilan saya.</v>
      </c>
      <c r="CU60" s="95" t="str">
        <f>IFERROR(__xludf.DUMMYFUNCTION("""COMPUTED_VALUE"""),"B Saya ingin menyalahkan orang lain bila keadaan tidak baik bagi saya.")</f>
        <v>B Saya ingin menyalahkan orang lain bila keadaan tidak baik bagi saya.</v>
      </c>
      <c r="CV60" s="95" t="str">
        <f>IFERROR(__xludf.DUMMYFUNCTION("""COMPUTED_VALUE"""),"B Saya menyerang pendirian-pendirian yang bertentangan dengan pendirian saya.")</f>
        <v>B Saya menyerang pendirian-pendirian yang bertentangan dengan pendirian saya.</v>
      </c>
      <c r="CW60" s="95" t="str">
        <f>IFERROR(__xludf.DUMMYFUNCTION("""COMPUTED_VALUE"""),"B Saya mengatakan kepada orang lain bagaimana pendapat saya terhadap mereka.")</f>
        <v>B Saya mengatakan kepada orang lain bagaimana pendapat saya terhadap mereka.</v>
      </c>
      <c r="CX60" s="95" t="str">
        <f>IFERROR(__xludf.DUMMYFUNCTION("""COMPUTED_VALUE"""),"A Saya suka belajar sampai malam untuk menyelesaikan suatu tugas.")</f>
        <v>A Saya suka belajar sampai malam untuk menyelesaikan suatu tugas.</v>
      </c>
      <c r="CY60" s="95" t="str">
        <f>IFERROR(__xludf.DUMMYFUNCTION("""COMPUTED_VALUE"""),"A Saya ingin tidak tergantung dari orang lain terhadap apa yang akan saya lakukan.")</f>
        <v>A Saya ingin tidak tergantung dari orang lain terhadap apa yang akan saya lakukan.</v>
      </c>
      <c r="CZ60" s="95" t="str">
        <f>IFERROR(__xludf.DUMMYFUNCTION("""COMPUTED_VALUE"""),"A Saya suka merencanakan dan mengatur setiap pekerjaan yang harus saya lakukan.")</f>
        <v>A Saya suka merencanakan dan mengatur setiap pekerjaan yang harus saya lakukan.</v>
      </c>
      <c r="DA60" s="95" t="str">
        <f>IFERROR(__xludf.DUMMYFUNCTION("""COMPUTED_VALUE"""),"A Saya ingin melakukan apa saja sebaik mungkin.")</f>
        <v>A Saya ingin melakukan apa saja sebaik mungkin.</v>
      </c>
      <c r="DB60" s="89" t="s">
        <v>23</v>
      </c>
      <c r="DC60" s="97" t="str">
        <f t="shared" ref="DC60:GX60" si="105">LEFT(F60,1)</f>
        <v>B</v>
      </c>
      <c r="DD60" s="97" t="str">
        <f t="shared" si="105"/>
        <v>B</v>
      </c>
      <c r="DE60" s="97" t="str">
        <f t="shared" si="105"/>
        <v>B</v>
      </c>
      <c r="DF60" s="97" t="str">
        <f t="shared" si="105"/>
        <v>A</v>
      </c>
      <c r="DG60" s="97" t="str">
        <f t="shared" si="105"/>
        <v>A</v>
      </c>
      <c r="DH60" s="97" t="str">
        <f t="shared" si="105"/>
        <v>B</v>
      </c>
      <c r="DI60" s="97" t="str">
        <f t="shared" si="105"/>
        <v>B</v>
      </c>
      <c r="DJ60" s="97" t="str">
        <f t="shared" si="105"/>
        <v>A</v>
      </c>
      <c r="DK60" s="97" t="str">
        <f t="shared" si="105"/>
        <v>A</v>
      </c>
      <c r="DL60" s="97" t="str">
        <f t="shared" si="105"/>
        <v>B</v>
      </c>
      <c r="DM60" s="97" t="str">
        <f t="shared" si="105"/>
        <v>B</v>
      </c>
      <c r="DN60" s="97" t="str">
        <f t="shared" si="105"/>
        <v>B</v>
      </c>
      <c r="DO60" s="97" t="str">
        <f t="shared" si="105"/>
        <v>B</v>
      </c>
      <c r="DP60" s="97" t="str">
        <f t="shared" si="105"/>
        <v>B</v>
      </c>
      <c r="DQ60" s="97" t="str">
        <f t="shared" si="105"/>
        <v>B</v>
      </c>
      <c r="DR60" s="97" t="str">
        <f t="shared" si="105"/>
        <v>A</v>
      </c>
      <c r="DS60" s="97" t="str">
        <f t="shared" si="105"/>
        <v>B</v>
      </c>
      <c r="DT60" s="97" t="str">
        <f t="shared" si="105"/>
        <v>B</v>
      </c>
      <c r="DU60" s="97" t="str">
        <f t="shared" si="105"/>
        <v>A</v>
      </c>
      <c r="DV60" s="97" t="str">
        <f t="shared" si="105"/>
        <v>B</v>
      </c>
      <c r="DW60" s="97" t="str">
        <f t="shared" si="105"/>
        <v>B</v>
      </c>
      <c r="DX60" s="97" t="str">
        <f t="shared" si="105"/>
        <v>B</v>
      </c>
      <c r="DY60" s="97" t="str">
        <f t="shared" si="105"/>
        <v>A</v>
      </c>
      <c r="DZ60" s="97" t="str">
        <f t="shared" si="105"/>
        <v>A</v>
      </c>
      <c r="EA60" s="97" t="str">
        <f t="shared" si="105"/>
        <v>B</v>
      </c>
      <c r="EB60" s="97" t="str">
        <f t="shared" si="105"/>
        <v>A</v>
      </c>
      <c r="EC60" s="97" t="str">
        <f t="shared" si="105"/>
        <v>B</v>
      </c>
      <c r="ED60" s="97" t="str">
        <f t="shared" si="105"/>
        <v>A</v>
      </c>
      <c r="EE60" s="97" t="str">
        <f t="shared" si="105"/>
        <v>B</v>
      </c>
      <c r="EF60" s="97" t="str">
        <f t="shared" si="105"/>
        <v>B</v>
      </c>
      <c r="EG60" s="97" t="str">
        <f t="shared" si="105"/>
        <v>A</v>
      </c>
      <c r="EH60" s="97" t="str">
        <f t="shared" si="105"/>
        <v>B</v>
      </c>
      <c r="EI60" s="97" t="str">
        <f t="shared" si="105"/>
        <v>B</v>
      </c>
      <c r="EJ60" s="97" t="str">
        <f t="shared" si="105"/>
        <v>B</v>
      </c>
      <c r="EK60" s="97" t="str">
        <f t="shared" si="105"/>
        <v>A</v>
      </c>
      <c r="EL60" s="97" t="str">
        <f t="shared" si="105"/>
        <v>B</v>
      </c>
      <c r="EM60" s="97" t="str">
        <f t="shared" si="105"/>
        <v>A</v>
      </c>
      <c r="EN60" s="97" t="str">
        <f t="shared" si="105"/>
        <v>A</v>
      </c>
      <c r="EO60" s="97" t="str">
        <f t="shared" si="105"/>
        <v>B</v>
      </c>
      <c r="EP60" s="97" t="str">
        <f t="shared" si="105"/>
        <v>B</v>
      </c>
      <c r="EQ60" s="97" t="str">
        <f t="shared" si="105"/>
        <v>A</v>
      </c>
      <c r="ER60" s="97" t="str">
        <f t="shared" si="105"/>
        <v>B</v>
      </c>
      <c r="ES60" s="97" t="str">
        <f t="shared" si="105"/>
        <v>B</v>
      </c>
      <c r="ET60" s="97" t="str">
        <f t="shared" si="105"/>
        <v>B</v>
      </c>
      <c r="EU60" s="97" t="str">
        <f t="shared" si="105"/>
        <v>A</v>
      </c>
      <c r="EV60" s="97" t="str">
        <f t="shared" si="105"/>
        <v>B</v>
      </c>
      <c r="EW60" s="97" t="str">
        <f t="shared" si="105"/>
        <v>A</v>
      </c>
      <c r="EX60" s="97" t="str">
        <f t="shared" si="105"/>
        <v>A</v>
      </c>
      <c r="EY60" s="97" t="str">
        <f t="shared" si="105"/>
        <v>A</v>
      </c>
      <c r="EZ60" s="97" t="str">
        <f t="shared" si="105"/>
        <v>B</v>
      </c>
      <c r="FA60" s="97" t="str">
        <f t="shared" si="105"/>
        <v>B</v>
      </c>
      <c r="FB60" s="97" t="str">
        <f t="shared" si="105"/>
        <v>A</v>
      </c>
      <c r="FC60" s="97" t="str">
        <f t="shared" si="105"/>
        <v>B</v>
      </c>
      <c r="FD60" s="97" t="str">
        <f t="shared" si="105"/>
        <v>B</v>
      </c>
      <c r="FE60" s="97" t="str">
        <f t="shared" si="105"/>
        <v>B</v>
      </c>
      <c r="FF60" s="97" t="str">
        <f t="shared" si="105"/>
        <v>B</v>
      </c>
      <c r="FG60" s="97" t="str">
        <f t="shared" si="105"/>
        <v>A</v>
      </c>
      <c r="FH60" s="97" t="str">
        <f t="shared" si="105"/>
        <v>B</v>
      </c>
      <c r="FI60" s="97" t="str">
        <f t="shared" si="105"/>
        <v>A</v>
      </c>
      <c r="FJ60" s="97" t="str">
        <f t="shared" si="105"/>
        <v>A</v>
      </c>
      <c r="FK60" s="97" t="str">
        <f t="shared" si="105"/>
        <v>B</v>
      </c>
      <c r="FL60" s="97" t="str">
        <f t="shared" si="105"/>
        <v>A</v>
      </c>
      <c r="FM60" s="97" t="str">
        <f t="shared" si="105"/>
        <v>A</v>
      </c>
      <c r="FN60" s="97" t="str">
        <f t="shared" si="105"/>
        <v>A</v>
      </c>
      <c r="FO60" s="97" t="str">
        <f t="shared" si="105"/>
        <v>A</v>
      </c>
      <c r="FP60" s="97" t="str">
        <f t="shared" si="105"/>
        <v>B</v>
      </c>
      <c r="FQ60" s="97" t="str">
        <f t="shared" si="105"/>
        <v>B</v>
      </c>
      <c r="FR60" s="97" t="str">
        <f t="shared" si="105"/>
        <v>A</v>
      </c>
      <c r="FS60" s="97" t="str">
        <f t="shared" si="105"/>
        <v>B</v>
      </c>
      <c r="FT60" s="97" t="str">
        <f t="shared" si="105"/>
        <v>A</v>
      </c>
      <c r="FU60" s="97" t="str">
        <f t="shared" si="105"/>
        <v>B</v>
      </c>
      <c r="FV60" s="97" t="str">
        <f t="shared" si="105"/>
        <v>A</v>
      </c>
      <c r="FW60" s="97" t="str">
        <f t="shared" si="105"/>
        <v>B</v>
      </c>
      <c r="FX60" s="97" t="str">
        <f t="shared" si="105"/>
        <v>A</v>
      </c>
      <c r="FY60" s="97" t="str">
        <f t="shared" si="105"/>
        <v>B</v>
      </c>
      <c r="FZ60" s="97" t="str">
        <f t="shared" si="105"/>
        <v>B</v>
      </c>
      <c r="GA60" s="97" t="str">
        <f t="shared" si="105"/>
        <v>A</v>
      </c>
      <c r="GB60" s="97" t="str">
        <f t="shared" si="105"/>
        <v>A</v>
      </c>
      <c r="GC60" s="97" t="str">
        <f t="shared" si="105"/>
        <v>A</v>
      </c>
      <c r="GD60" s="97" t="str">
        <f t="shared" si="105"/>
        <v>A</v>
      </c>
      <c r="GE60" s="97" t="str">
        <f t="shared" si="105"/>
        <v>B</v>
      </c>
      <c r="GF60" s="97" t="str">
        <f t="shared" si="105"/>
        <v>A</v>
      </c>
      <c r="GG60" s="97" t="str">
        <f t="shared" si="105"/>
        <v>A</v>
      </c>
      <c r="GH60" s="97" t="str">
        <f t="shared" si="105"/>
        <v>B</v>
      </c>
      <c r="GI60" s="97" t="str">
        <f t="shared" si="105"/>
        <v>A</v>
      </c>
      <c r="GJ60" s="97" t="str">
        <f t="shared" si="105"/>
        <v>A</v>
      </c>
      <c r="GK60" s="97" t="str">
        <f t="shared" si="105"/>
        <v>A</v>
      </c>
      <c r="GL60" s="97" t="str">
        <f t="shared" si="105"/>
        <v>B</v>
      </c>
      <c r="GM60" s="97" t="str">
        <f t="shared" si="105"/>
        <v>A</v>
      </c>
      <c r="GN60" s="97" t="str">
        <f t="shared" si="105"/>
        <v>A</v>
      </c>
      <c r="GO60" s="97" t="str">
        <f t="shared" si="105"/>
        <v>A</v>
      </c>
      <c r="GP60" s="97" t="str">
        <f t="shared" si="105"/>
        <v>B</v>
      </c>
      <c r="GQ60" s="97" t="str">
        <f t="shared" si="105"/>
        <v>A</v>
      </c>
      <c r="GR60" s="97" t="str">
        <f t="shared" si="105"/>
        <v>B</v>
      </c>
      <c r="GS60" s="97" t="str">
        <f t="shared" si="105"/>
        <v>B</v>
      </c>
      <c r="GT60" s="97" t="str">
        <f t="shared" si="105"/>
        <v>B</v>
      </c>
      <c r="GU60" s="97" t="str">
        <f t="shared" si="105"/>
        <v>A</v>
      </c>
      <c r="GV60" s="97" t="str">
        <f t="shared" si="105"/>
        <v>A</v>
      </c>
      <c r="GW60" s="97" t="str">
        <f t="shared" si="105"/>
        <v>A</v>
      </c>
      <c r="GX60" s="97" t="str">
        <f t="shared" si="105"/>
        <v>A</v>
      </c>
      <c r="GY60" s="98"/>
      <c r="GZ60" s="97">
        <f t="shared" si="3"/>
        <v>48</v>
      </c>
      <c r="HA60" s="97">
        <f t="shared" si="4"/>
        <v>52</v>
      </c>
      <c r="HB60" s="90">
        <f t="shared" si="5"/>
        <v>100</v>
      </c>
      <c r="HC60" s="99"/>
      <c r="HD60" s="97">
        <f t="shared" si="6"/>
        <v>4</v>
      </c>
      <c r="HE60" s="97">
        <f t="shared" si="7"/>
        <v>5</v>
      </c>
      <c r="HF60" s="90">
        <f t="shared" si="8"/>
        <v>9</v>
      </c>
      <c r="HG60" s="99"/>
      <c r="HH60" s="97">
        <f t="shared" si="9"/>
        <v>5</v>
      </c>
      <c r="HI60" s="97">
        <f t="shared" si="10"/>
        <v>8</v>
      </c>
      <c r="HJ60" s="90">
        <f t="shared" si="11"/>
        <v>13</v>
      </c>
      <c r="HK60" s="99"/>
      <c r="HL60" s="97">
        <f t="shared" si="12"/>
        <v>5</v>
      </c>
      <c r="HM60" s="97">
        <f t="shared" si="13"/>
        <v>6</v>
      </c>
      <c r="HN60" s="90">
        <f t="shared" si="14"/>
        <v>11</v>
      </c>
      <c r="HO60" s="99"/>
      <c r="HP60" s="97">
        <f t="shared" si="15"/>
        <v>6</v>
      </c>
      <c r="HQ60" s="97">
        <f t="shared" si="16"/>
        <v>6</v>
      </c>
      <c r="HR60" s="90">
        <f t="shared" si="17"/>
        <v>12</v>
      </c>
      <c r="HS60" s="99"/>
      <c r="HT60" s="97">
        <f t="shared" si="18"/>
        <v>4</v>
      </c>
      <c r="HU60" s="97">
        <f t="shared" si="19"/>
        <v>5</v>
      </c>
      <c r="HV60" s="90">
        <f t="shared" si="20"/>
        <v>9</v>
      </c>
      <c r="HW60" s="99"/>
      <c r="HX60" s="97">
        <f t="shared" si="21"/>
        <v>3</v>
      </c>
      <c r="HY60" s="97">
        <f t="shared" si="22"/>
        <v>6</v>
      </c>
      <c r="HZ60" s="90">
        <f t="shared" si="23"/>
        <v>9</v>
      </c>
      <c r="IA60" s="99"/>
      <c r="IB60" s="97">
        <f t="shared" si="24"/>
        <v>3</v>
      </c>
      <c r="IC60" s="97">
        <f t="shared" si="25"/>
        <v>4</v>
      </c>
      <c r="ID60" s="90">
        <f t="shared" si="26"/>
        <v>7</v>
      </c>
      <c r="IE60" s="99"/>
      <c r="IF60" s="97">
        <f t="shared" si="27"/>
        <v>5</v>
      </c>
      <c r="IG60" s="97">
        <f t="shared" si="28"/>
        <v>4</v>
      </c>
      <c r="IH60" s="90">
        <f t="shared" si="29"/>
        <v>9</v>
      </c>
      <c r="II60" s="99"/>
      <c r="IJ60" s="97">
        <f t="shared" si="30"/>
        <v>4</v>
      </c>
      <c r="IK60" s="97">
        <f t="shared" si="31"/>
        <v>3</v>
      </c>
      <c r="IL60" s="90">
        <f t="shared" si="32"/>
        <v>7</v>
      </c>
      <c r="IM60" s="99"/>
      <c r="IN60" s="97">
        <f t="shared" si="33"/>
        <v>3</v>
      </c>
      <c r="IO60" s="97">
        <f t="shared" si="34"/>
        <v>4</v>
      </c>
      <c r="IP60" s="90">
        <f t="shared" si="35"/>
        <v>7</v>
      </c>
      <c r="IQ60" s="99"/>
      <c r="IR60" s="99"/>
      <c r="IS60" s="100">
        <f t="shared" si="36"/>
        <v>9</v>
      </c>
      <c r="IT60" s="100">
        <f t="shared" si="37"/>
        <v>13</v>
      </c>
      <c r="IU60" s="100">
        <f t="shared" si="38"/>
        <v>11</v>
      </c>
      <c r="IV60" s="100">
        <f t="shared" si="39"/>
        <v>12</v>
      </c>
      <c r="IW60" s="100">
        <f t="shared" si="40"/>
        <v>9</v>
      </c>
      <c r="IX60" s="100">
        <f t="shared" si="41"/>
        <v>9</v>
      </c>
      <c r="IY60" s="100">
        <f t="shared" si="42"/>
        <v>7</v>
      </c>
      <c r="IZ60" s="100">
        <f t="shared" si="43"/>
        <v>9</v>
      </c>
      <c r="JA60" s="100">
        <f t="shared" si="44"/>
        <v>7</v>
      </c>
      <c r="JB60" s="101">
        <f t="shared" si="45"/>
        <v>7</v>
      </c>
      <c r="JC60" s="102">
        <f t="shared" si="46"/>
        <v>93</v>
      </c>
      <c r="JD60" s="67">
        <f t="shared" si="50"/>
        <v>0</v>
      </c>
      <c r="JE60" s="67">
        <f t="shared" si="47"/>
        <v>0</v>
      </c>
      <c r="JF60" s="67">
        <f t="shared" si="48"/>
        <v>0</v>
      </c>
    </row>
    <row r="61">
      <c r="A61" s="103">
        <f>IFERROR(__xludf.DUMMYFUNCTION("""COMPUTED_VALUE"""),45934.36992010417)</f>
        <v>45934.36992</v>
      </c>
      <c r="B61" s="95" t="str">
        <f>IFERROR(__xludf.DUMMYFUNCTION("""COMPUTED_VALUE"""),"Raihan Farzin ")</f>
        <v>Raihan Farzin </v>
      </c>
      <c r="C61" s="96" t="str">
        <f>IFERROR(__xludf.DUMMYFUNCTION("""COMPUTED_VALUE"""),"B250005")</f>
        <v>B250005</v>
      </c>
      <c r="D61" s="96" t="str">
        <f>IFERROR(__xludf.DUMMYFUNCTION("""COMPUTED_VALUE"""),"IL Putra")</f>
        <v>IL Putra</v>
      </c>
      <c r="E61" s="96" t="str">
        <f>IFERROR(__xludf.DUMMYFUNCTION("""COMPUTED_VALUE"""),"Ya")</f>
        <v>Ya</v>
      </c>
      <c r="F61" s="95" t="str">
        <f>IFERROR(__xludf.DUMMYFUNCTION("""COMPUTED_VALUE"""),"B Saya ingin melakukan apa saja sebaik mungkin.")</f>
        <v>B Saya ingin melakukan apa saja sebaik mungkin.</v>
      </c>
      <c r="G61" s="95" t="str">
        <f>IFERROR(__xludf.DUMMYFUNCTION("""COMPUTED_VALUE"""),"B Saya ingin menyelesaikan tugas yang segera dikumpulkan.")</f>
        <v>B Saya ingin menyelesaikan tugas yang segera dikumpulkan.</v>
      </c>
      <c r="H61" s="95" t="str">
        <f>IFERROR(__xludf.DUMMYFUNCTION("""COMPUTED_VALUE"""),"A Saya ingin berbuat sesuai kata hati saya.")</f>
        <v>A Saya ingin berbuat sesuai kata hati saya.</v>
      </c>
      <c r="I61" s="95" t="str">
        <f>IFERROR(__xludf.DUMMYFUNCTION("""COMPUTED_VALUE"""),"B Saya ingin bisa melakukan dengan baik meskipun tugas yang sulit.")</f>
        <v>B Saya ingin bisa melakukan dengan baik meskipun tugas yang sulit.</v>
      </c>
      <c r="J61" s="95" t="str">
        <f>IFERROR(__xludf.DUMMYFUNCTION("""COMPUTED_VALUE"""),"A Saya suka membantu teman-teman saya apabila mereka mengalami kesulitan.")</f>
        <v>A Saya suka membantu teman-teman saya apabila mereka mengalami kesulitan.</v>
      </c>
      <c r="K61" s="95" t="str">
        <f>IFERROR(__xludf.DUMMYFUNCTION("""COMPUTED_VALUE"""),"A Saya ingin menjadi pemimpin dalam suatu kelompok.")</f>
        <v>A Saya ingin menjadi pemimpin dalam suatu kelompok.</v>
      </c>
      <c r="L61" s="95" t="str">
        <f>IFERROR(__xludf.DUMMYFUNCTION("""COMPUTED_VALUE"""),"A Saya ingin menjadi pemimpin dalam suatu kelompok")</f>
        <v>A Saya ingin menjadi pemimpin dalam suatu kelompok</v>
      </c>
      <c r="M61" s="95" t="str">
        <f>IFERROR(__xludf.DUMMYFUNCTION("""COMPUTED_VALUE"""),"B Saya ingin mengerjakan segala tugas lebih baik daripada orang lain.")</f>
        <v>B Saya ingin mengerjakan segala tugas lebih baik daripada orang lain.</v>
      </c>
      <c r="N61" s="95" t="str">
        <f>IFERROR(__xludf.DUMMYFUNCTION("""COMPUTED_VALUE"""),"B Saya suka memecahkan persoalan yang sukar bagi orang lain.")</f>
        <v>B Saya suka memecahkan persoalan yang sukar bagi orang lain.</v>
      </c>
      <c r="O61" s="95" t="str">
        <f>IFERROR(__xludf.DUMMYFUNCTION("""COMPUTED_VALUE"""),"B Saya suka melakukan tugas sebaik mungkin.")</f>
        <v>B Saya suka melakukan tugas sebaik mungkin.</v>
      </c>
      <c r="P61" s="95" t="str">
        <f>IFERROR(__xludf.DUMMYFUNCTION("""COMPUTED_VALUE"""),"B Saya ingin setiap belajar itu teratur dan direncanakan.")</f>
        <v>B Saya ingin setiap belajar itu teratur dan direncanakan.</v>
      </c>
      <c r="Q61" s="95" t="str">
        <f>IFERROR(__xludf.DUMMYFUNCTION("""COMPUTED_VALUE"""),"B Saya merencanakan keperluan yang dibutuhkan sebelum bepergian.")</f>
        <v>B Saya merencanakan keperluan yang dibutuhkan sebelum bepergian.</v>
      </c>
      <c r="R61" s="95" t="str">
        <f>IFERROR(__xludf.DUMMYFUNCTION("""COMPUTED_VALUE"""),"B Saya suka barang-barang saya tersusun rapi dan teratur.")</f>
        <v>B Saya suka barang-barang saya tersusun rapi dan teratur.</v>
      </c>
      <c r="S61" s="95" t="str">
        <f>IFERROR(__xludf.DUMMYFUNCTION("""COMPUTED_VALUE"""),"B Saya suka membuat perencanaan sebelum memulai tugas yang sulit.")</f>
        <v>B Saya suka membuat perencanaan sebelum memulai tugas yang sulit.</v>
      </c>
      <c r="T61" s="95" t="str">
        <f>IFERROR(__xludf.DUMMYFUNCTION("""COMPUTED_VALUE"""),"A Saya ingin menjadi salah seorang pemimpin dalam kelompok yang saya kenal.")</f>
        <v>A Saya ingin menjadi salah seorang pemimpin dalam kelompok yang saya kenal.</v>
      </c>
      <c r="U61" s="95" t="str">
        <f>IFERROR(__xludf.DUMMYFUNCTION("""COMPUTED_VALUE"""),"A Saya suka memberikan bantuan kepada teman-teman saya.")</f>
        <v>A Saya suka memberikan bantuan kepada teman-teman saya.</v>
      </c>
      <c r="V61" s="95" t="str">
        <f>IFERROR(__xludf.DUMMYFUNCTION("""COMPUTED_VALUE"""),"A Saya suka belajar sampai malam untuk menyelesaikan suatu tugas.")</f>
        <v>A Saya suka belajar sampai malam untuk menyelesaikan suatu tugas.</v>
      </c>
      <c r="W61" s="95" t="str">
        <f>IFERROR(__xludf.DUMMYFUNCTION("""COMPUTED_VALUE"""),"B Saya ingin kegiatan itu teratur dan direncanakan.")</f>
        <v>B Saya ingin kegiatan itu teratur dan direncanakan.</v>
      </c>
      <c r="X61" s="95" t="str">
        <f>IFERROR(__xludf.DUMMYFUNCTION("""COMPUTED_VALUE"""),"A Saya suka merencanakan dan mengatur setiap apa yang harus saya lakukan.")</f>
        <v>A Saya suka merencanakan dan mengatur setiap apa yang harus saya lakukan.</v>
      </c>
      <c r="Y61" s="95" t="str">
        <f>IFERROR(__xludf.DUMMYFUNCTION("""COMPUTED_VALUE"""),"A Saya suka menyelesaikan tugas-tugas yang membutuhkan ketrampilan dan usaha.")</f>
        <v>A Saya suka menyelesaikan tugas-tugas yang membutuhkan ketrampilan dan usaha.</v>
      </c>
      <c r="Z61" s="95" t="str">
        <f>IFERROR(__xludf.DUMMYFUNCTION("""COMPUTED_VALUE"""),"A Saya ingin berhasil dengan belajar yang saya lakukan.")</f>
        <v>A Saya ingin berhasil dengan belajar yang saya lakukan.</v>
      </c>
      <c r="AA61" s="95" t="str">
        <f>IFERROR(__xludf.DUMMYFUNCTION("""COMPUTED_VALUE"""),"B Saya tidak suka pada orang yang berbuat seenaknya sendiri.")</f>
        <v>B Saya tidak suka pada orang yang berbuat seenaknya sendiri.</v>
      </c>
      <c r="AB61" s="95" t="str">
        <f>IFERROR(__xludf.DUMMYFUNCTION("""COMPUTED_VALUE"""),"B Saya ingin menyelesaikan pekerjaan satu persatu sebelum memulai yang lain.")</f>
        <v>B Saya ingin menyelesaikan pekerjaan satu persatu sebelum memulai yang lain.</v>
      </c>
      <c r="AC61" s="95" t="str">
        <f>IFERROR(__xludf.DUMMYFUNCTION("""COMPUTED_VALUE"""),"A Saya suka menyelesaikan setiap tugas meskipun membutuhkan waktu lama.")</f>
        <v>A Saya suka menyelesaikan setiap tugas meskipun membutuhkan waktu lama.</v>
      </c>
      <c r="AD61" s="95" t="str">
        <f>IFERROR(__xludf.DUMMYFUNCTION("""COMPUTED_VALUE"""),"A Saya suka bermurah hati terhadap teman-teman saya.")</f>
        <v>A Saya suka bermurah hati terhadap teman-teman saya.</v>
      </c>
      <c r="AE61" s="95" t="str">
        <f>IFERROR(__xludf.DUMMYFUNCTION("""COMPUTED_VALUE"""),"A Saya ingin dianggap sebagai pemimpin oleh teman di kelompok.")</f>
        <v>A Saya ingin dianggap sebagai pemimpin oleh teman di kelompok.</v>
      </c>
      <c r="AF61" s="95" t="str">
        <f>IFERROR(__xludf.DUMMYFUNCTION("""COMPUTED_VALUE"""),"A Saya ingin agar teman-teman mengerti bila saya mengalami kesukaran.")</f>
        <v>A Saya ingin agar teman-teman mengerti bila saya mengalami kesukaran.</v>
      </c>
      <c r="AG61" s="95" t="str">
        <f>IFERROR(__xludf.DUMMYFUNCTION("""COMPUTED_VALUE"""),"B Saya ingin berhasil dengan tugas yang saya lakukan.")</f>
        <v>B Saya ingin berhasil dengan tugas yang saya lakukan.</v>
      </c>
      <c r="AH61" s="95" t="str">
        <f>IFERROR(__xludf.DUMMYFUNCTION("""COMPUTED_VALUE"""),"B Saya ingin merasa bebas untuk melakukan apa yang saya kehendaki.")</f>
        <v>B Saya ingin merasa bebas untuk melakukan apa yang saya kehendaki.</v>
      </c>
      <c r="AI61" s="95" t="str">
        <f>IFERROR(__xludf.DUMMYFUNCTION("""COMPUTED_VALUE"""),"B Saya suka melakukan kegiatan sesuai kondisi yang saya inginkan.")</f>
        <v>B Saya suka melakukan kegiatan sesuai kondisi yang saya inginkan.</v>
      </c>
      <c r="AJ61" s="95" t="str">
        <f>IFERROR(__xludf.DUMMYFUNCTION("""COMPUTED_VALUE"""),"B Saya suka bertahan menghadapi satu masalah meskipun belum tentu berhasil.")</f>
        <v>B Saya suka bertahan menghadapi satu masalah meskipun belum tentu berhasil.</v>
      </c>
      <c r="AK61" s="95" t="str">
        <f>IFERROR(__xludf.DUMMYFUNCTION("""COMPUTED_VALUE"""),"B Bila saya harus melakukan suatu tugas, saya ingin mengerjakan sampai selesai.")</f>
        <v>B Bila saya harus melakukan suatu tugas, saya ingin mengerjakan sampai selesai.</v>
      </c>
      <c r="AL61" s="95" t="str">
        <f>IFERROR(__xludf.DUMMYFUNCTION("""COMPUTED_VALUE"""),"B Saya ingin menghindarkan gangguan bila saya sedang belajar.")</f>
        <v>B Saya ingin menghindarkan gangguan bila saya sedang belajar.</v>
      </c>
      <c r="AM61" s="95" t="str">
        <f>IFERROR(__xludf.DUMMYFUNCTION("""COMPUTED_VALUE"""),"B Saya suka belajar sampai malam untuk menyelesaikan suatu tugas.")</f>
        <v>B Saya suka belajar sampai malam untuk menyelesaikan suatu tugas.</v>
      </c>
      <c r="AN61" s="95" t="str">
        <f>IFERROR(__xludf.DUMMYFUNCTION("""COMPUTED_VALUE"""),"A Saya tidak suka pada orang yang semena-mena.")</f>
        <v>A Saya tidak suka pada orang yang semena-mena.</v>
      </c>
      <c r="AO61" s="95" t="str">
        <f>IFERROR(__xludf.DUMMYFUNCTION("""COMPUTED_VALUE"""),"A Saya suka berlaku sangat ramah terhadap teman-teman saya.")</f>
        <v>A Saya suka berlaku sangat ramah terhadap teman-teman saya.</v>
      </c>
      <c r="AP61" s="95" t="str">
        <f>IFERROR(__xludf.DUMMYFUNCTION("""COMPUTED_VALUE"""),"A Saya ingin mengerjakannya tugas sampai selesai.")</f>
        <v>A Saya ingin mengerjakannya tugas sampai selesai.</v>
      </c>
      <c r="AQ61" s="95" t="str">
        <f>IFERROR(__xludf.DUMMYFUNCTION("""COMPUTED_VALUE"""),"B Bila saya harus melakukan suatu tugas, saya ingin mengerjakan sampai selesai.")</f>
        <v>B Bila saya harus melakukan suatu tugas, saya ingin mengerjakan sampai selesai.</v>
      </c>
      <c r="AR61" s="95" t="str">
        <f>IFERROR(__xludf.DUMMYFUNCTION("""COMPUTED_VALUE"""),"B Saya suka belajar keras pada tiap pelajaran yang saya hadapi.")</f>
        <v>B Saya suka belajar keras pada tiap pelajaran yang saya hadapi.</v>
      </c>
      <c r="AS61" s="95" t="str">
        <f>IFERROR(__xludf.DUMMYFUNCTION("""COMPUTED_VALUE"""),"B Saya suka belajar sampai malam untuk menyelesaikan suatu tugas.")</f>
        <v>B Saya suka belajar sampai malam untuk menyelesaikan suatu tugas.</v>
      </c>
      <c r="AT61" s="95" t="str">
        <f>IFERROR(__xludf.DUMMYFUNCTION("""COMPUTED_VALUE"""),"B Saya suka membantu orang lain yang menurut saya perlu dikasihani.")</f>
        <v>B Saya suka membantu orang lain yang menurut saya perlu dikasihani.</v>
      </c>
      <c r="AU61" s="95" t="str">
        <f>IFERROR(__xludf.DUMMYFUNCTION("""COMPUTED_VALUE"""),"B Saya suka bermurah hati terhadap teman-teman saya.")</f>
        <v>B Saya suka bermurah hati terhadap teman-teman saya.</v>
      </c>
      <c r="AV61" s="95" t="str">
        <f>IFERROR(__xludf.DUMMYFUNCTION("""COMPUTED_VALUE"""),"B Saya suka menolong teman-teman saya.")</f>
        <v>B Saya suka menolong teman-teman saya.</v>
      </c>
      <c r="AW61" s="95" t="str">
        <f>IFERROR(__xludf.DUMMYFUNCTION("""COMPUTED_VALUE"""),"B Saya ingin teman-teman saya percaya bahwa saya bisa menolong mereka.")</f>
        <v>B Saya ingin teman-teman saya percaya bahwa saya bisa menolong mereka.</v>
      </c>
      <c r="AX61" s="95" t="str">
        <f>IFERROR(__xludf.DUMMYFUNCTION("""COMPUTED_VALUE"""),"B Saya suka memaafkan teman-teman saya yang menyakiti hati saya.")</f>
        <v>B Saya suka memaafkan teman-teman saya yang menyakiti hati saya.</v>
      </c>
      <c r="AY61" s="95" t="str">
        <f>IFERROR(__xludf.DUMMYFUNCTION("""COMPUTED_VALUE"""),"A Saya rasanya ingin marah saat tidak sesuai dengan hati.")</f>
        <v>A Saya rasanya ingin marah saat tidak sesuai dengan hati.</v>
      </c>
      <c r="AZ61" s="95" t="str">
        <f>IFERROR(__xludf.DUMMYFUNCTION("""COMPUTED_VALUE"""),"A Saya ingin agar teman-teman saya bersimpati dan menghibur saya bila saya sedih.")</f>
        <v>A Saya ingin agar teman-teman saya bersimpati dan menghibur saya bila saya sedih.</v>
      </c>
      <c r="BA61" s="95" t="str">
        <f>IFERROR(__xludf.DUMMYFUNCTION("""COMPUTED_VALUE"""),"B Saya suka memperlakukan orang lain dengan baik dan ramah.")</f>
        <v>B Saya suka memperlakukan orang lain dengan baik dan ramah.</v>
      </c>
      <c r="BB61" s="95" t="str">
        <f>IFERROR(__xludf.DUMMYFUNCTION("""COMPUTED_VALUE"""),"A Saya berkeinginan untuk bersama orang yang menarik bagi saya.")</f>
        <v>A Saya berkeinginan untuk bersama orang yang menarik bagi saya.</v>
      </c>
      <c r="BC61" s="95" t="str">
        <f>IFERROR(__xludf.DUMMYFUNCTION("""COMPUTED_VALUE"""),"B Saya suka membantu orang lain yang menurut saya perlu dikasihani.")</f>
        <v>B Saya suka membantu orang lain yang menurut saya perlu dikasihani.</v>
      </c>
      <c r="BD61" s="95" t="str">
        <f>IFERROR(__xludf.DUMMYFUNCTION("""COMPUTED_VALUE"""),"B Saya suka bersikukuh dengan pendirian saya.")</f>
        <v>B Saya suka bersikukuh dengan pendirian saya.</v>
      </c>
      <c r="BE61" s="95" t="str">
        <f>IFERROR(__xludf.DUMMYFUNCTION("""COMPUTED_VALUE"""),"B Saya ingin orang lain melakukan apa yang saya kehendaki.")</f>
        <v>B Saya ingin orang lain melakukan apa yang saya kehendaki.</v>
      </c>
      <c r="BF61" s="95" t="str">
        <f>IFERROR(__xludf.DUMMYFUNCTION("""COMPUTED_VALUE"""),"B Bila saya dalam kelompok, saya ingin menentukan apa yang akan kita lakukan.")</f>
        <v>B Bila saya dalam kelompok, saya ingin menentukan apa yang akan kita lakukan.</v>
      </c>
      <c r="BG61" s="95" t="str">
        <f>IFERROR(__xludf.DUMMYFUNCTION("""COMPUTED_VALUE"""),"B Saya suka mengarahkan kepada orang lain apa yang harus dilakukan.")</f>
        <v>B Saya suka mengarahkan kepada orang lain apa yang harus dilakukan.</v>
      </c>
      <c r="BH61" s="95" t="str">
        <f>IFERROR(__xludf.DUMMYFUNCTION("""COMPUTED_VALUE"""),"A Saya suka menghindar dari situasi yang tidak saya harapkan.")</f>
        <v>A Saya suka menghindar dari situasi yang tidak saya harapkan.</v>
      </c>
      <c r="BI61" s="95" t="str">
        <f>IFERROR(__xludf.DUMMYFUNCTION("""COMPUTED_VALUE"""),"A Saya suka bermurah hati terhadap teman-teman saya.")</f>
        <v>A Saya suka bermurah hati terhadap teman-teman saya.</v>
      </c>
      <c r="BJ61" s="95" t="str">
        <f>IFERROR(__xludf.DUMMYFUNCTION("""COMPUTED_VALUE"""),"A Saya ingin mengerjakan tugas sampai selesai.")</f>
        <v>A Saya ingin mengerjakan tugas sampai selesai.</v>
      </c>
      <c r="BK61" s="95" t="str">
        <f>IFERROR(__xludf.DUMMYFUNCTION("""COMPUTED_VALUE"""),"A Saya ingin menyelesaikan pekerjaan satu persatu sebelum memulai yang lain.")</f>
        <v>A Saya ingin menyelesaikan pekerjaan satu persatu sebelum memulai yang lain.</v>
      </c>
      <c r="BL61" s="95" t="str">
        <f>IFERROR(__xludf.DUMMYFUNCTION("""COMPUTED_VALUE"""),"A Saya suka belajar saya teratur dan ada waktu-waktu tertentu untuk belajar.")</f>
        <v>A Saya suka belajar saya teratur dan ada waktu-waktu tertentu untuk belajar.</v>
      </c>
      <c r="BM61" s="95" t="str">
        <f>IFERROR(__xludf.DUMMYFUNCTION("""COMPUTED_VALUE"""),"A Saya suka melakukan pekerjaan sebaik mungkin.")</f>
        <v>A Saya suka melakukan pekerjaan sebaik mungkin.</v>
      </c>
      <c r="BN61" s="95" t="str">
        <f>IFERROR(__xludf.DUMMYFUNCTION("""COMPUTED_VALUE"""),"B Saya ingin teman-teman memberi dorongan bila saya menghadapi kegagalan.")</f>
        <v>B Saya ingin teman-teman memberi dorongan bila saya menghadapi kegagalan.</v>
      </c>
      <c r="BO61" s="95" t="str">
        <f>IFERROR(__xludf.DUMMYFUNCTION("""COMPUTED_VALUE"""),"B Saya ingin diperlakukan dengan baik oleh teman-teman saya.")</f>
        <v>B Saya ingin diperlakukan dengan baik oleh teman-teman saya.</v>
      </c>
      <c r="BP61" s="95" t="str">
        <f>IFERROR(__xludf.DUMMYFUNCTION("""COMPUTED_VALUE"""),"A Saya ingin menyelesaikan sesuatu yang sangat penting artinya.")</f>
        <v>A Saya ingin menyelesaikan sesuatu yang sangat penting artinya.</v>
      </c>
      <c r="BQ61" s="95" t="str">
        <f>IFERROR(__xludf.DUMMYFUNCTION("""COMPUTED_VALUE"""),"A Saya ingin mengerjakannya tugas sampai selesai.")</f>
        <v>A Saya ingin mengerjakannya tugas sampai selesai.</v>
      </c>
      <c r="BR61" s="95" t="str">
        <f>IFERROR(__xludf.DUMMYFUNCTION("""COMPUTED_VALUE"""),"A Saya suka memaafkan teman-teman saya yang menyakiti hati saya.")</f>
        <v>A Saya suka memaafkan teman-teman saya yang menyakiti hati saya.</v>
      </c>
      <c r="BS61" s="95" t="str">
        <f>IFERROR(__xludf.DUMMYFUNCTION("""COMPUTED_VALUE"""),"B Saya ingin teman-teman saya membantu saya bila saya mengalami kesulitan")</f>
        <v>B Saya ingin teman-teman saya membantu saya bila saya mengalami kesulitan</v>
      </c>
      <c r="BT61" s="95" t="str">
        <f>IFERROR(__xludf.DUMMYFUNCTION("""COMPUTED_VALUE"""),"B Saya ingin teman-teman banyak menunjukkan rasa sayang mereka terhadap saya.")</f>
        <v>B Saya ingin teman-teman banyak menunjukkan rasa sayang mereka terhadap saya.</v>
      </c>
      <c r="BU61" s="95" t="str">
        <f>IFERROR(__xludf.DUMMYFUNCTION("""COMPUTED_VALUE"""),"A Saya kadang-kadang suka melakukan hal-hal yang dapat dipuji oleh orang lain.")</f>
        <v>A Saya kadang-kadang suka melakukan hal-hal yang dapat dipuji oleh orang lain.</v>
      </c>
      <c r="BV61" s="95" t="str">
        <f>IFERROR(__xludf.DUMMYFUNCTION("""COMPUTED_VALUE"""),"B Saya ingin teman-teman dengan gembira memberikan pertolongan kepada saya.")</f>
        <v>B Saya ingin teman-teman dengan gembira memberikan pertolongan kepada saya.</v>
      </c>
      <c r="BW61" s="95" t="str">
        <f>IFERROR(__xludf.DUMMYFUNCTION("""COMPUTED_VALUE"""),"B Saya ingin diperlakukan dengan baik oleh teman-teman saya.")</f>
        <v>B Saya ingin diperlakukan dengan baik oleh teman-teman saya.</v>
      </c>
      <c r="BX61" s="95" t="str">
        <f>IFERROR(__xludf.DUMMYFUNCTION("""COMPUTED_VALUE"""),"B Saya kadang-kadang suka melakukan hal-hal yang dapat dipuji oleh orang lain.")</f>
        <v>B Saya kadang-kadang suka melakukan hal-hal yang dapat dipuji oleh orang lain.</v>
      </c>
      <c r="BY61" s="95" t="str">
        <f>IFERROR(__xludf.DUMMYFUNCTION("""COMPUTED_VALUE"""),"A Saya suka melamun atau membayangkan hal-hal yang tidak jelas.")</f>
        <v>A Saya suka melamun atau membayangkan hal-hal yang tidak jelas.</v>
      </c>
      <c r="BZ61" s="95" t="str">
        <f>IFERROR(__xludf.DUMMYFUNCTION("""COMPUTED_VALUE"""),"B Saya suka diperhatikan, apabila saya ada di dalam suatu kelompok.")</f>
        <v>B Saya suka diperhatikan, apabila saya ada di dalam suatu kelompok.</v>
      </c>
      <c r="CA61" s="95" t="str">
        <f>IFERROR(__xludf.DUMMYFUNCTION("""COMPUTED_VALUE"""),"A Saya ingin teman-teman dengan gembira memberikan pertolongan kepada saya.")</f>
        <v>A Saya ingin teman-teman dengan gembira memberikan pertolongan kepada saya.</v>
      </c>
      <c r="CB61" s="95" t="str">
        <f>IFERROR(__xludf.DUMMYFUNCTION("""COMPUTED_VALUE"""),"A Saya suka menghindar dari tanggung jawab yang tidak saya inginkan.")</f>
        <v>A Saya suka menghindar dari tanggung jawab yang tidak saya inginkan.</v>
      </c>
      <c r="CC61" s="95" t="str">
        <f>IFERROR(__xludf.DUMMYFUNCTION("""COMPUTED_VALUE"""),"A Apabila saya berkumpul dalam kelompok, saya ingin dihargai teman-teman.")</f>
        <v>A Apabila saya berkumpul dalam kelompok, saya ingin dihargai teman-teman.</v>
      </c>
      <c r="CD61" s="95" t="str">
        <f>IFERROR(__xludf.DUMMYFUNCTION("""COMPUTED_VALUE"""),"A Saya suka menyelesaikan setiap tugas meskipun membutuhkan waktu lama.")</f>
        <v>A Saya suka menyelesaikan setiap tugas meskipun membutuhkan waktu lama.</v>
      </c>
      <c r="CE61" s="95" t="str">
        <f>IFERROR(__xludf.DUMMYFUNCTION("""COMPUTED_VALUE"""),"A Saya suka menyelesaikan setiap tugas belajar yang telah saya mulai.")</f>
        <v>A Saya suka menyelesaikan setiap tugas belajar yang telah saya mulai.</v>
      </c>
      <c r="CF61" s="95" t="str">
        <f>IFERROR(__xludf.DUMMYFUNCTION("""COMPUTED_VALUE"""),"A Saya ingin agar hidup saya teratur sesuai cita-cita saya.")</f>
        <v>A Saya ingin agar hidup saya teratur sesuai cita-cita saya.</v>
      </c>
      <c r="CG61" s="95" t="str">
        <f>IFERROR(__xludf.DUMMYFUNCTION("""COMPUTED_VALUE"""),"A Saya ingin berhasil dalam apa yang saya lakukan.")</f>
        <v>A Saya ingin berhasil dalam apa yang saya lakukan.</v>
      </c>
      <c r="CH61" s="95" t="str">
        <f>IFERROR(__xludf.DUMMYFUNCTION("""COMPUTED_VALUE"""),"A Saya ingin bisa melakukan dengan baik sesuatu pekerjaan sulit.")</f>
        <v>A Saya ingin bisa melakukan dengan baik sesuatu pekerjaan sulit.</v>
      </c>
      <c r="CI61" s="95" t="str">
        <f>IFERROR(__xludf.DUMMYFUNCTION("""COMPUTED_VALUE"""),"A Saya suka belajar saya teratur dan ada waktu-waktu tertentu untuk belajar.")</f>
        <v>A Saya suka belajar saya teratur dan ada waktu-waktu tertentu untuk belajar.</v>
      </c>
      <c r="CJ61" s="95" t="str">
        <f>IFERROR(__xludf.DUMMYFUNCTION("""COMPUTED_VALUE"""),"A Saya ingin tidak tergantung dari orang lain terhadap apa yang akan saya lakukan.")</f>
        <v>A Saya ingin tidak tergantung dari orang lain terhadap apa yang akan saya lakukan.</v>
      </c>
      <c r="CK61" s="95" t="str">
        <f>IFERROR(__xludf.DUMMYFUNCTION("""COMPUTED_VALUE"""),"B Saya senang ikut beraktivitas bersama teman sebaya saya.")</f>
        <v>B Saya senang ikut beraktivitas bersama teman sebaya saya.</v>
      </c>
      <c r="CL61" s="95" t="str">
        <f>IFERROR(__xludf.DUMMYFUNCTION("""COMPUTED_VALUE"""),"A Saya suka menolong teman-teman saya, apabila mereka dalam kesulitan.")</f>
        <v>A Saya suka menolong teman-teman saya, apabila mereka dalam kesulitan.</v>
      </c>
      <c r="CM61" s="95" t="str">
        <f>IFERROR(__xludf.DUMMYFUNCTION("""COMPUTED_VALUE"""),"A Saya ingin ditunjuk atau dipilih sebagai ketua dalam suatu kelompok.")</f>
        <v>A Saya ingin ditunjuk atau dipilih sebagai ketua dalam suatu kelompok.</v>
      </c>
      <c r="CN61" s="95" t="str">
        <f>IFERROR(__xludf.DUMMYFUNCTION("""COMPUTED_VALUE"""),"A Saya ingin diperlakukan dengan baik oleh teman-teman saya.")</f>
        <v>A Saya ingin diperlakukan dengan baik oleh teman-teman saya.</v>
      </c>
      <c r="CO61" s="95" t="str">
        <f>IFERROR(__xludf.DUMMYFUNCTION("""COMPUTED_VALUE"""),"B Saya suka memuji orang yang saya kagumi.")</f>
        <v>B Saya suka memuji orang yang saya kagumi.</v>
      </c>
      <c r="CP61" s="95" t="str">
        <f>IFERROR(__xludf.DUMMYFUNCTION("""COMPUTED_VALUE"""),"A Saya suka melamun atau membayangkan sesuatu sendirian.")</f>
        <v>A Saya suka melamun atau membayangkan sesuatu sendirian.</v>
      </c>
      <c r="CQ61" s="95" t="str">
        <f>IFERROR(__xludf.DUMMYFUNCTION("""COMPUTED_VALUE"""),"B Saya merasa kagum pada seseorang.")</f>
        <v>B Saya merasa kagum pada seseorang.</v>
      </c>
      <c r="CR61" s="95" t="str">
        <f>IFERROR(__xludf.DUMMYFUNCTION("""COMPUTED_VALUE"""),"B Saya rasanya ingin mengecam seseorang bila orang itu menjengkelkan.")</f>
        <v>B Saya rasanya ingin mengecam seseorang bila orang itu menjengkelkan.</v>
      </c>
      <c r="CS61" s="95" t="str">
        <f>IFERROR(__xludf.DUMMYFUNCTION("""COMPUTED_VALUE"""),"B Saya rasanya ingin membalas dendam bila seseorang menghina saya.")</f>
        <v>B Saya rasanya ingin membalas dendam bila seseorang menghina saya.</v>
      </c>
      <c r="CT61" s="95" t="str">
        <f>IFERROR(__xludf.DUMMYFUNCTION("""COMPUTED_VALUE"""),"B Saya saat marah rasanya ingin melemparkan dan merusak barang-barang.")</f>
        <v>B Saya saat marah rasanya ingin melemparkan dan merusak barang-barang.</v>
      </c>
      <c r="CU61" s="95" t="str">
        <f>IFERROR(__xludf.DUMMYFUNCTION("""COMPUTED_VALUE"""),"A Saya ingin diperlakukan dengan ramah oleh teman-teman saya.")</f>
        <v>A Saya ingin diperlakukan dengan ramah oleh teman-teman saya.</v>
      </c>
      <c r="CV61" s="95" t="str">
        <f>IFERROR(__xludf.DUMMYFUNCTION("""COMPUTED_VALUE"""),"A Saya ingin ditunjuk atau dipilih sebagai ketua dalam suatu kelompok.")</f>
        <v>A Saya ingin ditunjuk atau dipilih sebagai ketua dalam suatu kelompok.</v>
      </c>
      <c r="CW61" s="95" t="str">
        <f>IFERROR(__xludf.DUMMYFUNCTION("""COMPUTED_VALUE"""),"A Saya suka menolong teman-teman saya, apabila mereka dalam kesulitan.")</f>
        <v>A Saya suka menolong teman-teman saya, apabila mereka dalam kesulitan.</v>
      </c>
      <c r="CX61" s="95" t="str">
        <f>IFERROR(__xludf.DUMMYFUNCTION("""COMPUTED_VALUE"""),"A Saya suka belajar sampai malam untuk menyelesaikan suatu tugas.")</f>
        <v>A Saya suka belajar sampai malam untuk menyelesaikan suatu tugas.</v>
      </c>
      <c r="CY61" s="95" t="str">
        <f>IFERROR(__xludf.DUMMYFUNCTION("""COMPUTED_VALUE"""),"A Saya ingin tidak tergantung dari orang lain terhadap apa yang akan saya lakukan.")</f>
        <v>A Saya ingin tidak tergantung dari orang lain terhadap apa yang akan saya lakukan.</v>
      </c>
      <c r="CZ61" s="95" t="str">
        <f>IFERROR(__xludf.DUMMYFUNCTION("""COMPUTED_VALUE"""),"A Saya suka merencanakan dan mengatur setiap pekerjaan yang harus saya lakukan.")</f>
        <v>A Saya suka merencanakan dan mengatur setiap pekerjaan yang harus saya lakukan.</v>
      </c>
      <c r="DA61" s="95" t="str">
        <f>IFERROR(__xludf.DUMMYFUNCTION("""COMPUTED_VALUE"""),"A Saya ingin melakukan apa saja sebaik mungkin.")</f>
        <v>A Saya ingin melakukan apa saja sebaik mungkin.</v>
      </c>
      <c r="DB61" s="89" t="s">
        <v>23</v>
      </c>
      <c r="DC61" s="97" t="str">
        <f t="shared" ref="DC61:GX61" si="106">LEFT(F61,1)</f>
        <v>B</v>
      </c>
      <c r="DD61" s="97" t="str">
        <f t="shared" si="106"/>
        <v>B</v>
      </c>
      <c r="DE61" s="97" t="str">
        <f t="shared" si="106"/>
        <v>A</v>
      </c>
      <c r="DF61" s="97" t="str">
        <f t="shared" si="106"/>
        <v>B</v>
      </c>
      <c r="DG61" s="97" t="str">
        <f t="shared" si="106"/>
        <v>A</v>
      </c>
      <c r="DH61" s="97" t="str">
        <f t="shared" si="106"/>
        <v>A</v>
      </c>
      <c r="DI61" s="97" t="str">
        <f t="shared" si="106"/>
        <v>A</v>
      </c>
      <c r="DJ61" s="97" t="str">
        <f t="shared" si="106"/>
        <v>B</v>
      </c>
      <c r="DK61" s="97" t="str">
        <f t="shared" si="106"/>
        <v>B</v>
      </c>
      <c r="DL61" s="97" t="str">
        <f t="shared" si="106"/>
        <v>B</v>
      </c>
      <c r="DM61" s="97" t="str">
        <f t="shared" si="106"/>
        <v>B</v>
      </c>
      <c r="DN61" s="97" t="str">
        <f t="shared" si="106"/>
        <v>B</v>
      </c>
      <c r="DO61" s="97" t="str">
        <f t="shared" si="106"/>
        <v>B</v>
      </c>
      <c r="DP61" s="97" t="str">
        <f t="shared" si="106"/>
        <v>B</v>
      </c>
      <c r="DQ61" s="97" t="str">
        <f t="shared" si="106"/>
        <v>A</v>
      </c>
      <c r="DR61" s="97" t="str">
        <f t="shared" si="106"/>
        <v>A</v>
      </c>
      <c r="DS61" s="97" t="str">
        <f t="shared" si="106"/>
        <v>A</v>
      </c>
      <c r="DT61" s="97" t="str">
        <f t="shared" si="106"/>
        <v>B</v>
      </c>
      <c r="DU61" s="97" t="str">
        <f t="shared" si="106"/>
        <v>A</v>
      </c>
      <c r="DV61" s="97" t="str">
        <f t="shared" si="106"/>
        <v>A</v>
      </c>
      <c r="DW61" s="97" t="str">
        <f t="shared" si="106"/>
        <v>A</v>
      </c>
      <c r="DX61" s="97" t="str">
        <f t="shared" si="106"/>
        <v>B</v>
      </c>
      <c r="DY61" s="97" t="str">
        <f t="shared" si="106"/>
        <v>B</v>
      </c>
      <c r="DZ61" s="97" t="str">
        <f t="shared" si="106"/>
        <v>A</v>
      </c>
      <c r="EA61" s="97" t="str">
        <f t="shared" si="106"/>
        <v>A</v>
      </c>
      <c r="EB61" s="97" t="str">
        <f t="shared" si="106"/>
        <v>A</v>
      </c>
      <c r="EC61" s="97" t="str">
        <f t="shared" si="106"/>
        <v>A</v>
      </c>
      <c r="ED61" s="97" t="str">
        <f t="shared" si="106"/>
        <v>B</v>
      </c>
      <c r="EE61" s="97" t="str">
        <f t="shared" si="106"/>
        <v>B</v>
      </c>
      <c r="EF61" s="97" t="str">
        <f t="shared" si="106"/>
        <v>B</v>
      </c>
      <c r="EG61" s="97" t="str">
        <f t="shared" si="106"/>
        <v>B</v>
      </c>
      <c r="EH61" s="97" t="str">
        <f t="shared" si="106"/>
        <v>B</v>
      </c>
      <c r="EI61" s="97" t="str">
        <f t="shared" si="106"/>
        <v>B</v>
      </c>
      <c r="EJ61" s="97" t="str">
        <f t="shared" si="106"/>
        <v>B</v>
      </c>
      <c r="EK61" s="97" t="str">
        <f t="shared" si="106"/>
        <v>A</v>
      </c>
      <c r="EL61" s="97" t="str">
        <f t="shared" si="106"/>
        <v>A</v>
      </c>
      <c r="EM61" s="97" t="str">
        <f t="shared" si="106"/>
        <v>A</v>
      </c>
      <c r="EN61" s="97" t="str">
        <f t="shared" si="106"/>
        <v>B</v>
      </c>
      <c r="EO61" s="97" t="str">
        <f t="shared" si="106"/>
        <v>B</v>
      </c>
      <c r="EP61" s="97" t="str">
        <f t="shared" si="106"/>
        <v>B</v>
      </c>
      <c r="EQ61" s="97" t="str">
        <f t="shared" si="106"/>
        <v>B</v>
      </c>
      <c r="ER61" s="97" t="str">
        <f t="shared" si="106"/>
        <v>B</v>
      </c>
      <c r="ES61" s="97" t="str">
        <f t="shared" si="106"/>
        <v>B</v>
      </c>
      <c r="ET61" s="97" t="str">
        <f t="shared" si="106"/>
        <v>B</v>
      </c>
      <c r="EU61" s="97" t="str">
        <f t="shared" si="106"/>
        <v>B</v>
      </c>
      <c r="EV61" s="97" t="str">
        <f t="shared" si="106"/>
        <v>A</v>
      </c>
      <c r="EW61" s="97" t="str">
        <f t="shared" si="106"/>
        <v>A</v>
      </c>
      <c r="EX61" s="97" t="str">
        <f t="shared" si="106"/>
        <v>B</v>
      </c>
      <c r="EY61" s="97" t="str">
        <f t="shared" si="106"/>
        <v>A</v>
      </c>
      <c r="EZ61" s="97" t="str">
        <f t="shared" si="106"/>
        <v>B</v>
      </c>
      <c r="FA61" s="97" t="str">
        <f t="shared" si="106"/>
        <v>B</v>
      </c>
      <c r="FB61" s="97" t="str">
        <f t="shared" si="106"/>
        <v>B</v>
      </c>
      <c r="FC61" s="97" t="str">
        <f t="shared" si="106"/>
        <v>B</v>
      </c>
      <c r="FD61" s="97" t="str">
        <f t="shared" si="106"/>
        <v>B</v>
      </c>
      <c r="FE61" s="97" t="str">
        <f t="shared" si="106"/>
        <v>A</v>
      </c>
      <c r="FF61" s="97" t="str">
        <f t="shared" si="106"/>
        <v>A</v>
      </c>
      <c r="FG61" s="97" t="str">
        <f t="shared" si="106"/>
        <v>A</v>
      </c>
      <c r="FH61" s="97" t="str">
        <f t="shared" si="106"/>
        <v>A</v>
      </c>
      <c r="FI61" s="97" t="str">
        <f t="shared" si="106"/>
        <v>A</v>
      </c>
      <c r="FJ61" s="97" t="str">
        <f t="shared" si="106"/>
        <v>A</v>
      </c>
      <c r="FK61" s="97" t="str">
        <f t="shared" si="106"/>
        <v>B</v>
      </c>
      <c r="FL61" s="97" t="str">
        <f t="shared" si="106"/>
        <v>B</v>
      </c>
      <c r="FM61" s="97" t="str">
        <f t="shared" si="106"/>
        <v>A</v>
      </c>
      <c r="FN61" s="97" t="str">
        <f t="shared" si="106"/>
        <v>A</v>
      </c>
      <c r="FO61" s="97" t="str">
        <f t="shared" si="106"/>
        <v>A</v>
      </c>
      <c r="FP61" s="97" t="str">
        <f t="shared" si="106"/>
        <v>B</v>
      </c>
      <c r="FQ61" s="97" t="str">
        <f t="shared" si="106"/>
        <v>B</v>
      </c>
      <c r="FR61" s="97" t="str">
        <f t="shared" si="106"/>
        <v>A</v>
      </c>
      <c r="FS61" s="97" t="str">
        <f t="shared" si="106"/>
        <v>B</v>
      </c>
      <c r="FT61" s="97" t="str">
        <f t="shared" si="106"/>
        <v>B</v>
      </c>
      <c r="FU61" s="97" t="str">
        <f t="shared" si="106"/>
        <v>B</v>
      </c>
      <c r="FV61" s="97" t="str">
        <f t="shared" si="106"/>
        <v>A</v>
      </c>
      <c r="FW61" s="97" t="str">
        <f t="shared" si="106"/>
        <v>B</v>
      </c>
      <c r="FX61" s="97" t="str">
        <f t="shared" si="106"/>
        <v>A</v>
      </c>
      <c r="FY61" s="97" t="str">
        <f t="shared" si="106"/>
        <v>A</v>
      </c>
      <c r="FZ61" s="97" t="str">
        <f t="shared" si="106"/>
        <v>A</v>
      </c>
      <c r="GA61" s="97" t="str">
        <f t="shared" si="106"/>
        <v>A</v>
      </c>
      <c r="GB61" s="97" t="str">
        <f t="shared" si="106"/>
        <v>A</v>
      </c>
      <c r="GC61" s="97" t="str">
        <f t="shared" si="106"/>
        <v>A</v>
      </c>
      <c r="GD61" s="97" t="str">
        <f t="shared" si="106"/>
        <v>A</v>
      </c>
      <c r="GE61" s="97" t="str">
        <f t="shared" si="106"/>
        <v>A</v>
      </c>
      <c r="GF61" s="97" t="str">
        <f t="shared" si="106"/>
        <v>A</v>
      </c>
      <c r="GG61" s="97" t="str">
        <f t="shared" si="106"/>
        <v>A</v>
      </c>
      <c r="GH61" s="97" t="str">
        <f t="shared" si="106"/>
        <v>B</v>
      </c>
      <c r="GI61" s="97" t="str">
        <f t="shared" si="106"/>
        <v>A</v>
      </c>
      <c r="GJ61" s="97" t="str">
        <f t="shared" si="106"/>
        <v>A</v>
      </c>
      <c r="GK61" s="97" t="str">
        <f t="shared" si="106"/>
        <v>A</v>
      </c>
      <c r="GL61" s="97" t="str">
        <f t="shared" si="106"/>
        <v>B</v>
      </c>
      <c r="GM61" s="97" t="str">
        <f t="shared" si="106"/>
        <v>A</v>
      </c>
      <c r="GN61" s="97" t="str">
        <f t="shared" si="106"/>
        <v>B</v>
      </c>
      <c r="GO61" s="97" t="str">
        <f t="shared" si="106"/>
        <v>B</v>
      </c>
      <c r="GP61" s="97" t="str">
        <f t="shared" si="106"/>
        <v>B</v>
      </c>
      <c r="GQ61" s="97" t="str">
        <f t="shared" si="106"/>
        <v>B</v>
      </c>
      <c r="GR61" s="97" t="str">
        <f t="shared" si="106"/>
        <v>A</v>
      </c>
      <c r="GS61" s="97" t="str">
        <f t="shared" si="106"/>
        <v>A</v>
      </c>
      <c r="GT61" s="97" t="str">
        <f t="shared" si="106"/>
        <v>A</v>
      </c>
      <c r="GU61" s="97" t="str">
        <f t="shared" si="106"/>
        <v>A</v>
      </c>
      <c r="GV61" s="97" t="str">
        <f t="shared" si="106"/>
        <v>A</v>
      </c>
      <c r="GW61" s="97" t="str">
        <f t="shared" si="106"/>
        <v>A</v>
      </c>
      <c r="GX61" s="97" t="str">
        <f t="shared" si="106"/>
        <v>A</v>
      </c>
      <c r="GY61" s="98"/>
      <c r="GZ61" s="97">
        <f t="shared" si="3"/>
        <v>52</v>
      </c>
      <c r="HA61" s="97">
        <f t="shared" si="4"/>
        <v>48</v>
      </c>
      <c r="HB61" s="90">
        <f t="shared" si="5"/>
        <v>100</v>
      </c>
      <c r="HC61" s="99"/>
      <c r="HD61" s="97">
        <f t="shared" si="6"/>
        <v>6</v>
      </c>
      <c r="HE61" s="97">
        <f t="shared" si="7"/>
        <v>5</v>
      </c>
      <c r="HF61" s="90">
        <f t="shared" si="8"/>
        <v>11</v>
      </c>
      <c r="HG61" s="99"/>
      <c r="HH61" s="97">
        <f t="shared" si="9"/>
        <v>4</v>
      </c>
      <c r="HI61" s="97">
        <f t="shared" si="10"/>
        <v>5</v>
      </c>
      <c r="HJ61" s="90">
        <f t="shared" si="11"/>
        <v>9</v>
      </c>
      <c r="HK61" s="99"/>
      <c r="HL61" s="97">
        <f t="shared" si="12"/>
        <v>6</v>
      </c>
      <c r="HM61" s="97">
        <f t="shared" si="13"/>
        <v>5</v>
      </c>
      <c r="HN61" s="90">
        <f t="shared" si="14"/>
        <v>11</v>
      </c>
      <c r="HO61" s="99"/>
      <c r="HP61" s="97">
        <f t="shared" si="15"/>
        <v>6</v>
      </c>
      <c r="HQ61" s="97">
        <f t="shared" si="16"/>
        <v>7</v>
      </c>
      <c r="HR61" s="90">
        <f t="shared" si="17"/>
        <v>13</v>
      </c>
      <c r="HS61" s="99"/>
      <c r="HT61" s="97">
        <f t="shared" si="18"/>
        <v>9</v>
      </c>
      <c r="HU61" s="97">
        <f t="shared" si="19"/>
        <v>7</v>
      </c>
      <c r="HV61" s="90">
        <f t="shared" si="20"/>
        <v>16</v>
      </c>
      <c r="HW61" s="99"/>
      <c r="HX61" s="97">
        <f t="shared" si="21"/>
        <v>8</v>
      </c>
      <c r="HY61" s="97">
        <f t="shared" si="22"/>
        <v>4</v>
      </c>
      <c r="HZ61" s="90">
        <f t="shared" si="23"/>
        <v>12</v>
      </c>
      <c r="IA61" s="99"/>
      <c r="IB61" s="97">
        <f t="shared" si="24"/>
        <v>6</v>
      </c>
      <c r="IC61" s="97">
        <f t="shared" si="25"/>
        <v>6</v>
      </c>
      <c r="ID61" s="90">
        <f t="shared" si="26"/>
        <v>12</v>
      </c>
      <c r="IE61" s="99"/>
      <c r="IF61" s="97">
        <f t="shared" si="27"/>
        <v>1</v>
      </c>
      <c r="IG61" s="97">
        <f t="shared" si="28"/>
        <v>2</v>
      </c>
      <c r="IH61" s="90">
        <f t="shared" si="29"/>
        <v>3</v>
      </c>
      <c r="II61" s="99"/>
      <c r="IJ61" s="97">
        <f t="shared" si="30"/>
        <v>2</v>
      </c>
      <c r="IK61" s="97">
        <f t="shared" si="31"/>
        <v>3</v>
      </c>
      <c r="IL61" s="90">
        <f t="shared" si="32"/>
        <v>5</v>
      </c>
      <c r="IM61" s="99"/>
      <c r="IN61" s="97">
        <f t="shared" si="33"/>
        <v>0</v>
      </c>
      <c r="IO61" s="97">
        <f t="shared" si="34"/>
        <v>3</v>
      </c>
      <c r="IP61" s="90">
        <f t="shared" si="35"/>
        <v>3</v>
      </c>
      <c r="IQ61" s="99"/>
      <c r="IR61" s="99"/>
      <c r="IS61" s="100">
        <f t="shared" si="36"/>
        <v>11</v>
      </c>
      <c r="IT61" s="100">
        <f t="shared" si="37"/>
        <v>9</v>
      </c>
      <c r="IU61" s="100">
        <f t="shared" si="38"/>
        <v>11</v>
      </c>
      <c r="IV61" s="100">
        <f t="shared" si="39"/>
        <v>13</v>
      </c>
      <c r="IW61" s="100">
        <f t="shared" si="40"/>
        <v>16</v>
      </c>
      <c r="IX61" s="100">
        <f t="shared" si="41"/>
        <v>12</v>
      </c>
      <c r="IY61" s="100">
        <f t="shared" si="42"/>
        <v>12</v>
      </c>
      <c r="IZ61" s="100">
        <f t="shared" si="43"/>
        <v>3</v>
      </c>
      <c r="JA61" s="100">
        <f t="shared" si="44"/>
        <v>5</v>
      </c>
      <c r="JB61" s="101">
        <f t="shared" si="45"/>
        <v>3</v>
      </c>
      <c r="JC61" s="102">
        <f t="shared" si="46"/>
        <v>95</v>
      </c>
      <c r="JD61" s="67">
        <f t="shared" si="50"/>
        <v>0</v>
      </c>
      <c r="JE61" s="67">
        <f t="shared" si="47"/>
        <v>2</v>
      </c>
      <c r="JF61" s="67">
        <f t="shared" si="48"/>
        <v>2</v>
      </c>
    </row>
    <row r="62">
      <c r="A62" s="103">
        <f>IFERROR(__xludf.DUMMYFUNCTION("""COMPUTED_VALUE"""),45934.389082361115)</f>
        <v>45934.38908</v>
      </c>
      <c r="B62" s="95" t="str">
        <f>IFERROR(__xludf.DUMMYFUNCTION("""COMPUTED_VALUE"""),"Muhammad Raihan Alfawwaz")</f>
        <v>Muhammad Raihan Alfawwaz</v>
      </c>
      <c r="C62" s="96" t="str">
        <f>IFERROR(__xludf.DUMMYFUNCTION("""COMPUTED_VALUE"""),"A250005")</f>
        <v>A250005</v>
      </c>
      <c r="D62" s="96" t="str">
        <f>IFERROR(__xludf.DUMMYFUNCTION("""COMPUTED_VALUE"""),"MTs Putra")</f>
        <v>MTs Putra</v>
      </c>
      <c r="E62" s="96" t="str">
        <f>IFERROR(__xludf.DUMMYFUNCTION("""COMPUTED_VALUE"""),"Ya")</f>
        <v>Ya</v>
      </c>
      <c r="F62" s="95" t="str">
        <f>IFERROR(__xludf.DUMMYFUNCTION("""COMPUTED_VALUE"""),"B Saya ingin melakukan apa saja sebaik mungkin.")</f>
        <v>B Saya ingin melakukan apa saja sebaik mungkin.</v>
      </c>
      <c r="G62" s="95" t="str">
        <f>IFERROR(__xludf.DUMMYFUNCTION("""COMPUTED_VALUE"""),"A Saya ingin setiap tulisan saya teliti, rapi, dan tersusun dengan baik.")</f>
        <v>A Saya ingin setiap tulisan saya teliti, rapi, dan tersusun dengan baik.</v>
      </c>
      <c r="H62" s="95" t="str">
        <f>IFERROR(__xludf.DUMMYFUNCTION("""COMPUTED_VALUE"""),"B Saya ingin menjadi orang yang diakui dalam suatu pekerjaan atau bidang khusus.")</f>
        <v>B Saya ingin menjadi orang yang diakui dalam suatu pekerjaan atau bidang khusus.</v>
      </c>
      <c r="I62" s="95" t="str">
        <f>IFERROR(__xludf.DUMMYFUNCTION("""COMPUTED_VALUE"""),"B Saya ingin bisa melakukan dengan baik meskipun tugas yang sulit.")</f>
        <v>B Saya ingin bisa melakukan dengan baik meskipun tugas yang sulit.</v>
      </c>
      <c r="J62" s="95" t="str">
        <f>IFERROR(__xludf.DUMMYFUNCTION("""COMPUTED_VALUE"""),"B Saya ingin mengerjakan tugas sebaik mungkin.")</f>
        <v>B Saya ingin mengerjakan tugas sebaik mungkin.</v>
      </c>
      <c r="K62" s="95" t="str">
        <f>IFERROR(__xludf.DUMMYFUNCTION("""COMPUTED_VALUE"""),"A Saya ingin menjadi pemimpin dalam suatu kelompok.")</f>
        <v>A Saya ingin menjadi pemimpin dalam suatu kelompok.</v>
      </c>
      <c r="L62" s="95" t="str">
        <f>IFERROR(__xludf.DUMMYFUNCTION("""COMPUTED_VALUE"""),"A Saya ingin menjadi pemimpin dalam suatu kelompok")</f>
        <v>A Saya ingin menjadi pemimpin dalam suatu kelompok</v>
      </c>
      <c r="M62" s="95" t="str">
        <f>IFERROR(__xludf.DUMMYFUNCTION("""COMPUTED_VALUE"""),"B Saya ingin mengerjakan segala tugas lebih baik daripada orang lain.")</f>
        <v>B Saya ingin mengerjakan segala tugas lebih baik daripada orang lain.</v>
      </c>
      <c r="N62" s="95" t="str">
        <f>IFERROR(__xludf.DUMMYFUNCTION("""COMPUTED_VALUE"""),"B Saya suka memecahkan persoalan yang sukar bagi orang lain.")</f>
        <v>B Saya suka memecahkan persoalan yang sukar bagi orang lain.</v>
      </c>
      <c r="O62" s="95" t="str">
        <f>IFERROR(__xludf.DUMMYFUNCTION("""COMPUTED_VALUE"""),"B Saya suka melakukan tugas sebaik mungkin.")</f>
        <v>B Saya suka melakukan tugas sebaik mungkin.</v>
      </c>
      <c r="P62" s="95" t="str">
        <f>IFERROR(__xludf.DUMMYFUNCTION("""COMPUTED_VALUE"""),"B Saya ingin setiap belajar itu teratur dan direncanakan.")</f>
        <v>B Saya ingin setiap belajar itu teratur dan direncanakan.</v>
      </c>
      <c r="Q62" s="95" t="str">
        <f>IFERROR(__xludf.DUMMYFUNCTION("""COMPUTED_VALUE"""),"B Saya merencanakan keperluan yang dibutuhkan sebelum bepergian.")</f>
        <v>B Saya merencanakan keperluan yang dibutuhkan sebelum bepergian.</v>
      </c>
      <c r="R62" s="95" t="str">
        <f>IFERROR(__xludf.DUMMYFUNCTION("""COMPUTED_VALUE"""),"B Saya suka barang-barang saya tersusun rapi dan teratur.")</f>
        <v>B Saya suka barang-barang saya tersusun rapi dan teratur.</v>
      </c>
      <c r="S62" s="95" t="str">
        <f>IFERROR(__xludf.DUMMYFUNCTION("""COMPUTED_VALUE"""),"B Saya suka membuat perencanaan sebelum memulai tugas yang sulit.")</f>
        <v>B Saya suka membuat perencanaan sebelum memulai tugas yang sulit.</v>
      </c>
      <c r="T62" s="95" t="str">
        <f>IFERROR(__xludf.DUMMYFUNCTION("""COMPUTED_VALUE"""),"B Saya ingin agar hidup saya teratur sesuai cita-cita saya.")</f>
        <v>B Saya ingin agar hidup saya teratur sesuai cita-cita saya.</v>
      </c>
      <c r="U62" s="95" t="str">
        <f>IFERROR(__xludf.DUMMYFUNCTION("""COMPUTED_VALUE"""),"A Saya suka memberikan bantuan kepada teman-teman saya.")</f>
        <v>A Saya suka memberikan bantuan kepada teman-teman saya.</v>
      </c>
      <c r="V62" s="95" t="str">
        <f>IFERROR(__xludf.DUMMYFUNCTION("""COMPUTED_VALUE"""),"A Saya suka belajar sampai malam untuk menyelesaikan suatu tugas.")</f>
        <v>A Saya suka belajar sampai malam untuk menyelesaikan suatu tugas.</v>
      </c>
      <c r="W62" s="95" t="str">
        <f>IFERROR(__xludf.DUMMYFUNCTION("""COMPUTED_VALUE"""),"B Saya ingin kegiatan itu teratur dan direncanakan.")</f>
        <v>B Saya ingin kegiatan itu teratur dan direncanakan.</v>
      </c>
      <c r="X62" s="95" t="str">
        <f>IFERROR(__xludf.DUMMYFUNCTION("""COMPUTED_VALUE"""),"B Saya ingin agar hidup saya teratur sesuai cita-cita saya.")</f>
        <v>B Saya ingin agar hidup saya teratur sesuai cita-cita saya.</v>
      </c>
      <c r="Y62" s="95" t="str">
        <f>IFERROR(__xludf.DUMMYFUNCTION("""COMPUTED_VALUE"""),"A Saya suka menyelesaikan tugas-tugas yang membutuhkan ketrampilan dan usaha.")</f>
        <v>A Saya suka menyelesaikan tugas-tugas yang membutuhkan ketrampilan dan usaha.</v>
      </c>
      <c r="Z62" s="95" t="str">
        <f>IFERROR(__xludf.DUMMYFUNCTION("""COMPUTED_VALUE"""),"A Saya ingin berhasil dengan belajar yang saya lakukan.")</f>
        <v>A Saya ingin berhasil dengan belajar yang saya lakukan.</v>
      </c>
      <c r="AA62" s="95" t="str">
        <f>IFERROR(__xludf.DUMMYFUNCTION("""COMPUTED_VALUE"""),"A Saya suka menyelesaikan tugas yang telah saya rencanakan.")</f>
        <v>A Saya suka menyelesaikan tugas yang telah saya rencanakan.</v>
      </c>
      <c r="AB62" s="95" t="str">
        <f>IFERROR(__xludf.DUMMYFUNCTION("""COMPUTED_VALUE"""),"B Saya ingin menyelesaikan pekerjaan satu persatu sebelum memulai yang lain.")</f>
        <v>B Saya ingin menyelesaikan pekerjaan satu persatu sebelum memulai yang lain.</v>
      </c>
      <c r="AC62" s="95" t="str">
        <f>IFERROR(__xludf.DUMMYFUNCTION("""COMPUTED_VALUE"""),"A Saya suka menyelesaikan setiap tugas meskipun membutuhkan waktu lama.")</f>
        <v>A Saya suka menyelesaikan setiap tugas meskipun membutuhkan waktu lama.</v>
      </c>
      <c r="AD62" s="95" t="str">
        <f>IFERROR(__xludf.DUMMYFUNCTION("""COMPUTED_VALUE"""),"B Saya suka menyatakan pendapat saya tentang berbagai hal.")</f>
        <v>B Saya suka menyatakan pendapat saya tentang berbagai hal.</v>
      </c>
      <c r="AE62" s="95" t="str">
        <f>IFERROR(__xludf.DUMMYFUNCTION("""COMPUTED_VALUE"""),"A Saya ingin dianggap sebagai pemimpin oleh teman di kelompok.")</f>
        <v>A Saya ingin dianggap sebagai pemimpin oleh teman di kelompok.</v>
      </c>
      <c r="AF62" s="95" t="str">
        <f>IFERROR(__xludf.DUMMYFUNCTION("""COMPUTED_VALUE"""),"A Saya ingin agar teman-teman mengerti bila saya mengalami kesukaran.")</f>
        <v>A Saya ingin agar teman-teman mengerti bila saya mengalami kesukaran.</v>
      </c>
      <c r="AG62" s="95" t="str">
        <f>IFERROR(__xludf.DUMMYFUNCTION("""COMPUTED_VALUE"""),"B Saya ingin berhasil dengan tugas yang saya lakukan.")</f>
        <v>B Saya ingin berhasil dengan tugas yang saya lakukan.</v>
      </c>
      <c r="AH62" s="95" t="str">
        <f>IFERROR(__xludf.DUMMYFUNCTION("""COMPUTED_VALUE"""),"B Saya ingin merasa bebas untuk melakukan apa yang saya kehendaki.")</f>
        <v>B Saya ingin merasa bebas untuk melakukan apa yang saya kehendaki.</v>
      </c>
      <c r="AI62" s="95" t="str">
        <f>IFERROR(__xludf.DUMMYFUNCTION("""COMPUTED_VALUE"""),"B Saya suka melakukan kegiatan sesuai kondisi yang saya inginkan.")</f>
        <v>B Saya suka melakukan kegiatan sesuai kondisi yang saya inginkan.</v>
      </c>
      <c r="AJ62" s="95" t="str">
        <f>IFERROR(__xludf.DUMMYFUNCTION("""COMPUTED_VALUE"""),"B Saya suka bertahan menghadapi satu masalah meskipun belum tentu berhasil.")</f>
        <v>B Saya suka bertahan menghadapi satu masalah meskipun belum tentu berhasil.</v>
      </c>
      <c r="AK62" s="95" t="str">
        <f>IFERROR(__xludf.DUMMYFUNCTION("""COMPUTED_VALUE"""),"B Bila saya harus melakukan suatu tugas, saya ingin mengerjakan sampai selesai.")</f>
        <v>B Bila saya harus melakukan suatu tugas, saya ingin mengerjakan sampai selesai.</v>
      </c>
      <c r="AL62" s="95" t="str">
        <f>IFERROR(__xludf.DUMMYFUNCTION("""COMPUTED_VALUE"""),"A Saya suka berbicara tentang hal-hal yang telah saya capai.")</f>
        <v>A Saya suka berbicara tentang hal-hal yang telah saya capai.</v>
      </c>
      <c r="AM62" s="95" t="str">
        <f>IFERROR(__xludf.DUMMYFUNCTION("""COMPUTED_VALUE"""),"B Saya suka belajar sampai malam untuk menyelesaikan suatu tugas.")</f>
        <v>B Saya suka belajar sampai malam untuk menyelesaikan suatu tugas.</v>
      </c>
      <c r="AN62" s="95" t="str">
        <f>IFERROR(__xludf.DUMMYFUNCTION("""COMPUTED_VALUE"""),"B Saya ingin bekerja berjam-jam tanpa diganggu.")</f>
        <v>B Saya ingin bekerja berjam-jam tanpa diganggu.</v>
      </c>
      <c r="AO62" s="95" t="str">
        <f>IFERROR(__xludf.DUMMYFUNCTION("""COMPUTED_VALUE"""),"B Saya suka menyelesaikan setiap tugas meskipun membutuhkan waktu lama.")</f>
        <v>B Saya suka menyelesaikan setiap tugas meskipun membutuhkan waktu lama.</v>
      </c>
      <c r="AP62" s="95" t="str">
        <f>IFERROR(__xludf.DUMMYFUNCTION("""COMPUTED_VALUE"""),"A Saya ingin mengerjakannya tugas sampai selesai.")</f>
        <v>A Saya ingin mengerjakannya tugas sampai selesai.</v>
      </c>
      <c r="AQ62" s="95" t="str">
        <f>IFERROR(__xludf.DUMMYFUNCTION("""COMPUTED_VALUE"""),"B Bila saya harus melakukan suatu tugas, saya ingin mengerjakan sampai selesai.")</f>
        <v>B Bila saya harus melakukan suatu tugas, saya ingin mengerjakan sampai selesai.</v>
      </c>
      <c r="AR62" s="95" t="str">
        <f>IFERROR(__xludf.DUMMYFUNCTION("""COMPUTED_VALUE"""),"B Saya suka belajar keras pada tiap pelajaran yang saya hadapi.")</f>
        <v>B Saya suka belajar keras pada tiap pelajaran yang saya hadapi.</v>
      </c>
      <c r="AS62" s="95" t="str">
        <f>IFERROR(__xludf.DUMMYFUNCTION("""COMPUTED_VALUE"""),"B Saya suka belajar sampai malam untuk menyelesaikan suatu tugas.")</f>
        <v>B Saya suka belajar sampai malam untuk menyelesaikan suatu tugas.</v>
      </c>
      <c r="AT62" s="95" t="str">
        <f>IFERROR(__xludf.DUMMYFUNCTION("""COMPUTED_VALUE"""),"A Saya ingin bisa melakukan dengan baik sesuatu pekerjaan sulit.")</f>
        <v>A Saya ingin bisa melakukan dengan baik sesuatu pekerjaan sulit.</v>
      </c>
      <c r="AU62" s="95" t="str">
        <f>IFERROR(__xludf.DUMMYFUNCTION("""COMPUTED_VALUE"""),"A Saya ingin menyelesaikan pekerjaan satu persatu sebelum memulai yang lain.")</f>
        <v>A Saya ingin menyelesaikan pekerjaan satu persatu sebelum memulai yang lain.</v>
      </c>
      <c r="AV62" s="95" t="str">
        <f>IFERROR(__xludf.DUMMYFUNCTION("""COMPUTED_VALUE"""),"B Saya suka menolong teman-teman saya.")</f>
        <v>B Saya suka menolong teman-teman saya.</v>
      </c>
      <c r="AW62" s="95" t="str">
        <f>IFERROR(__xludf.DUMMYFUNCTION("""COMPUTED_VALUE"""),"B Saya ingin teman-teman saya percaya bahwa saya bisa menolong mereka.")</f>
        <v>B Saya ingin teman-teman saya percaya bahwa saya bisa menolong mereka.</v>
      </c>
      <c r="AX62" s="95" t="str">
        <f>IFERROR(__xludf.DUMMYFUNCTION("""COMPUTED_VALUE"""),"A Saya suka menolong teman-teman saya apabila mereka dalam kesulitan.")</f>
        <v>A Saya suka menolong teman-teman saya apabila mereka dalam kesulitan.</v>
      </c>
      <c r="AY62" s="95" t="str">
        <f>IFERROR(__xludf.DUMMYFUNCTION("""COMPUTED_VALUE"""),"B Saya suka menolong teman-teman saya apabila mereka dalam kesulitan.")</f>
        <v>B Saya suka menolong teman-teman saya apabila mereka dalam kesulitan.</v>
      </c>
      <c r="AZ62" s="95" t="str">
        <f>IFERROR(__xludf.DUMMYFUNCTION("""COMPUTED_VALUE"""),"B Saya suka menunjukkan simpati saya kepada teman-teman saya.")</f>
        <v>B Saya suka menunjukkan simpati saya kepada teman-teman saya.</v>
      </c>
      <c r="BA62" s="95" t="str">
        <f>IFERROR(__xludf.DUMMYFUNCTION("""COMPUTED_VALUE"""),"B Saya suka memperlakukan orang lain dengan baik dan ramah.")</f>
        <v>B Saya suka memperlakukan orang lain dengan baik dan ramah.</v>
      </c>
      <c r="BB62" s="95" t="str">
        <f>IFERROR(__xludf.DUMMYFUNCTION("""COMPUTED_VALUE"""),"B Saya suka bermurah hati terhadap teman-teman saya.")</f>
        <v>B Saya suka bermurah hati terhadap teman-teman saya.</v>
      </c>
      <c r="BC62" s="95" t="str">
        <f>IFERROR(__xludf.DUMMYFUNCTION("""COMPUTED_VALUE"""),"B Saya suka membantu orang lain yang menurut saya perlu dikasihani.")</f>
        <v>B Saya suka membantu orang lain yang menurut saya perlu dikasihani.</v>
      </c>
      <c r="BD62" s="95" t="str">
        <f>IFERROR(__xludf.DUMMYFUNCTION("""COMPUTED_VALUE"""),"A Saya rasanya ingin menyalahkan orang lain bila keadaan tidak baik bagi saya.")</f>
        <v>A Saya rasanya ingin menyalahkan orang lain bila keadaan tidak baik bagi saya.</v>
      </c>
      <c r="BE62" s="95" t="str">
        <f>IFERROR(__xludf.DUMMYFUNCTION("""COMPUTED_VALUE"""),"A Saya suka mendengarkan atau menceritakan hal-hal yang sebaiknya tidak diceritakan.")</f>
        <v>A Saya suka mendengarkan atau menceritakan hal-hal yang sebaiknya tidak diceritakan.</v>
      </c>
      <c r="BF62" s="95" t="str">
        <f>IFERROR(__xludf.DUMMYFUNCTION("""COMPUTED_VALUE"""),"B Bila saya dalam kelompok, saya ingin menentukan apa yang akan kita lakukan.")</f>
        <v>B Bila saya dalam kelompok, saya ingin menentukan apa yang akan kita lakukan.</v>
      </c>
      <c r="BG62" s="95" t="str">
        <f>IFERROR(__xludf.DUMMYFUNCTION("""COMPUTED_VALUE"""),"A Saya ingin teman-teman banyak menunjukkan rasa sayang mereka terhadap saya.")</f>
        <v>A Saya ingin teman-teman banyak menunjukkan rasa sayang mereka terhadap saya.</v>
      </c>
      <c r="BH62" s="95" t="str">
        <f>IFERROR(__xludf.DUMMYFUNCTION("""COMPUTED_VALUE"""),"B Apabila saya berkumpul dalam kelompok, saya ingin dihargai teman-teman.")</f>
        <v>B Apabila saya berkumpul dalam kelompok, saya ingin dihargai teman-teman.</v>
      </c>
      <c r="BI62" s="95" t="str">
        <f>IFERROR(__xludf.DUMMYFUNCTION("""COMPUTED_VALUE"""),"B Saya ingin orang lain melakukan apa yang saya kehendaki.")</f>
        <v>B Saya ingin orang lain melakukan apa yang saya kehendaki.</v>
      </c>
      <c r="BJ62" s="95" t="str">
        <f>IFERROR(__xludf.DUMMYFUNCTION("""COMPUTED_VALUE"""),"A Saya ingin mengerjakan tugas sampai selesai.")</f>
        <v>A Saya ingin mengerjakan tugas sampai selesai.</v>
      </c>
      <c r="BK62" s="95" t="str">
        <f>IFERROR(__xludf.DUMMYFUNCTION("""COMPUTED_VALUE"""),"A Saya ingin menyelesaikan pekerjaan satu persatu sebelum memulai yang lain.")</f>
        <v>A Saya ingin menyelesaikan pekerjaan satu persatu sebelum memulai yang lain.</v>
      </c>
      <c r="BL62" s="95" t="str">
        <f>IFERROR(__xludf.DUMMYFUNCTION("""COMPUTED_VALUE"""),"A Saya suka belajar saya teratur dan ada waktu-waktu tertentu untuk belajar.")</f>
        <v>A Saya suka belajar saya teratur dan ada waktu-waktu tertentu untuk belajar.</v>
      </c>
      <c r="BM62" s="95" t="str">
        <f>IFERROR(__xludf.DUMMYFUNCTION("""COMPUTED_VALUE"""),"A Saya suka melakukan pekerjaan sebaik mungkin.")</f>
        <v>A Saya suka melakukan pekerjaan sebaik mungkin.</v>
      </c>
      <c r="BN62" s="95" t="str">
        <f>IFERROR(__xludf.DUMMYFUNCTION("""COMPUTED_VALUE"""),"A Saya suka mengerjakan teka-teki atau memecahkan persoalan sampai selesai.")</f>
        <v>A Saya suka mengerjakan teka-teki atau memecahkan persoalan sampai selesai.</v>
      </c>
      <c r="BO62" s="95" t="str">
        <f>IFERROR(__xludf.DUMMYFUNCTION("""COMPUTED_VALUE"""),"A Saya suka membuat perencanaan sebelum memulai belajar yang sulit.")</f>
        <v>A Saya suka membuat perencanaan sebelum memulai belajar yang sulit.</v>
      </c>
      <c r="BP62" s="95" t="str">
        <f>IFERROR(__xludf.DUMMYFUNCTION("""COMPUTED_VALUE"""),"A Saya ingin menyelesaikan sesuatu yang sangat penting artinya.")</f>
        <v>A Saya ingin menyelesaikan sesuatu yang sangat penting artinya.</v>
      </c>
      <c r="BQ62" s="95" t="str">
        <f>IFERROR(__xludf.DUMMYFUNCTION("""COMPUTED_VALUE"""),"A Saya ingin mengerjakannya tugas sampai selesai.")</f>
        <v>A Saya ingin mengerjakannya tugas sampai selesai.</v>
      </c>
      <c r="BR62" s="95" t="str">
        <f>IFERROR(__xludf.DUMMYFUNCTION("""COMPUTED_VALUE"""),"A Saya suka memaafkan teman-teman saya yang menyakiti hati saya.")</f>
        <v>A Saya suka memaafkan teman-teman saya yang menyakiti hati saya.</v>
      </c>
      <c r="BS62" s="95" t="str">
        <f>IFERROR(__xludf.DUMMYFUNCTION("""COMPUTED_VALUE"""),"B Saya ingin teman-teman saya membantu saya bila saya mengalami kesulitan")</f>
        <v>B Saya ingin teman-teman saya membantu saya bila saya mengalami kesulitan</v>
      </c>
      <c r="BT62" s="95" t="str">
        <f>IFERROR(__xludf.DUMMYFUNCTION("""COMPUTED_VALUE"""),"B Saya ingin teman-teman banyak menunjukkan rasa sayang mereka terhadap saya.")</f>
        <v>B Saya ingin teman-teman banyak menunjukkan rasa sayang mereka terhadap saya.</v>
      </c>
      <c r="BU62" s="95" t="str">
        <f>IFERROR(__xludf.DUMMYFUNCTION("""COMPUTED_VALUE"""),"B Saya ingin agar teman-teman saya merasa kasihan pada saya apabila saya sakit.")</f>
        <v>B Saya ingin agar teman-teman saya merasa kasihan pada saya apabila saya sakit.</v>
      </c>
      <c r="BV62" s="95" t="str">
        <f>IFERROR(__xludf.DUMMYFUNCTION("""COMPUTED_VALUE"""),"B Saya ingin teman-teman dengan gembira memberikan pertolongan kepada saya.")</f>
        <v>B Saya ingin teman-teman dengan gembira memberikan pertolongan kepada saya.</v>
      </c>
      <c r="BW62" s="95" t="str">
        <f>IFERROR(__xludf.DUMMYFUNCTION("""COMPUTED_VALUE"""),"A Saya akan menyerang pendapat yang bertentangan dengan pendirian saya.")</f>
        <v>A Saya akan menyerang pendapat yang bertentangan dengan pendirian saya.</v>
      </c>
      <c r="BX62" s="95" t="str">
        <f>IFERROR(__xludf.DUMMYFUNCTION("""COMPUTED_VALUE"""),"B Saya kadang-kadang suka melakukan hal-hal yang dapat dipuji oleh orang lain.")</f>
        <v>B Saya kadang-kadang suka melakukan hal-hal yang dapat dipuji oleh orang lain.</v>
      </c>
      <c r="BY62" s="95" t="str">
        <f>IFERROR(__xludf.DUMMYFUNCTION("""COMPUTED_VALUE"""),"B Saya ingin orang lain memperhatikan dan berkomentar tentang penampilan saya.")</f>
        <v>B Saya ingin orang lain memperhatikan dan berkomentar tentang penampilan saya.</v>
      </c>
      <c r="BZ62" s="95" t="str">
        <f>IFERROR(__xludf.DUMMYFUNCTION("""COMPUTED_VALUE"""),"B Saya suka diperhatikan, apabila saya ada di dalam suatu kelompok.")</f>
        <v>B Saya suka diperhatikan, apabila saya ada di dalam suatu kelompok.</v>
      </c>
      <c r="CA62" s="95" t="str">
        <f>IFERROR(__xludf.DUMMYFUNCTION("""COMPUTED_VALUE"""),"A Saya ingin teman-teman dengan gembira memberikan pertolongan kepada saya.")</f>
        <v>A Saya ingin teman-teman dengan gembira memberikan pertolongan kepada saya.</v>
      </c>
      <c r="CB62" s="95" t="str">
        <f>IFERROR(__xludf.DUMMYFUNCTION("""COMPUTED_VALUE"""),"A Saya suka menghindar dari tanggung jawab yang tidak saya inginkan.")</f>
        <v>A Saya suka menghindar dari tanggung jawab yang tidak saya inginkan.</v>
      </c>
      <c r="CC62" s="95" t="str">
        <f>IFERROR(__xludf.DUMMYFUNCTION("""COMPUTED_VALUE"""),"A Apabila saya berkumpul dalam kelompok, saya ingin dihargai teman-teman.")</f>
        <v>A Apabila saya berkumpul dalam kelompok, saya ingin dihargai teman-teman.</v>
      </c>
      <c r="CD62" s="95" t="str">
        <f>IFERROR(__xludf.DUMMYFUNCTION("""COMPUTED_VALUE"""),"A Saya suka menyelesaikan setiap tugas meskipun membutuhkan waktu lama.")</f>
        <v>A Saya suka menyelesaikan setiap tugas meskipun membutuhkan waktu lama.</v>
      </c>
      <c r="CE62" s="95" t="str">
        <f>IFERROR(__xludf.DUMMYFUNCTION("""COMPUTED_VALUE"""),"A Saya suka menyelesaikan setiap tugas belajar yang telah saya mulai.")</f>
        <v>A Saya suka menyelesaikan setiap tugas belajar yang telah saya mulai.</v>
      </c>
      <c r="CF62" s="95" t="str">
        <f>IFERROR(__xludf.DUMMYFUNCTION("""COMPUTED_VALUE"""),"A Saya ingin agar hidup saya teratur sesuai cita-cita saya.")</f>
        <v>A Saya ingin agar hidup saya teratur sesuai cita-cita saya.</v>
      </c>
      <c r="CG62" s="95" t="str">
        <f>IFERROR(__xludf.DUMMYFUNCTION("""COMPUTED_VALUE"""),"A Saya ingin berhasil dalam apa yang saya lakukan.")</f>
        <v>A Saya ingin berhasil dalam apa yang saya lakukan.</v>
      </c>
      <c r="CH62" s="95" t="str">
        <f>IFERROR(__xludf.DUMMYFUNCTION("""COMPUTED_VALUE"""),"A Saya ingin bisa melakukan dengan baik sesuatu pekerjaan sulit.")</f>
        <v>A Saya ingin bisa melakukan dengan baik sesuatu pekerjaan sulit.</v>
      </c>
      <c r="CI62" s="95" t="str">
        <f>IFERROR(__xludf.DUMMYFUNCTION("""COMPUTED_VALUE"""),"A Saya suka belajar saya teratur dan ada waktu-waktu tertentu untuk belajar.")</f>
        <v>A Saya suka belajar saya teratur dan ada waktu-waktu tertentu untuk belajar.</v>
      </c>
      <c r="CJ62" s="95" t="str">
        <f>IFERROR(__xludf.DUMMYFUNCTION("""COMPUTED_VALUE"""),"B Saya suka kalau bercerita tentang hal-hal pribadi yang seharusnya tidak perlu diketahui orang lain.")</f>
        <v>B Saya suka kalau bercerita tentang hal-hal pribadi yang seharusnya tidak perlu diketahui orang lain.</v>
      </c>
      <c r="CK62" s="95" t="str">
        <f>IFERROR(__xludf.DUMMYFUNCTION("""COMPUTED_VALUE"""),"B Saya senang ikut beraktivitas bersama teman sebaya saya.")</f>
        <v>B Saya senang ikut beraktivitas bersama teman sebaya saya.</v>
      </c>
      <c r="CL62" s="95" t="str">
        <f>IFERROR(__xludf.DUMMYFUNCTION("""COMPUTED_VALUE"""),"A Saya suka menolong teman-teman saya, apabila mereka dalam kesulitan.")</f>
        <v>A Saya suka menolong teman-teman saya, apabila mereka dalam kesulitan.</v>
      </c>
      <c r="CM62" s="95" t="str">
        <f>IFERROR(__xludf.DUMMYFUNCTION("""COMPUTED_VALUE"""),"B Saya merasa kagum pada seseorang.")</f>
        <v>B Saya merasa kagum pada seseorang.</v>
      </c>
      <c r="CN62" s="95" t="str">
        <f>IFERROR(__xludf.DUMMYFUNCTION("""COMPUTED_VALUE"""),"A Saya ingin diperlakukan dengan baik oleh teman-teman saya.")</f>
        <v>A Saya ingin diperlakukan dengan baik oleh teman-teman saya.</v>
      </c>
      <c r="CO62" s="95" t="str">
        <f>IFERROR(__xludf.DUMMYFUNCTION("""COMPUTED_VALUE"""),"B Saya suka memuji orang yang saya kagumi.")</f>
        <v>B Saya suka memuji orang yang saya kagumi.</v>
      </c>
      <c r="CP62" s="95" t="str">
        <f>IFERROR(__xludf.DUMMYFUNCTION("""COMPUTED_VALUE"""),"B Saya ingin dianggap menarik oleh orang lain.")</f>
        <v>B Saya ingin dianggap menarik oleh orang lain.</v>
      </c>
      <c r="CQ62" s="95" t="str">
        <f>IFERROR(__xludf.DUMMYFUNCTION("""COMPUTED_VALUE"""),"A Saya ingin menggertak orang bila saya berbeda pendapat dengan mereka.")</f>
        <v>A Saya ingin menggertak orang bila saya berbeda pendapat dengan mereka.</v>
      </c>
      <c r="CR62" s="95" t="str">
        <f>IFERROR(__xludf.DUMMYFUNCTION("""COMPUTED_VALUE"""),"B Saya rasanya ingin mengecam seseorang bila orang itu menjengkelkan.")</f>
        <v>B Saya rasanya ingin mengecam seseorang bila orang itu menjengkelkan.</v>
      </c>
      <c r="CS62" s="95" t="str">
        <f>IFERROR(__xludf.DUMMYFUNCTION("""COMPUTED_VALUE"""),"A Saya ingin terlihat menarik di depan teman-teman saya.")</f>
        <v>A Saya ingin terlihat menarik di depan teman-teman saya.</v>
      </c>
      <c r="CT62" s="95" t="str">
        <f>IFERROR(__xludf.DUMMYFUNCTION("""COMPUTED_VALUE"""),"A Saya ingin orang-orang memperhatikan komentar mengenai penampilan saya.")</f>
        <v>A Saya ingin orang-orang memperhatikan komentar mengenai penampilan saya.</v>
      </c>
      <c r="CU62" s="95" t="str">
        <f>IFERROR(__xludf.DUMMYFUNCTION("""COMPUTED_VALUE"""),"A Saya ingin diperlakukan dengan ramah oleh teman-teman saya.")</f>
        <v>A Saya ingin diperlakukan dengan ramah oleh teman-teman saya.</v>
      </c>
      <c r="CV62" s="95" t="str">
        <f>IFERROR(__xludf.DUMMYFUNCTION("""COMPUTED_VALUE"""),"B Saya menyerang pendirian-pendirian yang bertentangan dengan pendirian saya.")</f>
        <v>B Saya menyerang pendirian-pendirian yang bertentangan dengan pendirian saya.</v>
      </c>
      <c r="CW62" s="95" t="str">
        <f>IFERROR(__xludf.DUMMYFUNCTION("""COMPUTED_VALUE"""),"A Saya suka menolong teman-teman saya, apabila mereka dalam kesulitan.")</f>
        <v>A Saya suka menolong teman-teman saya, apabila mereka dalam kesulitan.</v>
      </c>
      <c r="CX62" s="95" t="str">
        <f>IFERROR(__xludf.DUMMYFUNCTION("""COMPUTED_VALUE"""),"A Saya suka belajar sampai malam untuk menyelesaikan suatu tugas.")</f>
        <v>A Saya suka belajar sampai malam untuk menyelesaikan suatu tugas.</v>
      </c>
      <c r="CY62" s="95" t="str">
        <f>IFERROR(__xludf.DUMMYFUNCTION("""COMPUTED_VALUE"""),"A Saya ingin tidak tergantung dari orang lain terhadap apa yang akan saya lakukan.")</f>
        <v>A Saya ingin tidak tergantung dari orang lain terhadap apa yang akan saya lakukan.</v>
      </c>
      <c r="CZ62" s="95" t="str">
        <f>IFERROR(__xludf.DUMMYFUNCTION("""COMPUTED_VALUE"""),"A Saya suka merencanakan dan mengatur setiap pekerjaan yang harus saya lakukan.")</f>
        <v>A Saya suka merencanakan dan mengatur setiap pekerjaan yang harus saya lakukan.</v>
      </c>
      <c r="DA62" s="95" t="str">
        <f>IFERROR(__xludf.DUMMYFUNCTION("""COMPUTED_VALUE"""),"A Saya ingin melakukan apa saja sebaik mungkin.")</f>
        <v>A Saya ingin melakukan apa saja sebaik mungkin.</v>
      </c>
      <c r="DB62" s="89" t="s">
        <v>23</v>
      </c>
      <c r="DC62" s="97" t="str">
        <f t="shared" ref="DC62:GX62" si="107">LEFT(F62,1)</f>
        <v>B</v>
      </c>
      <c r="DD62" s="97" t="str">
        <f t="shared" si="107"/>
        <v>A</v>
      </c>
      <c r="DE62" s="97" t="str">
        <f t="shared" si="107"/>
        <v>B</v>
      </c>
      <c r="DF62" s="97" t="str">
        <f t="shared" si="107"/>
        <v>B</v>
      </c>
      <c r="DG62" s="97" t="str">
        <f t="shared" si="107"/>
        <v>B</v>
      </c>
      <c r="DH62" s="97" t="str">
        <f t="shared" si="107"/>
        <v>A</v>
      </c>
      <c r="DI62" s="97" t="str">
        <f t="shared" si="107"/>
        <v>A</v>
      </c>
      <c r="DJ62" s="97" t="str">
        <f t="shared" si="107"/>
        <v>B</v>
      </c>
      <c r="DK62" s="97" t="str">
        <f t="shared" si="107"/>
        <v>B</v>
      </c>
      <c r="DL62" s="97" t="str">
        <f t="shared" si="107"/>
        <v>B</v>
      </c>
      <c r="DM62" s="97" t="str">
        <f t="shared" si="107"/>
        <v>B</v>
      </c>
      <c r="DN62" s="97" t="str">
        <f t="shared" si="107"/>
        <v>B</v>
      </c>
      <c r="DO62" s="97" t="str">
        <f t="shared" si="107"/>
        <v>B</v>
      </c>
      <c r="DP62" s="97" t="str">
        <f t="shared" si="107"/>
        <v>B</v>
      </c>
      <c r="DQ62" s="97" t="str">
        <f t="shared" si="107"/>
        <v>B</v>
      </c>
      <c r="DR62" s="97" t="str">
        <f t="shared" si="107"/>
        <v>A</v>
      </c>
      <c r="DS62" s="97" t="str">
        <f t="shared" si="107"/>
        <v>A</v>
      </c>
      <c r="DT62" s="97" t="str">
        <f t="shared" si="107"/>
        <v>B</v>
      </c>
      <c r="DU62" s="97" t="str">
        <f t="shared" si="107"/>
        <v>B</v>
      </c>
      <c r="DV62" s="97" t="str">
        <f t="shared" si="107"/>
        <v>A</v>
      </c>
      <c r="DW62" s="97" t="str">
        <f t="shared" si="107"/>
        <v>A</v>
      </c>
      <c r="DX62" s="97" t="str">
        <f t="shared" si="107"/>
        <v>A</v>
      </c>
      <c r="DY62" s="97" t="str">
        <f t="shared" si="107"/>
        <v>B</v>
      </c>
      <c r="DZ62" s="97" t="str">
        <f t="shared" si="107"/>
        <v>A</v>
      </c>
      <c r="EA62" s="97" t="str">
        <f t="shared" si="107"/>
        <v>B</v>
      </c>
      <c r="EB62" s="97" t="str">
        <f t="shared" si="107"/>
        <v>A</v>
      </c>
      <c r="EC62" s="97" t="str">
        <f t="shared" si="107"/>
        <v>A</v>
      </c>
      <c r="ED62" s="97" t="str">
        <f t="shared" si="107"/>
        <v>B</v>
      </c>
      <c r="EE62" s="97" t="str">
        <f t="shared" si="107"/>
        <v>B</v>
      </c>
      <c r="EF62" s="97" t="str">
        <f t="shared" si="107"/>
        <v>B</v>
      </c>
      <c r="EG62" s="97" t="str">
        <f t="shared" si="107"/>
        <v>B</v>
      </c>
      <c r="EH62" s="97" t="str">
        <f t="shared" si="107"/>
        <v>B</v>
      </c>
      <c r="EI62" s="97" t="str">
        <f t="shared" si="107"/>
        <v>A</v>
      </c>
      <c r="EJ62" s="97" t="str">
        <f t="shared" si="107"/>
        <v>B</v>
      </c>
      <c r="EK62" s="97" t="str">
        <f t="shared" si="107"/>
        <v>B</v>
      </c>
      <c r="EL62" s="97" t="str">
        <f t="shared" si="107"/>
        <v>B</v>
      </c>
      <c r="EM62" s="97" t="str">
        <f t="shared" si="107"/>
        <v>A</v>
      </c>
      <c r="EN62" s="97" t="str">
        <f t="shared" si="107"/>
        <v>B</v>
      </c>
      <c r="EO62" s="97" t="str">
        <f t="shared" si="107"/>
        <v>B</v>
      </c>
      <c r="EP62" s="97" t="str">
        <f t="shared" si="107"/>
        <v>B</v>
      </c>
      <c r="EQ62" s="97" t="str">
        <f t="shared" si="107"/>
        <v>A</v>
      </c>
      <c r="ER62" s="97" t="str">
        <f t="shared" si="107"/>
        <v>A</v>
      </c>
      <c r="ES62" s="97" t="str">
        <f t="shared" si="107"/>
        <v>B</v>
      </c>
      <c r="ET62" s="97" t="str">
        <f t="shared" si="107"/>
        <v>B</v>
      </c>
      <c r="EU62" s="97" t="str">
        <f t="shared" si="107"/>
        <v>A</v>
      </c>
      <c r="EV62" s="97" t="str">
        <f t="shared" si="107"/>
        <v>B</v>
      </c>
      <c r="EW62" s="97" t="str">
        <f t="shared" si="107"/>
        <v>B</v>
      </c>
      <c r="EX62" s="97" t="str">
        <f t="shared" si="107"/>
        <v>B</v>
      </c>
      <c r="EY62" s="97" t="str">
        <f t="shared" si="107"/>
        <v>B</v>
      </c>
      <c r="EZ62" s="97" t="str">
        <f t="shared" si="107"/>
        <v>B</v>
      </c>
      <c r="FA62" s="97" t="str">
        <f t="shared" si="107"/>
        <v>A</v>
      </c>
      <c r="FB62" s="97" t="str">
        <f t="shared" si="107"/>
        <v>A</v>
      </c>
      <c r="FC62" s="97" t="str">
        <f t="shared" si="107"/>
        <v>B</v>
      </c>
      <c r="FD62" s="97" t="str">
        <f t="shared" si="107"/>
        <v>A</v>
      </c>
      <c r="FE62" s="97" t="str">
        <f t="shared" si="107"/>
        <v>B</v>
      </c>
      <c r="FF62" s="97" t="str">
        <f t="shared" si="107"/>
        <v>B</v>
      </c>
      <c r="FG62" s="97" t="str">
        <f t="shared" si="107"/>
        <v>A</v>
      </c>
      <c r="FH62" s="97" t="str">
        <f t="shared" si="107"/>
        <v>A</v>
      </c>
      <c r="FI62" s="97" t="str">
        <f t="shared" si="107"/>
        <v>A</v>
      </c>
      <c r="FJ62" s="97" t="str">
        <f t="shared" si="107"/>
        <v>A</v>
      </c>
      <c r="FK62" s="97" t="str">
        <f t="shared" si="107"/>
        <v>A</v>
      </c>
      <c r="FL62" s="97" t="str">
        <f t="shared" si="107"/>
        <v>A</v>
      </c>
      <c r="FM62" s="97" t="str">
        <f t="shared" si="107"/>
        <v>A</v>
      </c>
      <c r="FN62" s="97" t="str">
        <f t="shared" si="107"/>
        <v>A</v>
      </c>
      <c r="FO62" s="97" t="str">
        <f t="shared" si="107"/>
        <v>A</v>
      </c>
      <c r="FP62" s="97" t="str">
        <f t="shared" si="107"/>
        <v>B</v>
      </c>
      <c r="FQ62" s="97" t="str">
        <f t="shared" si="107"/>
        <v>B</v>
      </c>
      <c r="FR62" s="97" t="str">
        <f t="shared" si="107"/>
        <v>B</v>
      </c>
      <c r="FS62" s="97" t="str">
        <f t="shared" si="107"/>
        <v>B</v>
      </c>
      <c r="FT62" s="97" t="str">
        <f t="shared" si="107"/>
        <v>A</v>
      </c>
      <c r="FU62" s="97" t="str">
        <f t="shared" si="107"/>
        <v>B</v>
      </c>
      <c r="FV62" s="97" t="str">
        <f t="shared" si="107"/>
        <v>B</v>
      </c>
      <c r="FW62" s="97" t="str">
        <f t="shared" si="107"/>
        <v>B</v>
      </c>
      <c r="FX62" s="97" t="str">
        <f t="shared" si="107"/>
        <v>A</v>
      </c>
      <c r="FY62" s="97" t="str">
        <f t="shared" si="107"/>
        <v>A</v>
      </c>
      <c r="FZ62" s="97" t="str">
        <f t="shared" si="107"/>
        <v>A</v>
      </c>
      <c r="GA62" s="97" t="str">
        <f t="shared" si="107"/>
        <v>A</v>
      </c>
      <c r="GB62" s="97" t="str">
        <f t="shared" si="107"/>
        <v>A</v>
      </c>
      <c r="GC62" s="97" t="str">
        <f t="shared" si="107"/>
        <v>A</v>
      </c>
      <c r="GD62" s="97" t="str">
        <f t="shared" si="107"/>
        <v>A</v>
      </c>
      <c r="GE62" s="97" t="str">
        <f t="shared" si="107"/>
        <v>A</v>
      </c>
      <c r="GF62" s="97" t="str">
        <f t="shared" si="107"/>
        <v>A</v>
      </c>
      <c r="GG62" s="97" t="str">
        <f t="shared" si="107"/>
        <v>B</v>
      </c>
      <c r="GH62" s="97" t="str">
        <f t="shared" si="107"/>
        <v>B</v>
      </c>
      <c r="GI62" s="97" t="str">
        <f t="shared" si="107"/>
        <v>A</v>
      </c>
      <c r="GJ62" s="97" t="str">
        <f t="shared" si="107"/>
        <v>B</v>
      </c>
      <c r="GK62" s="97" t="str">
        <f t="shared" si="107"/>
        <v>A</v>
      </c>
      <c r="GL62" s="97" t="str">
        <f t="shared" si="107"/>
        <v>B</v>
      </c>
      <c r="GM62" s="97" t="str">
        <f t="shared" si="107"/>
        <v>B</v>
      </c>
      <c r="GN62" s="97" t="str">
        <f t="shared" si="107"/>
        <v>A</v>
      </c>
      <c r="GO62" s="97" t="str">
        <f t="shared" si="107"/>
        <v>B</v>
      </c>
      <c r="GP62" s="97" t="str">
        <f t="shared" si="107"/>
        <v>A</v>
      </c>
      <c r="GQ62" s="97" t="str">
        <f t="shared" si="107"/>
        <v>A</v>
      </c>
      <c r="GR62" s="97" t="str">
        <f t="shared" si="107"/>
        <v>A</v>
      </c>
      <c r="GS62" s="97" t="str">
        <f t="shared" si="107"/>
        <v>B</v>
      </c>
      <c r="GT62" s="97" t="str">
        <f t="shared" si="107"/>
        <v>A</v>
      </c>
      <c r="GU62" s="97" t="str">
        <f t="shared" si="107"/>
        <v>A</v>
      </c>
      <c r="GV62" s="97" t="str">
        <f t="shared" si="107"/>
        <v>A</v>
      </c>
      <c r="GW62" s="97" t="str">
        <f t="shared" si="107"/>
        <v>A</v>
      </c>
      <c r="GX62" s="97" t="str">
        <f t="shared" si="107"/>
        <v>A</v>
      </c>
      <c r="GY62" s="98"/>
      <c r="GZ62" s="97">
        <f t="shared" si="3"/>
        <v>49</v>
      </c>
      <c r="HA62" s="97">
        <f t="shared" si="4"/>
        <v>51</v>
      </c>
      <c r="HB62" s="90">
        <f t="shared" si="5"/>
        <v>100</v>
      </c>
      <c r="HC62" s="99"/>
      <c r="HD62" s="97">
        <f t="shared" si="6"/>
        <v>8</v>
      </c>
      <c r="HE62" s="97">
        <f t="shared" si="7"/>
        <v>6</v>
      </c>
      <c r="HF62" s="90">
        <f t="shared" si="8"/>
        <v>14</v>
      </c>
      <c r="HG62" s="99"/>
      <c r="HH62" s="97">
        <f t="shared" si="9"/>
        <v>8</v>
      </c>
      <c r="HI62" s="97">
        <f t="shared" si="10"/>
        <v>7</v>
      </c>
      <c r="HJ62" s="90">
        <f t="shared" si="11"/>
        <v>15</v>
      </c>
      <c r="HK62" s="99"/>
      <c r="HL62" s="97">
        <f t="shared" si="12"/>
        <v>4</v>
      </c>
      <c r="HM62" s="97">
        <f t="shared" si="13"/>
        <v>5</v>
      </c>
      <c r="HN62" s="90">
        <f t="shared" si="14"/>
        <v>9</v>
      </c>
      <c r="HO62" s="99"/>
      <c r="HP62" s="97">
        <f t="shared" si="15"/>
        <v>6</v>
      </c>
      <c r="HQ62" s="97">
        <f t="shared" si="16"/>
        <v>8</v>
      </c>
      <c r="HR62" s="90">
        <f t="shared" si="17"/>
        <v>14</v>
      </c>
      <c r="HS62" s="99"/>
      <c r="HT62" s="97">
        <f t="shared" si="18"/>
        <v>5</v>
      </c>
      <c r="HU62" s="97">
        <f t="shared" si="19"/>
        <v>7</v>
      </c>
      <c r="HV62" s="90">
        <f t="shared" si="20"/>
        <v>12</v>
      </c>
      <c r="HW62" s="99"/>
      <c r="HX62" s="97">
        <f t="shared" si="21"/>
        <v>3</v>
      </c>
      <c r="HY62" s="97">
        <f t="shared" si="22"/>
        <v>3</v>
      </c>
      <c r="HZ62" s="90">
        <f t="shared" si="23"/>
        <v>6</v>
      </c>
      <c r="IA62" s="99"/>
      <c r="IB62" s="97">
        <f t="shared" si="24"/>
        <v>6</v>
      </c>
      <c r="IC62" s="97">
        <f t="shared" si="25"/>
        <v>4</v>
      </c>
      <c r="ID62" s="90">
        <f t="shared" si="26"/>
        <v>10</v>
      </c>
      <c r="IE62" s="99"/>
      <c r="IF62" s="97">
        <f t="shared" si="27"/>
        <v>2</v>
      </c>
      <c r="IG62" s="97">
        <f t="shared" si="28"/>
        <v>3</v>
      </c>
      <c r="IH62" s="90">
        <f t="shared" si="29"/>
        <v>5</v>
      </c>
      <c r="II62" s="99"/>
      <c r="IJ62" s="97">
        <f t="shared" si="30"/>
        <v>2</v>
      </c>
      <c r="IK62" s="97">
        <f t="shared" si="31"/>
        <v>5</v>
      </c>
      <c r="IL62" s="90">
        <f t="shared" si="32"/>
        <v>7</v>
      </c>
      <c r="IM62" s="99"/>
      <c r="IN62" s="97">
        <f t="shared" si="33"/>
        <v>3</v>
      </c>
      <c r="IO62" s="97">
        <f t="shared" si="34"/>
        <v>2</v>
      </c>
      <c r="IP62" s="90">
        <f t="shared" si="35"/>
        <v>5</v>
      </c>
      <c r="IQ62" s="99"/>
      <c r="IR62" s="99"/>
      <c r="IS62" s="100">
        <f t="shared" si="36"/>
        <v>14</v>
      </c>
      <c r="IT62" s="100">
        <f t="shared" si="37"/>
        <v>15</v>
      </c>
      <c r="IU62" s="100">
        <f t="shared" si="38"/>
        <v>9</v>
      </c>
      <c r="IV62" s="100">
        <f t="shared" si="39"/>
        <v>14</v>
      </c>
      <c r="IW62" s="100">
        <f t="shared" si="40"/>
        <v>12</v>
      </c>
      <c r="IX62" s="100">
        <f t="shared" si="41"/>
        <v>6</v>
      </c>
      <c r="IY62" s="100">
        <f t="shared" si="42"/>
        <v>10</v>
      </c>
      <c r="IZ62" s="100">
        <f t="shared" si="43"/>
        <v>5</v>
      </c>
      <c r="JA62" s="100">
        <f t="shared" si="44"/>
        <v>7</v>
      </c>
      <c r="JB62" s="101">
        <f t="shared" si="45"/>
        <v>5</v>
      </c>
      <c r="JC62" s="102">
        <f t="shared" si="46"/>
        <v>97</v>
      </c>
      <c r="JD62" s="67">
        <f t="shared" si="50"/>
        <v>0</v>
      </c>
      <c r="JE62" s="67">
        <f t="shared" si="47"/>
        <v>1</v>
      </c>
      <c r="JF62" s="67">
        <f t="shared" si="48"/>
        <v>1</v>
      </c>
    </row>
    <row r="63">
      <c r="A63" s="103">
        <f>IFERROR(__xludf.DUMMYFUNCTION("""COMPUTED_VALUE"""),45934.39283324074)</f>
        <v>45934.39283</v>
      </c>
      <c r="B63" s="95" t="str">
        <f>IFERROR(__xludf.DUMMYFUNCTION("""COMPUTED_VALUE"""),"nizar")</f>
        <v>nizar</v>
      </c>
      <c r="C63" s="96" t="str">
        <f>IFERROR(__xludf.DUMMYFUNCTION("""COMPUTED_VALUE"""),"C250009")</f>
        <v>C250009</v>
      </c>
      <c r="D63" s="96" t="str">
        <f>IFERROR(__xludf.DUMMYFUNCTION("""COMPUTED_VALUE"""),"SMA")</f>
        <v>SMA</v>
      </c>
      <c r="E63" s="96" t="str">
        <f>IFERROR(__xludf.DUMMYFUNCTION("""COMPUTED_VALUE"""),"Ya")</f>
        <v>Ya</v>
      </c>
      <c r="F63" s="95" t="str">
        <f>IFERROR(__xludf.DUMMYFUNCTION("""COMPUTED_VALUE"""),"A Saya ingin mengerjakan segala tugas lebih baik daripada orang lain.")</f>
        <v>A Saya ingin mengerjakan segala tugas lebih baik daripada orang lain.</v>
      </c>
      <c r="G63" s="95" t="str">
        <f>IFERROR(__xludf.DUMMYFUNCTION("""COMPUTED_VALUE"""),"A Saya ingin setiap tulisan saya teliti, rapi, dan tersusun dengan baik.")</f>
        <v>A Saya ingin setiap tulisan saya teliti, rapi, dan tersusun dengan baik.</v>
      </c>
      <c r="H63" s="95" t="str">
        <f>IFERROR(__xludf.DUMMYFUNCTION("""COMPUTED_VALUE"""),"A Saya ingin berbuat sesuai kata hati saya.")</f>
        <v>A Saya ingin berbuat sesuai kata hati saya.</v>
      </c>
      <c r="I63" s="95" t="str">
        <f>IFERROR(__xludf.DUMMYFUNCTION("""COMPUTED_VALUE"""),"A Saya suka belajar keras pada tiap pelajaran yang saya hadapi.")</f>
        <v>A Saya suka belajar keras pada tiap pelajaran yang saya hadapi.</v>
      </c>
      <c r="J63" s="95" t="str">
        <f>IFERROR(__xludf.DUMMYFUNCTION("""COMPUTED_VALUE"""),"A Saya suka membantu teman-teman saya apabila mereka mengalami kesulitan.")</f>
        <v>A Saya suka membantu teman-teman saya apabila mereka mengalami kesulitan.</v>
      </c>
      <c r="K63" s="95" t="str">
        <f>IFERROR(__xludf.DUMMYFUNCTION("""COMPUTED_VALUE"""),"A Saya ingin menjadi pemimpin dalam suatu kelompok.")</f>
        <v>A Saya ingin menjadi pemimpin dalam suatu kelompok.</v>
      </c>
      <c r="L63" s="95" t="str">
        <f>IFERROR(__xludf.DUMMYFUNCTION("""COMPUTED_VALUE"""),"A Saya ingin menjadi pemimpin dalam suatu kelompok")</f>
        <v>A Saya ingin menjadi pemimpin dalam suatu kelompok</v>
      </c>
      <c r="M63" s="95" t="str">
        <f>IFERROR(__xludf.DUMMYFUNCTION("""COMPUTED_VALUE"""),"B Saya ingin mengerjakan segala tugas lebih baik daripada orang lain.")</f>
        <v>B Saya ingin mengerjakan segala tugas lebih baik daripada orang lain.</v>
      </c>
      <c r="N63" s="95" t="str">
        <f>IFERROR(__xludf.DUMMYFUNCTION("""COMPUTED_VALUE"""),"B Saya suka memecahkan persoalan yang sukar bagi orang lain.")</f>
        <v>B Saya suka memecahkan persoalan yang sukar bagi orang lain.</v>
      </c>
      <c r="O63" s="95" t="str">
        <f>IFERROR(__xludf.DUMMYFUNCTION("""COMPUTED_VALUE"""),"B Saya suka melakukan tugas sebaik mungkin.")</f>
        <v>B Saya suka melakukan tugas sebaik mungkin.</v>
      </c>
      <c r="P63" s="95" t="str">
        <f>IFERROR(__xludf.DUMMYFUNCTION("""COMPUTED_VALUE"""),"B Saya ingin setiap belajar itu teratur dan direncanakan.")</f>
        <v>B Saya ingin setiap belajar itu teratur dan direncanakan.</v>
      </c>
      <c r="Q63" s="95" t="str">
        <f>IFERROR(__xludf.DUMMYFUNCTION("""COMPUTED_VALUE"""),"B Saya merencanakan keperluan yang dibutuhkan sebelum bepergian.")</f>
        <v>B Saya merencanakan keperluan yang dibutuhkan sebelum bepergian.</v>
      </c>
      <c r="R63" s="95" t="str">
        <f>IFERROR(__xludf.DUMMYFUNCTION("""COMPUTED_VALUE"""),"B Saya suka barang-barang saya tersusun rapi dan teratur.")</f>
        <v>B Saya suka barang-barang saya tersusun rapi dan teratur.</v>
      </c>
      <c r="S63" s="95" t="str">
        <f>IFERROR(__xludf.DUMMYFUNCTION("""COMPUTED_VALUE"""),"A Saya ingin agar teman-teman pengertian bila saya mengalami kesukaran.")</f>
        <v>A Saya ingin agar teman-teman pengertian bila saya mengalami kesukaran.</v>
      </c>
      <c r="T63" s="95" t="str">
        <f>IFERROR(__xludf.DUMMYFUNCTION("""COMPUTED_VALUE"""),"B Saya ingin agar hidup saya teratur sesuai cita-cita saya.")</f>
        <v>B Saya ingin agar hidup saya teratur sesuai cita-cita saya.</v>
      </c>
      <c r="U63" s="95" t="str">
        <f>IFERROR(__xludf.DUMMYFUNCTION("""COMPUTED_VALUE"""),"A Saya suka memberikan bantuan kepada teman-teman saya.")</f>
        <v>A Saya suka memberikan bantuan kepada teman-teman saya.</v>
      </c>
      <c r="V63" s="95" t="str">
        <f>IFERROR(__xludf.DUMMYFUNCTION("""COMPUTED_VALUE"""),"A Saya suka belajar sampai malam untuk menyelesaikan suatu tugas.")</f>
        <v>A Saya suka belajar sampai malam untuk menyelesaikan suatu tugas.</v>
      </c>
      <c r="W63" s="95" t="str">
        <f>IFERROR(__xludf.DUMMYFUNCTION("""COMPUTED_VALUE"""),"B Saya ingin kegiatan itu teratur dan direncanakan.")</f>
        <v>B Saya ingin kegiatan itu teratur dan direncanakan.</v>
      </c>
      <c r="X63" s="95" t="str">
        <f>IFERROR(__xludf.DUMMYFUNCTION("""COMPUTED_VALUE"""),"B Saya ingin agar hidup saya teratur sesuai cita-cita saya.")</f>
        <v>B Saya ingin agar hidup saya teratur sesuai cita-cita saya.</v>
      </c>
      <c r="Y63" s="95" t="str">
        <f>IFERROR(__xludf.DUMMYFUNCTION("""COMPUTED_VALUE"""),"A Saya suka menyelesaikan tugas-tugas yang membutuhkan ketrampilan dan usaha.")</f>
        <v>A Saya suka menyelesaikan tugas-tugas yang membutuhkan ketrampilan dan usaha.</v>
      </c>
      <c r="Z63" s="95" t="str">
        <f>IFERROR(__xludf.DUMMYFUNCTION("""COMPUTED_VALUE"""),"A Saya ingin berhasil dengan belajar yang saya lakukan.")</f>
        <v>A Saya ingin berhasil dengan belajar yang saya lakukan.</v>
      </c>
      <c r="AA63" s="95" t="str">
        <f>IFERROR(__xludf.DUMMYFUNCTION("""COMPUTED_VALUE"""),"A Saya suka menyelesaikan tugas yang telah saya rencanakan.")</f>
        <v>A Saya suka menyelesaikan tugas yang telah saya rencanakan.</v>
      </c>
      <c r="AB63" s="95" t="str">
        <f>IFERROR(__xludf.DUMMYFUNCTION("""COMPUTED_VALUE"""),"B Saya ingin menyelesaikan pekerjaan satu persatu sebelum memulai yang lain.")</f>
        <v>B Saya ingin menyelesaikan pekerjaan satu persatu sebelum memulai yang lain.</v>
      </c>
      <c r="AC63" s="95" t="str">
        <f>IFERROR(__xludf.DUMMYFUNCTION("""COMPUTED_VALUE"""),"A Saya suka menyelesaikan setiap tugas meskipun membutuhkan waktu lama.")</f>
        <v>A Saya suka menyelesaikan setiap tugas meskipun membutuhkan waktu lama.</v>
      </c>
      <c r="AD63" s="95" t="str">
        <f>IFERROR(__xludf.DUMMYFUNCTION("""COMPUTED_VALUE"""),"A Saya suka bermurah hati terhadap teman-teman saya.")</f>
        <v>A Saya suka bermurah hati terhadap teman-teman saya.</v>
      </c>
      <c r="AE63" s="95" t="str">
        <f>IFERROR(__xludf.DUMMYFUNCTION("""COMPUTED_VALUE"""),"B Saya suka melakukan hal-hal yang dianggap orang lain tidak sesuai.")</f>
        <v>B Saya suka melakukan hal-hal yang dianggap orang lain tidak sesuai.</v>
      </c>
      <c r="AF63" s="95" t="str">
        <f>IFERROR(__xludf.DUMMYFUNCTION("""COMPUTED_VALUE"""),"B Saya suka melakukan hal-hal dengan cara saya sendiri.")</f>
        <v>B Saya suka melakukan hal-hal dengan cara saya sendiri.</v>
      </c>
      <c r="AG63" s="95" t="str">
        <f>IFERROR(__xludf.DUMMYFUNCTION("""COMPUTED_VALUE"""),"B Saya ingin berhasil dengan tugas yang saya lakukan.")</f>
        <v>B Saya ingin berhasil dengan tugas yang saya lakukan.</v>
      </c>
      <c r="AH63" s="95" t="str">
        <f>IFERROR(__xludf.DUMMYFUNCTION("""COMPUTED_VALUE"""),"A Saya suka membaca buku-buku tentang pergaulan remaja.")</f>
        <v>A Saya suka membaca buku-buku tentang pergaulan remaja.</v>
      </c>
      <c r="AI63" s="95" t="str">
        <f>IFERROR(__xludf.DUMMYFUNCTION("""COMPUTED_VALUE"""),"B Saya suka melakukan kegiatan sesuai kondisi yang saya inginkan.")</f>
        <v>B Saya suka melakukan kegiatan sesuai kondisi yang saya inginkan.</v>
      </c>
      <c r="AJ63" s="95" t="str">
        <f>IFERROR(__xludf.DUMMYFUNCTION("""COMPUTED_VALUE"""),"B Saya suka bertahan menghadapi satu masalah meskipun belum tentu berhasil.")</f>
        <v>B Saya suka bertahan menghadapi satu masalah meskipun belum tentu berhasil.</v>
      </c>
      <c r="AK63" s="95" t="str">
        <f>IFERROR(__xludf.DUMMYFUNCTION("""COMPUTED_VALUE"""),"B Bila saya harus melakukan suatu tugas, saya ingin mengerjakan sampai selesai.")</f>
        <v>B Bila saya harus melakukan suatu tugas, saya ingin mengerjakan sampai selesai.</v>
      </c>
      <c r="AL63" s="95" t="str">
        <f>IFERROR(__xludf.DUMMYFUNCTION("""COMPUTED_VALUE"""),"B Saya ingin menghindarkan gangguan bila saya sedang belajar.")</f>
        <v>B Saya ingin menghindarkan gangguan bila saya sedang belajar.</v>
      </c>
      <c r="AM63" s="95" t="str">
        <f>IFERROR(__xludf.DUMMYFUNCTION("""COMPUTED_VALUE"""),"B Saya suka belajar sampai malam untuk menyelesaikan suatu tugas.")</f>
        <v>B Saya suka belajar sampai malam untuk menyelesaikan suatu tugas.</v>
      </c>
      <c r="AN63" s="95" t="str">
        <f>IFERROR(__xludf.DUMMYFUNCTION("""COMPUTED_VALUE"""),"B Saya ingin bekerja berjam-jam tanpa diganggu.")</f>
        <v>B Saya ingin bekerja berjam-jam tanpa diganggu.</v>
      </c>
      <c r="AO63" s="95" t="str">
        <f>IFERROR(__xludf.DUMMYFUNCTION("""COMPUTED_VALUE"""),"A Saya suka berlaku sangat ramah terhadap teman-teman saya.")</f>
        <v>A Saya suka berlaku sangat ramah terhadap teman-teman saya.</v>
      </c>
      <c r="AP63" s="95" t="str">
        <f>IFERROR(__xludf.DUMMYFUNCTION("""COMPUTED_VALUE"""),"B Saya suka bertahan menghadapi satu masalah meskipun belum tentu berhasil.")</f>
        <v>B Saya suka bertahan menghadapi satu masalah meskipun belum tentu berhasil.</v>
      </c>
      <c r="AQ63" s="95" t="str">
        <f>IFERROR(__xludf.DUMMYFUNCTION("""COMPUTED_VALUE"""),"A Saya ingin bisa mengerjakan segala sesuatu lebih baik daripada orang-orang lain.")</f>
        <v>A Saya ingin bisa mengerjakan segala sesuatu lebih baik daripada orang-orang lain.</v>
      </c>
      <c r="AR63" s="95" t="str">
        <f>IFERROR(__xludf.DUMMYFUNCTION("""COMPUTED_VALUE"""),"A Saya suka menyimpan catatan secara rapi.")</f>
        <v>A Saya suka menyimpan catatan secara rapi.</v>
      </c>
      <c r="AS63" s="95" t="str">
        <f>IFERROR(__xludf.DUMMYFUNCTION("""COMPUTED_VALUE"""),"A Saya ingin dapat menyelesaikan persoalan yang dianggap sukar bagi orang lain.")</f>
        <v>A Saya ingin dapat menyelesaikan persoalan yang dianggap sukar bagi orang lain.</v>
      </c>
      <c r="AT63" s="95" t="str">
        <f>IFERROR(__xludf.DUMMYFUNCTION("""COMPUTED_VALUE"""),"B Saya suka membantu orang lain yang menurut saya perlu dikasihani.")</f>
        <v>B Saya suka membantu orang lain yang menurut saya perlu dikasihani.</v>
      </c>
      <c r="AU63" s="95" t="str">
        <f>IFERROR(__xludf.DUMMYFUNCTION("""COMPUTED_VALUE"""),"A Saya ingin menyelesaikan pekerjaan satu persatu sebelum memulai yang lain.")</f>
        <v>A Saya ingin menyelesaikan pekerjaan satu persatu sebelum memulai yang lain.</v>
      </c>
      <c r="AV63" s="95" t="str">
        <f>IFERROR(__xludf.DUMMYFUNCTION("""COMPUTED_VALUE"""),"B Saya suka menolong teman-teman saya.")</f>
        <v>B Saya suka menolong teman-teman saya.</v>
      </c>
      <c r="AW63" s="95" t="str">
        <f>IFERROR(__xludf.DUMMYFUNCTION("""COMPUTED_VALUE"""),"A Saya ingin mengerjakan tugas sampai selesai.")</f>
        <v>A Saya ingin mengerjakan tugas sampai selesai.</v>
      </c>
      <c r="AX63" s="95" t="str">
        <f>IFERROR(__xludf.DUMMYFUNCTION("""COMPUTED_VALUE"""),"A Saya suka menolong teman-teman saya apabila mereka dalam kesulitan.")</f>
        <v>A Saya suka menolong teman-teman saya apabila mereka dalam kesulitan.</v>
      </c>
      <c r="AY63" s="95" t="str">
        <f>IFERROR(__xludf.DUMMYFUNCTION("""COMPUTED_VALUE"""),"B Saya suka menolong teman-teman saya apabila mereka dalam kesulitan.")</f>
        <v>B Saya suka menolong teman-teman saya apabila mereka dalam kesulitan.</v>
      </c>
      <c r="AZ63" s="95" t="str">
        <f>IFERROR(__xludf.DUMMYFUNCTION("""COMPUTED_VALUE"""),"B Saya suka menunjukkan simpati saya kepada teman-teman saya.")</f>
        <v>B Saya suka menunjukkan simpati saya kepada teman-teman saya.</v>
      </c>
      <c r="BA63" s="95" t="str">
        <f>IFERROR(__xludf.DUMMYFUNCTION("""COMPUTED_VALUE"""),"B Saya suka memperlakukan orang lain dengan baik dan ramah.")</f>
        <v>B Saya suka memperlakukan orang lain dengan baik dan ramah.</v>
      </c>
      <c r="BB63" s="95" t="str">
        <f>IFERROR(__xludf.DUMMYFUNCTION("""COMPUTED_VALUE"""),"B Saya suka bermurah hati terhadap teman-teman saya.")</f>
        <v>B Saya suka bermurah hati terhadap teman-teman saya.</v>
      </c>
      <c r="BC63" s="95" t="str">
        <f>IFERROR(__xludf.DUMMYFUNCTION("""COMPUTED_VALUE"""),"B Saya suka membantu orang lain yang menurut saya perlu dikasihani.")</f>
        <v>B Saya suka membantu orang lain yang menurut saya perlu dikasihani.</v>
      </c>
      <c r="BD63" s="95" t="str">
        <f>IFERROR(__xludf.DUMMYFUNCTION("""COMPUTED_VALUE"""),"B Saya suka bersikukuh dengan pendirian saya.")</f>
        <v>B Saya suka bersikukuh dengan pendirian saya.</v>
      </c>
      <c r="BE63" s="95" t="str">
        <f>IFERROR(__xludf.DUMMYFUNCTION("""COMPUTED_VALUE"""),"A Saya suka mendengarkan atau menceritakan hal-hal yang sebaiknya tidak diceritakan.")</f>
        <v>A Saya suka mendengarkan atau menceritakan hal-hal yang sebaiknya tidak diceritakan.</v>
      </c>
      <c r="BF63" s="95" t="str">
        <f>IFERROR(__xludf.DUMMYFUNCTION("""COMPUTED_VALUE"""),"B Bila saya dalam kelompok, saya ingin menentukan apa yang akan kita lakukan.")</f>
        <v>B Bila saya dalam kelompok, saya ingin menentukan apa yang akan kita lakukan.</v>
      </c>
      <c r="BG63" s="95" t="str">
        <f>IFERROR(__xludf.DUMMYFUNCTION("""COMPUTED_VALUE"""),"B Saya suka mengarahkan kepada orang lain apa yang harus dilakukan.")</f>
        <v>B Saya suka mengarahkan kepada orang lain apa yang harus dilakukan.</v>
      </c>
      <c r="BH63" s="95" t="str">
        <f>IFERROR(__xludf.DUMMYFUNCTION("""COMPUTED_VALUE"""),"B Apabila saya berkumpul dalam kelompok, saya ingin dihargai teman-teman.")</f>
        <v>B Apabila saya berkumpul dalam kelompok, saya ingin dihargai teman-teman.</v>
      </c>
      <c r="BI63" s="95" t="str">
        <f>IFERROR(__xludf.DUMMYFUNCTION("""COMPUTED_VALUE"""),"B Saya ingin orang lain melakukan apa yang saya kehendaki.")</f>
        <v>B Saya ingin orang lain melakukan apa yang saya kehendaki.</v>
      </c>
      <c r="BJ63" s="95" t="str">
        <f>IFERROR(__xludf.DUMMYFUNCTION("""COMPUTED_VALUE"""),"B Saya ingin menjadi pemimpin dalam kelompok di mana saya ada di situ")</f>
        <v>B Saya ingin menjadi pemimpin dalam kelompok di mana saya ada di situ</v>
      </c>
      <c r="BK63" s="95" t="str">
        <f>IFERROR(__xludf.DUMMYFUNCTION("""COMPUTED_VALUE"""),"A Saya ingin menyelesaikan pekerjaan satu persatu sebelum memulai yang lain.")</f>
        <v>A Saya ingin menyelesaikan pekerjaan satu persatu sebelum memulai yang lain.</v>
      </c>
      <c r="BL63" s="95" t="str">
        <f>IFERROR(__xludf.DUMMYFUNCTION("""COMPUTED_VALUE"""),"A Saya suka belajar saya teratur dan ada waktu-waktu tertentu untuk belajar.")</f>
        <v>A Saya suka belajar saya teratur dan ada waktu-waktu tertentu untuk belajar.</v>
      </c>
      <c r="BM63" s="95" t="str">
        <f>IFERROR(__xludf.DUMMYFUNCTION("""COMPUTED_VALUE"""),"A Saya suka melakukan pekerjaan sebaik mungkin.")</f>
        <v>A Saya suka melakukan pekerjaan sebaik mungkin.</v>
      </c>
      <c r="BN63" s="95" t="str">
        <f>IFERROR(__xludf.DUMMYFUNCTION("""COMPUTED_VALUE"""),"B Saya ingin teman-teman memberi dorongan bila saya menghadapi kegagalan.")</f>
        <v>B Saya ingin teman-teman memberi dorongan bila saya menghadapi kegagalan.</v>
      </c>
      <c r="BO63" s="95" t="str">
        <f>IFERROR(__xludf.DUMMYFUNCTION("""COMPUTED_VALUE"""),"B Saya ingin diperlakukan dengan baik oleh teman-teman saya.")</f>
        <v>B Saya ingin diperlakukan dengan baik oleh teman-teman saya.</v>
      </c>
      <c r="BP63" s="95" t="str">
        <f>IFERROR(__xludf.DUMMYFUNCTION("""COMPUTED_VALUE"""),"A Saya ingin menyelesaikan sesuatu yang sangat penting artinya.")</f>
        <v>A Saya ingin menyelesaikan sesuatu yang sangat penting artinya.</v>
      </c>
      <c r="BQ63" s="95" t="str">
        <f>IFERROR(__xludf.DUMMYFUNCTION("""COMPUTED_VALUE"""),"A Saya ingin mengerjakannya tugas sampai selesai.")</f>
        <v>A Saya ingin mengerjakannya tugas sampai selesai.</v>
      </c>
      <c r="BR63" s="95" t="str">
        <f>IFERROR(__xludf.DUMMYFUNCTION("""COMPUTED_VALUE"""),"A Saya suka memaafkan teman-teman saya yang menyakiti hati saya.")</f>
        <v>A Saya suka memaafkan teman-teman saya yang menyakiti hati saya.</v>
      </c>
      <c r="BS63" s="95" t="str">
        <f>IFERROR(__xludf.DUMMYFUNCTION("""COMPUTED_VALUE"""),"B Saya ingin teman-teman saya membantu saya bila saya mengalami kesulitan")</f>
        <v>B Saya ingin teman-teman saya membantu saya bila saya mengalami kesulitan</v>
      </c>
      <c r="BT63" s="95" t="str">
        <f>IFERROR(__xludf.DUMMYFUNCTION("""COMPUTED_VALUE"""),"A Saya ingin teman-teman saya merasa kasihan pada saya apabila saya sakit.")</f>
        <v>A Saya ingin teman-teman saya merasa kasihan pada saya apabila saya sakit.</v>
      </c>
      <c r="BU63" s="95" t="str">
        <f>IFERROR(__xludf.DUMMYFUNCTION("""COMPUTED_VALUE"""),"B Saya ingin agar teman-teman saya merasa kasihan pada saya apabila saya sakit.")</f>
        <v>B Saya ingin agar teman-teman saya merasa kasihan pada saya apabila saya sakit.</v>
      </c>
      <c r="BV63" s="95" t="str">
        <f>IFERROR(__xludf.DUMMYFUNCTION("""COMPUTED_VALUE"""),"B Saya ingin teman-teman dengan gembira memberikan pertolongan kepada saya.")</f>
        <v>B Saya ingin teman-teman dengan gembira memberikan pertolongan kepada saya.</v>
      </c>
      <c r="BW63" s="95" t="str">
        <f>IFERROR(__xludf.DUMMYFUNCTION("""COMPUTED_VALUE"""),"B Saya ingin diperlakukan dengan baik oleh teman-teman saya.")</f>
        <v>B Saya ingin diperlakukan dengan baik oleh teman-teman saya.</v>
      </c>
      <c r="BX63" s="95" t="str">
        <f>IFERROR(__xludf.DUMMYFUNCTION("""COMPUTED_VALUE"""),"B Saya kadang-kadang suka melakukan hal-hal yang dapat dipuji oleh orang lain.")</f>
        <v>B Saya kadang-kadang suka melakukan hal-hal yang dapat dipuji oleh orang lain.</v>
      </c>
      <c r="BY63" s="95" t="str">
        <f>IFERROR(__xludf.DUMMYFUNCTION("""COMPUTED_VALUE"""),"B Saya ingin orang lain memperhatikan dan berkomentar tentang penampilan saya.")</f>
        <v>B Saya ingin orang lain memperhatikan dan berkomentar tentang penampilan saya.</v>
      </c>
      <c r="BZ63" s="95" t="str">
        <f>IFERROR(__xludf.DUMMYFUNCTION("""COMPUTED_VALUE"""),"B Saya suka diperhatikan, apabila saya ada di dalam suatu kelompok.")</f>
        <v>B Saya suka diperhatikan, apabila saya ada di dalam suatu kelompok.</v>
      </c>
      <c r="CA63" s="95" t="str">
        <f>IFERROR(__xludf.DUMMYFUNCTION("""COMPUTED_VALUE"""),"A Saya ingin teman-teman dengan gembira memberikan pertolongan kepada saya.")</f>
        <v>A Saya ingin teman-teman dengan gembira memberikan pertolongan kepada saya.</v>
      </c>
      <c r="CB63" s="95" t="str">
        <f>IFERROR(__xludf.DUMMYFUNCTION("""COMPUTED_VALUE"""),"B Saya suka berbicara tentang hal-hal yang telah saya capai.")</f>
        <v>B Saya suka berbicara tentang hal-hal yang telah saya capai.</v>
      </c>
      <c r="CC63" s="95" t="str">
        <f>IFERROR(__xludf.DUMMYFUNCTION("""COMPUTED_VALUE"""),"A Apabila saya berkumpul dalam kelompok, saya ingin dihargai teman-teman.")</f>
        <v>A Apabila saya berkumpul dalam kelompok, saya ingin dihargai teman-teman.</v>
      </c>
      <c r="CD63" s="95" t="str">
        <f>IFERROR(__xludf.DUMMYFUNCTION("""COMPUTED_VALUE"""),"A Saya suka menyelesaikan setiap tugas meskipun membutuhkan waktu lama.")</f>
        <v>A Saya suka menyelesaikan setiap tugas meskipun membutuhkan waktu lama.</v>
      </c>
      <c r="CE63" s="95" t="str">
        <f>IFERROR(__xludf.DUMMYFUNCTION("""COMPUTED_VALUE"""),"A Saya suka menyelesaikan setiap tugas belajar yang telah saya mulai.")</f>
        <v>A Saya suka menyelesaikan setiap tugas belajar yang telah saya mulai.</v>
      </c>
      <c r="CF63" s="95" t="str">
        <f>IFERROR(__xludf.DUMMYFUNCTION("""COMPUTED_VALUE"""),"A Saya ingin agar hidup saya teratur sesuai cita-cita saya.")</f>
        <v>A Saya ingin agar hidup saya teratur sesuai cita-cita saya.</v>
      </c>
      <c r="CG63" s="95" t="str">
        <f>IFERROR(__xludf.DUMMYFUNCTION("""COMPUTED_VALUE"""),"A Saya ingin berhasil dalam apa yang saya lakukan.")</f>
        <v>A Saya ingin berhasil dalam apa yang saya lakukan.</v>
      </c>
      <c r="CH63" s="95" t="str">
        <f>IFERROR(__xludf.DUMMYFUNCTION("""COMPUTED_VALUE"""),"A Saya ingin bisa melakukan dengan baik sesuatu pekerjaan sulit.")</f>
        <v>A Saya ingin bisa melakukan dengan baik sesuatu pekerjaan sulit.</v>
      </c>
      <c r="CI63" s="95" t="str">
        <f>IFERROR(__xludf.DUMMYFUNCTION("""COMPUTED_VALUE"""),"A Saya suka belajar saya teratur dan ada waktu-waktu tertentu untuk belajar.")</f>
        <v>A Saya suka belajar saya teratur dan ada waktu-waktu tertentu untuk belajar.</v>
      </c>
      <c r="CJ63" s="95" t="str">
        <f>IFERROR(__xludf.DUMMYFUNCTION("""COMPUTED_VALUE"""),"A Saya ingin tidak tergantung dari orang lain terhadap apa yang akan saya lakukan.")</f>
        <v>A Saya ingin tidak tergantung dari orang lain terhadap apa yang akan saya lakukan.</v>
      </c>
      <c r="CK63" s="95" t="str">
        <f>IFERROR(__xludf.DUMMYFUNCTION("""COMPUTED_VALUE"""),"A Saya suka bertahan menghadapi satu masalah, meskipun belum tentu berhasil.")</f>
        <v>A Saya suka bertahan menghadapi satu masalah, meskipun belum tentu berhasil.</v>
      </c>
      <c r="CL63" s="95" t="str">
        <f>IFERROR(__xludf.DUMMYFUNCTION("""COMPUTED_VALUE"""),"A Saya suka menolong teman-teman saya, apabila mereka dalam kesulitan.")</f>
        <v>A Saya suka menolong teman-teman saya, apabila mereka dalam kesulitan.</v>
      </c>
      <c r="CM63" s="95" t="str">
        <f>IFERROR(__xludf.DUMMYFUNCTION("""COMPUTED_VALUE"""),"B Saya merasa kagum pada seseorang.")</f>
        <v>B Saya merasa kagum pada seseorang.</v>
      </c>
      <c r="CN63" s="95" t="str">
        <f>IFERROR(__xludf.DUMMYFUNCTION("""COMPUTED_VALUE"""),"A Saya ingin diperlakukan dengan baik oleh teman-teman saya.")</f>
        <v>A Saya ingin diperlakukan dengan baik oleh teman-teman saya.</v>
      </c>
      <c r="CO63" s="95" t="str">
        <f>IFERROR(__xludf.DUMMYFUNCTION("""COMPUTED_VALUE"""),"B Saya suka memuji orang yang saya kagumi.")</f>
        <v>B Saya suka memuji orang yang saya kagumi.</v>
      </c>
      <c r="CP63" s="95" t="str">
        <f>IFERROR(__xludf.DUMMYFUNCTION("""COMPUTED_VALUE"""),"A Saya suka melamun atau membayangkan sesuatu sendirian.")</f>
        <v>A Saya suka melamun atau membayangkan sesuatu sendirian.</v>
      </c>
      <c r="CQ63" s="95" t="str">
        <f>IFERROR(__xludf.DUMMYFUNCTION("""COMPUTED_VALUE"""),"B Saya merasa kagum pada seseorang.")</f>
        <v>B Saya merasa kagum pada seseorang.</v>
      </c>
      <c r="CR63" s="95" t="str">
        <f>IFERROR(__xludf.DUMMYFUNCTION("""COMPUTED_VALUE"""),"B Saya rasanya ingin mengecam seseorang bila orang itu menjengkelkan.")</f>
        <v>B Saya rasanya ingin mengecam seseorang bila orang itu menjengkelkan.</v>
      </c>
      <c r="CS63" s="95" t="str">
        <f>IFERROR(__xludf.DUMMYFUNCTION("""COMPUTED_VALUE"""),"B Saya rasanya ingin membalas dendam bila seseorang menghina saya.")</f>
        <v>B Saya rasanya ingin membalas dendam bila seseorang menghina saya.</v>
      </c>
      <c r="CT63" s="95" t="str">
        <f>IFERROR(__xludf.DUMMYFUNCTION("""COMPUTED_VALUE"""),"A Saya ingin orang-orang memperhatikan komentar mengenai penampilan saya.")</f>
        <v>A Saya ingin orang-orang memperhatikan komentar mengenai penampilan saya.</v>
      </c>
      <c r="CU63" s="95" t="str">
        <f>IFERROR(__xludf.DUMMYFUNCTION("""COMPUTED_VALUE"""),"A Saya ingin diperlakukan dengan ramah oleh teman-teman saya.")</f>
        <v>A Saya ingin diperlakukan dengan ramah oleh teman-teman saya.</v>
      </c>
      <c r="CV63" s="95" t="str">
        <f>IFERROR(__xludf.DUMMYFUNCTION("""COMPUTED_VALUE"""),"A Saya ingin ditunjuk atau dipilih sebagai ketua dalam suatu kelompok.")</f>
        <v>A Saya ingin ditunjuk atau dipilih sebagai ketua dalam suatu kelompok.</v>
      </c>
      <c r="CW63" s="95" t="str">
        <f>IFERROR(__xludf.DUMMYFUNCTION("""COMPUTED_VALUE"""),"A Saya suka menolong teman-teman saya, apabila mereka dalam kesulitan.")</f>
        <v>A Saya suka menolong teman-teman saya, apabila mereka dalam kesulitan.</v>
      </c>
      <c r="CX63" s="95" t="str">
        <f>IFERROR(__xludf.DUMMYFUNCTION("""COMPUTED_VALUE"""),"A Saya suka belajar sampai malam untuk menyelesaikan suatu tugas.")</f>
        <v>A Saya suka belajar sampai malam untuk menyelesaikan suatu tugas.</v>
      </c>
      <c r="CY63" s="95" t="str">
        <f>IFERROR(__xludf.DUMMYFUNCTION("""COMPUTED_VALUE"""),"B Saya rasanya ingin membalas dendam bila seseorang menghina saya.")</f>
        <v>B Saya rasanya ingin membalas dendam bila seseorang menghina saya.</v>
      </c>
      <c r="CZ63" s="95" t="str">
        <f>IFERROR(__xludf.DUMMYFUNCTION("""COMPUTED_VALUE"""),"A Saya suka merencanakan dan mengatur setiap pekerjaan yang harus saya lakukan.")</f>
        <v>A Saya suka merencanakan dan mengatur setiap pekerjaan yang harus saya lakukan.</v>
      </c>
      <c r="DA63" s="95" t="str">
        <f>IFERROR(__xludf.DUMMYFUNCTION("""COMPUTED_VALUE"""),"A Saya ingin melakukan apa saja sebaik mungkin.")</f>
        <v>A Saya ingin melakukan apa saja sebaik mungkin.</v>
      </c>
      <c r="DB63" s="89" t="s">
        <v>23</v>
      </c>
      <c r="DC63" s="97" t="str">
        <f t="shared" ref="DC63:GX63" si="108">LEFT(F63,1)</f>
        <v>A</v>
      </c>
      <c r="DD63" s="97" t="str">
        <f t="shared" si="108"/>
        <v>A</v>
      </c>
      <c r="DE63" s="97" t="str">
        <f t="shared" si="108"/>
        <v>A</v>
      </c>
      <c r="DF63" s="97" t="str">
        <f t="shared" si="108"/>
        <v>A</v>
      </c>
      <c r="DG63" s="97" t="str">
        <f t="shared" si="108"/>
        <v>A</v>
      </c>
      <c r="DH63" s="97" t="str">
        <f t="shared" si="108"/>
        <v>A</v>
      </c>
      <c r="DI63" s="97" t="str">
        <f t="shared" si="108"/>
        <v>A</v>
      </c>
      <c r="DJ63" s="97" t="str">
        <f t="shared" si="108"/>
        <v>B</v>
      </c>
      <c r="DK63" s="97" t="str">
        <f t="shared" si="108"/>
        <v>B</v>
      </c>
      <c r="DL63" s="97" t="str">
        <f t="shared" si="108"/>
        <v>B</v>
      </c>
      <c r="DM63" s="97" t="str">
        <f t="shared" si="108"/>
        <v>B</v>
      </c>
      <c r="DN63" s="97" t="str">
        <f t="shared" si="108"/>
        <v>B</v>
      </c>
      <c r="DO63" s="97" t="str">
        <f t="shared" si="108"/>
        <v>B</v>
      </c>
      <c r="DP63" s="97" t="str">
        <f t="shared" si="108"/>
        <v>A</v>
      </c>
      <c r="DQ63" s="97" t="str">
        <f t="shared" si="108"/>
        <v>B</v>
      </c>
      <c r="DR63" s="97" t="str">
        <f t="shared" si="108"/>
        <v>A</v>
      </c>
      <c r="DS63" s="97" t="str">
        <f t="shared" si="108"/>
        <v>A</v>
      </c>
      <c r="DT63" s="97" t="str">
        <f t="shared" si="108"/>
        <v>B</v>
      </c>
      <c r="DU63" s="97" t="str">
        <f t="shared" si="108"/>
        <v>B</v>
      </c>
      <c r="DV63" s="97" t="str">
        <f t="shared" si="108"/>
        <v>A</v>
      </c>
      <c r="DW63" s="97" t="str">
        <f t="shared" si="108"/>
        <v>A</v>
      </c>
      <c r="DX63" s="97" t="str">
        <f t="shared" si="108"/>
        <v>A</v>
      </c>
      <c r="DY63" s="97" t="str">
        <f t="shared" si="108"/>
        <v>B</v>
      </c>
      <c r="DZ63" s="97" t="str">
        <f t="shared" si="108"/>
        <v>A</v>
      </c>
      <c r="EA63" s="97" t="str">
        <f t="shared" si="108"/>
        <v>A</v>
      </c>
      <c r="EB63" s="97" t="str">
        <f t="shared" si="108"/>
        <v>B</v>
      </c>
      <c r="EC63" s="97" t="str">
        <f t="shared" si="108"/>
        <v>B</v>
      </c>
      <c r="ED63" s="97" t="str">
        <f t="shared" si="108"/>
        <v>B</v>
      </c>
      <c r="EE63" s="97" t="str">
        <f t="shared" si="108"/>
        <v>A</v>
      </c>
      <c r="EF63" s="97" t="str">
        <f t="shared" si="108"/>
        <v>B</v>
      </c>
      <c r="EG63" s="97" t="str">
        <f t="shared" si="108"/>
        <v>B</v>
      </c>
      <c r="EH63" s="97" t="str">
        <f t="shared" si="108"/>
        <v>B</v>
      </c>
      <c r="EI63" s="97" t="str">
        <f t="shared" si="108"/>
        <v>B</v>
      </c>
      <c r="EJ63" s="97" t="str">
        <f t="shared" si="108"/>
        <v>B</v>
      </c>
      <c r="EK63" s="97" t="str">
        <f t="shared" si="108"/>
        <v>B</v>
      </c>
      <c r="EL63" s="97" t="str">
        <f t="shared" si="108"/>
        <v>A</v>
      </c>
      <c r="EM63" s="97" t="str">
        <f t="shared" si="108"/>
        <v>B</v>
      </c>
      <c r="EN63" s="97" t="str">
        <f t="shared" si="108"/>
        <v>A</v>
      </c>
      <c r="EO63" s="97" t="str">
        <f t="shared" si="108"/>
        <v>A</v>
      </c>
      <c r="EP63" s="97" t="str">
        <f t="shared" si="108"/>
        <v>A</v>
      </c>
      <c r="EQ63" s="97" t="str">
        <f t="shared" si="108"/>
        <v>B</v>
      </c>
      <c r="ER63" s="97" t="str">
        <f t="shared" si="108"/>
        <v>A</v>
      </c>
      <c r="ES63" s="97" t="str">
        <f t="shared" si="108"/>
        <v>B</v>
      </c>
      <c r="ET63" s="97" t="str">
        <f t="shared" si="108"/>
        <v>A</v>
      </c>
      <c r="EU63" s="97" t="str">
        <f t="shared" si="108"/>
        <v>A</v>
      </c>
      <c r="EV63" s="97" t="str">
        <f t="shared" si="108"/>
        <v>B</v>
      </c>
      <c r="EW63" s="97" t="str">
        <f t="shared" si="108"/>
        <v>B</v>
      </c>
      <c r="EX63" s="97" t="str">
        <f t="shared" si="108"/>
        <v>B</v>
      </c>
      <c r="EY63" s="97" t="str">
        <f t="shared" si="108"/>
        <v>B</v>
      </c>
      <c r="EZ63" s="97" t="str">
        <f t="shared" si="108"/>
        <v>B</v>
      </c>
      <c r="FA63" s="97" t="str">
        <f t="shared" si="108"/>
        <v>B</v>
      </c>
      <c r="FB63" s="97" t="str">
        <f t="shared" si="108"/>
        <v>A</v>
      </c>
      <c r="FC63" s="97" t="str">
        <f t="shared" si="108"/>
        <v>B</v>
      </c>
      <c r="FD63" s="97" t="str">
        <f t="shared" si="108"/>
        <v>B</v>
      </c>
      <c r="FE63" s="97" t="str">
        <f t="shared" si="108"/>
        <v>B</v>
      </c>
      <c r="FF63" s="97" t="str">
        <f t="shared" si="108"/>
        <v>B</v>
      </c>
      <c r="FG63" s="97" t="str">
        <f t="shared" si="108"/>
        <v>B</v>
      </c>
      <c r="FH63" s="97" t="str">
        <f t="shared" si="108"/>
        <v>A</v>
      </c>
      <c r="FI63" s="97" t="str">
        <f t="shared" si="108"/>
        <v>A</v>
      </c>
      <c r="FJ63" s="97" t="str">
        <f t="shared" si="108"/>
        <v>A</v>
      </c>
      <c r="FK63" s="97" t="str">
        <f t="shared" si="108"/>
        <v>B</v>
      </c>
      <c r="FL63" s="97" t="str">
        <f t="shared" si="108"/>
        <v>B</v>
      </c>
      <c r="FM63" s="97" t="str">
        <f t="shared" si="108"/>
        <v>A</v>
      </c>
      <c r="FN63" s="97" t="str">
        <f t="shared" si="108"/>
        <v>A</v>
      </c>
      <c r="FO63" s="97" t="str">
        <f t="shared" si="108"/>
        <v>A</v>
      </c>
      <c r="FP63" s="97" t="str">
        <f t="shared" si="108"/>
        <v>B</v>
      </c>
      <c r="FQ63" s="97" t="str">
        <f t="shared" si="108"/>
        <v>A</v>
      </c>
      <c r="FR63" s="97" t="str">
        <f t="shared" si="108"/>
        <v>B</v>
      </c>
      <c r="FS63" s="97" t="str">
        <f t="shared" si="108"/>
        <v>B</v>
      </c>
      <c r="FT63" s="97" t="str">
        <f t="shared" si="108"/>
        <v>B</v>
      </c>
      <c r="FU63" s="97" t="str">
        <f t="shared" si="108"/>
        <v>B</v>
      </c>
      <c r="FV63" s="97" t="str">
        <f t="shared" si="108"/>
        <v>B</v>
      </c>
      <c r="FW63" s="97" t="str">
        <f t="shared" si="108"/>
        <v>B</v>
      </c>
      <c r="FX63" s="97" t="str">
        <f t="shared" si="108"/>
        <v>A</v>
      </c>
      <c r="FY63" s="97" t="str">
        <f t="shared" si="108"/>
        <v>B</v>
      </c>
      <c r="FZ63" s="97" t="str">
        <f t="shared" si="108"/>
        <v>A</v>
      </c>
      <c r="GA63" s="97" t="str">
        <f t="shared" si="108"/>
        <v>A</v>
      </c>
      <c r="GB63" s="97" t="str">
        <f t="shared" si="108"/>
        <v>A</v>
      </c>
      <c r="GC63" s="97" t="str">
        <f t="shared" si="108"/>
        <v>A</v>
      </c>
      <c r="GD63" s="97" t="str">
        <f t="shared" si="108"/>
        <v>A</v>
      </c>
      <c r="GE63" s="97" t="str">
        <f t="shared" si="108"/>
        <v>A</v>
      </c>
      <c r="GF63" s="97" t="str">
        <f t="shared" si="108"/>
        <v>A</v>
      </c>
      <c r="GG63" s="97" t="str">
        <f t="shared" si="108"/>
        <v>A</v>
      </c>
      <c r="GH63" s="97" t="str">
        <f t="shared" si="108"/>
        <v>A</v>
      </c>
      <c r="GI63" s="97" t="str">
        <f t="shared" si="108"/>
        <v>A</v>
      </c>
      <c r="GJ63" s="97" t="str">
        <f t="shared" si="108"/>
        <v>B</v>
      </c>
      <c r="GK63" s="97" t="str">
        <f t="shared" si="108"/>
        <v>A</v>
      </c>
      <c r="GL63" s="97" t="str">
        <f t="shared" si="108"/>
        <v>B</v>
      </c>
      <c r="GM63" s="97" t="str">
        <f t="shared" si="108"/>
        <v>A</v>
      </c>
      <c r="GN63" s="97" t="str">
        <f t="shared" si="108"/>
        <v>B</v>
      </c>
      <c r="GO63" s="97" t="str">
        <f t="shared" si="108"/>
        <v>B</v>
      </c>
      <c r="GP63" s="97" t="str">
        <f t="shared" si="108"/>
        <v>B</v>
      </c>
      <c r="GQ63" s="97" t="str">
        <f t="shared" si="108"/>
        <v>A</v>
      </c>
      <c r="GR63" s="97" t="str">
        <f t="shared" si="108"/>
        <v>A</v>
      </c>
      <c r="GS63" s="97" t="str">
        <f t="shared" si="108"/>
        <v>A</v>
      </c>
      <c r="GT63" s="97" t="str">
        <f t="shared" si="108"/>
        <v>A</v>
      </c>
      <c r="GU63" s="97" t="str">
        <f t="shared" si="108"/>
        <v>A</v>
      </c>
      <c r="GV63" s="97" t="str">
        <f t="shared" si="108"/>
        <v>B</v>
      </c>
      <c r="GW63" s="97" t="str">
        <f t="shared" si="108"/>
        <v>A</v>
      </c>
      <c r="GX63" s="97" t="str">
        <f t="shared" si="108"/>
        <v>A</v>
      </c>
      <c r="GY63" s="98"/>
      <c r="GZ63" s="97">
        <f t="shared" si="3"/>
        <v>51</v>
      </c>
      <c r="HA63" s="97">
        <f t="shared" si="4"/>
        <v>49</v>
      </c>
      <c r="HB63" s="90">
        <f t="shared" si="5"/>
        <v>100</v>
      </c>
      <c r="HC63" s="99"/>
      <c r="HD63" s="97">
        <f t="shared" si="6"/>
        <v>7</v>
      </c>
      <c r="HE63" s="97">
        <f t="shared" si="7"/>
        <v>3</v>
      </c>
      <c r="HF63" s="90">
        <f t="shared" si="8"/>
        <v>10</v>
      </c>
      <c r="HG63" s="99"/>
      <c r="HH63" s="97">
        <f t="shared" si="9"/>
        <v>8</v>
      </c>
      <c r="HI63" s="97">
        <f t="shared" si="10"/>
        <v>6</v>
      </c>
      <c r="HJ63" s="90">
        <f t="shared" si="11"/>
        <v>14</v>
      </c>
      <c r="HK63" s="99"/>
      <c r="HL63" s="97">
        <f t="shared" si="12"/>
        <v>6</v>
      </c>
      <c r="HM63" s="97">
        <f t="shared" si="13"/>
        <v>5</v>
      </c>
      <c r="HN63" s="90">
        <f t="shared" si="14"/>
        <v>11</v>
      </c>
      <c r="HO63" s="99"/>
      <c r="HP63" s="97">
        <f t="shared" si="15"/>
        <v>8</v>
      </c>
      <c r="HQ63" s="97">
        <f t="shared" si="16"/>
        <v>6</v>
      </c>
      <c r="HR63" s="90">
        <f t="shared" si="17"/>
        <v>14</v>
      </c>
      <c r="HS63" s="99"/>
      <c r="HT63" s="97">
        <f t="shared" si="18"/>
        <v>8</v>
      </c>
      <c r="HU63" s="97">
        <f t="shared" si="19"/>
        <v>7</v>
      </c>
      <c r="HV63" s="90">
        <f t="shared" si="20"/>
        <v>15</v>
      </c>
      <c r="HW63" s="99"/>
      <c r="HX63" s="97">
        <f t="shared" si="21"/>
        <v>2</v>
      </c>
      <c r="HY63" s="97">
        <f t="shared" si="22"/>
        <v>6</v>
      </c>
      <c r="HZ63" s="90">
        <f t="shared" si="23"/>
        <v>8</v>
      </c>
      <c r="IA63" s="99"/>
      <c r="IB63" s="97">
        <f t="shared" si="24"/>
        <v>5</v>
      </c>
      <c r="IC63" s="97">
        <f t="shared" si="25"/>
        <v>6</v>
      </c>
      <c r="ID63" s="90">
        <f t="shared" si="26"/>
        <v>11</v>
      </c>
      <c r="IE63" s="99"/>
      <c r="IF63" s="97">
        <f t="shared" si="27"/>
        <v>1</v>
      </c>
      <c r="IG63" s="97">
        <f t="shared" si="28"/>
        <v>4</v>
      </c>
      <c r="IH63" s="90">
        <f t="shared" si="29"/>
        <v>5</v>
      </c>
      <c r="II63" s="99"/>
      <c r="IJ63" s="97">
        <f t="shared" si="30"/>
        <v>2</v>
      </c>
      <c r="IK63" s="97">
        <f t="shared" si="31"/>
        <v>3</v>
      </c>
      <c r="IL63" s="90">
        <f t="shared" si="32"/>
        <v>5</v>
      </c>
      <c r="IM63" s="99"/>
      <c r="IN63" s="97">
        <f t="shared" si="33"/>
        <v>0</v>
      </c>
      <c r="IO63" s="97">
        <f t="shared" si="34"/>
        <v>3</v>
      </c>
      <c r="IP63" s="90">
        <f t="shared" si="35"/>
        <v>3</v>
      </c>
      <c r="IQ63" s="99"/>
      <c r="IR63" s="99"/>
      <c r="IS63" s="100">
        <f t="shared" si="36"/>
        <v>10</v>
      </c>
      <c r="IT63" s="100">
        <f t="shared" si="37"/>
        <v>14</v>
      </c>
      <c r="IU63" s="100">
        <f t="shared" si="38"/>
        <v>11</v>
      </c>
      <c r="IV63" s="100">
        <f t="shared" si="39"/>
        <v>14</v>
      </c>
      <c r="IW63" s="100">
        <f t="shared" si="40"/>
        <v>15</v>
      </c>
      <c r="IX63" s="100">
        <f t="shared" si="41"/>
        <v>8</v>
      </c>
      <c r="IY63" s="100">
        <f t="shared" si="42"/>
        <v>11</v>
      </c>
      <c r="IZ63" s="100">
        <f t="shared" si="43"/>
        <v>5</v>
      </c>
      <c r="JA63" s="100">
        <f t="shared" si="44"/>
        <v>5</v>
      </c>
      <c r="JB63" s="101">
        <f t="shared" si="45"/>
        <v>3</v>
      </c>
      <c r="JC63" s="102">
        <f t="shared" si="46"/>
        <v>96</v>
      </c>
      <c r="JD63" s="67">
        <f t="shared" si="50"/>
        <v>0</v>
      </c>
      <c r="JE63" s="67">
        <f t="shared" si="47"/>
        <v>1</v>
      </c>
      <c r="JF63" s="67">
        <f t="shared" si="48"/>
        <v>1</v>
      </c>
    </row>
    <row r="64">
      <c r="A64" s="103">
        <f>IFERROR(__xludf.DUMMYFUNCTION("""COMPUTED_VALUE"""),45934.437218437495)</f>
        <v>45934.43722</v>
      </c>
      <c r="B64" s="95" t="str">
        <f>IFERROR(__xludf.DUMMYFUNCTION("""COMPUTED_VALUE"""),"ARRAYYAN ABDUR RASHID")</f>
        <v>ARRAYYAN ABDUR RASHID</v>
      </c>
      <c r="C64" s="96" t="str">
        <f>IFERROR(__xludf.DUMMYFUNCTION("""COMPUTED_VALUE"""),"A250015")</f>
        <v>A250015</v>
      </c>
      <c r="D64" s="96" t="str">
        <f>IFERROR(__xludf.DUMMYFUNCTION("""COMPUTED_VALUE"""),"MTs Putra")</f>
        <v>MTs Putra</v>
      </c>
      <c r="E64" s="96" t="str">
        <f>IFERROR(__xludf.DUMMYFUNCTION("""COMPUTED_VALUE"""),"Ya")</f>
        <v>Ya</v>
      </c>
      <c r="F64" s="95" t="str">
        <f>IFERROR(__xludf.DUMMYFUNCTION("""COMPUTED_VALUE"""),"B Saya ingin melakukan apa saja sebaik mungkin.")</f>
        <v>B Saya ingin melakukan apa saja sebaik mungkin.</v>
      </c>
      <c r="G64" s="95" t="str">
        <f>IFERROR(__xludf.DUMMYFUNCTION("""COMPUTED_VALUE"""),"A Saya ingin setiap tulisan saya teliti, rapi, dan tersusun dengan baik.")</f>
        <v>A Saya ingin setiap tulisan saya teliti, rapi, dan tersusun dengan baik.</v>
      </c>
      <c r="H64" s="95" t="str">
        <f>IFERROR(__xludf.DUMMYFUNCTION("""COMPUTED_VALUE"""),"B Saya ingin menjadi orang yang diakui dalam suatu pekerjaan atau bidang khusus.")</f>
        <v>B Saya ingin menjadi orang yang diakui dalam suatu pekerjaan atau bidang khusus.</v>
      </c>
      <c r="I64" s="95" t="str">
        <f>IFERROR(__xludf.DUMMYFUNCTION("""COMPUTED_VALUE"""),"B Saya ingin bisa melakukan dengan baik meskipun tugas yang sulit.")</f>
        <v>B Saya ingin bisa melakukan dengan baik meskipun tugas yang sulit.</v>
      </c>
      <c r="J64" s="95" t="str">
        <f>IFERROR(__xludf.DUMMYFUNCTION("""COMPUTED_VALUE"""),"B Saya ingin mengerjakan tugas sebaik mungkin.")</f>
        <v>B Saya ingin mengerjakan tugas sebaik mungkin.</v>
      </c>
      <c r="K64" s="95" t="str">
        <f>IFERROR(__xludf.DUMMYFUNCTION("""COMPUTED_VALUE"""),"A Saya ingin menjadi pemimpin dalam suatu kelompok.")</f>
        <v>A Saya ingin menjadi pemimpin dalam suatu kelompok.</v>
      </c>
      <c r="L64" s="95" t="str">
        <f>IFERROR(__xludf.DUMMYFUNCTION("""COMPUTED_VALUE"""),"A Saya ingin menjadi pemimpin dalam suatu kelompok")</f>
        <v>A Saya ingin menjadi pemimpin dalam suatu kelompok</v>
      </c>
      <c r="M64" s="95" t="str">
        <f>IFERROR(__xludf.DUMMYFUNCTION("""COMPUTED_VALUE"""),"A Saya suka berbicara tentang hal-hal yang telah berhasil saya lakukan.")</f>
        <v>A Saya suka berbicara tentang hal-hal yang telah berhasil saya lakukan.</v>
      </c>
      <c r="N64" s="95" t="str">
        <f>IFERROR(__xludf.DUMMYFUNCTION("""COMPUTED_VALUE"""),"A Saya suka pergi dengan pakaian rapi agar lebih menarik perhatian orang lain.")</f>
        <v>A Saya suka pergi dengan pakaian rapi agar lebih menarik perhatian orang lain.</v>
      </c>
      <c r="O64" s="95" t="str">
        <f>IFERROR(__xludf.DUMMYFUNCTION("""COMPUTED_VALUE"""),"A Saya marah saat ada teman memperolok-olok hal-hal yang saya anggap bodoh.")</f>
        <v>A Saya marah saat ada teman memperolok-olok hal-hal yang saya anggap bodoh.</v>
      </c>
      <c r="P64" s="95" t="str">
        <f>IFERROR(__xludf.DUMMYFUNCTION("""COMPUTED_VALUE"""),"A Saya suka bercerita tentang hal-hal yang menegangkan atau menantang.")</f>
        <v>A Saya suka bercerita tentang hal-hal yang menegangkan atau menantang.</v>
      </c>
      <c r="Q64" s="95" t="str">
        <f>IFERROR(__xludf.DUMMYFUNCTION("""COMPUTED_VALUE"""),"B Saya merencanakan keperluan yang dibutuhkan sebelum bepergian.")</f>
        <v>B Saya merencanakan keperluan yang dibutuhkan sebelum bepergian.</v>
      </c>
      <c r="R64" s="95" t="str">
        <f>IFERROR(__xludf.DUMMYFUNCTION("""COMPUTED_VALUE"""),"A Saya ingin orang-orang memperhatikan penampilan saya.")</f>
        <v>A Saya ingin orang-orang memperhatikan penampilan saya.</v>
      </c>
      <c r="S64" s="95" t="str">
        <f>IFERROR(__xludf.DUMMYFUNCTION("""COMPUTED_VALUE"""),"A Saya ingin agar teman-teman pengertian bila saya mengalami kesukaran.")</f>
        <v>A Saya ingin agar teman-teman pengertian bila saya mengalami kesukaran.</v>
      </c>
      <c r="T64" s="95" t="str">
        <f>IFERROR(__xludf.DUMMYFUNCTION("""COMPUTED_VALUE"""),"A Saya ingin menjadi salah seorang pemimpin dalam kelompok yang saya kenal.")</f>
        <v>A Saya ingin menjadi salah seorang pemimpin dalam kelompok yang saya kenal.</v>
      </c>
      <c r="U64" s="95" t="str">
        <f>IFERROR(__xludf.DUMMYFUNCTION("""COMPUTED_VALUE"""),"B Saya suka menyimpan catatan secara rapi.")</f>
        <v>B Saya suka menyimpan catatan secara rapi.</v>
      </c>
      <c r="V64" s="95" t="str">
        <f>IFERROR(__xludf.DUMMYFUNCTION("""COMPUTED_VALUE"""),"A Saya suka belajar sampai malam untuk menyelesaikan suatu tugas.")</f>
        <v>A Saya suka belajar sampai malam untuk menyelesaikan suatu tugas.</v>
      </c>
      <c r="W64" s="95" t="str">
        <f>IFERROR(__xludf.DUMMYFUNCTION("""COMPUTED_VALUE"""),"A Saya suka melakukan kegiatan sesuai kondisi yang saya inginkan.")</f>
        <v>A Saya suka melakukan kegiatan sesuai kondisi yang saya inginkan.</v>
      </c>
      <c r="X64" s="95" t="str">
        <f>IFERROR(__xludf.DUMMYFUNCTION("""COMPUTED_VALUE"""),"A Saya suka merencanakan dan mengatur setiap apa yang harus saya lakukan.")</f>
        <v>A Saya suka merencanakan dan mengatur setiap apa yang harus saya lakukan.</v>
      </c>
      <c r="Y64" s="95" t="str">
        <f>IFERROR(__xludf.DUMMYFUNCTION("""COMPUTED_VALUE"""),"B Saya senang merencanakan untuk masa depan.")</f>
        <v>B Saya senang merencanakan untuk masa depan.</v>
      </c>
      <c r="Z64" s="95" t="str">
        <f>IFERROR(__xludf.DUMMYFUNCTION("""COMPUTED_VALUE"""),"B Saya ingin merasa bebas untuk melakukan apa yang saya inginkan.")</f>
        <v>B Saya ingin merasa bebas untuk melakukan apa yang saya inginkan.</v>
      </c>
      <c r="AA64" s="95" t="str">
        <f>IFERROR(__xludf.DUMMYFUNCTION("""COMPUTED_VALUE"""),"B Saya tidak suka pada orang yang berbuat seenaknya sendiri.")</f>
        <v>B Saya tidak suka pada orang yang berbuat seenaknya sendiri.</v>
      </c>
      <c r="AB64" s="95" t="str">
        <f>IFERROR(__xludf.DUMMYFUNCTION("""COMPUTED_VALUE"""),"B Saya ingin menyelesaikan pekerjaan satu persatu sebelum memulai yang lain.")</f>
        <v>B Saya ingin menyelesaikan pekerjaan satu persatu sebelum memulai yang lain.</v>
      </c>
      <c r="AC64" s="95" t="str">
        <f>IFERROR(__xludf.DUMMYFUNCTION("""COMPUTED_VALUE"""),"A Saya suka menyelesaikan setiap tugas meskipun membutuhkan waktu lama.")</f>
        <v>A Saya suka menyelesaikan setiap tugas meskipun membutuhkan waktu lama.</v>
      </c>
      <c r="AD64" s="95" t="str">
        <f>IFERROR(__xludf.DUMMYFUNCTION("""COMPUTED_VALUE"""),"B Saya suka menyatakan pendapat saya tentang berbagai hal.")</f>
        <v>B Saya suka menyatakan pendapat saya tentang berbagai hal.</v>
      </c>
      <c r="AE64" s="95" t="str">
        <f>IFERROR(__xludf.DUMMYFUNCTION("""COMPUTED_VALUE"""),"A Saya ingin dianggap sebagai pemimpin oleh teman di kelompok.")</f>
        <v>A Saya ingin dianggap sebagai pemimpin oleh teman di kelompok.</v>
      </c>
      <c r="AF64" s="95" t="str">
        <f>IFERROR(__xludf.DUMMYFUNCTION("""COMPUTED_VALUE"""),"B Saya suka melakukan hal-hal dengan cara saya sendiri.")</f>
        <v>B Saya suka melakukan hal-hal dengan cara saya sendiri.</v>
      </c>
      <c r="AG64" s="95" t="str">
        <f>IFERROR(__xludf.DUMMYFUNCTION("""COMPUTED_VALUE"""),"B Saya ingin berhasil dengan tugas yang saya lakukan.")</f>
        <v>B Saya ingin berhasil dengan tugas yang saya lakukan.</v>
      </c>
      <c r="AH64" s="95" t="str">
        <f>IFERROR(__xludf.DUMMYFUNCTION("""COMPUTED_VALUE"""),"B Saya ingin merasa bebas untuk melakukan apa yang saya kehendaki.")</f>
        <v>B Saya ingin merasa bebas untuk melakukan apa yang saya kehendaki.</v>
      </c>
      <c r="AI64" s="95" t="str">
        <f>IFERROR(__xludf.DUMMYFUNCTION("""COMPUTED_VALUE"""),"B Saya suka melakukan kegiatan sesuai kondisi yang saya inginkan.")</f>
        <v>B Saya suka melakukan kegiatan sesuai kondisi yang saya inginkan.</v>
      </c>
      <c r="AJ64" s="95" t="str">
        <f>IFERROR(__xludf.DUMMYFUNCTION("""COMPUTED_VALUE"""),"A Saya rasanya ingin membalas dendam bila seseorang menghina saya.")</f>
        <v>A Saya rasanya ingin membalas dendam bila seseorang menghina saya.</v>
      </c>
      <c r="AK64" s="95" t="str">
        <f>IFERROR(__xludf.DUMMYFUNCTION("""COMPUTED_VALUE"""),"A Saya suka bercerita tentang hal-hal pribadi yang seharusnya tidak perlu diketahui orang lain.")</f>
        <v>A Saya suka bercerita tentang hal-hal pribadi yang seharusnya tidak perlu diketahui orang lain.</v>
      </c>
      <c r="AL64" s="95" t="str">
        <f>IFERROR(__xludf.DUMMYFUNCTION("""COMPUTED_VALUE"""),"A Saya suka berbicara tentang hal-hal yang telah saya capai.")</f>
        <v>A Saya suka berbicara tentang hal-hal yang telah saya capai.</v>
      </c>
      <c r="AM64" s="95" t="str">
        <f>IFERROR(__xludf.DUMMYFUNCTION("""COMPUTED_VALUE"""),"A Saya ingin teman-teman saya merasa kasihan pada saya apabila saya sakit.")</f>
        <v>A Saya ingin teman-teman saya merasa kasihan pada saya apabila saya sakit.</v>
      </c>
      <c r="AN64" s="95" t="str">
        <f>IFERROR(__xludf.DUMMYFUNCTION("""COMPUTED_VALUE"""),"A Saya tidak suka pada orang yang semena-mena.")</f>
        <v>A Saya tidak suka pada orang yang semena-mena.</v>
      </c>
      <c r="AO64" s="95" t="str">
        <f>IFERROR(__xludf.DUMMYFUNCTION("""COMPUTED_VALUE"""),"B Saya suka menyelesaikan setiap tugas meskipun membutuhkan waktu lama.")</f>
        <v>B Saya suka menyelesaikan setiap tugas meskipun membutuhkan waktu lama.</v>
      </c>
      <c r="AP64" s="95" t="str">
        <f>IFERROR(__xludf.DUMMYFUNCTION("""COMPUTED_VALUE"""),"B Saya suka bertahan menghadapi satu masalah meskipun belum tentu berhasil.")</f>
        <v>B Saya suka bertahan menghadapi satu masalah meskipun belum tentu berhasil.</v>
      </c>
      <c r="AQ64" s="95" t="str">
        <f>IFERROR(__xludf.DUMMYFUNCTION("""COMPUTED_VALUE"""),"A Saya ingin bisa mengerjakan segala sesuatu lebih baik daripada orang-orang lain.")</f>
        <v>A Saya ingin bisa mengerjakan segala sesuatu lebih baik daripada orang-orang lain.</v>
      </c>
      <c r="AR64" s="95" t="str">
        <f>IFERROR(__xludf.DUMMYFUNCTION("""COMPUTED_VALUE"""),"A Saya suka menyimpan catatan secara rapi.")</f>
        <v>A Saya suka menyimpan catatan secara rapi.</v>
      </c>
      <c r="AS64" s="95" t="str">
        <f>IFERROR(__xludf.DUMMYFUNCTION("""COMPUTED_VALUE"""),"B Saya suka belajar sampai malam untuk menyelesaikan suatu tugas.")</f>
        <v>B Saya suka belajar sampai malam untuk menyelesaikan suatu tugas.</v>
      </c>
      <c r="AT64" s="95" t="str">
        <f>IFERROR(__xludf.DUMMYFUNCTION("""COMPUTED_VALUE"""),"B Saya suka membantu orang lain yang menurut saya perlu dikasihani.")</f>
        <v>B Saya suka membantu orang lain yang menurut saya perlu dikasihani.</v>
      </c>
      <c r="AU64" s="95" t="str">
        <f>IFERROR(__xludf.DUMMYFUNCTION("""COMPUTED_VALUE"""),"B Saya suka bermurah hati terhadap teman-teman saya.")</f>
        <v>B Saya suka bermurah hati terhadap teman-teman saya.</v>
      </c>
      <c r="AV64" s="95" t="str">
        <f>IFERROR(__xludf.DUMMYFUNCTION("""COMPUTED_VALUE"""),"B Saya suka menolong teman-teman saya.")</f>
        <v>B Saya suka menolong teman-teman saya.</v>
      </c>
      <c r="AW64" s="95" t="str">
        <f>IFERROR(__xludf.DUMMYFUNCTION("""COMPUTED_VALUE"""),"B Saya ingin teman-teman saya percaya bahwa saya bisa menolong mereka.")</f>
        <v>B Saya ingin teman-teman saya percaya bahwa saya bisa menolong mereka.</v>
      </c>
      <c r="AX64" s="95" t="str">
        <f>IFERROR(__xludf.DUMMYFUNCTION("""COMPUTED_VALUE"""),"B Saya suka memaafkan teman-teman saya yang menyakiti hati saya.")</f>
        <v>B Saya suka memaafkan teman-teman saya yang menyakiti hati saya.</v>
      </c>
      <c r="AY64" s="95" t="str">
        <f>IFERROR(__xludf.DUMMYFUNCTION("""COMPUTED_VALUE"""),"B Saya suka menolong teman-teman saya apabila mereka dalam kesulitan.")</f>
        <v>B Saya suka menolong teman-teman saya apabila mereka dalam kesulitan.</v>
      </c>
      <c r="AZ64" s="95" t="str">
        <f>IFERROR(__xludf.DUMMYFUNCTION("""COMPUTED_VALUE"""),"A Saya ingin agar teman-teman saya bersimpati dan menghibur saya bila saya sedih.")</f>
        <v>A Saya ingin agar teman-teman saya bersimpati dan menghibur saya bila saya sedih.</v>
      </c>
      <c r="BA64" s="95" t="str">
        <f>IFERROR(__xludf.DUMMYFUNCTION("""COMPUTED_VALUE"""),"B Saya suka memperlakukan orang lain dengan baik dan ramah.")</f>
        <v>B Saya suka memperlakukan orang lain dengan baik dan ramah.</v>
      </c>
      <c r="BB64" s="95" t="str">
        <f>IFERROR(__xludf.DUMMYFUNCTION("""COMPUTED_VALUE"""),"B Saya suka bermurah hati terhadap teman-teman saya.")</f>
        <v>B Saya suka bermurah hati terhadap teman-teman saya.</v>
      </c>
      <c r="BC64" s="95" t="str">
        <f>IFERROR(__xludf.DUMMYFUNCTION("""COMPUTED_VALUE"""),"B Saya suka membantu orang lain yang menurut saya perlu dikasihani.")</f>
        <v>B Saya suka membantu orang lain yang menurut saya perlu dikasihani.</v>
      </c>
      <c r="BD64" s="95" t="str">
        <f>IFERROR(__xludf.DUMMYFUNCTION("""COMPUTED_VALUE"""),"B Saya suka bersikukuh dengan pendirian saya.")</f>
        <v>B Saya suka bersikukuh dengan pendirian saya.</v>
      </c>
      <c r="BE64" s="95" t="str">
        <f>IFERROR(__xludf.DUMMYFUNCTION("""COMPUTED_VALUE"""),"A Saya suka mendengarkan atau menceritakan hal-hal yang sebaiknya tidak diceritakan.")</f>
        <v>A Saya suka mendengarkan atau menceritakan hal-hal yang sebaiknya tidak diceritakan.</v>
      </c>
      <c r="BF64" s="95" t="str">
        <f>IFERROR(__xludf.DUMMYFUNCTION("""COMPUTED_VALUE"""),"B Bila saya dalam kelompok, saya ingin menentukan apa yang akan kita lakukan.")</f>
        <v>B Bila saya dalam kelompok, saya ingin menentukan apa yang akan kita lakukan.</v>
      </c>
      <c r="BG64" s="95" t="str">
        <f>IFERROR(__xludf.DUMMYFUNCTION("""COMPUTED_VALUE"""),"A Saya ingin teman-teman banyak menunjukkan rasa sayang mereka terhadap saya.")</f>
        <v>A Saya ingin teman-teman banyak menunjukkan rasa sayang mereka terhadap saya.</v>
      </c>
      <c r="BH64" s="95" t="str">
        <f>IFERROR(__xludf.DUMMYFUNCTION("""COMPUTED_VALUE"""),"B Apabila saya berkumpul dalam kelompok, saya ingin dihargai teman-teman.")</f>
        <v>B Apabila saya berkumpul dalam kelompok, saya ingin dihargai teman-teman.</v>
      </c>
      <c r="BI64" s="95" t="str">
        <f>IFERROR(__xludf.DUMMYFUNCTION("""COMPUTED_VALUE"""),"A Saya suka bermurah hati terhadap teman-teman saya.")</f>
        <v>A Saya suka bermurah hati terhadap teman-teman saya.</v>
      </c>
      <c r="BJ64" s="95" t="str">
        <f>IFERROR(__xludf.DUMMYFUNCTION("""COMPUTED_VALUE"""),"B Saya ingin menjadi pemimpin dalam kelompok di mana saya ada di situ")</f>
        <v>B Saya ingin menjadi pemimpin dalam kelompok di mana saya ada di situ</v>
      </c>
      <c r="BK64" s="95" t="str">
        <f>IFERROR(__xludf.DUMMYFUNCTION("""COMPUTED_VALUE"""),"A Saya ingin menyelesaikan pekerjaan satu persatu sebelum memulai yang lain.")</f>
        <v>A Saya ingin menyelesaikan pekerjaan satu persatu sebelum memulai yang lain.</v>
      </c>
      <c r="BL64" s="95" t="str">
        <f>IFERROR(__xludf.DUMMYFUNCTION("""COMPUTED_VALUE"""),"B Saya suka bersikukuh dengan pendirian saya.")</f>
        <v>B Saya suka bersikukuh dengan pendirian saya.</v>
      </c>
      <c r="BM64" s="95" t="str">
        <f>IFERROR(__xludf.DUMMYFUNCTION("""COMPUTED_VALUE"""),"A Saya suka melakukan pekerjaan sebaik mungkin.")</f>
        <v>A Saya suka melakukan pekerjaan sebaik mungkin.</v>
      </c>
      <c r="BN64" s="95" t="str">
        <f>IFERROR(__xludf.DUMMYFUNCTION("""COMPUTED_VALUE"""),"B Saya ingin teman-teman memberi dorongan bila saya menghadapi kegagalan.")</f>
        <v>B Saya ingin teman-teman memberi dorongan bila saya menghadapi kegagalan.</v>
      </c>
      <c r="BO64" s="95" t="str">
        <f>IFERROR(__xludf.DUMMYFUNCTION("""COMPUTED_VALUE"""),"B Saya ingin diperlakukan dengan baik oleh teman-teman saya.")</f>
        <v>B Saya ingin diperlakukan dengan baik oleh teman-teman saya.</v>
      </c>
      <c r="BP64" s="95" t="str">
        <f>IFERROR(__xludf.DUMMYFUNCTION("""COMPUTED_VALUE"""),"B Saya ingin teman-teman saya merasa kasihan pada saya apabila saya sakit.")</f>
        <v>B Saya ingin teman-teman saya merasa kasihan pada saya apabila saya sakit.</v>
      </c>
      <c r="BQ64" s="95" t="str">
        <f>IFERROR(__xludf.DUMMYFUNCTION("""COMPUTED_VALUE"""),"A Saya ingin mengerjakannya tugas sampai selesai.")</f>
        <v>A Saya ingin mengerjakannya tugas sampai selesai.</v>
      </c>
      <c r="BR64" s="95" t="str">
        <f>IFERROR(__xludf.DUMMYFUNCTION("""COMPUTED_VALUE"""),"A Saya suka memaafkan teman-teman saya yang menyakiti hati saya.")</f>
        <v>A Saya suka memaafkan teman-teman saya yang menyakiti hati saya.</v>
      </c>
      <c r="BS64" s="95" t="str">
        <f>IFERROR(__xludf.DUMMYFUNCTION("""COMPUTED_VALUE"""),"B Saya ingin teman-teman saya membantu saya bila saya mengalami kesulitan")</f>
        <v>B Saya ingin teman-teman saya membantu saya bila saya mengalami kesulitan</v>
      </c>
      <c r="BT64" s="95" t="str">
        <f>IFERROR(__xludf.DUMMYFUNCTION("""COMPUTED_VALUE"""),"A Saya ingin teman-teman saya merasa kasihan pada saya apabila saya sakit.")</f>
        <v>A Saya ingin teman-teman saya merasa kasihan pada saya apabila saya sakit.</v>
      </c>
      <c r="BU64" s="95" t="str">
        <f>IFERROR(__xludf.DUMMYFUNCTION("""COMPUTED_VALUE"""),"B Saya ingin agar teman-teman saya merasa kasihan pada saya apabila saya sakit.")</f>
        <v>B Saya ingin agar teman-teman saya merasa kasihan pada saya apabila saya sakit.</v>
      </c>
      <c r="BV64" s="95" t="str">
        <f>IFERROR(__xludf.DUMMYFUNCTION("""COMPUTED_VALUE"""),"B Saya ingin teman-teman dengan gembira memberikan pertolongan kepada saya.")</f>
        <v>B Saya ingin teman-teman dengan gembira memberikan pertolongan kepada saya.</v>
      </c>
      <c r="BW64" s="95" t="str">
        <f>IFERROR(__xludf.DUMMYFUNCTION("""COMPUTED_VALUE"""),"B Saya ingin diperlakukan dengan baik oleh teman-teman saya.")</f>
        <v>B Saya ingin diperlakukan dengan baik oleh teman-teman saya.</v>
      </c>
      <c r="BX64" s="95" t="str">
        <f>IFERROR(__xludf.DUMMYFUNCTION("""COMPUTED_VALUE"""),"A Saya ingin memperolok-olok orang yang saya anggap melakukan tindakan bodoh.")</f>
        <v>A Saya ingin memperolok-olok orang yang saya anggap melakukan tindakan bodoh.</v>
      </c>
      <c r="BY64" s="95" t="str">
        <f>IFERROR(__xludf.DUMMYFUNCTION("""COMPUTED_VALUE"""),"A Saya suka melamun atau membayangkan hal-hal yang tidak jelas.")</f>
        <v>A Saya suka melamun atau membayangkan hal-hal yang tidak jelas.</v>
      </c>
      <c r="BZ64" s="95" t="str">
        <f>IFERROR(__xludf.DUMMYFUNCTION("""COMPUTED_VALUE"""),"B Saya suka diperhatikan, apabila saya ada di dalam suatu kelompok.")</f>
        <v>B Saya suka diperhatikan, apabila saya ada di dalam suatu kelompok.</v>
      </c>
      <c r="CA64" s="95" t="str">
        <f>IFERROR(__xludf.DUMMYFUNCTION("""COMPUTED_VALUE"""),"A Saya ingin teman-teman dengan gembira memberikan pertolongan kepada saya.")</f>
        <v>A Saya ingin teman-teman dengan gembira memberikan pertolongan kepada saya.</v>
      </c>
      <c r="CB64" s="95" t="str">
        <f>IFERROR(__xludf.DUMMYFUNCTION("""COMPUTED_VALUE"""),"B Saya suka berbicara tentang hal-hal yang telah saya capai.")</f>
        <v>B Saya suka berbicara tentang hal-hal yang telah saya capai.</v>
      </c>
      <c r="CC64" s="95" t="str">
        <f>IFERROR(__xludf.DUMMYFUNCTION("""COMPUTED_VALUE"""),"B Saya suka menceritakan hal-hal lucu agar diperhatikan oleh orang lain.")</f>
        <v>B Saya suka menceritakan hal-hal lucu agar diperhatikan oleh orang lain.</v>
      </c>
      <c r="CD64" s="95" t="str">
        <f>IFERROR(__xludf.DUMMYFUNCTION("""COMPUTED_VALUE"""),"A Saya suka menyelesaikan setiap tugas meskipun membutuhkan waktu lama.")</f>
        <v>A Saya suka menyelesaikan setiap tugas meskipun membutuhkan waktu lama.</v>
      </c>
      <c r="CE64" s="95" t="str">
        <f>IFERROR(__xludf.DUMMYFUNCTION("""COMPUTED_VALUE"""),"A Saya suka menyelesaikan setiap tugas belajar yang telah saya mulai.")</f>
        <v>A Saya suka menyelesaikan setiap tugas belajar yang telah saya mulai.</v>
      </c>
      <c r="CF64" s="95" t="str">
        <f>IFERROR(__xludf.DUMMYFUNCTION("""COMPUTED_VALUE"""),"A Saya ingin agar hidup saya teratur sesuai cita-cita saya.")</f>
        <v>A Saya ingin agar hidup saya teratur sesuai cita-cita saya.</v>
      </c>
      <c r="CG64" s="95" t="str">
        <f>IFERROR(__xludf.DUMMYFUNCTION("""COMPUTED_VALUE"""),"B Saya suka berbicara tentang hal-hal yang telah saya capai.")</f>
        <v>B Saya suka berbicara tentang hal-hal yang telah saya capai.</v>
      </c>
      <c r="CH64" s="95" t="str">
        <f>IFERROR(__xludf.DUMMYFUNCTION("""COMPUTED_VALUE"""),"A Saya ingin bisa melakukan dengan baik sesuatu pekerjaan sulit.")</f>
        <v>A Saya ingin bisa melakukan dengan baik sesuatu pekerjaan sulit.</v>
      </c>
      <c r="CI64" s="95" t="str">
        <f>IFERROR(__xludf.DUMMYFUNCTION("""COMPUTED_VALUE"""),"B Saya ingin dianggap menarik oleh orang lain.")</f>
        <v>B Saya ingin dianggap menarik oleh orang lain.</v>
      </c>
      <c r="CJ64" s="95" t="str">
        <f>IFERROR(__xludf.DUMMYFUNCTION("""COMPUTED_VALUE"""),"B Saya suka kalau bercerita tentang hal-hal pribadi yang seharusnya tidak perlu diketahui orang lain.")</f>
        <v>B Saya suka kalau bercerita tentang hal-hal pribadi yang seharusnya tidak perlu diketahui orang lain.</v>
      </c>
      <c r="CK64" s="95" t="str">
        <f>IFERROR(__xludf.DUMMYFUNCTION("""COMPUTED_VALUE"""),"A Saya suka bertahan menghadapi satu masalah, meskipun belum tentu berhasil.")</f>
        <v>A Saya suka bertahan menghadapi satu masalah, meskipun belum tentu berhasil.</v>
      </c>
      <c r="CL64" s="95" t="str">
        <f>IFERROR(__xludf.DUMMYFUNCTION("""COMPUTED_VALUE"""),"A Saya suka menolong teman-teman saya, apabila mereka dalam kesulitan.")</f>
        <v>A Saya suka menolong teman-teman saya, apabila mereka dalam kesulitan.</v>
      </c>
      <c r="CM64" s="95" t="str">
        <f>IFERROR(__xludf.DUMMYFUNCTION("""COMPUTED_VALUE"""),"A Saya ingin ditunjuk atau dipilih sebagai ketua dalam suatu kelompok.")</f>
        <v>A Saya ingin ditunjuk atau dipilih sebagai ketua dalam suatu kelompok.</v>
      </c>
      <c r="CN64" s="95" t="str">
        <f>IFERROR(__xludf.DUMMYFUNCTION("""COMPUTED_VALUE"""),"A Saya ingin diperlakukan dengan baik oleh teman-teman saya.")</f>
        <v>A Saya ingin diperlakukan dengan baik oleh teman-teman saya.</v>
      </c>
      <c r="CO64" s="95" t="str">
        <f>IFERROR(__xludf.DUMMYFUNCTION("""COMPUTED_VALUE"""),"A Saya suka menceritakan hal-hal lucu agar diperhatikan oleh orang lain.")</f>
        <v>A Saya suka menceritakan hal-hal lucu agar diperhatikan oleh orang lain.</v>
      </c>
      <c r="CP64" s="95" t="str">
        <f>IFERROR(__xludf.DUMMYFUNCTION("""COMPUTED_VALUE"""),"A Saya suka melamun atau membayangkan sesuatu sendirian.")</f>
        <v>A Saya suka melamun atau membayangkan sesuatu sendirian.</v>
      </c>
      <c r="CQ64" s="95" t="str">
        <f>IFERROR(__xludf.DUMMYFUNCTION("""COMPUTED_VALUE"""),"B Saya merasa kagum pada seseorang.")</f>
        <v>B Saya merasa kagum pada seseorang.</v>
      </c>
      <c r="CR64" s="95" t="str">
        <f>IFERROR(__xludf.DUMMYFUNCTION("""COMPUTED_VALUE"""),"A Saya ingin memperolok-olok orang yang saya anggap melakukan tindakan bodoh.")</f>
        <v>A Saya ingin memperolok-olok orang yang saya anggap melakukan tindakan bodoh.</v>
      </c>
      <c r="CS64" s="95" t="str">
        <f>IFERROR(__xludf.DUMMYFUNCTION("""COMPUTED_VALUE"""),"B Saya rasanya ingin membalas dendam bila seseorang menghina saya.")</f>
        <v>B Saya rasanya ingin membalas dendam bila seseorang menghina saya.</v>
      </c>
      <c r="CT64" s="95" t="str">
        <f>IFERROR(__xludf.DUMMYFUNCTION("""COMPUTED_VALUE"""),"A Saya ingin orang-orang memperhatikan komentar mengenai penampilan saya.")</f>
        <v>A Saya ingin orang-orang memperhatikan komentar mengenai penampilan saya.</v>
      </c>
      <c r="CU64" s="95" t="str">
        <f>IFERROR(__xludf.DUMMYFUNCTION("""COMPUTED_VALUE"""),"A Saya ingin diperlakukan dengan ramah oleh teman-teman saya.")</f>
        <v>A Saya ingin diperlakukan dengan ramah oleh teman-teman saya.</v>
      </c>
      <c r="CV64" s="95" t="str">
        <f>IFERROR(__xludf.DUMMYFUNCTION("""COMPUTED_VALUE"""),"A Saya ingin ditunjuk atau dipilih sebagai ketua dalam suatu kelompok.")</f>
        <v>A Saya ingin ditunjuk atau dipilih sebagai ketua dalam suatu kelompok.</v>
      </c>
      <c r="CW64" s="95" t="str">
        <f>IFERROR(__xludf.DUMMYFUNCTION("""COMPUTED_VALUE"""),"A Saya suka menolong teman-teman saya, apabila mereka dalam kesulitan.")</f>
        <v>A Saya suka menolong teman-teman saya, apabila mereka dalam kesulitan.</v>
      </c>
      <c r="CX64" s="95" t="str">
        <f>IFERROR(__xludf.DUMMYFUNCTION("""COMPUTED_VALUE"""),"B Saya ingin memperolok-olok orang yang saya anggap melakukan tindakan bodoh.")</f>
        <v>B Saya ingin memperolok-olok orang yang saya anggap melakukan tindakan bodoh.</v>
      </c>
      <c r="CY64" s="95" t="str">
        <f>IFERROR(__xludf.DUMMYFUNCTION("""COMPUTED_VALUE"""),"B Saya rasanya ingin membalas dendam bila seseorang menghina saya.")</f>
        <v>B Saya rasanya ingin membalas dendam bila seseorang menghina saya.</v>
      </c>
      <c r="CZ64" s="95" t="str">
        <f>IFERROR(__xludf.DUMMYFUNCTION("""COMPUTED_VALUE"""),"B Saya rasanya ingin menggertak orang bila saya berbeda pendapat dengan mereka.")</f>
        <v>B Saya rasanya ingin menggertak orang bila saya berbeda pendapat dengan mereka.</v>
      </c>
      <c r="DA64" s="95" t="str">
        <f>IFERROR(__xludf.DUMMYFUNCTION("""COMPUTED_VALUE"""),"A Saya ingin melakukan apa saja sebaik mungkin.")</f>
        <v>A Saya ingin melakukan apa saja sebaik mungkin.</v>
      </c>
      <c r="DB64" s="89" t="s">
        <v>23</v>
      </c>
      <c r="DC64" s="97" t="str">
        <f t="shared" ref="DC64:GX64" si="109">LEFT(F64,1)</f>
        <v>B</v>
      </c>
      <c r="DD64" s="97" t="str">
        <f t="shared" si="109"/>
        <v>A</v>
      </c>
      <c r="DE64" s="97" t="str">
        <f t="shared" si="109"/>
        <v>B</v>
      </c>
      <c r="DF64" s="97" t="str">
        <f t="shared" si="109"/>
        <v>B</v>
      </c>
      <c r="DG64" s="97" t="str">
        <f t="shared" si="109"/>
        <v>B</v>
      </c>
      <c r="DH64" s="97" t="str">
        <f t="shared" si="109"/>
        <v>A</v>
      </c>
      <c r="DI64" s="97" t="str">
        <f t="shared" si="109"/>
        <v>A</v>
      </c>
      <c r="DJ64" s="97" t="str">
        <f t="shared" si="109"/>
        <v>A</v>
      </c>
      <c r="DK64" s="97" t="str">
        <f t="shared" si="109"/>
        <v>A</v>
      </c>
      <c r="DL64" s="97" t="str">
        <f t="shared" si="109"/>
        <v>A</v>
      </c>
      <c r="DM64" s="97" t="str">
        <f t="shared" si="109"/>
        <v>A</v>
      </c>
      <c r="DN64" s="97" t="str">
        <f t="shared" si="109"/>
        <v>B</v>
      </c>
      <c r="DO64" s="97" t="str">
        <f t="shared" si="109"/>
        <v>A</v>
      </c>
      <c r="DP64" s="97" t="str">
        <f t="shared" si="109"/>
        <v>A</v>
      </c>
      <c r="DQ64" s="97" t="str">
        <f t="shared" si="109"/>
        <v>A</v>
      </c>
      <c r="DR64" s="97" t="str">
        <f t="shared" si="109"/>
        <v>B</v>
      </c>
      <c r="DS64" s="97" t="str">
        <f t="shared" si="109"/>
        <v>A</v>
      </c>
      <c r="DT64" s="97" t="str">
        <f t="shared" si="109"/>
        <v>A</v>
      </c>
      <c r="DU64" s="97" t="str">
        <f t="shared" si="109"/>
        <v>A</v>
      </c>
      <c r="DV64" s="97" t="str">
        <f t="shared" si="109"/>
        <v>B</v>
      </c>
      <c r="DW64" s="97" t="str">
        <f t="shared" si="109"/>
        <v>B</v>
      </c>
      <c r="DX64" s="97" t="str">
        <f t="shared" si="109"/>
        <v>B</v>
      </c>
      <c r="DY64" s="97" t="str">
        <f t="shared" si="109"/>
        <v>B</v>
      </c>
      <c r="DZ64" s="97" t="str">
        <f t="shared" si="109"/>
        <v>A</v>
      </c>
      <c r="EA64" s="97" t="str">
        <f t="shared" si="109"/>
        <v>B</v>
      </c>
      <c r="EB64" s="97" t="str">
        <f t="shared" si="109"/>
        <v>A</v>
      </c>
      <c r="EC64" s="97" t="str">
        <f t="shared" si="109"/>
        <v>B</v>
      </c>
      <c r="ED64" s="97" t="str">
        <f t="shared" si="109"/>
        <v>B</v>
      </c>
      <c r="EE64" s="97" t="str">
        <f t="shared" si="109"/>
        <v>B</v>
      </c>
      <c r="EF64" s="97" t="str">
        <f t="shared" si="109"/>
        <v>B</v>
      </c>
      <c r="EG64" s="97" t="str">
        <f t="shared" si="109"/>
        <v>A</v>
      </c>
      <c r="EH64" s="97" t="str">
        <f t="shared" si="109"/>
        <v>A</v>
      </c>
      <c r="EI64" s="97" t="str">
        <f t="shared" si="109"/>
        <v>A</v>
      </c>
      <c r="EJ64" s="97" t="str">
        <f t="shared" si="109"/>
        <v>A</v>
      </c>
      <c r="EK64" s="97" t="str">
        <f t="shared" si="109"/>
        <v>A</v>
      </c>
      <c r="EL64" s="97" t="str">
        <f t="shared" si="109"/>
        <v>B</v>
      </c>
      <c r="EM64" s="97" t="str">
        <f t="shared" si="109"/>
        <v>B</v>
      </c>
      <c r="EN64" s="97" t="str">
        <f t="shared" si="109"/>
        <v>A</v>
      </c>
      <c r="EO64" s="97" t="str">
        <f t="shared" si="109"/>
        <v>A</v>
      </c>
      <c r="EP64" s="97" t="str">
        <f t="shared" si="109"/>
        <v>B</v>
      </c>
      <c r="EQ64" s="97" t="str">
        <f t="shared" si="109"/>
        <v>B</v>
      </c>
      <c r="ER64" s="97" t="str">
        <f t="shared" si="109"/>
        <v>B</v>
      </c>
      <c r="ES64" s="97" t="str">
        <f t="shared" si="109"/>
        <v>B</v>
      </c>
      <c r="ET64" s="97" t="str">
        <f t="shared" si="109"/>
        <v>B</v>
      </c>
      <c r="EU64" s="97" t="str">
        <f t="shared" si="109"/>
        <v>B</v>
      </c>
      <c r="EV64" s="97" t="str">
        <f t="shared" si="109"/>
        <v>B</v>
      </c>
      <c r="EW64" s="97" t="str">
        <f t="shared" si="109"/>
        <v>A</v>
      </c>
      <c r="EX64" s="97" t="str">
        <f t="shared" si="109"/>
        <v>B</v>
      </c>
      <c r="EY64" s="97" t="str">
        <f t="shared" si="109"/>
        <v>B</v>
      </c>
      <c r="EZ64" s="97" t="str">
        <f t="shared" si="109"/>
        <v>B</v>
      </c>
      <c r="FA64" s="97" t="str">
        <f t="shared" si="109"/>
        <v>B</v>
      </c>
      <c r="FB64" s="97" t="str">
        <f t="shared" si="109"/>
        <v>A</v>
      </c>
      <c r="FC64" s="97" t="str">
        <f t="shared" si="109"/>
        <v>B</v>
      </c>
      <c r="FD64" s="97" t="str">
        <f t="shared" si="109"/>
        <v>A</v>
      </c>
      <c r="FE64" s="97" t="str">
        <f t="shared" si="109"/>
        <v>B</v>
      </c>
      <c r="FF64" s="97" t="str">
        <f t="shared" si="109"/>
        <v>A</v>
      </c>
      <c r="FG64" s="97" t="str">
        <f t="shared" si="109"/>
        <v>B</v>
      </c>
      <c r="FH64" s="97" t="str">
        <f t="shared" si="109"/>
        <v>A</v>
      </c>
      <c r="FI64" s="97" t="str">
        <f t="shared" si="109"/>
        <v>B</v>
      </c>
      <c r="FJ64" s="97" t="str">
        <f t="shared" si="109"/>
        <v>A</v>
      </c>
      <c r="FK64" s="97" t="str">
        <f t="shared" si="109"/>
        <v>B</v>
      </c>
      <c r="FL64" s="97" t="str">
        <f t="shared" si="109"/>
        <v>B</v>
      </c>
      <c r="FM64" s="97" t="str">
        <f t="shared" si="109"/>
        <v>B</v>
      </c>
      <c r="FN64" s="97" t="str">
        <f t="shared" si="109"/>
        <v>A</v>
      </c>
      <c r="FO64" s="97" t="str">
        <f t="shared" si="109"/>
        <v>A</v>
      </c>
      <c r="FP64" s="97" t="str">
        <f t="shared" si="109"/>
        <v>B</v>
      </c>
      <c r="FQ64" s="97" t="str">
        <f t="shared" si="109"/>
        <v>A</v>
      </c>
      <c r="FR64" s="97" t="str">
        <f t="shared" si="109"/>
        <v>B</v>
      </c>
      <c r="FS64" s="97" t="str">
        <f t="shared" si="109"/>
        <v>B</v>
      </c>
      <c r="FT64" s="97" t="str">
        <f t="shared" si="109"/>
        <v>B</v>
      </c>
      <c r="FU64" s="97" t="str">
        <f t="shared" si="109"/>
        <v>A</v>
      </c>
      <c r="FV64" s="97" t="str">
        <f t="shared" si="109"/>
        <v>A</v>
      </c>
      <c r="FW64" s="97" t="str">
        <f t="shared" si="109"/>
        <v>B</v>
      </c>
      <c r="FX64" s="97" t="str">
        <f t="shared" si="109"/>
        <v>A</v>
      </c>
      <c r="FY64" s="97" t="str">
        <f t="shared" si="109"/>
        <v>B</v>
      </c>
      <c r="FZ64" s="97" t="str">
        <f t="shared" si="109"/>
        <v>B</v>
      </c>
      <c r="GA64" s="97" t="str">
        <f t="shared" si="109"/>
        <v>A</v>
      </c>
      <c r="GB64" s="97" t="str">
        <f t="shared" si="109"/>
        <v>A</v>
      </c>
      <c r="GC64" s="97" t="str">
        <f t="shared" si="109"/>
        <v>A</v>
      </c>
      <c r="GD64" s="97" t="str">
        <f t="shared" si="109"/>
        <v>B</v>
      </c>
      <c r="GE64" s="97" t="str">
        <f t="shared" si="109"/>
        <v>A</v>
      </c>
      <c r="GF64" s="97" t="str">
        <f t="shared" si="109"/>
        <v>B</v>
      </c>
      <c r="GG64" s="97" t="str">
        <f t="shared" si="109"/>
        <v>B</v>
      </c>
      <c r="GH64" s="97" t="str">
        <f t="shared" si="109"/>
        <v>A</v>
      </c>
      <c r="GI64" s="97" t="str">
        <f t="shared" si="109"/>
        <v>A</v>
      </c>
      <c r="GJ64" s="97" t="str">
        <f t="shared" si="109"/>
        <v>A</v>
      </c>
      <c r="GK64" s="97" t="str">
        <f t="shared" si="109"/>
        <v>A</v>
      </c>
      <c r="GL64" s="97" t="str">
        <f t="shared" si="109"/>
        <v>A</v>
      </c>
      <c r="GM64" s="97" t="str">
        <f t="shared" si="109"/>
        <v>A</v>
      </c>
      <c r="GN64" s="97" t="str">
        <f t="shared" si="109"/>
        <v>B</v>
      </c>
      <c r="GO64" s="97" t="str">
        <f t="shared" si="109"/>
        <v>A</v>
      </c>
      <c r="GP64" s="97" t="str">
        <f t="shared" si="109"/>
        <v>B</v>
      </c>
      <c r="GQ64" s="97" t="str">
        <f t="shared" si="109"/>
        <v>A</v>
      </c>
      <c r="GR64" s="97" t="str">
        <f t="shared" si="109"/>
        <v>A</v>
      </c>
      <c r="GS64" s="97" t="str">
        <f t="shared" si="109"/>
        <v>A</v>
      </c>
      <c r="GT64" s="97" t="str">
        <f t="shared" si="109"/>
        <v>A</v>
      </c>
      <c r="GU64" s="97" t="str">
        <f t="shared" si="109"/>
        <v>B</v>
      </c>
      <c r="GV64" s="97" t="str">
        <f t="shared" si="109"/>
        <v>B</v>
      </c>
      <c r="GW64" s="97" t="str">
        <f t="shared" si="109"/>
        <v>B</v>
      </c>
      <c r="GX64" s="97" t="str">
        <f t="shared" si="109"/>
        <v>A</v>
      </c>
      <c r="GY64" s="98"/>
      <c r="GZ64" s="97">
        <f t="shared" si="3"/>
        <v>50</v>
      </c>
      <c r="HA64" s="97">
        <f t="shared" si="4"/>
        <v>50</v>
      </c>
      <c r="HB64" s="90">
        <f t="shared" si="5"/>
        <v>100</v>
      </c>
      <c r="HC64" s="99"/>
      <c r="HD64" s="97">
        <f t="shared" si="6"/>
        <v>3</v>
      </c>
      <c r="HE64" s="97">
        <f t="shared" si="7"/>
        <v>3</v>
      </c>
      <c r="HF64" s="90">
        <f t="shared" si="8"/>
        <v>6</v>
      </c>
      <c r="HG64" s="99"/>
      <c r="HH64" s="97">
        <f t="shared" si="9"/>
        <v>3</v>
      </c>
      <c r="HI64" s="97">
        <f t="shared" si="10"/>
        <v>3</v>
      </c>
      <c r="HJ64" s="90">
        <f t="shared" si="11"/>
        <v>6</v>
      </c>
      <c r="HK64" s="99"/>
      <c r="HL64" s="97">
        <f t="shared" si="12"/>
        <v>4</v>
      </c>
      <c r="HM64" s="97">
        <f t="shared" si="13"/>
        <v>8</v>
      </c>
      <c r="HN64" s="90">
        <f t="shared" si="14"/>
        <v>12</v>
      </c>
      <c r="HO64" s="99"/>
      <c r="HP64" s="97">
        <f t="shared" si="15"/>
        <v>5</v>
      </c>
      <c r="HQ64" s="97">
        <f t="shared" si="16"/>
        <v>3</v>
      </c>
      <c r="HR64" s="90">
        <f t="shared" si="17"/>
        <v>8</v>
      </c>
      <c r="HS64" s="99"/>
      <c r="HT64" s="97">
        <f t="shared" si="18"/>
        <v>4</v>
      </c>
      <c r="HU64" s="97">
        <f t="shared" si="19"/>
        <v>9</v>
      </c>
      <c r="HV64" s="90">
        <f t="shared" si="20"/>
        <v>13</v>
      </c>
      <c r="HW64" s="99"/>
      <c r="HX64" s="97">
        <f t="shared" si="21"/>
        <v>6</v>
      </c>
      <c r="HY64" s="97">
        <f t="shared" si="22"/>
        <v>5</v>
      </c>
      <c r="HZ64" s="90">
        <f t="shared" si="23"/>
        <v>11</v>
      </c>
      <c r="IA64" s="99"/>
      <c r="IB64" s="97">
        <f t="shared" si="24"/>
        <v>8</v>
      </c>
      <c r="IC64" s="97">
        <f t="shared" si="25"/>
        <v>7</v>
      </c>
      <c r="ID64" s="90">
        <f t="shared" si="26"/>
        <v>15</v>
      </c>
      <c r="IE64" s="99"/>
      <c r="IF64" s="97">
        <f t="shared" si="27"/>
        <v>5</v>
      </c>
      <c r="IG64" s="97">
        <f t="shared" si="28"/>
        <v>4</v>
      </c>
      <c r="IH64" s="90">
        <f t="shared" si="29"/>
        <v>9</v>
      </c>
      <c r="II64" s="99"/>
      <c r="IJ64" s="97">
        <f t="shared" si="30"/>
        <v>4</v>
      </c>
      <c r="IK64" s="97">
        <f t="shared" si="31"/>
        <v>3</v>
      </c>
      <c r="IL64" s="90">
        <f t="shared" si="32"/>
        <v>7</v>
      </c>
      <c r="IM64" s="99"/>
      <c r="IN64" s="97">
        <f t="shared" si="33"/>
        <v>4</v>
      </c>
      <c r="IO64" s="97">
        <f t="shared" si="34"/>
        <v>4</v>
      </c>
      <c r="IP64" s="90">
        <f t="shared" si="35"/>
        <v>8</v>
      </c>
      <c r="IQ64" s="99"/>
      <c r="IR64" s="99"/>
      <c r="IS64" s="100">
        <f t="shared" si="36"/>
        <v>6</v>
      </c>
      <c r="IT64" s="100">
        <f t="shared" si="37"/>
        <v>6</v>
      </c>
      <c r="IU64" s="100">
        <f t="shared" si="38"/>
        <v>12</v>
      </c>
      <c r="IV64" s="100">
        <f t="shared" si="39"/>
        <v>8</v>
      </c>
      <c r="IW64" s="100">
        <f t="shared" si="40"/>
        <v>13</v>
      </c>
      <c r="IX64" s="100">
        <f t="shared" si="41"/>
        <v>11</v>
      </c>
      <c r="IY64" s="100">
        <f t="shared" si="42"/>
        <v>15</v>
      </c>
      <c r="IZ64" s="100">
        <f t="shared" si="43"/>
        <v>9</v>
      </c>
      <c r="JA64" s="100">
        <f t="shared" si="44"/>
        <v>7</v>
      </c>
      <c r="JB64" s="101">
        <f t="shared" si="45"/>
        <v>8</v>
      </c>
      <c r="JC64" s="102">
        <f t="shared" si="46"/>
        <v>95</v>
      </c>
      <c r="JD64" s="67">
        <f t="shared" si="50"/>
        <v>0</v>
      </c>
      <c r="JE64" s="67">
        <f t="shared" si="47"/>
        <v>2</v>
      </c>
      <c r="JF64" s="67">
        <f t="shared" si="48"/>
        <v>2</v>
      </c>
    </row>
    <row r="65">
      <c r="A65" s="103">
        <f>IFERROR(__xludf.DUMMYFUNCTION("""COMPUTED_VALUE"""),45934.44278631944)</f>
        <v>45934.44279</v>
      </c>
      <c r="B65" s="95" t="str">
        <f>IFERROR(__xludf.DUMMYFUNCTION("""COMPUTED_VALUE"""),"Riyadi wirawan")</f>
        <v>Riyadi wirawan</v>
      </c>
      <c r="C65" s="96" t="str">
        <f>IFERROR(__xludf.DUMMYFUNCTION("""COMPUTED_VALUE"""),"A250040")</f>
        <v>A250040</v>
      </c>
      <c r="D65" s="96" t="str">
        <f>IFERROR(__xludf.DUMMYFUNCTION("""COMPUTED_VALUE"""),"MTs Putra")</f>
        <v>MTs Putra</v>
      </c>
      <c r="E65" s="96" t="str">
        <f>IFERROR(__xludf.DUMMYFUNCTION("""COMPUTED_VALUE"""),"Ya")</f>
        <v>Ya</v>
      </c>
      <c r="F65" s="95" t="str">
        <f>IFERROR(__xludf.DUMMYFUNCTION("""COMPUTED_VALUE"""),"B Saya ingin melakukan apa saja sebaik mungkin.")</f>
        <v>B Saya ingin melakukan apa saja sebaik mungkin.</v>
      </c>
      <c r="G65" s="95" t="str">
        <f>IFERROR(__xludf.DUMMYFUNCTION("""COMPUTED_VALUE"""),"A Saya ingin setiap tulisan saya teliti, rapi, dan tersusun dengan baik.")</f>
        <v>A Saya ingin setiap tulisan saya teliti, rapi, dan tersusun dengan baik.</v>
      </c>
      <c r="H65" s="95" t="str">
        <f>IFERROR(__xludf.DUMMYFUNCTION("""COMPUTED_VALUE"""),"A Saya ingin berbuat sesuai kata hati saya.")</f>
        <v>A Saya ingin berbuat sesuai kata hati saya.</v>
      </c>
      <c r="I65" s="95" t="str">
        <f>IFERROR(__xludf.DUMMYFUNCTION("""COMPUTED_VALUE"""),"A Saya suka belajar keras pada tiap pelajaran yang saya hadapi.")</f>
        <v>A Saya suka belajar keras pada tiap pelajaran yang saya hadapi.</v>
      </c>
      <c r="J65" s="95" t="str">
        <f>IFERROR(__xludf.DUMMYFUNCTION("""COMPUTED_VALUE"""),"A Saya suka membantu teman-teman saya apabila mereka mengalami kesulitan.")</f>
        <v>A Saya suka membantu teman-teman saya apabila mereka mengalami kesulitan.</v>
      </c>
      <c r="K65" s="95" t="str">
        <f>IFERROR(__xludf.DUMMYFUNCTION("""COMPUTED_VALUE"""),"B Saya ingin mengatakan telah melakukan dengan baik sesuatu tugas yang sulit.")</f>
        <v>B Saya ingin mengatakan telah melakukan dengan baik sesuatu tugas yang sulit.</v>
      </c>
      <c r="L65" s="95" t="str">
        <f>IFERROR(__xludf.DUMMYFUNCTION("""COMPUTED_VALUE"""),"B Saya ingin mengatakan telah melakukan dengan baik sesuatu tugas yang sulit")</f>
        <v>B Saya ingin mengatakan telah melakukan dengan baik sesuatu tugas yang sulit</v>
      </c>
      <c r="M65" s="95" t="str">
        <f>IFERROR(__xludf.DUMMYFUNCTION("""COMPUTED_VALUE"""),"B Saya ingin mengerjakan segala tugas lebih baik daripada orang lain.")</f>
        <v>B Saya ingin mengerjakan segala tugas lebih baik daripada orang lain.</v>
      </c>
      <c r="N65" s="95" t="str">
        <f>IFERROR(__xludf.DUMMYFUNCTION("""COMPUTED_VALUE"""),"B Saya suka memecahkan persoalan yang sukar bagi orang lain.")</f>
        <v>B Saya suka memecahkan persoalan yang sukar bagi orang lain.</v>
      </c>
      <c r="O65" s="95" t="str">
        <f>IFERROR(__xludf.DUMMYFUNCTION("""COMPUTED_VALUE"""),"B Saya suka melakukan tugas sebaik mungkin.")</f>
        <v>B Saya suka melakukan tugas sebaik mungkin.</v>
      </c>
      <c r="P65" s="95" t="str">
        <f>IFERROR(__xludf.DUMMYFUNCTION("""COMPUTED_VALUE"""),"B Saya ingin setiap belajar itu teratur dan direncanakan.")</f>
        <v>B Saya ingin setiap belajar itu teratur dan direncanakan.</v>
      </c>
      <c r="Q65" s="95" t="str">
        <f>IFERROR(__xludf.DUMMYFUNCTION("""COMPUTED_VALUE"""),"B Saya merencanakan keperluan yang dibutuhkan sebelum bepergian.")</f>
        <v>B Saya merencanakan keperluan yang dibutuhkan sebelum bepergian.</v>
      </c>
      <c r="R65" s="95" t="str">
        <f>IFERROR(__xludf.DUMMYFUNCTION("""COMPUTED_VALUE"""),"B Saya suka barang-barang saya tersusun rapi dan teratur.")</f>
        <v>B Saya suka barang-barang saya tersusun rapi dan teratur.</v>
      </c>
      <c r="S65" s="95" t="str">
        <f>IFERROR(__xludf.DUMMYFUNCTION("""COMPUTED_VALUE"""),"A Saya ingin agar teman-teman pengertian bila saya mengalami kesukaran.")</f>
        <v>A Saya ingin agar teman-teman pengertian bila saya mengalami kesukaran.</v>
      </c>
      <c r="T65" s="95" t="str">
        <f>IFERROR(__xludf.DUMMYFUNCTION("""COMPUTED_VALUE"""),"B Saya ingin agar hidup saya teratur sesuai cita-cita saya.")</f>
        <v>B Saya ingin agar hidup saya teratur sesuai cita-cita saya.</v>
      </c>
      <c r="U65" s="95" t="str">
        <f>IFERROR(__xludf.DUMMYFUNCTION("""COMPUTED_VALUE"""),"A Saya suka memberikan bantuan kepada teman-teman saya.")</f>
        <v>A Saya suka memberikan bantuan kepada teman-teman saya.</v>
      </c>
      <c r="V65" s="95" t="str">
        <f>IFERROR(__xludf.DUMMYFUNCTION("""COMPUTED_VALUE"""),"B Saya suka belajar saya teratur dan ada waktu-waktu tertentu untuk belajar.")</f>
        <v>B Saya suka belajar saya teratur dan ada waktu-waktu tertentu untuk belajar.</v>
      </c>
      <c r="W65" s="95" t="str">
        <f>IFERROR(__xludf.DUMMYFUNCTION("""COMPUTED_VALUE"""),"A Saya suka melakukan kegiatan sesuai kondisi yang saya inginkan.")</f>
        <v>A Saya suka melakukan kegiatan sesuai kondisi yang saya inginkan.</v>
      </c>
      <c r="X65" s="95" t="str">
        <f>IFERROR(__xludf.DUMMYFUNCTION("""COMPUTED_VALUE"""),"B Saya ingin agar hidup saya teratur sesuai cita-cita saya.")</f>
        <v>B Saya ingin agar hidup saya teratur sesuai cita-cita saya.</v>
      </c>
      <c r="Y65" s="95" t="str">
        <f>IFERROR(__xludf.DUMMYFUNCTION("""COMPUTED_VALUE"""),"A Saya suka menyelesaikan tugas-tugas yang membutuhkan ketrampilan dan usaha.")</f>
        <v>A Saya suka menyelesaikan tugas-tugas yang membutuhkan ketrampilan dan usaha.</v>
      </c>
      <c r="Z65" s="95" t="str">
        <f>IFERROR(__xludf.DUMMYFUNCTION("""COMPUTED_VALUE"""),"A Saya ingin berhasil dengan belajar yang saya lakukan.")</f>
        <v>A Saya ingin berhasil dengan belajar yang saya lakukan.</v>
      </c>
      <c r="AA65" s="95" t="str">
        <f>IFERROR(__xludf.DUMMYFUNCTION("""COMPUTED_VALUE"""),"A Saya suka menyelesaikan tugas yang telah saya rencanakan.")</f>
        <v>A Saya suka menyelesaikan tugas yang telah saya rencanakan.</v>
      </c>
      <c r="AB65" s="95" t="str">
        <f>IFERROR(__xludf.DUMMYFUNCTION("""COMPUTED_VALUE"""),"B Saya ingin menyelesaikan pekerjaan satu persatu sebelum memulai yang lain.")</f>
        <v>B Saya ingin menyelesaikan pekerjaan satu persatu sebelum memulai yang lain.</v>
      </c>
      <c r="AC65" s="95" t="str">
        <f>IFERROR(__xludf.DUMMYFUNCTION("""COMPUTED_VALUE"""),"A Saya suka menyelesaikan setiap tugas meskipun membutuhkan waktu lama.")</f>
        <v>A Saya suka menyelesaikan setiap tugas meskipun membutuhkan waktu lama.</v>
      </c>
      <c r="AD65" s="95" t="str">
        <f>IFERROR(__xludf.DUMMYFUNCTION("""COMPUTED_VALUE"""),"A Saya suka bermurah hati terhadap teman-teman saya.")</f>
        <v>A Saya suka bermurah hati terhadap teman-teman saya.</v>
      </c>
      <c r="AE65" s="95" t="str">
        <f>IFERROR(__xludf.DUMMYFUNCTION("""COMPUTED_VALUE"""),"A Saya ingin dianggap sebagai pemimpin oleh teman di kelompok.")</f>
        <v>A Saya ingin dianggap sebagai pemimpin oleh teman di kelompok.</v>
      </c>
      <c r="AF65" s="95" t="str">
        <f>IFERROR(__xludf.DUMMYFUNCTION("""COMPUTED_VALUE"""),"B Saya suka melakukan hal-hal dengan cara saya sendiri.")</f>
        <v>B Saya suka melakukan hal-hal dengan cara saya sendiri.</v>
      </c>
      <c r="AG65" s="95" t="str">
        <f>IFERROR(__xludf.DUMMYFUNCTION("""COMPUTED_VALUE"""),"B Saya ingin berhasil dengan tugas yang saya lakukan.")</f>
        <v>B Saya ingin berhasil dengan tugas yang saya lakukan.</v>
      </c>
      <c r="AH65" s="95" t="str">
        <f>IFERROR(__xludf.DUMMYFUNCTION("""COMPUTED_VALUE"""),"B Saya ingin merasa bebas untuk melakukan apa yang saya kehendaki.")</f>
        <v>B Saya ingin merasa bebas untuk melakukan apa yang saya kehendaki.</v>
      </c>
      <c r="AI65" s="95" t="str">
        <f>IFERROR(__xludf.DUMMYFUNCTION("""COMPUTED_VALUE"""),"B Saya suka melakukan kegiatan sesuai kondisi yang saya inginkan.")</f>
        <v>B Saya suka melakukan kegiatan sesuai kondisi yang saya inginkan.</v>
      </c>
      <c r="AJ65" s="95" t="str">
        <f>IFERROR(__xludf.DUMMYFUNCTION("""COMPUTED_VALUE"""),"B Saya suka bertahan menghadapi satu masalah meskipun belum tentu berhasil.")</f>
        <v>B Saya suka bertahan menghadapi satu masalah meskipun belum tentu berhasil.</v>
      </c>
      <c r="AK65" s="95" t="str">
        <f>IFERROR(__xludf.DUMMYFUNCTION("""COMPUTED_VALUE"""),"B Bila saya harus melakukan suatu tugas, saya ingin mengerjakan sampai selesai.")</f>
        <v>B Bila saya harus melakukan suatu tugas, saya ingin mengerjakan sampai selesai.</v>
      </c>
      <c r="AL65" s="95" t="str">
        <f>IFERROR(__xludf.DUMMYFUNCTION("""COMPUTED_VALUE"""),"B Saya ingin menghindarkan gangguan bila saya sedang belajar.")</f>
        <v>B Saya ingin menghindarkan gangguan bila saya sedang belajar.</v>
      </c>
      <c r="AM65" s="95" t="str">
        <f>IFERROR(__xludf.DUMMYFUNCTION("""COMPUTED_VALUE"""),"B Saya suka belajar sampai malam untuk menyelesaikan suatu tugas.")</f>
        <v>B Saya suka belajar sampai malam untuk menyelesaikan suatu tugas.</v>
      </c>
      <c r="AN65" s="95" t="str">
        <f>IFERROR(__xludf.DUMMYFUNCTION("""COMPUTED_VALUE"""),"A Saya tidak suka pada orang yang semena-mena.")</f>
        <v>A Saya tidak suka pada orang yang semena-mena.</v>
      </c>
      <c r="AO65" s="95" t="str">
        <f>IFERROR(__xludf.DUMMYFUNCTION("""COMPUTED_VALUE"""),"A Saya suka berlaku sangat ramah terhadap teman-teman saya.")</f>
        <v>A Saya suka berlaku sangat ramah terhadap teman-teman saya.</v>
      </c>
      <c r="AP65" s="95" t="str">
        <f>IFERROR(__xludf.DUMMYFUNCTION("""COMPUTED_VALUE"""),"B Saya suka bertahan menghadapi satu masalah meskipun belum tentu berhasil.")</f>
        <v>B Saya suka bertahan menghadapi satu masalah meskipun belum tentu berhasil.</v>
      </c>
      <c r="AQ65" s="95" t="str">
        <f>IFERROR(__xludf.DUMMYFUNCTION("""COMPUTED_VALUE"""),"B Bila saya harus melakukan suatu tugas, saya ingin mengerjakan sampai selesai.")</f>
        <v>B Bila saya harus melakukan suatu tugas, saya ingin mengerjakan sampai selesai.</v>
      </c>
      <c r="AR65" s="95" t="str">
        <f>IFERROR(__xludf.DUMMYFUNCTION("""COMPUTED_VALUE"""),"A Saya suka menyimpan catatan secara rapi.")</f>
        <v>A Saya suka menyimpan catatan secara rapi.</v>
      </c>
      <c r="AS65" s="95" t="str">
        <f>IFERROR(__xludf.DUMMYFUNCTION("""COMPUTED_VALUE"""),"B Saya suka belajar sampai malam untuk menyelesaikan suatu tugas.")</f>
        <v>B Saya suka belajar sampai malam untuk menyelesaikan suatu tugas.</v>
      </c>
      <c r="AT65" s="95" t="str">
        <f>IFERROR(__xludf.DUMMYFUNCTION("""COMPUTED_VALUE"""),"B Saya suka membantu orang lain yang menurut saya perlu dikasihani.")</f>
        <v>B Saya suka membantu orang lain yang menurut saya perlu dikasihani.</v>
      </c>
      <c r="AU65" s="95" t="str">
        <f>IFERROR(__xludf.DUMMYFUNCTION("""COMPUTED_VALUE"""),"B Saya suka bermurah hati terhadap teman-teman saya.")</f>
        <v>B Saya suka bermurah hati terhadap teman-teman saya.</v>
      </c>
      <c r="AV65" s="95" t="str">
        <f>IFERROR(__xludf.DUMMYFUNCTION("""COMPUTED_VALUE"""),"B Saya suka menolong teman-teman saya.")</f>
        <v>B Saya suka menolong teman-teman saya.</v>
      </c>
      <c r="AW65" s="95" t="str">
        <f>IFERROR(__xludf.DUMMYFUNCTION("""COMPUTED_VALUE"""),"B Saya ingin teman-teman saya percaya bahwa saya bisa menolong mereka.")</f>
        <v>B Saya ingin teman-teman saya percaya bahwa saya bisa menolong mereka.</v>
      </c>
      <c r="AX65" s="95" t="str">
        <f>IFERROR(__xludf.DUMMYFUNCTION("""COMPUTED_VALUE"""),"A Saya suka menolong teman-teman saya apabila mereka dalam kesulitan.")</f>
        <v>A Saya suka menolong teman-teman saya apabila mereka dalam kesulitan.</v>
      </c>
      <c r="AY65" s="95" t="str">
        <f>IFERROR(__xludf.DUMMYFUNCTION("""COMPUTED_VALUE"""),"B Saya suka menolong teman-teman saya apabila mereka dalam kesulitan.")</f>
        <v>B Saya suka menolong teman-teman saya apabila mereka dalam kesulitan.</v>
      </c>
      <c r="AZ65" s="95" t="str">
        <f>IFERROR(__xludf.DUMMYFUNCTION("""COMPUTED_VALUE"""),"A Saya ingin agar teman-teman saya bersimpati dan menghibur saya bila saya sedih.")</f>
        <v>A Saya ingin agar teman-teman saya bersimpati dan menghibur saya bila saya sedih.</v>
      </c>
      <c r="BA65" s="95" t="str">
        <f>IFERROR(__xludf.DUMMYFUNCTION("""COMPUTED_VALUE"""),"B Saya suka memperlakukan orang lain dengan baik dan ramah.")</f>
        <v>B Saya suka memperlakukan orang lain dengan baik dan ramah.</v>
      </c>
      <c r="BB65" s="95" t="str">
        <f>IFERROR(__xludf.DUMMYFUNCTION("""COMPUTED_VALUE"""),"B Saya suka bermurah hati terhadap teman-teman saya.")</f>
        <v>B Saya suka bermurah hati terhadap teman-teman saya.</v>
      </c>
      <c r="BC65" s="95" t="str">
        <f>IFERROR(__xludf.DUMMYFUNCTION("""COMPUTED_VALUE"""),"B Saya suka membantu orang lain yang menurut saya perlu dikasihani.")</f>
        <v>B Saya suka membantu orang lain yang menurut saya perlu dikasihani.</v>
      </c>
      <c r="BD65" s="95" t="str">
        <f>IFERROR(__xludf.DUMMYFUNCTION("""COMPUTED_VALUE"""),"B Saya suka bersikukuh dengan pendirian saya.")</f>
        <v>B Saya suka bersikukuh dengan pendirian saya.</v>
      </c>
      <c r="BE65" s="95" t="str">
        <f>IFERROR(__xludf.DUMMYFUNCTION("""COMPUTED_VALUE"""),"A Saya suka mendengarkan atau menceritakan hal-hal yang sebaiknya tidak diceritakan.")</f>
        <v>A Saya suka mendengarkan atau menceritakan hal-hal yang sebaiknya tidak diceritakan.</v>
      </c>
      <c r="BF65" s="95" t="str">
        <f>IFERROR(__xludf.DUMMYFUNCTION("""COMPUTED_VALUE"""),"B Bila saya dalam kelompok, saya ingin menentukan apa yang akan kita lakukan.")</f>
        <v>B Bila saya dalam kelompok, saya ingin menentukan apa yang akan kita lakukan.</v>
      </c>
      <c r="BG65" s="95" t="str">
        <f>IFERROR(__xludf.DUMMYFUNCTION("""COMPUTED_VALUE"""),"A Saya ingin teman-teman banyak menunjukkan rasa sayang mereka terhadap saya.")</f>
        <v>A Saya ingin teman-teman banyak menunjukkan rasa sayang mereka terhadap saya.</v>
      </c>
      <c r="BH65" s="95" t="str">
        <f>IFERROR(__xludf.DUMMYFUNCTION("""COMPUTED_VALUE"""),"A Saya suka menghindar dari situasi yang tidak saya harapkan.")</f>
        <v>A Saya suka menghindar dari situasi yang tidak saya harapkan.</v>
      </c>
      <c r="BI65" s="95" t="str">
        <f>IFERROR(__xludf.DUMMYFUNCTION("""COMPUTED_VALUE"""),"A Saya suka bermurah hati terhadap teman-teman saya.")</f>
        <v>A Saya suka bermurah hati terhadap teman-teman saya.</v>
      </c>
      <c r="BJ65" s="95" t="str">
        <f>IFERROR(__xludf.DUMMYFUNCTION("""COMPUTED_VALUE"""),"A Saya ingin mengerjakan tugas sampai selesai.")</f>
        <v>A Saya ingin mengerjakan tugas sampai selesai.</v>
      </c>
      <c r="BK65" s="95" t="str">
        <f>IFERROR(__xludf.DUMMYFUNCTION("""COMPUTED_VALUE"""),"A Saya ingin menyelesaikan pekerjaan satu persatu sebelum memulai yang lain.")</f>
        <v>A Saya ingin menyelesaikan pekerjaan satu persatu sebelum memulai yang lain.</v>
      </c>
      <c r="BL65" s="95" t="str">
        <f>IFERROR(__xludf.DUMMYFUNCTION("""COMPUTED_VALUE"""),"A Saya suka belajar saya teratur dan ada waktu-waktu tertentu untuk belajar.")</f>
        <v>A Saya suka belajar saya teratur dan ada waktu-waktu tertentu untuk belajar.</v>
      </c>
      <c r="BM65" s="95" t="str">
        <f>IFERROR(__xludf.DUMMYFUNCTION("""COMPUTED_VALUE"""),"A Saya suka melakukan pekerjaan sebaik mungkin.")</f>
        <v>A Saya suka melakukan pekerjaan sebaik mungkin.</v>
      </c>
      <c r="BN65" s="95" t="str">
        <f>IFERROR(__xludf.DUMMYFUNCTION("""COMPUTED_VALUE"""),"B Saya ingin teman-teman memberi dorongan bila saya menghadapi kegagalan.")</f>
        <v>B Saya ingin teman-teman memberi dorongan bila saya menghadapi kegagalan.</v>
      </c>
      <c r="BO65" s="95" t="str">
        <f>IFERROR(__xludf.DUMMYFUNCTION("""COMPUTED_VALUE"""),"B Saya ingin diperlakukan dengan baik oleh teman-teman saya.")</f>
        <v>B Saya ingin diperlakukan dengan baik oleh teman-teman saya.</v>
      </c>
      <c r="BP65" s="95" t="str">
        <f>IFERROR(__xludf.DUMMYFUNCTION("""COMPUTED_VALUE"""),"A Saya ingin menyelesaikan sesuatu yang sangat penting artinya.")</f>
        <v>A Saya ingin menyelesaikan sesuatu yang sangat penting artinya.</v>
      </c>
      <c r="BQ65" s="95" t="str">
        <f>IFERROR(__xludf.DUMMYFUNCTION("""COMPUTED_VALUE"""),"A Saya ingin mengerjakannya tugas sampai selesai.")</f>
        <v>A Saya ingin mengerjakannya tugas sampai selesai.</v>
      </c>
      <c r="BR65" s="95" t="str">
        <f>IFERROR(__xludf.DUMMYFUNCTION("""COMPUTED_VALUE"""),"A Saya suka memaafkan teman-teman saya yang menyakiti hati saya.")</f>
        <v>A Saya suka memaafkan teman-teman saya yang menyakiti hati saya.</v>
      </c>
      <c r="BS65" s="95" t="str">
        <f>IFERROR(__xludf.DUMMYFUNCTION("""COMPUTED_VALUE"""),"B Saya ingin teman-teman saya membantu saya bila saya mengalami kesulitan")</f>
        <v>B Saya ingin teman-teman saya membantu saya bila saya mengalami kesulitan</v>
      </c>
      <c r="BT65" s="95" t="str">
        <f>IFERROR(__xludf.DUMMYFUNCTION("""COMPUTED_VALUE"""),"B Saya ingin teman-teman banyak menunjukkan rasa sayang mereka terhadap saya.")</f>
        <v>B Saya ingin teman-teman banyak menunjukkan rasa sayang mereka terhadap saya.</v>
      </c>
      <c r="BU65" s="95" t="str">
        <f>IFERROR(__xludf.DUMMYFUNCTION("""COMPUTED_VALUE"""),"B Saya ingin agar teman-teman saya merasa kasihan pada saya apabila saya sakit.")</f>
        <v>B Saya ingin agar teman-teman saya merasa kasihan pada saya apabila saya sakit.</v>
      </c>
      <c r="BV65" s="95" t="str">
        <f>IFERROR(__xludf.DUMMYFUNCTION("""COMPUTED_VALUE"""),"B Saya ingin teman-teman dengan gembira memberikan pertolongan kepada saya.")</f>
        <v>B Saya ingin teman-teman dengan gembira memberikan pertolongan kepada saya.</v>
      </c>
      <c r="BW65" s="95" t="str">
        <f>IFERROR(__xludf.DUMMYFUNCTION("""COMPUTED_VALUE"""),"B Saya ingin diperlakukan dengan baik oleh teman-teman saya.")</f>
        <v>B Saya ingin diperlakukan dengan baik oleh teman-teman saya.</v>
      </c>
      <c r="BX65" s="95" t="str">
        <f>IFERROR(__xludf.DUMMYFUNCTION("""COMPUTED_VALUE"""),"B Saya kadang-kadang suka melakukan hal-hal yang dapat dipuji oleh orang lain.")</f>
        <v>B Saya kadang-kadang suka melakukan hal-hal yang dapat dipuji oleh orang lain.</v>
      </c>
      <c r="BY65" s="95" t="str">
        <f>IFERROR(__xludf.DUMMYFUNCTION("""COMPUTED_VALUE"""),"B Saya ingin orang lain memperhatikan dan berkomentar tentang penampilan saya.")</f>
        <v>B Saya ingin orang lain memperhatikan dan berkomentar tentang penampilan saya.</v>
      </c>
      <c r="BZ65" s="95" t="str">
        <f>IFERROR(__xludf.DUMMYFUNCTION("""COMPUTED_VALUE"""),"A Saya suka berkata yang artinya sulit dipahami oleh orang lain.")</f>
        <v>A Saya suka berkata yang artinya sulit dipahami oleh orang lain.</v>
      </c>
      <c r="CA65" s="95" t="str">
        <f>IFERROR(__xludf.DUMMYFUNCTION("""COMPUTED_VALUE"""),"A Saya ingin teman-teman dengan gembira memberikan pertolongan kepada saya.")</f>
        <v>A Saya ingin teman-teman dengan gembira memberikan pertolongan kepada saya.</v>
      </c>
      <c r="CB65" s="95" t="str">
        <f>IFERROR(__xludf.DUMMYFUNCTION("""COMPUTED_VALUE"""),"B Saya suka berbicara tentang hal-hal yang telah saya capai.")</f>
        <v>B Saya suka berbicara tentang hal-hal yang telah saya capai.</v>
      </c>
      <c r="CC65" s="95" t="str">
        <f>IFERROR(__xludf.DUMMYFUNCTION("""COMPUTED_VALUE"""),"A Apabila saya berkumpul dalam kelompok, saya ingin dihargai teman-teman.")</f>
        <v>A Apabila saya berkumpul dalam kelompok, saya ingin dihargai teman-teman.</v>
      </c>
      <c r="CD65" s="95" t="str">
        <f>IFERROR(__xludf.DUMMYFUNCTION("""COMPUTED_VALUE"""),"A Saya suka menyelesaikan setiap tugas meskipun membutuhkan waktu lama.")</f>
        <v>A Saya suka menyelesaikan setiap tugas meskipun membutuhkan waktu lama.</v>
      </c>
      <c r="CE65" s="95" t="str">
        <f>IFERROR(__xludf.DUMMYFUNCTION("""COMPUTED_VALUE"""),"A Saya suka menyelesaikan setiap tugas belajar yang telah saya mulai.")</f>
        <v>A Saya suka menyelesaikan setiap tugas belajar yang telah saya mulai.</v>
      </c>
      <c r="CF65" s="95" t="str">
        <f>IFERROR(__xludf.DUMMYFUNCTION("""COMPUTED_VALUE"""),"A Saya ingin agar hidup saya teratur sesuai cita-cita saya.")</f>
        <v>A Saya ingin agar hidup saya teratur sesuai cita-cita saya.</v>
      </c>
      <c r="CG65" s="95" t="str">
        <f>IFERROR(__xludf.DUMMYFUNCTION("""COMPUTED_VALUE"""),"A Saya ingin berhasil dalam apa yang saya lakukan.")</f>
        <v>A Saya ingin berhasil dalam apa yang saya lakukan.</v>
      </c>
      <c r="CH65" s="95" t="str">
        <f>IFERROR(__xludf.DUMMYFUNCTION("""COMPUTED_VALUE"""),"A Saya ingin bisa melakukan dengan baik sesuatu pekerjaan sulit.")</f>
        <v>A Saya ingin bisa melakukan dengan baik sesuatu pekerjaan sulit.</v>
      </c>
      <c r="CI65" s="95" t="str">
        <f>IFERROR(__xludf.DUMMYFUNCTION("""COMPUTED_VALUE"""),"A Saya suka belajar saya teratur dan ada waktu-waktu tertentu untuk belajar.")</f>
        <v>A Saya suka belajar saya teratur dan ada waktu-waktu tertentu untuk belajar.</v>
      </c>
      <c r="CJ65" s="95" t="str">
        <f>IFERROR(__xludf.DUMMYFUNCTION("""COMPUTED_VALUE"""),"A Saya ingin tidak tergantung dari orang lain terhadap apa yang akan saya lakukan.")</f>
        <v>A Saya ingin tidak tergantung dari orang lain terhadap apa yang akan saya lakukan.</v>
      </c>
      <c r="CK65" s="95" t="str">
        <f>IFERROR(__xludf.DUMMYFUNCTION("""COMPUTED_VALUE"""),"B Saya senang ikut beraktivitas bersama teman sebaya saya.")</f>
        <v>B Saya senang ikut beraktivitas bersama teman sebaya saya.</v>
      </c>
      <c r="CL65" s="95" t="str">
        <f>IFERROR(__xludf.DUMMYFUNCTION("""COMPUTED_VALUE"""),"A Saya suka menolong teman-teman saya, apabila mereka dalam kesulitan.")</f>
        <v>A Saya suka menolong teman-teman saya, apabila mereka dalam kesulitan.</v>
      </c>
      <c r="CM65" s="95" t="str">
        <f>IFERROR(__xludf.DUMMYFUNCTION("""COMPUTED_VALUE"""),"A Saya ingin ditunjuk atau dipilih sebagai ketua dalam suatu kelompok.")</f>
        <v>A Saya ingin ditunjuk atau dipilih sebagai ketua dalam suatu kelompok.</v>
      </c>
      <c r="CN65" s="95" t="str">
        <f>IFERROR(__xludf.DUMMYFUNCTION("""COMPUTED_VALUE"""),"A Saya ingin diperlakukan dengan baik oleh teman-teman saya.")</f>
        <v>A Saya ingin diperlakukan dengan baik oleh teman-teman saya.</v>
      </c>
      <c r="CO65" s="95" t="str">
        <f>IFERROR(__xludf.DUMMYFUNCTION("""COMPUTED_VALUE"""),"A Saya suka menceritakan hal-hal lucu agar diperhatikan oleh orang lain.")</f>
        <v>A Saya suka menceritakan hal-hal lucu agar diperhatikan oleh orang lain.</v>
      </c>
      <c r="CP65" s="95" t="str">
        <f>IFERROR(__xludf.DUMMYFUNCTION("""COMPUTED_VALUE"""),"B Saya ingin dianggap menarik oleh orang lain.")</f>
        <v>B Saya ingin dianggap menarik oleh orang lain.</v>
      </c>
      <c r="CQ65" s="95" t="str">
        <f>IFERROR(__xludf.DUMMYFUNCTION("""COMPUTED_VALUE"""),"A Saya ingin menggertak orang bila saya berbeda pendapat dengan mereka.")</f>
        <v>A Saya ingin menggertak orang bila saya berbeda pendapat dengan mereka.</v>
      </c>
      <c r="CR65" s="95" t="str">
        <f>IFERROR(__xludf.DUMMYFUNCTION("""COMPUTED_VALUE"""),"B Saya rasanya ingin mengecam seseorang bila orang itu menjengkelkan.")</f>
        <v>B Saya rasanya ingin mengecam seseorang bila orang itu menjengkelkan.</v>
      </c>
      <c r="CS65" s="95" t="str">
        <f>IFERROR(__xludf.DUMMYFUNCTION("""COMPUTED_VALUE"""),"B Saya rasanya ingin membalas dendam bila seseorang menghina saya.")</f>
        <v>B Saya rasanya ingin membalas dendam bila seseorang menghina saya.</v>
      </c>
      <c r="CT65" s="95" t="str">
        <f>IFERROR(__xludf.DUMMYFUNCTION("""COMPUTED_VALUE"""),"A Saya ingin orang-orang memperhatikan komentar mengenai penampilan saya.")</f>
        <v>A Saya ingin orang-orang memperhatikan komentar mengenai penampilan saya.</v>
      </c>
      <c r="CU65" s="95" t="str">
        <f>IFERROR(__xludf.DUMMYFUNCTION("""COMPUTED_VALUE"""),"A Saya ingin diperlakukan dengan ramah oleh teman-teman saya.")</f>
        <v>A Saya ingin diperlakukan dengan ramah oleh teman-teman saya.</v>
      </c>
      <c r="CV65" s="95" t="str">
        <f>IFERROR(__xludf.DUMMYFUNCTION("""COMPUTED_VALUE"""),"A Saya ingin ditunjuk atau dipilih sebagai ketua dalam suatu kelompok.")</f>
        <v>A Saya ingin ditunjuk atau dipilih sebagai ketua dalam suatu kelompok.</v>
      </c>
      <c r="CW65" s="95" t="str">
        <f>IFERROR(__xludf.DUMMYFUNCTION("""COMPUTED_VALUE"""),"A Saya suka menolong teman-teman saya, apabila mereka dalam kesulitan.")</f>
        <v>A Saya suka menolong teman-teman saya, apabila mereka dalam kesulitan.</v>
      </c>
      <c r="CX65" s="95" t="str">
        <f>IFERROR(__xludf.DUMMYFUNCTION("""COMPUTED_VALUE"""),"A Saya suka belajar sampai malam untuk menyelesaikan suatu tugas.")</f>
        <v>A Saya suka belajar sampai malam untuk menyelesaikan suatu tugas.</v>
      </c>
      <c r="CY65" s="95" t="str">
        <f>IFERROR(__xludf.DUMMYFUNCTION("""COMPUTED_VALUE"""),"B Saya rasanya ingin membalas dendam bila seseorang menghina saya.")</f>
        <v>B Saya rasanya ingin membalas dendam bila seseorang menghina saya.</v>
      </c>
      <c r="CZ65" s="95" t="str">
        <f>IFERROR(__xludf.DUMMYFUNCTION("""COMPUTED_VALUE"""),"A Saya suka merencanakan dan mengatur setiap pekerjaan yang harus saya lakukan.")</f>
        <v>A Saya suka merencanakan dan mengatur setiap pekerjaan yang harus saya lakukan.</v>
      </c>
      <c r="DA65" s="95" t="str">
        <f>IFERROR(__xludf.DUMMYFUNCTION("""COMPUTED_VALUE"""),"A Saya ingin melakukan apa saja sebaik mungkin.")</f>
        <v>A Saya ingin melakukan apa saja sebaik mungkin.</v>
      </c>
      <c r="DB65" s="89" t="s">
        <v>23</v>
      </c>
      <c r="DC65" s="97" t="str">
        <f t="shared" ref="DC65:GX65" si="110">LEFT(F65,1)</f>
        <v>B</v>
      </c>
      <c r="DD65" s="97" t="str">
        <f t="shared" si="110"/>
        <v>A</v>
      </c>
      <c r="DE65" s="97" t="str">
        <f t="shared" si="110"/>
        <v>A</v>
      </c>
      <c r="DF65" s="97" t="str">
        <f t="shared" si="110"/>
        <v>A</v>
      </c>
      <c r="DG65" s="97" t="str">
        <f t="shared" si="110"/>
        <v>A</v>
      </c>
      <c r="DH65" s="97" t="str">
        <f t="shared" si="110"/>
        <v>B</v>
      </c>
      <c r="DI65" s="97" t="str">
        <f t="shared" si="110"/>
        <v>B</v>
      </c>
      <c r="DJ65" s="97" t="str">
        <f t="shared" si="110"/>
        <v>B</v>
      </c>
      <c r="DK65" s="97" t="str">
        <f t="shared" si="110"/>
        <v>B</v>
      </c>
      <c r="DL65" s="97" t="str">
        <f t="shared" si="110"/>
        <v>B</v>
      </c>
      <c r="DM65" s="97" t="str">
        <f t="shared" si="110"/>
        <v>B</v>
      </c>
      <c r="DN65" s="97" t="str">
        <f t="shared" si="110"/>
        <v>B</v>
      </c>
      <c r="DO65" s="97" t="str">
        <f t="shared" si="110"/>
        <v>B</v>
      </c>
      <c r="DP65" s="97" t="str">
        <f t="shared" si="110"/>
        <v>A</v>
      </c>
      <c r="DQ65" s="97" t="str">
        <f t="shared" si="110"/>
        <v>B</v>
      </c>
      <c r="DR65" s="97" t="str">
        <f t="shared" si="110"/>
        <v>A</v>
      </c>
      <c r="DS65" s="97" t="str">
        <f t="shared" si="110"/>
        <v>B</v>
      </c>
      <c r="DT65" s="97" t="str">
        <f t="shared" si="110"/>
        <v>A</v>
      </c>
      <c r="DU65" s="97" t="str">
        <f t="shared" si="110"/>
        <v>B</v>
      </c>
      <c r="DV65" s="97" t="str">
        <f t="shared" si="110"/>
        <v>A</v>
      </c>
      <c r="DW65" s="97" t="str">
        <f t="shared" si="110"/>
        <v>A</v>
      </c>
      <c r="DX65" s="97" t="str">
        <f t="shared" si="110"/>
        <v>A</v>
      </c>
      <c r="DY65" s="97" t="str">
        <f t="shared" si="110"/>
        <v>B</v>
      </c>
      <c r="DZ65" s="97" t="str">
        <f t="shared" si="110"/>
        <v>A</v>
      </c>
      <c r="EA65" s="97" t="str">
        <f t="shared" si="110"/>
        <v>A</v>
      </c>
      <c r="EB65" s="97" t="str">
        <f t="shared" si="110"/>
        <v>A</v>
      </c>
      <c r="EC65" s="97" t="str">
        <f t="shared" si="110"/>
        <v>B</v>
      </c>
      <c r="ED65" s="97" t="str">
        <f t="shared" si="110"/>
        <v>B</v>
      </c>
      <c r="EE65" s="97" t="str">
        <f t="shared" si="110"/>
        <v>B</v>
      </c>
      <c r="EF65" s="97" t="str">
        <f t="shared" si="110"/>
        <v>B</v>
      </c>
      <c r="EG65" s="97" t="str">
        <f t="shared" si="110"/>
        <v>B</v>
      </c>
      <c r="EH65" s="97" t="str">
        <f t="shared" si="110"/>
        <v>B</v>
      </c>
      <c r="EI65" s="97" t="str">
        <f t="shared" si="110"/>
        <v>B</v>
      </c>
      <c r="EJ65" s="97" t="str">
        <f t="shared" si="110"/>
        <v>B</v>
      </c>
      <c r="EK65" s="97" t="str">
        <f t="shared" si="110"/>
        <v>A</v>
      </c>
      <c r="EL65" s="97" t="str">
        <f t="shared" si="110"/>
        <v>A</v>
      </c>
      <c r="EM65" s="97" t="str">
        <f t="shared" si="110"/>
        <v>B</v>
      </c>
      <c r="EN65" s="97" t="str">
        <f t="shared" si="110"/>
        <v>B</v>
      </c>
      <c r="EO65" s="97" t="str">
        <f t="shared" si="110"/>
        <v>A</v>
      </c>
      <c r="EP65" s="97" t="str">
        <f t="shared" si="110"/>
        <v>B</v>
      </c>
      <c r="EQ65" s="97" t="str">
        <f t="shared" si="110"/>
        <v>B</v>
      </c>
      <c r="ER65" s="97" t="str">
        <f t="shared" si="110"/>
        <v>B</v>
      </c>
      <c r="ES65" s="97" t="str">
        <f t="shared" si="110"/>
        <v>B</v>
      </c>
      <c r="ET65" s="97" t="str">
        <f t="shared" si="110"/>
        <v>B</v>
      </c>
      <c r="EU65" s="97" t="str">
        <f t="shared" si="110"/>
        <v>A</v>
      </c>
      <c r="EV65" s="97" t="str">
        <f t="shared" si="110"/>
        <v>B</v>
      </c>
      <c r="EW65" s="97" t="str">
        <f t="shared" si="110"/>
        <v>A</v>
      </c>
      <c r="EX65" s="97" t="str">
        <f t="shared" si="110"/>
        <v>B</v>
      </c>
      <c r="EY65" s="97" t="str">
        <f t="shared" si="110"/>
        <v>B</v>
      </c>
      <c r="EZ65" s="97" t="str">
        <f t="shared" si="110"/>
        <v>B</v>
      </c>
      <c r="FA65" s="97" t="str">
        <f t="shared" si="110"/>
        <v>B</v>
      </c>
      <c r="FB65" s="97" t="str">
        <f t="shared" si="110"/>
        <v>A</v>
      </c>
      <c r="FC65" s="97" t="str">
        <f t="shared" si="110"/>
        <v>B</v>
      </c>
      <c r="FD65" s="97" t="str">
        <f t="shared" si="110"/>
        <v>A</v>
      </c>
      <c r="FE65" s="97" t="str">
        <f t="shared" si="110"/>
        <v>A</v>
      </c>
      <c r="FF65" s="97" t="str">
        <f t="shared" si="110"/>
        <v>A</v>
      </c>
      <c r="FG65" s="97" t="str">
        <f t="shared" si="110"/>
        <v>A</v>
      </c>
      <c r="FH65" s="97" t="str">
        <f t="shared" si="110"/>
        <v>A</v>
      </c>
      <c r="FI65" s="97" t="str">
        <f t="shared" si="110"/>
        <v>A</v>
      </c>
      <c r="FJ65" s="97" t="str">
        <f t="shared" si="110"/>
        <v>A</v>
      </c>
      <c r="FK65" s="97" t="str">
        <f t="shared" si="110"/>
        <v>B</v>
      </c>
      <c r="FL65" s="97" t="str">
        <f t="shared" si="110"/>
        <v>B</v>
      </c>
      <c r="FM65" s="97" t="str">
        <f t="shared" si="110"/>
        <v>A</v>
      </c>
      <c r="FN65" s="97" t="str">
        <f t="shared" si="110"/>
        <v>A</v>
      </c>
      <c r="FO65" s="97" t="str">
        <f t="shared" si="110"/>
        <v>A</v>
      </c>
      <c r="FP65" s="97" t="str">
        <f t="shared" si="110"/>
        <v>B</v>
      </c>
      <c r="FQ65" s="97" t="str">
        <f t="shared" si="110"/>
        <v>B</v>
      </c>
      <c r="FR65" s="97" t="str">
        <f t="shared" si="110"/>
        <v>B</v>
      </c>
      <c r="FS65" s="97" t="str">
        <f t="shared" si="110"/>
        <v>B</v>
      </c>
      <c r="FT65" s="97" t="str">
        <f t="shared" si="110"/>
        <v>B</v>
      </c>
      <c r="FU65" s="97" t="str">
        <f t="shared" si="110"/>
        <v>B</v>
      </c>
      <c r="FV65" s="97" t="str">
        <f t="shared" si="110"/>
        <v>B</v>
      </c>
      <c r="FW65" s="97" t="str">
        <f t="shared" si="110"/>
        <v>A</v>
      </c>
      <c r="FX65" s="97" t="str">
        <f t="shared" si="110"/>
        <v>A</v>
      </c>
      <c r="FY65" s="97" t="str">
        <f t="shared" si="110"/>
        <v>B</v>
      </c>
      <c r="FZ65" s="97" t="str">
        <f t="shared" si="110"/>
        <v>A</v>
      </c>
      <c r="GA65" s="97" t="str">
        <f t="shared" si="110"/>
        <v>A</v>
      </c>
      <c r="GB65" s="97" t="str">
        <f t="shared" si="110"/>
        <v>A</v>
      </c>
      <c r="GC65" s="97" t="str">
        <f t="shared" si="110"/>
        <v>A</v>
      </c>
      <c r="GD65" s="97" t="str">
        <f t="shared" si="110"/>
        <v>A</v>
      </c>
      <c r="GE65" s="97" t="str">
        <f t="shared" si="110"/>
        <v>A</v>
      </c>
      <c r="GF65" s="97" t="str">
        <f t="shared" si="110"/>
        <v>A</v>
      </c>
      <c r="GG65" s="97" t="str">
        <f t="shared" si="110"/>
        <v>A</v>
      </c>
      <c r="GH65" s="97" t="str">
        <f t="shared" si="110"/>
        <v>B</v>
      </c>
      <c r="GI65" s="97" t="str">
        <f t="shared" si="110"/>
        <v>A</v>
      </c>
      <c r="GJ65" s="97" t="str">
        <f t="shared" si="110"/>
        <v>A</v>
      </c>
      <c r="GK65" s="97" t="str">
        <f t="shared" si="110"/>
        <v>A</v>
      </c>
      <c r="GL65" s="97" t="str">
        <f t="shared" si="110"/>
        <v>A</v>
      </c>
      <c r="GM65" s="97" t="str">
        <f t="shared" si="110"/>
        <v>B</v>
      </c>
      <c r="GN65" s="97" t="str">
        <f t="shared" si="110"/>
        <v>A</v>
      </c>
      <c r="GO65" s="97" t="str">
        <f t="shared" si="110"/>
        <v>B</v>
      </c>
      <c r="GP65" s="97" t="str">
        <f t="shared" si="110"/>
        <v>B</v>
      </c>
      <c r="GQ65" s="97" t="str">
        <f t="shared" si="110"/>
        <v>A</v>
      </c>
      <c r="GR65" s="97" t="str">
        <f t="shared" si="110"/>
        <v>A</v>
      </c>
      <c r="GS65" s="97" t="str">
        <f t="shared" si="110"/>
        <v>A</v>
      </c>
      <c r="GT65" s="97" t="str">
        <f t="shared" si="110"/>
        <v>A</v>
      </c>
      <c r="GU65" s="97" t="str">
        <f t="shared" si="110"/>
        <v>A</v>
      </c>
      <c r="GV65" s="97" t="str">
        <f t="shared" si="110"/>
        <v>B</v>
      </c>
      <c r="GW65" s="97" t="str">
        <f t="shared" si="110"/>
        <v>A</v>
      </c>
      <c r="GX65" s="97" t="str">
        <f t="shared" si="110"/>
        <v>A</v>
      </c>
      <c r="GY65" s="98"/>
      <c r="GZ65" s="97">
        <f t="shared" si="3"/>
        <v>51</v>
      </c>
      <c r="HA65" s="97">
        <f t="shared" si="4"/>
        <v>49</v>
      </c>
      <c r="HB65" s="90">
        <f t="shared" si="5"/>
        <v>100</v>
      </c>
      <c r="HC65" s="99"/>
      <c r="HD65" s="97">
        <f t="shared" si="6"/>
        <v>6</v>
      </c>
      <c r="HE65" s="97">
        <f t="shared" si="7"/>
        <v>5</v>
      </c>
      <c r="HF65" s="90">
        <f t="shared" si="8"/>
        <v>11</v>
      </c>
      <c r="HG65" s="99"/>
      <c r="HH65" s="97">
        <f t="shared" si="9"/>
        <v>7</v>
      </c>
      <c r="HI65" s="97">
        <f t="shared" si="10"/>
        <v>6</v>
      </c>
      <c r="HJ65" s="90">
        <f t="shared" si="11"/>
        <v>13</v>
      </c>
      <c r="HK65" s="99"/>
      <c r="HL65" s="97">
        <f t="shared" si="12"/>
        <v>6</v>
      </c>
      <c r="HM65" s="97">
        <f t="shared" si="13"/>
        <v>5</v>
      </c>
      <c r="HN65" s="90">
        <f t="shared" si="14"/>
        <v>11</v>
      </c>
      <c r="HO65" s="99"/>
      <c r="HP65" s="97">
        <f t="shared" si="15"/>
        <v>6</v>
      </c>
      <c r="HQ65" s="97">
        <f t="shared" si="16"/>
        <v>7</v>
      </c>
      <c r="HR65" s="90">
        <f t="shared" si="17"/>
        <v>13</v>
      </c>
      <c r="HS65" s="99"/>
      <c r="HT65" s="97">
        <f t="shared" si="18"/>
        <v>9</v>
      </c>
      <c r="HU65" s="97">
        <f t="shared" si="19"/>
        <v>8</v>
      </c>
      <c r="HV65" s="90">
        <f t="shared" si="20"/>
        <v>17</v>
      </c>
      <c r="HW65" s="99"/>
      <c r="HX65" s="97">
        <f t="shared" si="21"/>
        <v>4</v>
      </c>
      <c r="HY65" s="97">
        <f t="shared" si="22"/>
        <v>2</v>
      </c>
      <c r="HZ65" s="90">
        <f t="shared" si="23"/>
        <v>6</v>
      </c>
      <c r="IA65" s="99"/>
      <c r="IB65" s="97">
        <f t="shared" si="24"/>
        <v>6</v>
      </c>
      <c r="IC65" s="97">
        <f t="shared" si="25"/>
        <v>7</v>
      </c>
      <c r="ID65" s="90">
        <f t="shared" si="26"/>
        <v>13</v>
      </c>
      <c r="IE65" s="99"/>
      <c r="IF65" s="97">
        <f t="shared" si="27"/>
        <v>2</v>
      </c>
      <c r="IG65" s="97">
        <f t="shared" si="28"/>
        <v>3</v>
      </c>
      <c r="IH65" s="90">
        <f t="shared" si="29"/>
        <v>5</v>
      </c>
      <c r="II65" s="99"/>
      <c r="IJ65" s="97">
        <f t="shared" si="30"/>
        <v>1</v>
      </c>
      <c r="IK65" s="97">
        <f t="shared" si="31"/>
        <v>2</v>
      </c>
      <c r="IL65" s="90">
        <f t="shared" si="32"/>
        <v>3</v>
      </c>
      <c r="IM65" s="99"/>
      <c r="IN65" s="97">
        <f t="shared" si="33"/>
        <v>1</v>
      </c>
      <c r="IO65" s="97">
        <f t="shared" si="34"/>
        <v>3</v>
      </c>
      <c r="IP65" s="90">
        <f t="shared" si="35"/>
        <v>4</v>
      </c>
      <c r="IQ65" s="99"/>
      <c r="IR65" s="99"/>
      <c r="IS65" s="100">
        <f t="shared" si="36"/>
        <v>11</v>
      </c>
      <c r="IT65" s="100">
        <f t="shared" si="37"/>
        <v>13</v>
      </c>
      <c r="IU65" s="100">
        <f t="shared" si="38"/>
        <v>11</v>
      </c>
      <c r="IV65" s="100">
        <f t="shared" si="39"/>
        <v>13</v>
      </c>
      <c r="IW65" s="100">
        <f t="shared" si="40"/>
        <v>17</v>
      </c>
      <c r="IX65" s="100">
        <f t="shared" si="41"/>
        <v>6</v>
      </c>
      <c r="IY65" s="100">
        <f t="shared" si="42"/>
        <v>13</v>
      </c>
      <c r="IZ65" s="100">
        <f t="shared" si="43"/>
        <v>5</v>
      </c>
      <c r="JA65" s="100">
        <f t="shared" si="44"/>
        <v>3</v>
      </c>
      <c r="JB65" s="101">
        <f t="shared" si="45"/>
        <v>4</v>
      </c>
      <c r="JC65" s="102">
        <f t="shared" si="46"/>
        <v>96</v>
      </c>
      <c r="JD65" s="67">
        <f t="shared" si="50"/>
        <v>0</v>
      </c>
      <c r="JE65" s="67">
        <f t="shared" si="47"/>
        <v>1</v>
      </c>
      <c r="JF65" s="67">
        <f t="shared" si="48"/>
        <v>1</v>
      </c>
    </row>
    <row r="66">
      <c r="A66" s="103">
        <f>IFERROR(__xludf.DUMMYFUNCTION("""COMPUTED_VALUE"""),45934.45877384259)</f>
        <v>45934.45877</v>
      </c>
      <c r="B66" s="95" t="str">
        <f>IFERROR(__xludf.DUMMYFUNCTION("""COMPUTED_VALUE"""),"Ihsan Abdul Hakim ")</f>
        <v>Ihsan Abdul Hakim </v>
      </c>
      <c r="C66" s="96" t="str">
        <f>IFERROR(__xludf.DUMMYFUNCTION("""COMPUTED_VALUE"""),"B250003")</f>
        <v>B250003</v>
      </c>
      <c r="D66" s="96" t="str">
        <f>IFERROR(__xludf.DUMMYFUNCTION("""COMPUTED_VALUE"""),"IL Putra")</f>
        <v>IL Putra</v>
      </c>
      <c r="E66" s="96" t="str">
        <f>IFERROR(__xludf.DUMMYFUNCTION("""COMPUTED_VALUE"""),"Ya")</f>
        <v>Ya</v>
      </c>
      <c r="F66" s="95" t="str">
        <f>IFERROR(__xludf.DUMMYFUNCTION("""COMPUTED_VALUE"""),"B Saya ingin melakukan apa saja sebaik mungkin.")</f>
        <v>B Saya ingin melakukan apa saja sebaik mungkin.</v>
      </c>
      <c r="G66" s="95" t="str">
        <f>IFERROR(__xludf.DUMMYFUNCTION("""COMPUTED_VALUE"""),"A Saya ingin setiap tulisan saya teliti, rapi, dan tersusun dengan baik.")</f>
        <v>A Saya ingin setiap tulisan saya teliti, rapi, dan tersusun dengan baik.</v>
      </c>
      <c r="H66" s="95" t="str">
        <f>IFERROR(__xludf.DUMMYFUNCTION("""COMPUTED_VALUE"""),"B Saya ingin menjadi orang yang diakui dalam suatu pekerjaan atau bidang khusus.")</f>
        <v>B Saya ingin menjadi orang yang diakui dalam suatu pekerjaan atau bidang khusus.</v>
      </c>
      <c r="I66" s="95" t="str">
        <f>IFERROR(__xludf.DUMMYFUNCTION("""COMPUTED_VALUE"""),"B Saya ingin bisa melakukan dengan baik meskipun tugas yang sulit.")</f>
        <v>B Saya ingin bisa melakukan dengan baik meskipun tugas yang sulit.</v>
      </c>
      <c r="J66" s="95" t="str">
        <f>IFERROR(__xludf.DUMMYFUNCTION("""COMPUTED_VALUE"""),"A Saya suka membantu teman-teman saya apabila mereka mengalami kesulitan.")</f>
        <v>A Saya suka membantu teman-teman saya apabila mereka mengalami kesulitan.</v>
      </c>
      <c r="K66" s="95" t="str">
        <f>IFERROR(__xludf.DUMMYFUNCTION("""COMPUTED_VALUE"""),"B Saya ingin mengatakan telah melakukan dengan baik sesuatu tugas yang sulit.")</f>
        <v>B Saya ingin mengatakan telah melakukan dengan baik sesuatu tugas yang sulit.</v>
      </c>
      <c r="L66" s="95" t="str">
        <f>IFERROR(__xludf.DUMMYFUNCTION("""COMPUTED_VALUE"""),"B Saya ingin mengatakan telah melakukan dengan baik sesuatu tugas yang sulit")</f>
        <v>B Saya ingin mengatakan telah melakukan dengan baik sesuatu tugas yang sulit</v>
      </c>
      <c r="M66" s="95" t="str">
        <f>IFERROR(__xludf.DUMMYFUNCTION("""COMPUTED_VALUE"""),"B Saya ingin mengerjakan segala tugas lebih baik daripada orang lain.")</f>
        <v>B Saya ingin mengerjakan segala tugas lebih baik daripada orang lain.</v>
      </c>
      <c r="N66" s="95" t="str">
        <f>IFERROR(__xludf.DUMMYFUNCTION("""COMPUTED_VALUE"""),"B Saya suka memecahkan persoalan yang sukar bagi orang lain.")</f>
        <v>B Saya suka memecahkan persoalan yang sukar bagi orang lain.</v>
      </c>
      <c r="O66" s="95" t="str">
        <f>IFERROR(__xludf.DUMMYFUNCTION("""COMPUTED_VALUE"""),"A Saya marah saat ada teman memperolok-olok hal-hal yang saya anggap bodoh.")</f>
        <v>A Saya marah saat ada teman memperolok-olok hal-hal yang saya anggap bodoh.</v>
      </c>
      <c r="P66" s="95" t="str">
        <f>IFERROR(__xludf.DUMMYFUNCTION("""COMPUTED_VALUE"""),"B Saya ingin setiap belajar itu teratur dan direncanakan.")</f>
        <v>B Saya ingin setiap belajar itu teratur dan direncanakan.</v>
      </c>
      <c r="Q66" s="95" t="str">
        <f>IFERROR(__xludf.DUMMYFUNCTION("""COMPUTED_VALUE"""),"B Saya merencanakan keperluan yang dibutuhkan sebelum bepergian.")</f>
        <v>B Saya merencanakan keperluan yang dibutuhkan sebelum bepergian.</v>
      </c>
      <c r="R66" s="95" t="str">
        <f>IFERROR(__xludf.DUMMYFUNCTION("""COMPUTED_VALUE"""),"B Saya suka barang-barang saya tersusun rapi dan teratur.")</f>
        <v>B Saya suka barang-barang saya tersusun rapi dan teratur.</v>
      </c>
      <c r="S66" s="95" t="str">
        <f>IFERROR(__xludf.DUMMYFUNCTION("""COMPUTED_VALUE"""),"B Saya suka membuat perencanaan sebelum memulai tugas yang sulit.")</f>
        <v>B Saya suka membuat perencanaan sebelum memulai tugas yang sulit.</v>
      </c>
      <c r="T66" s="95" t="str">
        <f>IFERROR(__xludf.DUMMYFUNCTION("""COMPUTED_VALUE"""),"B Saya ingin agar hidup saya teratur sesuai cita-cita saya.")</f>
        <v>B Saya ingin agar hidup saya teratur sesuai cita-cita saya.</v>
      </c>
      <c r="U66" s="95" t="str">
        <f>IFERROR(__xludf.DUMMYFUNCTION("""COMPUTED_VALUE"""),"A Saya suka memberikan bantuan kepada teman-teman saya.")</f>
        <v>A Saya suka memberikan bantuan kepada teman-teman saya.</v>
      </c>
      <c r="V66" s="95" t="str">
        <f>IFERROR(__xludf.DUMMYFUNCTION("""COMPUTED_VALUE"""),"A Saya suka belajar sampai malam untuk menyelesaikan suatu tugas.")</f>
        <v>A Saya suka belajar sampai malam untuk menyelesaikan suatu tugas.</v>
      </c>
      <c r="W66" s="95" t="str">
        <f>IFERROR(__xludf.DUMMYFUNCTION("""COMPUTED_VALUE"""),"B Saya ingin kegiatan itu teratur dan direncanakan.")</f>
        <v>B Saya ingin kegiatan itu teratur dan direncanakan.</v>
      </c>
      <c r="X66" s="95" t="str">
        <f>IFERROR(__xludf.DUMMYFUNCTION("""COMPUTED_VALUE"""),"A Saya suka merencanakan dan mengatur setiap apa yang harus saya lakukan.")</f>
        <v>A Saya suka merencanakan dan mengatur setiap apa yang harus saya lakukan.</v>
      </c>
      <c r="Y66" s="95" t="str">
        <f>IFERROR(__xludf.DUMMYFUNCTION("""COMPUTED_VALUE"""),"A Saya suka menyelesaikan tugas-tugas yang membutuhkan ketrampilan dan usaha.")</f>
        <v>A Saya suka menyelesaikan tugas-tugas yang membutuhkan ketrampilan dan usaha.</v>
      </c>
      <c r="Z66" s="95" t="str">
        <f>IFERROR(__xludf.DUMMYFUNCTION("""COMPUTED_VALUE"""),"A Saya ingin berhasil dengan belajar yang saya lakukan.")</f>
        <v>A Saya ingin berhasil dengan belajar yang saya lakukan.</v>
      </c>
      <c r="AA66" s="95" t="str">
        <f>IFERROR(__xludf.DUMMYFUNCTION("""COMPUTED_VALUE"""),"B Saya tidak suka pada orang yang berbuat seenaknya sendiri.")</f>
        <v>B Saya tidak suka pada orang yang berbuat seenaknya sendiri.</v>
      </c>
      <c r="AB66" s="95" t="str">
        <f>IFERROR(__xludf.DUMMYFUNCTION("""COMPUTED_VALUE"""),"B Saya ingin menyelesaikan pekerjaan satu persatu sebelum memulai yang lain.")</f>
        <v>B Saya ingin menyelesaikan pekerjaan satu persatu sebelum memulai yang lain.</v>
      </c>
      <c r="AC66" s="95" t="str">
        <f>IFERROR(__xludf.DUMMYFUNCTION("""COMPUTED_VALUE"""),"B Saya suka melakukan kegiatan sesuai kondisi yang saya inginkan.")</f>
        <v>B Saya suka melakukan kegiatan sesuai kondisi yang saya inginkan.</v>
      </c>
      <c r="AD66" s="95" t="str">
        <f>IFERROR(__xludf.DUMMYFUNCTION("""COMPUTED_VALUE"""),"A Saya suka bermurah hati terhadap teman-teman saya.")</f>
        <v>A Saya suka bermurah hati terhadap teman-teman saya.</v>
      </c>
      <c r="AE66" s="95" t="str">
        <f>IFERROR(__xludf.DUMMYFUNCTION("""COMPUTED_VALUE"""),"A Saya ingin dianggap sebagai pemimpin oleh teman di kelompok.")</f>
        <v>A Saya ingin dianggap sebagai pemimpin oleh teman di kelompok.</v>
      </c>
      <c r="AF66" s="95" t="str">
        <f>IFERROR(__xludf.DUMMYFUNCTION("""COMPUTED_VALUE"""),"A Saya ingin agar teman-teman mengerti bila saya mengalami kesukaran.")</f>
        <v>A Saya ingin agar teman-teman mengerti bila saya mengalami kesukaran.</v>
      </c>
      <c r="AG66" s="95" t="str">
        <f>IFERROR(__xludf.DUMMYFUNCTION("""COMPUTED_VALUE"""),"A Saya mengajari orang lain bagaimana mereka harus melakukan pekerjaan mereka.")</f>
        <v>A Saya mengajari orang lain bagaimana mereka harus melakukan pekerjaan mereka.</v>
      </c>
      <c r="AH66" s="95" t="str">
        <f>IFERROR(__xludf.DUMMYFUNCTION("""COMPUTED_VALUE"""),"A Saya suka membaca buku-buku tentang pergaulan remaja.")</f>
        <v>A Saya suka membaca buku-buku tentang pergaulan remaja.</v>
      </c>
      <c r="AI66" s="95" t="str">
        <f>IFERROR(__xludf.DUMMYFUNCTION("""COMPUTED_VALUE"""),"B Saya suka melakukan kegiatan sesuai kondisi yang saya inginkan.")</f>
        <v>B Saya suka melakukan kegiatan sesuai kondisi yang saya inginkan.</v>
      </c>
      <c r="AJ66" s="95" t="str">
        <f>IFERROR(__xludf.DUMMYFUNCTION("""COMPUTED_VALUE"""),"B Saya suka bertahan menghadapi satu masalah meskipun belum tentu berhasil.")</f>
        <v>B Saya suka bertahan menghadapi satu masalah meskipun belum tentu berhasil.</v>
      </c>
      <c r="AK66" s="95" t="str">
        <f>IFERROR(__xludf.DUMMYFUNCTION("""COMPUTED_VALUE"""),"B Bila saya harus melakukan suatu tugas, saya ingin mengerjakan sampai selesai.")</f>
        <v>B Bila saya harus melakukan suatu tugas, saya ingin mengerjakan sampai selesai.</v>
      </c>
      <c r="AL66" s="95" t="str">
        <f>IFERROR(__xludf.DUMMYFUNCTION("""COMPUTED_VALUE"""),"B Saya ingin menghindarkan gangguan bila saya sedang belajar.")</f>
        <v>B Saya ingin menghindarkan gangguan bila saya sedang belajar.</v>
      </c>
      <c r="AM66" s="95" t="str">
        <f>IFERROR(__xludf.DUMMYFUNCTION("""COMPUTED_VALUE"""),"A Saya ingin teman-teman saya merasa kasihan pada saya apabila saya sakit.")</f>
        <v>A Saya ingin teman-teman saya merasa kasihan pada saya apabila saya sakit.</v>
      </c>
      <c r="AN66" s="95" t="str">
        <f>IFERROR(__xludf.DUMMYFUNCTION("""COMPUTED_VALUE"""),"A Saya tidak suka pada orang yang semena-mena.")</f>
        <v>A Saya tidak suka pada orang yang semena-mena.</v>
      </c>
      <c r="AO66" s="95" t="str">
        <f>IFERROR(__xludf.DUMMYFUNCTION("""COMPUTED_VALUE"""),"A Saya suka berlaku sangat ramah terhadap teman-teman saya.")</f>
        <v>A Saya suka berlaku sangat ramah terhadap teman-teman saya.</v>
      </c>
      <c r="AP66" s="95" t="str">
        <f>IFERROR(__xludf.DUMMYFUNCTION("""COMPUTED_VALUE"""),"B Saya suka bertahan menghadapi satu masalah meskipun belum tentu berhasil.")</f>
        <v>B Saya suka bertahan menghadapi satu masalah meskipun belum tentu berhasil.</v>
      </c>
      <c r="AQ66" s="95" t="str">
        <f>IFERROR(__xludf.DUMMYFUNCTION("""COMPUTED_VALUE"""),"A Saya ingin bisa mengerjakan segala sesuatu lebih baik daripada orang-orang lain.")</f>
        <v>A Saya ingin bisa mengerjakan segala sesuatu lebih baik daripada orang-orang lain.</v>
      </c>
      <c r="AR66" s="95" t="str">
        <f>IFERROR(__xludf.DUMMYFUNCTION("""COMPUTED_VALUE"""),"B Saya suka belajar keras pada tiap pelajaran yang saya hadapi.")</f>
        <v>B Saya suka belajar keras pada tiap pelajaran yang saya hadapi.</v>
      </c>
      <c r="AS66" s="95" t="str">
        <f>IFERROR(__xludf.DUMMYFUNCTION("""COMPUTED_VALUE"""),"A Saya ingin dapat menyelesaikan persoalan yang dianggap sukar bagi orang lain.")</f>
        <v>A Saya ingin dapat menyelesaikan persoalan yang dianggap sukar bagi orang lain.</v>
      </c>
      <c r="AT66" s="95" t="str">
        <f>IFERROR(__xludf.DUMMYFUNCTION("""COMPUTED_VALUE"""),"A Saya ingin bisa melakukan dengan baik sesuatu pekerjaan sulit.")</f>
        <v>A Saya ingin bisa melakukan dengan baik sesuatu pekerjaan sulit.</v>
      </c>
      <c r="AU66" s="95" t="str">
        <f>IFERROR(__xludf.DUMMYFUNCTION("""COMPUTED_VALUE"""),"B Saya suka bermurah hati terhadap teman-teman saya.")</f>
        <v>B Saya suka bermurah hati terhadap teman-teman saya.</v>
      </c>
      <c r="AV66" s="95" t="str">
        <f>IFERROR(__xludf.DUMMYFUNCTION("""COMPUTED_VALUE"""),"B Saya suka menolong teman-teman saya.")</f>
        <v>B Saya suka menolong teman-teman saya.</v>
      </c>
      <c r="AW66" s="95" t="str">
        <f>IFERROR(__xludf.DUMMYFUNCTION("""COMPUTED_VALUE"""),"B Saya ingin teman-teman saya percaya bahwa saya bisa menolong mereka.")</f>
        <v>B Saya ingin teman-teman saya percaya bahwa saya bisa menolong mereka.</v>
      </c>
      <c r="AX66" s="95" t="str">
        <f>IFERROR(__xludf.DUMMYFUNCTION("""COMPUTED_VALUE"""),"A Saya suka menolong teman-teman saya apabila mereka dalam kesulitan.")</f>
        <v>A Saya suka menolong teman-teman saya apabila mereka dalam kesulitan.</v>
      </c>
      <c r="AY66" s="95" t="str">
        <f>IFERROR(__xludf.DUMMYFUNCTION("""COMPUTED_VALUE"""),"B Saya suka menolong teman-teman saya apabila mereka dalam kesulitan.")</f>
        <v>B Saya suka menolong teman-teman saya apabila mereka dalam kesulitan.</v>
      </c>
      <c r="AZ66" s="95" t="str">
        <f>IFERROR(__xludf.DUMMYFUNCTION("""COMPUTED_VALUE"""),"B Saya suka menunjukkan simpati saya kepada teman-teman saya.")</f>
        <v>B Saya suka menunjukkan simpati saya kepada teman-teman saya.</v>
      </c>
      <c r="BA66" s="95" t="str">
        <f>IFERROR(__xludf.DUMMYFUNCTION("""COMPUTED_VALUE"""),"B Saya suka memperlakukan orang lain dengan baik dan ramah.")</f>
        <v>B Saya suka memperlakukan orang lain dengan baik dan ramah.</v>
      </c>
      <c r="BB66" s="95" t="str">
        <f>IFERROR(__xludf.DUMMYFUNCTION("""COMPUTED_VALUE"""),"B Saya suka bermurah hati terhadap teman-teman saya.")</f>
        <v>B Saya suka bermurah hati terhadap teman-teman saya.</v>
      </c>
      <c r="BC66" s="95" t="str">
        <f>IFERROR(__xludf.DUMMYFUNCTION("""COMPUTED_VALUE"""),"B Saya suka membantu orang lain yang menurut saya perlu dikasihani.")</f>
        <v>B Saya suka membantu orang lain yang menurut saya perlu dikasihani.</v>
      </c>
      <c r="BD66" s="95" t="str">
        <f>IFERROR(__xludf.DUMMYFUNCTION("""COMPUTED_VALUE"""),"B Saya suka bersikukuh dengan pendirian saya.")</f>
        <v>B Saya suka bersikukuh dengan pendirian saya.</v>
      </c>
      <c r="BE66" s="95" t="str">
        <f>IFERROR(__xludf.DUMMYFUNCTION("""COMPUTED_VALUE"""),"A Saya suka mendengarkan atau menceritakan hal-hal yang sebaiknya tidak diceritakan.")</f>
        <v>A Saya suka mendengarkan atau menceritakan hal-hal yang sebaiknya tidak diceritakan.</v>
      </c>
      <c r="BF66" s="95" t="str">
        <f>IFERROR(__xludf.DUMMYFUNCTION("""COMPUTED_VALUE"""),"A Saya ingin orang lain memperhatikan dan berkomentar tentang penampilan saya.")</f>
        <v>A Saya ingin orang lain memperhatikan dan berkomentar tentang penampilan saya.</v>
      </c>
      <c r="BG66" s="95" t="str">
        <f>IFERROR(__xludf.DUMMYFUNCTION("""COMPUTED_VALUE"""),"B Saya suka mengarahkan kepada orang lain apa yang harus dilakukan.")</f>
        <v>B Saya suka mengarahkan kepada orang lain apa yang harus dilakukan.</v>
      </c>
      <c r="BH66" s="95" t="str">
        <f>IFERROR(__xludf.DUMMYFUNCTION("""COMPUTED_VALUE"""),"B Apabila saya berkumpul dalam kelompok, saya ingin dihargai teman-teman.")</f>
        <v>B Apabila saya berkumpul dalam kelompok, saya ingin dihargai teman-teman.</v>
      </c>
      <c r="BI66" s="95" t="str">
        <f>IFERROR(__xludf.DUMMYFUNCTION("""COMPUTED_VALUE"""),"A Saya suka bermurah hati terhadap teman-teman saya.")</f>
        <v>A Saya suka bermurah hati terhadap teman-teman saya.</v>
      </c>
      <c r="BJ66" s="95" t="str">
        <f>IFERROR(__xludf.DUMMYFUNCTION("""COMPUTED_VALUE"""),"A Saya ingin mengerjakan tugas sampai selesai.")</f>
        <v>A Saya ingin mengerjakan tugas sampai selesai.</v>
      </c>
      <c r="BK66" s="95" t="str">
        <f>IFERROR(__xludf.DUMMYFUNCTION("""COMPUTED_VALUE"""),"A Saya ingin menyelesaikan pekerjaan satu persatu sebelum memulai yang lain.")</f>
        <v>A Saya ingin menyelesaikan pekerjaan satu persatu sebelum memulai yang lain.</v>
      </c>
      <c r="BL66" s="95" t="str">
        <f>IFERROR(__xludf.DUMMYFUNCTION("""COMPUTED_VALUE"""),"A Saya suka belajar saya teratur dan ada waktu-waktu tertentu untuk belajar.")</f>
        <v>A Saya suka belajar saya teratur dan ada waktu-waktu tertentu untuk belajar.</v>
      </c>
      <c r="BM66" s="95" t="str">
        <f>IFERROR(__xludf.DUMMYFUNCTION("""COMPUTED_VALUE"""),"A Saya suka melakukan pekerjaan sebaik mungkin.")</f>
        <v>A Saya suka melakukan pekerjaan sebaik mungkin.</v>
      </c>
      <c r="BN66" s="95" t="str">
        <f>IFERROR(__xludf.DUMMYFUNCTION("""COMPUTED_VALUE"""),"B Saya ingin teman-teman memberi dorongan bila saya menghadapi kegagalan.")</f>
        <v>B Saya ingin teman-teman memberi dorongan bila saya menghadapi kegagalan.</v>
      </c>
      <c r="BO66" s="95" t="str">
        <f>IFERROR(__xludf.DUMMYFUNCTION("""COMPUTED_VALUE"""),"B Saya ingin diperlakukan dengan baik oleh teman-teman saya.")</f>
        <v>B Saya ingin diperlakukan dengan baik oleh teman-teman saya.</v>
      </c>
      <c r="BP66" s="95" t="str">
        <f>IFERROR(__xludf.DUMMYFUNCTION("""COMPUTED_VALUE"""),"B Saya ingin teman-teman saya merasa kasihan pada saya apabila saya sakit.")</f>
        <v>B Saya ingin teman-teman saya merasa kasihan pada saya apabila saya sakit.</v>
      </c>
      <c r="BQ66" s="95" t="str">
        <f>IFERROR(__xludf.DUMMYFUNCTION("""COMPUTED_VALUE"""),"A Saya ingin mengerjakannya tugas sampai selesai.")</f>
        <v>A Saya ingin mengerjakannya tugas sampai selesai.</v>
      </c>
      <c r="BR66" s="95" t="str">
        <f>IFERROR(__xludf.DUMMYFUNCTION("""COMPUTED_VALUE"""),"A Saya suka memaafkan teman-teman saya yang menyakiti hati saya.")</f>
        <v>A Saya suka memaafkan teman-teman saya yang menyakiti hati saya.</v>
      </c>
      <c r="BS66" s="95" t="str">
        <f>IFERROR(__xludf.DUMMYFUNCTION("""COMPUTED_VALUE"""),"B Saya ingin teman-teman saya membantu saya bila saya mengalami kesulitan")</f>
        <v>B Saya ingin teman-teman saya membantu saya bila saya mengalami kesulitan</v>
      </c>
      <c r="BT66" s="95" t="str">
        <f>IFERROR(__xludf.DUMMYFUNCTION("""COMPUTED_VALUE"""),"A Saya ingin teman-teman saya merasa kasihan pada saya apabila saya sakit.")</f>
        <v>A Saya ingin teman-teman saya merasa kasihan pada saya apabila saya sakit.</v>
      </c>
      <c r="BU66" s="95" t="str">
        <f>IFERROR(__xludf.DUMMYFUNCTION("""COMPUTED_VALUE"""),"B Saya ingin agar teman-teman saya merasa kasihan pada saya apabila saya sakit.")</f>
        <v>B Saya ingin agar teman-teman saya merasa kasihan pada saya apabila saya sakit.</v>
      </c>
      <c r="BV66" s="95" t="str">
        <f>IFERROR(__xludf.DUMMYFUNCTION("""COMPUTED_VALUE"""),"B Saya ingin teman-teman dengan gembira memberikan pertolongan kepada saya.")</f>
        <v>B Saya ingin teman-teman dengan gembira memberikan pertolongan kepada saya.</v>
      </c>
      <c r="BW66" s="95" t="str">
        <f>IFERROR(__xludf.DUMMYFUNCTION("""COMPUTED_VALUE"""),"B Saya ingin diperlakukan dengan baik oleh teman-teman saya.")</f>
        <v>B Saya ingin diperlakukan dengan baik oleh teman-teman saya.</v>
      </c>
      <c r="BX66" s="95" t="str">
        <f>IFERROR(__xludf.DUMMYFUNCTION("""COMPUTED_VALUE"""),"B Saya kadang-kadang suka melakukan hal-hal yang dapat dipuji oleh orang lain.")</f>
        <v>B Saya kadang-kadang suka melakukan hal-hal yang dapat dipuji oleh orang lain.</v>
      </c>
      <c r="BY66" s="95" t="str">
        <f>IFERROR(__xludf.DUMMYFUNCTION("""COMPUTED_VALUE"""),"A Saya suka melamun atau membayangkan hal-hal yang tidak jelas.")</f>
        <v>A Saya suka melamun atau membayangkan hal-hal yang tidak jelas.</v>
      </c>
      <c r="BZ66" s="95" t="str">
        <f>IFERROR(__xludf.DUMMYFUNCTION("""COMPUTED_VALUE"""),"B Saya suka diperhatikan, apabila saya ada di dalam suatu kelompok.")</f>
        <v>B Saya suka diperhatikan, apabila saya ada di dalam suatu kelompok.</v>
      </c>
      <c r="CA66" s="95" t="str">
        <f>IFERROR(__xludf.DUMMYFUNCTION("""COMPUTED_VALUE"""),"A Saya ingin teman-teman dengan gembira memberikan pertolongan kepada saya.")</f>
        <v>A Saya ingin teman-teman dengan gembira memberikan pertolongan kepada saya.</v>
      </c>
      <c r="CB66" s="95" t="str">
        <f>IFERROR(__xludf.DUMMYFUNCTION("""COMPUTED_VALUE"""),"A Saya suka menghindar dari tanggung jawab yang tidak saya inginkan.")</f>
        <v>A Saya suka menghindar dari tanggung jawab yang tidak saya inginkan.</v>
      </c>
      <c r="CC66" s="95" t="str">
        <f>IFERROR(__xludf.DUMMYFUNCTION("""COMPUTED_VALUE"""),"A Apabila saya berkumpul dalam kelompok, saya ingin dihargai teman-teman.")</f>
        <v>A Apabila saya berkumpul dalam kelompok, saya ingin dihargai teman-teman.</v>
      </c>
      <c r="CD66" s="95" t="str">
        <f>IFERROR(__xludf.DUMMYFUNCTION("""COMPUTED_VALUE"""),"A Saya suka menyelesaikan setiap tugas meskipun membutuhkan waktu lama.")</f>
        <v>A Saya suka menyelesaikan setiap tugas meskipun membutuhkan waktu lama.</v>
      </c>
      <c r="CE66" s="95" t="str">
        <f>IFERROR(__xludf.DUMMYFUNCTION("""COMPUTED_VALUE"""),"A Saya suka menyelesaikan setiap tugas belajar yang telah saya mulai.")</f>
        <v>A Saya suka menyelesaikan setiap tugas belajar yang telah saya mulai.</v>
      </c>
      <c r="CF66" s="95" t="str">
        <f>IFERROR(__xludf.DUMMYFUNCTION("""COMPUTED_VALUE"""),"B Saya ingin orang lain memperhatikan dan berkomentar tentang penampilan saya.")</f>
        <v>B Saya ingin orang lain memperhatikan dan berkomentar tentang penampilan saya.</v>
      </c>
      <c r="CG66" s="95" t="str">
        <f>IFERROR(__xludf.DUMMYFUNCTION("""COMPUTED_VALUE"""),"A Saya ingin berhasil dalam apa yang saya lakukan.")</f>
        <v>A Saya ingin berhasil dalam apa yang saya lakukan.</v>
      </c>
      <c r="CH66" s="95" t="str">
        <f>IFERROR(__xludf.DUMMYFUNCTION("""COMPUTED_VALUE"""),"A Saya ingin bisa melakukan dengan baik sesuatu pekerjaan sulit.")</f>
        <v>A Saya ingin bisa melakukan dengan baik sesuatu pekerjaan sulit.</v>
      </c>
      <c r="CI66" s="95" t="str">
        <f>IFERROR(__xludf.DUMMYFUNCTION("""COMPUTED_VALUE"""),"A Saya suka belajar saya teratur dan ada waktu-waktu tertentu untuk belajar.")</f>
        <v>A Saya suka belajar saya teratur dan ada waktu-waktu tertentu untuk belajar.</v>
      </c>
      <c r="CJ66" s="95" t="str">
        <f>IFERROR(__xludf.DUMMYFUNCTION("""COMPUTED_VALUE"""),"A Saya ingin tidak tergantung dari orang lain terhadap apa yang akan saya lakukan.")</f>
        <v>A Saya ingin tidak tergantung dari orang lain terhadap apa yang akan saya lakukan.</v>
      </c>
      <c r="CK66" s="95" t="str">
        <f>IFERROR(__xludf.DUMMYFUNCTION("""COMPUTED_VALUE"""),"A Saya suka bertahan menghadapi satu masalah, meskipun belum tentu berhasil.")</f>
        <v>A Saya suka bertahan menghadapi satu masalah, meskipun belum tentu berhasil.</v>
      </c>
      <c r="CL66" s="95" t="str">
        <f>IFERROR(__xludf.DUMMYFUNCTION("""COMPUTED_VALUE"""),"A Saya suka menolong teman-teman saya, apabila mereka dalam kesulitan.")</f>
        <v>A Saya suka menolong teman-teman saya, apabila mereka dalam kesulitan.</v>
      </c>
      <c r="CM66" s="95" t="str">
        <f>IFERROR(__xludf.DUMMYFUNCTION("""COMPUTED_VALUE"""),"B Saya merasa kagum pada seseorang.")</f>
        <v>B Saya merasa kagum pada seseorang.</v>
      </c>
      <c r="CN66" s="95" t="str">
        <f>IFERROR(__xludf.DUMMYFUNCTION("""COMPUTED_VALUE"""),"A Saya ingin diperlakukan dengan baik oleh teman-teman saya.")</f>
        <v>A Saya ingin diperlakukan dengan baik oleh teman-teman saya.</v>
      </c>
      <c r="CO66" s="95" t="str">
        <f>IFERROR(__xludf.DUMMYFUNCTION("""COMPUTED_VALUE"""),"B Saya suka memuji orang yang saya kagumi.")</f>
        <v>B Saya suka memuji orang yang saya kagumi.</v>
      </c>
      <c r="CP66" s="95" t="str">
        <f>IFERROR(__xludf.DUMMYFUNCTION("""COMPUTED_VALUE"""),"A Saya suka melamun atau membayangkan sesuatu sendirian.")</f>
        <v>A Saya suka melamun atau membayangkan sesuatu sendirian.</v>
      </c>
      <c r="CQ66" s="95" t="str">
        <f>IFERROR(__xludf.DUMMYFUNCTION("""COMPUTED_VALUE"""),"B Saya merasa kagum pada seseorang.")</f>
        <v>B Saya merasa kagum pada seseorang.</v>
      </c>
      <c r="CR66" s="95" t="str">
        <f>IFERROR(__xludf.DUMMYFUNCTION("""COMPUTED_VALUE"""),"B Saya rasanya ingin mengecam seseorang bila orang itu menjengkelkan.")</f>
        <v>B Saya rasanya ingin mengecam seseorang bila orang itu menjengkelkan.</v>
      </c>
      <c r="CS66" s="95" t="str">
        <f>IFERROR(__xludf.DUMMYFUNCTION("""COMPUTED_VALUE"""),"A Saya ingin terlihat menarik di depan teman-teman saya.")</f>
        <v>A Saya ingin terlihat menarik di depan teman-teman saya.</v>
      </c>
      <c r="CT66" s="95" t="str">
        <f>IFERROR(__xludf.DUMMYFUNCTION("""COMPUTED_VALUE"""),"A Saya ingin orang-orang memperhatikan komentar mengenai penampilan saya.")</f>
        <v>A Saya ingin orang-orang memperhatikan komentar mengenai penampilan saya.</v>
      </c>
      <c r="CU66" s="95" t="str">
        <f>IFERROR(__xludf.DUMMYFUNCTION("""COMPUTED_VALUE"""),"A Saya ingin diperlakukan dengan ramah oleh teman-teman saya.")</f>
        <v>A Saya ingin diperlakukan dengan ramah oleh teman-teman saya.</v>
      </c>
      <c r="CV66" s="95" t="str">
        <f>IFERROR(__xludf.DUMMYFUNCTION("""COMPUTED_VALUE"""),"A Saya ingin ditunjuk atau dipilih sebagai ketua dalam suatu kelompok.")</f>
        <v>A Saya ingin ditunjuk atau dipilih sebagai ketua dalam suatu kelompok.</v>
      </c>
      <c r="CW66" s="95" t="str">
        <f>IFERROR(__xludf.DUMMYFUNCTION("""COMPUTED_VALUE"""),"A Saya suka menolong teman-teman saya, apabila mereka dalam kesulitan.")</f>
        <v>A Saya suka menolong teman-teman saya, apabila mereka dalam kesulitan.</v>
      </c>
      <c r="CX66" s="95" t="str">
        <f>IFERROR(__xludf.DUMMYFUNCTION("""COMPUTED_VALUE"""),"A Saya suka belajar sampai malam untuk menyelesaikan suatu tugas.")</f>
        <v>A Saya suka belajar sampai malam untuk menyelesaikan suatu tugas.</v>
      </c>
      <c r="CY66" s="95" t="str">
        <f>IFERROR(__xludf.DUMMYFUNCTION("""COMPUTED_VALUE"""),"B Saya rasanya ingin membalas dendam bila seseorang menghina saya.")</f>
        <v>B Saya rasanya ingin membalas dendam bila seseorang menghina saya.</v>
      </c>
      <c r="CZ66" s="95" t="str">
        <f>IFERROR(__xludf.DUMMYFUNCTION("""COMPUTED_VALUE"""),"A Saya suka merencanakan dan mengatur setiap pekerjaan yang harus saya lakukan.")</f>
        <v>A Saya suka merencanakan dan mengatur setiap pekerjaan yang harus saya lakukan.</v>
      </c>
      <c r="DA66" s="95" t="str">
        <f>IFERROR(__xludf.DUMMYFUNCTION("""COMPUTED_VALUE"""),"A Saya ingin melakukan apa saja sebaik mungkin.")</f>
        <v>A Saya ingin melakukan apa saja sebaik mungkin.</v>
      </c>
      <c r="DB66" s="89" t="s">
        <v>23</v>
      </c>
      <c r="DC66" s="97" t="str">
        <f t="shared" ref="DC66:GX66" si="111">LEFT(F66,1)</f>
        <v>B</v>
      </c>
      <c r="DD66" s="97" t="str">
        <f t="shared" si="111"/>
        <v>A</v>
      </c>
      <c r="DE66" s="97" t="str">
        <f t="shared" si="111"/>
        <v>B</v>
      </c>
      <c r="DF66" s="97" t="str">
        <f t="shared" si="111"/>
        <v>B</v>
      </c>
      <c r="DG66" s="97" t="str">
        <f t="shared" si="111"/>
        <v>A</v>
      </c>
      <c r="DH66" s="97" t="str">
        <f t="shared" si="111"/>
        <v>B</v>
      </c>
      <c r="DI66" s="97" t="str">
        <f t="shared" si="111"/>
        <v>B</v>
      </c>
      <c r="DJ66" s="97" t="str">
        <f t="shared" si="111"/>
        <v>B</v>
      </c>
      <c r="DK66" s="97" t="str">
        <f t="shared" si="111"/>
        <v>B</v>
      </c>
      <c r="DL66" s="97" t="str">
        <f t="shared" si="111"/>
        <v>A</v>
      </c>
      <c r="DM66" s="97" t="str">
        <f t="shared" si="111"/>
        <v>B</v>
      </c>
      <c r="DN66" s="97" t="str">
        <f t="shared" si="111"/>
        <v>B</v>
      </c>
      <c r="DO66" s="97" t="str">
        <f t="shared" si="111"/>
        <v>B</v>
      </c>
      <c r="DP66" s="97" t="str">
        <f t="shared" si="111"/>
        <v>B</v>
      </c>
      <c r="DQ66" s="97" t="str">
        <f t="shared" si="111"/>
        <v>B</v>
      </c>
      <c r="DR66" s="97" t="str">
        <f t="shared" si="111"/>
        <v>A</v>
      </c>
      <c r="DS66" s="97" t="str">
        <f t="shared" si="111"/>
        <v>A</v>
      </c>
      <c r="DT66" s="97" t="str">
        <f t="shared" si="111"/>
        <v>B</v>
      </c>
      <c r="DU66" s="97" t="str">
        <f t="shared" si="111"/>
        <v>A</v>
      </c>
      <c r="DV66" s="97" t="str">
        <f t="shared" si="111"/>
        <v>A</v>
      </c>
      <c r="DW66" s="97" t="str">
        <f t="shared" si="111"/>
        <v>A</v>
      </c>
      <c r="DX66" s="97" t="str">
        <f t="shared" si="111"/>
        <v>B</v>
      </c>
      <c r="DY66" s="97" t="str">
        <f t="shared" si="111"/>
        <v>B</v>
      </c>
      <c r="DZ66" s="97" t="str">
        <f t="shared" si="111"/>
        <v>B</v>
      </c>
      <c r="EA66" s="97" t="str">
        <f t="shared" si="111"/>
        <v>A</v>
      </c>
      <c r="EB66" s="97" t="str">
        <f t="shared" si="111"/>
        <v>A</v>
      </c>
      <c r="EC66" s="97" t="str">
        <f t="shared" si="111"/>
        <v>A</v>
      </c>
      <c r="ED66" s="97" t="str">
        <f t="shared" si="111"/>
        <v>A</v>
      </c>
      <c r="EE66" s="97" t="str">
        <f t="shared" si="111"/>
        <v>A</v>
      </c>
      <c r="EF66" s="97" t="str">
        <f t="shared" si="111"/>
        <v>B</v>
      </c>
      <c r="EG66" s="97" t="str">
        <f t="shared" si="111"/>
        <v>B</v>
      </c>
      <c r="EH66" s="97" t="str">
        <f t="shared" si="111"/>
        <v>B</v>
      </c>
      <c r="EI66" s="97" t="str">
        <f t="shared" si="111"/>
        <v>B</v>
      </c>
      <c r="EJ66" s="97" t="str">
        <f t="shared" si="111"/>
        <v>A</v>
      </c>
      <c r="EK66" s="97" t="str">
        <f t="shared" si="111"/>
        <v>A</v>
      </c>
      <c r="EL66" s="97" t="str">
        <f t="shared" si="111"/>
        <v>A</v>
      </c>
      <c r="EM66" s="97" t="str">
        <f t="shared" si="111"/>
        <v>B</v>
      </c>
      <c r="EN66" s="97" t="str">
        <f t="shared" si="111"/>
        <v>A</v>
      </c>
      <c r="EO66" s="97" t="str">
        <f t="shared" si="111"/>
        <v>B</v>
      </c>
      <c r="EP66" s="97" t="str">
        <f t="shared" si="111"/>
        <v>A</v>
      </c>
      <c r="EQ66" s="97" t="str">
        <f t="shared" si="111"/>
        <v>A</v>
      </c>
      <c r="ER66" s="97" t="str">
        <f t="shared" si="111"/>
        <v>B</v>
      </c>
      <c r="ES66" s="97" t="str">
        <f t="shared" si="111"/>
        <v>B</v>
      </c>
      <c r="ET66" s="97" t="str">
        <f t="shared" si="111"/>
        <v>B</v>
      </c>
      <c r="EU66" s="97" t="str">
        <f t="shared" si="111"/>
        <v>A</v>
      </c>
      <c r="EV66" s="97" t="str">
        <f t="shared" si="111"/>
        <v>B</v>
      </c>
      <c r="EW66" s="97" t="str">
        <f t="shared" si="111"/>
        <v>B</v>
      </c>
      <c r="EX66" s="97" t="str">
        <f t="shared" si="111"/>
        <v>B</v>
      </c>
      <c r="EY66" s="97" t="str">
        <f t="shared" si="111"/>
        <v>B</v>
      </c>
      <c r="EZ66" s="97" t="str">
        <f t="shared" si="111"/>
        <v>B</v>
      </c>
      <c r="FA66" s="97" t="str">
        <f t="shared" si="111"/>
        <v>B</v>
      </c>
      <c r="FB66" s="97" t="str">
        <f t="shared" si="111"/>
        <v>A</v>
      </c>
      <c r="FC66" s="97" t="str">
        <f t="shared" si="111"/>
        <v>A</v>
      </c>
      <c r="FD66" s="97" t="str">
        <f t="shared" si="111"/>
        <v>B</v>
      </c>
      <c r="FE66" s="97" t="str">
        <f t="shared" si="111"/>
        <v>B</v>
      </c>
      <c r="FF66" s="97" t="str">
        <f t="shared" si="111"/>
        <v>A</v>
      </c>
      <c r="FG66" s="97" t="str">
        <f t="shared" si="111"/>
        <v>A</v>
      </c>
      <c r="FH66" s="97" t="str">
        <f t="shared" si="111"/>
        <v>A</v>
      </c>
      <c r="FI66" s="97" t="str">
        <f t="shared" si="111"/>
        <v>A</v>
      </c>
      <c r="FJ66" s="97" t="str">
        <f t="shared" si="111"/>
        <v>A</v>
      </c>
      <c r="FK66" s="97" t="str">
        <f t="shared" si="111"/>
        <v>B</v>
      </c>
      <c r="FL66" s="97" t="str">
        <f t="shared" si="111"/>
        <v>B</v>
      </c>
      <c r="FM66" s="97" t="str">
        <f t="shared" si="111"/>
        <v>B</v>
      </c>
      <c r="FN66" s="97" t="str">
        <f t="shared" si="111"/>
        <v>A</v>
      </c>
      <c r="FO66" s="97" t="str">
        <f t="shared" si="111"/>
        <v>A</v>
      </c>
      <c r="FP66" s="97" t="str">
        <f t="shared" si="111"/>
        <v>B</v>
      </c>
      <c r="FQ66" s="97" t="str">
        <f t="shared" si="111"/>
        <v>A</v>
      </c>
      <c r="FR66" s="97" t="str">
        <f t="shared" si="111"/>
        <v>B</v>
      </c>
      <c r="FS66" s="97" t="str">
        <f t="shared" si="111"/>
        <v>B</v>
      </c>
      <c r="FT66" s="97" t="str">
        <f t="shared" si="111"/>
        <v>B</v>
      </c>
      <c r="FU66" s="97" t="str">
        <f t="shared" si="111"/>
        <v>B</v>
      </c>
      <c r="FV66" s="97" t="str">
        <f t="shared" si="111"/>
        <v>A</v>
      </c>
      <c r="FW66" s="97" t="str">
        <f t="shared" si="111"/>
        <v>B</v>
      </c>
      <c r="FX66" s="97" t="str">
        <f t="shared" si="111"/>
        <v>A</v>
      </c>
      <c r="FY66" s="97" t="str">
        <f t="shared" si="111"/>
        <v>A</v>
      </c>
      <c r="FZ66" s="97" t="str">
        <f t="shared" si="111"/>
        <v>A</v>
      </c>
      <c r="GA66" s="97" t="str">
        <f t="shared" si="111"/>
        <v>A</v>
      </c>
      <c r="GB66" s="97" t="str">
        <f t="shared" si="111"/>
        <v>A</v>
      </c>
      <c r="GC66" s="97" t="str">
        <f t="shared" si="111"/>
        <v>B</v>
      </c>
      <c r="GD66" s="97" t="str">
        <f t="shared" si="111"/>
        <v>A</v>
      </c>
      <c r="GE66" s="97" t="str">
        <f t="shared" si="111"/>
        <v>A</v>
      </c>
      <c r="GF66" s="97" t="str">
        <f t="shared" si="111"/>
        <v>A</v>
      </c>
      <c r="GG66" s="97" t="str">
        <f t="shared" si="111"/>
        <v>A</v>
      </c>
      <c r="GH66" s="97" t="str">
        <f t="shared" si="111"/>
        <v>A</v>
      </c>
      <c r="GI66" s="97" t="str">
        <f t="shared" si="111"/>
        <v>A</v>
      </c>
      <c r="GJ66" s="97" t="str">
        <f t="shared" si="111"/>
        <v>B</v>
      </c>
      <c r="GK66" s="97" t="str">
        <f t="shared" si="111"/>
        <v>A</v>
      </c>
      <c r="GL66" s="97" t="str">
        <f t="shared" si="111"/>
        <v>B</v>
      </c>
      <c r="GM66" s="97" t="str">
        <f t="shared" si="111"/>
        <v>A</v>
      </c>
      <c r="GN66" s="97" t="str">
        <f t="shared" si="111"/>
        <v>B</v>
      </c>
      <c r="GO66" s="97" t="str">
        <f t="shared" si="111"/>
        <v>B</v>
      </c>
      <c r="GP66" s="97" t="str">
        <f t="shared" si="111"/>
        <v>A</v>
      </c>
      <c r="GQ66" s="97" t="str">
        <f t="shared" si="111"/>
        <v>A</v>
      </c>
      <c r="GR66" s="97" t="str">
        <f t="shared" si="111"/>
        <v>A</v>
      </c>
      <c r="GS66" s="97" t="str">
        <f t="shared" si="111"/>
        <v>A</v>
      </c>
      <c r="GT66" s="97" t="str">
        <f t="shared" si="111"/>
        <v>A</v>
      </c>
      <c r="GU66" s="97" t="str">
        <f t="shared" si="111"/>
        <v>A</v>
      </c>
      <c r="GV66" s="97" t="str">
        <f t="shared" si="111"/>
        <v>B</v>
      </c>
      <c r="GW66" s="97" t="str">
        <f t="shared" si="111"/>
        <v>A</v>
      </c>
      <c r="GX66" s="97" t="str">
        <f t="shared" si="111"/>
        <v>A</v>
      </c>
      <c r="GY66" s="98"/>
      <c r="GZ66" s="97">
        <f t="shared" si="3"/>
        <v>52</v>
      </c>
      <c r="HA66" s="97">
        <f t="shared" si="4"/>
        <v>48</v>
      </c>
      <c r="HB66" s="90">
        <f t="shared" si="5"/>
        <v>100</v>
      </c>
      <c r="HC66" s="99"/>
      <c r="HD66" s="97">
        <f t="shared" si="6"/>
        <v>8</v>
      </c>
      <c r="HE66" s="97">
        <f t="shared" si="7"/>
        <v>6</v>
      </c>
      <c r="HF66" s="90">
        <f t="shared" si="8"/>
        <v>14</v>
      </c>
      <c r="HG66" s="99"/>
      <c r="HH66" s="97">
        <f t="shared" si="9"/>
        <v>4</v>
      </c>
      <c r="HI66" s="97">
        <f t="shared" si="10"/>
        <v>6</v>
      </c>
      <c r="HJ66" s="90">
        <f t="shared" si="11"/>
        <v>10</v>
      </c>
      <c r="HK66" s="99"/>
      <c r="HL66" s="97">
        <f t="shared" si="12"/>
        <v>4</v>
      </c>
      <c r="HM66" s="97">
        <f t="shared" si="13"/>
        <v>4</v>
      </c>
      <c r="HN66" s="90">
        <f t="shared" si="14"/>
        <v>8</v>
      </c>
      <c r="HO66" s="99"/>
      <c r="HP66" s="97">
        <f t="shared" si="15"/>
        <v>6</v>
      </c>
      <c r="HQ66" s="97">
        <f t="shared" si="16"/>
        <v>5</v>
      </c>
      <c r="HR66" s="90">
        <f t="shared" si="17"/>
        <v>11</v>
      </c>
      <c r="HS66" s="99"/>
      <c r="HT66" s="97">
        <f t="shared" si="18"/>
        <v>9</v>
      </c>
      <c r="HU66" s="97">
        <f t="shared" si="19"/>
        <v>8</v>
      </c>
      <c r="HV66" s="90">
        <f t="shared" si="20"/>
        <v>17</v>
      </c>
      <c r="HW66" s="99"/>
      <c r="HX66" s="97">
        <f t="shared" si="21"/>
        <v>4</v>
      </c>
      <c r="HY66" s="97">
        <f t="shared" si="22"/>
        <v>3</v>
      </c>
      <c r="HZ66" s="90">
        <f t="shared" si="23"/>
        <v>7</v>
      </c>
      <c r="IA66" s="99"/>
      <c r="IB66" s="97">
        <f t="shared" si="24"/>
        <v>5</v>
      </c>
      <c r="IC66" s="97">
        <f t="shared" si="25"/>
        <v>7</v>
      </c>
      <c r="ID66" s="90">
        <f t="shared" si="26"/>
        <v>12</v>
      </c>
      <c r="IE66" s="99"/>
      <c r="IF66" s="97">
        <f t="shared" si="27"/>
        <v>3</v>
      </c>
      <c r="IG66" s="97">
        <f t="shared" si="28"/>
        <v>3</v>
      </c>
      <c r="IH66" s="90">
        <f t="shared" si="29"/>
        <v>6</v>
      </c>
      <c r="II66" s="99"/>
      <c r="IJ66" s="97">
        <f t="shared" si="30"/>
        <v>4</v>
      </c>
      <c r="IK66" s="97">
        <f t="shared" si="31"/>
        <v>3</v>
      </c>
      <c r="IL66" s="90">
        <f t="shared" si="32"/>
        <v>7</v>
      </c>
      <c r="IM66" s="99"/>
      <c r="IN66" s="97">
        <f t="shared" si="33"/>
        <v>1</v>
      </c>
      <c r="IO66" s="97">
        <f t="shared" si="34"/>
        <v>2</v>
      </c>
      <c r="IP66" s="90">
        <f t="shared" si="35"/>
        <v>3</v>
      </c>
      <c r="IQ66" s="99"/>
      <c r="IR66" s="99"/>
      <c r="IS66" s="100">
        <f t="shared" si="36"/>
        <v>14</v>
      </c>
      <c r="IT66" s="100">
        <f t="shared" si="37"/>
        <v>10</v>
      </c>
      <c r="IU66" s="100">
        <f t="shared" si="38"/>
        <v>8</v>
      </c>
      <c r="IV66" s="100">
        <f t="shared" si="39"/>
        <v>11</v>
      </c>
      <c r="IW66" s="100">
        <f t="shared" si="40"/>
        <v>17</v>
      </c>
      <c r="IX66" s="100">
        <f t="shared" si="41"/>
        <v>7</v>
      </c>
      <c r="IY66" s="100">
        <f t="shared" si="42"/>
        <v>12</v>
      </c>
      <c r="IZ66" s="100">
        <f t="shared" si="43"/>
        <v>6</v>
      </c>
      <c r="JA66" s="100">
        <f t="shared" si="44"/>
        <v>7</v>
      </c>
      <c r="JB66" s="101">
        <f t="shared" si="45"/>
        <v>3</v>
      </c>
      <c r="JC66" s="102">
        <f t="shared" si="46"/>
        <v>95</v>
      </c>
      <c r="JD66" s="67">
        <f t="shared" si="50"/>
        <v>0</v>
      </c>
      <c r="JE66" s="67">
        <f t="shared" si="47"/>
        <v>1</v>
      </c>
      <c r="JF66" s="67">
        <f t="shared" si="48"/>
        <v>1</v>
      </c>
    </row>
    <row r="67">
      <c r="A67" s="103">
        <f>IFERROR(__xludf.DUMMYFUNCTION("""COMPUTED_VALUE"""),45934.46733295139)</f>
        <v>45934.46733</v>
      </c>
      <c r="B67" s="95" t="str">
        <f>IFERROR(__xludf.DUMMYFUNCTION("""COMPUTED_VALUE"""),"SULTHON ABRISAM KARIM")</f>
        <v>SULTHON ABRISAM KARIM</v>
      </c>
      <c r="C67" s="96" t="str">
        <f>IFERROR(__xludf.DUMMYFUNCTION("""COMPUTED_VALUE"""),"A250041")</f>
        <v>A250041</v>
      </c>
      <c r="D67" s="96" t="str">
        <f>IFERROR(__xludf.DUMMYFUNCTION("""COMPUTED_VALUE"""),"MTs Putra")</f>
        <v>MTs Putra</v>
      </c>
      <c r="E67" s="96" t="str">
        <f>IFERROR(__xludf.DUMMYFUNCTION("""COMPUTED_VALUE"""),"Ya")</f>
        <v>Ya</v>
      </c>
      <c r="F67" s="95" t="str">
        <f>IFERROR(__xludf.DUMMYFUNCTION("""COMPUTED_VALUE"""),"B Saya ingin melakukan apa saja sebaik mungkin.")</f>
        <v>B Saya ingin melakukan apa saja sebaik mungkin.</v>
      </c>
      <c r="G67" s="95" t="str">
        <f>IFERROR(__xludf.DUMMYFUNCTION("""COMPUTED_VALUE"""),"B Saya ingin menyelesaikan tugas yang segera dikumpulkan.")</f>
        <v>B Saya ingin menyelesaikan tugas yang segera dikumpulkan.</v>
      </c>
      <c r="H67" s="95" t="str">
        <f>IFERROR(__xludf.DUMMYFUNCTION("""COMPUTED_VALUE"""),"B Saya ingin menjadi orang yang diakui dalam suatu pekerjaan atau bidang khusus.")</f>
        <v>B Saya ingin menjadi orang yang diakui dalam suatu pekerjaan atau bidang khusus.</v>
      </c>
      <c r="I67" s="95" t="str">
        <f>IFERROR(__xludf.DUMMYFUNCTION("""COMPUTED_VALUE"""),"B Saya ingin bisa melakukan dengan baik meskipun tugas yang sulit.")</f>
        <v>B Saya ingin bisa melakukan dengan baik meskipun tugas yang sulit.</v>
      </c>
      <c r="J67" s="95" t="str">
        <f>IFERROR(__xludf.DUMMYFUNCTION("""COMPUTED_VALUE"""),"B Saya ingin mengerjakan tugas sebaik mungkin.")</f>
        <v>B Saya ingin mengerjakan tugas sebaik mungkin.</v>
      </c>
      <c r="K67" s="95" t="str">
        <f>IFERROR(__xludf.DUMMYFUNCTION("""COMPUTED_VALUE"""),"B Saya ingin mengatakan telah melakukan dengan baik sesuatu tugas yang sulit.")</f>
        <v>B Saya ingin mengatakan telah melakukan dengan baik sesuatu tugas yang sulit.</v>
      </c>
      <c r="L67" s="95" t="str">
        <f>IFERROR(__xludf.DUMMYFUNCTION("""COMPUTED_VALUE"""),"B Saya ingin mengatakan telah melakukan dengan baik sesuatu tugas yang sulit")</f>
        <v>B Saya ingin mengatakan telah melakukan dengan baik sesuatu tugas yang sulit</v>
      </c>
      <c r="M67" s="95" t="str">
        <f>IFERROR(__xludf.DUMMYFUNCTION("""COMPUTED_VALUE"""),"A Saya suka berbicara tentang hal-hal yang telah berhasil saya lakukan.")</f>
        <v>A Saya suka berbicara tentang hal-hal yang telah berhasil saya lakukan.</v>
      </c>
      <c r="N67" s="95" t="str">
        <f>IFERROR(__xludf.DUMMYFUNCTION("""COMPUTED_VALUE"""),"A Saya suka pergi dengan pakaian rapi agar lebih menarik perhatian orang lain.")</f>
        <v>A Saya suka pergi dengan pakaian rapi agar lebih menarik perhatian orang lain.</v>
      </c>
      <c r="O67" s="95" t="str">
        <f>IFERROR(__xludf.DUMMYFUNCTION("""COMPUTED_VALUE"""),"B Saya suka melakukan tugas sebaik mungkin.")</f>
        <v>B Saya suka melakukan tugas sebaik mungkin.</v>
      </c>
      <c r="P67" s="95" t="str">
        <f>IFERROR(__xludf.DUMMYFUNCTION("""COMPUTED_VALUE"""),"A Saya suka bercerita tentang hal-hal yang menegangkan atau menantang.")</f>
        <v>A Saya suka bercerita tentang hal-hal yang menegangkan atau menantang.</v>
      </c>
      <c r="Q67" s="95" t="str">
        <f>IFERROR(__xludf.DUMMYFUNCTION("""COMPUTED_VALUE"""),"B Saya merencanakan keperluan yang dibutuhkan sebelum bepergian.")</f>
        <v>B Saya merencanakan keperluan yang dibutuhkan sebelum bepergian.</v>
      </c>
      <c r="R67" s="95" t="str">
        <f>IFERROR(__xludf.DUMMYFUNCTION("""COMPUTED_VALUE"""),"B Saya suka barang-barang saya tersusun rapi dan teratur.")</f>
        <v>B Saya suka barang-barang saya tersusun rapi dan teratur.</v>
      </c>
      <c r="S67" s="95" t="str">
        <f>IFERROR(__xludf.DUMMYFUNCTION("""COMPUTED_VALUE"""),"A Saya ingin agar teman-teman pengertian bila saya mengalami kesukaran.")</f>
        <v>A Saya ingin agar teman-teman pengertian bila saya mengalami kesukaran.</v>
      </c>
      <c r="T67" s="95" t="str">
        <f>IFERROR(__xludf.DUMMYFUNCTION("""COMPUTED_VALUE"""),"B Saya ingin agar hidup saya teratur sesuai cita-cita saya.")</f>
        <v>B Saya ingin agar hidup saya teratur sesuai cita-cita saya.</v>
      </c>
      <c r="U67" s="95" t="str">
        <f>IFERROR(__xludf.DUMMYFUNCTION("""COMPUTED_VALUE"""),"A Saya suka memberikan bantuan kepada teman-teman saya.")</f>
        <v>A Saya suka memberikan bantuan kepada teman-teman saya.</v>
      </c>
      <c r="V67" s="95" t="str">
        <f>IFERROR(__xludf.DUMMYFUNCTION("""COMPUTED_VALUE"""),"A Saya suka belajar sampai malam untuk menyelesaikan suatu tugas.")</f>
        <v>A Saya suka belajar sampai malam untuk menyelesaikan suatu tugas.</v>
      </c>
      <c r="W67" s="95" t="str">
        <f>IFERROR(__xludf.DUMMYFUNCTION("""COMPUTED_VALUE"""),"A Saya suka melakukan kegiatan sesuai kondisi yang saya inginkan.")</f>
        <v>A Saya suka melakukan kegiatan sesuai kondisi yang saya inginkan.</v>
      </c>
      <c r="X67" s="95" t="str">
        <f>IFERROR(__xludf.DUMMYFUNCTION("""COMPUTED_VALUE"""),"A Saya suka merencanakan dan mengatur setiap apa yang harus saya lakukan.")</f>
        <v>A Saya suka merencanakan dan mengatur setiap apa yang harus saya lakukan.</v>
      </c>
      <c r="Y67" s="95" t="str">
        <f>IFERROR(__xludf.DUMMYFUNCTION("""COMPUTED_VALUE"""),"B Saya senang merencanakan untuk masa depan.")</f>
        <v>B Saya senang merencanakan untuk masa depan.</v>
      </c>
      <c r="Z67" s="95" t="str">
        <f>IFERROR(__xludf.DUMMYFUNCTION("""COMPUTED_VALUE"""),"A Saya ingin berhasil dengan belajar yang saya lakukan.")</f>
        <v>A Saya ingin berhasil dengan belajar yang saya lakukan.</v>
      </c>
      <c r="AA67" s="95" t="str">
        <f>IFERROR(__xludf.DUMMYFUNCTION("""COMPUTED_VALUE"""),"B Saya tidak suka pada orang yang berbuat seenaknya sendiri.")</f>
        <v>B Saya tidak suka pada orang yang berbuat seenaknya sendiri.</v>
      </c>
      <c r="AB67" s="95" t="str">
        <f>IFERROR(__xludf.DUMMYFUNCTION("""COMPUTED_VALUE"""),"A Saya ingin tidak tergantung dari orang lain terhadap apa yang akan saya lakukan.")</f>
        <v>A Saya ingin tidak tergantung dari orang lain terhadap apa yang akan saya lakukan.</v>
      </c>
      <c r="AC67" s="95" t="str">
        <f>IFERROR(__xludf.DUMMYFUNCTION("""COMPUTED_VALUE"""),"B Saya suka melakukan kegiatan sesuai kondisi yang saya inginkan.")</f>
        <v>B Saya suka melakukan kegiatan sesuai kondisi yang saya inginkan.</v>
      </c>
      <c r="AD67" s="95" t="str">
        <f>IFERROR(__xludf.DUMMYFUNCTION("""COMPUTED_VALUE"""),"A Saya suka bermurah hati terhadap teman-teman saya.")</f>
        <v>A Saya suka bermurah hati terhadap teman-teman saya.</v>
      </c>
      <c r="AE67" s="95" t="str">
        <f>IFERROR(__xludf.DUMMYFUNCTION("""COMPUTED_VALUE"""),"A Saya ingin dianggap sebagai pemimpin oleh teman di kelompok.")</f>
        <v>A Saya ingin dianggap sebagai pemimpin oleh teman di kelompok.</v>
      </c>
      <c r="AF67" s="95" t="str">
        <f>IFERROR(__xludf.DUMMYFUNCTION("""COMPUTED_VALUE"""),"B Saya suka melakukan hal-hal dengan cara saya sendiri.")</f>
        <v>B Saya suka melakukan hal-hal dengan cara saya sendiri.</v>
      </c>
      <c r="AG67" s="95" t="str">
        <f>IFERROR(__xludf.DUMMYFUNCTION("""COMPUTED_VALUE"""),"B Saya ingin berhasil dengan tugas yang saya lakukan.")</f>
        <v>B Saya ingin berhasil dengan tugas yang saya lakukan.</v>
      </c>
      <c r="AH67" s="95" t="str">
        <f>IFERROR(__xludf.DUMMYFUNCTION("""COMPUTED_VALUE"""),"B Saya ingin merasa bebas untuk melakukan apa yang saya kehendaki.")</f>
        <v>B Saya ingin merasa bebas untuk melakukan apa yang saya kehendaki.</v>
      </c>
      <c r="AI67" s="95" t="str">
        <f>IFERROR(__xludf.DUMMYFUNCTION("""COMPUTED_VALUE"""),"B Saya suka melakukan kegiatan sesuai kondisi yang saya inginkan.")</f>
        <v>B Saya suka melakukan kegiatan sesuai kondisi yang saya inginkan.</v>
      </c>
      <c r="AJ67" s="95" t="str">
        <f>IFERROR(__xludf.DUMMYFUNCTION("""COMPUTED_VALUE"""),"B Saya suka bertahan menghadapi satu masalah meskipun belum tentu berhasil.")</f>
        <v>B Saya suka bertahan menghadapi satu masalah meskipun belum tentu berhasil.</v>
      </c>
      <c r="AK67" s="95" t="str">
        <f>IFERROR(__xludf.DUMMYFUNCTION("""COMPUTED_VALUE"""),"B Bila saya harus melakukan suatu tugas, saya ingin mengerjakan sampai selesai.")</f>
        <v>B Bila saya harus melakukan suatu tugas, saya ingin mengerjakan sampai selesai.</v>
      </c>
      <c r="AL67" s="95" t="str">
        <f>IFERROR(__xludf.DUMMYFUNCTION("""COMPUTED_VALUE"""),"B Saya ingin menghindarkan gangguan bila saya sedang belajar.")</f>
        <v>B Saya ingin menghindarkan gangguan bila saya sedang belajar.</v>
      </c>
      <c r="AM67" s="95" t="str">
        <f>IFERROR(__xludf.DUMMYFUNCTION("""COMPUTED_VALUE"""),"B Saya suka belajar sampai malam untuk menyelesaikan suatu tugas.")</f>
        <v>B Saya suka belajar sampai malam untuk menyelesaikan suatu tugas.</v>
      </c>
      <c r="AN67" s="95" t="str">
        <f>IFERROR(__xludf.DUMMYFUNCTION("""COMPUTED_VALUE"""),"A Saya tidak suka pada orang yang semena-mena.")</f>
        <v>A Saya tidak suka pada orang yang semena-mena.</v>
      </c>
      <c r="AO67" s="95" t="str">
        <f>IFERROR(__xludf.DUMMYFUNCTION("""COMPUTED_VALUE"""),"B Saya suka menyelesaikan setiap tugas meskipun membutuhkan waktu lama.")</f>
        <v>B Saya suka menyelesaikan setiap tugas meskipun membutuhkan waktu lama.</v>
      </c>
      <c r="AP67" s="95" t="str">
        <f>IFERROR(__xludf.DUMMYFUNCTION("""COMPUTED_VALUE"""),"A Saya ingin mengerjakannya tugas sampai selesai.")</f>
        <v>A Saya ingin mengerjakannya tugas sampai selesai.</v>
      </c>
      <c r="AQ67" s="95" t="str">
        <f>IFERROR(__xludf.DUMMYFUNCTION("""COMPUTED_VALUE"""),"B Bila saya harus melakukan suatu tugas, saya ingin mengerjakan sampai selesai.")</f>
        <v>B Bila saya harus melakukan suatu tugas, saya ingin mengerjakan sampai selesai.</v>
      </c>
      <c r="AR67" s="95" t="str">
        <f>IFERROR(__xludf.DUMMYFUNCTION("""COMPUTED_VALUE"""),"A Saya suka menyimpan catatan secara rapi.")</f>
        <v>A Saya suka menyimpan catatan secara rapi.</v>
      </c>
      <c r="AS67" s="95" t="str">
        <f>IFERROR(__xludf.DUMMYFUNCTION("""COMPUTED_VALUE"""),"B Saya suka belajar sampai malam untuk menyelesaikan suatu tugas.")</f>
        <v>B Saya suka belajar sampai malam untuk menyelesaikan suatu tugas.</v>
      </c>
      <c r="AT67" s="95" t="str">
        <f>IFERROR(__xludf.DUMMYFUNCTION("""COMPUTED_VALUE"""),"B Saya suka membantu orang lain yang menurut saya perlu dikasihani.")</f>
        <v>B Saya suka membantu orang lain yang menurut saya perlu dikasihani.</v>
      </c>
      <c r="AU67" s="95" t="str">
        <f>IFERROR(__xludf.DUMMYFUNCTION("""COMPUTED_VALUE"""),"B Saya suka bermurah hati terhadap teman-teman saya.")</f>
        <v>B Saya suka bermurah hati terhadap teman-teman saya.</v>
      </c>
      <c r="AV67" s="95" t="str">
        <f>IFERROR(__xludf.DUMMYFUNCTION("""COMPUTED_VALUE"""),"B Saya suka menolong teman-teman saya.")</f>
        <v>B Saya suka menolong teman-teman saya.</v>
      </c>
      <c r="AW67" s="95" t="str">
        <f>IFERROR(__xludf.DUMMYFUNCTION("""COMPUTED_VALUE"""),"B Saya ingin teman-teman saya percaya bahwa saya bisa menolong mereka.")</f>
        <v>B Saya ingin teman-teman saya percaya bahwa saya bisa menolong mereka.</v>
      </c>
      <c r="AX67" s="95" t="str">
        <f>IFERROR(__xludf.DUMMYFUNCTION("""COMPUTED_VALUE"""),"B Saya suka memaafkan teman-teman saya yang menyakiti hati saya.")</f>
        <v>B Saya suka memaafkan teman-teman saya yang menyakiti hati saya.</v>
      </c>
      <c r="AY67" s="95" t="str">
        <f>IFERROR(__xludf.DUMMYFUNCTION("""COMPUTED_VALUE"""),"B Saya suka menolong teman-teman saya apabila mereka dalam kesulitan.")</f>
        <v>B Saya suka menolong teman-teman saya apabila mereka dalam kesulitan.</v>
      </c>
      <c r="AZ67" s="95" t="str">
        <f>IFERROR(__xludf.DUMMYFUNCTION("""COMPUTED_VALUE"""),"A Saya ingin agar teman-teman saya bersimpati dan menghibur saya bila saya sedih.")</f>
        <v>A Saya ingin agar teman-teman saya bersimpati dan menghibur saya bila saya sedih.</v>
      </c>
      <c r="BA67" s="95" t="str">
        <f>IFERROR(__xludf.DUMMYFUNCTION("""COMPUTED_VALUE"""),"B Saya suka memperlakukan orang lain dengan baik dan ramah.")</f>
        <v>B Saya suka memperlakukan orang lain dengan baik dan ramah.</v>
      </c>
      <c r="BB67" s="95" t="str">
        <f>IFERROR(__xludf.DUMMYFUNCTION("""COMPUTED_VALUE"""),"B Saya suka bermurah hati terhadap teman-teman saya.")</f>
        <v>B Saya suka bermurah hati terhadap teman-teman saya.</v>
      </c>
      <c r="BC67" s="95" t="str">
        <f>IFERROR(__xludf.DUMMYFUNCTION("""COMPUTED_VALUE"""),"B Saya suka membantu orang lain yang menurut saya perlu dikasihani.")</f>
        <v>B Saya suka membantu orang lain yang menurut saya perlu dikasihani.</v>
      </c>
      <c r="BD67" s="95" t="str">
        <f>IFERROR(__xludf.DUMMYFUNCTION("""COMPUTED_VALUE"""),"B Saya suka bersikukuh dengan pendirian saya.")</f>
        <v>B Saya suka bersikukuh dengan pendirian saya.</v>
      </c>
      <c r="BE67" s="95" t="str">
        <f>IFERROR(__xludf.DUMMYFUNCTION("""COMPUTED_VALUE"""),"B Saya ingin orang lain melakukan apa yang saya kehendaki.")</f>
        <v>B Saya ingin orang lain melakukan apa yang saya kehendaki.</v>
      </c>
      <c r="BF67" s="95" t="str">
        <f>IFERROR(__xludf.DUMMYFUNCTION("""COMPUTED_VALUE"""),"A Saya ingin orang lain memperhatikan dan berkomentar tentang penampilan saya.")</f>
        <v>A Saya ingin orang lain memperhatikan dan berkomentar tentang penampilan saya.</v>
      </c>
      <c r="BG67" s="95" t="str">
        <f>IFERROR(__xludf.DUMMYFUNCTION("""COMPUTED_VALUE"""),"B Saya suka mengarahkan kepada orang lain apa yang harus dilakukan.")</f>
        <v>B Saya suka mengarahkan kepada orang lain apa yang harus dilakukan.</v>
      </c>
      <c r="BH67" s="95" t="str">
        <f>IFERROR(__xludf.DUMMYFUNCTION("""COMPUTED_VALUE"""),"B Apabila saya berkumpul dalam kelompok, saya ingin dihargai teman-teman.")</f>
        <v>B Apabila saya berkumpul dalam kelompok, saya ingin dihargai teman-teman.</v>
      </c>
      <c r="BI67" s="95" t="str">
        <f>IFERROR(__xludf.DUMMYFUNCTION("""COMPUTED_VALUE"""),"A Saya suka bermurah hati terhadap teman-teman saya.")</f>
        <v>A Saya suka bermurah hati terhadap teman-teman saya.</v>
      </c>
      <c r="BJ67" s="95" t="str">
        <f>IFERROR(__xludf.DUMMYFUNCTION("""COMPUTED_VALUE"""),"A Saya ingin mengerjakan tugas sampai selesai.")</f>
        <v>A Saya ingin mengerjakan tugas sampai selesai.</v>
      </c>
      <c r="BK67" s="95" t="str">
        <f>IFERROR(__xludf.DUMMYFUNCTION("""COMPUTED_VALUE"""),"B Saya senang untuk diminta menyelesaikan pertentangan-pertentangan.")</f>
        <v>B Saya senang untuk diminta menyelesaikan pertentangan-pertentangan.</v>
      </c>
      <c r="BL67" s="95" t="str">
        <f>IFERROR(__xludf.DUMMYFUNCTION("""COMPUTED_VALUE"""),"A Saya suka belajar saya teratur dan ada waktu-waktu tertentu untuk belajar.")</f>
        <v>A Saya suka belajar saya teratur dan ada waktu-waktu tertentu untuk belajar.</v>
      </c>
      <c r="BM67" s="95" t="str">
        <f>IFERROR(__xludf.DUMMYFUNCTION("""COMPUTED_VALUE"""),"A Saya suka melakukan pekerjaan sebaik mungkin.")</f>
        <v>A Saya suka melakukan pekerjaan sebaik mungkin.</v>
      </c>
      <c r="BN67" s="95" t="str">
        <f>IFERROR(__xludf.DUMMYFUNCTION("""COMPUTED_VALUE"""),"A Saya suka mengerjakan teka-teki atau memecahkan persoalan sampai selesai.")</f>
        <v>A Saya suka mengerjakan teka-teki atau memecahkan persoalan sampai selesai.</v>
      </c>
      <c r="BO67" s="95" t="str">
        <f>IFERROR(__xludf.DUMMYFUNCTION("""COMPUTED_VALUE"""),"B Saya ingin diperlakukan dengan baik oleh teman-teman saya.")</f>
        <v>B Saya ingin diperlakukan dengan baik oleh teman-teman saya.</v>
      </c>
      <c r="BP67" s="95" t="str">
        <f>IFERROR(__xludf.DUMMYFUNCTION("""COMPUTED_VALUE"""),"A Saya ingin menyelesaikan sesuatu yang sangat penting artinya.")</f>
        <v>A Saya ingin menyelesaikan sesuatu yang sangat penting artinya.</v>
      </c>
      <c r="BQ67" s="95" t="str">
        <f>IFERROR(__xludf.DUMMYFUNCTION("""COMPUTED_VALUE"""),"A Saya ingin mengerjakannya tugas sampai selesai.")</f>
        <v>A Saya ingin mengerjakannya tugas sampai selesai.</v>
      </c>
      <c r="BR67" s="95" t="str">
        <f>IFERROR(__xludf.DUMMYFUNCTION("""COMPUTED_VALUE"""),"A Saya suka memaafkan teman-teman saya yang menyakiti hati saya.")</f>
        <v>A Saya suka memaafkan teman-teman saya yang menyakiti hati saya.</v>
      </c>
      <c r="BS67" s="95" t="str">
        <f>IFERROR(__xludf.DUMMYFUNCTION("""COMPUTED_VALUE"""),"B Saya ingin teman-teman saya membantu saya bila saya mengalami kesulitan")</f>
        <v>B Saya ingin teman-teman saya membantu saya bila saya mengalami kesulitan</v>
      </c>
      <c r="BT67" s="95" t="str">
        <f>IFERROR(__xludf.DUMMYFUNCTION("""COMPUTED_VALUE"""),"B Saya ingin teman-teman banyak menunjukkan rasa sayang mereka terhadap saya.")</f>
        <v>B Saya ingin teman-teman banyak menunjukkan rasa sayang mereka terhadap saya.</v>
      </c>
      <c r="BU67" s="95" t="str">
        <f>IFERROR(__xludf.DUMMYFUNCTION("""COMPUTED_VALUE"""),"A Saya kadang-kadang suka melakukan hal-hal yang dapat dipuji oleh orang lain.")</f>
        <v>A Saya kadang-kadang suka melakukan hal-hal yang dapat dipuji oleh orang lain.</v>
      </c>
      <c r="BV67" s="95" t="str">
        <f>IFERROR(__xludf.DUMMYFUNCTION("""COMPUTED_VALUE"""),"B Saya ingin teman-teman dengan gembira memberikan pertolongan kepada saya.")</f>
        <v>B Saya ingin teman-teman dengan gembira memberikan pertolongan kepada saya.</v>
      </c>
      <c r="BW67" s="95" t="str">
        <f>IFERROR(__xludf.DUMMYFUNCTION("""COMPUTED_VALUE"""),"B Saya ingin diperlakukan dengan baik oleh teman-teman saya.")</f>
        <v>B Saya ingin diperlakukan dengan baik oleh teman-teman saya.</v>
      </c>
      <c r="BX67" s="95" t="str">
        <f>IFERROR(__xludf.DUMMYFUNCTION("""COMPUTED_VALUE"""),"B Saya kadang-kadang suka melakukan hal-hal yang dapat dipuji oleh orang lain.")</f>
        <v>B Saya kadang-kadang suka melakukan hal-hal yang dapat dipuji oleh orang lain.</v>
      </c>
      <c r="BY67" s="95" t="str">
        <f>IFERROR(__xludf.DUMMYFUNCTION("""COMPUTED_VALUE"""),"B Saya ingin orang lain memperhatikan dan berkomentar tentang penampilan saya.")</f>
        <v>B Saya ingin orang lain memperhatikan dan berkomentar tentang penampilan saya.</v>
      </c>
      <c r="BZ67" s="95" t="str">
        <f>IFERROR(__xludf.DUMMYFUNCTION("""COMPUTED_VALUE"""),"B Saya suka diperhatikan, apabila saya ada di dalam suatu kelompok.")</f>
        <v>B Saya suka diperhatikan, apabila saya ada di dalam suatu kelompok.</v>
      </c>
      <c r="CA67" s="95" t="str">
        <f>IFERROR(__xludf.DUMMYFUNCTION("""COMPUTED_VALUE"""),"B Saya suka mengajukan pertanyaan agar orang lain memperhatikan saya.")</f>
        <v>B Saya suka mengajukan pertanyaan agar orang lain memperhatikan saya.</v>
      </c>
      <c r="CB67" s="95" t="str">
        <f>IFERROR(__xludf.DUMMYFUNCTION("""COMPUTED_VALUE"""),"B Saya suka berbicara tentang hal-hal yang telah saya capai.")</f>
        <v>B Saya suka berbicara tentang hal-hal yang telah saya capai.</v>
      </c>
      <c r="CC67" s="95" t="str">
        <f>IFERROR(__xludf.DUMMYFUNCTION("""COMPUTED_VALUE"""),"B Saya suka menceritakan hal-hal lucu agar diperhatikan oleh orang lain.")</f>
        <v>B Saya suka menceritakan hal-hal lucu agar diperhatikan oleh orang lain.</v>
      </c>
      <c r="CD67" s="95" t="str">
        <f>IFERROR(__xludf.DUMMYFUNCTION("""COMPUTED_VALUE"""),"A Saya suka menyelesaikan setiap tugas meskipun membutuhkan waktu lama.")</f>
        <v>A Saya suka menyelesaikan setiap tugas meskipun membutuhkan waktu lama.</v>
      </c>
      <c r="CE67" s="95" t="str">
        <f>IFERROR(__xludf.DUMMYFUNCTION("""COMPUTED_VALUE"""),"B Saya kadang-kadang suka melakukan hal-hal yang dapat dipuji oleh orang lain.")</f>
        <v>B Saya kadang-kadang suka melakukan hal-hal yang dapat dipuji oleh orang lain.</v>
      </c>
      <c r="CF67" s="95" t="str">
        <f>IFERROR(__xludf.DUMMYFUNCTION("""COMPUTED_VALUE"""),"A Saya ingin agar hidup saya teratur sesuai cita-cita saya.")</f>
        <v>A Saya ingin agar hidup saya teratur sesuai cita-cita saya.</v>
      </c>
      <c r="CG67" s="95" t="str">
        <f>IFERROR(__xludf.DUMMYFUNCTION("""COMPUTED_VALUE"""),"B Saya suka berbicara tentang hal-hal yang telah saya capai.")</f>
        <v>B Saya suka berbicara tentang hal-hal yang telah saya capai.</v>
      </c>
      <c r="CH67" s="95" t="str">
        <f>IFERROR(__xludf.DUMMYFUNCTION("""COMPUTED_VALUE"""),"A Saya ingin bisa melakukan dengan baik sesuatu pekerjaan sulit.")</f>
        <v>A Saya ingin bisa melakukan dengan baik sesuatu pekerjaan sulit.</v>
      </c>
      <c r="CI67" s="95" t="str">
        <f>IFERROR(__xludf.DUMMYFUNCTION("""COMPUTED_VALUE"""),"A Saya suka belajar saya teratur dan ada waktu-waktu tertentu untuk belajar.")</f>
        <v>A Saya suka belajar saya teratur dan ada waktu-waktu tertentu untuk belajar.</v>
      </c>
      <c r="CJ67" s="95" t="str">
        <f>IFERROR(__xludf.DUMMYFUNCTION("""COMPUTED_VALUE"""),"A Saya ingin tidak tergantung dari orang lain terhadap apa yang akan saya lakukan.")</f>
        <v>A Saya ingin tidak tergantung dari orang lain terhadap apa yang akan saya lakukan.</v>
      </c>
      <c r="CK67" s="95" t="str">
        <f>IFERROR(__xludf.DUMMYFUNCTION("""COMPUTED_VALUE"""),"B Saya senang ikut beraktivitas bersama teman sebaya saya.")</f>
        <v>B Saya senang ikut beraktivitas bersama teman sebaya saya.</v>
      </c>
      <c r="CL67" s="95" t="str">
        <f>IFERROR(__xludf.DUMMYFUNCTION("""COMPUTED_VALUE"""),"A Saya suka menolong teman-teman saya, apabila mereka dalam kesulitan.")</f>
        <v>A Saya suka menolong teman-teman saya, apabila mereka dalam kesulitan.</v>
      </c>
      <c r="CM67" s="95" t="str">
        <f>IFERROR(__xludf.DUMMYFUNCTION("""COMPUTED_VALUE"""),"B Saya merasa kagum pada seseorang.")</f>
        <v>B Saya merasa kagum pada seseorang.</v>
      </c>
      <c r="CN67" s="95" t="str">
        <f>IFERROR(__xludf.DUMMYFUNCTION("""COMPUTED_VALUE"""),"A Saya ingin diperlakukan dengan baik oleh teman-teman saya.")</f>
        <v>A Saya ingin diperlakukan dengan baik oleh teman-teman saya.</v>
      </c>
      <c r="CO67" s="95" t="str">
        <f>IFERROR(__xludf.DUMMYFUNCTION("""COMPUTED_VALUE"""),"B Saya suka memuji orang yang saya kagumi.")</f>
        <v>B Saya suka memuji orang yang saya kagumi.</v>
      </c>
      <c r="CP67" s="95" t="str">
        <f>IFERROR(__xludf.DUMMYFUNCTION("""COMPUTED_VALUE"""),"A Saya suka melamun atau membayangkan sesuatu sendirian.")</f>
        <v>A Saya suka melamun atau membayangkan sesuatu sendirian.</v>
      </c>
      <c r="CQ67" s="95" t="str">
        <f>IFERROR(__xludf.DUMMYFUNCTION("""COMPUTED_VALUE"""),"B Saya merasa kagum pada seseorang.")</f>
        <v>B Saya merasa kagum pada seseorang.</v>
      </c>
      <c r="CR67" s="95" t="str">
        <f>IFERROR(__xludf.DUMMYFUNCTION("""COMPUTED_VALUE"""),"B Saya rasanya ingin mengecam seseorang bila orang itu menjengkelkan.")</f>
        <v>B Saya rasanya ingin mengecam seseorang bila orang itu menjengkelkan.</v>
      </c>
      <c r="CS67" s="95" t="str">
        <f>IFERROR(__xludf.DUMMYFUNCTION("""COMPUTED_VALUE"""),"A Saya ingin terlihat menarik di depan teman-teman saya.")</f>
        <v>A Saya ingin terlihat menarik di depan teman-teman saya.</v>
      </c>
      <c r="CT67" s="95" t="str">
        <f>IFERROR(__xludf.DUMMYFUNCTION("""COMPUTED_VALUE"""),"A Saya ingin orang-orang memperhatikan komentar mengenai penampilan saya.")</f>
        <v>A Saya ingin orang-orang memperhatikan komentar mengenai penampilan saya.</v>
      </c>
      <c r="CU67" s="95" t="str">
        <f>IFERROR(__xludf.DUMMYFUNCTION("""COMPUTED_VALUE"""),"A Saya ingin diperlakukan dengan ramah oleh teman-teman saya.")</f>
        <v>A Saya ingin diperlakukan dengan ramah oleh teman-teman saya.</v>
      </c>
      <c r="CV67" s="95" t="str">
        <f>IFERROR(__xludf.DUMMYFUNCTION("""COMPUTED_VALUE"""),"A Saya ingin ditunjuk atau dipilih sebagai ketua dalam suatu kelompok.")</f>
        <v>A Saya ingin ditunjuk atau dipilih sebagai ketua dalam suatu kelompok.</v>
      </c>
      <c r="CW67" s="95" t="str">
        <f>IFERROR(__xludf.DUMMYFUNCTION("""COMPUTED_VALUE"""),"A Saya suka menolong teman-teman saya, apabila mereka dalam kesulitan.")</f>
        <v>A Saya suka menolong teman-teman saya, apabila mereka dalam kesulitan.</v>
      </c>
      <c r="CX67" s="95" t="str">
        <f>IFERROR(__xludf.DUMMYFUNCTION("""COMPUTED_VALUE"""),"A Saya suka belajar sampai malam untuk menyelesaikan suatu tugas.")</f>
        <v>A Saya suka belajar sampai malam untuk menyelesaikan suatu tugas.</v>
      </c>
      <c r="CY67" s="95" t="str">
        <f>IFERROR(__xludf.DUMMYFUNCTION("""COMPUTED_VALUE"""),"A Saya ingin tidak tergantung dari orang lain terhadap apa yang akan saya lakukan.")</f>
        <v>A Saya ingin tidak tergantung dari orang lain terhadap apa yang akan saya lakukan.</v>
      </c>
      <c r="CZ67" s="95" t="str">
        <f>IFERROR(__xludf.DUMMYFUNCTION("""COMPUTED_VALUE"""),"A Saya suka merencanakan dan mengatur setiap pekerjaan yang harus saya lakukan.")</f>
        <v>A Saya suka merencanakan dan mengatur setiap pekerjaan yang harus saya lakukan.</v>
      </c>
      <c r="DA67" s="95" t="str">
        <f>IFERROR(__xludf.DUMMYFUNCTION("""COMPUTED_VALUE"""),"A Saya ingin melakukan apa saja sebaik mungkin.")</f>
        <v>A Saya ingin melakukan apa saja sebaik mungkin.</v>
      </c>
      <c r="DB67" s="89" t="s">
        <v>23</v>
      </c>
      <c r="DC67" s="97" t="str">
        <f t="shared" ref="DC67:GX67" si="112">LEFT(F67,1)</f>
        <v>B</v>
      </c>
      <c r="DD67" s="97" t="str">
        <f t="shared" si="112"/>
        <v>B</v>
      </c>
      <c r="DE67" s="97" t="str">
        <f t="shared" si="112"/>
        <v>B</v>
      </c>
      <c r="DF67" s="97" t="str">
        <f t="shared" si="112"/>
        <v>B</v>
      </c>
      <c r="DG67" s="97" t="str">
        <f t="shared" si="112"/>
        <v>B</v>
      </c>
      <c r="DH67" s="97" t="str">
        <f t="shared" si="112"/>
        <v>B</v>
      </c>
      <c r="DI67" s="97" t="str">
        <f t="shared" si="112"/>
        <v>B</v>
      </c>
      <c r="DJ67" s="97" t="str">
        <f t="shared" si="112"/>
        <v>A</v>
      </c>
      <c r="DK67" s="97" t="str">
        <f t="shared" si="112"/>
        <v>A</v>
      </c>
      <c r="DL67" s="97" t="str">
        <f t="shared" si="112"/>
        <v>B</v>
      </c>
      <c r="DM67" s="97" t="str">
        <f t="shared" si="112"/>
        <v>A</v>
      </c>
      <c r="DN67" s="97" t="str">
        <f t="shared" si="112"/>
        <v>B</v>
      </c>
      <c r="DO67" s="97" t="str">
        <f t="shared" si="112"/>
        <v>B</v>
      </c>
      <c r="DP67" s="97" t="str">
        <f t="shared" si="112"/>
        <v>A</v>
      </c>
      <c r="DQ67" s="97" t="str">
        <f t="shared" si="112"/>
        <v>B</v>
      </c>
      <c r="DR67" s="97" t="str">
        <f t="shared" si="112"/>
        <v>A</v>
      </c>
      <c r="DS67" s="97" t="str">
        <f t="shared" si="112"/>
        <v>A</v>
      </c>
      <c r="DT67" s="97" t="str">
        <f t="shared" si="112"/>
        <v>A</v>
      </c>
      <c r="DU67" s="97" t="str">
        <f t="shared" si="112"/>
        <v>A</v>
      </c>
      <c r="DV67" s="97" t="str">
        <f t="shared" si="112"/>
        <v>B</v>
      </c>
      <c r="DW67" s="97" t="str">
        <f t="shared" si="112"/>
        <v>A</v>
      </c>
      <c r="DX67" s="97" t="str">
        <f t="shared" si="112"/>
        <v>B</v>
      </c>
      <c r="DY67" s="97" t="str">
        <f t="shared" si="112"/>
        <v>A</v>
      </c>
      <c r="DZ67" s="97" t="str">
        <f t="shared" si="112"/>
        <v>B</v>
      </c>
      <c r="EA67" s="97" t="str">
        <f t="shared" si="112"/>
        <v>A</v>
      </c>
      <c r="EB67" s="97" t="str">
        <f t="shared" si="112"/>
        <v>A</v>
      </c>
      <c r="EC67" s="97" t="str">
        <f t="shared" si="112"/>
        <v>B</v>
      </c>
      <c r="ED67" s="97" t="str">
        <f t="shared" si="112"/>
        <v>B</v>
      </c>
      <c r="EE67" s="97" t="str">
        <f t="shared" si="112"/>
        <v>B</v>
      </c>
      <c r="EF67" s="97" t="str">
        <f t="shared" si="112"/>
        <v>B</v>
      </c>
      <c r="EG67" s="97" t="str">
        <f t="shared" si="112"/>
        <v>B</v>
      </c>
      <c r="EH67" s="97" t="str">
        <f t="shared" si="112"/>
        <v>B</v>
      </c>
      <c r="EI67" s="97" t="str">
        <f t="shared" si="112"/>
        <v>B</v>
      </c>
      <c r="EJ67" s="97" t="str">
        <f t="shared" si="112"/>
        <v>B</v>
      </c>
      <c r="EK67" s="97" t="str">
        <f t="shared" si="112"/>
        <v>A</v>
      </c>
      <c r="EL67" s="97" t="str">
        <f t="shared" si="112"/>
        <v>B</v>
      </c>
      <c r="EM67" s="97" t="str">
        <f t="shared" si="112"/>
        <v>A</v>
      </c>
      <c r="EN67" s="97" t="str">
        <f t="shared" si="112"/>
        <v>B</v>
      </c>
      <c r="EO67" s="97" t="str">
        <f t="shared" si="112"/>
        <v>A</v>
      </c>
      <c r="EP67" s="97" t="str">
        <f t="shared" si="112"/>
        <v>B</v>
      </c>
      <c r="EQ67" s="97" t="str">
        <f t="shared" si="112"/>
        <v>B</v>
      </c>
      <c r="ER67" s="97" t="str">
        <f t="shared" si="112"/>
        <v>B</v>
      </c>
      <c r="ES67" s="97" t="str">
        <f t="shared" si="112"/>
        <v>B</v>
      </c>
      <c r="ET67" s="97" t="str">
        <f t="shared" si="112"/>
        <v>B</v>
      </c>
      <c r="EU67" s="97" t="str">
        <f t="shared" si="112"/>
        <v>B</v>
      </c>
      <c r="EV67" s="97" t="str">
        <f t="shared" si="112"/>
        <v>B</v>
      </c>
      <c r="EW67" s="97" t="str">
        <f t="shared" si="112"/>
        <v>A</v>
      </c>
      <c r="EX67" s="97" t="str">
        <f t="shared" si="112"/>
        <v>B</v>
      </c>
      <c r="EY67" s="97" t="str">
        <f t="shared" si="112"/>
        <v>B</v>
      </c>
      <c r="EZ67" s="97" t="str">
        <f t="shared" si="112"/>
        <v>B</v>
      </c>
      <c r="FA67" s="97" t="str">
        <f t="shared" si="112"/>
        <v>B</v>
      </c>
      <c r="FB67" s="97" t="str">
        <f t="shared" si="112"/>
        <v>B</v>
      </c>
      <c r="FC67" s="97" t="str">
        <f t="shared" si="112"/>
        <v>A</v>
      </c>
      <c r="FD67" s="97" t="str">
        <f t="shared" si="112"/>
        <v>B</v>
      </c>
      <c r="FE67" s="97" t="str">
        <f t="shared" si="112"/>
        <v>B</v>
      </c>
      <c r="FF67" s="97" t="str">
        <f t="shared" si="112"/>
        <v>A</v>
      </c>
      <c r="FG67" s="97" t="str">
        <f t="shared" si="112"/>
        <v>A</v>
      </c>
      <c r="FH67" s="97" t="str">
        <f t="shared" si="112"/>
        <v>B</v>
      </c>
      <c r="FI67" s="97" t="str">
        <f t="shared" si="112"/>
        <v>A</v>
      </c>
      <c r="FJ67" s="97" t="str">
        <f t="shared" si="112"/>
        <v>A</v>
      </c>
      <c r="FK67" s="97" t="str">
        <f t="shared" si="112"/>
        <v>A</v>
      </c>
      <c r="FL67" s="97" t="str">
        <f t="shared" si="112"/>
        <v>B</v>
      </c>
      <c r="FM67" s="97" t="str">
        <f t="shared" si="112"/>
        <v>A</v>
      </c>
      <c r="FN67" s="97" t="str">
        <f t="shared" si="112"/>
        <v>A</v>
      </c>
      <c r="FO67" s="97" t="str">
        <f t="shared" si="112"/>
        <v>A</v>
      </c>
      <c r="FP67" s="97" t="str">
        <f t="shared" si="112"/>
        <v>B</v>
      </c>
      <c r="FQ67" s="97" t="str">
        <f t="shared" si="112"/>
        <v>B</v>
      </c>
      <c r="FR67" s="97" t="str">
        <f t="shared" si="112"/>
        <v>A</v>
      </c>
      <c r="FS67" s="97" t="str">
        <f t="shared" si="112"/>
        <v>B</v>
      </c>
      <c r="FT67" s="97" t="str">
        <f t="shared" si="112"/>
        <v>B</v>
      </c>
      <c r="FU67" s="97" t="str">
        <f t="shared" si="112"/>
        <v>B</v>
      </c>
      <c r="FV67" s="97" t="str">
        <f t="shared" si="112"/>
        <v>B</v>
      </c>
      <c r="FW67" s="97" t="str">
        <f t="shared" si="112"/>
        <v>B</v>
      </c>
      <c r="FX67" s="97" t="str">
        <f t="shared" si="112"/>
        <v>B</v>
      </c>
      <c r="FY67" s="97" t="str">
        <f t="shared" si="112"/>
        <v>B</v>
      </c>
      <c r="FZ67" s="97" t="str">
        <f t="shared" si="112"/>
        <v>B</v>
      </c>
      <c r="GA67" s="97" t="str">
        <f t="shared" si="112"/>
        <v>A</v>
      </c>
      <c r="GB67" s="97" t="str">
        <f t="shared" si="112"/>
        <v>B</v>
      </c>
      <c r="GC67" s="97" t="str">
        <f t="shared" si="112"/>
        <v>A</v>
      </c>
      <c r="GD67" s="97" t="str">
        <f t="shared" si="112"/>
        <v>B</v>
      </c>
      <c r="GE67" s="97" t="str">
        <f t="shared" si="112"/>
        <v>A</v>
      </c>
      <c r="GF67" s="97" t="str">
        <f t="shared" si="112"/>
        <v>A</v>
      </c>
      <c r="GG67" s="97" t="str">
        <f t="shared" si="112"/>
        <v>A</v>
      </c>
      <c r="GH67" s="97" t="str">
        <f t="shared" si="112"/>
        <v>B</v>
      </c>
      <c r="GI67" s="97" t="str">
        <f t="shared" si="112"/>
        <v>A</v>
      </c>
      <c r="GJ67" s="97" t="str">
        <f t="shared" si="112"/>
        <v>B</v>
      </c>
      <c r="GK67" s="97" t="str">
        <f t="shared" si="112"/>
        <v>A</v>
      </c>
      <c r="GL67" s="97" t="str">
        <f t="shared" si="112"/>
        <v>B</v>
      </c>
      <c r="GM67" s="97" t="str">
        <f t="shared" si="112"/>
        <v>A</v>
      </c>
      <c r="GN67" s="97" t="str">
        <f t="shared" si="112"/>
        <v>B</v>
      </c>
      <c r="GO67" s="97" t="str">
        <f t="shared" si="112"/>
        <v>B</v>
      </c>
      <c r="GP67" s="97" t="str">
        <f t="shared" si="112"/>
        <v>A</v>
      </c>
      <c r="GQ67" s="97" t="str">
        <f t="shared" si="112"/>
        <v>A</v>
      </c>
      <c r="GR67" s="97" t="str">
        <f t="shared" si="112"/>
        <v>A</v>
      </c>
      <c r="GS67" s="97" t="str">
        <f t="shared" si="112"/>
        <v>A</v>
      </c>
      <c r="GT67" s="97" t="str">
        <f t="shared" si="112"/>
        <v>A</v>
      </c>
      <c r="GU67" s="97" t="str">
        <f t="shared" si="112"/>
        <v>A</v>
      </c>
      <c r="GV67" s="97" t="str">
        <f t="shared" si="112"/>
        <v>A</v>
      </c>
      <c r="GW67" s="97" t="str">
        <f t="shared" si="112"/>
        <v>A</v>
      </c>
      <c r="GX67" s="97" t="str">
        <f t="shared" si="112"/>
        <v>A</v>
      </c>
      <c r="GY67" s="98"/>
      <c r="GZ67" s="97">
        <f t="shared" si="3"/>
        <v>43</v>
      </c>
      <c r="HA67" s="97">
        <f t="shared" si="4"/>
        <v>57</v>
      </c>
      <c r="HB67" s="90">
        <f t="shared" si="5"/>
        <v>100</v>
      </c>
      <c r="HC67" s="99"/>
      <c r="HD67" s="97">
        <f t="shared" si="6"/>
        <v>5</v>
      </c>
      <c r="HE67" s="97">
        <f t="shared" si="7"/>
        <v>7</v>
      </c>
      <c r="HF67" s="90">
        <f t="shared" si="8"/>
        <v>12</v>
      </c>
      <c r="HG67" s="99"/>
      <c r="HH67" s="97">
        <f t="shared" si="9"/>
        <v>5</v>
      </c>
      <c r="HI67" s="97">
        <f t="shared" si="10"/>
        <v>4</v>
      </c>
      <c r="HJ67" s="90">
        <f t="shared" si="11"/>
        <v>9</v>
      </c>
      <c r="HK67" s="99"/>
      <c r="HL67" s="97">
        <f t="shared" si="12"/>
        <v>4</v>
      </c>
      <c r="HM67" s="97">
        <f t="shared" si="13"/>
        <v>6</v>
      </c>
      <c r="HN67" s="90">
        <f t="shared" si="14"/>
        <v>10</v>
      </c>
      <c r="HO67" s="99"/>
      <c r="HP67" s="97">
        <f t="shared" si="15"/>
        <v>5</v>
      </c>
      <c r="HQ67" s="97">
        <f t="shared" si="16"/>
        <v>7</v>
      </c>
      <c r="HR67" s="90">
        <f t="shared" si="17"/>
        <v>12</v>
      </c>
      <c r="HS67" s="99"/>
      <c r="HT67" s="97">
        <f t="shared" si="18"/>
        <v>6</v>
      </c>
      <c r="HU67" s="97">
        <f t="shared" si="19"/>
        <v>9</v>
      </c>
      <c r="HV67" s="90">
        <f t="shared" si="20"/>
        <v>15</v>
      </c>
      <c r="HW67" s="99"/>
      <c r="HX67" s="97">
        <f t="shared" si="21"/>
        <v>3</v>
      </c>
      <c r="HY67" s="97">
        <f t="shared" si="22"/>
        <v>5</v>
      </c>
      <c r="HZ67" s="90">
        <f t="shared" si="23"/>
        <v>8</v>
      </c>
      <c r="IA67" s="99"/>
      <c r="IB67" s="97">
        <f t="shared" si="24"/>
        <v>4</v>
      </c>
      <c r="IC67" s="97">
        <f t="shared" si="25"/>
        <v>5</v>
      </c>
      <c r="ID67" s="90">
        <f t="shared" si="26"/>
        <v>9</v>
      </c>
      <c r="IE67" s="99"/>
      <c r="IF67" s="97">
        <f t="shared" si="27"/>
        <v>4</v>
      </c>
      <c r="IG67" s="97">
        <f t="shared" si="28"/>
        <v>8</v>
      </c>
      <c r="IH67" s="90">
        <f t="shared" si="29"/>
        <v>12</v>
      </c>
      <c r="II67" s="99"/>
      <c r="IJ67" s="97">
        <f t="shared" si="30"/>
        <v>2</v>
      </c>
      <c r="IK67" s="97">
        <f t="shared" si="31"/>
        <v>4</v>
      </c>
      <c r="IL67" s="90">
        <f t="shared" si="32"/>
        <v>6</v>
      </c>
      <c r="IM67" s="99"/>
      <c r="IN67" s="97">
        <f t="shared" si="33"/>
        <v>1</v>
      </c>
      <c r="IO67" s="97">
        <f t="shared" si="34"/>
        <v>1</v>
      </c>
      <c r="IP67" s="90">
        <f t="shared" si="35"/>
        <v>2</v>
      </c>
      <c r="IQ67" s="99"/>
      <c r="IR67" s="99"/>
      <c r="IS67" s="100">
        <f t="shared" si="36"/>
        <v>12</v>
      </c>
      <c r="IT67" s="100">
        <f t="shared" si="37"/>
        <v>9</v>
      </c>
      <c r="IU67" s="100">
        <f t="shared" si="38"/>
        <v>10</v>
      </c>
      <c r="IV67" s="100">
        <f t="shared" si="39"/>
        <v>12</v>
      </c>
      <c r="IW67" s="100">
        <f t="shared" si="40"/>
        <v>15</v>
      </c>
      <c r="IX67" s="100">
        <f t="shared" si="41"/>
        <v>8</v>
      </c>
      <c r="IY67" s="100">
        <f t="shared" si="42"/>
        <v>9</v>
      </c>
      <c r="IZ67" s="100">
        <f t="shared" si="43"/>
        <v>12</v>
      </c>
      <c r="JA67" s="100">
        <f t="shared" si="44"/>
        <v>6</v>
      </c>
      <c r="JB67" s="101">
        <f t="shared" si="45"/>
        <v>2</v>
      </c>
      <c r="JC67" s="102">
        <f t="shared" si="46"/>
        <v>95</v>
      </c>
      <c r="JD67" s="67">
        <f t="shared" si="50"/>
        <v>0</v>
      </c>
      <c r="JE67" s="67">
        <f t="shared" si="47"/>
        <v>1</v>
      </c>
      <c r="JF67" s="67">
        <f t="shared" si="48"/>
        <v>1</v>
      </c>
    </row>
    <row r="68">
      <c r="A68" s="103">
        <f>IFERROR(__xludf.DUMMYFUNCTION("""COMPUTED_VALUE"""),45935.35514373843)</f>
        <v>45935.35514</v>
      </c>
      <c r="B68" s="95" t="str">
        <f>IFERROR(__xludf.DUMMYFUNCTION("""COMPUTED_VALUE"""),"Yahya Azka Ya'sub ")</f>
        <v>Yahya Azka Ya'sub </v>
      </c>
      <c r="C68" s="96" t="str">
        <f>IFERROR(__xludf.DUMMYFUNCTION("""COMPUTED_VALUE"""),"A250058")</f>
        <v>A250058</v>
      </c>
      <c r="D68" s="96" t="str">
        <f>IFERROR(__xludf.DUMMYFUNCTION("""COMPUTED_VALUE"""),"MTs Putra")</f>
        <v>MTs Putra</v>
      </c>
      <c r="E68" s="96" t="str">
        <f>IFERROR(__xludf.DUMMYFUNCTION("""COMPUTED_VALUE"""),"Ya")</f>
        <v>Ya</v>
      </c>
      <c r="F68" s="95" t="str">
        <f>IFERROR(__xludf.DUMMYFUNCTION("""COMPUTED_VALUE"""),"B Saya ingin melakukan apa saja sebaik mungkin.")</f>
        <v>B Saya ingin melakukan apa saja sebaik mungkin.</v>
      </c>
      <c r="G68" s="95" t="str">
        <f>IFERROR(__xludf.DUMMYFUNCTION("""COMPUTED_VALUE"""),"A Saya ingin setiap tulisan saya teliti, rapi, dan tersusun dengan baik.")</f>
        <v>A Saya ingin setiap tulisan saya teliti, rapi, dan tersusun dengan baik.</v>
      </c>
      <c r="H68" s="95" t="str">
        <f>IFERROR(__xludf.DUMMYFUNCTION("""COMPUTED_VALUE"""),"B Saya ingin menjadi orang yang diakui dalam suatu pekerjaan atau bidang khusus.")</f>
        <v>B Saya ingin menjadi orang yang diakui dalam suatu pekerjaan atau bidang khusus.</v>
      </c>
      <c r="I68" s="95" t="str">
        <f>IFERROR(__xludf.DUMMYFUNCTION("""COMPUTED_VALUE"""),"B Saya ingin bisa melakukan dengan baik meskipun tugas yang sulit.")</f>
        <v>B Saya ingin bisa melakukan dengan baik meskipun tugas yang sulit.</v>
      </c>
      <c r="J68" s="95" t="str">
        <f>IFERROR(__xludf.DUMMYFUNCTION("""COMPUTED_VALUE"""),"A Saya suka membantu teman-teman saya apabila mereka mengalami kesulitan.")</f>
        <v>A Saya suka membantu teman-teman saya apabila mereka mengalami kesulitan.</v>
      </c>
      <c r="K68" s="95" t="str">
        <f>IFERROR(__xludf.DUMMYFUNCTION("""COMPUTED_VALUE"""),"B Saya ingin mengatakan telah melakukan dengan baik sesuatu tugas yang sulit.")</f>
        <v>B Saya ingin mengatakan telah melakukan dengan baik sesuatu tugas yang sulit.</v>
      </c>
      <c r="L68" s="95" t="str">
        <f>IFERROR(__xludf.DUMMYFUNCTION("""COMPUTED_VALUE"""),"B Saya ingin mengatakan telah melakukan dengan baik sesuatu tugas yang sulit")</f>
        <v>B Saya ingin mengatakan telah melakukan dengan baik sesuatu tugas yang sulit</v>
      </c>
      <c r="M68" s="95" t="str">
        <f>IFERROR(__xludf.DUMMYFUNCTION("""COMPUTED_VALUE"""),"B Saya ingin mengerjakan segala tugas lebih baik daripada orang lain.")</f>
        <v>B Saya ingin mengerjakan segala tugas lebih baik daripada orang lain.</v>
      </c>
      <c r="N68" s="95" t="str">
        <f>IFERROR(__xludf.DUMMYFUNCTION("""COMPUTED_VALUE"""),"B Saya suka memecahkan persoalan yang sukar bagi orang lain.")</f>
        <v>B Saya suka memecahkan persoalan yang sukar bagi orang lain.</v>
      </c>
      <c r="O68" s="95" t="str">
        <f>IFERROR(__xludf.DUMMYFUNCTION("""COMPUTED_VALUE"""),"B Saya suka melakukan tugas sebaik mungkin.")</f>
        <v>B Saya suka melakukan tugas sebaik mungkin.</v>
      </c>
      <c r="P68" s="95" t="str">
        <f>IFERROR(__xludf.DUMMYFUNCTION("""COMPUTED_VALUE"""),"A Saya suka bercerita tentang hal-hal yang menegangkan atau menantang.")</f>
        <v>A Saya suka bercerita tentang hal-hal yang menegangkan atau menantang.</v>
      </c>
      <c r="Q68" s="95" t="str">
        <f>IFERROR(__xludf.DUMMYFUNCTION("""COMPUTED_VALUE"""),"B Saya merencanakan keperluan yang dibutuhkan sebelum bepergian.")</f>
        <v>B Saya merencanakan keperluan yang dibutuhkan sebelum bepergian.</v>
      </c>
      <c r="R68" s="95" t="str">
        <f>IFERROR(__xludf.DUMMYFUNCTION("""COMPUTED_VALUE"""),"B Saya suka barang-barang saya tersusun rapi dan teratur.")</f>
        <v>B Saya suka barang-barang saya tersusun rapi dan teratur.</v>
      </c>
      <c r="S68" s="95" t="str">
        <f>IFERROR(__xludf.DUMMYFUNCTION("""COMPUTED_VALUE"""),"B Saya suka membuat perencanaan sebelum memulai tugas yang sulit.")</f>
        <v>B Saya suka membuat perencanaan sebelum memulai tugas yang sulit.</v>
      </c>
      <c r="T68" s="95" t="str">
        <f>IFERROR(__xludf.DUMMYFUNCTION("""COMPUTED_VALUE"""),"B Saya ingin agar hidup saya teratur sesuai cita-cita saya.")</f>
        <v>B Saya ingin agar hidup saya teratur sesuai cita-cita saya.</v>
      </c>
      <c r="U68" s="95" t="str">
        <f>IFERROR(__xludf.DUMMYFUNCTION("""COMPUTED_VALUE"""),"B Saya suka menyimpan catatan secara rapi.")</f>
        <v>B Saya suka menyimpan catatan secara rapi.</v>
      </c>
      <c r="V68" s="95" t="str">
        <f>IFERROR(__xludf.DUMMYFUNCTION("""COMPUTED_VALUE"""),"B Saya suka belajar saya teratur dan ada waktu-waktu tertentu untuk belajar.")</f>
        <v>B Saya suka belajar saya teratur dan ada waktu-waktu tertentu untuk belajar.</v>
      </c>
      <c r="W68" s="95" t="str">
        <f>IFERROR(__xludf.DUMMYFUNCTION("""COMPUTED_VALUE"""),"A Saya suka melakukan kegiatan sesuai kondisi yang saya inginkan.")</f>
        <v>A Saya suka melakukan kegiatan sesuai kondisi yang saya inginkan.</v>
      </c>
      <c r="X68" s="95" t="str">
        <f>IFERROR(__xludf.DUMMYFUNCTION("""COMPUTED_VALUE"""),"B Saya ingin agar hidup saya teratur sesuai cita-cita saya.")</f>
        <v>B Saya ingin agar hidup saya teratur sesuai cita-cita saya.</v>
      </c>
      <c r="Y68" s="95" t="str">
        <f>IFERROR(__xludf.DUMMYFUNCTION("""COMPUTED_VALUE"""),"A Saya suka menyelesaikan tugas-tugas yang membutuhkan ketrampilan dan usaha.")</f>
        <v>A Saya suka menyelesaikan tugas-tugas yang membutuhkan ketrampilan dan usaha.</v>
      </c>
      <c r="Z68" s="95" t="str">
        <f>IFERROR(__xludf.DUMMYFUNCTION("""COMPUTED_VALUE"""),"A Saya ingin berhasil dengan belajar yang saya lakukan.")</f>
        <v>A Saya ingin berhasil dengan belajar yang saya lakukan.</v>
      </c>
      <c r="AA68" s="95" t="str">
        <f>IFERROR(__xludf.DUMMYFUNCTION("""COMPUTED_VALUE"""),"B Saya tidak suka pada orang yang berbuat seenaknya sendiri.")</f>
        <v>B Saya tidak suka pada orang yang berbuat seenaknya sendiri.</v>
      </c>
      <c r="AB68" s="95" t="str">
        <f>IFERROR(__xludf.DUMMYFUNCTION("""COMPUTED_VALUE"""),"B Saya ingin menyelesaikan pekerjaan satu persatu sebelum memulai yang lain.")</f>
        <v>B Saya ingin menyelesaikan pekerjaan satu persatu sebelum memulai yang lain.</v>
      </c>
      <c r="AC68" s="95" t="str">
        <f>IFERROR(__xludf.DUMMYFUNCTION("""COMPUTED_VALUE"""),"B Saya suka melakukan kegiatan sesuai kondisi yang saya inginkan.")</f>
        <v>B Saya suka melakukan kegiatan sesuai kondisi yang saya inginkan.</v>
      </c>
      <c r="AD68" s="95" t="str">
        <f>IFERROR(__xludf.DUMMYFUNCTION("""COMPUTED_VALUE"""),"A Saya suka bermurah hati terhadap teman-teman saya.")</f>
        <v>A Saya suka bermurah hati terhadap teman-teman saya.</v>
      </c>
      <c r="AE68" s="95" t="str">
        <f>IFERROR(__xludf.DUMMYFUNCTION("""COMPUTED_VALUE"""),"A Saya ingin dianggap sebagai pemimpin oleh teman di kelompok.")</f>
        <v>A Saya ingin dianggap sebagai pemimpin oleh teman di kelompok.</v>
      </c>
      <c r="AF68" s="95" t="str">
        <f>IFERROR(__xludf.DUMMYFUNCTION("""COMPUTED_VALUE"""),"B Saya suka melakukan hal-hal dengan cara saya sendiri.")</f>
        <v>B Saya suka melakukan hal-hal dengan cara saya sendiri.</v>
      </c>
      <c r="AG68" s="95" t="str">
        <f>IFERROR(__xludf.DUMMYFUNCTION("""COMPUTED_VALUE"""),"B Saya ingin berhasil dengan tugas yang saya lakukan.")</f>
        <v>B Saya ingin berhasil dengan tugas yang saya lakukan.</v>
      </c>
      <c r="AH68" s="95" t="str">
        <f>IFERROR(__xludf.DUMMYFUNCTION("""COMPUTED_VALUE"""),"A Saya suka membaca buku-buku tentang pergaulan remaja.")</f>
        <v>A Saya suka membaca buku-buku tentang pergaulan remaja.</v>
      </c>
      <c r="AI68" s="95" t="str">
        <f>IFERROR(__xludf.DUMMYFUNCTION("""COMPUTED_VALUE"""),"B Saya suka melakukan kegiatan sesuai kondisi yang saya inginkan.")</f>
        <v>B Saya suka melakukan kegiatan sesuai kondisi yang saya inginkan.</v>
      </c>
      <c r="AJ68" s="95" t="str">
        <f>IFERROR(__xludf.DUMMYFUNCTION("""COMPUTED_VALUE"""),"B Saya suka bertahan menghadapi satu masalah meskipun belum tentu berhasil.")</f>
        <v>B Saya suka bertahan menghadapi satu masalah meskipun belum tentu berhasil.</v>
      </c>
      <c r="AK68" s="95" t="str">
        <f>IFERROR(__xludf.DUMMYFUNCTION("""COMPUTED_VALUE"""),"B Bila saya harus melakukan suatu tugas, saya ingin mengerjakan sampai selesai.")</f>
        <v>B Bila saya harus melakukan suatu tugas, saya ingin mengerjakan sampai selesai.</v>
      </c>
      <c r="AL68" s="95" t="str">
        <f>IFERROR(__xludf.DUMMYFUNCTION("""COMPUTED_VALUE"""),"B Saya ingin menghindarkan gangguan bila saya sedang belajar.")</f>
        <v>B Saya ingin menghindarkan gangguan bila saya sedang belajar.</v>
      </c>
      <c r="AM68" s="95" t="str">
        <f>IFERROR(__xludf.DUMMYFUNCTION("""COMPUTED_VALUE"""),"A Saya ingin teman-teman saya merasa kasihan pada saya apabila saya sakit.")</f>
        <v>A Saya ingin teman-teman saya merasa kasihan pada saya apabila saya sakit.</v>
      </c>
      <c r="AN68" s="95" t="str">
        <f>IFERROR(__xludf.DUMMYFUNCTION("""COMPUTED_VALUE"""),"B Saya ingin bekerja berjam-jam tanpa diganggu.")</f>
        <v>B Saya ingin bekerja berjam-jam tanpa diganggu.</v>
      </c>
      <c r="AO68" s="95" t="str">
        <f>IFERROR(__xludf.DUMMYFUNCTION("""COMPUTED_VALUE"""),"A Saya suka berlaku sangat ramah terhadap teman-teman saya.")</f>
        <v>A Saya suka berlaku sangat ramah terhadap teman-teman saya.</v>
      </c>
      <c r="AP68" s="95" t="str">
        <f>IFERROR(__xludf.DUMMYFUNCTION("""COMPUTED_VALUE"""),"A Saya ingin mengerjakannya tugas sampai selesai.")</f>
        <v>A Saya ingin mengerjakannya tugas sampai selesai.</v>
      </c>
      <c r="AQ68" s="95" t="str">
        <f>IFERROR(__xludf.DUMMYFUNCTION("""COMPUTED_VALUE"""),"A Saya ingin bisa mengerjakan segala sesuatu lebih baik daripada orang-orang lain.")</f>
        <v>A Saya ingin bisa mengerjakan segala sesuatu lebih baik daripada orang-orang lain.</v>
      </c>
      <c r="AR68" s="95" t="str">
        <f>IFERROR(__xludf.DUMMYFUNCTION("""COMPUTED_VALUE"""),"A Saya suka menyimpan catatan secara rapi.")</f>
        <v>A Saya suka menyimpan catatan secara rapi.</v>
      </c>
      <c r="AS68" s="95" t="str">
        <f>IFERROR(__xludf.DUMMYFUNCTION("""COMPUTED_VALUE"""),"A Saya ingin dapat menyelesaikan persoalan yang dianggap sukar bagi orang lain.")</f>
        <v>A Saya ingin dapat menyelesaikan persoalan yang dianggap sukar bagi orang lain.</v>
      </c>
      <c r="AT68" s="95" t="str">
        <f>IFERROR(__xludf.DUMMYFUNCTION("""COMPUTED_VALUE"""),"A Saya ingin bisa melakukan dengan baik sesuatu pekerjaan sulit.")</f>
        <v>A Saya ingin bisa melakukan dengan baik sesuatu pekerjaan sulit.</v>
      </c>
      <c r="AU68" s="95" t="str">
        <f>IFERROR(__xludf.DUMMYFUNCTION("""COMPUTED_VALUE"""),"B Saya suka bermurah hati terhadap teman-teman saya.")</f>
        <v>B Saya suka bermurah hati terhadap teman-teman saya.</v>
      </c>
      <c r="AV68" s="95" t="str">
        <f>IFERROR(__xludf.DUMMYFUNCTION("""COMPUTED_VALUE"""),"B Saya suka menolong teman-teman saya.")</f>
        <v>B Saya suka menolong teman-teman saya.</v>
      </c>
      <c r="AW68" s="95" t="str">
        <f>IFERROR(__xludf.DUMMYFUNCTION("""COMPUTED_VALUE"""),"A Saya ingin mengerjakan tugas sampai selesai.")</f>
        <v>A Saya ingin mengerjakan tugas sampai selesai.</v>
      </c>
      <c r="AX68" s="95" t="str">
        <f>IFERROR(__xludf.DUMMYFUNCTION("""COMPUTED_VALUE"""),"A Saya suka menolong teman-teman saya apabila mereka dalam kesulitan.")</f>
        <v>A Saya suka menolong teman-teman saya apabila mereka dalam kesulitan.</v>
      </c>
      <c r="AY68" s="95" t="str">
        <f>IFERROR(__xludf.DUMMYFUNCTION("""COMPUTED_VALUE"""),"B Saya suka menolong teman-teman saya apabila mereka dalam kesulitan.")</f>
        <v>B Saya suka menolong teman-teman saya apabila mereka dalam kesulitan.</v>
      </c>
      <c r="AZ68" s="95" t="str">
        <f>IFERROR(__xludf.DUMMYFUNCTION("""COMPUTED_VALUE"""),"A Saya ingin agar teman-teman saya bersimpati dan menghibur saya bila saya sedih.")</f>
        <v>A Saya ingin agar teman-teman saya bersimpati dan menghibur saya bila saya sedih.</v>
      </c>
      <c r="BA68" s="95" t="str">
        <f>IFERROR(__xludf.DUMMYFUNCTION("""COMPUTED_VALUE"""),"B Saya suka memperlakukan orang lain dengan baik dan ramah.")</f>
        <v>B Saya suka memperlakukan orang lain dengan baik dan ramah.</v>
      </c>
      <c r="BB68" s="95" t="str">
        <f>IFERROR(__xludf.DUMMYFUNCTION("""COMPUTED_VALUE"""),"A Saya berkeinginan untuk bersama orang yang menarik bagi saya.")</f>
        <v>A Saya berkeinginan untuk bersama orang yang menarik bagi saya.</v>
      </c>
      <c r="BC68" s="95" t="str">
        <f>IFERROR(__xludf.DUMMYFUNCTION("""COMPUTED_VALUE"""),"B Saya suka membantu orang lain yang menurut saya perlu dikasihani.")</f>
        <v>B Saya suka membantu orang lain yang menurut saya perlu dikasihani.</v>
      </c>
      <c r="BD68" s="95" t="str">
        <f>IFERROR(__xludf.DUMMYFUNCTION("""COMPUTED_VALUE"""),"B Saya suka bersikukuh dengan pendirian saya.")</f>
        <v>B Saya suka bersikukuh dengan pendirian saya.</v>
      </c>
      <c r="BE68" s="95" t="str">
        <f>IFERROR(__xludf.DUMMYFUNCTION("""COMPUTED_VALUE"""),"A Saya suka mendengarkan atau menceritakan hal-hal yang sebaiknya tidak diceritakan.")</f>
        <v>A Saya suka mendengarkan atau menceritakan hal-hal yang sebaiknya tidak diceritakan.</v>
      </c>
      <c r="BF68" s="95" t="str">
        <f>IFERROR(__xludf.DUMMYFUNCTION("""COMPUTED_VALUE"""),"B Bila saya dalam kelompok, saya ingin menentukan apa yang akan kita lakukan.")</f>
        <v>B Bila saya dalam kelompok, saya ingin menentukan apa yang akan kita lakukan.</v>
      </c>
      <c r="BG68" s="95" t="str">
        <f>IFERROR(__xludf.DUMMYFUNCTION("""COMPUTED_VALUE"""),"B Saya suka mengarahkan kepada orang lain apa yang harus dilakukan.")</f>
        <v>B Saya suka mengarahkan kepada orang lain apa yang harus dilakukan.</v>
      </c>
      <c r="BH68" s="95" t="str">
        <f>IFERROR(__xludf.DUMMYFUNCTION("""COMPUTED_VALUE"""),"B Apabila saya berkumpul dalam kelompok, saya ingin dihargai teman-teman.")</f>
        <v>B Apabila saya berkumpul dalam kelompok, saya ingin dihargai teman-teman.</v>
      </c>
      <c r="BI68" s="95" t="str">
        <f>IFERROR(__xludf.DUMMYFUNCTION("""COMPUTED_VALUE"""),"A Saya suka bermurah hati terhadap teman-teman saya.")</f>
        <v>A Saya suka bermurah hati terhadap teman-teman saya.</v>
      </c>
      <c r="BJ68" s="95" t="str">
        <f>IFERROR(__xludf.DUMMYFUNCTION("""COMPUTED_VALUE"""),"A Saya ingin mengerjakan tugas sampai selesai.")</f>
        <v>A Saya ingin mengerjakan tugas sampai selesai.</v>
      </c>
      <c r="BK68" s="95" t="str">
        <f>IFERROR(__xludf.DUMMYFUNCTION("""COMPUTED_VALUE"""),"A Saya ingin menyelesaikan pekerjaan satu persatu sebelum memulai yang lain.")</f>
        <v>A Saya ingin menyelesaikan pekerjaan satu persatu sebelum memulai yang lain.</v>
      </c>
      <c r="BL68" s="95" t="str">
        <f>IFERROR(__xludf.DUMMYFUNCTION("""COMPUTED_VALUE"""),"A Saya suka belajar saya teratur dan ada waktu-waktu tertentu untuk belajar.")</f>
        <v>A Saya suka belajar saya teratur dan ada waktu-waktu tertentu untuk belajar.</v>
      </c>
      <c r="BM68" s="95" t="str">
        <f>IFERROR(__xludf.DUMMYFUNCTION("""COMPUTED_VALUE"""),"A Saya suka melakukan pekerjaan sebaik mungkin.")</f>
        <v>A Saya suka melakukan pekerjaan sebaik mungkin.</v>
      </c>
      <c r="BN68" s="95" t="str">
        <f>IFERROR(__xludf.DUMMYFUNCTION("""COMPUTED_VALUE"""),"A Saya suka mengerjakan teka-teki atau memecahkan persoalan sampai selesai.")</f>
        <v>A Saya suka mengerjakan teka-teki atau memecahkan persoalan sampai selesai.</v>
      </c>
      <c r="BO68" s="95" t="str">
        <f>IFERROR(__xludf.DUMMYFUNCTION("""COMPUTED_VALUE"""),"B Saya ingin diperlakukan dengan baik oleh teman-teman saya.")</f>
        <v>B Saya ingin diperlakukan dengan baik oleh teman-teman saya.</v>
      </c>
      <c r="BP68" s="95" t="str">
        <f>IFERROR(__xludf.DUMMYFUNCTION("""COMPUTED_VALUE"""),"A Saya ingin menyelesaikan sesuatu yang sangat penting artinya.")</f>
        <v>A Saya ingin menyelesaikan sesuatu yang sangat penting artinya.</v>
      </c>
      <c r="BQ68" s="95" t="str">
        <f>IFERROR(__xludf.DUMMYFUNCTION("""COMPUTED_VALUE"""),"A Saya ingin mengerjakannya tugas sampai selesai.")</f>
        <v>A Saya ingin mengerjakannya tugas sampai selesai.</v>
      </c>
      <c r="BR68" s="95" t="str">
        <f>IFERROR(__xludf.DUMMYFUNCTION("""COMPUTED_VALUE"""),"B Saya ingin agar teman-teman saya bersimpati dan menghibur saya bila saya sedih.")</f>
        <v>B Saya ingin agar teman-teman saya bersimpati dan menghibur saya bila saya sedih.</v>
      </c>
      <c r="BS68" s="95" t="str">
        <f>IFERROR(__xludf.DUMMYFUNCTION("""COMPUTED_VALUE"""),"B Saya ingin teman-teman saya membantu saya bila saya mengalami kesulitan")</f>
        <v>B Saya ingin teman-teman saya membantu saya bila saya mengalami kesulitan</v>
      </c>
      <c r="BT68" s="95" t="str">
        <f>IFERROR(__xludf.DUMMYFUNCTION("""COMPUTED_VALUE"""),"B Saya ingin teman-teman banyak menunjukkan rasa sayang mereka terhadap saya.")</f>
        <v>B Saya ingin teman-teman banyak menunjukkan rasa sayang mereka terhadap saya.</v>
      </c>
      <c r="BU68" s="95" t="str">
        <f>IFERROR(__xludf.DUMMYFUNCTION("""COMPUTED_VALUE"""),"A Saya kadang-kadang suka melakukan hal-hal yang dapat dipuji oleh orang lain.")</f>
        <v>A Saya kadang-kadang suka melakukan hal-hal yang dapat dipuji oleh orang lain.</v>
      </c>
      <c r="BV68" s="95" t="str">
        <f>IFERROR(__xludf.DUMMYFUNCTION("""COMPUTED_VALUE"""),"B Saya ingin teman-teman dengan gembira memberikan pertolongan kepada saya.")</f>
        <v>B Saya ingin teman-teman dengan gembira memberikan pertolongan kepada saya.</v>
      </c>
      <c r="BW68" s="95" t="str">
        <f>IFERROR(__xludf.DUMMYFUNCTION("""COMPUTED_VALUE"""),"B Saya ingin diperlakukan dengan baik oleh teman-teman saya.")</f>
        <v>B Saya ingin diperlakukan dengan baik oleh teman-teman saya.</v>
      </c>
      <c r="BX68" s="95" t="str">
        <f>IFERROR(__xludf.DUMMYFUNCTION("""COMPUTED_VALUE"""),"B Saya kadang-kadang suka melakukan hal-hal yang dapat dipuji oleh orang lain.")</f>
        <v>B Saya kadang-kadang suka melakukan hal-hal yang dapat dipuji oleh orang lain.</v>
      </c>
      <c r="BY68" s="95" t="str">
        <f>IFERROR(__xludf.DUMMYFUNCTION("""COMPUTED_VALUE"""),"A Saya suka melamun atau membayangkan hal-hal yang tidak jelas.")</f>
        <v>A Saya suka melamun atau membayangkan hal-hal yang tidak jelas.</v>
      </c>
      <c r="BZ68" s="95" t="str">
        <f>IFERROR(__xludf.DUMMYFUNCTION("""COMPUTED_VALUE"""),"A Saya suka berkata yang artinya sulit dipahami oleh orang lain.")</f>
        <v>A Saya suka berkata yang artinya sulit dipahami oleh orang lain.</v>
      </c>
      <c r="CA68" s="95" t="str">
        <f>IFERROR(__xludf.DUMMYFUNCTION("""COMPUTED_VALUE"""),"A Saya ingin teman-teman dengan gembira memberikan pertolongan kepada saya.")</f>
        <v>A Saya ingin teman-teman dengan gembira memberikan pertolongan kepada saya.</v>
      </c>
      <c r="CB68" s="95" t="str">
        <f>IFERROR(__xludf.DUMMYFUNCTION("""COMPUTED_VALUE"""),"A Saya suka menghindar dari tanggung jawab yang tidak saya inginkan.")</f>
        <v>A Saya suka menghindar dari tanggung jawab yang tidak saya inginkan.</v>
      </c>
      <c r="CC68" s="95" t="str">
        <f>IFERROR(__xludf.DUMMYFUNCTION("""COMPUTED_VALUE"""),"A Apabila saya berkumpul dalam kelompok, saya ingin dihargai teman-teman.")</f>
        <v>A Apabila saya berkumpul dalam kelompok, saya ingin dihargai teman-teman.</v>
      </c>
      <c r="CD68" s="95" t="str">
        <f>IFERROR(__xludf.DUMMYFUNCTION("""COMPUTED_VALUE"""),"A Saya suka menyelesaikan setiap tugas meskipun membutuhkan waktu lama.")</f>
        <v>A Saya suka menyelesaikan setiap tugas meskipun membutuhkan waktu lama.</v>
      </c>
      <c r="CE68" s="95" t="str">
        <f>IFERROR(__xludf.DUMMYFUNCTION("""COMPUTED_VALUE"""),"B Saya kadang-kadang suka melakukan hal-hal yang dapat dipuji oleh orang lain.")</f>
        <v>B Saya kadang-kadang suka melakukan hal-hal yang dapat dipuji oleh orang lain.</v>
      </c>
      <c r="CF68" s="95" t="str">
        <f>IFERROR(__xludf.DUMMYFUNCTION("""COMPUTED_VALUE"""),"A Saya ingin agar hidup saya teratur sesuai cita-cita saya.")</f>
        <v>A Saya ingin agar hidup saya teratur sesuai cita-cita saya.</v>
      </c>
      <c r="CG68" s="95" t="str">
        <f>IFERROR(__xludf.DUMMYFUNCTION("""COMPUTED_VALUE"""),"A Saya ingin berhasil dalam apa yang saya lakukan.")</f>
        <v>A Saya ingin berhasil dalam apa yang saya lakukan.</v>
      </c>
      <c r="CH68" s="95" t="str">
        <f>IFERROR(__xludf.DUMMYFUNCTION("""COMPUTED_VALUE"""),"A Saya ingin bisa melakukan dengan baik sesuatu pekerjaan sulit.")</f>
        <v>A Saya ingin bisa melakukan dengan baik sesuatu pekerjaan sulit.</v>
      </c>
      <c r="CI68" s="95" t="str">
        <f>IFERROR(__xludf.DUMMYFUNCTION("""COMPUTED_VALUE"""),"A Saya suka belajar saya teratur dan ada waktu-waktu tertentu untuk belajar.")</f>
        <v>A Saya suka belajar saya teratur dan ada waktu-waktu tertentu untuk belajar.</v>
      </c>
      <c r="CJ68" s="95" t="str">
        <f>IFERROR(__xludf.DUMMYFUNCTION("""COMPUTED_VALUE"""),"A Saya ingin tidak tergantung dari orang lain terhadap apa yang akan saya lakukan.")</f>
        <v>A Saya ingin tidak tergantung dari orang lain terhadap apa yang akan saya lakukan.</v>
      </c>
      <c r="CK68" s="95" t="str">
        <f>IFERROR(__xludf.DUMMYFUNCTION("""COMPUTED_VALUE"""),"B Saya senang ikut beraktivitas bersama teman sebaya saya.")</f>
        <v>B Saya senang ikut beraktivitas bersama teman sebaya saya.</v>
      </c>
      <c r="CL68" s="95" t="str">
        <f>IFERROR(__xludf.DUMMYFUNCTION("""COMPUTED_VALUE"""),"A Saya suka menolong teman-teman saya, apabila mereka dalam kesulitan.")</f>
        <v>A Saya suka menolong teman-teman saya, apabila mereka dalam kesulitan.</v>
      </c>
      <c r="CM68" s="95" t="str">
        <f>IFERROR(__xludf.DUMMYFUNCTION("""COMPUTED_VALUE"""),"B Saya merasa kagum pada seseorang.")</f>
        <v>B Saya merasa kagum pada seseorang.</v>
      </c>
      <c r="CN68" s="95" t="str">
        <f>IFERROR(__xludf.DUMMYFUNCTION("""COMPUTED_VALUE"""),"A Saya ingin diperlakukan dengan baik oleh teman-teman saya.")</f>
        <v>A Saya ingin diperlakukan dengan baik oleh teman-teman saya.</v>
      </c>
      <c r="CO68" s="95" t="str">
        <f>IFERROR(__xludf.DUMMYFUNCTION("""COMPUTED_VALUE"""),"B Saya suka memuji orang yang saya kagumi.")</f>
        <v>B Saya suka memuji orang yang saya kagumi.</v>
      </c>
      <c r="CP68" s="95" t="str">
        <f>IFERROR(__xludf.DUMMYFUNCTION("""COMPUTED_VALUE"""),"A Saya suka melamun atau membayangkan sesuatu sendirian.")</f>
        <v>A Saya suka melamun atau membayangkan sesuatu sendirian.</v>
      </c>
      <c r="CQ68" s="95" t="str">
        <f>IFERROR(__xludf.DUMMYFUNCTION("""COMPUTED_VALUE"""),"B Saya merasa kagum pada seseorang.")</f>
        <v>B Saya merasa kagum pada seseorang.</v>
      </c>
      <c r="CR68" s="95" t="str">
        <f>IFERROR(__xludf.DUMMYFUNCTION("""COMPUTED_VALUE"""),"A Saya ingin memperolok-olok orang yang saya anggap melakukan tindakan bodoh.")</f>
        <v>A Saya ingin memperolok-olok orang yang saya anggap melakukan tindakan bodoh.</v>
      </c>
      <c r="CS68" s="95" t="str">
        <f>IFERROR(__xludf.DUMMYFUNCTION("""COMPUTED_VALUE"""),"A Saya ingin terlihat menarik di depan teman-teman saya.")</f>
        <v>A Saya ingin terlihat menarik di depan teman-teman saya.</v>
      </c>
      <c r="CT68" s="95" t="str">
        <f>IFERROR(__xludf.DUMMYFUNCTION("""COMPUTED_VALUE"""),"A Saya ingin orang-orang memperhatikan komentar mengenai penampilan saya.")</f>
        <v>A Saya ingin orang-orang memperhatikan komentar mengenai penampilan saya.</v>
      </c>
      <c r="CU68" s="95" t="str">
        <f>IFERROR(__xludf.DUMMYFUNCTION("""COMPUTED_VALUE"""),"A Saya ingin diperlakukan dengan ramah oleh teman-teman saya.")</f>
        <v>A Saya ingin diperlakukan dengan ramah oleh teman-teman saya.</v>
      </c>
      <c r="CV68" s="95" t="str">
        <f>IFERROR(__xludf.DUMMYFUNCTION("""COMPUTED_VALUE"""),"A Saya ingin ditunjuk atau dipilih sebagai ketua dalam suatu kelompok.")</f>
        <v>A Saya ingin ditunjuk atau dipilih sebagai ketua dalam suatu kelompok.</v>
      </c>
      <c r="CW68" s="95" t="str">
        <f>IFERROR(__xludf.DUMMYFUNCTION("""COMPUTED_VALUE"""),"A Saya suka menolong teman-teman saya, apabila mereka dalam kesulitan.")</f>
        <v>A Saya suka menolong teman-teman saya, apabila mereka dalam kesulitan.</v>
      </c>
      <c r="CX68" s="95" t="str">
        <f>IFERROR(__xludf.DUMMYFUNCTION("""COMPUTED_VALUE"""),"B Saya ingin memperolok-olok orang yang saya anggap melakukan tindakan bodoh.")</f>
        <v>B Saya ingin memperolok-olok orang yang saya anggap melakukan tindakan bodoh.</v>
      </c>
      <c r="CY68" s="95" t="str">
        <f>IFERROR(__xludf.DUMMYFUNCTION("""COMPUTED_VALUE"""),"A Saya ingin tidak tergantung dari orang lain terhadap apa yang akan saya lakukan.")</f>
        <v>A Saya ingin tidak tergantung dari orang lain terhadap apa yang akan saya lakukan.</v>
      </c>
      <c r="CZ68" s="95" t="str">
        <f>IFERROR(__xludf.DUMMYFUNCTION("""COMPUTED_VALUE"""),"A Saya suka merencanakan dan mengatur setiap pekerjaan yang harus saya lakukan.")</f>
        <v>A Saya suka merencanakan dan mengatur setiap pekerjaan yang harus saya lakukan.</v>
      </c>
      <c r="DA68" s="95" t="str">
        <f>IFERROR(__xludf.DUMMYFUNCTION("""COMPUTED_VALUE"""),"A Saya ingin melakukan apa saja sebaik mungkin.")</f>
        <v>A Saya ingin melakukan apa saja sebaik mungkin.</v>
      </c>
      <c r="DB68" s="89" t="s">
        <v>23</v>
      </c>
      <c r="DC68" s="97" t="str">
        <f t="shared" ref="DC68:GX68" si="113">LEFT(F68,1)</f>
        <v>B</v>
      </c>
      <c r="DD68" s="97" t="str">
        <f t="shared" si="113"/>
        <v>A</v>
      </c>
      <c r="DE68" s="97" t="str">
        <f t="shared" si="113"/>
        <v>B</v>
      </c>
      <c r="DF68" s="97" t="str">
        <f t="shared" si="113"/>
        <v>B</v>
      </c>
      <c r="DG68" s="97" t="str">
        <f t="shared" si="113"/>
        <v>A</v>
      </c>
      <c r="DH68" s="97" t="str">
        <f t="shared" si="113"/>
        <v>B</v>
      </c>
      <c r="DI68" s="97" t="str">
        <f t="shared" si="113"/>
        <v>B</v>
      </c>
      <c r="DJ68" s="97" t="str">
        <f t="shared" si="113"/>
        <v>B</v>
      </c>
      <c r="DK68" s="97" t="str">
        <f t="shared" si="113"/>
        <v>B</v>
      </c>
      <c r="DL68" s="97" t="str">
        <f t="shared" si="113"/>
        <v>B</v>
      </c>
      <c r="DM68" s="97" t="str">
        <f t="shared" si="113"/>
        <v>A</v>
      </c>
      <c r="DN68" s="97" t="str">
        <f t="shared" si="113"/>
        <v>B</v>
      </c>
      <c r="DO68" s="97" t="str">
        <f t="shared" si="113"/>
        <v>B</v>
      </c>
      <c r="DP68" s="97" t="str">
        <f t="shared" si="113"/>
        <v>B</v>
      </c>
      <c r="DQ68" s="97" t="str">
        <f t="shared" si="113"/>
        <v>B</v>
      </c>
      <c r="DR68" s="97" t="str">
        <f t="shared" si="113"/>
        <v>B</v>
      </c>
      <c r="DS68" s="97" t="str">
        <f t="shared" si="113"/>
        <v>B</v>
      </c>
      <c r="DT68" s="97" t="str">
        <f t="shared" si="113"/>
        <v>A</v>
      </c>
      <c r="DU68" s="97" t="str">
        <f t="shared" si="113"/>
        <v>B</v>
      </c>
      <c r="DV68" s="97" t="str">
        <f t="shared" si="113"/>
        <v>A</v>
      </c>
      <c r="DW68" s="97" t="str">
        <f t="shared" si="113"/>
        <v>A</v>
      </c>
      <c r="DX68" s="97" t="str">
        <f t="shared" si="113"/>
        <v>B</v>
      </c>
      <c r="DY68" s="97" t="str">
        <f t="shared" si="113"/>
        <v>B</v>
      </c>
      <c r="DZ68" s="97" t="str">
        <f t="shared" si="113"/>
        <v>B</v>
      </c>
      <c r="EA68" s="97" t="str">
        <f t="shared" si="113"/>
        <v>A</v>
      </c>
      <c r="EB68" s="97" t="str">
        <f t="shared" si="113"/>
        <v>A</v>
      </c>
      <c r="EC68" s="97" t="str">
        <f t="shared" si="113"/>
        <v>B</v>
      </c>
      <c r="ED68" s="97" t="str">
        <f t="shared" si="113"/>
        <v>B</v>
      </c>
      <c r="EE68" s="97" t="str">
        <f t="shared" si="113"/>
        <v>A</v>
      </c>
      <c r="EF68" s="97" t="str">
        <f t="shared" si="113"/>
        <v>B</v>
      </c>
      <c r="EG68" s="97" t="str">
        <f t="shared" si="113"/>
        <v>B</v>
      </c>
      <c r="EH68" s="97" t="str">
        <f t="shared" si="113"/>
        <v>B</v>
      </c>
      <c r="EI68" s="97" t="str">
        <f t="shared" si="113"/>
        <v>B</v>
      </c>
      <c r="EJ68" s="97" t="str">
        <f t="shared" si="113"/>
        <v>A</v>
      </c>
      <c r="EK68" s="97" t="str">
        <f t="shared" si="113"/>
        <v>B</v>
      </c>
      <c r="EL68" s="97" t="str">
        <f t="shared" si="113"/>
        <v>A</v>
      </c>
      <c r="EM68" s="97" t="str">
        <f t="shared" si="113"/>
        <v>A</v>
      </c>
      <c r="EN68" s="97" t="str">
        <f t="shared" si="113"/>
        <v>A</v>
      </c>
      <c r="EO68" s="97" t="str">
        <f t="shared" si="113"/>
        <v>A</v>
      </c>
      <c r="EP68" s="97" t="str">
        <f t="shared" si="113"/>
        <v>A</v>
      </c>
      <c r="EQ68" s="97" t="str">
        <f t="shared" si="113"/>
        <v>A</v>
      </c>
      <c r="ER68" s="97" t="str">
        <f t="shared" si="113"/>
        <v>B</v>
      </c>
      <c r="ES68" s="97" t="str">
        <f t="shared" si="113"/>
        <v>B</v>
      </c>
      <c r="ET68" s="97" t="str">
        <f t="shared" si="113"/>
        <v>A</v>
      </c>
      <c r="EU68" s="97" t="str">
        <f t="shared" si="113"/>
        <v>A</v>
      </c>
      <c r="EV68" s="97" t="str">
        <f t="shared" si="113"/>
        <v>B</v>
      </c>
      <c r="EW68" s="97" t="str">
        <f t="shared" si="113"/>
        <v>A</v>
      </c>
      <c r="EX68" s="97" t="str">
        <f t="shared" si="113"/>
        <v>B</v>
      </c>
      <c r="EY68" s="97" t="str">
        <f t="shared" si="113"/>
        <v>A</v>
      </c>
      <c r="EZ68" s="97" t="str">
        <f t="shared" si="113"/>
        <v>B</v>
      </c>
      <c r="FA68" s="97" t="str">
        <f t="shared" si="113"/>
        <v>B</v>
      </c>
      <c r="FB68" s="97" t="str">
        <f t="shared" si="113"/>
        <v>A</v>
      </c>
      <c r="FC68" s="97" t="str">
        <f t="shared" si="113"/>
        <v>B</v>
      </c>
      <c r="FD68" s="97" t="str">
        <f t="shared" si="113"/>
        <v>B</v>
      </c>
      <c r="FE68" s="97" t="str">
        <f t="shared" si="113"/>
        <v>B</v>
      </c>
      <c r="FF68" s="97" t="str">
        <f t="shared" si="113"/>
        <v>A</v>
      </c>
      <c r="FG68" s="97" t="str">
        <f t="shared" si="113"/>
        <v>A</v>
      </c>
      <c r="FH68" s="97" t="str">
        <f t="shared" si="113"/>
        <v>A</v>
      </c>
      <c r="FI68" s="97" t="str">
        <f t="shared" si="113"/>
        <v>A</v>
      </c>
      <c r="FJ68" s="97" t="str">
        <f t="shared" si="113"/>
        <v>A</v>
      </c>
      <c r="FK68" s="97" t="str">
        <f t="shared" si="113"/>
        <v>A</v>
      </c>
      <c r="FL68" s="97" t="str">
        <f t="shared" si="113"/>
        <v>B</v>
      </c>
      <c r="FM68" s="97" t="str">
        <f t="shared" si="113"/>
        <v>A</v>
      </c>
      <c r="FN68" s="97" t="str">
        <f t="shared" si="113"/>
        <v>A</v>
      </c>
      <c r="FO68" s="97" t="str">
        <f t="shared" si="113"/>
        <v>B</v>
      </c>
      <c r="FP68" s="97" t="str">
        <f t="shared" si="113"/>
        <v>B</v>
      </c>
      <c r="FQ68" s="97" t="str">
        <f t="shared" si="113"/>
        <v>B</v>
      </c>
      <c r="FR68" s="97" t="str">
        <f t="shared" si="113"/>
        <v>A</v>
      </c>
      <c r="FS68" s="97" t="str">
        <f t="shared" si="113"/>
        <v>B</v>
      </c>
      <c r="FT68" s="97" t="str">
        <f t="shared" si="113"/>
        <v>B</v>
      </c>
      <c r="FU68" s="97" t="str">
        <f t="shared" si="113"/>
        <v>B</v>
      </c>
      <c r="FV68" s="97" t="str">
        <f t="shared" si="113"/>
        <v>A</v>
      </c>
      <c r="FW68" s="97" t="str">
        <f t="shared" si="113"/>
        <v>A</v>
      </c>
      <c r="FX68" s="97" t="str">
        <f t="shared" si="113"/>
        <v>A</v>
      </c>
      <c r="FY68" s="97" t="str">
        <f t="shared" si="113"/>
        <v>A</v>
      </c>
      <c r="FZ68" s="97" t="str">
        <f t="shared" si="113"/>
        <v>A</v>
      </c>
      <c r="GA68" s="97" t="str">
        <f t="shared" si="113"/>
        <v>A</v>
      </c>
      <c r="GB68" s="97" t="str">
        <f t="shared" si="113"/>
        <v>B</v>
      </c>
      <c r="GC68" s="97" t="str">
        <f t="shared" si="113"/>
        <v>A</v>
      </c>
      <c r="GD68" s="97" t="str">
        <f t="shared" si="113"/>
        <v>A</v>
      </c>
      <c r="GE68" s="97" t="str">
        <f t="shared" si="113"/>
        <v>A</v>
      </c>
      <c r="GF68" s="97" t="str">
        <f t="shared" si="113"/>
        <v>A</v>
      </c>
      <c r="GG68" s="97" t="str">
        <f t="shared" si="113"/>
        <v>A</v>
      </c>
      <c r="GH68" s="97" t="str">
        <f t="shared" si="113"/>
        <v>B</v>
      </c>
      <c r="GI68" s="97" t="str">
        <f t="shared" si="113"/>
        <v>A</v>
      </c>
      <c r="GJ68" s="97" t="str">
        <f t="shared" si="113"/>
        <v>B</v>
      </c>
      <c r="GK68" s="97" t="str">
        <f t="shared" si="113"/>
        <v>A</v>
      </c>
      <c r="GL68" s="97" t="str">
        <f t="shared" si="113"/>
        <v>B</v>
      </c>
      <c r="GM68" s="97" t="str">
        <f t="shared" si="113"/>
        <v>A</v>
      </c>
      <c r="GN68" s="97" t="str">
        <f t="shared" si="113"/>
        <v>B</v>
      </c>
      <c r="GO68" s="97" t="str">
        <f t="shared" si="113"/>
        <v>A</v>
      </c>
      <c r="GP68" s="97" t="str">
        <f t="shared" si="113"/>
        <v>A</v>
      </c>
      <c r="GQ68" s="97" t="str">
        <f t="shared" si="113"/>
        <v>A</v>
      </c>
      <c r="GR68" s="97" t="str">
        <f t="shared" si="113"/>
        <v>A</v>
      </c>
      <c r="GS68" s="97" t="str">
        <f t="shared" si="113"/>
        <v>A</v>
      </c>
      <c r="GT68" s="97" t="str">
        <f t="shared" si="113"/>
        <v>A</v>
      </c>
      <c r="GU68" s="97" t="str">
        <f t="shared" si="113"/>
        <v>B</v>
      </c>
      <c r="GV68" s="97" t="str">
        <f t="shared" si="113"/>
        <v>A</v>
      </c>
      <c r="GW68" s="97" t="str">
        <f t="shared" si="113"/>
        <v>A</v>
      </c>
      <c r="GX68" s="97" t="str">
        <f t="shared" si="113"/>
        <v>A</v>
      </c>
      <c r="GY68" s="98"/>
      <c r="GZ68" s="97">
        <f t="shared" si="3"/>
        <v>53</v>
      </c>
      <c r="HA68" s="97">
        <f t="shared" si="4"/>
        <v>47</v>
      </c>
      <c r="HB68" s="90">
        <f t="shared" si="5"/>
        <v>100</v>
      </c>
      <c r="HC68" s="99"/>
      <c r="HD68" s="97">
        <f t="shared" si="6"/>
        <v>9</v>
      </c>
      <c r="HE68" s="97">
        <f t="shared" si="7"/>
        <v>7</v>
      </c>
      <c r="HF68" s="90">
        <f t="shared" si="8"/>
        <v>16</v>
      </c>
      <c r="HG68" s="99"/>
      <c r="HH68" s="97">
        <f t="shared" si="9"/>
        <v>6</v>
      </c>
      <c r="HI68" s="97">
        <f t="shared" si="10"/>
        <v>7</v>
      </c>
      <c r="HJ68" s="90">
        <f t="shared" si="11"/>
        <v>13</v>
      </c>
      <c r="HK68" s="99"/>
      <c r="HL68" s="97">
        <f t="shared" si="12"/>
        <v>6</v>
      </c>
      <c r="HM68" s="97">
        <f t="shared" si="13"/>
        <v>6</v>
      </c>
      <c r="HN68" s="90">
        <f t="shared" si="14"/>
        <v>12</v>
      </c>
      <c r="HO68" s="99"/>
      <c r="HP68" s="97">
        <f t="shared" si="15"/>
        <v>4</v>
      </c>
      <c r="HQ68" s="97">
        <f t="shared" si="16"/>
        <v>4</v>
      </c>
      <c r="HR68" s="90">
        <f t="shared" si="17"/>
        <v>8</v>
      </c>
      <c r="HS68" s="99"/>
      <c r="HT68" s="97">
        <f t="shared" si="18"/>
        <v>7</v>
      </c>
      <c r="HU68" s="97">
        <f t="shared" si="19"/>
        <v>5</v>
      </c>
      <c r="HV68" s="90">
        <f t="shared" si="20"/>
        <v>12</v>
      </c>
      <c r="HW68" s="99"/>
      <c r="HX68" s="97">
        <f t="shared" si="21"/>
        <v>3</v>
      </c>
      <c r="HY68" s="97">
        <f t="shared" si="22"/>
        <v>4</v>
      </c>
      <c r="HZ68" s="90">
        <f t="shared" si="23"/>
        <v>7</v>
      </c>
      <c r="IA68" s="99"/>
      <c r="IB68" s="97">
        <f t="shared" si="24"/>
        <v>5</v>
      </c>
      <c r="IC68" s="97">
        <f t="shared" si="25"/>
        <v>6</v>
      </c>
      <c r="ID68" s="90">
        <f t="shared" si="26"/>
        <v>11</v>
      </c>
      <c r="IE68" s="99"/>
      <c r="IF68" s="97">
        <f t="shared" si="27"/>
        <v>2</v>
      </c>
      <c r="IG68" s="97">
        <f t="shared" si="28"/>
        <v>2</v>
      </c>
      <c r="IH68" s="90">
        <f t="shared" si="29"/>
        <v>4</v>
      </c>
      <c r="II68" s="99"/>
      <c r="IJ68" s="97">
        <f t="shared" si="30"/>
        <v>5</v>
      </c>
      <c r="IK68" s="97">
        <f t="shared" si="31"/>
        <v>4</v>
      </c>
      <c r="IL68" s="90">
        <f t="shared" si="32"/>
        <v>9</v>
      </c>
      <c r="IM68" s="99"/>
      <c r="IN68" s="97">
        <f t="shared" si="33"/>
        <v>1</v>
      </c>
      <c r="IO68" s="97">
        <f t="shared" si="34"/>
        <v>1</v>
      </c>
      <c r="IP68" s="90">
        <f t="shared" si="35"/>
        <v>2</v>
      </c>
      <c r="IQ68" s="99"/>
      <c r="IR68" s="99"/>
      <c r="IS68" s="100">
        <f t="shared" si="36"/>
        <v>16</v>
      </c>
      <c r="IT68" s="100">
        <f t="shared" si="37"/>
        <v>13</v>
      </c>
      <c r="IU68" s="100">
        <f t="shared" si="38"/>
        <v>12</v>
      </c>
      <c r="IV68" s="100">
        <f t="shared" si="39"/>
        <v>8</v>
      </c>
      <c r="IW68" s="100">
        <f t="shared" si="40"/>
        <v>12</v>
      </c>
      <c r="IX68" s="100">
        <f t="shared" si="41"/>
        <v>7</v>
      </c>
      <c r="IY68" s="100">
        <f t="shared" si="42"/>
        <v>11</v>
      </c>
      <c r="IZ68" s="100">
        <f t="shared" si="43"/>
        <v>4</v>
      </c>
      <c r="JA68" s="100">
        <f t="shared" si="44"/>
        <v>9</v>
      </c>
      <c r="JB68" s="101">
        <f t="shared" si="45"/>
        <v>2</v>
      </c>
      <c r="JC68" s="102">
        <f t="shared" si="46"/>
        <v>94</v>
      </c>
      <c r="JD68" s="67">
        <f t="shared" si="50"/>
        <v>0</v>
      </c>
      <c r="JE68" s="67">
        <f t="shared" si="47"/>
        <v>1</v>
      </c>
      <c r="JF68" s="67">
        <f t="shared" si="48"/>
        <v>1</v>
      </c>
    </row>
    <row r="69">
      <c r="A69" s="103">
        <f>IFERROR(__xludf.DUMMYFUNCTION("""COMPUTED_VALUE"""),45935.42874311343)</f>
        <v>45935.42874</v>
      </c>
      <c r="B69" s="95" t="str">
        <f>IFERROR(__xludf.DUMMYFUNCTION("""COMPUTED_VALUE"""),"RUWAIFI")</f>
        <v>RUWAIFI</v>
      </c>
      <c r="C69" s="96" t="str">
        <f>IFERROR(__xludf.DUMMYFUNCTION("""COMPUTED_VALUE"""),"A250071")</f>
        <v>A250071</v>
      </c>
      <c r="D69" s="96" t="str">
        <f>IFERROR(__xludf.DUMMYFUNCTION("""COMPUTED_VALUE"""),"MTs Putra")</f>
        <v>MTs Putra</v>
      </c>
      <c r="E69" s="96" t="str">
        <f>IFERROR(__xludf.DUMMYFUNCTION("""COMPUTED_VALUE"""),"Ya")</f>
        <v>Ya</v>
      </c>
      <c r="F69" s="95" t="str">
        <f>IFERROR(__xludf.DUMMYFUNCTION("""COMPUTED_VALUE"""),"B Saya ingin melakukan apa saja sebaik mungkin.")</f>
        <v>B Saya ingin melakukan apa saja sebaik mungkin.</v>
      </c>
      <c r="G69" s="95" t="str">
        <f>IFERROR(__xludf.DUMMYFUNCTION("""COMPUTED_VALUE"""),"A Saya ingin setiap tulisan saya teliti, rapi, dan tersusun dengan baik.")</f>
        <v>A Saya ingin setiap tulisan saya teliti, rapi, dan tersusun dengan baik.</v>
      </c>
      <c r="H69" s="95" t="str">
        <f>IFERROR(__xludf.DUMMYFUNCTION("""COMPUTED_VALUE"""),"B Saya ingin menjadi orang yang diakui dalam suatu pekerjaan atau bidang khusus.")</f>
        <v>B Saya ingin menjadi orang yang diakui dalam suatu pekerjaan atau bidang khusus.</v>
      </c>
      <c r="I69" s="95" t="str">
        <f>IFERROR(__xludf.DUMMYFUNCTION("""COMPUTED_VALUE"""),"A Saya suka belajar keras pada tiap pelajaran yang saya hadapi.")</f>
        <v>A Saya suka belajar keras pada tiap pelajaran yang saya hadapi.</v>
      </c>
      <c r="J69" s="95" t="str">
        <f>IFERROR(__xludf.DUMMYFUNCTION("""COMPUTED_VALUE"""),"A Saya suka membantu teman-teman saya apabila mereka mengalami kesulitan.")</f>
        <v>A Saya suka membantu teman-teman saya apabila mereka mengalami kesulitan.</v>
      </c>
      <c r="K69" s="95" t="str">
        <f>IFERROR(__xludf.DUMMYFUNCTION("""COMPUTED_VALUE"""),"A Saya ingin menjadi pemimpin dalam suatu kelompok.")</f>
        <v>A Saya ingin menjadi pemimpin dalam suatu kelompok.</v>
      </c>
      <c r="L69" s="95" t="str">
        <f>IFERROR(__xludf.DUMMYFUNCTION("""COMPUTED_VALUE"""),"A Saya ingin menjadi pemimpin dalam suatu kelompok")</f>
        <v>A Saya ingin menjadi pemimpin dalam suatu kelompok</v>
      </c>
      <c r="M69" s="95" t="str">
        <f>IFERROR(__xludf.DUMMYFUNCTION("""COMPUTED_VALUE"""),"B Saya ingin mengerjakan segala tugas lebih baik daripada orang lain.")</f>
        <v>B Saya ingin mengerjakan segala tugas lebih baik daripada orang lain.</v>
      </c>
      <c r="N69" s="95" t="str">
        <f>IFERROR(__xludf.DUMMYFUNCTION("""COMPUTED_VALUE"""),"A Saya suka pergi dengan pakaian rapi agar lebih menarik perhatian orang lain.")</f>
        <v>A Saya suka pergi dengan pakaian rapi agar lebih menarik perhatian orang lain.</v>
      </c>
      <c r="O69" s="95" t="str">
        <f>IFERROR(__xludf.DUMMYFUNCTION("""COMPUTED_VALUE"""),"A Saya marah saat ada teman memperolok-olok hal-hal yang saya anggap bodoh.")</f>
        <v>A Saya marah saat ada teman memperolok-olok hal-hal yang saya anggap bodoh.</v>
      </c>
      <c r="P69" s="95" t="str">
        <f>IFERROR(__xludf.DUMMYFUNCTION("""COMPUTED_VALUE"""),"B Saya ingin setiap belajar itu teratur dan direncanakan.")</f>
        <v>B Saya ingin setiap belajar itu teratur dan direncanakan.</v>
      </c>
      <c r="Q69" s="95" t="str">
        <f>IFERROR(__xludf.DUMMYFUNCTION("""COMPUTED_VALUE"""),"B Saya merencanakan keperluan yang dibutuhkan sebelum bepergian.")</f>
        <v>B Saya merencanakan keperluan yang dibutuhkan sebelum bepergian.</v>
      </c>
      <c r="R69" s="95" t="str">
        <f>IFERROR(__xludf.DUMMYFUNCTION("""COMPUTED_VALUE"""),"B Saya suka barang-barang saya tersusun rapi dan teratur.")</f>
        <v>B Saya suka barang-barang saya tersusun rapi dan teratur.</v>
      </c>
      <c r="S69" s="95" t="str">
        <f>IFERROR(__xludf.DUMMYFUNCTION("""COMPUTED_VALUE"""),"A Saya ingin agar teman-teman pengertian bila saya mengalami kesukaran.")</f>
        <v>A Saya ingin agar teman-teman pengertian bila saya mengalami kesukaran.</v>
      </c>
      <c r="T69" s="95" t="str">
        <f>IFERROR(__xludf.DUMMYFUNCTION("""COMPUTED_VALUE"""),"B Saya ingin agar hidup saya teratur sesuai cita-cita saya.")</f>
        <v>B Saya ingin agar hidup saya teratur sesuai cita-cita saya.</v>
      </c>
      <c r="U69" s="95" t="str">
        <f>IFERROR(__xludf.DUMMYFUNCTION("""COMPUTED_VALUE"""),"A Saya suka memberikan bantuan kepada teman-teman saya.")</f>
        <v>A Saya suka memberikan bantuan kepada teman-teman saya.</v>
      </c>
      <c r="V69" s="95" t="str">
        <f>IFERROR(__xludf.DUMMYFUNCTION("""COMPUTED_VALUE"""),"B Saya suka belajar saya teratur dan ada waktu-waktu tertentu untuk belajar.")</f>
        <v>B Saya suka belajar saya teratur dan ada waktu-waktu tertentu untuk belajar.</v>
      </c>
      <c r="W69" s="95" t="str">
        <f>IFERROR(__xludf.DUMMYFUNCTION("""COMPUTED_VALUE"""),"B Saya ingin kegiatan itu teratur dan direncanakan.")</f>
        <v>B Saya ingin kegiatan itu teratur dan direncanakan.</v>
      </c>
      <c r="X69" s="95" t="str">
        <f>IFERROR(__xludf.DUMMYFUNCTION("""COMPUTED_VALUE"""),"B Saya ingin agar hidup saya teratur sesuai cita-cita saya.")</f>
        <v>B Saya ingin agar hidup saya teratur sesuai cita-cita saya.</v>
      </c>
      <c r="Y69" s="95" t="str">
        <f>IFERROR(__xludf.DUMMYFUNCTION("""COMPUTED_VALUE"""),"B Saya senang merencanakan untuk masa depan.")</f>
        <v>B Saya senang merencanakan untuk masa depan.</v>
      </c>
      <c r="Z69" s="95" t="str">
        <f>IFERROR(__xludf.DUMMYFUNCTION("""COMPUTED_VALUE"""),"B Saya ingin merasa bebas untuk melakukan apa yang saya inginkan.")</f>
        <v>B Saya ingin merasa bebas untuk melakukan apa yang saya inginkan.</v>
      </c>
      <c r="AA69" s="95" t="str">
        <f>IFERROR(__xludf.DUMMYFUNCTION("""COMPUTED_VALUE"""),"B Saya tidak suka pada orang yang berbuat seenaknya sendiri.")</f>
        <v>B Saya tidak suka pada orang yang berbuat seenaknya sendiri.</v>
      </c>
      <c r="AB69" s="95" t="str">
        <f>IFERROR(__xludf.DUMMYFUNCTION("""COMPUTED_VALUE"""),"B Saya ingin menyelesaikan pekerjaan satu persatu sebelum memulai yang lain.")</f>
        <v>B Saya ingin menyelesaikan pekerjaan satu persatu sebelum memulai yang lain.</v>
      </c>
      <c r="AC69" s="95" t="str">
        <f>IFERROR(__xludf.DUMMYFUNCTION("""COMPUTED_VALUE"""),"B Saya suka melakukan kegiatan sesuai kondisi yang saya inginkan.")</f>
        <v>B Saya suka melakukan kegiatan sesuai kondisi yang saya inginkan.</v>
      </c>
      <c r="AD69" s="95" t="str">
        <f>IFERROR(__xludf.DUMMYFUNCTION("""COMPUTED_VALUE"""),"A Saya suka bermurah hati terhadap teman-teman saya.")</f>
        <v>A Saya suka bermurah hati terhadap teman-teman saya.</v>
      </c>
      <c r="AE69" s="95" t="str">
        <f>IFERROR(__xludf.DUMMYFUNCTION("""COMPUTED_VALUE"""),"A Saya ingin dianggap sebagai pemimpin oleh teman di kelompok.")</f>
        <v>A Saya ingin dianggap sebagai pemimpin oleh teman di kelompok.</v>
      </c>
      <c r="AF69" s="95" t="str">
        <f>IFERROR(__xludf.DUMMYFUNCTION("""COMPUTED_VALUE"""),"B Saya suka melakukan hal-hal dengan cara saya sendiri.")</f>
        <v>B Saya suka melakukan hal-hal dengan cara saya sendiri.</v>
      </c>
      <c r="AG69" s="95" t="str">
        <f>IFERROR(__xludf.DUMMYFUNCTION("""COMPUTED_VALUE"""),"A Saya mengajari orang lain bagaimana mereka harus melakukan pekerjaan mereka.")</f>
        <v>A Saya mengajari orang lain bagaimana mereka harus melakukan pekerjaan mereka.</v>
      </c>
      <c r="AH69" s="95" t="str">
        <f>IFERROR(__xludf.DUMMYFUNCTION("""COMPUTED_VALUE"""),"B Saya ingin merasa bebas untuk melakukan apa yang saya kehendaki.")</f>
        <v>B Saya ingin merasa bebas untuk melakukan apa yang saya kehendaki.</v>
      </c>
      <c r="AI69" s="95" t="str">
        <f>IFERROR(__xludf.DUMMYFUNCTION("""COMPUTED_VALUE"""),"B Saya suka melakukan kegiatan sesuai kondisi yang saya inginkan.")</f>
        <v>B Saya suka melakukan kegiatan sesuai kondisi yang saya inginkan.</v>
      </c>
      <c r="AJ69" s="95" t="str">
        <f>IFERROR(__xludf.DUMMYFUNCTION("""COMPUTED_VALUE"""),"A Saya rasanya ingin membalas dendam bila seseorang menghina saya.")</f>
        <v>A Saya rasanya ingin membalas dendam bila seseorang menghina saya.</v>
      </c>
      <c r="AK69" s="95" t="str">
        <f>IFERROR(__xludf.DUMMYFUNCTION("""COMPUTED_VALUE"""),"B Bila saya harus melakukan suatu tugas, saya ingin mengerjakan sampai selesai.")</f>
        <v>B Bila saya harus melakukan suatu tugas, saya ingin mengerjakan sampai selesai.</v>
      </c>
      <c r="AL69" s="95" t="str">
        <f>IFERROR(__xludf.DUMMYFUNCTION("""COMPUTED_VALUE"""),"A Saya suka berbicara tentang hal-hal yang telah saya capai.")</f>
        <v>A Saya suka berbicara tentang hal-hal yang telah saya capai.</v>
      </c>
      <c r="AM69" s="95" t="str">
        <f>IFERROR(__xludf.DUMMYFUNCTION("""COMPUTED_VALUE"""),"A Saya ingin teman-teman saya merasa kasihan pada saya apabila saya sakit.")</f>
        <v>A Saya ingin teman-teman saya merasa kasihan pada saya apabila saya sakit.</v>
      </c>
      <c r="AN69" s="95" t="str">
        <f>IFERROR(__xludf.DUMMYFUNCTION("""COMPUTED_VALUE"""),"A Saya tidak suka pada orang yang semena-mena.")</f>
        <v>A Saya tidak suka pada orang yang semena-mena.</v>
      </c>
      <c r="AO69" s="95" t="str">
        <f>IFERROR(__xludf.DUMMYFUNCTION("""COMPUTED_VALUE"""),"A Saya suka berlaku sangat ramah terhadap teman-teman saya.")</f>
        <v>A Saya suka berlaku sangat ramah terhadap teman-teman saya.</v>
      </c>
      <c r="AP69" s="95" t="str">
        <f>IFERROR(__xludf.DUMMYFUNCTION("""COMPUTED_VALUE"""),"B Saya suka bertahan menghadapi satu masalah meskipun belum tentu berhasil.")</f>
        <v>B Saya suka bertahan menghadapi satu masalah meskipun belum tentu berhasil.</v>
      </c>
      <c r="AQ69" s="95" t="str">
        <f>IFERROR(__xludf.DUMMYFUNCTION("""COMPUTED_VALUE"""),"B Bila saya harus melakukan suatu tugas, saya ingin mengerjakan sampai selesai.")</f>
        <v>B Bila saya harus melakukan suatu tugas, saya ingin mengerjakan sampai selesai.</v>
      </c>
      <c r="AR69" s="95" t="str">
        <f>IFERROR(__xludf.DUMMYFUNCTION("""COMPUTED_VALUE"""),"A Saya suka menyimpan catatan secara rapi.")</f>
        <v>A Saya suka menyimpan catatan secara rapi.</v>
      </c>
      <c r="AS69" s="95" t="str">
        <f>IFERROR(__xludf.DUMMYFUNCTION("""COMPUTED_VALUE"""),"A Saya ingin dapat menyelesaikan persoalan yang dianggap sukar bagi orang lain.")</f>
        <v>A Saya ingin dapat menyelesaikan persoalan yang dianggap sukar bagi orang lain.</v>
      </c>
      <c r="AT69" s="95" t="str">
        <f>IFERROR(__xludf.DUMMYFUNCTION("""COMPUTED_VALUE"""),"B Saya suka membantu orang lain yang menurut saya perlu dikasihani.")</f>
        <v>B Saya suka membantu orang lain yang menurut saya perlu dikasihani.</v>
      </c>
      <c r="AU69" s="95" t="str">
        <f>IFERROR(__xludf.DUMMYFUNCTION("""COMPUTED_VALUE"""),"B Saya suka bermurah hati terhadap teman-teman saya.")</f>
        <v>B Saya suka bermurah hati terhadap teman-teman saya.</v>
      </c>
      <c r="AV69" s="95" t="str">
        <f>IFERROR(__xludf.DUMMYFUNCTION("""COMPUTED_VALUE"""),"B Saya suka menolong teman-teman saya.")</f>
        <v>B Saya suka menolong teman-teman saya.</v>
      </c>
      <c r="AW69" s="95" t="str">
        <f>IFERROR(__xludf.DUMMYFUNCTION("""COMPUTED_VALUE"""),"B Saya ingin teman-teman saya percaya bahwa saya bisa menolong mereka.")</f>
        <v>B Saya ingin teman-teman saya percaya bahwa saya bisa menolong mereka.</v>
      </c>
      <c r="AX69" s="95" t="str">
        <f>IFERROR(__xludf.DUMMYFUNCTION("""COMPUTED_VALUE"""),"A Saya suka menolong teman-teman saya apabila mereka dalam kesulitan.")</f>
        <v>A Saya suka menolong teman-teman saya apabila mereka dalam kesulitan.</v>
      </c>
      <c r="AY69" s="95" t="str">
        <f>IFERROR(__xludf.DUMMYFUNCTION("""COMPUTED_VALUE"""),"A Saya rasanya ingin marah saat tidak sesuai dengan hati.")</f>
        <v>A Saya rasanya ingin marah saat tidak sesuai dengan hati.</v>
      </c>
      <c r="AZ69" s="95" t="str">
        <f>IFERROR(__xludf.DUMMYFUNCTION("""COMPUTED_VALUE"""),"A Saya ingin agar teman-teman saya bersimpati dan menghibur saya bila saya sedih.")</f>
        <v>A Saya ingin agar teman-teman saya bersimpati dan menghibur saya bila saya sedih.</v>
      </c>
      <c r="BA69" s="95" t="str">
        <f>IFERROR(__xludf.DUMMYFUNCTION("""COMPUTED_VALUE"""),"B Saya suka memperlakukan orang lain dengan baik dan ramah.")</f>
        <v>B Saya suka memperlakukan orang lain dengan baik dan ramah.</v>
      </c>
      <c r="BB69" s="95" t="str">
        <f>IFERROR(__xludf.DUMMYFUNCTION("""COMPUTED_VALUE"""),"A Saya berkeinginan untuk bersama orang yang menarik bagi saya.")</f>
        <v>A Saya berkeinginan untuk bersama orang yang menarik bagi saya.</v>
      </c>
      <c r="BC69" s="95" t="str">
        <f>IFERROR(__xludf.DUMMYFUNCTION("""COMPUTED_VALUE"""),"A Saya rasanya ingin mengecam seseorang bila orang itu menjengkelkan.")</f>
        <v>A Saya rasanya ingin mengecam seseorang bila orang itu menjengkelkan.</v>
      </c>
      <c r="BD69" s="95" t="str">
        <f>IFERROR(__xludf.DUMMYFUNCTION("""COMPUTED_VALUE"""),"A Saya rasanya ingin menyalahkan orang lain bila keadaan tidak baik bagi saya.")</f>
        <v>A Saya rasanya ingin menyalahkan orang lain bila keadaan tidak baik bagi saya.</v>
      </c>
      <c r="BE69" s="95" t="str">
        <f>IFERROR(__xludf.DUMMYFUNCTION("""COMPUTED_VALUE"""),"B Saya ingin orang lain melakukan apa yang saya kehendaki.")</f>
        <v>B Saya ingin orang lain melakukan apa yang saya kehendaki.</v>
      </c>
      <c r="BF69" s="95" t="str">
        <f>IFERROR(__xludf.DUMMYFUNCTION("""COMPUTED_VALUE"""),"B Bila saya dalam kelompok, saya ingin menentukan apa yang akan kita lakukan.")</f>
        <v>B Bila saya dalam kelompok, saya ingin menentukan apa yang akan kita lakukan.</v>
      </c>
      <c r="BG69" s="95" t="str">
        <f>IFERROR(__xludf.DUMMYFUNCTION("""COMPUTED_VALUE"""),"B Saya suka mengarahkan kepada orang lain apa yang harus dilakukan.")</f>
        <v>B Saya suka mengarahkan kepada orang lain apa yang harus dilakukan.</v>
      </c>
      <c r="BH69" s="95" t="str">
        <f>IFERROR(__xludf.DUMMYFUNCTION("""COMPUTED_VALUE"""),"B Apabila saya berkumpul dalam kelompok, saya ingin dihargai teman-teman.")</f>
        <v>B Apabila saya berkumpul dalam kelompok, saya ingin dihargai teman-teman.</v>
      </c>
      <c r="BI69" s="95" t="str">
        <f>IFERROR(__xludf.DUMMYFUNCTION("""COMPUTED_VALUE"""),"A Saya suka bermurah hati terhadap teman-teman saya.")</f>
        <v>A Saya suka bermurah hati terhadap teman-teman saya.</v>
      </c>
      <c r="BJ69" s="95" t="str">
        <f>IFERROR(__xludf.DUMMYFUNCTION("""COMPUTED_VALUE"""),"B Saya ingin menjadi pemimpin dalam kelompok di mana saya ada di situ")</f>
        <v>B Saya ingin menjadi pemimpin dalam kelompok di mana saya ada di situ</v>
      </c>
      <c r="BK69" s="95" t="str">
        <f>IFERROR(__xludf.DUMMYFUNCTION("""COMPUTED_VALUE"""),"B Saya senang untuk diminta menyelesaikan pertentangan-pertentangan.")</f>
        <v>B Saya senang untuk diminta menyelesaikan pertentangan-pertentangan.</v>
      </c>
      <c r="BL69" s="95" t="str">
        <f>IFERROR(__xludf.DUMMYFUNCTION("""COMPUTED_VALUE"""),"A Saya suka belajar saya teratur dan ada waktu-waktu tertentu untuk belajar.")</f>
        <v>A Saya suka belajar saya teratur dan ada waktu-waktu tertentu untuk belajar.</v>
      </c>
      <c r="BM69" s="95" t="str">
        <f>IFERROR(__xludf.DUMMYFUNCTION("""COMPUTED_VALUE"""),"A Saya suka melakukan pekerjaan sebaik mungkin.")</f>
        <v>A Saya suka melakukan pekerjaan sebaik mungkin.</v>
      </c>
      <c r="BN69" s="95" t="str">
        <f>IFERROR(__xludf.DUMMYFUNCTION("""COMPUTED_VALUE"""),"B Saya ingin teman-teman memberi dorongan bila saya menghadapi kegagalan.")</f>
        <v>B Saya ingin teman-teman memberi dorongan bila saya menghadapi kegagalan.</v>
      </c>
      <c r="BO69" s="95" t="str">
        <f>IFERROR(__xludf.DUMMYFUNCTION("""COMPUTED_VALUE"""),"B Saya ingin diperlakukan dengan baik oleh teman-teman saya.")</f>
        <v>B Saya ingin diperlakukan dengan baik oleh teman-teman saya.</v>
      </c>
      <c r="BP69" s="95" t="str">
        <f>IFERROR(__xludf.DUMMYFUNCTION("""COMPUTED_VALUE"""),"B Saya ingin teman-teman saya merasa kasihan pada saya apabila saya sakit.")</f>
        <v>B Saya ingin teman-teman saya merasa kasihan pada saya apabila saya sakit.</v>
      </c>
      <c r="BQ69" s="95" t="str">
        <f>IFERROR(__xludf.DUMMYFUNCTION("""COMPUTED_VALUE"""),"A Saya ingin mengerjakannya tugas sampai selesai.")</f>
        <v>A Saya ingin mengerjakannya tugas sampai selesai.</v>
      </c>
      <c r="BR69" s="95" t="str">
        <f>IFERROR(__xludf.DUMMYFUNCTION("""COMPUTED_VALUE"""),"B Saya ingin agar teman-teman saya bersimpati dan menghibur saya bila saya sedih.")</f>
        <v>B Saya ingin agar teman-teman saya bersimpati dan menghibur saya bila saya sedih.</v>
      </c>
      <c r="BS69" s="95" t="str">
        <f>IFERROR(__xludf.DUMMYFUNCTION("""COMPUTED_VALUE"""),"B Saya ingin teman-teman saya membantu saya bila saya mengalami kesulitan")</f>
        <v>B Saya ingin teman-teman saya membantu saya bila saya mengalami kesulitan</v>
      </c>
      <c r="BT69" s="95" t="str">
        <f>IFERROR(__xludf.DUMMYFUNCTION("""COMPUTED_VALUE"""),"B Saya ingin teman-teman banyak menunjukkan rasa sayang mereka terhadap saya.")</f>
        <v>B Saya ingin teman-teman banyak menunjukkan rasa sayang mereka terhadap saya.</v>
      </c>
      <c r="BU69" s="95" t="str">
        <f>IFERROR(__xludf.DUMMYFUNCTION("""COMPUTED_VALUE"""),"A Saya kadang-kadang suka melakukan hal-hal yang dapat dipuji oleh orang lain.")</f>
        <v>A Saya kadang-kadang suka melakukan hal-hal yang dapat dipuji oleh orang lain.</v>
      </c>
      <c r="BV69" s="95" t="str">
        <f>IFERROR(__xludf.DUMMYFUNCTION("""COMPUTED_VALUE"""),"A Saya ingin dianggap menarik oleh orang lain.")</f>
        <v>A Saya ingin dianggap menarik oleh orang lain.</v>
      </c>
      <c r="BW69" s="95" t="str">
        <f>IFERROR(__xludf.DUMMYFUNCTION("""COMPUTED_VALUE"""),"B Saya ingin diperlakukan dengan baik oleh teman-teman saya.")</f>
        <v>B Saya ingin diperlakukan dengan baik oleh teman-teman saya.</v>
      </c>
      <c r="BX69" s="95" t="str">
        <f>IFERROR(__xludf.DUMMYFUNCTION("""COMPUTED_VALUE"""),"B Saya kadang-kadang suka melakukan hal-hal yang dapat dipuji oleh orang lain.")</f>
        <v>B Saya kadang-kadang suka melakukan hal-hal yang dapat dipuji oleh orang lain.</v>
      </c>
      <c r="BY69" s="95" t="str">
        <f>IFERROR(__xludf.DUMMYFUNCTION("""COMPUTED_VALUE"""),"A Saya suka melamun atau membayangkan hal-hal yang tidak jelas.")</f>
        <v>A Saya suka melamun atau membayangkan hal-hal yang tidak jelas.</v>
      </c>
      <c r="BZ69" s="95" t="str">
        <f>IFERROR(__xludf.DUMMYFUNCTION("""COMPUTED_VALUE"""),"B Saya suka diperhatikan, apabila saya ada di dalam suatu kelompok.")</f>
        <v>B Saya suka diperhatikan, apabila saya ada di dalam suatu kelompok.</v>
      </c>
      <c r="CA69" s="95" t="str">
        <f>IFERROR(__xludf.DUMMYFUNCTION("""COMPUTED_VALUE"""),"B Saya suka mengajukan pertanyaan agar orang lain memperhatikan saya.")</f>
        <v>B Saya suka mengajukan pertanyaan agar orang lain memperhatikan saya.</v>
      </c>
      <c r="CB69" s="95" t="str">
        <f>IFERROR(__xludf.DUMMYFUNCTION("""COMPUTED_VALUE"""),"B Saya suka berbicara tentang hal-hal yang telah saya capai.")</f>
        <v>B Saya suka berbicara tentang hal-hal yang telah saya capai.</v>
      </c>
      <c r="CC69" s="95" t="str">
        <f>IFERROR(__xludf.DUMMYFUNCTION("""COMPUTED_VALUE"""),"B Saya suka menceritakan hal-hal lucu agar diperhatikan oleh orang lain.")</f>
        <v>B Saya suka menceritakan hal-hal lucu agar diperhatikan oleh orang lain.</v>
      </c>
      <c r="CD69" s="95" t="str">
        <f>IFERROR(__xludf.DUMMYFUNCTION("""COMPUTED_VALUE"""),"A Saya suka menyelesaikan setiap tugas meskipun membutuhkan waktu lama.")</f>
        <v>A Saya suka menyelesaikan setiap tugas meskipun membutuhkan waktu lama.</v>
      </c>
      <c r="CE69" s="95" t="str">
        <f>IFERROR(__xludf.DUMMYFUNCTION("""COMPUTED_VALUE"""),"B Saya kadang-kadang suka melakukan hal-hal yang dapat dipuji oleh orang lain.")</f>
        <v>B Saya kadang-kadang suka melakukan hal-hal yang dapat dipuji oleh orang lain.</v>
      </c>
      <c r="CF69" s="95" t="str">
        <f>IFERROR(__xludf.DUMMYFUNCTION("""COMPUTED_VALUE"""),"A Saya ingin agar hidup saya teratur sesuai cita-cita saya.")</f>
        <v>A Saya ingin agar hidup saya teratur sesuai cita-cita saya.</v>
      </c>
      <c r="CG69" s="95" t="str">
        <f>IFERROR(__xludf.DUMMYFUNCTION("""COMPUTED_VALUE"""),"A Saya ingin berhasil dalam apa yang saya lakukan.")</f>
        <v>A Saya ingin berhasil dalam apa yang saya lakukan.</v>
      </c>
      <c r="CH69" s="95" t="str">
        <f>IFERROR(__xludf.DUMMYFUNCTION("""COMPUTED_VALUE"""),"A Saya ingin bisa melakukan dengan baik sesuatu pekerjaan sulit.")</f>
        <v>A Saya ingin bisa melakukan dengan baik sesuatu pekerjaan sulit.</v>
      </c>
      <c r="CI69" s="95" t="str">
        <f>IFERROR(__xludf.DUMMYFUNCTION("""COMPUTED_VALUE"""),"A Saya suka belajar saya teratur dan ada waktu-waktu tertentu untuk belajar.")</f>
        <v>A Saya suka belajar saya teratur dan ada waktu-waktu tertentu untuk belajar.</v>
      </c>
      <c r="CJ69" s="95" t="str">
        <f>IFERROR(__xludf.DUMMYFUNCTION("""COMPUTED_VALUE"""),"A Saya ingin tidak tergantung dari orang lain terhadap apa yang akan saya lakukan.")</f>
        <v>A Saya ingin tidak tergantung dari orang lain terhadap apa yang akan saya lakukan.</v>
      </c>
      <c r="CK69" s="95" t="str">
        <f>IFERROR(__xludf.DUMMYFUNCTION("""COMPUTED_VALUE"""),"B Saya senang ikut beraktivitas bersama teman sebaya saya.")</f>
        <v>B Saya senang ikut beraktivitas bersama teman sebaya saya.</v>
      </c>
      <c r="CL69" s="95" t="str">
        <f>IFERROR(__xludf.DUMMYFUNCTION("""COMPUTED_VALUE"""),"B Saya berkeinginan untuk bersama teman yang menurut saya menarik.")</f>
        <v>B Saya berkeinginan untuk bersama teman yang menurut saya menarik.</v>
      </c>
      <c r="CM69" s="95" t="str">
        <f>IFERROR(__xludf.DUMMYFUNCTION("""COMPUTED_VALUE"""),"A Saya ingin ditunjuk atau dipilih sebagai ketua dalam suatu kelompok.")</f>
        <v>A Saya ingin ditunjuk atau dipilih sebagai ketua dalam suatu kelompok.</v>
      </c>
      <c r="CN69" s="95" t="str">
        <f>IFERROR(__xludf.DUMMYFUNCTION("""COMPUTED_VALUE"""),"B Saya suka mendengarkan atau menceritakan hal-hal yang tidak pantas.")</f>
        <v>B Saya suka mendengarkan atau menceritakan hal-hal yang tidak pantas.</v>
      </c>
      <c r="CO69" s="95" t="str">
        <f>IFERROR(__xludf.DUMMYFUNCTION("""COMPUTED_VALUE"""),"B Saya suka memuji orang yang saya kagumi.")</f>
        <v>B Saya suka memuji orang yang saya kagumi.</v>
      </c>
      <c r="CP69" s="95" t="str">
        <f>IFERROR(__xludf.DUMMYFUNCTION("""COMPUTED_VALUE"""),"A Saya suka melamun atau membayangkan sesuatu sendirian.")</f>
        <v>A Saya suka melamun atau membayangkan sesuatu sendirian.</v>
      </c>
      <c r="CQ69" s="95" t="str">
        <f>IFERROR(__xludf.DUMMYFUNCTION("""COMPUTED_VALUE"""),"B Saya merasa kagum pada seseorang.")</f>
        <v>B Saya merasa kagum pada seseorang.</v>
      </c>
      <c r="CR69" s="95" t="str">
        <f>IFERROR(__xludf.DUMMYFUNCTION("""COMPUTED_VALUE"""),"A Saya ingin memperolok-olok orang yang saya anggap melakukan tindakan bodoh.")</f>
        <v>A Saya ingin memperolok-olok orang yang saya anggap melakukan tindakan bodoh.</v>
      </c>
      <c r="CS69" s="95" t="str">
        <f>IFERROR(__xludf.DUMMYFUNCTION("""COMPUTED_VALUE"""),"B Saya rasanya ingin membalas dendam bila seseorang menghina saya.")</f>
        <v>B Saya rasanya ingin membalas dendam bila seseorang menghina saya.</v>
      </c>
      <c r="CT69" s="95" t="str">
        <f>IFERROR(__xludf.DUMMYFUNCTION("""COMPUTED_VALUE"""),"B Saya saat marah rasanya ingin melemparkan dan merusak barang-barang.")</f>
        <v>B Saya saat marah rasanya ingin melemparkan dan merusak barang-barang.</v>
      </c>
      <c r="CU69" s="95" t="str">
        <f>IFERROR(__xludf.DUMMYFUNCTION("""COMPUTED_VALUE"""),"A Saya ingin diperlakukan dengan ramah oleh teman-teman saya.")</f>
        <v>A Saya ingin diperlakukan dengan ramah oleh teman-teman saya.</v>
      </c>
      <c r="CV69" s="95" t="str">
        <f>IFERROR(__xludf.DUMMYFUNCTION("""COMPUTED_VALUE"""),"A Saya ingin ditunjuk atau dipilih sebagai ketua dalam suatu kelompok.")</f>
        <v>A Saya ingin ditunjuk atau dipilih sebagai ketua dalam suatu kelompok.</v>
      </c>
      <c r="CW69" s="95" t="str">
        <f>IFERROR(__xludf.DUMMYFUNCTION("""COMPUTED_VALUE"""),"A Saya suka menolong teman-teman saya, apabila mereka dalam kesulitan.")</f>
        <v>A Saya suka menolong teman-teman saya, apabila mereka dalam kesulitan.</v>
      </c>
      <c r="CX69" s="95" t="str">
        <f>IFERROR(__xludf.DUMMYFUNCTION("""COMPUTED_VALUE"""),"B Saya ingin memperolok-olok orang yang saya anggap melakukan tindakan bodoh.")</f>
        <v>B Saya ingin memperolok-olok orang yang saya anggap melakukan tindakan bodoh.</v>
      </c>
      <c r="CY69" s="95" t="str">
        <f>IFERROR(__xludf.DUMMYFUNCTION("""COMPUTED_VALUE"""),"A Saya ingin tidak tergantung dari orang lain terhadap apa yang akan saya lakukan.")</f>
        <v>A Saya ingin tidak tergantung dari orang lain terhadap apa yang akan saya lakukan.</v>
      </c>
      <c r="CZ69" s="95" t="str">
        <f>IFERROR(__xludf.DUMMYFUNCTION("""COMPUTED_VALUE"""),"A Saya suka merencanakan dan mengatur setiap pekerjaan yang harus saya lakukan.")</f>
        <v>A Saya suka merencanakan dan mengatur setiap pekerjaan yang harus saya lakukan.</v>
      </c>
      <c r="DA69" s="95" t="str">
        <f>IFERROR(__xludf.DUMMYFUNCTION("""COMPUTED_VALUE"""),"A Saya ingin melakukan apa saja sebaik mungkin.")</f>
        <v>A Saya ingin melakukan apa saja sebaik mungkin.</v>
      </c>
      <c r="DB69" s="89" t="s">
        <v>23</v>
      </c>
      <c r="DC69" s="97" t="str">
        <f t="shared" ref="DC69:GX69" si="114">LEFT(F69,1)</f>
        <v>B</v>
      </c>
      <c r="DD69" s="97" t="str">
        <f t="shared" si="114"/>
        <v>A</v>
      </c>
      <c r="DE69" s="97" t="str">
        <f t="shared" si="114"/>
        <v>B</v>
      </c>
      <c r="DF69" s="97" t="str">
        <f t="shared" si="114"/>
        <v>A</v>
      </c>
      <c r="DG69" s="97" t="str">
        <f t="shared" si="114"/>
        <v>A</v>
      </c>
      <c r="DH69" s="97" t="str">
        <f t="shared" si="114"/>
        <v>A</v>
      </c>
      <c r="DI69" s="97" t="str">
        <f t="shared" si="114"/>
        <v>A</v>
      </c>
      <c r="DJ69" s="97" t="str">
        <f t="shared" si="114"/>
        <v>B</v>
      </c>
      <c r="DK69" s="97" t="str">
        <f t="shared" si="114"/>
        <v>A</v>
      </c>
      <c r="DL69" s="97" t="str">
        <f t="shared" si="114"/>
        <v>A</v>
      </c>
      <c r="DM69" s="97" t="str">
        <f t="shared" si="114"/>
        <v>B</v>
      </c>
      <c r="DN69" s="97" t="str">
        <f t="shared" si="114"/>
        <v>B</v>
      </c>
      <c r="DO69" s="97" t="str">
        <f t="shared" si="114"/>
        <v>B</v>
      </c>
      <c r="DP69" s="97" t="str">
        <f t="shared" si="114"/>
        <v>A</v>
      </c>
      <c r="DQ69" s="97" t="str">
        <f t="shared" si="114"/>
        <v>B</v>
      </c>
      <c r="DR69" s="97" t="str">
        <f t="shared" si="114"/>
        <v>A</v>
      </c>
      <c r="DS69" s="97" t="str">
        <f t="shared" si="114"/>
        <v>B</v>
      </c>
      <c r="DT69" s="97" t="str">
        <f t="shared" si="114"/>
        <v>B</v>
      </c>
      <c r="DU69" s="97" t="str">
        <f t="shared" si="114"/>
        <v>B</v>
      </c>
      <c r="DV69" s="97" t="str">
        <f t="shared" si="114"/>
        <v>B</v>
      </c>
      <c r="DW69" s="97" t="str">
        <f t="shared" si="114"/>
        <v>B</v>
      </c>
      <c r="DX69" s="97" t="str">
        <f t="shared" si="114"/>
        <v>B</v>
      </c>
      <c r="DY69" s="97" t="str">
        <f t="shared" si="114"/>
        <v>B</v>
      </c>
      <c r="DZ69" s="97" t="str">
        <f t="shared" si="114"/>
        <v>B</v>
      </c>
      <c r="EA69" s="97" t="str">
        <f t="shared" si="114"/>
        <v>A</v>
      </c>
      <c r="EB69" s="97" t="str">
        <f t="shared" si="114"/>
        <v>A</v>
      </c>
      <c r="EC69" s="97" t="str">
        <f t="shared" si="114"/>
        <v>B</v>
      </c>
      <c r="ED69" s="97" t="str">
        <f t="shared" si="114"/>
        <v>A</v>
      </c>
      <c r="EE69" s="97" t="str">
        <f t="shared" si="114"/>
        <v>B</v>
      </c>
      <c r="EF69" s="97" t="str">
        <f t="shared" si="114"/>
        <v>B</v>
      </c>
      <c r="EG69" s="97" t="str">
        <f t="shared" si="114"/>
        <v>A</v>
      </c>
      <c r="EH69" s="97" t="str">
        <f t="shared" si="114"/>
        <v>B</v>
      </c>
      <c r="EI69" s="97" t="str">
        <f t="shared" si="114"/>
        <v>A</v>
      </c>
      <c r="EJ69" s="97" t="str">
        <f t="shared" si="114"/>
        <v>A</v>
      </c>
      <c r="EK69" s="97" t="str">
        <f t="shared" si="114"/>
        <v>A</v>
      </c>
      <c r="EL69" s="97" t="str">
        <f t="shared" si="114"/>
        <v>A</v>
      </c>
      <c r="EM69" s="97" t="str">
        <f t="shared" si="114"/>
        <v>B</v>
      </c>
      <c r="EN69" s="97" t="str">
        <f t="shared" si="114"/>
        <v>B</v>
      </c>
      <c r="EO69" s="97" t="str">
        <f t="shared" si="114"/>
        <v>A</v>
      </c>
      <c r="EP69" s="97" t="str">
        <f t="shared" si="114"/>
        <v>A</v>
      </c>
      <c r="EQ69" s="97" t="str">
        <f t="shared" si="114"/>
        <v>B</v>
      </c>
      <c r="ER69" s="97" t="str">
        <f t="shared" si="114"/>
        <v>B</v>
      </c>
      <c r="ES69" s="97" t="str">
        <f t="shared" si="114"/>
        <v>B</v>
      </c>
      <c r="ET69" s="97" t="str">
        <f t="shared" si="114"/>
        <v>B</v>
      </c>
      <c r="EU69" s="97" t="str">
        <f t="shared" si="114"/>
        <v>A</v>
      </c>
      <c r="EV69" s="97" t="str">
        <f t="shared" si="114"/>
        <v>A</v>
      </c>
      <c r="EW69" s="97" t="str">
        <f t="shared" si="114"/>
        <v>A</v>
      </c>
      <c r="EX69" s="97" t="str">
        <f t="shared" si="114"/>
        <v>B</v>
      </c>
      <c r="EY69" s="97" t="str">
        <f t="shared" si="114"/>
        <v>A</v>
      </c>
      <c r="EZ69" s="97" t="str">
        <f t="shared" si="114"/>
        <v>A</v>
      </c>
      <c r="FA69" s="97" t="str">
        <f t="shared" si="114"/>
        <v>A</v>
      </c>
      <c r="FB69" s="97" t="str">
        <f t="shared" si="114"/>
        <v>B</v>
      </c>
      <c r="FC69" s="97" t="str">
        <f t="shared" si="114"/>
        <v>B</v>
      </c>
      <c r="FD69" s="97" t="str">
        <f t="shared" si="114"/>
        <v>B</v>
      </c>
      <c r="FE69" s="97" t="str">
        <f t="shared" si="114"/>
        <v>B</v>
      </c>
      <c r="FF69" s="97" t="str">
        <f t="shared" si="114"/>
        <v>A</v>
      </c>
      <c r="FG69" s="97" t="str">
        <f t="shared" si="114"/>
        <v>B</v>
      </c>
      <c r="FH69" s="97" t="str">
        <f t="shared" si="114"/>
        <v>B</v>
      </c>
      <c r="FI69" s="97" t="str">
        <f t="shared" si="114"/>
        <v>A</v>
      </c>
      <c r="FJ69" s="97" t="str">
        <f t="shared" si="114"/>
        <v>A</v>
      </c>
      <c r="FK69" s="97" t="str">
        <f t="shared" si="114"/>
        <v>B</v>
      </c>
      <c r="FL69" s="97" t="str">
        <f t="shared" si="114"/>
        <v>B</v>
      </c>
      <c r="FM69" s="97" t="str">
        <f t="shared" si="114"/>
        <v>B</v>
      </c>
      <c r="FN69" s="97" t="str">
        <f t="shared" si="114"/>
        <v>A</v>
      </c>
      <c r="FO69" s="97" t="str">
        <f t="shared" si="114"/>
        <v>B</v>
      </c>
      <c r="FP69" s="97" t="str">
        <f t="shared" si="114"/>
        <v>B</v>
      </c>
      <c r="FQ69" s="97" t="str">
        <f t="shared" si="114"/>
        <v>B</v>
      </c>
      <c r="FR69" s="97" t="str">
        <f t="shared" si="114"/>
        <v>A</v>
      </c>
      <c r="FS69" s="97" t="str">
        <f t="shared" si="114"/>
        <v>A</v>
      </c>
      <c r="FT69" s="97" t="str">
        <f t="shared" si="114"/>
        <v>B</v>
      </c>
      <c r="FU69" s="97" t="str">
        <f t="shared" si="114"/>
        <v>B</v>
      </c>
      <c r="FV69" s="97" t="str">
        <f t="shared" si="114"/>
        <v>A</v>
      </c>
      <c r="FW69" s="97" t="str">
        <f t="shared" si="114"/>
        <v>B</v>
      </c>
      <c r="FX69" s="97" t="str">
        <f t="shared" si="114"/>
        <v>B</v>
      </c>
      <c r="FY69" s="97" t="str">
        <f t="shared" si="114"/>
        <v>B</v>
      </c>
      <c r="FZ69" s="97" t="str">
        <f t="shared" si="114"/>
        <v>B</v>
      </c>
      <c r="GA69" s="97" t="str">
        <f t="shared" si="114"/>
        <v>A</v>
      </c>
      <c r="GB69" s="97" t="str">
        <f t="shared" si="114"/>
        <v>B</v>
      </c>
      <c r="GC69" s="97" t="str">
        <f t="shared" si="114"/>
        <v>A</v>
      </c>
      <c r="GD69" s="97" t="str">
        <f t="shared" si="114"/>
        <v>A</v>
      </c>
      <c r="GE69" s="97" t="str">
        <f t="shared" si="114"/>
        <v>A</v>
      </c>
      <c r="GF69" s="97" t="str">
        <f t="shared" si="114"/>
        <v>A</v>
      </c>
      <c r="GG69" s="97" t="str">
        <f t="shared" si="114"/>
        <v>A</v>
      </c>
      <c r="GH69" s="97" t="str">
        <f t="shared" si="114"/>
        <v>B</v>
      </c>
      <c r="GI69" s="97" t="str">
        <f t="shared" si="114"/>
        <v>B</v>
      </c>
      <c r="GJ69" s="97" t="str">
        <f t="shared" si="114"/>
        <v>A</v>
      </c>
      <c r="GK69" s="97" t="str">
        <f t="shared" si="114"/>
        <v>B</v>
      </c>
      <c r="GL69" s="97" t="str">
        <f t="shared" si="114"/>
        <v>B</v>
      </c>
      <c r="GM69" s="97" t="str">
        <f t="shared" si="114"/>
        <v>A</v>
      </c>
      <c r="GN69" s="97" t="str">
        <f t="shared" si="114"/>
        <v>B</v>
      </c>
      <c r="GO69" s="97" t="str">
        <f t="shared" si="114"/>
        <v>A</v>
      </c>
      <c r="GP69" s="97" t="str">
        <f t="shared" si="114"/>
        <v>B</v>
      </c>
      <c r="GQ69" s="97" t="str">
        <f t="shared" si="114"/>
        <v>B</v>
      </c>
      <c r="GR69" s="97" t="str">
        <f t="shared" si="114"/>
        <v>A</v>
      </c>
      <c r="GS69" s="97" t="str">
        <f t="shared" si="114"/>
        <v>A</v>
      </c>
      <c r="GT69" s="97" t="str">
        <f t="shared" si="114"/>
        <v>A</v>
      </c>
      <c r="GU69" s="97" t="str">
        <f t="shared" si="114"/>
        <v>B</v>
      </c>
      <c r="GV69" s="97" t="str">
        <f t="shared" si="114"/>
        <v>A</v>
      </c>
      <c r="GW69" s="97" t="str">
        <f t="shared" si="114"/>
        <v>A</v>
      </c>
      <c r="GX69" s="97" t="str">
        <f t="shared" si="114"/>
        <v>A</v>
      </c>
      <c r="GY69" s="98"/>
      <c r="GZ69" s="97">
        <f t="shared" si="3"/>
        <v>47</v>
      </c>
      <c r="HA69" s="97">
        <f t="shared" si="4"/>
        <v>53</v>
      </c>
      <c r="HB69" s="90">
        <f t="shared" si="5"/>
        <v>100</v>
      </c>
      <c r="HC69" s="99"/>
      <c r="HD69" s="97">
        <f t="shared" si="6"/>
        <v>5</v>
      </c>
      <c r="HE69" s="97">
        <f t="shared" si="7"/>
        <v>2</v>
      </c>
      <c r="HF69" s="90">
        <f t="shared" si="8"/>
        <v>7</v>
      </c>
      <c r="HG69" s="99"/>
      <c r="HH69" s="97">
        <f t="shared" si="9"/>
        <v>6</v>
      </c>
      <c r="HI69" s="97">
        <f t="shared" si="10"/>
        <v>8</v>
      </c>
      <c r="HJ69" s="90">
        <f t="shared" si="11"/>
        <v>14</v>
      </c>
      <c r="HK69" s="99"/>
      <c r="HL69" s="97">
        <f t="shared" si="12"/>
        <v>2</v>
      </c>
      <c r="HM69" s="97">
        <f t="shared" si="13"/>
        <v>7</v>
      </c>
      <c r="HN69" s="90">
        <f t="shared" si="14"/>
        <v>9</v>
      </c>
      <c r="HO69" s="99"/>
      <c r="HP69" s="97">
        <f t="shared" si="15"/>
        <v>3</v>
      </c>
      <c r="HQ69" s="97">
        <f t="shared" si="16"/>
        <v>3</v>
      </c>
      <c r="HR69" s="90">
        <f t="shared" si="17"/>
        <v>6</v>
      </c>
      <c r="HS69" s="99"/>
      <c r="HT69" s="97">
        <f t="shared" si="18"/>
        <v>6</v>
      </c>
      <c r="HU69" s="97">
        <f t="shared" si="19"/>
        <v>5</v>
      </c>
      <c r="HV69" s="90">
        <f t="shared" si="20"/>
        <v>11</v>
      </c>
      <c r="HW69" s="99"/>
      <c r="HX69" s="97">
        <f t="shared" si="21"/>
        <v>6</v>
      </c>
      <c r="HY69" s="97">
        <f t="shared" si="22"/>
        <v>6</v>
      </c>
      <c r="HZ69" s="90">
        <f t="shared" si="23"/>
        <v>12</v>
      </c>
      <c r="IA69" s="99"/>
      <c r="IB69" s="97">
        <f t="shared" si="24"/>
        <v>5</v>
      </c>
      <c r="IC69" s="97">
        <f t="shared" si="25"/>
        <v>7</v>
      </c>
      <c r="ID69" s="90">
        <f t="shared" si="26"/>
        <v>12</v>
      </c>
      <c r="IE69" s="99"/>
      <c r="IF69" s="97">
        <f t="shared" si="27"/>
        <v>3</v>
      </c>
      <c r="IG69" s="97">
        <f t="shared" si="28"/>
        <v>6</v>
      </c>
      <c r="IH69" s="90">
        <f t="shared" si="29"/>
        <v>9</v>
      </c>
      <c r="II69" s="99"/>
      <c r="IJ69" s="97">
        <f t="shared" si="30"/>
        <v>4</v>
      </c>
      <c r="IK69" s="97">
        <f t="shared" si="31"/>
        <v>5</v>
      </c>
      <c r="IL69" s="90">
        <f t="shared" si="32"/>
        <v>9</v>
      </c>
      <c r="IM69" s="99"/>
      <c r="IN69" s="97">
        <f t="shared" si="33"/>
        <v>4</v>
      </c>
      <c r="IO69" s="97">
        <f t="shared" si="34"/>
        <v>3</v>
      </c>
      <c r="IP69" s="90">
        <f t="shared" si="35"/>
        <v>7</v>
      </c>
      <c r="IQ69" s="99"/>
      <c r="IR69" s="99"/>
      <c r="IS69" s="100">
        <f t="shared" si="36"/>
        <v>7</v>
      </c>
      <c r="IT69" s="100">
        <f t="shared" si="37"/>
        <v>14</v>
      </c>
      <c r="IU69" s="100">
        <f t="shared" si="38"/>
        <v>9</v>
      </c>
      <c r="IV69" s="100">
        <f t="shared" si="39"/>
        <v>6</v>
      </c>
      <c r="IW69" s="100">
        <f t="shared" si="40"/>
        <v>11</v>
      </c>
      <c r="IX69" s="100">
        <f t="shared" si="41"/>
        <v>12</v>
      </c>
      <c r="IY69" s="100">
        <f t="shared" si="42"/>
        <v>12</v>
      </c>
      <c r="IZ69" s="100">
        <f t="shared" si="43"/>
        <v>9</v>
      </c>
      <c r="JA69" s="100">
        <f t="shared" si="44"/>
        <v>9</v>
      </c>
      <c r="JB69" s="101">
        <f t="shared" si="45"/>
        <v>7</v>
      </c>
      <c r="JC69" s="102">
        <f t="shared" si="46"/>
        <v>96</v>
      </c>
      <c r="JD69" s="67">
        <f t="shared" si="50"/>
        <v>0</v>
      </c>
      <c r="JE69" s="67">
        <f t="shared" si="47"/>
        <v>2</v>
      </c>
      <c r="JF69" s="67">
        <f t="shared" si="48"/>
        <v>2</v>
      </c>
    </row>
    <row r="70">
      <c r="A70" s="103">
        <f>IFERROR(__xludf.DUMMYFUNCTION("""COMPUTED_VALUE"""),45935.43892061342)</f>
        <v>45935.43892</v>
      </c>
      <c r="B70" s="95" t="str">
        <f>IFERROR(__xludf.DUMMYFUNCTION("""COMPUTED_VALUE"""),"Fatih kenzie dzulian anado")</f>
        <v>Fatih kenzie dzulian anado</v>
      </c>
      <c r="C70" s="96" t="str">
        <f>IFERROR(__xludf.DUMMYFUNCTION("""COMPUTED_VALUE"""),"A250019")</f>
        <v>A250019</v>
      </c>
      <c r="D70" s="96" t="str">
        <f>IFERROR(__xludf.DUMMYFUNCTION("""COMPUTED_VALUE"""),"MTs Putra")</f>
        <v>MTs Putra</v>
      </c>
      <c r="E70" s="96" t="str">
        <f>IFERROR(__xludf.DUMMYFUNCTION("""COMPUTED_VALUE"""),"Ya")</f>
        <v>Ya</v>
      </c>
      <c r="F70" s="95" t="str">
        <f>IFERROR(__xludf.DUMMYFUNCTION("""COMPUTED_VALUE"""),"A Saya ingin mengerjakan segala tugas lebih baik daripada orang lain.")</f>
        <v>A Saya ingin mengerjakan segala tugas lebih baik daripada orang lain.</v>
      </c>
      <c r="G70" s="95" t="str">
        <f>IFERROR(__xludf.DUMMYFUNCTION("""COMPUTED_VALUE"""),"A Saya ingin setiap tulisan saya teliti, rapi, dan tersusun dengan baik.")</f>
        <v>A Saya ingin setiap tulisan saya teliti, rapi, dan tersusun dengan baik.</v>
      </c>
      <c r="H70" s="95" t="str">
        <f>IFERROR(__xludf.DUMMYFUNCTION("""COMPUTED_VALUE"""),"B Saya ingin menjadi orang yang diakui dalam suatu pekerjaan atau bidang khusus.")</f>
        <v>B Saya ingin menjadi orang yang diakui dalam suatu pekerjaan atau bidang khusus.</v>
      </c>
      <c r="I70" s="95" t="str">
        <f>IFERROR(__xludf.DUMMYFUNCTION("""COMPUTED_VALUE"""),"B Saya ingin bisa melakukan dengan baik meskipun tugas yang sulit.")</f>
        <v>B Saya ingin bisa melakukan dengan baik meskipun tugas yang sulit.</v>
      </c>
      <c r="J70" s="95" t="str">
        <f>IFERROR(__xludf.DUMMYFUNCTION("""COMPUTED_VALUE"""),"A Saya suka membantu teman-teman saya apabila mereka mengalami kesulitan.")</f>
        <v>A Saya suka membantu teman-teman saya apabila mereka mengalami kesulitan.</v>
      </c>
      <c r="K70" s="95" t="str">
        <f>IFERROR(__xludf.DUMMYFUNCTION("""COMPUTED_VALUE"""),"A Saya ingin menjadi pemimpin dalam suatu kelompok.")</f>
        <v>A Saya ingin menjadi pemimpin dalam suatu kelompok.</v>
      </c>
      <c r="L70" s="95" t="str">
        <f>IFERROR(__xludf.DUMMYFUNCTION("""COMPUTED_VALUE"""),"A Saya ingin menjadi pemimpin dalam suatu kelompok")</f>
        <v>A Saya ingin menjadi pemimpin dalam suatu kelompok</v>
      </c>
      <c r="M70" s="95" t="str">
        <f>IFERROR(__xludf.DUMMYFUNCTION("""COMPUTED_VALUE"""),"A Saya suka berbicara tentang hal-hal yang telah berhasil saya lakukan.")</f>
        <v>A Saya suka berbicara tentang hal-hal yang telah berhasil saya lakukan.</v>
      </c>
      <c r="N70" s="95" t="str">
        <f>IFERROR(__xludf.DUMMYFUNCTION("""COMPUTED_VALUE"""),"A Saya suka pergi dengan pakaian rapi agar lebih menarik perhatian orang lain.")</f>
        <v>A Saya suka pergi dengan pakaian rapi agar lebih menarik perhatian orang lain.</v>
      </c>
      <c r="O70" s="95" t="str">
        <f>IFERROR(__xludf.DUMMYFUNCTION("""COMPUTED_VALUE"""),"B Saya suka melakukan tugas sebaik mungkin.")</f>
        <v>B Saya suka melakukan tugas sebaik mungkin.</v>
      </c>
      <c r="P70" s="95" t="str">
        <f>IFERROR(__xludf.DUMMYFUNCTION("""COMPUTED_VALUE"""),"B Saya ingin setiap belajar itu teratur dan direncanakan.")</f>
        <v>B Saya ingin setiap belajar itu teratur dan direncanakan.</v>
      </c>
      <c r="Q70" s="95" t="str">
        <f>IFERROR(__xludf.DUMMYFUNCTION("""COMPUTED_VALUE"""),"B Saya merencanakan keperluan yang dibutuhkan sebelum bepergian.")</f>
        <v>B Saya merencanakan keperluan yang dibutuhkan sebelum bepergian.</v>
      </c>
      <c r="R70" s="95" t="str">
        <f>IFERROR(__xludf.DUMMYFUNCTION("""COMPUTED_VALUE"""),"B Saya suka barang-barang saya tersusun rapi dan teratur.")</f>
        <v>B Saya suka barang-barang saya tersusun rapi dan teratur.</v>
      </c>
      <c r="S70" s="95" t="str">
        <f>IFERROR(__xludf.DUMMYFUNCTION("""COMPUTED_VALUE"""),"A Saya ingin agar teman-teman pengertian bila saya mengalami kesukaran.")</f>
        <v>A Saya ingin agar teman-teman pengertian bila saya mengalami kesukaran.</v>
      </c>
      <c r="T70" s="95" t="str">
        <f>IFERROR(__xludf.DUMMYFUNCTION("""COMPUTED_VALUE"""),"B Saya ingin agar hidup saya teratur sesuai cita-cita saya.")</f>
        <v>B Saya ingin agar hidup saya teratur sesuai cita-cita saya.</v>
      </c>
      <c r="U70" s="95" t="str">
        <f>IFERROR(__xludf.DUMMYFUNCTION("""COMPUTED_VALUE"""),"A Saya suka memberikan bantuan kepada teman-teman saya.")</f>
        <v>A Saya suka memberikan bantuan kepada teman-teman saya.</v>
      </c>
      <c r="V70" s="95" t="str">
        <f>IFERROR(__xludf.DUMMYFUNCTION("""COMPUTED_VALUE"""),"B Saya suka belajar saya teratur dan ada waktu-waktu tertentu untuk belajar.")</f>
        <v>B Saya suka belajar saya teratur dan ada waktu-waktu tertentu untuk belajar.</v>
      </c>
      <c r="W70" s="95" t="str">
        <f>IFERROR(__xludf.DUMMYFUNCTION("""COMPUTED_VALUE"""),"A Saya suka melakukan kegiatan sesuai kondisi yang saya inginkan.")</f>
        <v>A Saya suka melakukan kegiatan sesuai kondisi yang saya inginkan.</v>
      </c>
      <c r="X70" s="95" t="str">
        <f>IFERROR(__xludf.DUMMYFUNCTION("""COMPUTED_VALUE"""),"A Saya suka merencanakan dan mengatur setiap apa yang harus saya lakukan.")</f>
        <v>A Saya suka merencanakan dan mengatur setiap apa yang harus saya lakukan.</v>
      </c>
      <c r="Y70" s="95" t="str">
        <f>IFERROR(__xludf.DUMMYFUNCTION("""COMPUTED_VALUE"""),"B Saya senang merencanakan untuk masa depan.")</f>
        <v>B Saya senang merencanakan untuk masa depan.</v>
      </c>
      <c r="Z70" s="95" t="str">
        <f>IFERROR(__xludf.DUMMYFUNCTION("""COMPUTED_VALUE"""),"A Saya ingin berhasil dengan belajar yang saya lakukan.")</f>
        <v>A Saya ingin berhasil dengan belajar yang saya lakukan.</v>
      </c>
      <c r="AA70" s="95" t="str">
        <f>IFERROR(__xludf.DUMMYFUNCTION("""COMPUTED_VALUE"""),"B Saya tidak suka pada orang yang berbuat seenaknya sendiri.")</f>
        <v>B Saya tidak suka pada orang yang berbuat seenaknya sendiri.</v>
      </c>
      <c r="AB70" s="95" t="str">
        <f>IFERROR(__xludf.DUMMYFUNCTION("""COMPUTED_VALUE"""),"B Saya ingin menyelesaikan pekerjaan satu persatu sebelum memulai yang lain.")</f>
        <v>B Saya ingin menyelesaikan pekerjaan satu persatu sebelum memulai yang lain.</v>
      </c>
      <c r="AC70" s="95" t="str">
        <f>IFERROR(__xludf.DUMMYFUNCTION("""COMPUTED_VALUE"""),"B Saya suka melakukan kegiatan sesuai kondisi yang saya inginkan.")</f>
        <v>B Saya suka melakukan kegiatan sesuai kondisi yang saya inginkan.</v>
      </c>
      <c r="AD70" s="95" t="str">
        <f>IFERROR(__xludf.DUMMYFUNCTION("""COMPUTED_VALUE"""),"A Saya suka bermurah hati terhadap teman-teman saya.")</f>
        <v>A Saya suka bermurah hati terhadap teman-teman saya.</v>
      </c>
      <c r="AE70" s="95" t="str">
        <f>IFERROR(__xludf.DUMMYFUNCTION("""COMPUTED_VALUE"""),"B Saya suka melakukan hal-hal yang dianggap orang lain tidak sesuai.")</f>
        <v>B Saya suka melakukan hal-hal yang dianggap orang lain tidak sesuai.</v>
      </c>
      <c r="AF70" s="95" t="str">
        <f>IFERROR(__xludf.DUMMYFUNCTION("""COMPUTED_VALUE"""),"B Saya suka melakukan hal-hal dengan cara saya sendiri.")</f>
        <v>B Saya suka melakukan hal-hal dengan cara saya sendiri.</v>
      </c>
      <c r="AG70" s="95" t="str">
        <f>IFERROR(__xludf.DUMMYFUNCTION("""COMPUTED_VALUE"""),"A Saya mengajari orang lain bagaimana mereka harus melakukan pekerjaan mereka.")</f>
        <v>A Saya mengajari orang lain bagaimana mereka harus melakukan pekerjaan mereka.</v>
      </c>
      <c r="AH70" s="95" t="str">
        <f>IFERROR(__xludf.DUMMYFUNCTION("""COMPUTED_VALUE"""),"B Saya ingin merasa bebas untuk melakukan apa yang saya kehendaki.")</f>
        <v>B Saya ingin merasa bebas untuk melakukan apa yang saya kehendaki.</v>
      </c>
      <c r="AI70" s="95" t="str">
        <f>IFERROR(__xludf.DUMMYFUNCTION("""COMPUTED_VALUE"""),"B Saya suka melakukan kegiatan sesuai kondisi yang saya inginkan.")</f>
        <v>B Saya suka melakukan kegiatan sesuai kondisi yang saya inginkan.</v>
      </c>
      <c r="AJ70" s="95" t="str">
        <f>IFERROR(__xludf.DUMMYFUNCTION("""COMPUTED_VALUE"""),"B Saya suka bertahan menghadapi satu masalah meskipun belum tentu berhasil.")</f>
        <v>B Saya suka bertahan menghadapi satu masalah meskipun belum tentu berhasil.</v>
      </c>
      <c r="AK70" s="95" t="str">
        <f>IFERROR(__xludf.DUMMYFUNCTION("""COMPUTED_VALUE"""),"B Bila saya harus melakukan suatu tugas, saya ingin mengerjakan sampai selesai.")</f>
        <v>B Bila saya harus melakukan suatu tugas, saya ingin mengerjakan sampai selesai.</v>
      </c>
      <c r="AL70" s="95" t="str">
        <f>IFERROR(__xludf.DUMMYFUNCTION("""COMPUTED_VALUE"""),"B Saya ingin menghindarkan gangguan bila saya sedang belajar.")</f>
        <v>B Saya ingin menghindarkan gangguan bila saya sedang belajar.</v>
      </c>
      <c r="AM70" s="95" t="str">
        <f>IFERROR(__xludf.DUMMYFUNCTION("""COMPUTED_VALUE"""),"B Saya suka belajar sampai malam untuk menyelesaikan suatu tugas.")</f>
        <v>B Saya suka belajar sampai malam untuk menyelesaikan suatu tugas.</v>
      </c>
      <c r="AN70" s="95" t="str">
        <f>IFERROR(__xludf.DUMMYFUNCTION("""COMPUTED_VALUE"""),"B Saya ingin bekerja berjam-jam tanpa diganggu.")</f>
        <v>B Saya ingin bekerja berjam-jam tanpa diganggu.</v>
      </c>
      <c r="AO70" s="95" t="str">
        <f>IFERROR(__xludf.DUMMYFUNCTION("""COMPUTED_VALUE"""),"A Saya suka berlaku sangat ramah terhadap teman-teman saya.")</f>
        <v>A Saya suka berlaku sangat ramah terhadap teman-teman saya.</v>
      </c>
      <c r="AP70" s="95" t="str">
        <f>IFERROR(__xludf.DUMMYFUNCTION("""COMPUTED_VALUE"""),"A Saya ingin mengerjakannya tugas sampai selesai.")</f>
        <v>A Saya ingin mengerjakannya tugas sampai selesai.</v>
      </c>
      <c r="AQ70" s="95" t="str">
        <f>IFERROR(__xludf.DUMMYFUNCTION("""COMPUTED_VALUE"""),"A Saya ingin bisa mengerjakan segala sesuatu lebih baik daripada orang-orang lain.")</f>
        <v>A Saya ingin bisa mengerjakan segala sesuatu lebih baik daripada orang-orang lain.</v>
      </c>
      <c r="AR70" s="95" t="str">
        <f>IFERROR(__xludf.DUMMYFUNCTION("""COMPUTED_VALUE"""),"A Saya suka menyimpan catatan secara rapi.")</f>
        <v>A Saya suka menyimpan catatan secara rapi.</v>
      </c>
      <c r="AS70" s="95" t="str">
        <f>IFERROR(__xludf.DUMMYFUNCTION("""COMPUTED_VALUE"""),"A Saya ingin dapat menyelesaikan persoalan yang dianggap sukar bagi orang lain.")</f>
        <v>A Saya ingin dapat menyelesaikan persoalan yang dianggap sukar bagi orang lain.</v>
      </c>
      <c r="AT70" s="95" t="str">
        <f>IFERROR(__xludf.DUMMYFUNCTION("""COMPUTED_VALUE"""),"A Saya ingin bisa melakukan dengan baik sesuatu pekerjaan sulit.")</f>
        <v>A Saya ingin bisa melakukan dengan baik sesuatu pekerjaan sulit.</v>
      </c>
      <c r="AU70" s="95" t="str">
        <f>IFERROR(__xludf.DUMMYFUNCTION("""COMPUTED_VALUE"""),"B Saya suka bermurah hati terhadap teman-teman saya.")</f>
        <v>B Saya suka bermurah hati terhadap teman-teman saya.</v>
      </c>
      <c r="AV70" s="95" t="str">
        <f>IFERROR(__xludf.DUMMYFUNCTION("""COMPUTED_VALUE"""),"B Saya suka menolong teman-teman saya.")</f>
        <v>B Saya suka menolong teman-teman saya.</v>
      </c>
      <c r="AW70" s="95" t="str">
        <f>IFERROR(__xludf.DUMMYFUNCTION("""COMPUTED_VALUE"""),"B Saya ingin teman-teman saya percaya bahwa saya bisa menolong mereka.")</f>
        <v>B Saya ingin teman-teman saya percaya bahwa saya bisa menolong mereka.</v>
      </c>
      <c r="AX70" s="95" t="str">
        <f>IFERROR(__xludf.DUMMYFUNCTION("""COMPUTED_VALUE"""),"A Saya suka menolong teman-teman saya apabila mereka dalam kesulitan.")</f>
        <v>A Saya suka menolong teman-teman saya apabila mereka dalam kesulitan.</v>
      </c>
      <c r="AY70" s="95" t="str">
        <f>IFERROR(__xludf.DUMMYFUNCTION("""COMPUTED_VALUE"""),"B Saya suka menolong teman-teman saya apabila mereka dalam kesulitan.")</f>
        <v>B Saya suka menolong teman-teman saya apabila mereka dalam kesulitan.</v>
      </c>
      <c r="AZ70" s="95" t="str">
        <f>IFERROR(__xludf.DUMMYFUNCTION("""COMPUTED_VALUE"""),"A Saya ingin agar teman-teman saya bersimpati dan menghibur saya bila saya sedih.")</f>
        <v>A Saya ingin agar teman-teman saya bersimpati dan menghibur saya bila saya sedih.</v>
      </c>
      <c r="BA70" s="95" t="str">
        <f>IFERROR(__xludf.DUMMYFUNCTION("""COMPUTED_VALUE"""),"B Saya suka memperlakukan orang lain dengan baik dan ramah.")</f>
        <v>B Saya suka memperlakukan orang lain dengan baik dan ramah.</v>
      </c>
      <c r="BB70" s="95" t="str">
        <f>IFERROR(__xludf.DUMMYFUNCTION("""COMPUTED_VALUE"""),"B Saya suka bermurah hati terhadap teman-teman saya.")</f>
        <v>B Saya suka bermurah hati terhadap teman-teman saya.</v>
      </c>
      <c r="BC70" s="95" t="str">
        <f>IFERROR(__xludf.DUMMYFUNCTION("""COMPUTED_VALUE"""),"B Saya suka membantu orang lain yang menurut saya perlu dikasihani.")</f>
        <v>B Saya suka membantu orang lain yang menurut saya perlu dikasihani.</v>
      </c>
      <c r="BD70" s="95" t="str">
        <f>IFERROR(__xludf.DUMMYFUNCTION("""COMPUTED_VALUE"""),"B Saya suka bersikukuh dengan pendirian saya.")</f>
        <v>B Saya suka bersikukuh dengan pendirian saya.</v>
      </c>
      <c r="BE70" s="95" t="str">
        <f>IFERROR(__xludf.DUMMYFUNCTION("""COMPUTED_VALUE"""),"A Saya suka mendengarkan atau menceritakan hal-hal yang sebaiknya tidak diceritakan.")</f>
        <v>A Saya suka mendengarkan atau menceritakan hal-hal yang sebaiknya tidak diceritakan.</v>
      </c>
      <c r="BF70" s="95" t="str">
        <f>IFERROR(__xludf.DUMMYFUNCTION("""COMPUTED_VALUE"""),"B Bila saya dalam kelompok, saya ingin menentukan apa yang akan kita lakukan.")</f>
        <v>B Bila saya dalam kelompok, saya ingin menentukan apa yang akan kita lakukan.</v>
      </c>
      <c r="BG70" s="95" t="str">
        <f>IFERROR(__xludf.DUMMYFUNCTION("""COMPUTED_VALUE"""),"B Saya suka mengarahkan kepada orang lain apa yang harus dilakukan.")</f>
        <v>B Saya suka mengarahkan kepada orang lain apa yang harus dilakukan.</v>
      </c>
      <c r="BH70" s="95" t="str">
        <f>IFERROR(__xludf.DUMMYFUNCTION("""COMPUTED_VALUE"""),"B Apabila saya berkumpul dalam kelompok, saya ingin dihargai teman-teman.")</f>
        <v>B Apabila saya berkumpul dalam kelompok, saya ingin dihargai teman-teman.</v>
      </c>
      <c r="BI70" s="95" t="str">
        <f>IFERROR(__xludf.DUMMYFUNCTION("""COMPUTED_VALUE"""),"A Saya suka bermurah hati terhadap teman-teman saya.")</f>
        <v>A Saya suka bermurah hati terhadap teman-teman saya.</v>
      </c>
      <c r="BJ70" s="95" t="str">
        <f>IFERROR(__xludf.DUMMYFUNCTION("""COMPUTED_VALUE"""),"A Saya ingin mengerjakan tugas sampai selesai.")</f>
        <v>A Saya ingin mengerjakan tugas sampai selesai.</v>
      </c>
      <c r="BK70" s="95" t="str">
        <f>IFERROR(__xludf.DUMMYFUNCTION("""COMPUTED_VALUE"""),"A Saya ingin menyelesaikan pekerjaan satu persatu sebelum memulai yang lain.")</f>
        <v>A Saya ingin menyelesaikan pekerjaan satu persatu sebelum memulai yang lain.</v>
      </c>
      <c r="BL70" s="95" t="str">
        <f>IFERROR(__xludf.DUMMYFUNCTION("""COMPUTED_VALUE"""),"A Saya suka belajar saya teratur dan ada waktu-waktu tertentu untuk belajar.")</f>
        <v>A Saya suka belajar saya teratur dan ada waktu-waktu tertentu untuk belajar.</v>
      </c>
      <c r="BM70" s="95" t="str">
        <f>IFERROR(__xludf.DUMMYFUNCTION("""COMPUTED_VALUE"""),"A Saya suka melakukan pekerjaan sebaik mungkin.")</f>
        <v>A Saya suka melakukan pekerjaan sebaik mungkin.</v>
      </c>
      <c r="BN70" s="95" t="str">
        <f>IFERROR(__xludf.DUMMYFUNCTION("""COMPUTED_VALUE"""),"B Saya ingin teman-teman memberi dorongan bila saya menghadapi kegagalan.")</f>
        <v>B Saya ingin teman-teman memberi dorongan bila saya menghadapi kegagalan.</v>
      </c>
      <c r="BO70" s="95" t="str">
        <f>IFERROR(__xludf.DUMMYFUNCTION("""COMPUTED_VALUE"""),"B Saya ingin diperlakukan dengan baik oleh teman-teman saya.")</f>
        <v>B Saya ingin diperlakukan dengan baik oleh teman-teman saya.</v>
      </c>
      <c r="BP70" s="95" t="str">
        <f>IFERROR(__xludf.DUMMYFUNCTION("""COMPUTED_VALUE"""),"A Saya ingin menyelesaikan sesuatu yang sangat penting artinya.")</f>
        <v>A Saya ingin menyelesaikan sesuatu yang sangat penting artinya.</v>
      </c>
      <c r="BQ70" s="95" t="str">
        <f>IFERROR(__xludf.DUMMYFUNCTION("""COMPUTED_VALUE"""),"A Saya ingin mengerjakannya tugas sampai selesai.")</f>
        <v>A Saya ingin mengerjakannya tugas sampai selesai.</v>
      </c>
      <c r="BR70" s="95" t="str">
        <f>IFERROR(__xludf.DUMMYFUNCTION("""COMPUTED_VALUE"""),"B Saya ingin agar teman-teman saya bersimpati dan menghibur saya bila saya sedih.")</f>
        <v>B Saya ingin agar teman-teman saya bersimpati dan menghibur saya bila saya sedih.</v>
      </c>
      <c r="BS70" s="95" t="str">
        <f>IFERROR(__xludf.DUMMYFUNCTION("""COMPUTED_VALUE"""),"B Saya ingin teman-teman saya membantu saya bila saya mengalami kesulitan")</f>
        <v>B Saya ingin teman-teman saya membantu saya bila saya mengalami kesulitan</v>
      </c>
      <c r="BT70" s="95" t="str">
        <f>IFERROR(__xludf.DUMMYFUNCTION("""COMPUTED_VALUE"""),"B Saya ingin teman-teman banyak menunjukkan rasa sayang mereka terhadap saya.")</f>
        <v>B Saya ingin teman-teman banyak menunjukkan rasa sayang mereka terhadap saya.</v>
      </c>
      <c r="BU70" s="95" t="str">
        <f>IFERROR(__xludf.DUMMYFUNCTION("""COMPUTED_VALUE"""),"A Saya kadang-kadang suka melakukan hal-hal yang dapat dipuji oleh orang lain.")</f>
        <v>A Saya kadang-kadang suka melakukan hal-hal yang dapat dipuji oleh orang lain.</v>
      </c>
      <c r="BV70" s="95" t="str">
        <f>IFERROR(__xludf.DUMMYFUNCTION("""COMPUTED_VALUE"""),"B Saya ingin teman-teman dengan gembira memberikan pertolongan kepada saya.")</f>
        <v>B Saya ingin teman-teman dengan gembira memberikan pertolongan kepada saya.</v>
      </c>
      <c r="BW70" s="95" t="str">
        <f>IFERROR(__xludf.DUMMYFUNCTION("""COMPUTED_VALUE"""),"B Saya ingin diperlakukan dengan baik oleh teman-teman saya.")</f>
        <v>B Saya ingin diperlakukan dengan baik oleh teman-teman saya.</v>
      </c>
      <c r="BX70" s="95" t="str">
        <f>IFERROR(__xludf.DUMMYFUNCTION("""COMPUTED_VALUE"""),"B Saya kadang-kadang suka melakukan hal-hal yang dapat dipuji oleh orang lain.")</f>
        <v>B Saya kadang-kadang suka melakukan hal-hal yang dapat dipuji oleh orang lain.</v>
      </c>
      <c r="BY70" s="95" t="str">
        <f>IFERROR(__xludf.DUMMYFUNCTION("""COMPUTED_VALUE"""),"A Saya suka melamun atau membayangkan hal-hal yang tidak jelas.")</f>
        <v>A Saya suka melamun atau membayangkan hal-hal yang tidak jelas.</v>
      </c>
      <c r="BZ70" s="95" t="str">
        <f>IFERROR(__xludf.DUMMYFUNCTION("""COMPUTED_VALUE"""),"A Saya suka berkata yang artinya sulit dipahami oleh orang lain.")</f>
        <v>A Saya suka berkata yang artinya sulit dipahami oleh orang lain.</v>
      </c>
      <c r="CA70" s="95" t="str">
        <f>IFERROR(__xludf.DUMMYFUNCTION("""COMPUTED_VALUE"""),"A Saya ingin teman-teman dengan gembira memberikan pertolongan kepada saya.")</f>
        <v>A Saya ingin teman-teman dengan gembira memberikan pertolongan kepada saya.</v>
      </c>
      <c r="CB70" s="95" t="str">
        <f>IFERROR(__xludf.DUMMYFUNCTION("""COMPUTED_VALUE"""),"B Saya suka berbicara tentang hal-hal yang telah saya capai.")</f>
        <v>B Saya suka berbicara tentang hal-hal yang telah saya capai.</v>
      </c>
      <c r="CC70" s="95" t="str">
        <f>IFERROR(__xludf.DUMMYFUNCTION("""COMPUTED_VALUE"""),"A Apabila saya berkumpul dalam kelompok, saya ingin dihargai teman-teman.")</f>
        <v>A Apabila saya berkumpul dalam kelompok, saya ingin dihargai teman-teman.</v>
      </c>
      <c r="CD70" s="95" t="str">
        <f>IFERROR(__xludf.DUMMYFUNCTION("""COMPUTED_VALUE"""),"B Saya suka berkata yang artinya sulit dipahami oleh orang lain.")</f>
        <v>B Saya suka berkata yang artinya sulit dipahami oleh orang lain.</v>
      </c>
      <c r="CE70" s="95" t="str">
        <f>IFERROR(__xludf.DUMMYFUNCTION("""COMPUTED_VALUE"""),"A Saya suka menyelesaikan setiap tugas belajar yang telah saya mulai.")</f>
        <v>A Saya suka menyelesaikan setiap tugas belajar yang telah saya mulai.</v>
      </c>
      <c r="CF70" s="95" t="str">
        <f>IFERROR(__xludf.DUMMYFUNCTION("""COMPUTED_VALUE"""),"A Saya ingin agar hidup saya teratur sesuai cita-cita saya.")</f>
        <v>A Saya ingin agar hidup saya teratur sesuai cita-cita saya.</v>
      </c>
      <c r="CG70" s="95" t="str">
        <f>IFERROR(__xludf.DUMMYFUNCTION("""COMPUTED_VALUE"""),"A Saya ingin berhasil dalam apa yang saya lakukan.")</f>
        <v>A Saya ingin berhasil dalam apa yang saya lakukan.</v>
      </c>
      <c r="CH70" s="95" t="str">
        <f>IFERROR(__xludf.DUMMYFUNCTION("""COMPUTED_VALUE"""),"A Saya ingin bisa melakukan dengan baik sesuatu pekerjaan sulit.")</f>
        <v>A Saya ingin bisa melakukan dengan baik sesuatu pekerjaan sulit.</v>
      </c>
      <c r="CI70" s="95" t="str">
        <f>IFERROR(__xludf.DUMMYFUNCTION("""COMPUTED_VALUE"""),"A Saya suka belajar saya teratur dan ada waktu-waktu tertentu untuk belajar.")</f>
        <v>A Saya suka belajar saya teratur dan ada waktu-waktu tertentu untuk belajar.</v>
      </c>
      <c r="CJ70" s="95" t="str">
        <f>IFERROR(__xludf.DUMMYFUNCTION("""COMPUTED_VALUE"""),"A Saya ingin tidak tergantung dari orang lain terhadap apa yang akan saya lakukan.")</f>
        <v>A Saya ingin tidak tergantung dari orang lain terhadap apa yang akan saya lakukan.</v>
      </c>
      <c r="CK70" s="95" t="str">
        <f>IFERROR(__xludf.DUMMYFUNCTION("""COMPUTED_VALUE"""),"B Saya senang ikut beraktivitas bersama teman sebaya saya.")</f>
        <v>B Saya senang ikut beraktivitas bersama teman sebaya saya.</v>
      </c>
      <c r="CL70" s="95" t="str">
        <f>IFERROR(__xludf.DUMMYFUNCTION("""COMPUTED_VALUE"""),"A Saya suka menolong teman-teman saya, apabila mereka dalam kesulitan.")</f>
        <v>A Saya suka menolong teman-teman saya, apabila mereka dalam kesulitan.</v>
      </c>
      <c r="CM70" s="95" t="str">
        <f>IFERROR(__xludf.DUMMYFUNCTION("""COMPUTED_VALUE"""),"B Saya merasa kagum pada seseorang.")</f>
        <v>B Saya merasa kagum pada seseorang.</v>
      </c>
      <c r="CN70" s="95" t="str">
        <f>IFERROR(__xludf.DUMMYFUNCTION("""COMPUTED_VALUE"""),"A Saya ingin diperlakukan dengan baik oleh teman-teman saya.")</f>
        <v>A Saya ingin diperlakukan dengan baik oleh teman-teman saya.</v>
      </c>
      <c r="CO70" s="95" t="str">
        <f>IFERROR(__xludf.DUMMYFUNCTION("""COMPUTED_VALUE"""),"B Saya suka memuji orang yang saya kagumi.")</f>
        <v>B Saya suka memuji orang yang saya kagumi.</v>
      </c>
      <c r="CP70" s="95" t="str">
        <f>IFERROR(__xludf.DUMMYFUNCTION("""COMPUTED_VALUE"""),"A Saya suka melamun atau membayangkan sesuatu sendirian.")</f>
        <v>A Saya suka melamun atau membayangkan sesuatu sendirian.</v>
      </c>
      <c r="CQ70" s="95" t="str">
        <f>IFERROR(__xludf.DUMMYFUNCTION("""COMPUTED_VALUE"""),"B Saya merasa kagum pada seseorang.")</f>
        <v>B Saya merasa kagum pada seseorang.</v>
      </c>
      <c r="CR70" s="95" t="str">
        <f>IFERROR(__xludf.DUMMYFUNCTION("""COMPUTED_VALUE"""),"B Saya rasanya ingin mengecam seseorang bila orang itu menjengkelkan.")</f>
        <v>B Saya rasanya ingin mengecam seseorang bila orang itu menjengkelkan.</v>
      </c>
      <c r="CS70" s="95" t="str">
        <f>IFERROR(__xludf.DUMMYFUNCTION("""COMPUTED_VALUE"""),"A Saya ingin terlihat menarik di depan teman-teman saya.")</f>
        <v>A Saya ingin terlihat menarik di depan teman-teman saya.</v>
      </c>
      <c r="CT70" s="95" t="str">
        <f>IFERROR(__xludf.DUMMYFUNCTION("""COMPUTED_VALUE"""),"B Saya saat marah rasanya ingin melemparkan dan merusak barang-barang.")</f>
        <v>B Saya saat marah rasanya ingin melemparkan dan merusak barang-barang.</v>
      </c>
      <c r="CU70" s="95" t="str">
        <f>IFERROR(__xludf.DUMMYFUNCTION("""COMPUTED_VALUE"""),"A Saya ingin diperlakukan dengan ramah oleh teman-teman saya.")</f>
        <v>A Saya ingin diperlakukan dengan ramah oleh teman-teman saya.</v>
      </c>
      <c r="CV70" s="95" t="str">
        <f>IFERROR(__xludf.DUMMYFUNCTION("""COMPUTED_VALUE"""),"A Saya ingin ditunjuk atau dipilih sebagai ketua dalam suatu kelompok.")</f>
        <v>A Saya ingin ditunjuk atau dipilih sebagai ketua dalam suatu kelompok.</v>
      </c>
      <c r="CW70" s="95" t="str">
        <f>IFERROR(__xludf.DUMMYFUNCTION("""COMPUTED_VALUE"""),"A Saya suka menolong teman-teman saya, apabila mereka dalam kesulitan.")</f>
        <v>A Saya suka menolong teman-teman saya, apabila mereka dalam kesulitan.</v>
      </c>
      <c r="CX70" s="95" t="str">
        <f>IFERROR(__xludf.DUMMYFUNCTION("""COMPUTED_VALUE"""),"A Saya suka belajar sampai malam untuk menyelesaikan suatu tugas.")</f>
        <v>A Saya suka belajar sampai malam untuk menyelesaikan suatu tugas.</v>
      </c>
      <c r="CY70" s="95" t="str">
        <f>IFERROR(__xludf.DUMMYFUNCTION("""COMPUTED_VALUE"""),"A Saya ingin tidak tergantung dari orang lain terhadap apa yang akan saya lakukan.")</f>
        <v>A Saya ingin tidak tergantung dari orang lain terhadap apa yang akan saya lakukan.</v>
      </c>
      <c r="CZ70" s="95" t="str">
        <f>IFERROR(__xludf.DUMMYFUNCTION("""COMPUTED_VALUE"""),"A Saya suka merencanakan dan mengatur setiap pekerjaan yang harus saya lakukan.")</f>
        <v>A Saya suka merencanakan dan mengatur setiap pekerjaan yang harus saya lakukan.</v>
      </c>
      <c r="DA70" s="95" t="str">
        <f>IFERROR(__xludf.DUMMYFUNCTION("""COMPUTED_VALUE"""),"A Saya ingin melakukan apa saja sebaik mungkin.")</f>
        <v>A Saya ingin melakukan apa saja sebaik mungkin.</v>
      </c>
      <c r="DB70" s="89" t="s">
        <v>23</v>
      </c>
      <c r="DC70" s="97" t="str">
        <f t="shared" ref="DC70:GX70" si="115">LEFT(F70,1)</f>
        <v>A</v>
      </c>
      <c r="DD70" s="97" t="str">
        <f t="shared" si="115"/>
        <v>A</v>
      </c>
      <c r="DE70" s="97" t="str">
        <f t="shared" si="115"/>
        <v>B</v>
      </c>
      <c r="DF70" s="97" t="str">
        <f t="shared" si="115"/>
        <v>B</v>
      </c>
      <c r="DG70" s="97" t="str">
        <f t="shared" si="115"/>
        <v>A</v>
      </c>
      <c r="DH70" s="97" t="str">
        <f t="shared" si="115"/>
        <v>A</v>
      </c>
      <c r="DI70" s="97" t="str">
        <f t="shared" si="115"/>
        <v>A</v>
      </c>
      <c r="DJ70" s="97" t="str">
        <f t="shared" si="115"/>
        <v>A</v>
      </c>
      <c r="DK70" s="97" t="str">
        <f t="shared" si="115"/>
        <v>A</v>
      </c>
      <c r="DL70" s="97" t="str">
        <f t="shared" si="115"/>
        <v>B</v>
      </c>
      <c r="DM70" s="97" t="str">
        <f t="shared" si="115"/>
        <v>B</v>
      </c>
      <c r="DN70" s="97" t="str">
        <f t="shared" si="115"/>
        <v>B</v>
      </c>
      <c r="DO70" s="97" t="str">
        <f t="shared" si="115"/>
        <v>B</v>
      </c>
      <c r="DP70" s="97" t="str">
        <f t="shared" si="115"/>
        <v>A</v>
      </c>
      <c r="DQ70" s="97" t="str">
        <f t="shared" si="115"/>
        <v>B</v>
      </c>
      <c r="DR70" s="97" t="str">
        <f t="shared" si="115"/>
        <v>A</v>
      </c>
      <c r="DS70" s="97" t="str">
        <f t="shared" si="115"/>
        <v>B</v>
      </c>
      <c r="DT70" s="97" t="str">
        <f t="shared" si="115"/>
        <v>A</v>
      </c>
      <c r="DU70" s="97" t="str">
        <f t="shared" si="115"/>
        <v>A</v>
      </c>
      <c r="DV70" s="97" t="str">
        <f t="shared" si="115"/>
        <v>B</v>
      </c>
      <c r="DW70" s="97" t="str">
        <f t="shared" si="115"/>
        <v>A</v>
      </c>
      <c r="DX70" s="97" t="str">
        <f t="shared" si="115"/>
        <v>B</v>
      </c>
      <c r="DY70" s="97" t="str">
        <f t="shared" si="115"/>
        <v>B</v>
      </c>
      <c r="DZ70" s="97" t="str">
        <f t="shared" si="115"/>
        <v>B</v>
      </c>
      <c r="EA70" s="97" t="str">
        <f t="shared" si="115"/>
        <v>A</v>
      </c>
      <c r="EB70" s="97" t="str">
        <f t="shared" si="115"/>
        <v>B</v>
      </c>
      <c r="EC70" s="97" t="str">
        <f t="shared" si="115"/>
        <v>B</v>
      </c>
      <c r="ED70" s="97" t="str">
        <f t="shared" si="115"/>
        <v>A</v>
      </c>
      <c r="EE70" s="97" t="str">
        <f t="shared" si="115"/>
        <v>B</v>
      </c>
      <c r="EF70" s="97" t="str">
        <f t="shared" si="115"/>
        <v>B</v>
      </c>
      <c r="EG70" s="97" t="str">
        <f t="shared" si="115"/>
        <v>B</v>
      </c>
      <c r="EH70" s="97" t="str">
        <f t="shared" si="115"/>
        <v>B</v>
      </c>
      <c r="EI70" s="97" t="str">
        <f t="shared" si="115"/>
        <v>B</v>
      </c>
      <c r="EJ70" s="97" t="str">
        <f t="shared" si="115"/>
        <v>B</v>
      </c>
      <c r="EK70" s="97" t="str">
        <f t="shared" si="115"/>
        <v>B</v>
      </c>
      <c r="EL70" s="97" t="str">
        <f t="shared" si="115"/>
        <v>A</v>
      </c>
      <c r="EM70" s="97" t="str">
        <f t="shared" si="115"/>
        <v>A</v>
      </c>
      <c r="EN70" s="97" t="str">
        <f t="shared" si="115"/>
        <v>A</v>
      </c>
      <c r="EO70" s="97" t="str">
        <f t="shared" si="115"/>
        <v>A</v>
      </c>
      <c r="EP70" s="97" t="str">
        <f t="shared" si="115"/>
        <v>A</v>
      </c>
      <c r="EQ70" s="97" t="str">
        <f t="shared" si="115"/>
        <v>A</v>
      </c>
      <c r="ER70" s="97" t="str">
        <f t="shared" si="115"/>
        <v>B</v>
      </c>
      <c r="ES70" s="97" t="str">
        <f t="shared" si="115"/>
        <v>B</v>
      </c>
      <c r="ET70" s="97" t="str">
        <f t="shared" si="115"/>
        <v>B</v>
      </c>
      <c r="EU70" s="97" t="str">
        <f t="shared" si="115"/>
        <v>A</v>
      </c>
      <c r="EV70" s="97" t="str">
        <f t="shared" si="115"/>
        <v>B</v>
      </c>
      <c r="EW70" s="97" t="str">
        <f t="shared" si="115"/>
        <v>A</v>
      </c>
      <c r="EX70" s="97" t="str">
        <f t="shared" si="115"/>
        <v>B</v>
      </c>
      <c r="EY70" s="97" t="str">
        <f t="shared" si="115"/>
        <v>B</v>
      </c>
      <c r="EZ70" s="97" t="str">
        <f t="shared" si="115"/>
        <v>B</v>
      </c>
      <c r="FA70" s="97" t="str">
        <f t="shared" si="115"/>
        <v>B</v>
      </c>
      <c r="FB70" s="97" t="str">
        <f t="shared" si="115"/>
        <v>A</v>
      </c>
      <c r="FC70" s="97" t="str">
        <f t="shared" si="115"/>
        <v>B</v>
      </c>
      <c r="FD70" s="97" t="str">
        <f t="shared" si="115"/>
        <v>B</v>
      </c>
      <c r="FE70" s="97" t="str">
        <f t="shared" si="115"/>
        <v>B</v>
      </c>
      <c r="FF70" s="97" t="str">
        <f t="shared" si="115"/>
        <v>A</v>
      </c>
      <c r="FG70" s="97" t="str">
        <f t="shared" si="115"/>
        <v>A</v>
      </c>
      <c r="FH70" s="97" t="str">
        <f t="shared" si="115"/>
        <v>A</v>
      </c>
      <c r="FI70" s="97" t="str">
        <f t="shared" si="115"/>
        <v>A</v>
      </c>
      <c r="FJ70" s="97" t="str">
        <f t="shared" si="115"/>
        <v>A</v>
      </c>
      <c r="FK70" s="97" t="str">
        <f t="shared" si="115"/>
        <v>B</v>
      </c>
      <c r="FL70" s="97" t="str">
        <f t="shared" si="115"/>
        <v>B</v>
      </c>
      <c r="FM70" s="97" t="str">
        <f t="shared" si="115"/>
        <v>A</v>
      </c>
      <c r="FN70" s="97" t="str">
        <f t="shared" si="115"/>
        <v>A</v>
      </c>
      <c r="FO70" s="97" t="str">
        <f t="shared" si="115"/>
        <v>B</v>
      </c>
      <c r="FP70" s="97" t="str">
        <f t="shared" si="115"/>
        <v>B</v>
      </c>
      <c r="FQ70" s="97" t="str">
        <f t="shared" si="115"/>
        <v>B</v>
      </c>
      <c r="FR70" s="97" t="str">
        <f t="shared" si="115"/>
        <v>A</v>
      </c>
      <c r="FS70" s="97" t="str">
        <f t="shared" si="115"/>
        <v>B</v>
      </c>
      <c r="FT70" s="97" t="str">
        <f t="shared" si="115"/>
        <v>B</v>
      </c>
      <c r="FU70" s="97" t="str">
        <f t="shared" si="115"/>
        <v>B</v>
      </c>
      <c r="FV70" s="97" t="str">
        <f t="shared" si="115"/>
        <v>A</v>
      </c>
      <c r="FW70" s="97" t="str">
        <f t="shared" si="115"/>
        <v>A</v>
      </c>
      <c r="FX70" s="97" t="str">
        <f t="shared" si="115"/>
        <v>A</v>
      </c>
      <c r="FY70" s="97" t="str">
        <f t="shared" si="115"/>
        <v>B</v>
      </c>
      <c r="FZ70" s="97" t="str">
        <f t="shared" si="115"/>
        <v>A</v>
      </c>
      <c r="GA70" s="97" t="str">
        <f t="shared" si="115"/>
        <v>B</v>
      </c>
      <c r="GB70" s="97" t="str">
        <f t="shared" si="115"/>
        <v>A</v>
      </c>
      <c r="GC70" s="97" t="str">
        <f t="shared" si="115"/>
        <v>A</v>
      </c>
      <c r="GD70" s="97" t="str">
        <f t="shared" si="115"/>
        <v>A</v>
      </c>
      <c r="GE70" s="97" t="str">
        <f t="shared" si="115"/>
        <v>A</v>
      </c>
      <c r="GF70" s="97" t="str">
        <f t="shared" si="115"/>
        <v>A</v>
      </c>
      <c r="GG70" s="97" t="str">
        <f t="shared" si="115"/>
        <v>A</v>
      </c>
      <c r="GH70" s="97" t="str">
        <f t="shared" si="115"/>
        <v>B</v>
      </c>
      <c r="GI70" s="97" t="str">
        <f t="shared" si="115"/>
        <v>A</v>
      </c>
      <c r="GJ70" s="97" t="str">
        <f t="shared" si="115"/>
        <v>B</v>
      </c>
      <c r="GK70" s="97" t="str">
        <f t="shared" si="115"/>
        <v>A</v>
      </c>
      <c r="GL70" s="97" t="str">
        <f t="shared" si="115"/>
        <v>B</v>
      </c>
      <c r="GM70" s="97" t="str">
        <f t="shared" si="115"/>
        <v>A</v>
      </c>
      <c r="GN70" s="97" t="str">
        <f t="shared" si="115"/>
        <v>B</v>
      </c>
      <c r="GO70" s="97" t="str">
        <f t="shared" si="115"/>
        <v>B</v>
      </c>
      <c r="GP70" s="97" t="str">
        <f t="shared" si="115"/>
        <v>A</v>
      </c>
      <c r="GQ70" s="97" t="str">
        <f t="shared" si="115"/>
        <v>B</v>
      </c>
      <c r="GR70" s="97" t="str">
        <f t="shared" si="115"/>
        <v>A</v>
      </c>
      <c r="GS70" s="97" t="str">
        <f t="shared" si="115"/>
        <v>A</v>
      </c>
      <c r="GT70" s="97" t="str">
        <f t="shared" si="115"/>
        <v>A</v>
      </c>
      <c r="GU70" s="97" t="str">
        <f t="shared" si="115"/>
        <v>A</v>
      </c>
      <c r="GV70" s="97" t="str">
        <f t="shared" si="115"/>
        <v>A</v>
      </c>
      <c r="GW70" s="97" t="str">
        <f t="shared" si="115"/>
        <v>A</v>
      </c>
      <c r="GX70" s="97" t="str">
        <f t="shared" si="115"/>
        <v>A</v>
      </c>
      <c r="GY70" s="98"/>
      <c r="GZ70" s="97">
        <f t="shared" si="3"/>
        <v>52</v>
      </c>
      <c r="HA70" s="97">
        <f t="shared" si="4"/>
        <v>48</v>
      </c>
      <c r="HB70" s="90">
        <f t="shared" si="5"/>
        <v>100</v>
      </c>
      <c r="HC70" s="99"/>
      <c r="HD70" s="97">
        <f t="shared" si="6"/>
        <v>7</v>
      </c>
      <c r="HE70" s="97">
        <f t="shared" si="7"/>
        <v>3</v>
      </c>
      <c r="HF70" s="90">
        <f t="shared" si="8"/>
        <v>10</v>
      </c>
      <c r="HG70" s="99"/>
      <c r="HH70" s="97">
        <f t="shared" si="9"/>
        <v>6</v>
      </c>
      <c r="HI70" s="97">
        <f t="shared" si="10"/>
        <v>6</v>
      </c>
      <c r="HJ70" s="90">
        <f t="shared" si="11"/>
        <v>12</v>
      </c>
      <c r="HK70" s="99"/>
      <c r="HL70" s="97">
        <f t="shared" si="12"/>
        <v>7</v>
      </c>
      <c r="HM70" s="97">
        <f t="shared" si="13"/>
        <v>7</v>
      </c>
      <c r="HN70" s="90">
        <f t="shared" si="14"/>
        <v>14</v>
      </c>
      <c r="HO70" s="99"/>
      <c r="HP70" s="97">
        <f t="shared" si="15"/>
        <v>3</v>
      </c>
      <c r="HQ70" s="97">
        <f t="shared" si="16"/>
        <v>5</v>
      </c>
      <c r="HR70" s="90">
        <f t="shared" si="17"/>
        <v>8</v>
      </c>
      <c r="HS70" s="99"/>
      <c r="HT70" s="97">
        <f t="shared" si="18"/>
        <v>8</v>
      </c>
      <c r="HU70" s="97">
        <f t="shared" si="19"/>
        <v>7</v>
      </c>
      <c r="HV70" s="90">
        <f t="shared" si="20"/>
        <v>15</v>
      </c>
      <c r="HW70" s="99"/>
      <c r="HX70" s="97">
        <f t="shared" si="21"/>
        <v>2</v>
      </c>
      <c r="HY70" s="97">
        <f t="shared" si="22"/>
        <v>4</v>
      </c>
      <c r="HZ70" s="90">
        <f t="shared" si="23"/>
        <v>6</v>
      </c>
      <c r="IA70" s="99"/>
      <c r="IB70" s="97">
        <f t="shared" si="24"/>
        <v>6</v>
      </c>
      <c r="IC70" s="97">
        <f t="shared" si="25"/>
        <v>7</v>
      </c>
      <c r="ID70" s="90">
        <f t="shared" si="26"/>
        <v>13</v>
      </c>
      <c r="IE70" s="99"/>
      <c r="IF70" s="97">
        <f t="shared" si="27"/>
        <v>3</v>
      </c>
      <c r="IG70" s="97">
        <f t="shared" si="28"/>
        <v>3</v>
      </c>
      <c r="IH70" s="90">
        <f t="shared" si="29"/>
        <v>6</v>
      </c>
      <c r="II70" s="99"/>
      <c r="IJ70" s="97">
        <f t="shared" si="30"/>
        <v>4</v>
      </c>
      <c r="IK70" s="97">
        <f t="shared" si="31"/>
        <v>4</v>
      </c>
      <c r="IL70" s="90">
        <f t="shared" si="32"/>
        <v>8</v>
      </c>
      <c r="IM70" s="99"/>
      <c r="IN70" s="97">
        <f t="shared" si="33"/>
        <v>0</v>
      </c>
      <c r="IO70" s="97">
        <f t="shared" si="34"/>
        <v>2</v>
      </c>
      <c r="IP70" s="90">
        <f t="shared" si="35"/>
        <v>2</v>
      </c>
      <c r="IQ70" s="99"/>
      <c r="IR70" s="99"/>
      <c r="IS70" s="100">
        <f t="shared" si="36"/>
        <v>10</v>
      </c>
      <c r="IT70" s="100">
        <f t="shared" si="37"/>
        <v>12</v>
      </c>
      <c r="IU70" s="100">
        <f t="shared" si="38"/>
        <v>14</v>
      </c>
      <c r="IV70" s="100">
        <f t="shared" si="39"/>
        <v>8</v>
      </c>
      <c r="IW70" s="100">
        <f t="shared" si="40"/>
        <v>15</v>
      </c>
      <c r="IX70" s="100">
        <f t="shared" si="41"/>
        <v>6</v>
      </c>
      <c r="IY70" s="100">
        <f t="shared" si="42"/>
        <v>13</v>
      </c>
      <c r="IZ70" s="100">
        <f t="shared" si="43"/>
        <v>6</v>
      </c>
      <c r="JA70" s="100">
        <f t="shared" si="44"/>
        <v>8</v>
      </c>
      <c r="JB70" s="101">
        <f t="shared" si="45"/>
        <v>2</v>
      </c>
      <c r="JC70" s="102">
        <f t="shared" si="46"/>
        <v>94</v>
      </c>
      <c r="JD70" s="67">
        <f t="shared" si="50"/>
        <v>0</v>
      </c>
      <c r="JE70" s="67">
        <f t="shared" si="47"/>
        <v>1</v>
      </c>
      <c r="JF70" s="67">
        <f t="shared" si="48"/>
        <v>1</v>
      </c>
    </row>
    <row r="71">
      <c r="A71" s="103">
        <f>IFERROR(__xludf.DUMMYFUNCTION("""COMPUTED_VALUE"""),45935.44866098379)</f>
        <v>45935.44866</v>
      </c>
      <c r="B71" s="95" t="str">
        <f>IFERROR(__xludf.DUMMYFUNCTION("""COMPUTED_VALUE"""),"Hafizh Abdurrahman ")</f>
        <v>Hafizh Abdurrahman </v>
      </c>
      <c r="C71" s="96" t="str">
        <f>IFERROR(__xludf.DUMMYFUNCTION("""COMPUTED_VALUE"""),"B250004")</f>
        <v>B250004</v>
      </c>
      <c r="D71" s="96" t="str">
        <f>IFERROR(__xludf.DUMMYFUNCTION("""COMPUTED_VALUE"""),"IL Putra")</f>
        <v>IL Putra</v>
      </c>
      <c r="E71" s="96" t="str">
        <f>IFERROR(__xludf.DUMMYFUNCTION("""COMPUTED_VALUE"""),"Ya")</f>
        <v>Ya</v>
      </c>
      <c r="F71" s="95" t="str">
        <f>IFERROR(__xludf.DUMMYFUNCTION("""COMPUTED_VALUE"""),"B Saya ingin melakukan apa saja sebaik mungkin.")</f>
        <v>B Saya ingin melakukan apa saja sebaik mungkin.</v>
      </c>
      <c r="G71" s="95" t="str">
        <f>IFERROR(__xludf.DUMMYFUNCTION("""COMPUTED_VALUE"""),"B Saya ingin menyelesaikan tugas yang segera dikumpulkan.")</f>
        <v>B Saya ingin menyelesaikan tugas yang segera dikumpulkan.</v>
      </c>
      <c r="H71" s="95" t="str">
        <f>IFERROR(__xludf.DUMMYFUNCTION("""COMPUTED_VALUE"""),"A Saya ingin berbuat sesuai kata hati saya.")</f>
        <v>A Saya ingin berbuat sesuai kata hati saya.</v>
      </c>
      <c r="I71" s="95" t="str">
        <f>IFERROR(__xludf.DUMMYFUNCTION("""COMPUTED_VALUE"""),"B Saya ingin bisa melakukan dengan baik meskipun tugas yang sulit.")</f>
        <v>B Saya ingin bisa melakukan dengan baik meskipun tugas yang sulit.</v>
      </c>
      <c r="J71" s="95" t="str">
        <f>IFERROR(__xludf.DUMMYFUNCTION("""COMPUTED_VALUE"""),"A Saya suka membantu teman-teman saya apabila mereka mengalami kesulitan.")</f>
        <v>A Saya suka membantu teman-teman saya apabila mereka mengalami kesulitan.</v>
      </c>
      <c r="K71" s="95" t="str">
        <f>IFERROR(__xludf.DUMMYFUNCTION("""COMPUTED_VALUE"""),"A Saya ingin menjadi pemimpin dalam suatu kelompok.")</f>
        <v>A Saya ingin menjadi pemimpin dalam suatu kelompok.</v>
      </c>
      <c r="L71" s="95" t="str">
        <f>IFERROR(__xludf.DUMMYFUNCTION("""COMPUTED_VALUE"""),"A Saya ingin menjadi pemimpin dalam suatu kelompok")</f>
        <v>A Saya ingin menjadi pemimpin dalam suatu kelompok</v>
      </c>
      <c r="M71" s="95" t="str">
        <f>IFERROR(__xludf.DUMMYFUNCTION("""COMPUTED_VALUE"""),"B Saya ingin mengerjakan segala tugas lebih baik daripada orang lain.")</f>
        <v>B Saya ingin mengerjakan segala tugas lebih baik daripada orang lain.</v>
      </c>
      <c r="N71" s="95" t="str">
        <f>IFERROR(__xludf.DUMMYFUNCTION("""COMPUTED_VALUE"""),"B Saya suka memecahkan persoalan yang sukar bagi orang lain.")</f>
        <v>B Saya suka memecahkan persoalan yang sukar bagi orang lain.</v>
      </c>
      <c r="O71" s="95" t="str">
        <f>IFERROR(__xludf.DUMMYFUNCTION("""COMPUTED_VALUE"""),"B Saya suka melakukan tugas sebaik mungkin.")</f>
        <v>B Saya suka melakukan tugas sebaik mungkin.</v>
      </c>
      <c r="P71" s="95" t="str">
        <f>IFERROR(__xludf.DUMMYFUNCTION("""COMPUTED_VALUE"""),"A Saya suka bercerita tentang hal-hal yang menegangkan atau menantang.")</f>
        <v>A Saya suka bercerita tentang hal-hal yang menegangkan atau menantang.</v>
      </c>
      <c r="Q71" s="95" t="str">
        <f>IFERROR(__xludf.DUMMYFUNCTION("""COMPUTED_VALUE"""),"B Saya merencanakan keperluan yang dibutuhkan sebelum bepergian.")</f>
        <v>B Saya merencanakan keperluan yang dibutuhkan sebelum bepergian.</v>
      </c>
      <c r="R71" s="95" t="str">
        <f>IFERROR(__xludf.DUMMYFUNCTION("""COMPUTED_VALUE"""),"B Saya suka barang-barang saya tersusun rapi dan teratur.")</f>
        <v>B Saya suka barang-barang saya tersusun rapi dan teratur.</v>
      </c>
      <c r="S71" s="95" t="str">
        <f>IFERROR(__xludf.DUMMYFUNCTION("""COMPUTED_VALUE"""),"A Saya ingin agar teman-teman pengertian bila saya mengalami kesukaran.")</f>
        <v>A Saya ingin agar teman-teman pengertian bila saya mengalami kesukaran.</v>
      </c>
      <c r="T71" s="95" t="str">
        <f>IFERROR(__xludf.DUMMYFUNCTION("""COMPUTED_VALUE"""),"B Saya ingin agar hidup saya teratur sesuai cita-cita saya.")</f>
        <v>B Saya ingin agar hidup saya teratur sesuai cita-cita saya.</v>
      </c>
      <c r="U71" s="95" t="str">
        <f>IFERROR(__xludf.DUMMYFUNCTION("""COMPUTED_VALUE"""),"B Saya suka menyimpan catatan secara rapi.")</f>
        <v>B Saya suka menyimpan catatan secara rapi.</v>
      </c>
      <c r="V71" s="95" t="str">
        <f>IFERROR(__xludf.DUMMYFUNCTION("""COMPUTED_VALUE"""),"A Saya suka belajar sampai malam untuk menyelesaikan suatu tugas.")</f>
        <v>A Saya suka belajar sampai malam untuk menyelesaikan suatu tugas.</v>
      </c>
      <c r="W71" s="95" t="str">
        <f>IFERROR(__xludf.DUMMYFUNCTION("""COMPUTED_VALUE"""),"A Saya suka melakukan kegiatan sesuai kondisi yang saya inginkan.")</f>
        <v>A Saya suka melakukan kegiatan sesuai kondisi yang saya inginkan.</v>
      </c>
      <c r="X71" s="95" t="str">
        <f>IFERROR(__xludf.DUMMYFUNCTION("""COMPUTED_VALUE"""),"B Saya ingin agar hidup saya teratur sesuai cita-cita saya.")</f>
        <v>B Saya ingin agar hidup saya teratur sesuai cita-cita saya.</v>
      </c>
      <c r="Y71" s="95" t="str">
        <f>IFERROR(__xludf.DUMMYFUNCTION("""COMPUTED_VALUE"""),"A Saya suka menyelesaikan tugas-tugas yang membutuhkan ketrampilan dan usaha.")</f>
        <v>A Saya suka menyelesaikan tugas-tugas yang membutuhkan ketrampilan dan usaha.</v>
      </c>
      <c r="Z71" s="95" t="str">
        <f>IFERROR(__xludf.DUMMYFUNCTION("""COMPUTED_VALUE"""),"A Saya ingin berhasil dengan belajar yang saya lakukan.")</f>
        <v>A Saya ingin berhasil dengan belajar yang saya lakukan.</v>
      </c>
      <c r="AA71" s="95" t="str">
        <f>IFERROR(__xludf.DUMMYFUNCTION("""COMPUTED_VALUE"""),"B Saya tidak suka pada orang yang berbuat seenaknya sendiri.")</f>
        <v>B Saya tidak suka pada orang yang berbuat seenaknya sendiri.</v>
      </c>
      <c r="AB71" s="95" t="str">
        <f>IFERROR(__xludf.DUMMYFUNCTION("""COMPUTED_VALUE"""),"B Saya ingin menyelesaikan pekerjaan satu persatu sebelum memulai yang lain.")</f>
        <v>B Saya ingin menyelesaikan pekerjaan satu persatu sebelum memulai yang lain.</v>
      </c>
      <c r="AC71" s="95" t="str">
        <f>IFERROR(__xludf.DUMMYFUNCTION("""COMPUTED_VALUE"""),"A Saya suka menyelesaikan setiap tugas meskipun membutuhkan waktu lama.")</f>
        <v>A Saya suka menyelesaikan setiap tugas meskipun membutuhkan waktu lama.</v>
      </c>
      <c r="AD71" s="95" t="str">
        <f>IFERROR(__xludf.DUMMYFUNCTION("""COMPUTED_VALUE"""),"B Saya suka menyatakan pendapat saya tentang berbagai hal.")</f>
        <v>B Saya suka menyatakan pendapat saya tentang berbagai hal.</v>
      </c>
      <c r="AE71" s="95" t="str">
        <f>IFERROR(__xludf.DUMMYFUNCTION("""COMPUTED_VALUE"""),"A Saya ingin dianggap sebagai pemimpin oleh teman di kelompok.")</f>
        <v>A Saya ingin dianggap sebagai pemimpin oleh teman di kelompok.</v>
      </c>
      <c r="AF71" s="95" t="str">
        <f>IFERROR(__xludf.DUMMYFUNCTION("""COMPUTED_VALUE"""),"A Saya ingin agar teman-teman mengerti bila saya mengalami kesukaran.")</f>
        <v>A Saya ingin agar teman-teman mengerti bila saya mengalami kesukaran.</v>
      </c>
      <c r="AG71" s="95" t="str">
        <f>IFERROR(__xludf.DUMMYFUNCTION("""COMPUTED_VALUE"""),"A Saya mengajari orang lain bagaimana mereka harus melakukan pekerjaan mereka.")</f>
        <v>A Saya mengajari orang lain bagaimana mereka harus melakukan pekerjaan mereka.</v>
      </c>
      <c r="AH71" s="95" t="str">
        <f>IFERROR(__xludf.DUMMYFUNCTION("""COMPUTED_VALUE"""),"A Saya suka membaca buku-buku tentang pergaulan remaja.")</f>
        <v>A Saya suka membaca buku-buku tentang pergaulan remaja.</v>
      </c>
      <c r="AI71" s="95" t="str">
        <f>IFERROR(__xludf.DUMMYFUNCTION("""COMPUTED_VALUE"""),"A Saya ingin menghardik orang lain bila saya berbeda pendapat dengan mereka.")</f>
        <v>A Saya ingin menghardik orang lain bila saya berbeda pendapat dengan mereka.</v>
      </c>
      <c r="AJ71" s="95" t="str">
        <f>IFERROR(__xludf.DUMMYFUNCTION("""COMPUTED_VALUE"""),"B Saya suka bertahan menghadapi satu masalah meskipun belum tentu berhasil.")</f>
        <v>B Saya suka bertahan menghadapi satu masalah meskipun belum tentu berhasil.</v>
      </c>
      <c r="AK71" s="95" t="str">
        <f>IFERROR(__xludf.DUMMYFUNCTION("""COMPUTED_VALUE"""),"B Bila saya harus melakukan suatu tugas, saya ingin mengerjakan sampai selesai.")</f>
        <v>B Bila saya harus melakukan suatu tugas, saya ingin mengerjakan sampai selesai.</v>
      </c>
      <c r="AL71" s="95" t="str">
        <f>IFERROR(__xludf.DUMMYFUNCTION("""COMPUTED_VALUE"""),"B Saya ingin menghindarkan gangguan bila saya sedang belajar.")</f>
        <v>B Saya ingin menghindarkan gangguan bila saya sedang belajar.</v>
      </c>
      <c r="AM71" s="95" t="str">
        <f>IFERROR(__xludf.DUMMYFUNCTION("""COMPUTED_VALUE"""),"A Saya ingin teman-teman saya merasa kasihan pada saya apabila saya sakit.")</f>
        <v>A Saya ingin teman-teman saya merasa kasihan pada saya apabila saya sakit.</v>
      </c>
      <c r="AN71" s="95" t="str">
        <f>IFERROR(__xludf.DUMMYFUNCTION("""COMPUTED_VALUE"""),"A Saya tidak suka pada orang yang semena-mena.")</f>
        <v>A Saya tidak suka pada orang yang semena-mena.</v>
      </c>
      <c r="AO71" s="95" t="str">
        <f>IFERROR(__xludf.DUMMYFUNCTION("""COMPUTED_VALUE"""),"A Saya suka berlaku sangat ramah terhadap teman-teman saya.")</f>
        <v>A Saya suka berlaku sangat ramah terhadap teman-teman saya.</v>
      </c>
      <c r="AP71" s="95" t="str">
        <f>IFERROR(__xludf.DUMMYFUNCTION("""COMPUTED_VALUE"""),"B Saya suka bertahan menghadapi satu masalah meskipun belum tentu berhasil.")</f>
        <v>B Saya suka bertahan menghadapi satu masalah meskipun belum tentu berhasil.</v>
      </c>
      <c r="AQ71" s="95" t="str">
        <f>IFERROR(__xludf.DUMMYFUNCTION("""COMPUTED_VALUE"""),"B Bila saya harus melakukan suatu tugas, saya ingin mengerjakan sampai selesai.")</f>
        <v>B Bila saya harus melakukan suatu tugas, saya ingin mengerjakan sampai selesai.</v>
      </c>
      <c r="AR71" s="95" t="str">
        <f>IFERROR(__xludf.DUMMYFUNCTION("""COMPUTED_VALUE"""),"A Saya suka menyimpan catatan secara rapi.")</f>
        <v>A Saya suka menyimpan catatan secara rapi.</v>
      </c>
      <c r="AS71" s="95" t="str">
        <f>IFERROR(__xludf.DUMMYFUNCTION("""COMPUTED_VALUE"""),"B Saya suka belajar sampai malam untuk menyelesaikan suatu tugas.")</f>
        <v>B Saya suka belajar sampai malam untuk menyelesaikan suatu tugas.</v>
      </c>
      <c r="AT71" s="95" t="str">
        <f>IFERROR(__xludf.DUMMYFUNCTION("""COMPUTED_VALUE"""),"B Saya suka membantu orang lain yang menurut saya perlu dikasihani.")</f>
        <v>B Saya suka membantu orang lain yang menurut saya perlu dikasihani.</v>
      </c>
      <c r="AU71" s="95" t="str">
        <f>IFERROR(__xludf.DUMMYFUNCTION("""COMPUTED_VALUE"""),"A Saya ingin menyelesaikan pekerjaan satu persatu sebelum memulai yang lain.")</f>
        <v>A Saya ingin menyelesaikan pekerjaan satu persatu sebelum memulai yang lain.</v>
      </c>
      <c r="AV71" s="95" t="str">
        <f>IFERROR(__xludf.DUMMYFUNCTION("""COMPUTED_VALUE"""),"B Saya suka menolong teman-teman saya.")</f>
        <v>B Saya suka menolong teman-teman saya.</v>
      </c>
      <c r="AW71" s="95" t="str">
        <f>IFERROR(__xludf.DUMMYFUNCTION("""COMPUTED_VALUE"""),"A Saya ingin mengerjakan tugas sampai selesai.")</f>
        <v>A Saya ingin mengerjakan tugas sampai selesai.</v>
      </c>
      <c r="AX71" s="95" t="str">
        <f>IFERROR(__xludf.DUMMYFUNCTION("""COMPUTED_VALUE"""),"B Saya suka memaafkan teman-teman saya yang menyakiti hati saya.")</f>
        <v>B Saya suka memaafkan teman-teman saya yang menyakiti hati saya.</v>
      </c>
      <c r="AY71" s="95" t="str">
        <f>IFERROR(__xludf.DUMMYFUNCTION("""COMPUTED_VALUE"""),"B Saya suka menolong teman-teman saya apabila mereka dalam kesulitan.")</f>
        <v>B Saya suka menolong teman-teman saya apabila mereka dalam kesulitan.</v>
      </c>
      <c r="AZ71" s="95" t="str">
        <f>IFERROR(__xludf.DUMMYFUNCTION("""COMPUTED_VALUE"""),"A Saya ingin agar teman-teman saya bersimpati dan menghibur saya bila saya sedih.")</f>
        <v>A Saya ingin agar teman-teman saya bersimpati dan menghibur saya bila saya sedih.</v>
      </c>
      <c r="BA71" s="95" t="str">
        <f>IFERROR(__xludf.DUMMYFUNCTION("""COMPUTED_VALUE"""),"A Saya suka menyatakan pendapat saya tentang berbagai hal.")</f>
        <v>A Saya suka menyatakan pendapat saya tentang berbagai hal.</v>
      </c>
      <c r="BB71" s="95" t="str">
        <f>IFERROR(__xludf.DUMMYFUNCTION("""COMPUTED_VALUE"""),"A Saya berkeinginan untuk bersama orang yang menarik bagi saya.")</f>
        <v>A Saya berkeinginan untuk bersama orang yang menarik bagi saya.</v>
      </c>
      <c r="BC71" s="95" t="str">
        <f>IFERROR(__xludf.DUMMYFUNCTION("""COMPUTED_VALUE"""),"B Saya suka membantu orang lain yang menurut saya perlu dikasihani.")</f>
        <v>B Saya suka membantu orang lain yang menurut saya perlu dikasihani.</v>
      </c>
      <c r="BD71" s="95" t="str">
        <f>IFERROR(__xludf.DUMMYFUNCTION("""COMPUTED_VALUE"""),"A Saya rasanya ingin menyalahkan orang lain bila keadaan tidak baik bagi saya.")</f>
        <v>A Saya rasanya ingin menyalahkan orang lain bila keadaan tidak baik bagi saya.</v>
      </c>
      <c r="BE71" s="95" t="str">
        <f>IFERROR(__xludf.DUMMYFUNCTION("""COMPUTED_VALUE"""),"B Saya ingin orang lain melakukan apa yang saya kehendaki.")</f>
        <v>B Saya ingin orang lain melakukan apa yang saya kehendaki.</v>
      </c>
      <c r="BF71" s="95" t="str">
        <f>IFERROR(__xludf.DUMMYFUNCTION("""COMPUTED_VALUE"""),"B Bila saya dalam kelompok, saya ingin menentukan apa yang akan kita lakukan.")</f>
        <v>B Bila saya dalam kelompok, saya ingin menentukan apa yang akan kita lakukan.</v>
      </c>
      <c r="BG71" s="95" t="str">
        <f>IFERROR(__xludf.DUMMYFUNCTION("""COMPUTED_VALUE"""),"B Saya suka mengarahkan kepada orang lain apa yang harus dilakukan.")</f>
        <v>B Saya suka mengarahkan kepada orang lain apa yang harus dilakukan.</v>
      </c>
      <c r="BH71" s="95" t="str">
        <f>IFERROR(__xludf.DUMMYFUNCTION("""COMPUTED_VALUE"""),"A Saya suka menghindar dari situasi yang tidak saya harapkan.")</f>
        <v>A Saya suka menghindar dari situasi yang tidak saya harapkan.</v>
      </c>
      <c r="BI71" s="95" t="str">
        <f>IFERROR(__xludf.DUMMYFUNCTION("""COMPUTED_VALUE"""),"B Saya ingin orang lain melakukan apa yang saya kehendaki.")</f>
        <v>B Saya ingin orang lain melakukan apa yang saya kehendaki.</v>
      </c>
      <c r="BJ71" s="95" t="str">
        <f>IFERROR(__xludf.DUMMYFUNCTION("""COMPUTED_VALUE"""),"A Saya ingin mengerjakan tugas sampai selesai.")</f>
        <v>A Saya ingin mengerjakan tugas sampai selesai.</v>
      </c>
      <c r="BK71" s="95" t="str">
        <f>IFERROR(__xludf.DUMMYFUNCTION("""COMPUTED_VALUE"""),"A Saya ingin menyelesaikan pekerjaan satu persatu sebelum memulai yang lain.")</f>
        <v>A Saya ingin menyelesaikan pekerjaan satu persatu sebelum memulai yang lain.</v>
      </c>
      <c r="BL71" s="95" t="str">
        <f>IFERROR(__xludf.DUMMYFUNCTION("""COMPUTED_VALUE"""),"A Saya suka belajar saya teratur dan ada waktu-waktu tertentu untuk belajar.")</f>
        <v>A Saya suka belajar saya teratur dan ada waktu-waktu tertentu untuk belajar.</v>
      </c>
      <c r="BM71" s="95" t="str">
        <f>IFERROR(__xludf.DUMMYFUNCTION("""COMPUTED_VALUE"""),"A Saya suka melakukan pekerjaan sebaik mungkin.")</f>
        <v>A Saya suka melakukan pekerjaan sebaik mungkin.</v>
      </c>
      <c r="BN71" s="95" t="str">
        <f>IFERROR(__xludf.DUMMYFUNCTION("""COMPUTED_VALUE"""),"B Saya ingin teman-teman memberi dorongan bila saya menghadapi kegagalan.")</f>
        <v>B Saya ingin teman-teman memberi dorongan bila saya menghadapi kegagalan.</v>
      </c>
      <c r="BO71" s="95" t="str">
        <f>IFERROR(__xludf.DUMMYFUNCTION("""COMPUTED_VALUE"""),"A Saya suka membuat perencanaan sebelum memulai belajar yang sulit.")</f>
        <v>A Saya suka membuat perencanaan sebelum memulai belajar yang sulit.</v>
      </c>
      <c r="BP71" s="95" t="str">
        <f>IFERROR(__xludf.DUMMYFUNCTION("""COMPUTED_VALUE"""),"A Saya ingin menyelesaikan sesuatu yang sangat penting artinya.")</f>
        <v>A Saya ingin menyelesaikan sesuatu yang sangat penting artinya.</v>
      </c>
      <c r="BQ71" s="95" t="str">
        <f>IFERROR(__xludf.DUMMYFUNCTION("""COMPUTED_VALUE"""),"A Saya ingin mengerjakannya tugas sampai selesai.")</f>
        <v>A Saya ingin mengerjakannya tugas sampai selesai.</v>
      </c>
      <c r="BR71" s="95" t="str">
        <f>IFERROR(__xludf.DUMMYFUNCTION("""COMPUTED_VALUE"""),"A Saya suka memaafkan teman-teman saya yang menyakiti hati saya.")</f>
        <v>A Saya suka memaafkan teman-teman saya yang menyakiti hati saya.</v>
      </c>
      <c r="BS71" s="95" t="str">
        <f>IFERROR(__xludf.DUMMYFUNCTION("""COMPUTED_VALUE"""),"B Saya ingin teman-teman saya membantu saya bila saya mengalami kesulitan")</f>
        <v>B Saya ingin teman-teman saya membantu saya bila saya mengalami kesulitan</v>
      </c>
      <c r="BT71" s="95" t="str">
        <f>IFERROR(__xludf.DUMMYFUNCTION("""COMPUTED_VALUE"""),"A Saya ingin teman-teman saya merasa kasihan pada saya apabila saya sakit.")</f>
        <v>A Saya ingin teman-teman saya merasa kasihan pada saya apabila saya sakit.</v>
      </c>
      <c r="BU71" s="95" t="str">
        <f>IFERROR(__xludf.DUMMYFUNCTION("""COMPUTED_VALUE"""),"A Saya kadang-kadang suka melakukan hal-hal yang dapat dipuji oleh orang lain.")</f>
        <v>A Saya kadang-kadang suka melakukan hal-hal yang dapat dipuji oleh orang lain.</v>
      </c>
      <c r="BV71" s="95" t="str">
        <f>IFERROR(__xludf.DUMMYFUNCTION("""COMPUTED_VALUE"""),"B Saya ingin teman-teman dengan gembira memberikan pertolongan kepada saya.")</f>
        <v>B Saya ingin teman-teman dengan gembira memberikan pertolongan kepada saya.</v>
      </c>
      <c r="BW71" s="95" t="str">
        <f>IFERROR(__xludf.DUMMYFUNCTION("""COMPUTED_VALUE"""),"A Saya akan menyerang pendapat yang bertentangan dengan pendirian saya.")</f>
        <v>A Saya akan menyerang pendapat yang bertentangan dengan pendirian saya.</v>
      </c>
      <c r="BX71" s="95" t="str">
        <f>IFERROR(__xludf.DUMMYFUNCTION("""COMPUTED_VALUE"""),"B Saya kadang-kadang suka melakukan hal-hal yang dapat dipuji oleh orang lain.")</f>
        <v>B Saya kadang-kadang suka melakukan hal-hal yang dapat dipuji oleh orang lain.</v>
      </c>
      <c r="BY71" s="95" t="str">
        <f>IFERROR(__xludf.DUMMYFUNCTION("""COMPUTED_VALUE"""),"A Saya suka melamun atau membayangkan hal-hal yang tidak jelas.")</f>
        <v>A Saya suka melamun atau membayangkan hal-hal yang tidak jelas.</v>
      </c>
      <c r="BZ71" s="95" t="str">
        <f>IFERROR(__xludf.DUMMYFUNCTION("""COMPUTED_VALUE"""),"A Saya suka berkata yang artinya sulit dipahami oleh orang lain.")</f>
        <v>A Saya suka berkata yang artinya sulit dipahami oleh orang lain.</v>
      </c>
      <c r="CA71" s="95" t="str">
        <f>IFERROR(__xludf.DUMMYFUNCTION("""COMPUTED_VALUE"""),"A Saya ingin teman-teman dengan gembira memberikan pertolongan kepada saya.")</f>
        <v>A Saya ingin teman-teman dengan gembira memberikan pertolongan kepada saya.</v>
      </c>
      <c r="CB71" s="95" t="str">
        <f>IFERROR(__xludf.DUMMYFUNCTION("""COMPUTED_VALUE"""),"B Saya suka berbicara tentang hal-hal yang telah saya capai.")</f>
        <v>B Saya suka berbicara tentang hal-hal yang telah saya capai.</v>
      </c>
      <c r="CC71" s="95" t="str">
        <f>IFERROR(__xludf.DUMMYFUNCTION("""COMPUTED_VALUE"""),"B Saya suka menceritakan hal-hal lucu agar diperhatikan oleh orang lain.")</f>
        <v>B Saya suka menceritakan hal-hal lucu agar diperhatikan oleh orang lain.</v>
      </c>
      <c r="CD71" s="95" t="str">
        <f>IFERROR(__xludf.DUMMYFUNCTION("""COMPUTED_VALUE"""),"A Saya suka menyelesaikan setiap tugas meskipun membutuhkan waktu lama.")</f>
        <v>A Saya suka menyelesaikan setiap tugas meskipun membutuhkan waktu lama.</v>
      </c>
      <c r="CE71" s="95" t="str">
        <f>IFERROR(__xludf.DUMMYFUNCTION("""COMPUTED_VALUE"""),"A Saya suka menyelesaikan setiap tugas belajar yang telah saya mulai.")</f>
        <v>A Saya suka menyelesaikan setiap tugas belajar yang telah saya mulai.</v>
      </c>
      <c r="CF71" s="95" t="str">
        <f>IFERROR(__xludf.DUMMYFUNCTION("""COMPUTED_VALUE"""),"A Saya ingin agar hidup saya teratur sesuai cita-cita saya.")</f>
        <v>A Saya ingin agar hidup saya teratur sesuai cita-cita saya.</v>
      </c>
      <c r="CG71" s="95" t="str">
        <f>IFERROR(__xludf.DUMMYFUNCTION("""COMPUTED_VALUE"""),"A Saya ingin berhasil dalam apa yang saya lakukan.")</f>
        <v>A Saya ingin berhasil dalam apa yang saya lakukan.</v>
      </c>
      <c r="CH71" s="95" t="str">
        <f>IFERROR(__xludf.DUMMYFUNCTION("""COMPUTED_VALUE"""),"A Saya ingin bisa melakukan dengan baik sesuatu pekerjaan sulit.")</f>
        <v>A Saya ingin bisa melakukan dengan baik sesuatu pekerjaan sulit.</v>
      </c>
      <c r="CI71" s="95" t="str">
        <f>IFERROR(__xludf.DUMMYFUNCTION("""COMPUTED_VALUE"""),"A Saya suka belajar saya teratur dan ada waktu-waktu tertentu untuk belajar.")</f>
        <v>A Saya suka belajar saya teratur dan ada waktu-waktu tertentu untuk belajar.</v>
      </c>
      <c r="CJ71" s="95" t="str">
        <f>IFERROR(__xludf.DUMMYFUNCTION("""COMPUTED_VALUE"""),"A Saya ingin tidak tergantung dari orang lain terhadap apa yang akan saya lakukan.")</f>
        <v>A Saya ingin tidak tergantung dari orang lain terhadap apa yang akan saya lakukan.</v>
      </c>
      <c r="CK71" s="95" t="str">
        <f>IFERROR(__xludf.DUMMYFUNCTION("""COMPUTED_VALUE"""),"B Saya senang ikut beraktivitas bersama teman sebaya saya.")</f>
        <v>B Saya senang ikut beraktivitas bersama teman sebaya saya.</v>
      </c>
      <c r="CL71" s="95" t="str">
        <f>IFERROR(__xludf.DUMMYFUNCTION("""COMPUTED_VALUE"""),"B Saya berkeinginan untuk bersama teman yang menurut saya menarik.")</f>
        <v>B Saya berkeinginan untuk bersama teman yang menurut saya menarik.</v>
      </c>
      <c r="CM71" s="95" t="str">
        <f>IFERROR(__xludf.DUMMYFUNCTION("""COMPUTED_VALUE"""),"B Saya merasa kagum pada seseorang.")</f>
        <v>B Saya merasa kagum pada seseorang.</v>
      </c>
      <c r="CN71" s="95" t="str">
        <f>IFERROR(__xludf.DUMMYFUNCTION("""COMPUTED_VALUE"""),"A Saya ingin diperlakukan dengan baik oleh teman-teman saya.")</f>
        <v>A Saya ingin diperlakukan dengan baik oleh teman-teman saya.</v>
      </c>
      <c r="CO71" s="95" t="str">
        <f>IFERROR(__xludf.DUMMYFUNCTION("""COMPUTED_VALUE"""),"B Saya suka memuji orang yang saya kagumi.")</f>
        <v>B Saya suka memuji orang yang saya kagumi.</v>
      </c>
      <c r="CP71" s="95" t="str">
        <f>IFERROR(__xludf.DUMMYFUNCTION("""COMPUTED_VALUE"""),"A Saya suka melamun atau membayangkan sesuatu sendirian.")</f>
        <v>A Saya suka melamun atau membayangkan sesuatu sendirian.</v>
      </c>
      <c r="CQ71" s="95" t="str">
        <f>IFERROR(__xludf.DUMMYFUNCTION("""COMPUTED_VALUE"""),"B Saya merasa kagum pada seseorang.")</f>
        <v>B Saya merasa kagum pada seseorang.</v>
      </c>
      <c r="CR71" s="95" t="str">
        <f>IFERROR(__xludf.DUMMYFUNCTION("""COMPUTED_VALUE"""),"B Saya rasanya ingin mengecam seseorang bila orang itu menjengkelkan.")</f>
        <v>B Saya rasanya ingin mengecam seseorang bila orang itu menjengkelkan.</v>
      </c>
      <c r="CS71" s="95" t="str">
        <f>IFERROR(__xludf.DUMMYFUNCTION("""COMPUTED_VALUE"""),"B Saya rasanya ingin membalas dendam bila seseorang menghina saya.")</f>
        <v>B Saya rasanya ingin membalas dendam bila seseorang menghina saya.</v>
      </c>
      <c r="CT71" s="95" t="str">
        <f>IFERROR(__xludf.DUMMYFUNCTION("""COMPUTED_VALUE"""),"B Saya saat marah rasanya ingin melemparkan dan merusak barang-barang.")</f>
        <v>B Saya saat marah rasanya ingin melemparkan dan merusak barang-barang.</v>
      </c>
      <c r="CU71" s="95" t="str">
        <f>IFERROR(__xludf.DUMMYFUNCTION("""COMPUTED_VALUE"""),"A Saya ingin diperlakukan dengan ramah oleh teman-teman saya.")</f>
        <v>A Saya ingin diperlakukan dengan ramah oleh teman-teman saya.</v>
      </c>
      <c r="CV71" s="95" t="str">
        <f>IFERROR(__xludf.DUMMYFUNCTION("""COMPUTED_VALUE"""),"A Saya ingin ditunjuk atau dipilih sebagai ketua dalam suatu kelompok.")</f>
        <v>A Saya ingin ditunjuk atau dipilih sebagai ketua dalam suatu kelompok.</v>
      </c>
      <c r="CW71" s="95" t="str">
        <f>IFERROR(__xludf.DUMMYFUNCTION("""COMPUTED_VALUE"""),"B Saya mengatakan kepada orang lain bagaimana pendapat saya terhadap mereka.")</f>
        <v>B Saya mengatakan kepada orang lain bagaimana pendapat saya terhadap mereka.</v>
      </c>
      <c r="CX71" s="95" t="str">
        <f>IFERROR(__xludf.DUMMYFUNCTION("""COMPUTED_VALUE"""),"B Saya ingin memperolok-olok orang yang saya anggap melakukan tindakan bodoh.")</f>
        <v>B Saya ingin memperolok-olok orang yang saya anggap melakukan tindakan bodoh.</v>
      </c>
      <c r="CY71" s="95" t="str">
        <f>IFERROR(__xludf.DUMMYFUNCTION("""COMPUTED_VALUE"""),"B Saya rasanya ingin membalas dendam bila seseorang menghina saya.")</f>
        <v>B Saya rasanya ingin membalas dendam bila seseorang menghina saya.</v>
      </c>
      <c r="CZ71" s="95" t="str">
        <f>IFERROR(__xludf.DUMMYFUNCTION("""COMPUTED_VALUE"""),"A Saya suka merencanakan dan mengatur setiap pekerjaan yang harus saya lakukan.")</f>
        <v>A Saya suka merencanakan dan mengatur setiap pekerjaan yang harus saya lakukan.</v>
      </c>
      <c r="DA71" s="95" t="str">
        <f>IFERROR(__xludf.DUMMYFUNCTION("""COMPUTED_VALUE"""),"A Saya ingin melakukan apa saja sebaik mungkin.")</f>
        <v>A Saya ingin melakukan apa saja sebaik mungkin.</v>
      </c>
      <c r="DB71" s="89" t="s">
        <v>23</v>
      </c>
      <c r="DC71" s="97" t="str">
        <f t="shared" ref="DC71:GX71" si="116">LEFT(F71,1)</f>
        <v>B</v>
      </c>
      <c r="DD71" s="97" t="str">
        <f t="shared" si="116"/>
        <v>B</v>
      </c>
      <c r="DE71" s="97" t="str">
        <f t="shared" si="116"/>
        <v>A</v>
      </c>
      <c r="DF71" s="97" t="str">
        <f t="shared" si="116"/>
        <v>B</v>
      </c>
      <c r="DG71" s="97" t="str">
        <f t="shared" si="116"/>
        <v>A</v>
      </c>
      <c r="DH71" s="97" t="str">
        <f t="shared" si="116"/>
        <v>A</v>
      </c>
      <c r="DI71" s="97" t="str">
        <f t="shared" si="116"/>
        <v>A</v>
      </c>
      <c r="DJ71" s="97" t="str">
        <f t="shared" si="116"/>
        <v>B</v>
      </c>
      <c r="DK71" s="97" t="str">
        <f t="shared" si="116"/>
        <v>B</v>
      </c>
      <c r="DL71" s="97" t="str">
        <f t="shared" si="116"/>
        <v>B</v>
      </c>
      <c r="DM71" s="97" t="str">
        <f t="shared" si="116"/>
        <v>A</v>
      </c>
      <c r="DN71" s="97" t="str">
        <f t="shared" si="116"/>
        <v>B</v>
      </c>
      <c r="DO71" s="97" t="str">
        <f t="shared" si="116"/>
        <v>B</v>
      </c>
      <c r="DP71" s="97" t="str">
        <f t="shared" si="116"/>
        <v>A</v>
      </c>
      <c r="DQ71" s="97" t="str">
        <f t="shared" si="116"/>
        <v>B</v>
      </c>
      <c r="DR71" s="97" t="str">
        <f t="shared" si="116"/>
        <v>B</v>
      </c>
      <c r="DS71" s="97" t="str">
        <f t="shared" si="116"/>
        <v>A</v>
      </c>
      <c r="DT71" s="97" t="str">
        <f t="shared" si="116"/>
        <v>A</v>
      </c>
      <c r="DU71" s="97" t="str">
        <f t="shared" si="116"/>
        <v>B</v>
      </c>
      <c r="DV71" s="97" t="str">
        <f t="shared" si="116"/>
        <v>A</v>
      </c>
      <c r="DW71" s="97" t="str">
        <f t="shared" si="116"/>
        <v>A</v>
      </c>
      <c r="DX71" s="97" t="str">
        <f t="shared" si="116"/>
        <v>B</v>
      </c>
      <c r="DY71" s="97" t="str">
        <f t="shared" si="116"/>
        <v>B</v>
      </c>
      <c r="DZ71" s="97" t="str">
        <f t="shared" si="116"/>
        <v>A</v>
      </c>
      <c r="EA71" s="97" t="str">
        <f t="shared" si="116"/>
        <v>B</v>
      </c>
      <c r="EB71" s="97" t="str">
        <f t="shared" si="116"/>
        <v>A</v>
      </c>
      <c r="EC71" s="97" t="str">
        <f t="shared" si="116"/>
        <v>A</v>
      </c>
      <c r="ED71" s="97" t="str">
        <f t="shared" si="116"/>
        <v>A</v>
      </c>
      <c r="EE71" s="97" t="str">
        <f t="shared" si="116"/>
        <v>A</v>
      </c>
      <c r="EF71" s="97" t="str">
        <f t="shared" si="116"/>
        <v>A</v>
      </c>
      <c r="EG71" s="97" t="str">
        <f t="shared" si="116"/>
        <v>B</v>
      </c>
      <c r="EH71" s="97" t="str">
        <f t="shared" si="116"/>
        <v>B</v>
      </c>
      <c r="EI71" s="97" t="str">
        <f t="shared" si="116"/>
        <v>B</v>
      </c>
      <c r="EJ71" s="97" t="str">
        <f t="shared" si="116"/>
        <v>A</v>
      </c>
      <c r="EK71" s="97" t="str">
        <f t="shared" si="116"/>
        <v>A</v>
      </c>
      <c r="EL71" s="97" t="str">
        <f t="shared" si="116"/>
        <v>A</v>
      </c>
      <c r="EM71" s="97" t="str">
        <f t="shared" si="116"/>
        <v>B</v>
      </c>
      <c r="EN71" s="97" t="str">
        <f t="shared" si="116"/>
        <v>B</v>
      </c>
      <c r="EO71" s="97" t="str">
        <f t="shared" si="116"/>
        <v>A</v>
      </c>
      <c r="EP71" s="97" t="str">
        <f t="shared" si="116"/>
        <v>B</v>
      </c>
      <c r="EQ71" s="97" t="str">
        <f t="shared" si="116"/>
        <v>B</v>
      </c>
      <c r="ER71" s="97" t="str">
        <f t="shared" si="116"/>
        <v>A</v>
      </c>
      <c r="ES71" s="97" t="str">
        <f t="shared" si="116"/>
        <v>B</v>
      </c>
      <c r="ET71" s="97" t="str">
        <f t="shared" si="116"/>
        <v>A</v>
      </c>
      <c r="EU71" s="97" t="str">
        <f t="shared" si="116"/>
        <v>B</v>
      </c>
      <c r="EV71" s="97" t="str">
        <f t="shared" si="116"/>
        <v>B</v>
      </c>
      <c r="EW71" s="97" t="str">
        <f t="shared" si="116"/>
        <v>A</v>
      </c>
      <c r="EX71" s="97" t="str">
        <f t="shared" si="116"/>
        <v>A</v>
      </c>
      <c r="EY71" s="97" t="str">
        <f t="shared" si="116"/>
        <v>A</v>
      </c>
      <c r="EZ71" s="97" t="str">
        <f t="shared" si="116"/>
        <v>B</v>
      </c>
      <c r="FA71" s="97" t="str">
        <f t="shared" si="116"/>
        <v>A</v>
      </c>
      <c r="FB71" s="97" t="str">
        <f t="shared" si="116"/>
        <v>B</v>
      </c>
      <c r="FC71" s="97" t="str">
        <f t="shared" si="116"/>
        <v>B</v>
      </c>
      <c r="FD71" s="97" t="str">
        <f t="shared" si="116"/>
        <v>B</v>
      </c>
      <c r="FE71" s="97" t="str">
        <f t="shared" si="116"/>
        <v>A</v>
      </c>
      <c r="FF71" s="97" t="str">
        <f t="shared" si="116"/>
        <v>B</v>
      </c>
      <c r="FG71" s="97" t="str">
        <f t="shared" si="116"/>
        <v>A</v>
      </c>
      <c r="FH71" s="97" t="str">
        <f t="shared" si="116"/>
        <v>A</v>
      </c>
      <c r="FI71" s="97" t="str">
        <f t="shared" si="116"/>
        <v>A</v>
      </c>
      <c r="FJ71" s="97" t="str">
        <f t="shared" si="116"/>
        <v>A</v>
      </c>
      <c r="FK71" s="97" t="str">
        <f t="shared" si="116"/>
        <v>B</v>
      </c>
      <c r="FL71" s="97" t="str">
        <f t="shared" si="116"/>
        <v>A</v>
      </c>
      <c r="FM71" s="97" t="str">
        <f t="shared" si="116"/>
        <v>A</v>
      </c>
      <c r="FN71" s="97" t="str">
        <f t="shared" si="116"/>
        <v>A</v>
      </c>
      <c r="FO71" s="97" t="str">
        <f t="shared" si="116"/>
        <v>A</v>
      </c>
      <c r="FP71" s="97" t="str">
        <f t="shared" si="116"/>
        <v>B</v>
      </c>
      <c r="FQ71" s="97" t="str">
        <f t="shared" si="116"/>
        <v>A</v>
      </c>
      <c r="FR71" s="97" t="str">
        <f t="shared" si="116"/>
        <v>A</v>
      </c>
      <c r="FS71" s="97" t="str">
        <f t="shared" si="116"/>
        <v>B</v>
      </c>
      <c r="FT71" s="97" t="str">
        <f t="shared" si="116"/>
        <v>A</v>
      </c>
      <c r="FU71" s="97" t="str">
        <f t="shared" si="116"/>
        <v>B</v>
      </c>
      <c r="FV71" s="97" t="str">
        <f t="shared" si="116"/>
        <v>A</v>
      </c>
      <c r="FW71" s="97" t="str">
        <f t="shared" si="116"/>
        <v>A</v>
      </c>
      <c r="FX71" s="97" t="str">
        <f t="shared" si="116"/>
        <v>A</v>
      </c>
      <c r="FY71" s="97" t="str">
        <f t="shared" si="116"/>
        <v>B</v>
      </c>
      <c r="FZ71" s="97" t="str">
        <f t="shared" si="116"/>
        <v>B</v>
      </c>
      <c r="GA71" s="97" t="str">
        <f t="shared" si="116"/>
        <v>A</v>
      </c>
      <c r="GB71" s="97" t="str">
        <f t="shared" si="116"/>
        <v>A</v>
      </c>
      <c r="GC71" s="97" t="str">
        <f t="shared" si="116"/>
        <v>A</v>
      </c>
      <c r="GD71" s="97" t="str">
        <f t="shared" si="116"/>
        <v>A</v>
      </c>
      <c r="GE71" s="97" t="str">
        <f t="shared" si="116"/>
        <v>A</v>
      </c>
      <c r="GF71" s="97" t="str">
        <f t="shared" si="116"/>
        <v>A</v>
      </c>
      <c r="GG71" s="97" t="str">
        <f t="shared" si="116"/>
        <v>A</v>
      </c>
      <c r="GH71" s="97" t="str">
        <f t="shared" si="116"/>
        <v>B</v>
      </c>
      <c r="GI71" s="97" t="str">
        <f t="shared" si="116"/>
        <v>B</v>
      </c>
      <c r="GJ71" s="97" t="str">
        <f t="shared" si="116"/>
        <v>B</v>
      </c>
      <c r="GK71" s="97" t="str">
        <f t="shared" si="116"/>
        <v>A</v>
      </c>
      <c r="GL71" s="97" t="str">
        <f t="shared" si="116"/>
        <v>B</v>
      </c>
      <c r="GM71" s="97" t="str">
        <f t="shared" si="116"/>
        <v>A</v>
      </c>
      <c r="GN71" s="97" t="str">
        <f t="shared" si="116"/>
        <v>B</v>
      </c>
      <c r="GO71" s="97" t="str">
        <f t="shared" si="116"/>
        <v>B</v>
      </c>
      <c r="GP71" s="97" t="str">
        <f t="shared" si="116"/>
        <v>B</v>
      </c>
      <c r="GQ71" s="97" t="str">
        <f t="shared" si="116"/>
        <v>B</v>
      </c>
      <c r="GR71" s="97" t="str">
        <f t="shared" si="116"/>
        <v>A</v>
      </c>
      <c r="GS71" s="97" t="str">
        <f t="shared" si="116"/>
        <v>A</v>
      </c>
      <c r="GT71" s="97" t="str">
        <f t="shared" si="116"/>
        <v>B</v>
      </c>
      <c r="GU71" s="97" t="str">
        <f t="shared" si="116"/>
        <v>B</v>
      </c>
      <c r="GV71" s="97" t="str">
        <f t="shared" si="116"/>
        <v>B</v>
      </c>
      <c r="GW71" s="97" t="str">
        <f t="shared" si="116"/>
        <v>A</v>
      </c>
      <c r="GX71" s="97" t="str">
        <f t="shared" si="116"/>
        <v>A</v>
      </c>
      <c r="GY71" s="98"/>
      <c r="GZ71" s="97">
        <f t="shared" si="3"/>
        <v>54</v>
      </c>
      <c r="HA71" s="97">
        <f t="shared" si="4"/>
        <v>46</v>
      </c>
      <c r="HB71" s="90">
        <f t="shared" si="5"/>
        <v>100</v>
      </c>
      <c r="HC71" s="99"/>
      <c r="HD71" s="97">
        <f t="shared" si="6"/>
        <v>6</v>
      </c>
      <c r="HE71" s="97">
        <f t="shared" si="7"/>
        <v>5</v>
      </c>
      <c r="HF71" s="90">
        <f t="shared" si="8"/>
        <v>11</v>
      </c>
      <c r="HG71" s="99"/>
      <c r="HH71" s="97">
        <f t="shared" si="9"/>
        <v>7</v>
      </c>
      <c r="HI71" s="97">
        <f t="shared" si="10"/>
        <v>5</v>
      </c>
      <c r="HJ71" s="90">
        <f t="shared" si="11"/>
        <v>12</v>
      </c>
      <c r="HK71" s="99"/>
      <c r="HL71" s="97">
        <f t="shared" si="12"/>
        <v>6</v>
      </c>
      <c r="HM71" s="97">
        <f t="shared" si="13"/>
        <v>3</v>
      </c>
      <c r="HN71" s="90">
        <f t="shared" si="14"/>
        <v>9</v>
      </c>
      <c r="HO71" s="99"/>
      <c r="HP71" s="97">
        <f t="shared" si="15"/>
        <v>6</v>
      </c>
      <c r="HQ71" s="97">
        <f t="shared" si="16"/>
        <v>6</v>
      </c>
      <c r="HR71" s="90">
        <f t="shared" si="17"/>
        <v>12</v>
      </c>
      <c r="HS71" s="99"/>
      <c r="HT71" s="97">
        <f t="shared" si="18"/>
        <v>3</v>
      </c>
      <c r="HU71" s="97">
        <f t="shared" si="19"/>
        <v>5</v>
      </c>
      <c r="HV71" s="90">
        <f t="shared" si="20"/>
        <v>8</v>
      </c>
      <c r="HW71" s="99"/>
      <c r="HX71" s="97">
        <f t="shared" si="21"/>
        <v>4</v>
      </c>
      <c r="HY71" s="97">
        <f t="shared" si="22"/>
        <v>4</v>
      </c>
      <c r="HZ71" s="90">
        <f t="shared" si="23"/>
        <v>8</v>
      </c>
      <c r="IA71" s="99"/>
      <c r="IB71" s="97">
        <f t="shared" si="24"/>
        <v>8</v>
      </c>
      <c r="IC71" s="97">
        <f t="shared" si="25"/>
        <v>3</v>
      </c>
      <c r="ID71" s="90">
        <f t="shared" si="26"/>
        <v>11</v>
      </c>
      <c r="IE71" s="99"/>
      <c r="IF71" s="97">
        <f t="shared" si="27"/>
        <v>3</v>
      </c>
      <c r="IG71" s="97">
        <f t="shared" si="28"/>
        <v>3</v>
      </c>
      <c r="IH71" s="90">
        <f t="shared" si="29"/>
        <v>6</v>
      </c>
      <c r="II71" s="99"/>
      <c r="IJ71" s="97">
        <f t="shared" si="30"/>
        <v>3</v>
      </c>
      <c r="IK71" s="97">
        <f t="shared" si="31"/>
        <v>5</v>
      </c>
      <c r="IL71" s="90">
        <f t="shared" si="32"/>
        <v>8</v>
      </c>
      <c r="IM71" s="99"/>
      <c r="IN71" s="97">
        <f t="shared" si="33"/>
        <v>4</v>
      </c>
      <c r="IO71" s="97">
        <f t="shared" si="34"/>
        <v>6</v>
      </c>
      <c r="IP71" s="90">
        <f t="shared" si="35"/>
        <v>10</v>
      </c>
      <c r="IQ71" s="99"/>
      <c r="IR71" s="99"/>
      <c r="IS71" s="100">
        <f t="shared" si="36"/>
        <v>11</v>
      </c>
      <c r="IT71" s="100">
        <f t="shared" si="37"/>
        <v>12</v>
      </c>
      <c r="IU71" s="100">
        <f t="shared" si="38"/>
        <v>9</v>
      </c>
      <c r="IV71" s="100">
        <f t="shared" si="39"/>
        <v>12</v>
      </c>
      <c r="IW71" s="100">
        <f t="shared" si="40"/>
        <v>8</v>
      </c>
      <c r="IX71" s="100">
        <f t="shared" si="41"/>
        <v>8</v>
      </c>
      <c r="IY71" s="100">
        <f t="shared" si="42"/>
        <v>11</v>
      </c>
      <c r="IZ71" s="100">
        <f t="shared" si="43"/>
        <v>6</v>
      </c>
      <c r="JA71" s="100">
        <f t="shared" si="44"/>
        <v>8</v>
      </c>
      <c r="JB71" s="101">
        <f t="shared" si="45"/>
        <v>10</v>
      </c>
      <c r="JC71" s="102">
        <f t="shared" si="46"/>
        <v>95</v>
      </c>
      <c r="JD71" s="67">
        <f t="shared" si="50"/>
        <v>0</v>
      </c>
      <c r="JE71" s="67">
        <f t="shared" si="47"/>
        <v>2</v>
      </c>
      <c r="JF71" s="67">
        <f t="shared" si="48"/>
        <v>2</v>
      </c>
    </row>
    <row r="72">
      <c r="A72" s="103">
        <f>IFERROR(__xludf.DUMMYFUNCTION("""COMPUTED_VALUE"""),45935.47633653935)</f>
        <v>45935.47634</v>
      </c>
      <c r="B72" s="95" t="str">
        <f>IFERROR(__xludf.DUMMYFUNCTION("""COMPUTED_VALUE"""),"Hanifah azahra putri")</f>
        <v>Hanifah azahra putri</v>
      </c>
      <c r="C72" s="96" t="str">
        <f>IFERROR(__xludf.DUMMYFUNCTION("""COMPUTED_VALUE"""),"D250022")</f>
        <v>D250022</v>
      </c>
      <c r="D72" s="96" t="str">
        <f>IFERROR(__xludf.DUMMYFUNCTION("""COMPUTED_VALUE"""),"MTs Putri")</f>
        <v>MTs Putri</v>
      </c>
      <c r="E72" s="96" t="str">
        <f>IFERROR(__xludf.DUMMYFUNCTION("""COMPUTED_VALUE"""),"Ya")</f>
        <v>Ya</v>
      </c>
      <c r="F72" s="95" t="str">
        <f>IFERROR(__xludf.DUMMYFUNCTION("""COMPUTED_VALUE"""),"B Saya ingin melakukan apa saja sebaik mungkin.")</f>
        <v>B Saya ingin melakukan apa saja sebaik mungkin.</v>
      </c>
      <c r="G72" s="95" t="str">
        <f>IFERROR(__xludf.DUMMYFUNCTION("""COMPUTED_VALUE"""),"A Saya ingin setiap tulisan saya teliti, rapi, dan tersusun dengan baik.")</f>
        <v>A Saya ingin setiap tulisan saya teliti, rapi, dan tersusun dengan baik.</v>
      </c>
      <c r="H72" s="95" t="str">
        <f>IFERROR(__xludf.DUMMYFUNCTION("""COMPUTED_VALUE"""),"A Saya ingin berbuat sesuai kata hati saya.")</f>
        <v>A Saya ingin berbuat sesuai kata hati saya.</v>
      </c>
      <c r="I72" s="95" t="str">
        <f>IFERROR(__xludf.DUMMYFUNCTION("""COMPUTED_VALUE"""),"B Saya ingin bisa melakukan dengan baik meskipun tugas yang sulit.")</f>
        <v>B Saya ingin bisa melakukan dengan baik meskipun tugas yang sulit.</v>
      </c>
      <c r="J72" s="95" t="str">
        <f>IFERROR(__xludf.DUMMYFUNCTION("""COMPUTED_VALUE"""),"A Saya suka membantu teman-teman saya apabila mereka mengalami kesulitan.")</f>
        <v>A Saya suka membantu teman-teman saya apabila mereka mengalami kesulitan.</v>
      </c>
      <c r="K72" s="95" t="str">
        <f>IFERROR(__xludf.DUMMYFUNCTION("""COMPUTED_VALUE"""),"B Saya ingin mengatakan telah melakukan dengan baik sesuatu tugas yang sulit.")</f>
        <v>B Saya ingin mengatakan telah melakukan dengan baik sesuatu tugas yang sulit.</v>
      </c>
      <c r="L72" s="95" t="str">
        <f>IFERROR(__xludf.DUMMYFUNCTION("""COMPUTED_VALUE"""),"B Saya ingin mengatakan telah melakukan dengan baik sesuatu tugas yang sulit")</f>
        <v>B Saya ingin mengatakan telah melakukan dengan baik sesuatu tugas yang sulit</v>
      </c>
      <c r="M72" s="95" t="str">
        <f>IFERROR(__xludf.DUMMYFUNCTION("""COMPUTED_VALUE"""),"A Saya suka berbicara tentang hal-hal yang telah berhasil saya lakukan.")</f>
        <v>A Saya suka berbicara tentang hal-hal yang telah berhasil saya lakukan.</v>
      </c>
      <c r="N72" s="95" t="str">
        <f>IFERROR(__xludf.DUMMYFUNCTION("""COMPUTED_VALUE"""),"B Saya suka memecahkan persoalan yang sukar bagi orang lain.")</f>
        <v>B Saya suka memecahkan persoalan yang sukar bagi orang lain.</v>
      </c>
      <c r="O72" s="95" t="str">
        <f>IFERROR(__xludf.DUMMYFUNCTION("""COMPUTED_VALUE"""),"B Saya suka melakukan tugas sebaik mungkin.")</f>
        <v>B Saya suka melakukan tugas sebaik mungkin.</v>
      </c>
      <c r="P72" s="95" t="str">
        <f>IFERROR(__xludf.DUMMYFUNCTION("""COMPUTED_VALUE"""),"A Saya suka bercerita tentang hal-hal yang menegangkan atau menantang.")</f>
        <v>A Saya suka bercerita tentang hal-hal yang menegangkan atau menantang.</v>
      </c>
      <c r="Q72" s="95" t="str">
        <f>IFERROR(__xludf.DUMMYFUNCTION("""COMPUTED_VALUE"""),"B Saya merencanakan keperluan yang dibutuhkan sebelum bepergian.")</f>
        <v>B Saya merencanakan keperluan yang dibutuhkan sebelum bepergian.</v>
      </c>
      <c r="R72" s="95" t="str">
        <f>IFERROR(__xludf.DUMMYFUNCTION("""COMPUTED_VALUE"""),"B Saya suka barang-barang saya tersusun rapi dan teratur.")</f>
        <v>B Saya suka barang-barang saya tersusun rapi dan teratur.</v>
      </c>
      <c r="S72" s="95" t="str">
        <f>IFERROR(__xludf.DUMMYFUNCTION("""COMPUTED_VALUE"""),"B Saya suka membuat perencanaan sebelum memulai tugas yang sulit.")</f>
        <v>B Saya suka membuat perencanaan sebelum memulai tugas yang sulit.</v>
      </c>
      <c r="T72" s="95" t="str">
        <f>IFERROR(__xludf.DUMMYFUNCTION("""COMPUTED_VALUE"""),"B Saya ingin agar hidup saya teratur sesuai cita-cita saya.")</f>
        <v>B Saya ingin agar hidup saya teratur sesuai cita-cita saya.</v>
      </c>
      <c r="U72" s="95" t="str">
        <f>IFERROR(__xludf.DUMMYFUNCTION("""COMPUTED_VALUE"""),"A Saya suka memberikan bantuan kepada teman-teman saya.")</f>
        <v>A Saya suka memberikan bantuan kepada teman-teman saya.</v>
      </c>
      <c r="V72" s="95" t="str">
        <f>IFERROR(__xludf.DUMMYFUNCTION("""COMPUTED_VALUE"""),"B Saya suka belajar saya teratur dan ada waktu-waktu tertentu untuk belajar.")</f>
        <v>B Saya suka belajar saya teratur dan ada waktu-waktu tertentu untuk belajar.</v>
      </c>
      <c r="W72" s="95" t="str">
        <f>IFERROR(__xludf.DUMMYFUNCTION("""COMPUTED_VALUE"""),"A Saya suka melakukan kegiatan sesuai kondisi yang saya inginkan.")</f>
        <v>A Saya suka melakukan kegiatan sesuai kondisi yang saya inginkan.</v>
      </c>
      <c r="X72" s="95" t="str">
        <f>IFERROR(__xludf.DUMMYFUNCTION("""COMPUTED_VALUE"""),"B Saya ingin agar hidup saya teratur sesuai cita-cita saya.")</f>
        <v>B Saya ingin agar hidup saya teratur sesuai cita-cita saya.</v>
      </c>
      <c r="Y72" s="95" t="str">
        <f>IFERROR(__xludf.DUMMYFUNCTION("""COMPUTED_VALUE"""),"A Saya suka menyelesaikan tugas-tugas yang membutuhkan ketrampilan dan usaha.")</f>
        <v>A Saya suka menyelesaikan tugas-tugas yang membutuhkan ketrampilan dan usaha.</v>
      </c>
      <c r="Z72" s="95" t="str">
        <f>IFERROR(__xludf.DUMMYFUNCTION("""COMPUTED_VALUE"""),"A Saya ingin berhasil dengan belajar yang saya lakukan.")</f>
        <v>A Saya ingin berhasil dengan belajar yang saya lakukan.</v>
      </c>
      <c r="AA72" s="95" t="str">
        <f>IFERROR(__xludf.DUMMYFUNCTION("""COMPUTED_VALUE"""),"A Saya suka menyelesaikan tugas yang telah saya rencanakan.")</f>
        <v>A Saya suka menyelesaikan tugas yang telah saya rencanakan.</v>
      </c>
      <c r="AB72" s="95" t="str">
        <f>IFERROR(__xludf.DUMMYFUNCTION("""COMPUTED_VALUE"""),"B Saya ingin menyelesaikan pekerjaan satu persatu sebelum memulai yang lain.")</f>
        <v>B Saya ingin menyelesaikan pekerjaan satu persatu sebelum memulai yang lain.</v>
      </c>
      <c r="AC72" s="95" t="str">
        <f>IFERROR(__xludf.DUMMYFUNCTION("""COMPUTED_VALUE"""),"A Saya suka menyelesaikan setiap tugas meskipun membutuhkan waktu lama.")</f>
        <v>A Saya suka menyelesaikan setiap tugas meskipun membutuhkan waktu lama.</v>
      </c>
      <c r="AD72" s="95" t="str">
        <f>IFERROR(__xludf.DUMMYFUNCTION("""COMPUTED_VALUE"""),"A Saya suka bermurah hati terhadap teman-teman saya.")</f>
        <v>A Saya suka bermurah hati terhadap teman-teman saya.</v>
      </c>
      <c r="AE72" s="95" t="str">
        <f>IFERROR(__xludf.DUMMYFUNCTION("""COMPUTED_VALUE"""),"B Saya suka melakukan hal-hal yang dianggap orang lain tidak sesuai.")</f>
        <v>B Saya suka melakukan hal-hal yang dianggap orang lain tidak sesuai.</v>
      </c>
      <c r="AF72" s="95" t="str">
        <f>IFERROR(__xludf.DUMMYFUNCTION("""COMPUTED_VALUE"""),"B Saya suka melakukan hal-hal dengan cara saya sendiri.")</f>
        <v>B Saya suka melakukan hal-hal dengan cara saya sendiri.</v>
      </c>
      <c r="AG72" s="95" t="str">
        <f>IFERROR(__xludf.DUMMYFUNCTION("""COMPUTED_VALUE"""),"B Saya ingin berhasil dengan tugas yang saya lakukan.")</f>
        <v>B Saya ingin berhasil dengan tugas yang saya lakukan.</v>
      </c>
      <c r="AH72" s="95" t="str">
        <f>IFERROR(__xludf.DUMMYFUNCTION("""COMPUTED_VALUE"""),"B Saya ingin merasa bebas untuk melakukan apa yang saya kehendaki.")</f>
        <v>B Saya ingin merasa bebas untuk melakukan apa yang saya kehendaki.</v>
      </c>
      <c r="AI72" s="95" t="str">
        <f>IFERROR(__xludf.DUMMYFUNCTION("""COMPUTED_VALUE"""),"B Saya suka melakukan kegiatan sesuai kondisi yang saya inginkan.")</f>
        <v>B Saya suka melakukan kegiatan sesuai kondisi yang saya inginkan.</v>
      </c>
      <c r="AJ72" s="95" t="str">
        <f>IFERROR(__xludf.DUMMYFUNCTION("""COMPUTED_VALUE"""),"B Saya suka bertahan menghadapi satu masalah meskipun belum tentu berhasil.")</f>
        <v>B Saya suka bertahan menghadapi satu masalah meskipun belum tentu berhasil.</v>
      </c>
      <c r="AK72" s="95" t="str">
        <f>IFERROR(__xludf.DUMMYFUNCTION("""COMPUTED_VALUE"""),"B Bila saya harus melakukan suatu tugas, saya ingin mengerjakan sampai selesai.")</f>
        <v>B Bila saya harus melakukan suatu tugas, saya ingin mengerjakan sampai selesai.</v>
      </c>
      <c r="AL72" s="95" t="str">
        <f>IFERROR(__xludf.DUMMYFUNCTION("""COMPUTED_VALUE"""),"B Saya ingin menghindarkan gangguan bila saya sedang belajar.")</f>
        <v>B Saya ingin menghindarkan gangguan bila saya sedang belajar.</v>
      </c>
      <c r="AM72" s="95" t="str">
        <f>IFERROR(__xludf.DUMMYFUNCTION("""COMPUTED_VALUE"""),"B Saya suka belajar sampai malam untuk menyelesaikan suatu tugas.")</f>
        <v>B Saya suka belajar sampai malam untuk menyelesaikan suatu tugas.</v>
      </c>
      <c r="AN72" s="95" t="str">
        <f>IFERROR(__xludf.DUMMYFUNCTION("""COMPUTED_VALUE"""),"A Saya tidak suka pada orang yang semena-mena.")</f>
        <v>A Saya tidak suka pada orang yang semena-mena.</v>
      </c>
      <c r="AO72" s="95" t="str">
        <f>IFERROR(__xludf.DUMMYFUNCTION("""COMPUTED_VALUE"""),"B Saya suka menyelesaikan setiap tugas meskipun membutuhkan waktu lama.")</f>
        <v>B Saya suka menyelesaikan setiap tugas meskipun membutuhkan waktu lama.</v>
      </c>
      <c r="AP72" s="95" t="str">
        <f>IFERROR(__xludf.DUMMYFUNCTION("""COMPUTED_VALUE"""),"B Saya suka bertahan menghadapi satu masalah meskipun belum tentu berhasil.")</f>
        <v>B Saya suka bertahan menghadapi satu masalah meskipun belum tentu berhasil.</v>
      </c>
      <c r="AQ72" s="95" t="str">
        <f>IFERROR(__xludf.DUMMYFUNCTION("""COMPUTED_VALUE"""),"B Bila saya harus melakukan suatu tugas, saya ingin mengerjakan sampai selesai.")</f>
        <v>B Bila saya harus melakukan suatu tugas, saya ingin mengerjakan sampai selesai.</v>
      </c>
      <c r="AR72" s="95" t="str">
        <f>IFERROR(__xludf.DUMMYFUNCTION("""COMPUTED_VALUE"""),"B Saya suka belajar keras pada tiap pelajaran yang saya hadapi.")</f>
        <v>B Saya suka belajar keras pada tiap pelajaran yang saya hadapi.</v>
      </c>
      <c r="AS72" s="95" t="str">
        <f>IFERROR(__xludf.DUMMYFUNCTION("""COMPUTED_VALUE"""),"A Saya ingin dapat menyelesaikan persoalan yang dianggap sukar bagi orang lain.")</f>
        <v>A Saya ingin dapat menyelesaikan persoalan yang dianggap sukar bagi orang lain.</v>
      </c>
      <c r="AT72" s="95" t="str">
        <f>IFERROR(__xludf.DUMMYFUNCTION("""COMPUTED_VALUE"""),"A Saya ingin bisa melakukan dengan baik sesuatu pekerjaan sulit.")</f>
        <v>A Saya ingin bisa melakukan dengan baik sesuatu pekerjaan sulit.</v>
      </c>
      <c r="AU72" s="95" t="str">
        <f>IFERROR(__xludf.DUMMYFUNCTION("""COMPUTED_VALUE"""),"B Saya suka bermurah hati terhadap teman-teman saya.")</f>
        <v>B Saya suka bermurah hati terhadap teman-teman saya.</v>
      </c>
      <c r="AV72" s="95" t="str">
        <f>IFERROR(__xludf.DUMMYFUNCTION("""COMPUTED_VALUE"""),"B Saya suka menolong teman-teman saya.")</f>
        <v>B Saya suka menolong teman-teman saya.</v>
      </c>
      <c r="AW72" s="95" t="str">
        <f>IFERROR(__xludf.DUMMYFUNCTION("""COMPUTED_VALUE"""),"A Saya ingin mengerjakan tugas sampai selesai.")</f>
        <v>A Saya ingin mengerjakan tugas sampai selesai.</v>
      </c>
      <c r="AX72" s="95" t="str">
        <f>IFERROR(__xludf.DUMMYFUNCTION("""COMPUTED_VALUE"""),"A Saya suka menolong teman-teman saya apabila mereka dalam kesulitan.")</f>
        <v>A Saya suka menolong teman-teman saya apabila mereka dalam kesulitan.</v>
      </c>
      <c r="AY72" s="95" t="str">
        <f>IFERROR(__xludf.DUMMYFUNCTION("""COMPUTED_VALUE"""),"B Saya suka menolong teman-teman saya apabila mereka dalam kesulitan.")</f>
        <v>B Saya suka menolong teman-teman saya apabila mereka dalam kesulitan.</v>
      </c>
      <c r="AZ72" s="95" t="str">
        <f>IFERROR(__xludf.DUMMYFUNCTION("""COMPUTED_VALUE"""),"B Saya suka menunjukkan simpati saya kepada teman-teman saya.")</f>
        <v>B Saya suka menunjukkan simpati saya kepada teman-teman saya.</v>
      </c>
      <c r="BA72" s="95" t="str">
        <f>IFERROR(__xludf.DUMMYFUNCTION("""COMPUTED_VALUE"""),"A Saya suka menyatakan pendapat saya tentang berbagai hal.")</f>
        <v>A Saya suka menyatakan pendapat saya tentang berbagai hal.</v>
      </c>
      <c r="BB72" s="95" t="str">
        <f>IFERROR(__xludf.DUMMYFUNCTION("""COMPUTED_VALUE"""),"B Saya suka bermurah hati terhadap teman-teman saya.")</f>
        <v>B Saya suka bermurah hati terhadap teman-teman saya.</v>
      </c>
      <c r="BC72" s="95" t="str">
        <f>IFERROR(__xludf.DUMMYFUNCTION("""COMPUTED_VALUE"""),"A Saya rasanya ingin mengecam seseorang bila orang itu menjengkelkan.")</f>
        <v>A Saya rasanya ingin mengecam seseorang bila orang itu menjengkelkan.</v>
      </c>
      <c r="BD72" s="95" t="str">
        <f>IFERROR(__xludf.DUMMYFUNCTION("""COMPUTED_VALUE"""),"B Saya suka bersikukuh dengan pendirian saya.")</f>
        <v>B Saya suka bersikukuh dengan pendirian saya.</v>
      </c>
      <c r="BE72" s="95" t="str">
        <f>IFERROR(__xludf.DUMMYFUNCTION("""COMPUTED_VALUE"""),"B Saya ingin orang lain melakukan apa yang saya kehendaki.")</f>
        <v>B Saya ingin orang lain melakukan apa yang saya kehendaki.</v>
      </c>
      <c r="BF72" s="95" t="str">
        <f>IFERROR(__xludf.DUMMYFUNCTION("""COMPUTED_VALUE"""),"B Bila saya dalam kelompok, saya ingin menentukan apa yang akan kita lakukan.")</f>
        <v>B Bila saya dalam kelompok, saya ingin menentukan apa yang akan kita lakukan.</v>
      </c>
      <c r="BG72" s="95" t="str">
        <f>IFERROR(__xludf.DUMMYFUNCTION("""COMPUTED_VALUE"""),"B Saya suka mengarahkan kepada orang lain apa yang harus dilakukan.")</f>
        <v>B Saya suka mengarahkan kepada orang lain apa yang harus dilakukan.</v>
      </c>
      <c r="BH72" s="95" t="str">
        <f>IFERROR(__xludf.DUMMYFUNCTION("""COMPUTED_VALUE"""),"A Saya suka menghindar dari situasi yang tidak saya harapkan.")</f>
        <v>A Saya suka menghindar dari situasi yang tidak saya harapkan.</v>
      </c>
      <c r="BI72" s="95" t="str">
        <f>IFERROR(__xludf.DUMMYFUNCTION("""COMPUTED_VALUE"""),"A Saya suka bermurah hati terhadap teman-teman saya.")</f>
        <v>A Saya suka bermurah hati terhadap teman-teman saya.</v>
      </c>
      <c r="BJ72" s="95" t="str">
        <f>IFERROR(__xludf.DUMMYFUNCTION("""COMPUTED_VALUE"""),"A Saya ingin mengerjakan tugas sampai selesai.")</f>
        <v>A Saya ingin mengerjakan tugas sampai selesai.</v>
      </c>
      <c r="BK72" s="95" t="str">
        <f>IFERROR(__xludf.DUMMYFUNCTION("""COMPUTED_VALUE"""),"A Saya ingin menyelesaikan pekerjaan satu persatu sebelum memulai yang lain.")</f>
        <v>A Saya ingin menyelesaikan pekerjaan satu persatu sebelum memulai yang lain.</v>
      </c>
      <c r="BL72" s="95" t="str">
        <f>IFERROR(__xludf.DUMMYFUNCTION("""COMPUTED_VALUE"""),"A Saya suka belajar saya teratur dan ada waktu-waktu tertentu untuk belajar.")</f>
        <v>A Saya suka belajar saya teratur dan ada waktu-waktu tertentu untuk belajar.</v>
      </c>
      <c r="BM72" s="95" t="str">
        <f>IFERROR(__xludf.DUMMYFUNCTION("""COMPUTED_VALUE"""),"A Saya suka melakukan pekerjaan sebaik mungkin.")</f>
        <v>A Saya suka melakukan pekerjaan sebaik mungkin.</v>
      </c>
      <c r="BN72" s="95" t="str">
        <f>IFERROR(__xludf.DUMMYFUNCTION("""COMPUTED_VALUE"""),"A Saya suka mengerjakan teka-teki atau memecahkan persoalan sampai selesai.")</f>
        <v>A Saya suka mengerjakan teka-teki atau memecahkan persoalan sampai selesai.</v>
      </c>
      <c r="BO72" s="95" t="str">
        <f>IFERROR(__xludf.DUMMYFUNCTION("""COMPUTED_VALUE"""),"A Saya suka membuat perencanaan sebelum memulai belajar yang sulit.")</f>
        <v>A Saya suka membuat perencanaan sebelum memulai belajar yang sulit.</v>
      </c>
      <c r="BP72" s="95" t="str">
        <f>IFERROR(__xludf.DUMMYFUNCTION("""COMPUTED_VALUE"""),"A Saya ingin menyelesaikan sesuatu yang sangat penting artinya.")</f>
        <v>A Saya ingin menyelesaikan sesuatu yang sangat penting artinya.</v>
      </c>
      <c r="BQ72" s="95" t="str">
        <f>IFERROR(__xludf.DUMMYFUNCTION("""COMPUTED_VALUE"""),"A Saya ingin mengerjakannya tugas sampai selesai.")</f>
        <v>A Saya ingin mengerjakannya tugas sampai selesai.</v>
      </c>
      <c r="BR72" s="95" t="str">
        <f>IFERROR(__xludf.DUMMYFUNCTION("""COMPUTED_VALUE"""),"A Saya suka memaafkan teman-teman saya yang menyakiti hati saya.")</f>
        <v>A Saya suka memaafkan teman-teman saya yang menyakiti hati saya.</v>
      </c>
      <c r="BS72" s="95" t="str">
        <f>IFERROR(__xludf.DUMMYFUNCTION("""COMPUTED_VALUE"""),"B Saya ingin teman-teman saya membantu saya bila saya mengalami kesulitan")</f>
        <v>B Saya ingin teman-teman saya membantu saya bila saya mengalami kesulitan</v>
      </c>
      <c r="BT72" s="95" t="str">
        <f>IFERROR(__xludf.DUMMYFUNCTION("""COMPUTED_VALUE"""),"B Saya ingin teman-teman banyak menunjukkan rasa sayang mereka terhadap saya.")</f>
        <v>B Saya ingin teman-teman banyak menunjukkan rasa sayang mereka terhadap saya.</v>
      </c>
      <c r="BU72" s="95" t="str">
        <f>IFERROR(__xludf.DUMMYFUNCTION("""COMPUTED_VALUE"""),"A Saya kadang-kadang suka melakukan hal-hal yang dapat dipuji oleh orang lain.")</f>
        <v>A Saya kadang-kadang suka melakukan hal-hal yang dapat dipuji oleh orang lain.</v>
      </c>
      <c r="BV72" s="95" t="str">
        <f>IFERROR(__xludf.DUMMYFUNCTION("""COMPUTED_VALUE"""),"B Saya ingin teman-teman dengan gembira memberikan pertolongan kepada saya.")</f>
        <v>B Saya ingin teman-teman dengan gembira memberikan pertolongan kepada saya.</v>
      </c>
      <c r="BW72" s="95" t="str">
        <f>IFERROR(__xludf.DUMMYFUNCTION("""COMPUTED_VALUE"""),"B Saya ingin diperlakukan dengan baik oleh teman-teman saya.")</f>
        <v>B Saya ingin diperlakukan dengan baik oleh teman-teman saya.</v>
      </c>
      <c r="BX72" s="95" t="str">
        <f>IFERROR(__xludf.DUMMYFUNCTION("""COMPUTED_VALUE"""),"B Saya kadang-kadang suka melakukan hal-hal yang dapat dipuji oleh orang lain.")</f>
        <v>B Saya kadang-kadang suka melakukan hal-hal yang dapat dipuji oleh orang lain.</v>
      </c>
      <c r="BY72" s="95" t="str">
        <f>IFERROR(__xludf.DUMMYFUNCTION("""COMPUTED_VALUE"""),"A Saya suka melamun atau membayangkan hal-hal yang tidak jelas.")</f>
        <v>A Saya suka melamun atau membayangkan hal-hal yang tidak jelas.</v>
      </c>
      <c r="BZ72" s="95" t="str">
        <f>IFERROR(__xludf.DUMMYFUNCTION("""COMPUTED_VALUE"""),"A Saya suka berkata yang artinya sulit dipahami oleh orang lain.")</f>
        <v>A Saya suka berkata yang artinya sulit dipahami oleh orang lain.</v>
      </c>
      <c r="CA72" s="95" t="str">
        <f>IFERROR(__xludf.DUMMYFUNCTION("""COMPUTED_VALUE"""),"A Saya ingin teman-teman dengan gembira memberikan pertolongan kepada saya.")</f>
        <v>A Saya ingin teman-teman dengan gembira memberikan pertolongan kepada saya.</v>
      </c>
      <c r="CB72" s="95" t="str">
        <f>IFERROR(__xludf.DUMMYFUNCTION("""COMPUTED_VALUE"""),"B Saya suka berbicara tentang hal-hal yang telah saya capai.")</f>
        <v>B Saya suka berbicara tentang hal-hal yang telah saya capai.</v>
      </c>
      <c r="CC72" s="95" t="str">
        <f>IFERROR(__xludf.DUMMYFUNCTION("""COMPUTED_VALUE"""),"A Apabila saya berkumpul dalam kelompok, saya ingin dihargai teman-teman.")</f>
        <v>A Apabila saya berkumpul dalam kelompok, saya ingin dihargai teman-teman.</v>
      </c>
      <c r="CD72" s="95" t="str">
        <f>IFERROR(__xludf.DUMMYFUNCTION("""COMPUTED_VALUE"""),"A Saya suka menyelesaikan setiap tugas meskipun membutuhkan waktu lama.")</f>
        <v>A Saya suka menyelesaikan setiap tugas meskipun membutuhkan waktu lama.</v>
      </c>
      <c r="CE72" s="95" t="str">
        <f>IFERROR(__xludf.DUMMYFUNCTION("""COMPUTED_VALUE"""),"A Saya suka menyelesaikan setiap tugas belajar yang telah saya mulai.")</f>
        <v>A Saya suka menyelesaikan setiap tugas belajar yang telah saya mulai.</v>
      </c>
      <c r="CF72" s="95" t="str">
        <f>IFERROR(__xludf.DUMMYFUNCTION("""COMPUTED_VALUE"""),"A Saya ingin agar hidup saya teratur sesuai cita-cita saya.")</f>
        <v>A Saya ingin agar hidup saya teratur sesuai cita-cita saya.</v>
      </c>
      <c r="CG72" s="95" t="str">
        <f>IFERROR(__xludf.DUMMYFUNCTION("""COMPUTED_VALUE"""),"A Saya ingin berhasil dalam apa yang saya lakukan.")</f>
        <v>A Saya ingin berhasil dalam apa yang saya lakukan.</v>
      </c>
      <c r="CH72" s="95" t="str">
        <f>IFERROR(__xludf.DUMMYFUNCTION("""COMPUTED_VALUE"""),"A Saya ingin bisa melakukan dengan baik sesuatu pekerjaan sulit.")</f>
        <v>A Saya ingin bisa melakukan dengan baik sesuatu pekerjaan sulit.</v>
      </c>
      <c r="CI72" s="95" t="str">
        <f>IFERROR(__xludf.DUMMYFUNCTION("""COMPUTED_VALUE"""),"A Saya suka belajar saya teratur dan ada waktu-waktu tertentu untuk belajar.")</f>
        <v>A Saya suka belajar saya teratur dan ada waktu-waktu tertentu untuk belajar.</v>
      </c>
      <c r="CJ72" s="95" t="str">
        <f>IFERROR(__xludf.DUMMYFUNCTION("""COMPUTED_VALUE"""),"A Saya ingin tidak tergantung dari orang lain terhadap apa yang akan saya lakukan.")</f>
        <v>A Saya ingin tidak tergantung dari orang lain terhadap apa yang akan saya lakukan.</v>
      </c>
      <c r="CK72" s="95" t="str">
        <f>IFERROR(__xludf.DUMMYFUNCTION("""COMPUTED_VALUE"""),"A Saya suka bertahan menghadapi satu masalah, meskipun belum tentu berhasil.")</f>
        <v>A Saya suka bertahan menghadapi satu masalah, meskipun belum tentu berhasil.</v>
      </c>
      <c r="CL72" s="95" t="str">
        <f>IFERROR(__xludf.DUMMYFUNCTION("""COMPUTED_VALUE"""),"A Saya suka menolong teman-teman saya, apabila mereka dalam kesulitan.")</f>
        <v>A Saya suka menolong teman-teman saya, apabila mereka dalam kesulitan.</v>
      </c>
      <c r="CM72" s="95" t="str">
        <f>IFERROR(__xludf.DUMMYFUNCTION("""COMPUTED_VALUE"""),"A Saya ingin ditunjuk atau dipilih sebagai ketua dalam suatu kelompok.")</f>
        <v>A Saya ingin ditunjuk atau dipilih sebagai ketua dalam suatu kelompok.</v>
      </c>
      <c r="CN72" s="95" t="str">
        <f>IFERROR(__xludf.DUMMYFUNCTION("""COMPUTED_VALUE"""),"A Saya ingin diperlakukan dengan baik oleh teman-teman saya.")</f>
        <v>A Saya ingin diperlakukan dengan baik oleh teman-teman saya.</v>
      </c>
      <c r="CO72" s="95" t="str">
        <f>IFERROR(__xludf.DUMMYFUNCTION("""COMPUTED_VALUE"""),"B Saya suka memuji orang yang saya kagumi.")</f>
        <v>B Saya suka memuji orang yang saya kagumi.</v>
      </c>
      <c r="CP72" s="95" t="str">
        <f>IFERROR(__xludf.DUMMYFUNCTION("""COMPUTED_VALUE"""),"A Saya suka melamun atau membayangkan sesuatu sendirian.")</f>
        <v>A Saya suka melamun atau membayangkan sesuatu sendirian.</v>
      </c>
      <c r="CQ72" s="95" t="str">
        <f>IFERROR(__xludf.DUMMYFUNCTION("""COMPUTED_VALUE"""),"B Saya merasa kagum pada seseorang.")</f>
        <v>B Saya merasa kagum pada seseorang.</v>
      </c>
      <c r="CR72" s="95" t="str">
        <f>IFERROR(__xludf.DUMMYFUNCTION("""COMPUTED_VALUE"""),"A Saya ingin memperolok-olok orang yang saya anggap melakukan tindakan bodoh.")</f>
        <v>A Saya ingin memperolok-olok orang yang saya anggap melakukan tindakan bodoh.</v>
      </c>
      <c r="CS72" s="95" t="str">
        <f>IFERROR(__xludf.DUMMYFUNCTION("""COMPUTED_VALUE"""),"A Saya ingin terlihat menarik di depan teman-teman saya.")</f>
        <v>A Saya ingin terlihat menarik di depan teman-teman saya.</v>
      </c>
      <c r="CT72" s="95" t="str">
        <f>IFERROR(__xludf.DUMMYFUNCTION("""COMPUTED_VALUE"""),"A Saya ingin orang-orang memperhatikan komentar mengenai penampilan saya.")</f>
        <v>A Saya ingin orang-orang memperhatikan komentar mengenai penampilan saya.</v>
      </c>
      <c r="CU72" s="95" t="str">
        <f>IFERROR(__xludf.DUMMYFUNCTION("""COMPUTED_VALUE"""),"A Saya ingin diperlakukan dengan ramah oleh teman-teman saya.")</f>
        <v>A Saya ingin diperlakukan dengan ramah oleh teman-teman saya.</v>
      </c>
      <c r="CV72" s="95" t="str">
        <f>IFERROR(__xludf.DUMMYFUNCTION("""COMPUTED_VALUE"""),"A Saya ingin ditunjuk atau dipilih sebagai ketua dalam suatu kelompok.")</f>
        <v>A Saya ingin ditunjuk atau dipilih sebagai ketua dalam suatu kelompok.</v>
      </c>
      <c r="CW72" s="95" t="str">
        <f>IFERROR(__xludf.DUMMYFUNCTION("""COMPUTED_VALUE"""),"A Saya suka menolong teman-teman saya, apabila mereka dalam kesulitan.")</f>
        <v>A Saya suka menolong teman-teman saya, apabila mereka dalam kesulitan.</v>
      </c>
      <c r="CX72" s="95" t="str">
        <f>IFERROR(__xludf.DUMMYFUNCTION("""COMPUTED_VALUE"""),"A Saya suka belajar sampai malam untuk menyelesaikan suatu tugas.")</f>
        <v>A Saya suka belajar sampai malam untuk menyelesaikan suatu tugas.</v>
      </c>
      <c r="CY72" s="95" t="str">
        <f>IFERROR(__xludf.DUMMYFUNCTION("""COMPUTED_VALUE"""),"A Saya ingin tidak tergantung dari orang lain terhadap apa yang akan saya lakukan.")</f>
        <v>A Saya ingin tidak tergantung dari orang lain terhadap apa yang akan saya lakukan.</v>
      </c>
      <c r="CZ72" s="95" t="str">
        <f>IFERROR(__xludf.DUMMYFUNCTION("""COMPUTED_VALUE"""),"A Saya suka merencanakan dan mengatur setiap pekerjaan yang harus saya lakukan.")</f>
        <v>A Saya suka merencanakan dan mengatur setiap pekerjaan yang harus saya lakukan.</v>
      </c>
      <c r="DA72" s="95" t="str">
        <f>IFERROR(__xludf.DUMMYFUNCTION("""COMPUTED_VALUE"""),"A Saya ingin melakukan apa saja sebaik mungkin.")</f>
        <v>A Saya ingin melakukan apa saja sebaik mungkin.</v>
      </c>
      <c r="DB72" s="89" t="s">
        <v>23</v>
      </c>
      <c r="DC72" s="97" t="str">
        <f t="shared" ref="DC72:GX72" si="117">LEFT(F72,1)</f>
        <v>B</v>
      </c>
      <c r="DD72" s="97" t="str">
        <f t="shared" si="117"/>
        <v>A</v>
      </c>
      <c r="DE72" s="97" t="str">
        <f t="shared" si="117"/>
        <v>A</v>
      </c>
      <c r="DF72" s="97" t="str">
        <f t="shared" si="117"/>
        <v>B</v>
      </c>
      <c r="DG72" s="97" t="str">
        <f t="shared" si="117"/>
        <v>A</v>
      </c>
      <c r="DH72" s="97" t="str">
        <f t="shared" si="117"/>
        <v>B</v>
      </c>
      <c r="DI72" s="97" t="str">
        <f t="shared" si="117"/>
        <v>B</v>
      </c>
      <c r="DJ72" s="97" t="str">
        <f t="shared" si="117"/>
        <v>A</v>
      </c>
      <c r="DK72" s="97" t="str">
        <f t="shared" si="117"/>
        <v>B</v>
      </c>
      <c r="DL72" s="97" t="str">
        <f t="shared" si="117"/>
        <v>B</v>
      </c>
      <c r="DM72" s="97" t="str">
        <f t="shared" si="117"/>
        <v>A</v>
      </c>
      <c r="DN72" s="97" t="str">
        <f t="shared" si="117"/>
        <v>B</v>
      </c>
      <c r="DO72" s="97" t="str">
        <f t="shared" si="117"/>
        <v>B</v>
      </c>
      <c r="DP72" s="97" t="str">
        <f t="shared" si="117"/>
        <v>B</v>
      </c>
      <c r="DQ72" s="97" t="str">
        <f t="shared" si="117"/>
        <v>B</v>
      </c>
      <c r="DR72" s="97" t="str">
        <f t="shared" si="117"/>
        <v>A</v>
      </c>
      <c r="DS72" s="97" t="str">
        <f t="shared" si="117"/>
        <v>B</v>
      </c>
      <c r="DT72" s="97" t="str">
        <f t="shared" si="117"/>
        <v>A</v>
      </c>
      <c r="DU72" s="97" t="str">
        <f t="shared" si="117"/>
        <v>B</v>
      </c>
      <c r="DV72" s="97" t="str">
        <f t="shared" si="117"/>
        <v>A</v>
      </c>
      <c r="DW72" s="97" t="str">
        <f t="shared" si="117"/>
        <v>A</v>
      </c>
      <c r="DX72" s="97" t="str">
        <f t="shared" si="117"/>
        <v>A</v>
      </c>
      <c r="DY72" s="97" t="str">
        <f t="shared" si="117"/>
        <v>B</v>
      </c>
      <c r="DZ72" s="97" t="str">
        <f t="shared" si="117"/>
        <v>A</v>
      </c>
      <c r="EA72" s="97" t="str">
        <f t="shared" si="117"/>
        <v>A</v>
      </c>
      <c r="EB72" s="97" t="str">
        <f t="shared" si="117"/>
        <v>B</v>
      </c>
      <c r="EC72" s="97" t="str">
        <f t="shared" si="117"/>
        <v>B</v>
      </c>
      <c r="ED72" s="97" t="str">
        <f t="shared" si="117"/>
        <v>B</v>
      </c>
      <c r="EE72" s="97" t="str">
        <f t="shared" si="117"/>
        <v>B</v>
      </c>
      <c r="EF72" s="97" t="str">
        <f t="shared" si="117"/>
        <v>B</v>
      </c>
      <c r="EG72" s="97" t="str">
        <f t="shared" si="117"/>
        <v>B</v>
      </c>
      <c r="EH72" s="97" t="str">
        <f t="shared" si="117"/>
        <v>B</v>
      </c>
      <c r="EI72" s="97" t="str">
        <f t="shared" si="117"/>
        <v>B</v>
      </c>
      <c r="EJ72" s="97" t="str">
        <f t="shared" si="117"/>
        <v>B</v>
      </c>
      <c r="EK72" s="97" t="str">
        <f t="shared" si="117"/>
        <v>A</v>
      </c>
      <c r="EL72" s="97" t="str">
        <f t="shared" si="117"/>
        <v>B</v>
      </c>
      <c r="EM72" s="97" t="str">
        <f t="shared" si="117"/>
        <v>B</v>
      </c>
      <c r="EN72" s="97" t="str">
        <f t="shared" si="117"/>
        <v>B</v>
      </c>
      <c r="EO72" s="97" t="str">
        <f t="shared" si="117"/>
        <v>B</v>
      </c>
      <c r="EP72" s="97" t="str">
        <f t="shared" si="117"/>
        <v>A</v>
      </c>
      <c r="EQ72" s="97" t="str">
        <f t="shared" si="117"/>
        <v>A</v>
      </c>
      <c r="ER72" s="97" t="str">
        <f t="shared" si="117"/>
        <v>B</v>
      </c>
      <c r="ES72" s="97" t="str">
        <f t="shared" si="117"/>
        <v>B</v>
      </c>
      <c r="ET72" s="97" t="str">
        <f t="shared" si="117"/>
        <v>A</v>
      </c>
      <c r="EU72" s="97" t="str">
        <f t="shared" si="117"/>
        <v>A</v>
      </c>
      <c r="EV72" s="97" t="str">
        <f t="shared" si="117"/>
        <v>B</v>
      </c>
      <c r="EW72" s="97" t="str">
        <f t="shared" si="117"/>
        <v>B</v>
      </c>
      <c r="EX72" s="97" t="str">
        <f t="shared" si="117"/>
        <v>A</v>
      </c>
      <c r="EY72" s="97" t="str">
        <f t="shared" si="117"/>
        <v>B</v>
      </c>
      <c r="EZ72" s="97" t="str">
        <f t="shared" si="117"/>
        <v>A</v>
      </c>
      <c r="FA72" s="97" t="str">
        <f t="shared" si="117"/>
        <v>B</v>
      </c>
      <c r="FB72" s="97" t="str">
        <f t="shared" si="117"/>
        <v>B</v>
      </c>
      <c r="FC72" s="97" t="str">
        <f t="shared" si="117"/>
        <v>B</v>
      </c>
      <c r="FD72" s="97" t="str">
        <f t="shared" si="117"/>
        <v>B</v>
      </c>
      <c r="FE72" s="97" t="str">
        <f t="shared" si="117"/>
        <v>A</v>
      </c>
      <c r="FF72" s="97" t="str">
        <f t="shared" si="117"/>
        <v>A</v>
      </c>
      <c r="FG72" s="97" t="str">
        <f t="shared" si="117"/>
        <v>A</v>
      </c>
      <c r="FH72" s="97" t="str">
        <f t="shared" si="117"/>
        <v>A</v>
      </c>
      <c r="FI72" s="97" t="str">
        <f t="shared" si="117"/>
        <v>A</v>
      </c>
      <c r="FJ72" s="97" t="str">
        <f t="shared" si="117"/>
        <v>A</v>
      </c>
      <c r="FK72" s="97" t="str">
        <f t="shared" si="117"/>
        <v>A</v>
      </c>
      <c r="FL72" s="97" t="str">
        <f t="shared" si="117"/>
        <v>A</v>
      </c>
      <c r="FM72" s="97" t="str">
        <f t="shared" si="117"/>
        <v>A</v>
      </c>
      <c r="FN72" s="97" t="str">
        <f t="shared" si="117"/>
        <v>A</v>
      </c>
      <c r="FO72" s="97" t="str">
        <f t="shared" si="117"/>
        <v>A</v>
      </c>
      <c r="FP72" s="97" t="str">
        <f t="shared" si="117"/>
        <v>B</v>
      </c>
      <c r="FQ72" s="97" t="str">
        <f t="shared" si="117"/>
        <v>B</v>
      </c>
      <c r="FR72" s="97" t="str">
        <f t="shared" si="117"/>
        <v>A</v>
      </c>
      <c r="FS72" s="97" t="str">
        <f t="shared" si="117"/>
        <v>B</v>
      </c>
      <c r="FT72" s="97" t="str">
        <f t="shared" si="117"/>
        <v>B</v>
      </c>
      <c r="FU72" s="97" t="str">
        <f t="shared" si="117"/>
        <v>B</v>
      </c>
      <c r="FV72" s="97" t="str">
        <f t="shared" si="117"/>
        <v>A</v>
      </c>
      <c r="FW72" s="97" t="str">
        <f t="shared" si="117"/>
        <v>A</v>
      </c>
      <c r="FX72" s="97" t="str">
        <f t="shared" si="117"/>
        <v>A</v>
      </c>
      <c r="FY72" s="97" t="str">
        <f t="shared" si="117"/>
        <v>B</v>
      </c>
      <c r="FZ72" s="97" t="str">
        <f t="shared" si="117"/>
        <v>A</v>
      </c>
      <c r="GA72" s="97" t="str">
        <f t="shared" si="117"/>
        <v>A</v>
      </c>
      <c r="GB72" s="97" t="str">
        <f t="shared" si="117"/>
        <v>A</v>
      </c>
      <c r="GC72" s="97" t="str">
        <f t="shared" si="117"/>
        <v>A</v>
      </c>
      <c r="GD72" s="97" t="str">
        <f t="shared" si="117"/>
        <v>A</v>
      </c>
      <c r="GE72" s="97" t="str">
        <f t="shared" si="117"/>
        <v>A</v>
      </c>
      <c r="GF72" s="97" t="str">
        <f t="shared" si="117"/>
        <v>A</v>
      </c>
      <c r="GG72" s="97" t="str">
        <f t="shared" si="117"/>
        <v>A</v>
      </c>
      <c r="GH72" s="97" t="str">
        <f t="shared" si="117"/>
        <v>A</v>
      </c>
      <c r="GI72" s="97" t="str">
        <f t="shared" si="117"/>
        <v>A</v>
      </c>
      <c r="GJ72" s="97" t="str">
        <f t="shared" si="117"/>
        <v>A</v>
      </c>
      <c r="GK72" s="97" t="str">
        <f t="shared" si="117"/>
        <v>A</v>
      </c>
      <c r="GL72" s="97" t="str">
        <f t="shared" si="117"/>
        <v>B</v>
      </c>
      <c r="GM72" s="97" t="str">
        <f t="shared" si="117"/>
        <v>A</v>
      </c>
      <c r="GN72" s="97" t="str">
        <f t="shared" si="117"/>
        <v>B</v>
      </c>
      <c r="GO72" s="97" t="str">
        <f t="shared" si="117"/>
        <v>A</v>
      </c>
      <c r="GP72" s="97" t="str">
        <f t="shared" si="117"/>
        <v>A</v>
      </c>
      <c r="GQ72" s="97" t="str">
        <f t="shared" si="117"/>
        <v>A</v>
      </c>
      <c r="GR72" s="97" t="str">
        <f t="shared" si="117"/>
        <v>A</v>
      </c>
      <c r="GS72" s="97" t="str">
        <f t="shared" si="117"/>
        <v>A</v>
      </c>
      <c r="GT72" s="97" t="str">
        <f t="shared" si="117"/>
        <v>A</v>
      </c>
      <c r="GU72" s="97" t="str">
        <f t="shared" si="117"/>
        <v>A</v>
      </c>
      <c r="GV72" s="97" t="str">
        <f t="shared" si="117"/>
        <v>A</v>
      </c>
      <c r="GW72" s="97" t="str">
        <f t="shared" si="117"/>
        <v>A</v>
      </c>
      <c r="GX72" s="97" t="str">
        <f t="shared" si="117"/>
        <v>A</v>
      </c>
      <c r="GY72" s="98"/>
      <c r="GZ72" s="97">
        <f t="shared" si="3"/>
        <v>57</v>
      </c>
      <c r="HA72" s="97">
        <f t="shared" si="4"/>
        <v>43</v>
      </c>
      <c r="HB72" s="90">
        <f t="shared" si="5"/>
        <v>100</v>
      </c>
      <c r="HC72" s="99"/>
      <c r="HD72" s="97">
        <f t="shared" si="6"/>
        <v>9</v>
      </c>
      <c r="HE72" s="97">
        <f t="shared" si="7"/>
        <v>5</v>
      </c>
      <c r="HF72" s="90">
        <f t="shared" si="8"/>
        <v>14</v>
      </c>
      <c r="HG72" s="99"/>
      <c r="HH72" s="97">
        <f t="shared" si="9"/>
        <v>7</v>
      </c>
      <c r="HI72" s="97">
        <f t="shared" si="10"/>
        <v>6</v>
      </c>
      <c r="HJ72" s="90">
        <f t="shared" si="11"/>
        <v>13</v>
      </c>
      <c r="HK72" s="99"/>
      <c r="HL72" s="97">
        <f t="shared" si="12"/>
        <v>7</v>
      </c>
      <c r="HM72" s="97">
        <f t="shared" si="13"/>
        <v>6</v>
      </c>
      <c r="HN72" s="90">
        <f t="shared" si="14"/>
        <v>13</v>
      </c>
      <c r="HO72" s="99"/>
      <c r="HP72" s="97">
        <f t="shared" si="15"/>
        <v>7</v>
      </c>
      <c r="HQ72" s="97">
        <f t="shared" si="16"/>
        <v>8</v>
      </c>
      <c r="HR72" s="90">
        <f t="shared" si="17"/>
        <v>15</v>
      </c>
      <c r="HS72" s="99"/>
      <c r="HT72" s="97">
        <f t="shared" si="18"/>
        <v>8</v>
      </c>
      <c r="HU72" s="97">
        <f t="shared" si="19"/>
        <v>5</v>
      </c>
      <c r="HV72" s="90">
        <f t="shared" si="20"/>
        <v>13</v>
      </c>
      <c r="HW72" s="99"/>
      <c r="HX72" s="97">
        <f t="shared" si="21"/>
        <v>3</v>
      </c>
      <c r="HY72" s="97">
        <f t="shared" si="22"/>
        <v>4</v>
      </c>
      <c r="HZ72" s="90">
        <f t="shared" si="23"/>
        <v>7</v>
      </c>
      <c r="IA72" s="99"/>
      <c r="IB72" s="97">
        <f t="shared" si="24"/>
        <v>3</v>
      </c>
      <c r="IC72" s="97">
        <f t="shared" si="25"/>
        <v>4</v>
      </c>
      <c r="ID72" s="90">
        <f t="shared" si="26"/>
        <v>7</v>
      </c>
      <c r="IE72" s="99"/>
      <c r="IF72" s="97">
        <f t="shared" si="27"/>
        <v>4</v>
      </c>
      <c r="IG72" s="97">
        <f t="shared" si="28"/>
        <v>2</v>
      </c>
      <c r="IH72" s="90">
        <f t="shared" si="29"/>
        <v>6</v>
      </c>
      <c r="II72" s="99"/>
      <c r="IJ72" s="97">
        <f t="shared" si="30"/>
        <v>2</v>
      </c>
      <c r="IK72" s="97">
        <f t="shared" si="31"/>
        <v>2</v>
      </c>
      <c r="IL72" s="90">
        <f t="shared" si="32"/>
        <v>4</v>
      </c>
      <c r="IM72" s="99"/>
      <c r="IN72" s="97">
        <f t="shared" si="33"/>
        <v>2</v>
      </c>
      <c r="IO72" s="97">
        <f t="shared" si="34"/>
        <v>0</v>
      </c>
      <c r="IP72" s="90">
        <f t="shared" si="35"/>
        <v>2</v>
      </c>
      <c r="IQ72" s="99"/>
      <c r="IR72" s="99"/>
      <c r="IS72" s="100">
        <f t="shared" si="36"/>
        <v>14</v>
      </c>
      <c r="IT72" s="100">
        <f t="shared" si="37"/>
        <v>13</v>
      </c>
      <c r="IU72" s="100">
        <f t="shared" si="38"/>
        <v>13</v>
      </c>
      <c r="IV72" s="100">
        <f t="shared" si="39"/>
        <v>15</v>
      </c>
      <c r="IW72" s="100">
        <f t="shared" si="40"/>
        <v>13</v>
      </c>
      <c r="IX72" s="100">
        <f t="shared" si="41"/>
        <v>7</v>
      </c>
      <c r="IY72" s="100">
        <f t="shared" si="42"/>
        <v>7</v>
      </c>
      <c r="IZ72" s="100">
        <f t="shared" si="43"/>
        <v>6</v>
      </c>
      <c r="JA72" s="100">
        <f t="shared" si="44"/>
        <v>4</v>
      </c>
      <c r="JB72" s="101">
        <f t="shared" si="45"/>
        <v>2</v>
      </c>
      <c r="JC72" s="102">
        <f t="shared" si="46"/>
        <v>94</v>
      </c>
      <c r="JD72" s="67">
        <f t="shared" si="50"/>
        <v>0</v>
      </c>
      <c r="JE72" s="67">
        <f t="shared" si="47"/>
        <v>0</v>
      </c>
      <c r="JF72" s="67">
        <f t="shared" si="48"/>
        <v>0</v>
      </c>
    </row>
    <row r="73">
      <c r="A73" s="103">
        <f>IFERROR(__xludf.DUMMYFUNCTION("""COMPUTED_VALUE"""),45935.55258534722)</f>
        <v>45935.55259</v>
      </c>
      <c r="B73" s="95" t="str">
        <f>IFERROR(__xludf.DUMMYFUNCTION("""COMPUTED_VALUE"""),"Muhammad Al Fathih")</f>
        <v>Muhammad Al Fathih</v>
      </c>
      <c r="C73" s="96" t="str">
        <f>IFERROR(__xludf.DUMMYFUNCTION("""COMPUTED_VALUE"""),"C250019")</f>
        <v>C250019</v>
      </c>
      <c r="D73" s="96" t="str">
        <f>IFERROR(__xludf.DUMMYFUNCTION("""COMPUTED_VALUE"""),"SMA")</f>
        <v>SMA</v>
      </c>
      <c r="E73" s="96" t="str">
        <f>IFERROR(__xludf.DUMMYFUNCTION("""COMPUTED_VALUE"""),"Ya")</f>
        <v>Ya</v>
      </c>
      <c r="F73" s="95" t="str">
        <f>IFERROR(__xludf.DUMMYFUNCTION("""COMPUTED_VALUE"""),"A Saya ingin mengerjakan segala tugas lebih baik daripada orang lain.")</f>
        <v>A Saya ingin mengerjakan segala tugas lebih baik daripada orang lain.</v>
      </c>
      <c r="G73" s="95" t="str">
        <f>IFERROR(__xludf.DUMMYFUNCTION("""COMPUTED_VALUE"""),"A Saya ingin setiap tulisan saya teliti, rapi, dan tersusun dengan baik.")</f>
        <v>A Saya ingin setiap tulisan saya teliti, rapi, dan tersusun dengan baik.</v>
      </c>
      <c r="H73" s="95" t="str">
        <f>IFERROR(__xludf.DUMMYFUNCTION("""COMPUTED_VALUE"""),"B Saya ingin menjadi orang yang diakui dalam suatu pekerjaan atau bidang khusus.")</f>
        <v>B Saya ingin menjadi orang yang diakui dalam suatu pekerjaan atau bidang khusus.</v>
      </c>
      <c r="I73" s="95" t="str">
        <f>IFERROR(__xludf.DUMMYFUNCTION("""COMPUTED_VALUE"""),"B Saya ingin bisa melakukan dengan baik meskipun tugas yang sulit.")</f>
        <v>B Saya ingin bisa melakukan dengan baik meskipun tugas yang sulit.</v>
      </c>
      <c r="J73" s="95" t="str">
        <f>IFERROR(__xludf.DUMMYFUNCTION("""COMPUTED_VALUE"""),"A Saya suka membantu teman-teman saya apabila mereka mengalami kesulitan.")</f>
        <v>A Saya suka membantu teman-teman saya apabila mereka mengalami kesulitan.</v>
      </c>
      <c r="K73" s="95" t="str">
        <f>IFERROR(__xludf.DUMMYFUNCTION("""COMPUTED_VALUE"""),"A Saya ingin menjadi pemimpin dalam suatu kelompok.")</f>
        <v>A Saya ingin menjadi pemimpin dalam suatu kelompok.</v>
      </c>
      <c r="L73" s="95" t="str">
        <f>IFERROR(__xludf.DUMMYFUNCTION("""COMPUTED_VALUE"""),"A Saya ingin menjadi pemimpin dalam suatu kelompok")</f>
        <v>A Saya ingin menjadi pemimpin dalam suatu kelompok</v>
      </c>
      <c r="M73" s="95" t="str">
        <f>IFERROR(__xludf.DUMMYFUNCTION("""COMPUTED_VALUE"""),"B Saya ingin mengerjakan segala tugas lebih baik daripada orang lain.")</f>
        <v>B Saya ingin mengerjakan segala tugas lebih baik daripada orang lain.</v>
      </c>
      <c r="N73" s="95" t="str">
        <f>IFERROR(__xludf.DUMMYFUNCTION("""COMPUTED_VALUE"""),"B Saya suka memecahkan persoalan yang sukar bagi orang lain.")</f>
        <v>B Saya suka memecahkan persoalan yang sukar bagi orang lain.</v>
      </c>
      <c r="O73" s="95" t="str">
        <f>IFERROR(__xludf.DUMMYFUNCTION("""COMPUTED_VALUE"""),"B Saya suka melakukan tugas sebaik mungkin.")</f>
        <v>B Saya suka melakukan tugas sebaik mungkin.</v>
      </c>
      <c r="P73" s="95" t="str">
        <f>IFERROR(__xludf.DUMMYFUNCTION("""COMPUTED_VALUE"""),"B Saya ingin setiap belajar itu teratur dan direncanakan.")</f>
        <v>B Saya ingin setiap belajar itu teratur dan direncanakan.</v>
      </c>
      <c r="Q73" s="95" t="str">
        <f>IFERROR(__xludf.DUMMYFUNCTION("""COMPUTED_VALUE"""),"B Saya merencanakan keperluan yang dibutuhkan sebelum bepergian.")</f>
        <v>B Saya merencanakan keperluan yang dibutuhkan sebelum bepergian.</v>
      </c>
      <c r="R73" s="95" t="str">
        <f>IFERROR(__xludf.DUMMYFUNCTION("""COMPUTED_VALUE"""),"B Saya suka barang-barang saya tersusun rapi dan teratur.")</f>
        <v>B Saya suka barang-barang saya tersusun rapi dan teratur.</v>
      </c>
      <c r="S73" s="95" t="str">
        <f>IFERROR(__xludf.DUMMYFUNCTION("""COMPUTED_VALUE"""),"A Saya ingin agar teman-teman pengertian bila saya mengalami kesukaran.")</f>
        <v>A Saya ingin agar teman-teman pengertian bila saya mengalami kesukaran.</v>
      </c>
      <c r="T73" s="95" t="str">
        <f>IFERROR(__xludf.DUMMYFUNCTION("""COMPUTED_VALUE"""),"B Saya ingin agar hidup saya teratur sesuai cita-cita saya.")</f>
        <v>B Saya ingin agar hidup saya teratur sesuai cita-cita saya.</v>
      </c>
      <c r="U73" s="95" t="str">
        <f>IFERROR(__xludf.DUMMYFUNCTION("""COMPUTED_VALUE"""),"A Saya suka memberikan bantuan kepada teman-teman saya.")</f>
        <v>A Saya suka memberikan bantuan kepada teman-teman saya.</v>
      </c>
      <c r="V73" s="95" t="str">
        <f>IFERROR(__xludf.DUMMYFUNCTION("""COMPUTED_VALUE"""),"B Saya suka belajar saya teratur dan ada waktu-waktu tertentu untuk belajar.")</f>
        <v>B Saya suka belajar saya teratur dan ada waktu-waktu tertentu untuk belajar.</v>
      </c>
      <c r="W73" s="95" t="str">
        <f>IFERROR(__xludf.DUMMYFUNCTION("""COMPUTED_VALUE"""),"B Saya ingin kegiatan itu teratur dan direncanakan.")</f>
        <v>B Saya ingin kegiatan itu teratur dan direncanakan.</v>
      </c>
      <c r="X73" s="95" t="str">
        <f>IFERROR(__xludf.DUMMYFUNCTION("""COMPUTED_VALUE"""),"A Saya suka merencanakan dan mengatur setiap apa yang harus saya lakukan.")</f>
        <v>A Saya suka merencanakan dan mengatur setiap apa yang harus saya lakukan.</v>
      </c>
      <c r="Y73" s="95" t="str">
        <f>IFERROR(__xludf.DUMMYFUNCTION("""COMPUTED_VALUE"""),"A Saya suka menyelesaikan tugas-tugas yang membutuhkan ketrampilan dan usaha.")</f>
        <v>A Saya suka menyelesaikan tugas-tugas yang membutuhkan ketrampilan dan usaha.</v>
      </c>
      <c r="Z73" s="95" t="str">
        <f>IFERROR(__xludf.DUMMYFUNCTION("""COMPUTED_VALUE"""),"A Saya ingin berhasil dengan belajar yang saya lakukan.")</f>
        <v>A Saya ingin berhasil dengan belajar yang saya lakukan.</v>
      </c>
      <c r="AA73" s="95" t="str">
        <f>IFERROR(__xludf.DUMMYFUNCTION("""COMPUTED_VALUE"""),"A Saya suka menyelesaikan tugas yang telah saya rencanakan.")</f>
        <v>A Saya suka menyelesaikan tugas yang telah saya rencanakan.</v>
      </c>
      <c r="AB73" s="95" t="str">
        <f>IFERROR(__xludf.DUMMYFUNCTION("""COMPUTED_VALUE"""),"A Saya ingin tidak tergantung dari orang lain terhadap apa yang akan saya lakukan.")</f>
        <v>A Saya ingin tidak tergantung dari orang lain terhadap apa yang akan saya lakukan.</v>
      </c>
      <c r="AC73" s="95" t="str">
        <f>IFERROR(__xludf.DUMMYFUNCTION("""COMPUTED_VALUE"""),"A Saya suka menyelesaikan setiap tugas meskipun membutuhkan waktu lama.")</f>
        <v>A Saya suka menyelesaikan setiap tugas meskipun membutuhkan waktu lama.</v>
      </c>
      <c r="AD73" s="95" t="str">
        <f>IFERROR(__xludf.DUMMYFUNCTION("""COMPUTED_VALUE"""),"B Saya suka menyatakan pendapat saya tentang berbagai hal.")</f>
        <v>B Saya suka menyatakan pendapat saya tentang berbagai hal.</v>
      </c>
      <c r="AE73" s="95" t="str">
        <f>IFERROR(__xludf.DUMMYFUNCTION("""COMPUTED_VALUE"""),"A Saya ingin dianggap sebagai pemimpin oleh teman di kelompok.")</f>
        <v>A Saya ingin dianggap sebagai pemimpin oleh teman di kelompok.</v>
      </c>
      <c r="AF73" s="95" t="str">
        <f>IFERROR(__xludf.DUMMYFUNCTION("""COMPUTED_VALUE"""),"A Saya ingin agar teman-teman mengerti bila saya mengalami kesukaran.")</f>
        <v>A Saya ingin agar teman-teman mengerti bila saya mengalami kesukaran.</v>
      </c>
      <c r="AG73" s="95" t="str">
        <f>IFERROR(__xludf.DUMMYFUNCTION("""COMPUTED_VALUE"""),"B Saya ingin berhasil dengan tugas yang saya lakukan.")</f>
        <v>B Saya ingin berhasil dengan tugas yang saya lakukan.</v>
      </c>
      <c r="AH73" s="95" t="str">
        <f>IFERROR(__xludf.DUMMYFUNCTION("""COMPUTED_VALUE"""),"A Saya suka membaca buku-buku tentang pergaulan remaja.")</f>
        <v>A Saya suka membaca buku-buku tentang pergaulan remaja.</v>
      </c>
      <c r="AI73" s="95" t="str">
        <f>IFERROR(__xludf.DUMMYFUNCTION("""COMPUTED_VALUE"""),"B Saya suka melakukan kegiatan sesuai kondisi yang saya inginkan.")</f>
        <v>B Saya suka melakukan kegiatan sesuai kondisi yang saya inginkan.</v>
      </c>
      <c r="AJ73" s="95" t="str">
        <f>IFERROR(__xludf.DUMMYFUNCTION("""COMPUTED_VALUE"""),"B Saya suka bertahan menghadapi satu masalah meskipun belum tentu berhasil.")</f>
        <v>B Saya suka bertahan menghadapi satu masalah meskipun belum tentu berhasil.</v>
      </c>
      <c r="AK73" s="95" t="str">
        <f>IFERROR(__xludf.DUMMYFUNCTION("""COMPUTED_VALUE"""),"B Bila saya harus melakukan suatu tugas, saya ingin mengerjakan sampai selesai.")</f>
        <v>B Bila saya harus melakukan suatu tugas, saya ingin mengerjakan sampai selesai.</v>
      </c>
      <c r="AL73" s="95" t="str">
        <f>IFERROR(__xludf.DUMMYFUNCTION("""COMPUTED_VALUE"""),"B Saya ingin menghindarkan gangguan bila saya sedang belajar.")</f>
        <v>B Saya ingin menghindarkan gangguan bila saya sedang belajar.</v>
      </c>
      <c r="AM73" s="95" t="str">
        <f>IFERROR(__xludf.DUMMYFUNCTION("""COMPUTED_VALUE"""),"B Saya suka belajar sampai malam untuk menyelesaikan suatu tugas.")</f>
        <v>B Saya suka belajar sampai malam untuk menyelesaikan suatu tugas.</v>
      </c>
      <c r="AN73" s="95" t="str">
        <f>IFERROR(__xludf.DUMMYFUNCTION("""COMPUTED_VALUE"""),"A Saya tidak suka pada orang yang semena-mena.")</f>
        <v>A Saya tidak suka pada orang yang semena-mena.</v>
      </c>
      <c r="AO73" s="95" t="str">
        <f>IFERROR(__xludf.DUMMYFUNCTION("""COMPUTED_VALUE"""),"B Saya suka menyelesaikan setiap tugas meskipun membutuhkan waktu lama.")</f>
        <v>B Saya suka menyelesaikan setiap tugas meskipun membutuhkan waktu lama.</v>
      </c>
      <c r="AP73" s="95" t="str">
        <f>IFERROR(__xludf.DUMMYFUNCTION("""COMPUTED_VALUE"""),"B Saya suka bertahan menghadapi satu masalah meskipun belum tentu berhasil.")</f>
        <v>B Saya suka bertahan menghadapi satu masalah meskipun belum tentu berhasil.</v>
      </c>
      <c r="AQ73" s="95" t="str">
        <f>IFERROR(__xludf.DUMMYFUNCTION("""COMPUTED_VALUE"""),"A Saya ingin bisa mengerjakan segala sesuatu lebih baik daripada orang-orang lain.")</f>
        <v>A Saya ingin bisa mengerjakan segala sesuatu lebih baik daripada orang-orang lain.</v>
      </c>
      <c r="AR73" s="95" t="str">
        <f>IFERROR(__xludf.DUMMYFUNCTION("""COMPUTED_VALUE"""),"B Saya suka belajar keras pada tiap pelajaran yang saya hadapi.")</f>
        <v>B Saya suka belajar keras pada tiap pelajaran yang saya hadapi.</v>
      </c>
      <c r="AS73" s="95" t="str">
        <f>IFERROR(__xludf.DUMMYFUNCTION("""COMPUTED_VALUE"""),"A Saya ingin dapat menyelesaikan persoalan yang dianggap sukar bagi orang lain.")</f>
        <v>A Saya ingin dapat menyelesaikan persoalan yang dianggap sukar bagi orang lain.</v>
      </c>
      <c r="AT73" s="95" t="str">
        <f>IFERROR(__xludf.DUMMYFUNCTION("""COMPUTED_VALUE"""),"A Saya ingin bisa melakukan dengan baik sesuatu pekerjaan sulit.")</f>
        <v>A Saya ingin bisa melakukan dengan baik sesuatu pekerjaan sulit.</v>
      </c>
      <c r="AU73" s="95" t="str">
        <f>IFERROR(__xludf.DUMMYFUNCTION("""COMPUTED_VALUE"""),"B Saya suka bermurah hati terhadap teman-teman saya.")</f>
        <v>B Saya suka bermurah hati terhadap teman-teman saya.</v>
      </c>
      <c r="AV73" s="95" t="str">
        <f>IFERROR(__xludf.DUMMYFUNCTION("""COMPUTED_VALUE"""),"B Saya suka menolong teman-teman saya.")</f>
        <v>B Saya suka menolong teman-teman saya.</v>
      </c>
      <c r="AW73" s="95" t="str">
        <f>IFERROR(__xludf.DUMMYFUNCTION("""COMPUTED_VALUE"""),"B Saya ingin teman-teman saya percaya bahwa saya bisa menolong mereka.")</f>
        <v>B Saya ingin teman-teman saya percaya bahwa saya bisa menolong mereka.</v>
      </c>
      <c r="AX73" s="95" t="str">
        <f>IFERROR(__xludf.DUMMYFUNCTION("""COMPUTED_VALUE"""),"A Saya suka menolong teman-teman saya apabila mereka dalam kesulitan.")</f>
        <v>A Saya suka menolong teman-teman saya apabila mereka dalam kesulitan.</v>
      </c>
      <c r="AY73" s="95" t="str">
        <f>IFERROR(__xludf.DUMMYFUNCTION("""COMPUTED_VALUE"""),"B Saya suka menolong teman-teman saya apabila mereka dalam kesulitan.")</f>
        <v>B Saya suka menolong teman-teman saya apabila mereka dalam kesulitan.</v>
      </c>
      <c r="AZ73" s="95" t="str">
        <f>IFERROR(__xludf.DUMMYFUNCTION("""COMPUTED_VALUE"""),"A Saya ingin agar teman-teman saya bersimpati dan menghibur saya bila saya sedih.")</f>
        <v>A Saya ingin agar teman-teman saya bersimpati dan menghibur saya bila saya sedih.</v>
      </c>
      <c r="BA73" s="95" t="str">
        <f>IFERROR(__xludf.DUMMYFUNCTION("""COMPUTED_VALUE"""),"A Saya suka menyatakan pendapat saya tentang berbagai hal.")</f>
        <v>A Saya suka menyatakan pendapat saya tentang berbagai hal.</v>
      </c>
      <c r="BB73" s="95" t="str">
        <f>IFERROR(__xludf.DUMMYFUNCTION("""COMPUTED_VALUE"""),"B Saya suka bermurah hati terhadap teman-teman saya.")</f>
        <v>B Saya suka bermurah hati terhadap teman-teman saya.</v>
      </c>
      <c r="BC73" s="95" t="str">
        <f>IFERROR(__xludf.DUMMYFUNCTION("""COMPUTED_VALUE"""),"B Saya suka membantu orang lain yang menurut saya perlu dikasihani.")</f>
        <v>B Saya suka membantu orang lain yang menurut saya perlu dikasihani.</v>
      </c>
      <c r="BD73" s="95" t="str">
        <f>IFERROR(__xludf.DUMMYFUNCTION("""COMPUTED_VALUE"""),"B Saya suka bersikukuh dengan pendirian saya.")</f>
        <v>B Saya suka bersikukuh dengan pendirian saya.</v>
      </c>
      <c r="BE73" s="95" t="str">
        <f>IFERROR(__xludf.DUMMYFUNCTION("""COMPUTED_VALUE"""),"B Saya ingin orang lain melakukan apa yang saya kehendaki.")</f>
        <v>B Saya ingin orang lain melakukan apa yang saya kehendaki.</v>
      </c>
      <c r="BF73" s="95" t="str">
        <f>IFERROR(__xludf.DUMMYFUNCTION("""COMPUTED_VALUE"""),"B Bila saya dalam kelompok, saya ingin menentukan apa yang akan kita lakukan.")</f>
        <v>B Bila saya dalam kelompok, saya ingin menentukan apa yang akan kita lakukan.</v>
      </c>
      <c r="BG73" s="95" t="str">
        <f>IFERROR(__xludf.DUMMYFUNCTION("""COMPUTED_VALUE"""),"A Saya ingin teman-teman banyak menunjukkan rasa sayang mereka terhadap saya.")</f>
        <v>A Saya ingin teman-teman banyak menunjukkan rasa sayang mereka terhadap saya.</v>
      </c>
      <c r="BH73" s="95" t="str">
        <f>IFERROR(__xludf.DUMMYFUNCTION("""COMPUTED_VALUE"""),"B Apabila saya berkumpul dalam kelompok, saya ingin dihargai teman-teman.")</f>
        <v>B Apabila saya berkumpul dalam kelompok, saya ingin dihargai teman-teman.</v>
      </c>
      <c r="BI73" s="95" t="str">
        <f>IFERROR(__xludf.DUMMYFUNCTION("""COMPUTED_VALUE"""),"A Saya suka bermurah hati terhadap teman-teman saya.")</f>
        <v>A Saya suka bermurah hati terhadap teman-teman saya.</v>
      </c>
      <c r="BJ73" s="95" t="str">
        <f>IFERROR(__xludf.DUMMYFUNCTION("""COMPUTED_VALUE"""),"A Saya ingin mengerjakan tugas sampai selesai.")</f>
        <v>A Saya ingin mengerjakan tugas sampai selesai.</v>
      </c>
      <c r="BK73" s="95" t="str">
        <f>IFERROR(__xludf.DUMMYFUNCTION("""COMPUTED_VALUE"""),"A Saya ingin menyelesaikan pekerjaan satu persatu sebelum memulai yang lain.")</f>
        <v>A Saya ingin menyelesaikan pekerjaan satu persatu sebelum memulai yang lain.</v>
      </c>
      <c r="BL73" s="95" t="str">
        <f>IFERROR(__xludf.DUMMYFUNCTION("""COMPUTED_VALUE"""),"A Saya suka belajar saya teratur dan ada waktu-waktu tertentu untuk belajar.")</f>
        <v>A Saya suka belajar saya teratur dan ada waktu-waktu tertentu untuk belajar.</v>
      </c>
      <c r="BM73" s="95" t="str">
        <f>IFERROR(__xludf.DUMMYFUNCTION("""COMPUTED_VALUE"""),"A Saya suka melakukan pekerjaan sebaik mungkin.")</f>
        <v>A Saya suka melakukan pekerjaan sebaik mungkin.</v>
      </c>
      <c r="BN73" s="95" t="str">
        <f>IFERROR(__xludf.DUMMYFUNCTION("""COMPUTED_VALUE"""),"B Saya ingin teman-teman memberi dorongan bila saya menghadapi kegagalan.")</f>
        <v>B Saya ingin teman-teman memberi dorongan bila saya menghadapi kegagalan.</v>
      </c>
      <c r="BO73" s="95" t="str">
        <f>IFERROR(__xludf.DUMMYFUNCTION("""COMPUTED_VALUE"""),"A Saya suka membuat perencanaan sebelum memulai belajar yang sulit.")</f>
        <v>A Saya suka membuat perencanaan sebelum memulai belajar yang sulit.</v>
      </c>
      <c r="BP73" s="95" t="str">
        <f>IFERROR(__xludf.DUMMYFUNCTION("""COMPUTED_VALUE"""),"A Saya ingin menyelesaikan sesuatu yang sangat penting artinya.")</f>
        <v>A Saya ingin menyelesaikan sesuatu yang sangat penting artinya.</v>
      </c>
      <c r="BQ73" s="95" t="str">
        <f>IFERROR(__xludf.DUMMYFUNCTION("""COMPUTED_VALUE"""),"A Saya ingin mengerjakannya tugas sampai selesai.")</f>
        <v>A Saya ingin mengerjakannya tugas sampai selesai.</v>
      </c>
      <c r="BR73" s="95" t="str">
        <f>IFERROR(__xludf.DUMMYFUNCTION("""COMPUTED_VALUE"""),"A Saya suka memaafkan teman-teman saya yang menyakiti hati saya.")</f>
        <v>A Saya suka memaafkan teman-teman saya yang menyakiti hati saya.</v>
      </c>
      <c r="BS73" s="95" t="str">
        <f>IFERROR(__xludf.DUMMYFUNCTION("""COMPUTED_VALUE"""),"B Saya ingin teman-teman saya membantu saya bila saya mengalami kesulitan")</f>
        <v>B Saya ingin teman-teman saya membantu saya bila saya mengalami kesulitan</v>
      </c>
      <c r="BT73" s="95" t="str">
        <f>IFERROR(__xludf.DUMMYFUNCTION("""COMPUTED_VALUE"""),"B Saya ingin teman-teman banyak menunjukkan rasa sayang mereka terhadap saya.")</f>
        <v>B Saya ingin teman-teman banyak menunjukkan rasa sayang mereka terhadap saya.</v>
      </c>
      <c r="BU73" s="95" t="str">
        <f>IFERROR(__xludf.DUMMYFUNCTION("""COMPUTED_VALUE"""),"B Saya ingin agar teman-teman saya merasa kasihan pada saya apabila saya sakit.")</f>
        <v>B Saya ingin agar teman-teman saya merasa kasihan pada saya apabila saya sakit.</v>
      </c>
      <c r="BV73" s="95" t="str">
        <f>IFERROR(__xludf.DUMMYFUNCTION("""COMPUTED_VALUE"""),"B Saya ingin teman-teman dengan gembira memberikan pertolongan kepada saya.")</f>
        <v>B Saya ingin teman-teman dengan gembira memberikan pertolongan kepada saya.</v>
      </c>
      <c r="BW73" s="95" t="str">
        <f>IFERROR(__xludf.DUMMYFUNCTION("""COMPUTED_VALUE"""),"B Saya ingin diperlakukan dengan baik oleh teman-teman saya.")</f>
        <v>B Saya ingin diperlakukan dengan baik oleh teman-teman saya.</v>
      </c>
      <c r="BX73" s="95" t="str">
        <f>IFERROR(__xludf.DUMMYFUNCTION("""COMPUTED_VALUE"""),"B Saya kadang-kadang suka melakukan hal-hal yang dapat dipuji oleh orang lain.")</f>
        <v>B Saya kadang-kadang suka melakukan hal-hal yang dapat dipuji oleh orang lain.</v>
      </c>
      <c r="BY73" s="95" t="str">
        <f>IFERROR(__xludf.DUMMYFUNCTION("""COMPUTED_VALUE"""),"B Saya ingin orang lain memperhatikan dan berkomentar tentang penampilan saya.")</f>
        <v>B Saya ingin orang lain memperhatikan dan berkomentar tentang penampilan saya.</v>
      </c>
      <c r="BZ73" s="95" t="str">
        <f>IFERROR(__xludf.DUMMYFUNCTION("""COMPUTED_VALUE"""),"B Saya suka diperhatikan, apabila saya ada di dalam suatu kelompok.")</f>
        <v>B Saya suka diperhatikan, apabila saya ada di dalam suatu kelompok.</v>
      </c>
      <c r="CA73" s="95" t="str">
        <f>IFERROR(__xludf.DUMMYFUNCTION("""COMPUTED_VALUE"""),"A Saya ingin teman-teman dengan gembira memberikan pertolongan kepada saya.")</f>
        <v>A Saya ingin teman-teman dengan gembira memberikan pertolongan kepada saya.</v>
      </c>
      <c r="CB73" s="95" t="str">
        <f>IFERROR(__xludf.DUMMYFUNCTION("""COMPUTED_VALUE"""),"B Saya suka berbicara tentang hal-hal yang telah saya capai.")</f>
        <v>B Saya suka berbicara tentang hal-hal yang telah saya capai.</v>
      </c>
      <c r="CC73" s="95" t="str">
        <f>IFERROR(__xludf.DUMMYFUNCTION("""COMPUTED_VALUE"""),"A Apabila saya berkumpul dalam kelompok, saya ingin dihargai teman-teman.")</f>
        <v>A Apabila saya berkumpul dalam kelompok, saya ingin dihargai teman-teman.</v>
      </c>
      <c r="CD73" s="95" t="str">
        <f>IFERROR(__xludf.DUMMYFUNCTION("""COMPUTED_VALUE"""),"A Saya suka menyelesaikan setiap tugas meskipun membutuhkan waktu lama.")</f>
        <v>A Saya suka menyelesaikan setiap tugas meskipun membutuhkan waktu lama.</v>
      </c>
      <c r="CE73" s="95" t="str">
        <f>IFERROR(__xludf.DUMMYFUNCTION("""COMPUTED_VALUE"""),"A Saya suka menyelesaikan setiap tugas belajar yang telah saya mulai.")</f>
        <v>A Saya suka menyelesaikan setiap tugas belajar yang telah saya mulai.</v>
      </c>
      <c r="CF73" s="95" t="str">
        <f>IFERROR(__xludf.DUMMYFUNCTION("""COMPUTED_VALUE"""),"A Saya ingin agar hidup saya teratur sesuai cita-cita saya.")</f>
        <v>A Saya ingin agar hidup saya teratur sesuai cita-cita saya.</v>
      </c>
      <c r="CG73" s="95" t="str">
        <f>IFERROR(__xludf.DUMMYFUNCTION("""COMPUTED_VALUE"""),"A Saya ingin berhasil dalam apa yang saya lakukan.")</f>
        <v>A Saya ingin berhasil dalam apa yang saya lakukan.</v>
      </c>
      <c r="CH73" s="95" t="str">
        <f>IFERROR(__xludf.DUMMYFUNCTION("""COMPUTED_VALUE"""),"A Saya ingin bisa melakukan dengan baik sesuatu pekerjaan sulit.")</f>
        <v>A Saya ingin bisa melakukan dengan baik sesuatu pekerjaan sulit.</v>
      </c>
      <c r="CI73" s="95" t="str">
        <f>IFERROR(__xludf.DUMMYFUNCTION("""COMPUTED_VALUE"""),"A Saya suka belajar saya teratur dan ada waktu-waktu tertentu untuk belajar.")</f>
        <v>A Saya suka belajar saya teratur dan ada waktu-waktu tertentu untuk belajar.</v>
      </c>
      <c r="CJ73" s="95" t="str">
        <f>IFERROR(__xludf.DUMMYFUNCTION("""COMPUTED_VALUE"""),"A Saya ingin tidak tergantung dari orang lain terhadap apa yang akan saya lakukan.")</f>
        <v>A Saya ingin tidak tergantung dari orang lain terhadap apa yang akan saya lakukan.</v>
      </c>
      <c r="CK73" s="95" t="str">
        <f>IFERROR(__xludf.DUMMYFUNCTION("""COMPUTED_VALUE"""),"A Saya suka bertahan menghadapi satu masalah, meskipun belum tentu berhasil.")</f>
        <v>A Saya suka bertahan menghadapi satu masalah, meskipun belum tentu berhasil.</v>
      </c>
      <c r="CL73" s="95" t="str">
        <f>IFERROR(__xludf.DUMMYFUNCTION("""COMPUTED_VALUE"""),"A Saya suka menolong teman-teman saya, apabila mereka dalam kesulitan.")</f>
        <v>A Saya suka menolong teman-teman saya, apabila mereka dalam kesulitan.</v>
      </c>
      <c r="CM73" s="95" t="str">
        <f>IFERROR(__xludf.DUMMYFUNCTION("""COMPUTED_VALUE"""),"B Saya merasa kagum pada seseorang.")</f>
        <v>B Saya merasa kagum pada seseorang.</v>
      </c>
      <c r="CN73" s="95" t="str">
        <f>IFERROR(__xludf.DUMMYFUNCTION("""COMPUTED_VALUE"""),"A Saya ingin diperlakukan dengan baik oleh teman-teman saya.")</f>
        <v>A Saya ingin diperlakukan dengan baik oleh teman-teman saya.</v>
      </c>
      <c r="CO73" s="95" t="str">
        <f>IFERROR(__xludf.DUMMYFUNCTION("""COMPUTED_VALUE"""),"B Saya suka memuji orang yang saya kagumi.")</f>
        <v>B Saya suka memuji orang yang saya kagumi.</v>
      </c>
      <c r="CP73" s="95" t="str">
        <f>IFERROR(__xludf.DUMMYFUNCTION("""COMPUTED_VALUE"""),"B Saya ingin dianggap menarik oleh orang lain.")</f>
        <v>B Saya ingin dianggap menarik oleh orang lain.</v>
      </c>
      <c r="CQ73" s="95" t="str">
        <f>IFERROR(__xludf.DUMMYFUNCTION("""COMPUTED_VALUE"""),"B Saya merasa kagum pada seseorang.")</f>
        <v>B Saya merasa kagum pada seseorang.</v>
      </c>
      <c r="CR73" s="95" t="str">
        <f>IFERROR(__xludf.DUMMYFUNCTION("""COMPUTED_VALUE"""),"B Saya rasanya ingin mengecam seseorang bila orang itu menjengkelkan.")</f>
        <v>B Saya rasanya ingin mengecam seseorang bila orang itu menjengkelkan.</v>
      </c>
      <c r="CS73" s="95" t="str">
        <f>IFERROR(__xludf.DUMMYFUNCTION("""COMPUTED_VALUE"""),"B Saya rasanya ingin membalas dendam bila seseorang menghina saya.")</f>
        <v>B Saya rasanya ingin membalas dendam bila seseorang menghina saya.</v>
      </c>
      <c r="CT73" s="95" t="str">
        <f>IFERROR(__xludf.DUMMYFUNCTION("""COMPUTED_VALUE"""),"A Saya ingin orang-orang memperhatikan komentar mengenai penampilan saya.")</f>
        <v>A Saya ingin orang-orang memperhatikan komentar mengenai penampilan saya.</v>
      </c>
      <c r="CU73" s="95" t="str">
        <f>IFERROR(__xludf.DUMMYFUNCTION("""COMPUTED_VALUE"""),"A Saya ingin diperlakukan dengan ramah oleh teman-teman saya.")</f>
        <v>A Saya ingin diperlakukan dengan ramah oleh teman-teman saya.</v>
      </c>
      <c r="CV73" s="95" t="str">
        <f>IFERROR(__xludf.DUMMYFUNCTION("""COMPUTED_VALUE"""),"A Saya ingin ditunjuk atau dipilih sebagai ketua dalam suatu kelompok.")</f>
        <v>A Saya ingin ditunjuk atau dipilih sebagai ketua dalam suatu kelompok.</v>
      </c>
      <c r="CW73" s="95" t="str">
        <f>IFERROR(__xludf.DUMMYFUNCTION("""COMPUTED_VALUE"""),"A Saya suka menolong teman-teman saya, apabila mereka dalam kesulitan.")</f>
        <v>A Saya suka menolong teman-teman saya, apabila mereka dalam kesulitan.</v>
      </c>
      <c r="CX73" s="95" t="str">
        <f>IFERROR(__xludf.DUMMYFUNCTION("""COMPUTED_VALUE"""),"A Saya suka belajar sampai malam untuk menyelesaikan suatu tugas.")</f>
        <v>A Saya suka belajar sampai malam untuk menyelesaikan suatu tugas.</v>
      </c>
      <c r="CY73" s="95" t="str">
        <f>IFERROR(__xludf.DUMMYFUNCTION("""COMPUTED_VALUE"""),"A Saya ingin tidak tergantung dari orang lain terhadap apa yang akan saya lakukan.")</f>
        <v>A Saya ingin tidak tergantung dari orang lain terhadap apa yang akan saya lakukan.</v>
      </c>
      <c r="CZ73" s="95" t="str">
        <f>IFERROR(__xludf.DUMMYFUNCTION("""COMPUTED_VALUE"""),"A Saya suka merencanakan dan mengatur setiap pekerjaan yang harus saya lakukan.")</f>
        <v>A Saya suka merencanakan dan mengatur setiap pekerjaan yang harus saya lakukan.</v>
      </c>
      <c r="DA73" s="95" t="str">
        <f>IFERROR(__xludf.DUMMYFUNCTION("""COMPUTED_VALUE"""),"A Saya ingin melakukan apa saja sebaik mungkin.")</f>
        <v>A Saya ingin melakukan apa saja sebaik mungkin.</v>
      </c>
      <c r="DB73" s="89" t="s">
        <v>23</v>
      </c>
      <c r="DC73" s="97" t="str">
        <f t="shared" ref="DC73:GX73" si="118">LEFT(F73,1)</f>
        <v>A</v>
      </c>
      <c r="DD73" s="97" t="str">
        <f t="shared" si="118"/>
        <v>A</v>
      </c>
      <c r="DE73" s="97" t="str">
        <f t="shared" si="118"/>
        <v>B</v>
      </c>
      <c r="DF73" s="97" t="str">
        <f t="shared" si="118"/>
        <v>B</v>
      </c>
      <c r="DG73" s="97" t="str">
        <f t="shared" si="118"/>
        <v>A</v>
      </c>
      <c r="DH73" s="97" t="str">
        <f t="shared" si="118"/>
        <v>A</v>
      </c>
      <c r="DI73" s="97" t="str">
        <f t="shared" si="118"/>
        <v>A</v>
      </c>
      <c r="DJ73" s="97" t="str">
        <f t="shared" si="118"/>
        <v>B</v>
      </c>
      <c r="DK73" s="97" t="str">
        <f t="shared" si="118"/>
        <v>B</v>
      </c>
      <c r="DL73" s="97" t="str">
        <f t="shared" si="118"/>
        <v>B</v>
      </c>
      <c r="DM73" s="97" t="str">
        <f t="shared" si="118"/>
        <v>B</v>
      </c>
      <c r="DN73" s="97" t="str">
        <f t="shared" si="118"/>
        <v>B</v>
      </c>
      <c r="DO73" s="97" t="str">
        <f t="shared" si="118"/>
        <v>B</v>
      </c>
      <c r="DP73" s="97" t="str">
        <f t="shared" si="118"/>
        <v>A</v>
      </c>
      <c r="DQ73" s="97" t="str">
        <f t="shared" si="118"/>
        <v>B</v>
      </c>
      <c r="DR73" s="97" t="str">
        <f t="shared" si="118"/>
        <v>A</v>
      </c>
      <c r="DS73" s="97" t="str">
        <f t="shared" si="118"/>
        <v>B</v>
      </c>
      <c r="DT73" s="97" t="str">
        <f t="shared" si="118"/>
        <v>B</v>
      </c>
      <c r="DU73" s="97" t="str">
        <f t="shared" si="118"/>
        <v>A</v>
      </c>
      <c r="DV73" s="97" t="str">
        <f t="shared" si="118"/>
        <v>A</v>
      </c>
      <c r="DW73" s="97" t="str">
        <f t="shared" si="118"/>
        <v>A</v>
      </c>
      <c r="DX73" s="97" t="str">
        <f t="shared" si="118"/>
        <v>A</v>
      </c>
      <c r="DY73" s="97" t="str">
        <f t="shared" si="118"/>
        <v>A</v>
      </c>
      <c r="DZ73" s="97" t="str">
        <f t="shared" si="118"/>
        <v>A</v>
      </c>
      <c r="EA73" s="97" t="str">
        <f t="shared" si="118"/>
        <v>B</v>
      </c>
      <c r="EB73" s="97" t="str">
        <f t="shared" si="118"/>
        <v>A</v>
      </c>
      <c r="EC73" s="97" t="str">
        <f t="shared" si="118"/>
        <v>A</v>
      </c>
      <c r="ED73" s="97" t="str">
        <f t="shared" si="118"/>
        <v>B</v>
      </c>
      <c r="EE73" s="97" t="str">
        <f t="shared" si="118"/>
        <v>A</v>
      </c>
      <c r="EF73" s="97" t="str">
        <f t="shared" si="118"/>
        <v>B</v>
      </c>
      <c r="EG73" s="97" t="str">
        <f t="shared" si="118"/>
        <v>B</v>
      </c>
      <c r="EH73" s="97" t="str">
        <f t="shared" si="118"/>
        <v>B</v>
      </c>
      <c r="EI73" s="97" t="str">
        <f t="shared" si="118"/>
        <v>B</v>
      </c>
      <c r="EJ73" s="97" t="str">
        <f t="shared" si="118"/>
        <v>B</v>
      </c>
      <c r="EK73" s="97" t="str">
        <f t="shared" si="118"/>
        <v>A</v>
      </c>
      <c r="EL73" s="97" t="str">
        <f t="shared" si="118"/>
        <v>B</v>
      </c>
      <c r="EM73" s="97" t="str">
        <f t="shared" si="118"/>
        <v>B</v>
      </c>
      <c r="EN73" s="97" t="str">
        <f t="shared" si="118"/>
        <v>A</v>
      </c>
      <c r="EO73" s="97" t="str">
        <f t="shared" si="118"/>
        <v>B</v>
      </c>
      <c r="EP73" s="97" t="str">
        <f t="shared" si="118"/>
        <v>A</v>
      </c>
      <c r="EQ73" s="97" t="str">
        <f t="shared" si="118"/>
        <v>A</v>
      </c>
      <c r="ER73" s="97" t="str">
        <f t="shared" si="118"/>
        <v>B</v>
      </c>
      <c r="ES73" s="97" t="str">
        <f t="shared" si="118"/>
        <v>B</v>
      </c>
      <c r="ET73" s="97" t="str">
        <f t="shared" si="118"/>
        <v>B</v>
      </c>
      <c r="EU73" s="97" t="str">
        <f t="shared" si="118"/>
        <v>A</v>
      </c>
      <c r="EV73" s="97" t="str">
        <f t="shared" si="118"/>
        <v>B</v>
      </c>
      <c r="EW73" s="97" t="str">
        <f t="shared" si="118"/>
        <v>A</v>
      </c>
      <c r="EX73" s="97" t="str">
        <f t="shared" si="118"/>
        <v>A</v>
      </c>
      <c r="EY73" s="97" t="str">
        <f t="shared" si="118"/>
        <v>B</v>
      </c>
      <c r="EZ73" s="97" t="str">
        <f t="shared" si="118"/>
        <v>B</v>
      </c>
      <c r="FA73" s="97" t="str">
        <f t="shared" si="118"/>
        <v>B</v>
      </c>
      <c r="FB73" s="97" t="str">
        <f t="shared" si="118"/>
        <v>B</v>
      </c>
      <c r="FC73" s="97" t="str">
        <f t="shared" si="118"/>
        <v>B</v>
      </c>
      <c r="FD73" s="97" t="str">
        <f t="shared" si="118"/>
        <v>A</v>
      </c>
      <c r="FE73" s="97" t="str">
        <f t="shared" si="118"/>
        <v>B</v>
      </c>
      <c r="FF73" s="97" t="str">
        <f t="shared" si="118"/>
        <v>A</v>
      </c>
      <c r="FG73" s="97" t="str">
        <f t="shared" si="118"/>
        <v>A</v>
      </c>
      <c r="FH73" s="97" t="str">
        <f t="shared" si="118"/>
        <v>A</v>
      </c>
      <c r="FI73" s="97" t="str">
        <f t="shared" si="118"/>
        <v>A</v>
      </c>
      <c r="FJ73" s="97" t="str">
        <f t="shared" si="118"/>
        <v>A</v>
      </c>
      <c r="FK73" s="97" t="str">
        <f t="shared" si="118"/>
        <v>B</v>
      </c>
      <c r="FL73" s="97" t="str">
        <f t="shared" si="118"/>
        <v>A</v>
      </c>
      <c r="FM73" s="97" t="str">
        <f t="shared" si="118"/>
        <v>A</v>
      </c>
      <c r="FN73" s="97" t="str">
        <f t="shared" si="118"/>
        <v>A</v>
      </c>
      <c r="FO73" s="97" t="str">
        <f t="shared" si="118"/>
        <v>A</v>
      </c>
      <c r="FP73" s="97" t="str">
        <f t="shared" si="118"/>
        <v>B</v>
      </c>
      <c r="FQ73" s="97" t="str">
        <f t="shared" si="118"/>
        <v>B</v>
      </c>
      <c r="FR73" s="97" t="str">
        <f t="shared" si="118"/>
        <v>B</v>
      </c>
      <c r="FS73" s="97" t="str">
        <f t="shared" si="118"/>
        <v>B</v>
      </c>
      <c r="FT73" s="97" t="str">
        <f t="shared" si="118"/>
        <v>B</v>
      </c>
      <c r="FU73" s="97" t="str">
        <f t="shared" si="118"/>
        <v>B</v>
      </c>
      <c r="FV73" s="97" t="str">
        <f t="shared" si="118"/>
        <v>B</v>
      </c>
      <c r="FW73" s="97" t="str">
        <f t="shared" si="118"/>
        <v>B</v>
      </c>
      <c r="FX73" s="97" t="str">
        <f t="shared" si="118"/>
        <v>A</v>
      </c>
      <c r="FY73" s="97" t="str">
        <f t="shared" si="118"/>
        <v>B</v>
      </c>
      <c r="FZ73" s="97" t="str">
        <f t="shared" si="118"/>
        <v>A</v>
      </c>
      <c r="GA73" s="97" t="str">
        <f t="shared" si="118"/>
        <v>A</v>
      </c>
      <c r="GB73" s="97" t="str">
        <f t="shared" si="118"/>
        <v>A</v>
      </c>
      <c r="GC73" s="97" t="str">
        <f t="shared" si="118"/>
        <v>A</v>
      </c>
      <c r="GD73" s="97" t="str">
        <f t="shared" si="118"/>
        <v>A</v>
      </c>
      <c r="GE73" s="97" t="str">
        <f t="shared" si="118"/>
        <v>A</v>
      </c>
      <c r="GF73" s="97" t="str">
        <f t="shared" si="118"/>
        <v>A</v>
      </c>
      <c r="GG73" s="97" t="str">
        <f t="shared" si="118"/>
        <v>A</v>
      </c>
      <c r="GH73" s="97" t="str">
        <f t="shared" si="118"/>
        <v>A</v>
      </c>
      <c r="GI73" s="97" t="str">
        <f t="shared" si="118"/>
        <v>A</v>
      </c>
      <c r="GJ73" s="97" t="str">
        <f t="shared" si="118"/>
        <v>B</v>
      </c>
      <c r="GK73" s="97" t="str">
        <f t="shared" si="118"/>
        <v>A</v>
      </c>
      <c r="GL73" s="97" t="str">
        <f t="shared" si="118"/>
        <v>B</v>
      </c>
      <c r="GM73" s="97" t="str">
        <f t="shared" si="118"/>
        <v>B</v>
      </c>
      <c r="GN73" s="97" t="str">
        <f t="shared" si="118"/>
        <v>B</v>
      </c>
      <c r="GO73" s="97" t="str">
        <f t="shared" si="118"/>
        <v>B</v>
      </c>
      <c r="GP73" s="97" t="str">
        <f t="shared" si="118"/>
        <v>B</v>
      </c>
      <c r="GQ73" s="97" t="str">
        <f t="shared" si="118"/>
        <v>A</v>
      </c>
      <c r="GR73" s="97" t="str">
        <f t="shared" si="118"/>
        <v>A</v>
      </c>
      <c r="GS73" s="97" t="str">
        <f t="shared" si="118"/>
        <v>A</v>
      </c>
      <c r="GT73" s="97" t="str">
        <f t="shared" si="118"/>
        <v>A</v>
      </c>
      <c r="GU73" s="97" t="str">
        <f t="shared" si="118"/>
        <v>A</v>
      </c>
      <c r="GV73" s="97" t="str">
        <f t="shared" si="118"/>
        <v>A</v>
      </c>
      <c r="GW73" s="97" t="str">
        <f t="shared" si="118"/>
        <v>A</v>
      </c>
      <c r="GX73" s="97" t="str">
        <f t="shared" si="118"/>
        <v>A</v>
      </c>
      <c r="GY73" s="98"/>
      <c r="GZ73" s="97">
        <f t="shared" si="3"/>
        <v>53</v>
      </c>
      <c r="HA73" s="97">
        <f t="shared" si="4"/>
        <v>47</v>
      </c>
      <c r="HB73" s="90">
        <f t="shared" si="5"/>
        <v>100</v>
      </c>
      <c r="HC73" s="99"/>
      <c r="HD73" s="97">
        <f t="shared" si="6"/>
        <v>8</v>
      </c>
      <c r="HE73" s="97">
        <f t="shared" si="7"/>
        <v>5</v>
      </c>
      <c r="HF73" s="90">
        <f t="shared" si="8"/>
        <v>13</v>
      </c>
      <c r="HG73" s="99"/>
      <c r="HH73" s="97">
        <f t="shared" si="9"/>
        <v>7</v>
      </c>
      <c r="HI73" s="97">
        <f t="shared" si="10"/>
        <v>6</v>
      </c>
      <c r="HJ73" s="90">
        <f t="shared" si="11"/>
        <v>13</v>
      </c>
      <c r="HK73" s="99"/>
      <c r="HL73" s="97">
        <f t="shared" si="12"/>
        <v>6</v>
      </c>
      <c r="HM73" s="97">
        <f t="shared" si="13"/>
        <v>3</v>
      </c>
      <c r="HN73" s="90">
        <f t="shared" si="14"/>
        <v>9</v>
      </c>
      <c r="HO73" s="99"/>
      <c r="HP73" s="97">
        <f t="shared" si="15"/>
        <v>6</v>
      </c>
      <c r="HQ73" s="97">
        <f t="shared" si="16"/>
        <v>7</v>
      </c>
      <c r="HR73" s="90">
        <f t="shared" si="17"/>
        <v>13</v>
      </c>
      <c r="HS73" s="99"/>
      <c r="HT73" s="97">
        <f t="shared" si="18"/>
        <v>7</v>
      </c>
      <c r="HU73" s="97">
        <f t="shared" si="19"/>
        <v>6</v>
      </c>
      <c r="HV73" s="90">
        <f t="shared" si="20"/>
        <v>13</v>
      </c>
      <c r="HW73" s="99"/>
      <c r="HX73" s="97">
        <f t="shared" si="21"/>
        <v>4</v>
      </c>
      <c r="HY73" s="97">
        <f t="shared" si="22"/>
        <v>4</v>
      </c>
      <c r="HZ73" s="90">
        <f t="shared" si="23"/>
        <v>8</v>
      </c>
      <c r="IA73" s="99"/>
      <c r="IB73" s="97">
        <f t="shared" si="24"/>
        <v>8</v>
      </c>
      <c r="IC73" s="97">
        <f t="shared" si="25"/>
        <v>6</v>
      </c>
      <c r="ID73" s="90">
        <f t="shared" si="26"/>
        <v>14</v>
      </c>
      <c r="IE73" s="99"/>
      <c r="IF73" s="97">
        <f t="shared" si="27"/>
        <v>2</v>
      </c>
      <c r="IG73" s="97">
        <f t="shared" si="28"/>
        <v>4</v>
      </c>
      <c r="IH73" s="90">
        <f t="shared" si="29"/>
        <v>6</v>
      </c>
      <c r="II73" s="99"/>
      <c r="IJ73" s="97">
        <f t="shared" si="30"/>
        <v>1</v>
      </c>
      <c r="IK73" s="97">
        <f t="shared" si="31"/>
        <v>4</v>
      </c>
      <c r="IL73" s="90">
        <f t="shared" si="32"/>
        <v>5</v>
      </c>
      <c r="IM73" s="99"/>
      <c r="IN73" s="97">
        <f t="shared" si="33"/>
        <v>0</v>
      </c>
      <c r="IO73" s="97">
        <f t="shared" si="34"/>
        <v>2</v>
      </c>
      <c r="IP73" s="90">
        <f t="shared" si="35"/>
        <v>2</v>
      </c>
      <c r="IQ73" s="99"/>
      <c r="IR73" s="99"/>
      <c r="IS73" s="100">
        <f t="shared" si="36"/>
        <v>13</v>
      </c>
      <c r="IT73" s="100">
        <f t="shared" si="37"/>
        <v>13</v>
      </c>
      <c r="IU73" s="100">
        <f t="shared" si="38"/>
        <v>9</v>
      </c>
      <c r="IV73" s="100">
        <f t="shared" si="39"/>
        <v>13</v>
      </c>
      <c r="IW73" s="100">
        <f t="shared" si="40"/>
        <v>13</v>
      </c>
      <c r="IX73" s="100">
        <f t="shared" si="41"/>
        <v>8</v>
      </c>
      <c r="IY73" s="100">
        <f t="shared" si="42"/>
        <v>14</v>
      </c>
      <c r="IZ73" s="100">
        <f t="shared" si="43"/>
        <v>6</v>
      </c>
      <c r="JA73" s="100">
        <f t="shared" si="44"/>
        <v>5</v>
      </c>
      <c r="JB73" s="101">
        <f t="shared" si="45"/>
        <v>2</v>
      </c>
      <c r="JC73" s="102">
        <f t="shared" si="46"/>
        <v>96</v>
      </c>
      <c r="JD73" s="67">
        <f t="shared" si="50"/>
        <v>0</v>
      </c>
      <c r="JE73" s="67">
        <f t="shared" si="47"/>
        <v>1</v>
      </c>
      <c r="JF73" s="67">
        <f t="shared" si="48"/>
        <v>1</v>
      </c>
    </row>
    <row r="74">
      <c r="A74" s="103">
        <f>IFERROR(__xludf.DUMMYFUNCTION("""COMPUTED_VALUE"""),45935.77594024305)</f>
        <v>45935.77594</v>
      </c>
      <c r="B74" s="95" t="str">
        <f>IFERROR(__xludf.DUMMYFUNCTION("""COMPUTED_VALUE"""),"Granada khansa el qibtiya")</f>
        <v>Granada khansa el qibtiya</v>
      </c>
      <c r="C74" s="96" t="str">
        <f>IFERROR(__xludf.DUMMYFUNCTION("""COMPUTED_VALUE"""),"D250026")</f>
        <v>D250026</v>
      </c>
      <c r="D74" s="96" t="str">
        <f>IFERROR(__xludf.DUMMYFUNCTION("""COMPUTED_VALUE"""),"MTs Putri")</f>
        <v>MTs Putri</v>
      </c>
      <c r="E74" s="96" t="str">
        <f>IFERROR(__xludf.DUMMYFUNCTION("""COMPUTED_VALUE"""),"Ya")</f>
        <v>Ya</v>
      </c>
      <c r="F74" s="95" t="str">
        <f>IFERROR(__xludf.DUMMYFUNCTION("""COMPUTED_VALUE"""),"B Saya ingin melakukan apa saja sebaik mungkin.")</f>
        <v>B Saya ingin melakukan apa saja sebaik mungkin.</v>
      </c>
      <c r="G74" s="95" t="str">
        <f>IFERROR(__xludf.DUMMYFUNCTION("""COMPUTED_VALUE"""),"A Saya ingin setiap tulisan saya teliti, rapi, dan tersusun dengan baik.")</f>
        <v>A Saya ingin setiap tulisan saya teliti, rapi, dan tersusun dengan baik.</v>
      </c>
      <c r="H74" s="95" t="str">
        <f>IFERROR(__xludf.DUMMYFUNCTION("""COMPUTED_VALUE"""),"A Saya ingin berbuat sesuai kata hati saya.")</f>
        <v>A Saya ingin berbuat sesuai kata hati saya.</v>
      </c>
      <c r="I74" s="95" t="str">
        <f>IFERROR(__xludf.DUMMYFUNCTION("""COMPUTED_VALUE"""),"B Saya ingin bisa melakukan dengan baik meskipun tugas yang sulit.")</f>
        <v>B Saya ingin bisa melakukan dengan baik meskipun tugas yang sulit.</v>
      </c>
      <c r="J74" s="95" t="str">
        <f>IFERROR(__xludf.DUMMYFUNCTION("""COMPUTED_VALUE"""),"A Saya suka membantu teman-teman saya apabila mereka mengalami kesulitan.")</f>
        <v>A Saya suka membantu teman-teman saya apabila mereka mengalami kesulitan.</v>
      </c>
      <c r="K74" s="95" t="str">
        <f>IFERROR(__xludf.DUMMYFUNCTION("""COMPUTED_VALUE"""),"B Saya ingin mengatakan telah melakukan dengan baik sesuatu tugas yang sulit.")</f>
        <v>B Saya ingin mengatakan telah melakukan dengan baik sesuatu tugas yang sulit.</v>
      </c>
      <c r="L74" s="95" t="str">
        <f>IFERROR(__xludf.DUMMYFUNCTION("""COMPUTED_VALUE"""),"B Saya ingin mengatakan telah melakukan dengan baik sesuatu tugas yang sulit")</f>
        <v>B Saya ingin mengatakan telah melakukan dengan baik sesuatu tugas yang sulit</v>
      </c>
      <c r="M74" s="95" t="str">
        <f>IFERROR(__xludf.DUMMYFUNCTION("""COMPUTED_VALUE"""),"B Saya ingin mengerjakan segala tugas lebih baik daripada orang lain.")</f>
        <v>B Saya ingin mengerjakan segala tugas lebih baik daripada orang lain.</v>
      </c>
      <c r="N74" s="95" t="str">
        <f>IFERROR(__xludf.DUMMYFUNCTION("""COMPUTED_VALUE"""),"B Saya suka memecahkan persoalan yang sukar bagi orang lain.")</f>
        <v>B Saya suka memecahkan persoalan yang sukar bagi orang lain.</v>
      </c>
      <c r="O74" s="95" t="str">
        <f>IFERROR(__xludf.DUMMYFUNCTION("""COMPUTED_VALUE"""),"B Saya suka melakukan tugas sebaik mungkin.")</f>
        <v>B Saya suka melakukan tugas sebaik mungkin.</v>
      </c>
      <c r="P74" s="95" t="str">
        <f>IFERROR(__xludf.DUMMYFUNCTION("""COMPUTED_VALUE"""),"B Saya ingin setiap belajar itu teratur dan direncanakan.")</f>
        <v>B Saya ingin setiap belajar itu teratur dan direncanakan.</v>
      </c>
      <c r="Q74" s="95" t="str">
        <f>IFERROR(__xludf.DUMMYFUNCTION("""COMPUTED_VALUE"""),"B Saya merencanakan keperluan yang dibutuhkan sebelum bepergian.")</f>
        <v>B Saya merencanakan keperluan yang dibutuhkan sebelum bepergian.</v>
      </c>
      <c r="R74" s="95" t="str">
        <f>IFERROR(__xludf.DUMMYFUNCTION("""COMPUTED_VALUE"""),"B Saya suka barang-barang saya tersusun rapi dan teratur.")</f>
        <v>B Saya suka barang-barang saya tersusun rapi dan teratur.</v>
      </c>
      <c r="S74" s="95" t="str">
        <f>IFERROR(__xludf.DUMMYFUNCTION("""COMPUTED_VALUE"""),"B Saya suka membuat perencanaan sebelum memulai tugas yang sulit.")</f>
        <v>B Saya suka membuat perencanaan sebelum memulai tugas yang sulit.</v>
      </c>
      <c r="T74" s="95" t="str">
        <f>IFERROR(__xludf.DUMMYFUNCTION("""COMPUTED_VALUE"""),"B Saya ingin agar hidup saya teratur sesuai cita-cita saya.")</f>
        <v>B Saya ingin agar hidup saya teratur sesuai cita-cita saya.</v>
      </c>
      <c r="U74" s="95" t="str">
        <f>IFERROR(__xludf.DUMMYFUNCTION("""COMPUTED_VALUE"""),"A Saya suka memberikan bantuan kepada teman-teman saya.")</f>
        <v>A Saya suka memberikan bantuan kepada teman-teman saya.</v>
      </c>
      <c r="V74" s="95" t="str">
        <f>IFERROR(__xludf.DUMMYFUNCTION("""COMPUTED_VALUE"""),"A Saya suka belajar sampai malam untuk menyelesaikan suatu tugas.")</f>
        <v>A Saya suka belajar sampai malam untuk menyelesaikan suatu tugas.</v>
      </c>
      <c r="W74" s="95" t="str">
        <f>IFERROR(__xludf.DUMMYFUNCTION("""COMPUTED_VALUE"""),"B Saya ingin kegiatan itu teratur dan direncanakan.")</f>
        <v>B Saya ingin kegiatan itu teratur dan direncanakan.</v>
      </c>
      <c r="X74" s="95" t="str">
        <f>IFERROR(__xludf.DUMMYFUNCTION("""COMPUTED_VALUE"""),"A Saya suka merencanakan dan mengatur setiap apa yang harus saya lakukan.")</f>
        <v>A Saya suka merencanakan dan mengatur setiap apa yang harus saya lakukan.</v>
      </c>
      <c r="Y74" s="95" t="str">
        <f>IFERROR(__xludf.DUMMYFUNCTION("""COMPUTED_VALUE"""),"A Saya suka menyelesaikan tugas-tugas yang membutuhkan ketrampilan dan usaha.")</f>
        <v>A Saya suka menyelesaikan tugas-tugas yang membutuhkan ketrampilan dan usaha.</v>
      </c>
      <c r="Z74" s="95" t="str">
        <f>IFERROR(__xludf.DUMMYFUNCTION("""COMPUTED_VALUE"""),"A Saya ingin berhasil dengan belajar yang saya lakukan.")</f>
        <v>A Saya ingin berhasil dengan belajar yang saya lakukan.</v>
      </c>
      <c r="AA74" s="95" t="str">
        <f>IFERROR(__xludf.DUMMYFUNCTION("""COMPUTED_VALUE"""),"A Saya suka menyelesaikan tugas yang telah saya rencanakan.")</f>
        <v>A Saya suka menyelesaikan tugas yang telah saya rencanakan.</v>
      </c>
      <c r="AB74" s="95" t="str">
        <f>IFERROR(__xludf.DUMMYFUNCTION("""COMPUTED_VALUE"""),"B Saya ingin menyelesaikan pekerjaan satu persatu sebelum memulai yang lain.")</f>
        <v>B Saya ingin menyelesaikan pekerjaan satu persatu sebelum memulai yang lain.</v>
      </c>
      <c r="AC74" s="95" t="str">
        <f>IFERROR(__xludf.DUMMYFUNCTION("""COMPUTED_VALUE"""),"A Saya suka menyelesaikan setiap tugas meskipun membutuhkan waktu lama.")</f>
        <v>A Saya suka menyelesaikan setiap tugas meskipun membutuhkan waktu lama.</v>
      </c>
      <c r="AD74" s="95" t="str">
        <f>IFERROR(__xludf.DUMMYFUNCTION("""COMPUTED_VALUE"""),"A Saya suka bermurah hati terhadap teman-teman saya.")</f>
        <v>A Saya suka bermurah hati terhadap teman-teman saya.</v>
      </c>
      <c r="AE74" s="95" t="str">
        <f>IFERROR(__xludf.DUMMYFUNCTION("""COMPUTED_VALUE"""),"A Saya ingin dianggap sebagai pemimpin oleh teman di kelompok.")</f>
        <v>A Saya ingin dianggap sebagai pemimpin oleh teman di kelompok.</v>
      </c>
      <c r="AF74" s="95" t="str">
        <f>IFERROR(__xludf.DUMMYFUNCTION("""COMPUTED_VALUE"""),"B Saya suka melakukan hal-hal dengan cara saya sendiri.")</f>
        <v>B Saya suka melakukan hal-hal dengan cara saya sendiri.</v>
      </c>
      <c r="AG74" s="95" t="str">
        <f>IFERROR(__xludf.DUMMYFUNCTION("""COMPUTED_VALUE"""),"A Saya mengajari orang lain bagaimana mereka harus melakukan pekerjaan mereka.")</f>
        <v>A Saya mengajari orang lain bagaimana mereka harus melakukan pekerjaan mereka.</v>
      </c>
      <c r="AH74" s="95" t="str">
        <f>IFERROR(__xludf.DUMMYFUNCTION("""COMPUTED_VALUE"""),"B Saya ingin merasa bebas untuk melakukan apa yang saya kehendaki.")</f>
        <v>B Saya ingin merasa bebas untuk melakukan apa yang saya kehendaki.</v>
      </c>
      <c r="AI74" s="95" t="str">
        <f>IFERROR(__xludf.DUMMYFUNCTION("""COMPUTED_VALUE"""),"B Saya suka melakukan kegiatan sesuai kondisi yang saya inginkan.")</f>
        <v>B Saya suka melakukan kegiatan sesuai kondisi yang saya inginkan.</v>
      </c>
      <c r="AJ74" s="95" t="str">
        <f>IFERROR(__xludf.DUMMYFUNCTION("""COMPUTED_VALUE"""),"B Saya suka bertahan menghadapi satu masalah meskipun belum tentu berhasil.")</f>
        <v>B Saya suka bertahan menghadapi satu masalah meskipun belum tentu berhasil.</v>
      </c>
      <c r="AK74" s="95" t="str">
        <f>IFERROR(__xludf.DUMMYFUNCTION("""COMPUTED_VALUE"""),"B Bila saya harus melakukan suatu tugas, saya ingin mengerjakan sampai selesai.")</f>
        <v>B Bila saya harus melakukan suatu tugas, saya ingin mengerjakan sampai selesai.</v>
      </c>
      <c r="AL74" s="95" t="str">
        <f>IFERROR(__xludf.DUMMYFUNCTION("""COMPUTED_VALUE"""),"B Saya ingin menghindarkan gangguan bila saya sedang belajar.")</f>
        <v>B Saya ingin menghindarkan gangguan bila saya sedang belajar.</v>
      </c>
      <c r="AM74" s="95" t="str">
        <f>IFERROR(__xludf.DUMMYFUNCTION("""COMPUTED_VALUE"""),"B Saya suka belajar sampai malam untuk menyelesaikan suatu tugas.")</f>
        <v>B Saya suka belajar sampai malam untuk menyelesaikan suatu tugas.</v>
      </c>
      <c r="AN74" s="95" t="str">
        <f>IFERROR(__xludf.DUMMYFUNCTION("""COMPUTED_VALUE"""),"A Saya tidak suka pada orang yang semena-mena.")</f>
        <v>A Saya tidak suka pada orang yang semena-mena.</v>
      </c>
      <c r="AO74" s="95" t="str">
        <f>IFERROR(__xludf.DUMMYFUNCTION("""COMPUTED_VALUE"""),"A Saya suka berlaku sangat ramah terhadap teman-teman saya.")</f>
        <v>A Saya suka berlaku sangat ramah terhadap teman-teman saya.</v>
      </c>
      <c r="AP74" s="95" t="str">
        <f>IFERROR(__xludf.DUMMYFUNCTION("""COMPUTED_VALUE"""),"B Saya suka bertahan menghadapi satu masalah meskipun belum tentu berhasil.")</f>
        <v>B Saya suka bertahan menghadapi satu masalah meskipun belum tentu berhasil.</v>
      </c>
      <c r="AQ74" s="95" t="str">
        <f>IFERROR(__xludf.DUMMYFUNCTION("""COMPUTED_VALUE"""),"B Bila saya harus melakukan suatu tugas, saya ingin mengerjakan sampai selesai.")</f>
        <v>B Bila saya harus melakukan suatu tugas, saya ingin mengerjakan sampai selesai.</v>
      </c>
      <c r="AR74" s="95" t="str">
        <f>IFERROR(__xludf.DUMMYFUNCTION("""COMPUTED_VALUE"""),"B Saya suka belajar keras pada tiap pelajaran yang saya hadapi.")</f>
        <v>B Saya suka belajar keras pada tiap pelajaran yang saya hadapi.</v>
      </c>
      <c r="AS74" s="95" t="str">
        <f>IFERROR(__xludf.DUMMYFUNCTION("""COMPUTED_VALUE"""),"B Saya suka belajar sampai malam untuk menyelesaikan suatu tugas.")</f>
        <v>B Saya suka belajar sampai malam untuk menyelesaikan suatu tugas.</v>
      </c>
      <c r="AT74" s="95" t="str">
        <f>IFERROR(__xludf.DUMMYFUNCTION("""COMPUTED_VALUE"""),"B Saya suka membantu orang lain yang menurut saya perlu dikasihani.")</f>
        <v>B Saya suka membantu orang lain yang menurut saya perlu dikasihani.</v>
      </c>
      <c r="AU74" s="95" t="str">
        <f>IFERROR(__xludf.DUMMYFUNCTION("""COMPUTED_VALUE"""),"B Saya suka bermurah hati terhadap teman-teman saya.")</f>
        <v>B Saya suka bermurah hati terhadap teman-teman saya.</v>
      </c>
      <c r="AV74" s="95" t="str">
        <f>IFERROR(__xludf.DUMMYFUNCTION("""COMPUTED_VALUE"""),"B Saya suka menolong teman-teman saya.")</f>
        <v>B Saya suka menolong teman-teman saya.</v>
      </c>
      <c r="AW74" s="95" t="str">
        <f>IFERROR(__xludf.DUMMYFUNCTION("""COMPUTED_VALUE"""),"A Saya ingin mengerjakan tugas sampai selesai.")</f>
        <v>A Saya ingin mengerjakan tugas sampai selesai.</v>
      </c>
      <c r="AX74" s="95" t="str">
        <f>IFERROR(__xludf.DUMMYFUNCTION("""COMPUTED_VALUE"""),"B Saya suka memaafkan teman-teman saya yang menyakiti hati saya.")</f>
        <v>B Saya suka memaafkan teman-teman saya yang menyakiti hati saya.</v>
      </c>
      <c r="AY74" s="95" t="str">
        <f>IFERROR(__xludf.DUMMYFUNCTION("""COMPUTED_VALUE"""),"B Saya suka menolong teman-teman saya apabila mereka dalam kesulitan.")</f>
        <v>B Saya suka menolong teman-teman saya apabila mereka dalam kesulitan.</v>
      </c>
      <c r="AZ74" s="95" t="str">
        <f>IFERROR(__xludf.DUMMYFUNCTION("""COMPUTED_VALUE"""),"B Saya suka menunjukkan simpati saya kepada teman-teman saya.")</f>
        <v>B Saya suka menunjukkan simpati saya kepada teman-teman saya.</v>
      </c>
      <c r="BA74" s="95" t="str">
        <f>IFERROR(__xludf.DUMMYFUNCTION("""COMPUTED_VALUE"""),"B Saya suka memperlakukan orang lain dengan baik dan ramah.")</f>
        <v>B Saya suka memperlakukan orang lain dengan baik dan ramah.</v>
      </c>
      <c r="BB74" s="95" t="str">
        <f>IFERROR(__xludf.DUMMYFUNCTION("""COMPUTED_VALUE"""),"B Saya suka bermurah hati terhadap teman-teman saya.")</f>
        <v>B Saya suka bermurah hati terhadap teman-teman saya.</v>
      </c>
      <c r="BC74" s="95" t="str">
        <f>IFERROR(__xludf.DUMMYFUNCTION("""COMPUTED_VALUE"""),"B Saya suka membantu orang lain yang menurut saya perlu dikasihani.")</f>
        <v>B Saya suka membantu orang lain yang menurut saya perlu dikasihani.</v>
      </c>
      <c r="BD74" s="95" t="str">
        <f>IFERROR(__xludf.DUMMYFUNCTION("""COMPUTED_VALUE"""),"B Saya suka bersikukuh dengan pendirian saya.")</f>
        <v>B Saya suka bersikukuh dengan pendirian saya.</v>
      </c>
      <c r="BE74" s="95" t="str">
        <f>IFERROR(__xludf.DUMMYFUNCTION("""COMPUTED_VALUE"""),"A Saya suka mendengarkan atau menceritakan hal-hal yang sebaiknya tidak diceritakan.")</f>
        <v>A Saya suka mendengarkan atau menceritakan hal-hal yang sebaiknya tidak diceritakan.</v>
      </c>
      <c r="BF74" s="95" t="str">
        <f>IFERROR(__xludf.DUMMYFUNCTION("""COMPUTED_VALUE"""),"B Bila saya dalam kelompok, saya ingin menentukan apa yang akan kita lakukan.")</f>
        <v>B Bila saya dalam kelompok, saya ingin menentukan apa yang akan kita lakukan.</v>
      </c>
      <c r="BG74" s="95" t="str">
        <f>IFERROR(__xludf.DUMMYFUNCTION("""COMPUTED_VALUE"""),"B Saya suka mengarahkan kepada orang lain apa yang harus dilakukan.")</f>
        <v>B Saya suka mengarahkan kepada orang lain apa yang harus dilakukan.</v>
      </c>
      <c r="BH74" s="95" t="str">
        <f>IFERROR(__xludf.DUMMYFUNCTION("""COMPUTED_VALUE"""),"A Saya suka menghindar dari situasi yang tidak saya harapkan.")</f>
        <v>A Saya suka menghindar dari situasi yang tidak saya harapkan.</v>
      </c>
      <c r="BI74" s="95" t="str">
        <f>IFERROR(__xludf.DUMMYFUNCTION("""COMPUTED_VALUE"""),"A Saya suka bermurah hati terhadap teman-teman saya.")</f>
        <v>A Saya suka bermurah hati terhadap teman-teman saya.</v>
      </c>
      <c r="BJ74" s="95" t="str">
        <f>IFERROR(__xludf.DUMMYFUNCTION("""COMPUTED_VALUE"""),"A Saya ingin mengerjakan tugas sampai selesai.")</f>
        <v>A Saya ingin mengerjakan tugas sampai selesai.</v>
      </c>
      <c r="BK74" s="95" t="str">
        <f>IFERROR(__xludf.DUMMYFUNCTION("""COMPUTED_VALUE"""),"A Saya ingin menyelesaikan pekerjaan satu persatu sebelum memulai yang lain.")</f>
        <v>A Saya ingin menyelesaikan pekerjaan satu persatu sebelum memulai yang lain.</v>
      </c>
      <c r="BL74" s="95" t="str">
        <f>IFERROR(__xludf.DUMMYFUNCTION("""COMPUTED_VALUE"""),"B Saya suka bersikukuh dengan pendirian saya.")</f>
        <v>B Saya suka bersikukuh dengan pendirian saya.</v>
      </c>
      <c r="BM74" s="95" t="str">
        <f>IFERROR(__xludf.DUMMYFUNCTION("""COMPUTED_VALUE"""),"A Saya suka melakukan pekerjaan sebaik mungkin.")</f>
        <v>A Saya suka melakukan pekerjaan sebaik mungkin.</v>
      </c>
      <c r="BN74" s="95" t="str">
        <f>IFERROR(__xludf.DUMMYFUNCTION("""COMPUTED_VALUE"""),"A Saya suka mengerjakan teka-teki atau memecahkan persoalan sampai selesai.")</f>
        <v>A Saya suka mengerjakan teka-teki atau memecahkan persoalan sampai selesai.</v>
      </c>
      <c r="BO74" s="95" t="str">
        <f>IFERROR(__xludf.DUMMYFUNCTION("""COMPUTED_VALUE"""),"A Saya suka membuat perencanaan sebelum memulai belajar yang sulit.")</f>
        <v>A Saya suka membuat perencanaan sebelum memulai belajar yang sulit.</v>
      </c>
      <c r="BP74" s="95" t="str">
        <f>IFERROR(__xludf.DUMMYFUNCTION("""COMPUTED_VALUE"""),"A Saya ingin menyelesaikan sesuatu yang sangat penting artinya.")</f>
        <v>A Saya ingin menyelesaikan sesuatu yang sangat penting artinya.</v>
      </c>
      <c r="BQ74" s="95" t="str">
        <f>IFERROR(__xludf.DUMMYFUNCTION("""COMPUTED_VALUE"""),"A Saya ingin mengerjakannya tugas sampai selesai.")</f>
        <v>A Saya ingin mengerjakannya tugas sampai selesai.</v>
      </c>
      <c r="BR74" s="95" t="str">
        <f>IFERROR(__xludf.DUMMYFUNCTION("""COMPUTED_VALUE"""),"A Saya suka memaafkan teman-teman saya yang menyakiti hati saya.")</f>
        <v>A Saya suka memaafkan teman-teman saya yang menyakiti hati saya.</v>
      </c>
      <c r="BS74" s="95" t="str">
        <f>IFERROR(__xludf.DUMMYFUNCTION("""COMPUTED_VALUE"""),"B Saya ingin teman-teman saya membantu saya bila saya mengalami kesulitan")</f>
        <v>B Saya ingin teman-teman saya membantu saya bila saya mengalami kesulitan</v>
      </c>
      <c r="BT74" s="95" t="str">
        <f>IFERROR(__xludf.DUMMYFUNCTION("""COMPUTED_VALUE"""),"B Saya ingin teman-teman banyak menunjukkan rasa sayang mereka terhadap saya.")</f>
        <v>B Saya ingin teman-teman banyak menunjukkan rasa sayang mereka terhadap saya.</v>
      </c>
      <c r="BU74" s="95" t="str">
        <f>IFERROR(__xludf.DUMMYFUNCTION("""COMPUTED_VALUE"""),"A Saya kadang-kadang suka melakukan hal-hal yang dapat dipuji oleh orang lain.")</f>
        <v>A Saya kadang-kadang suka melakukan hal-hal yang dapat dipuji oleh orang lain.</v>
      </c>
      <c r="BV74" s="95" t="str">
        <f>IFERROR(__xludf.DUMMYFUNCTION("""COMPUTED_VALUE"""),"B Saya ingin teman-teman dengan gembira memberikan pertolongan kepada saya.")</f>
        <v>B Saya ingin teman-teman dengan gembira memberikan pertolongan kepada saya.</v>
      </c>
      <c r="BW74" s="95" t="str">
        <f>IFERROR(__xludf.DUMMYFUNCTION("""COMPUTED_VALUE"""),"B Saya ingin diperlakukan dengan baik oleh teman-teman saya.")</f>
        <v>B Saya ingin diperlakukan dengan baik oleh teman-teman saya.</v>
      </c>
      <c r="BX74" s="95" t="str">
        <f>IFERROR(__xludf.DUMMYFUNCTION("""COMPUTED_VALUE"""),"B Saya kadang-kadang suka melakukan hal-hal yang dapat dipuji oleh orang lain.")</f>
        <v>B Saya kadang-kadang suka melakukan hal-hal yang dapat dipuji oleh orang lain.</v>
      </c>
      <c r="BY74" s="95" t="str">
        <f>IFERROR(__xludf.DUMMYFUNCTION("""COMPUTED_VALUE"""),"A Saya suka melamun atau membayangkan hal-hal yang tidak jelas.")</f>
        <v>A Saya suka melamun atau membayangkan hal-hal yang tidak jelas.</v>
      </c>
      <c r="BZ74" s="95" t="str">
        <f>IFERROR(__xludf.DUMMYFUNCTION("""COMPUTED_VALUE"""),"B Saya suka diperhatikan, apabila saya ada di dalam suatu kelompok.")</f>
        <v>B Saya suka diperhatikan, apabila saya ada di dalam suatu kelompok.</v>
      </c>
      <c r="CA74" s="95" t="str">
        <f>IFERROR(__xludf.DUMMYFUNCTION("""COMPUTED_VALUE"""),"A Saya ingin teman-teman dengan gembira memberikan pertolongan kepada saya.")</f>
        <v>A Saya ingin teman-teman dengan gembira memberikan pertolongan kepada saya.</v>
      </c>
      <c r="CB74" s="95" t="str">
        <f>IFERROR(__xludf.DUMMYFUNCTION("""COMPUTED_VALUE"""),"B Saya suka berbicara tentang hal-hal yang telah saya capai.")</f>
        <v>B Saya suka berbicara tentang hal-hal yang telah saya capai.</v>
      </c>
      <c r="CC74" s="95" t="str">
        <f>IFERROR(__xludf.DUMMYFUNCTION("""COMPUTED_VALUE"""),"A Apabila saya berkumpul dalam kelompok, saya ingin dihargai teman-teman.")</f>
        <v>A Apabila saya berkumpul dalam kelompok, saya ingin dihargai teman-teman.</v>
      </c>
      <c r="CD74" s="95" t="str">
        <f>IFERROR(__xludf.DUMMYFUNCTION("""COMPUTED_VALUE"""),"A Saya suka menyelesaikan setiap tugas meskipun membutuhkan waktu lama.")</f>
        <v>A Saya suka menyelesaikan setiap tugas meskipun membutuhkan waktu lama.</v>
      </c>
      <c r="CE74" s="95" t="str">
        <f>IFERROR(__xludf.DUMMYFUNCTION("""COMPUTED_VALUE"""),"A Saya suka menyelesaikan setiap tugas belajar yang telah saya mulai.")</f>
        <v>A Saya suka menyelesaikan setiap tugas belajar yang telah saya mulai.</v>
      </c>
      <c r="CF74" s="95" t="str">
        <f>IFERROR(__xludf.DUMMYFUNCTION("""COMPUTED_VALUE"""),"A Saya ingin agar hidup saya teratur sesuai cita-cita saya.")</f>
        <v>A Saya ingin agar hidup saya teratur sesuai cita-cita saya.</v>
      </c>
      <c r="CG74" s="95" t="str">
        <f>IFERROR(__xludf.DUMMYFUNCTION("""COMPUTED_VALUE"""),"A Saya ingin berhasil dalam apa yang saya lakukan.")</f>
        <v>A Saya ingin berhasil dalam apa yang saya lakukan.</v>
      </c>
      <c r="CH74" s="95" t="str">
        <f>IFERROR(__xludf.DUMMYFUNCTION("""COMPUTED_VALUE"""),"A Saya ingin bisa melakukan dengan baik sesuatu pekerjaan sulit.")</f>
        <v>A Saya ingin bisa melakukan dengan baik sesuatu pekerjaan sulit.</v>
      </c>
      <c r="CI74" s="95" t="str">
        <f>IFERROR(__xludf.DUMMYFUNCTION("""COMPUTED_VALUE"""),"A Saya suka belajar saya teratur dan ada waktu-waktu tertentu untuk belajar.")</f>
        <v>A Saya suka belajar saya teratur dan ada waktu-waktu tertentu untuk belajar.</v>
      </c>
      <c r="CJ74" s="95" t="str">
        <f>IFERROR(__xludf.DUMMYFUNCTION("""COMPUTED_VALUE"""),"A Saya ingin tidak tergantung dari orang lain terhadap apa yang akan saya lakukan.")</f>
        <v>A Saya ingin tidak tergantung dari orang lain terhadap apa yang akan saya lakukan.</v>
      </c>
      <c r="CK74" s="95" t="str">
        <f>IFERROR(__xludf.DUMMYFUNCTION("""COMPUTED_VALUE"""),"A Saya suka bertahan menghadapi satu masalah, meskipun belum tentu berhasil.")</f>
        <v>A Saya suka bertahan menghadapi satu masalah, meskipun belum tentu berhasil.</v>
      </c>
      <c r="CL74" s="95" t="str">
        <f>IFERROR(__xludf.DUMMYFUNCTION("""COMPUTED_VALUE"""),"A Saya suka menolong teman-teman saya, apabila mereka dalam kesulitan.")</f>
        <v>A Saya suka menolong teman-teman saya, apabila mereka dalam kesulitan.</v>
      </c>
      <c r="CM74" s="95" t="str">
        <f>IFERROR(__xludf.DUMMYFUNCTION("""COMPUTED_VALUE"""),"A Saya ingin ditunjuk atau dipilih sebagai ketua dalam suatu kelompok.")</f>
        <v>A Saya ingin ditunjuk atau dipilih sebagai ketua dalam suatu kelompok.</v>
      </c>
      <c r="CN74" s="95" t="str">
        <f>IFERROR(__xludf.DUMMYFUNCTION("""COMPUTED_VALUE"""),"B Saya suka mendengarkan atau menceritakan hal-hal yang tidak pantas.")</f>
        <v>B Saya suka mendengarkan atau menceritakan hal-hal yang tidak pantas.</v>
      </c>
      <c r="CO74" s="95" t="str">
        <f>IFERROR(__xludf.DUMMYFUNCTION("""COMPUTED_VALUE"""),"B Saya suka memuji orang yang saya kagumi.")</f>
        <v>B Saya suka memuji orang yang saya kagumi.</v>
      </c>
      <c r="CP74" s="95" t="str">
        <f>IFERROR(__xludf.DUMMYFUNCTION("""COMPUTED_VALUE"""),"A Saya suka melamun atau membayangkan sesuatu sendirian.")</f>
        <v>A Saya suka melamun atau membayangkan sesuatu sendirian.</v>
      </c>
      <c r="CQ74" s="95" t="str">
        <f>IFERROR(__xludf.DUMMYFUNCTION("""COMPUTED_VALUE"""),"B Saya merasa kagum pada seseorang.")</f>
        <v>B Saya merasa kagum pada seseorang.</v>
      </c>
      <c r="CR74" s="95" t="str">
        <f>IFERROR(__xludf.DUMMYFUNCTION("""COMPUTED_VALUE"""),"A Saya ingin memperolok-olok orang yang saya anggap melakukan tindakan bodoh.")</f>
        <v>A Saya ingin memperolok-olok orang yang saya anggap melakukan tindakan bodoh.</v>
      </c>
      <c r="CS74" s="95" t="str">
        <f>IFERROR(__xludf.DUMMYFUNCTION("""COMPUTED_VALUE"""),"A Saya ingin terlihat menarik di depan teman-teman saya.")</f>
        <v>A Saya ingin terlihat menarik di depan teman-teman saya.</v>
      </c>
      <c r="CT74" s="95" t="str">
        <f>IFERROR(__xludf.DUMMYFUNCTION("""COMPUTED_VALUE"""),"A Saya ingin orang-orang memperhatikan komentar mengenai penampilan saya.")</f>
        <v>A Saya ingin orang-orang memperhatikan komentar mengenai penampilan saya.</v>
      </c>
      <c r="CU74" s="95" t="str">
        <f>IFERROR(__xludf.DUMMYFUNCTION("""COMPUTED_VALUE"""),"A Saya ingin diperlakukan dengan ramah oleh teman-teman saya.")</f>
        <v>A Saya ingin diperlakukan dengan ramah oleh teman-teman saya.</v>
      </c>
      <c r="CV74" s="95" t="str">
        <f>IFERROR(__xludf.DUMMYFUNCTION("""COMPUTED_VALUE"""),"A Saya ingin ditunjuk atau dipilih sebagai ketua dalam suatu kelompok.")</f>
        <v>A Saya ingin ditunjuk atau dipilih sebagai ketua dalam suatu kelompok.</v>
      </c>
      <c r="CW74" s="95" t="str">
        <f>IFERROR(__xludf.DUMMYFUNCTION("""COMPUTED_VALUE"""),"A Saya suka menolong teman-teman saya, apabila mereka dalam kesulitan.")</f>
        <v>A Saya suka menolong teman-teman saya, apabila mereka dalam kesulitan.</v>
      </c>
      <c r="CX74" s="95" t="str">
        <f>IFERROR(__xludf.DUMMYFUNCTION("""COMPUTED_VALUE"""),"A Saya suka belajar sampai malam untuk menyelesaikan suatu tugas.")</f>
        <v>A Saya suka belajar sampai malam untuk menyelesaikan suatu tugas.</v>
      </c>
      <c r="CY74" s="95" t="str">
        <f>IFERROR(__xludf.DUMMYFUNCTION("""COMPUTED_VALUE"""),"A Saya ingin tidak tergantung dari orang lain terhadap apa yang akan saya lakukan.")</f>
        <v>A Saya ingin tidak tergantung dari orang lain terhadap apa yang akan saya lakukan.</v>
      </c>
      <c r="CZ74" s="95" t="str">
        <f>IFERROR(__xludf.DUMMYFUNCTION("""COMPUTED_VALUE"""),"A Saya suka merencanakan dan mengatur setiap pekerjaan yang harus saya lakukan.")</f>
        <v>A Saya suka merencanakan dan mengatur setiap pekerjaan yang harus saya lakukan.</v>
      </c>
      <c r="DA74" s="95" t="str">
        <f>IFERROR(__xludf.DUMMYFUNCTION("""COMPUTED_VALUE"""),"A Saya ingin melakukan apa saja sebaik mungkin.")</f>
        <v>A Saya ingin melakukan apa saja sebaik mungkin.</v>
      </c>
      <c r="DB74" s="89" t="s">
        <v>23</v>
      </c>
      <c r="DC74" s="97" t="str">
        <f t="shared" ref="DC74:GX74" si="119">LEFT(F74,1)</f>
        <v>B</v>
      </c>
      <c r="DD74" s="97" t="str">
        <f t="shared" si="119"/>
        <v>A</v>
      </c>
      <c r="DE74" s="97" t="str">
        <f t="shared" si="119"/>
        <v>A</v>
      </c>
      <c r="DF74" s="97" t="str">
        <f t="shared" si="119"/>
        <v>B</v>
      </c>
      <c r="DG74" s="97" t="str">
        <f t="shared" si="119"/>
        <v>A</v>
      </c>
      <c r="DH74" s="97" t="str">
        <f t="shared" si="119"/>
        <v>B</v>
      </c>
      <c r="DI74" s="97" t="str">
        <f t="shared" si="119"/>
        <v>B</v>
      </c>
      <c r="DJ74" s="97" t="str">
        <f t="shared" si="119"/>
        <v>B</v>
      </c>
      <c r="DK74" s="97" t="str">
        <f t="shared" si="119"/>
        <v>B</v>
      </c>
      <c r="DL74" s="97" t="str">
        <f t="shared" si="119"/>
        <v>B</v>
      </c>
      <c r="DM74" s="97" t="str">
        <f t="shared" si="119"/>
        <v>B</v>
      </c>
      <c r="DN74" s="97" t="str">
        <f t="shared" si="119"/>
        <v>B</v>
      </c>
      <c r="DO74" s="97" t="str">
        <f t="shared" si="119"/>
        <v>B</v>
      </c>
      <c r="DP74" s="97" t="str">
        <f t="shared" si="119"/>
        <v>B</v>
      </c>
      <c r="DQ74" s="97" t="str">
        <f t="shared" si="119"/>
        <v>B</v>
      </c>
      <c r="DR74" s="97" t="str">
        <f t="shared" si="119"/>
        <v>A</v>
      </c>
      <c r="DS74" s="97" t="str">
        <f t="shared" si="119"/>
        <v>A</v>
      </c>
      <c r="DT74" s="97" t="str">
        <f t="shared" si="119"/>
        <v>B</v>
      </c>
      <c r="DU74" s="97" t="str">
        <f t="shared" si="119"/>
        <v>A</v>
      </c>
      <c r="DV74" s="97" t="str">
        <f t="shared" si="119"/>
        <v>A</v>
      </c>
      <c r="DW74" s="97" t="str">
        <f t="shared" si="119"/>
        <v>A</v>
      </c>
      <c r="DX74" s="97" t="str">
        <f t="shared" si="119"/>
        <v>A</v>
      </c>
      <c r="DY74" s="97" t="str">
        <f t="shared" si="119"/>
        <v>B</v>
      </c>
      <c r="DZ74" s="97" t="str">
        <f t="shared" si="119"/>
        <v>A</v>
      </c>
      <c r="EA74" s="97" t="str">
        <f t="shared" si="119"/>
        <v>A</v>
      </c>
      <c r="EB74" s="97" t="str">
        <f t="shared" si="119"/>
        <v>A</v>
      </c>
      <c r="EC74" s="97" t="str">
        <f t="shared" si="119"/>
        <v>B</v>
      </c>
      <c r="ED74" s="97" t="str">
        <f t="shared" si="119"/>
        <v>A</v>
      </c>
      <c r="EE74" s="97" t="str">
        <f t="shared" si="119"/>
        <v>B</v>
      </c>
      <c r="EF74" s="97" t="str">
        <f t="shared" si="119"/>
        <v>B</v>
      </c>
      <c r="EG74" s="97" t="str">
        <f t="shared" si="119"/>
        <v>B</v>
      </c>
      <c r="EH74" s="97" t="str">
        <f t="shared" si="119"/>
        <v>B</v>
      </c>
      <c r="EI74" s="97" t="str">
        <f t="shared" si="119"/>
        <v>B</v>
      </c>
      <c r="EJ74" s="97" t="str">
        <f t="shared" si="119"/>
        <v>B</v>
      </c>
      <c r="EK74" s="97" t="str">
        <f t="shared" si="119"/>
        <v>A</v>
      </c>
      <c r="EL74" s="97" t="str">
        <f t="shared" si="119"/>
        <v>A</v>
      </c>
      <c r="EM74" s="97" t="str">
        <f t="shared" si="119"/>
        <v>B</v>
      </c>
      <c r="EN74" s="97" t="str">
        <f t="shared" si="119"/>
        <v>B</v>
      </c>
      <c r="EO74" s="97" t="str">
        <f t="shared" si="119"/>
        <v>B</v>
      </c>
      <c r="EP74" s="97" t="str">
        <f t="shared" si="119"/>
        <v>B</v>
      </c>
      <c r="EQ74" s="97" t="str">
        <f t="shared" si="119"/>
        <v>B</v>
      </c>
      <c r="ER74" s="97" t="str">
        <f t="shared" si="119"/>
        <v>B</v>
      </c>
      <c r="ES74" s="97" t="str">
        <f t="shared" si="119"/>
        <v>B</v>
      </c>
      <c r="ET74" s="97" t="str">
        <f t="shared" si="119"/>
        <v>A</v>
      </c>
      <c r="EU74" s="97" t="str">
        <f t="shared" si="119"/>
        <v>B</v>
      </c>
      <c r="EV74" s="97" t="str">
        <f t="shared" si="119"/>
        <v>B</v>
      </c>
      <c r="EW74" s="97" t="str">
        <f t="shared" si="119"/>
        <v>B</v>
      </c>
      <c r="EX74" s="97" t="str">
        <f t="shared" si="119"/>
        <v>B</v>
      </c>
      <c r="EY74" s="97" t="str">
        <f t="shared" si="119"/>
        <v>B</v>
      </c>
      <c r="EZ74" s="97" t="str">
        <f t="shared" si="119"/>
        <v>B</v>
      </c>
      <c r="FA74" s="97" t="str">
        <f t="shared" si="119"/>
        <v>B</v>
      </c>
      <c r="FB74" s="97" t="str">
        <f t="shared" si="119"/>
        <v>A</v>
      </c>
      <c r="FC74" s="97" t="str">
        <f t="shared" si="119"/>
        <v>B</v>
      </c>
      <c r="FD74" s="97" t="str">
        <f t="shared" si="119"/>
        <v>B</v>
      </c>
      <c r="FE74" s="97" t="str">
        <f t="shared" si="119"/>
        <v>A</v>
      </c>
      <c r="FF74" s="97" t="str">
        <f t="shared" si="119"/>
        <v>A</v>
      </c>
      <c r="FG74" s="97" t="str">
        <f t="shared" si="119"/>
        <v>A</v>
      </c>
      <c r="FH74" s="97" t="str">
        <f t="shared" si="119"/>
        <v>A</v>
      </c>
      <c r="FI74" s="97" t="str">
        <f t="shared" si="119"/>
        <v>B</v>
      </c>
      <c r="FJ74" s="97" t="str">
        <f t="shared" si="119"/>
        <v>A</v>
      </c>
      <c r="FK74" s="97" t="str">
        <f t="shared" si="119"/>
        <v>A</v>
      </c>
      <c r="FL74" s="97" t="str">
        <f t="shared" si="119"/>
        <v>A</v>
      </c>
      <c r="FM74" s="97" t="str">
        <f t="shared" si="119"/>
        <v>A</v>
      </c>
      <c r="FN74" s="97" t="str">
        <f t="shared" si="119"/>
        <v>A</v>
      </c>
      <c r="FO74" s="97" t="str">
        <f t="shared" si="119"/>
        <v>A</v>
      </c>
      <c r="FP74" s="97" t="str">
        <f t="shared" si="119"/>
        <v>B</v>
      </c>
      <c r="FQ74" s="97" t="str">
        <f t="shared" si="119"/>
        <v>B</v>
      </c>
      <c r="FR74" s="97" t="str">
        <f t="shared" si="119"/>
        <v>A</v>
      </c>
      <c r="FS74" s="97" t="str">
        <f t="shared" si="119"/>
        <v>B</v>
      </c>
      <c r="FT74" s="97" t="str">
        <f t="shared" si="119"/>
        <v>B</v>
      </c>
      <c r="FU74" s="97" t="str">
        <f t="shared" si="119"/>
        <v>B</v>
      </c>
      <c r="FV74" s="97" t="str">
        <f t="shared" si="119"/>
        <v>A</v>
      </c>
      <c r="FW74" s="97" t="str">
        <f t="shared" si="119"/>
        <v>B</v>
      </c>
      <c r="FX74" s="97" t="str">
        <f t="shared" si="119"/>
        <v>A</v>
      </c>
      <c r="FY74" s="97" t="str">
        <f t="shared" si="119"/>
        <v>B</v>
      </c>
      <c r="FZ74" s="97" t="str">
        <f t="shared" si="119"/>
        <v>A</v>
      </c>
      <c r="GA74" s="97" t="str">
        <f t="shared" si="119"/>
        <v>A</v>
      </c>
      <c r="GB74" s="97" t="str">
        <f t="shared" si="119"/>
        <v>A</v>
      </c>
      <c r="GC74" s="97" t="str">
        <f t="shared" si="119"/>
        <v>A</v>
      </c>
      <c r="GD74" s="97" t="str">
        <f t="shared" si="119"/>
        <v>A</v>
      </c>
      <c r="GE74" s="97" t="str">
        <f t="shared" si="119"/>
        <v>A</v>
      </c>
      <c r="GF74" s="97" t="str">
        <f t="shared" si="119"/>
        <v>A</v>
      </c>
      <c r="GG74" s="97" t="str">
        <f t="shared" si="119"/>
        <v>A</v>
      </c>
      <c r="GH74" s="97" t="str">
        <f t="shared" si="119"/>
        <v>A</v>
      </c>
      <c r="GI74" s="97" t="str">
        <f t="shared" si="119"/>
        <v>A</v>
      </c>
      <c r="GJ74" s="97" t="str">
        <f t="shared" si="119"/>
        <v>A</v>
      </c>
      <c r="GK74" s="97" t="str">
        <f t="shared" si="119"/>
        <v>B</v>
      </c>
      <c r="GL74" s="97" t="str">
        <f t="shared" si="119"/>
        <v>B</v>
      </c>
      <c r="GM74" s="97" t="str">
        <f t="shared" si="119"/>
        <v>A</v>
      </c>
      <c r="GN74" s="97" t="str">
        <f t="shared" si="119"/>
        <v>B</v>
      </c>
      <c r="GO74" s="97" t="str">
        <f t="shared" si="119"/>
        <v>A</v>
      </c>
      <c r="GP74" s="97" t="str">
        <f t="shared" si="119"/>
        <v>A</v>
      </c>
      <c r="GQ74" s="97" t="str">
        <f t="shared" si="119"/>
        <v>A</v>
      </c>
      <c r="GR74" s="97" t="str">
        <f t="shared" si="119"/>
        <v>A</v>
      </c>
      <c r="GS74" s="97" t="str">
        <f t="shared" si="119"/>
        <v>A</v>
      </c>
      <c r="GT74" s="97" t="str">
        <f t="shared" si="119"/>
        <v>A</v>
      </c>
      <c r="GU74" s="97" t="str">
        <f t="shared" si="119"/>
        <v>A</v>
      </c>
      <c r="GV74" s="97" t="str">
        <f t="shared" si="119"/>
        <v>A</v>
      </c>
      <c r="GW74" s="97" t="str">
        <f t="shared" si="119"/>
        <v>A</v>
      </c>
      <c r="GX74" s="97" t="str">
        <f t="shared" si="119"/>
        <v>A</v>
      </c>
      <c r="GY74" s="98"/>
      <c r="GZ74" s="97">
        <f t="shared" si="3"/>
        <v>52</v>
      </c>
      <c r="HA74" s="97">
        <f t="shared" si="4"/>
        <v>48</v>
      </c>
      <c r="HB74" s="90">
        <f t="shared" si="5"/>
        <v>100</v>
      </c>
      <c r="HC74" s="99"/>
      <c r="HD74" s="97">
        <f t="shared" si="6"/>
        <v>7</v>
      </c>
      <c r="HE74" s="97">
        <f t="shared" si="7"/>
        <v>6</v>
      </c>
      <c r="HF74" s="90">
        <f t="shared" si="8"/>
        <v>13</v>
      </c>
      <c r="HG74" s="99"/>
      <c r="HH74" s="97">
        <f t="shared" si="9"/>
        <v>6</v>
      </c>
      <c r="HI74" s="97">
        <f t="shared" si="10"/>
        <v>6</v>
      </c>
      <c r="HJ74" s="90">
        <f t="shared" si="11"/>
        <v>12</v>
      </c>
      <c r="HK74" s="99"/>
      <c r="HL74" s="97">
        <f t="shared" si="12"/>
        <v>6</v>
      </c>
      <c r="HM74" s="97">
        <f t="shared" si="13"/>
        <v>4</v>
      </c>
      <c r="HN74" s="90">
        <f t="shared" si="14"/>
        <v>10</v>
      </c>
      <c r="HO74" s="99"/>
      <c r="HP74" s="97">
        <f t="shared" si="15"/>
        <v>8</v>
      </c>
      <c r="HQ74" s="97">
        <f t="shared" si="16"/>
        <v>8</v>
      </c>
      <c r="HR74" s="90">
        <f t="shared" si="17"/>
        <v>16</v>
      </c>
      <c r="HS74" s="99"/>
      <c r="HT74" s="97">
        <f t="shared" si="18"/>
        <v>9</v>
      </c>
      <c r="HU74" s="97">
        <f t="shared" si="19"/>
        <v>9</v>
      </c>
      <c r="HV74" s="90">
        <f t="shared" si="20"/>
        <v>18</v>
      </c>
      <c r="HW74" s="99"/>
      <c r="HX74" s="97">
        <f t="shared" si="21"/>
        <v>4</v>
      </c>
      <c r="HY74" s="97">
        <f t="shared" si="22"/>
        <v>4</v>
      </c>
      <c r="HZ74" s="90">
        <f t="shared" si="23"/>
        <v>8</v>
      </c>
      <c r="IA74" s="99"/>
      <c r="IB74" s="97">
        <f t="shared" si="24"/>
        <v>2</v>
      </c>
      <c r="IC74" s="97">
        <f t="shared" si="25"/>
        <v>4</v>
      </c>
      <c r="ID74" s="90">
        <f t="shared" si="26"/>
        <v>6</v>
      </c>
      <c r="IE74" s="99"/>
      <c r="IF74" s="97">
        <f t="shared" si="27"/>
        <v>3</v>
      </c>
      <c r="IG74" s="97">
        <f t="shared" si="28"/>
        <v>3</v>
      </c>
      <c r="IH74" s="90">
        <f t="shared" si="29"/>
        <v>6</v>
      </c>
      <c r="II74" s="99"/>
      <c r="IJ74" s="97">
        <f t="shared" si="30"/>
        <v>3</v>
      </c>
      <c r="IK74" s="97">
        <f t="shared" si="31"/>
        <v>3</v>
      </c>
      <c r="IL74" s="90">
        <f t="shared" si="32"/>
        <v>6</v>
      </c>
      <c r="IM74" s="99"/>
      <c r="IN74" s="97">
        <f t="shared" si="33"/>
        <v>0</v>
      </c>
      <c r="IO74" s="97">
        <f t="shared" si="34"/>
        <v>0</v>
      </c>
      <c r="IP74" s="90">
        <f t="shared" si="35"/>
        <v>0</v>
      </c>
      <c r="IQ74" s="99"/>
      <c r="IR74" s="99"/>
      <c r="IS74" s="100">
        <f t="shared" si="36"/>
        <v>13</v>
      </c>
      <c r="IT74" s="100">
        <f t="shared" si="37"/>
        <v>12</v>
      </c>
      <c r="IU74" s="100">
        <f t="shared" si="38"/>
        <v>10</v>
      </c>
      <c r="IV74" s="100">
        <f t="shared" si="39"/>
        <v>16</v>
      </c>
      <c r="IW74" s="100">
        <f t="shared" si="40"/>
        <v>18</v>
      </c>
      <c r="IX74" s="100">
        <f t="shared" si="41"/>
        <v>8</v>
      </c>
      <c r="IY74" s="100">
        <f t="shared" si="42"/>
        <v>6</v>
      </c>
      <c r="IZ74" s="100">
        <f t="shared" si="43"/>
        <v>6</v>
      </c>
      <c r="JA74" s="100">
        <f t="shared" si="44"/>
        <v>6</v>
      </c>
      <c r="JB74" s="101">
        <f t="shared" si="45"/>
        <v>0</v>
      </c>
      <c r="JC74" s="102">
        <f t="shared" si="46"/>
        <v>95</v>
      </c>
      <c r="JD74" s="67">
        <f t="shared" si="50"/>
        <v>0</v>
      </c>
      <c r="JE74" s="67">
        <f t="shared" si="47"/>
        <v>0</v>
      </c>
      <c r="JF74" s="67">
        <f t="shared" si="48"/>
        <v>0</v>
      </c>
    </row>
    <row r="75">
      <c r="A75" s="103">
        <f>IFERROR(__xludf.DUMMYFUNCTION("""COMPUTED_VALUE"""),45936.64783695602)</f>
        <v>45936.64784</v>
      </c>
      <c r="B75" s="95" t="str">
        <f>IFERROR(__xludf.DUMMYFUNCTION("""COMPUTED_VALUE"""),"Artka hasbina azhuary")</f>
        <v>Artka hasbina azhuary</v>
      </c>
      <c r="C75" s="96" t="str">
        <f>IFERROR(__xludf.DUMMYFUNCTION("""COMPUTED_VALUE"""),"A250032")</f>
        <v>A250032</v>
      </c>
      <c r="D75" s="96" t="str">
        <f>IFERROR(__xludf.DUMMYFUNCTION("""COMPUTED_VALUE"""),"MTs Putra")</f>
        <v>MTs Putra</v>
      </c>
      <c r="E75" s="96" t="str">
        <f>IFERROR(__xludf.DUMMYFUNCTION("""COMPUTED_VALUE"""),"Ya")</f>
        <v>Ya</v>
      </c>
      <c r="F75" s="95" t="str">
        <f>IFERROR(__xludf.DUMMYFUNCTION("""COMPUTED_VALUE"""),"B Saya ingin melakukan apa saja sebaik mungkin.")</f>
        <v>B Saya ingin melakukan apa saja sebaik mungkin.</v>
      </c>
      <c r="G75" s="95" t="str">
        <f>IFERROR(__xludf.DUMMYFUNCTION("""COMPUTED_VALUE"""),"A Saya ingin setiap tulisan saya teliti, rapi, dan tersusun dengan baik.")</f>
        <v>A Saya ingin setiap tulisan saya teliti, rapi, dan tersusun dengan baik.</v>
      </c>
      <c r="H75" s="95" t="str">
        <f>IFERROR(__xludf.DUMMYFUNCTION("""COMPUTED_VALUE"""),"B Saya ingin menjadi orang yang diakui dalam suatu pekerjaan atau bidang khusus.")</f>
        <v>B Saya ingin menjadi orang yang diakui dalam suatu pekerjaan atau bidang khusus.</v>
      </c>
      <c r="I75" s="95" t="str">
        <f>IFERROR(__xludf.DUMMYFUNCTION("""COMPUTED_VALUE"""),"B Saya ingin bisa melakukan dengan baik meskipun tugas yang sulit.")</f>
        <v>B Saya ingin bisa melakukan dengan baik meskipun tugas yang sulit.</v>
      </c>
      <c r="J75" s="95" t="str">
        <f>IFERROR(__xludf.DUMMYFUNCTION("""COMPUTED_VALUE"""),"A Saya suka membantu teman-teman saya apabila mereka mengalami kesulitan.")</f>
        <v>A Saya suka membantu teman-teman saya apabila mereka mengalami kesulitan.</v>
      </c>
      <c r="K75" s="95" t="str">
        <f>IFERROR(__xludf.DUMMYFUNCTION("""COMPUTED_VALUE"""),"B Saya ingin mengatakan telah melakukan dengan baik sesuatu tugas yang sulit.")</f>
        <v>B Saya ingin mengatakan telah melakukan dengan baik sesuatu tugas yang sulit.</v>
      </c>
      <c r="L75" s="95" t="str">
        <f>IFERROR(__xludf.DUMMYFUNCTION("""COMPUTED_VALUE"""),"B Saya ingin mengatakan telah melakukan dengan baik sesuatu tugas yang sulit")</f>
        <v>B Saya ingin mengatakan telah melakukan dengan baik sesuatu tugas yang sulit</v>
      </c>
      <c r="M75" s="95" t="str">
        <f>IFERROR(__xludf.DUMMYFUNCTION("""COMPUTED_VALUE"""),"A Saya suka berbicara tentang hal-hal yang telah berhasil saya lakukan.")</f>
        <v>A Saya suka berbicara tentang hal-hal yang telah berhasil saya lakukan.</v>
      </c>
      <c r="N75" s="95" t="str">
        <f>IFERROR(__xludf.DUMMYFUNCTION("""COMPUTED_VALUE"""),"B Saya suka memecahkan persoalan yang sukar bagi orang lain.")</f>
        <v>B Saya suka memecahkan persoalan yang sukar bagi orang lain.</v>
      </c>
      <c r="O75" s="95" t="str">
        <f>IFERROR(__xludf.DUMMYFUNCTION("""COMPUTED_VALUE"""),"B Saya suka melakukan tugas sebaik mungkin.")</f>
        <v>B Saya suka melakukan tugas sebaik mungkin.</v>
      </c>
      <c r="P75" s="95" t="str">
        <f>IFERROR(__xludf.DUMMYFUNCTION("""COMPUTED_VALUE"""),"B Saya ingin setiap belajar itu teratur dan direncanakan.")</f>
        <v>B Saya ingin setiap belajar itu teratur dan direncanakan.</v>
      </c>
      <c r="Q75" s="95" t="str">
        <f>IFERROR(__xludf.DUMMYFUNCTION("""COMPUTED_VALUE"""),"B Saya merencanakan keperluan yang dibutuhkan sebelum bepergian.")</f>
        <v>B Saya merencanakan keperluan yang dibutuhkan sebelum bepergian.</v>
      </c>
      <c r="R75" s="95" t="str">
        <f>IFERROR(__xludf.DUMMYFUNCTION("""COMPUTED_VALUE"""),"B Saya suka barang-barang saya tersusun rapi dan teratur.")</f>
        <v>B Saya suka barang-barang saya tersusun rapi dan teratur.</v>
      </c>
      <c r="S75" s="95" t="str">
        <f>IFERROR(__xludf.DUMMYFUNCTION("""COMPUTED_VALUE"""),"B Saya suka membuat perencanaan sebelum memulai tugas yang sulit.")</f>
        <v>B Saya suka membuat perencanaan sebelum memulai tugas yang sulit.</v>
      </c>
      <c r="T75" s="95" t="str">
        <f>IFERROR(__xludf.DUMMYFUNCTION("""COMPUTED_VALUE"""),"B Saya ingin agar hidup saya teratur sesuai cita-cita saya.")</f>
        <v>B Saya ingin agar hidup saya teratur sesuai cita-cita saya.</v>
      </c>
      <c r="U75" s="95" t="str">
        <f>IFERROR(__xludf.DUMMYFUNCTION("""COMPUTED_VALUE"""),"A Saya suka memberikan bantuan kepada teman-teman saya.")</f>
        <v>A Saya suka memberikan bantuan kepada teman-teman saya.</v>
      </c>
      <c r="V75" s="95" t="str">
        <f>IFERROR(__xludf.DUMMYFUNCTION("""COMPUTED_VALUE"""),"B Saya suka belajar saya teratur dan ada waktu-waktu tertentu untuk belajar.")</f>
        <v>B Saya suka belajar saya teratur dan ada waktu-waktu tertentu untuk belajar.</v>
      </c>
      <c r="W75" s="95" t="str">
        <f>IFERROR(__xludf.DUMMYFUNCTION("""COMPUTED_VALUE"""),"B Saya ingin kegiatan itu teratur dan direncanakan.")</f>
        <v>B Saya ingin kegiatan itu teratur dan direncanakan.</v>
      </c>
      <c r="X75" s="95" t="str">
        <f>IFERROR(__xludf.DUMMYFUNCTION("""COMPUTED_VALUE"""),"B Saya ingin agar hidup saya teratur sesuai cita-cita saya.")</f>
        <v>B Saya ingin agar hidup saya teratur sesuai cita-cita saya.</v>
      </c>
      <c r="Y75" s="95" t="str">
        <f>IFERROR(__xludf.DUMMYFUNCTION("""COMPUTED_VALUE"""),"A Saya suka menyelesaikan tugas-tugas yang membutuhkan ketrampilan dan usaha.")</f>
        <v>A Saya suka menyelesaikan tugas-tugas yang membutuhkan ketrampilan dan usaha.</v>
      </c>
      <c r="Z75" s="95" t="str">
        <f>IFERROR(__xludf.DUMMYFUNCTION("""COMPUTED_VALUE"""),"A Saya ingin berhasil dengan belajar yang saya lakukan.")</f>
        <v>A Saya ingin berhasil dengan belajar yang saya lakukan.</v>
      </c>
      <c r="AA75" s="95" t="str">
        <f>IFERROR(__xludf.DUMMYFUNCTION("""COMPUTED_VALUE"""),"A Saya suka menyelesaikan tugas yang telah saya rencanakan.")</f>
        <v>A Saya suka menyelesaikan tugas yang telah saya rencanakan.</v>
      </c>
      <c r="AB75" s="95" t="str">
        <f>IFERROR(__xludf.DUMMYFUNCTION("""COMPUTED_VALUE"""),"A Saya ingin tidak tergantung dari orang lain terhadap apa yang akan saya lakukan.")</f>
        <v>A Saya ingin tidak tergantung dari orang lain terhadap apa yang akan saya lakukan.</v>
      </c>
      <c r="AC75" s="95" t="str">
        <f>IFERROR(__xludf.DUMMYFUNCTION("""COMPUTED_VALUE"""),"A Saya suka menyelesaikan setiap tugas meskipun membutuhkan waktu lama.")</f>
        <v>A Saya suka menyelesaikan setiap tugas meskipun membutuhkan waktu lama.</v>
      </c>
      <c r="AD75" s="95" t="str">
        <f>IFERROR(__xludf.DUMMYFUNCTION("""COMPUTED_VALUE"""),"A Saya suka bermurah hati terhadap teman-teman saya.")</f>
        <v>A Saya suka bermurah hati terhadap teman-teman saya.</v>
      </c>
      <c r="AE75" s="95" t="str">
        <f>IFERROR(__xludf.DUMMYFUNCTION("""COMPUTED_VALUE"""),"A Saya ingin dianggap sebagai pemimpin oleh teman di kelompok.")</f>
        <v>A Saya ingin dianggap sebagai pemimpin oleh teman di kelompok.</v>
      </c>
      <c r="AF75" s="95" t="str">
        <f>IFERROR(__xludf.DUMMYFUNCTION("""COMPUTED_VALUE"""),"B Saya suka melakukan hal-hal dengan cara saya sendiri.")</f>
        <v>B Saya suka melakukan hal-hal dengan cara saya sendiri.</v>
      </c>
      <c r="AG75" s="95" t="str">
        <f>IFERROR(__xludf.DUMMYFUNCTION("""COMPUTED_VALUE"""),"B Saya ingin berhasil dengan tugas yang saya lakukan.")</f>
        <v>B Saya ingin berhasil dengan tugas yang saya lakukan.</v>
      </c>
      <c r="AH75" s="95" t="str">
        <f>IFERROR(__xludf.DUMMYFUNCTION("""COMPUTED_VALUE"""),"B Saya ingin merasa bebas untuk melakukan apa yang saya kehendaki.")</f>
        <v>B Saya ingin merasa bebas untuk melakukan apa yang saya kehendaki.</v>
      </c>
      <c r="AI75" s="95" t="str">
        <f>IFERROR(__xludf.DUMMYFUNCTION("""COMPUTED_VALUE"""),"B Saya suka melakukan kegiatan sesuai kondisi yang saya inginkan.")</f>
        <v>B Saya suka melakukan kegiatan sesuai kondisi yang saya inginkan.</v>
      </c>
      <c r="AJ75" s="95" t="str">
        <f>IFERROR(__xludf.DUMMYFUNCTION("""COMPUTED_VALUE"""),"B Saya suka bertahan menghadapi satu masalah meskipun belum tentu berhasil.")</f>
        <v>B Saya suka bertahan menghadapi satu masalah meskipun belum tentu berhasil.</v>
      </c>
      <c r="AK75" s="95" t="str">
        <f>IFERROR(__xludf.DUMMYFUNCTION("""COMPUTED_VALUE"""),"B Bila saya harus melakukan suatu tugas, saya ingin mengerjakan sampai selesai.")</f>
        <v>B Bila saya harus melakukan suatu tugas, saya ingin mengerjakan sampai selesai.</v>
      </c>
      <c r="AL75" s="95" t="str">
        <f>IFERROR(__xludf.DUMMYFUNCTION("""COMPUTED_VALUE"""),"B Saya ingin menghindarkan gangguan bila saya sedang belajar.")</f>
        <v>B Saya ingin menghindarkan gangguan bila saya sedang belajar.</v>
      </c>
      <c r="AM75" s="95" t="str">
        <f>IFERROR(__xludf.DUMMYFUNCTION("""COMPUTED_VALUE"""),"B Saya suka belajar sampai malam untuk menyelesaikan suatu tugas.")</f>
        <v>B Saya suka belajar sampai malam untuk menyelesaikan suatu tugas.</v>
      </c>
      <c r="AN75" s="95" t="str">
        <f>IFERROR(__xludf.DUMMYFUNCTION("""COMPUTED_VALUE"""),"A Saya tidak suka pada orang yang semena-mena.")</f>
        <v>A Saya tidak suka pada orang yang semena-mena.</v>
      </c>
      <c r="AO75" s="95" t="str">
        <f>IFERROR(__xludf.DUMMYFUNCTION("""COMPUTED_VALUE"""),"B Saya suka menyelesaikan setiap tugas meskipun membutuhkan waktu lama.")</f>
        <v>B Saya suka menyelesaikan setiap tugas meskipun membutuhkan waktu lama.</v>
      </c>
      <c r="AP75" s="95" t="str">
        <f>IFERROR(__xludf.DUMMYFUNCTION("""COMPUTED_VALUE"""),"A Saya ingin mengerjakannya tugas sampai selesai.")</f>
        <v>A Saya ingin mengerjakannya tugas sampai selesai.</v>
      </c>
      <c r="AQ75" s="95" t="str">
        <f>IFERROR(__xludf.DUMMYFUNCTION("""COMPUTED_VALUE"""),"B Bila saya harus melakukan suatu tugas, saya ingin mengerjakan sampai selesai.")</f>
        <v>B Bila saya harus melakukan suatu tugas, saya ingin mengerjakan sampai selesai.</v>
      </c>
      <c r="AR75" s="95" t="str">
        <f>IFERROR(__xludf.DUMMYFUNCTION("""COMPUTED_VALUE"""),"B Saya suka belajar keras pada tiap pelajaran yang saya hadapi.")</f>
        <v>B Saya suka belajar keras pada tiap pelajaran yang saya hadapi.</v>
      </c>
      <c r="AS75" s="95" t="str">
        <f>IFERROR(__xludf.DUMMYFUNCTION("""COMPUTED_VALUE"""),"A Saya ingin dapat menyelesaikan persoalan yang dianggap sukar bagi orang lain.")</f>
        <v>A Saya ingin dapat menyelesaikan persoalan yang dianggap sukar bagi orang lain.</v>
      </c>
      <c r="AT75" s="95" t="str">
        <f>IFERROR(__xludf.DUMMYFUNCTION("""COMPUTED_VALUE"""),"A Saya ingin bisa melakukan dengan baik sesuatu pekerjaan sulit.")</f>
        <v>A Saya ingin bisa melakukan dengan baik sesuatu pekerjaan sulit.</v>
      </c>
      <c r="AU75" s="95" t="str">
        <f>IFERROR(__xludf.DUMMYFUNCTION("""COMPUTED_VALUE"""),"B Saya suka bermurah hati terhadap teman-teman saya.")</f>
        <v>B Saya suka bermurah hati terhadap teman-teman saya.</v>
      </c>
      <c r="AV75" s="95" t="str">
        <f>IFERROR(__xludf.DUMMYFUNCTION("""COMPUTED_VALUE"""),"B Saya suka menolong teman-teman saya.")</f>
        <v>B Saya suka menolong teman-teman saya.</v>
      </c>
      <c r="AW75" s="95" t="str">
        <f>IFERROR(__xludf.DUMMYFUNCTION("""COMPUTED_VALUE"""),"A Saya ingin mengerjakan tugas sampai selesai.")</f>
        <v>A Saya ingin mengerjakan tugas sampai selesai.</v>
      </c>
      <c r="AX75" s="95" t="str">
        <f>IFERROR(__xludf.DUMMYFUNCTION("""COMPUTED_VALUE"""),"A Saya suka menolong teman-teman saya apabila mereka dalam kesulitan.")</f>
        <v>A Saya suka menolong teman-teman saya apabila mereka dalam kesulitan.</v>
      </c>
      <c r="AY75" s="95" t="str">
        <f>IFERROR(__xludf.DUMMYFUNCTION("""COMPUTED_VALUE"""),"B Saya suka menolong teman-teman saya apabila mereka dalam kesulitan.")</f>
        <v>B Saya suka menolong teman-teman saya apabila mereka dalam kesulitan.</v>
      </c>
      <c r="AZ75" s="95" t="str">
        <f>IFERROR(__xludf.DUMMYFUNCTION("""COMPUTED_VALUE"""),"B Saya suka menunjukkan simpati saya kepada teman-teman saya.")</f>
        <v>B Saya suka menunjukkan simpati saya kepada teman-teman saya.</v>
      </c>
      <c r="BA75" s="95" t="str">
        <f>IFERROR(__xludf.DUMMYFUNCTION("""COMPUTED_VALUE"""),"B Saya suka memperlakukan orang lain dengan baik dan ramah.")</f>
        <v>B Saya suka memperlakukan orang lain dengan baik dan ramah.</v>
      </c>
      <c r="BB75" s="95" t="str">
        <f>IFERROR(__xludf.DUMMYFUNCTION("""COMPUTED_VALUE"""),"B Saya suka bermurah hati terhadap teman-teman saya.")</f>
        <v>B Saya suka bermurah hati terhadap teman-teman saya.</v>
      </c>
      <c r="BC75" s="95" t="str">
        <f>IFERROR(__xludf.DUMMYFUNCTION("""COMPUTED_VALUE"""),"B Saya suka membantu orang lain yang menurut saya perlu dikasihani.")</f>
        <v>B Saya suka membantu orang lain yang menurut saya perlu dikasihani.</v>
      </c>
      <c r="BD75" s="95" t="str">
        <f>IFERROR(__xludf.DUMMYFUNCTION("""COMPUTED_VALUE"""),"B Saya suka bersikukuh dengan pendirian saya.")</f>
        <v>B Saya suka bersikukuh dengan pendirian saya.</v>
      </c>
      <c r="BE75" s="95" t="str">
        <f>IFERROR(__xludf.DUMMYFUNCTION("""COMPUTED_VALUE"""),"B Saya ingin orang lain melakukan apa yang saya kehendaki.")</f>
        <v>B Saya ingin orang lain melakukan apa yang saya kehendaki.</v>
      </c>
      <c r="BF75" s="95" t="str">
        <f>IFERROR(__xludf.DUMMYFUNCTION("""COMPUTED_VALUE"""),"B Bila saya dalam kelompok, saya ingin menentukan apa yang akan kita lakukan.")</f>
        <v>B Bila saya dalam kelompok, saya ingin menentukan apa yang akan kita lakukan.</v>
      </c>
      <c r="BG75" s="95" t="str">
        <f>IFERROR(__xludf.DUMMYFUNCTION("""COMPUTED_VALUE"""),"B Saya suka mengarahkan kepada orang lain apa yang harus dilakukan.")</f>
        <v>B Saya suka mengarahkan kepada orang lain apa yang harus dilakukan.</v>
      </c>
      <c r="BH75" s="95" t="str">
        <f>IFERROR(__xludf.DUMMYFUNCTION("""COMPUTED_VALUE"""),"A Saya suka menghindar dari situasi yang tidak saya harapkan.")</f>
        <v>A Saya suka menghindar dari situasi yang tidak saya harapkan.</v>
      </c>
      <c r="BI75" s="95" t="str">
        <f>IFERROR(__xludf.DUMMYFUNCTION("""COMPUTED_VALUE"""),"A Saya suka bermurah hati terhadap teman-teman saya.")</f>
        <v>A Saya suka bermurah hati terhadap teman-teman saya.</v>
      </c>
      <c r="BJ75" s="95" t="str">
        <f>IFERROR(__xludf.DUMMYFUNCTION("""COMPUTED_VALUE"""),"A Saya ingin mengerjakan tugas sampai selesai.")</f>
        <v>A Saya ingin mengerjakan tugas sampai selesai.</v>
      </c>
      <c r="BK75" s="95" t="str">
        <f>IFERROR(__xludf.DUMMYFUNCTION("""COMPUTED_VALUE"""),"A Saya ingin menyelesaikan pekerjaan satu persatu sebelum memulai yang lain.")</f>
        <v>A Saya ingin menyelesaikan pekerjaan satu persatu sebelum memulai yang lain.</v>
      </c>
      <c r="BL75" s="95" t="str">
        <f>IFERROR(__xludf.DUMMYFUNCTION("""COMPUTED_VALUE"""),"A Saya suka belajar saya teratur dan ada waktu-waktu tertentu untuk belajar.")</f>
        <v>A Saya suka belajar saya teratur dan ada waktu-waktu tertentu untuk belajar.</v>
      </c>
      <c r="BM75" s="95" t="str">
        <f>IFERROR(__xludf.DUMMYFUNCTION("""COMPUTED_VALUE"""),"A Saya suka melakukan pekerjaan sebaik mungkin.")</f>
        <v>A Saya suka melakukan pekerjaan sebaik mungkin.</v>
      </c>
      <c r="BN75" s="95" t="str">
        <f>IFERROR(__xludf.DUMMYFUNCTION("""COMPUTED_VALUE"""),"A Saya suka mengerjakan teka-teki atau memecahkan persoalan sampai selesai.")</f>
        <v>A Saya suka mengerjakan teka-teki atau memecahkan persoalan sampai selesai.</v>
      </c>
      <c r="BO75" s="95" t="str">
        <f>IFERROR(__xludf.DUMMYFUNCTION("""COMPUTED_VALUE"""),"A Saya suka membuat perencanaan sebelum memulai belajar yang sulit.")</f>
        <v>A Saya suka membuat perencanaan sebelum memulai belajar yang sulit.</v>
      </c>
      <c r="BP75" s="95" t="str">
        <f>IFERROR(__xludf.DUMMYFUNCTION("""COMPUTED_VALUE"""),"A Saya ingin menyelesaikan sesuatu yang sangat penting artinya.")</f>
        <v>A Saya ingin menyelesaikan sesuatu yang sangat penting artinya.</v>
      </c>
      <c r="BQ75" s="95" t="str">
        <f>IFERROR(__xludf.DUMMYFUNCTION("""COMPUTED_VALUE"""),"A Saya ingin mengerjakannya tugas sampai selesai.")</f>
        <v>A Saya ingin mengerjakannya tugas sampai selesai.</v>
      </c>
      <c r="BR75" s="95" t="str">
        <f>IFERROR(__xludf.DUMMYFUNCTION("""COMPUTED_VALUE"""),"A Saya suka memaafkan teman-teman saya yang menyakiti hati saya.")</f>
        <v>A Saya suka memaafkan teman-teman saya yang menyakiti hati saya.</v>
      </c>
      <c r="BS75" s="95" t="str">
        <f>IFERROR(__xludf.DUMMYFUNCTION("""COMPUTED_VALUE"""),"B Saya ingin teman-teman saya membantu saya bila saya mengalami kesulitan")</f>
        <v>B Saya ingin teman-teman saya membantu saya bila saya mengalami kesulitan</v>
      </c>
      <c r="BT75" s="95" t="str">
        <f>IFERROR(__xludf.DUMMYFUNCTION("""COMPUTED_VALUE"""),"A Saya ingin teman-teman saya merasa kasihan pada saya apabila saya sakit.")</f>
        <v>A Saya ingin teman-teman saya merasa kasihan pada saya apabila saya sakit.</v>
      </c>
      <c r="BU75" s="95" t="str">
        <f>IFERROR(__xludf.DUMMYFUNCTION("""COMPUTED_VALUE"""),"A Saya kadang-kadang suka melakukan hal-hal yang dapat dipuji oleh orang lain.")</f>
        <v>A Saya kadang-kadang suka melakukan hal-hal yang dapat dipuji oleh orang lain.</v>
      </c>
      <c r="BV75" s="95" t="str">
        <f>IFERROR(__xludf.DUMMYFUNCTION("""COMPUTED_VALUE"""),"B Saya ingin teman-teman dengan gembira memberikan pertolongan kepada saya.")</f>
        <v>B Saya ingin teman-teman dengan gembira memberikan pertolongan kepada saya.</v>
      </c>
      <c r="BW75" s="95" t="str">
        <f>IFERROR(__xludf.DUMMYFUNCTION("""COMPUTED_VALUE"""),"B Saya ingin diperlakukan dengan baik oleh teman-teman saya.")</f>
        <v>B Saya ingin diperlakukan dengan baik oleh teman-teman saya.</v>
      </c>
      <c r="BX75" s="95" t="str">
        <f>IFERROR(__xludf.DUMMYFUNCTION("""COMPUTED_VALUE"""),"B Saya kadang-kadang suka melakukan hal-hal yang dapat dipuji oleh orang lain.")</f>
        <v>B Saya kadang-kadang suka melakukan hal-hal yang dapat dipuji oleh orang lain.</v>
      </c>
      <c r="BY75" s="95" t="str">
        <f>IFERROR(__xludf.DUMMYFUNCTION("""COMPUTED_VALUE"""),"B Saya ingin orang lain memperhatikan dan berkomentar tentang penampilan saya.")</f>
        <v>B Saya ingin orang lain memperhatikan dan berkomentar tentang penampilan saya.</v>
      </c>
      <c r="BZ75" s="95" t="str">
        <f>IFERROR(__xludf.DUMMYFUNCTION("""COMPUTED_VALUE"""),"B Saya suka diperhatikan, apabila saya ada di dalam suatu kelompok.")</f>
        <v>B Saya suka diperhatikan, apabila saya ada di dalam suatu kelompok.</v>
      </c>
      <c r="CA75" s="95" t="str">
        <f>IFERROR(__xludf.DUMMYFUNCTION("""COMPUTED_VALUE"""),"A Saya ingin teman-teman dengan gembira memberikan pertolongan kepada saya.")</f>
        <v>A Saya ingin teman-teman dengan gembira memberikan pertolongan kepada saya.</v>
      </c>
      <c r="CB75" s="95" t="str">
        <f>IFERROR(__xludf.DUMMYFUNCTION("""COMPUTED_VALUE"""),"B Saya suka berbicara tentang hal-hal yang telah saya capai.")</f>
        <v>B Saya suka berbicara tentang hal-hal yang telah saya capai.</v>
      </c>
      <c r="CC75" s="95" t="str">
        <f>IFERROR(__xludf.DUMMYFUNCTION("""COMPUTED_VALUE"""),"A Apabila saya berkumpul dalam kelompok, saya ingin dihargai teman-teman.")</f>
        <v>A Apabila saya berkumpul dalam kelompok, saya ingin dihargai teman-teman.</v>
      </c>
      <c r="CD75" s="95" t="str">
        <f>IFERROR(__xludf.DUMMYFUNCTION("""COMPUTED_VALUE"""),"A Saya suka menyelesaikan setiap tugas meskipun membutuhkan waktu lama.")</f>
        <v>A Saya suka menyelesaikan setiap tugas meskipun membutuhkan waktu lama.</v>
      </c>
      <c r="CE75" s="95" t="str">
        <f>IFERROR(__xludf.DUMMYFUNCTION("""COMPUTED_VALUE"""),"A Saya suka menyelesaikan setiap tugas belajar yang telah saya mulai.")</f>
        <v>A Saya suka menyelesaikan setiap tugas belajar yang telah saya mulai.</v>
      </c>
      <c r="CF75" s="95" t="str">
        <f>IFERROR(__xludf.DUMMYFUNCTION("""COMPUTED_VALUE"""),"A Saya ingin agar hidup saya teratur sesuai cita-cita saya.")</f>
        <v>A Saya ingin agar hidup saya teratur sesuai cita-cita saya.</v>
      </c>
      <c r="CG75" s="95" t="str">
        <f>IFERROR(__xludf.DUMMYFUNCTION("""COMPUTED_VALUE"""),"A Saya ingin berhasil dalam apa yang saya lakukan.")</f>
        <v>A Saya ingin berhasil dalam apa yang saya lakukan.</v>
      </c>
      <c r="CH75" s="95" t="str">
        <f>IFERROR(__xludf.DUMMYFUNCTION("""COMPUTED_VALUE"""),"A Saya ingin bisa melakukan dengan baik sesuatu pekerjaan sulit.")</f>
        <v>A Saya ingin bisa melakukan dengan baik sesuatu pekerjaan sulit.</v>
      </c>
      <c r="CI75" s="95" t="str">
        <f>IFERROR(__xludf.DUMMYFUNCTION("""COMPUTED_VALUE"""),"A Saya suka belajar saya teratur dan ada waktu-waktu tertentu untuk belajar.")</f>
        <v>A Saya suka belajar saya teratur dan ada waktu-waktu tertentu untuk belajar.</v>
      </c>
      <c r="CJ75" s="95" t="str">
        <f>IFERROR(__xludf.DUMMYFUNCTION("""COMPUTED_VALUE"""),"A Saya ingin tidak tergantung dari orang lain terhadap apa yang akan saya lakukan.")</f>
        <v>A Saya ingin tidak tergantung dari orang lain terhadap apa yang akan saya lakukan.</v>
      </c>
      <c r="CK75" s="95" t="str">
        <f>IFERROR(__xludf.DUMMYFUNCTION("""COMPUTED_VALUE"""),"A Saya suka bertahan menghadapi satu masalah, meskipun belum tentu berhasil.")</f>
        <v>A Saya suka bertahan menghadapi satu masalah, meskipun belum tentu berhasil.</v>
      </c>
      <c r="CL75" s="95" t="str">
        <f>IFERROR(__xludf.DUMMYFUNCTION("""COMPUTED_VALUE"""),"A Saya suka menolong teman-teman saya, apabila mereka dalam kesulitan.")</f>
        <v>A Saya suka menolong teman-teman saya, apabila mereka dalam kesulitan.</v>
      </c>
      <c r="CM75" s="95" t="str">
        <f>IFERROR(__xludf.DUMMYFUNCTION("""COMPUTED_VALUE"""),"B Saya merasa kagum pada seseorang.")</f>
        <v>B Saya merasa kagum pada seseorang.</v>
      </c>
      <c r="CN75" s="95" t="str">
        <f>IFERROR(__xludf.DUMMYFUNCTION("""COMPUTED_VALUE"""),"A Saya ingin diperlakukan dengan baik oleh teman-teman saya.")</f>
        <v>A Saya ingin diperlakukan dengan baik oleh teman-teman saya.</v>
      </c>
      <c r="CO75" s="95" t="str">
        <f>IFERROR(__xludf.DUMMYFUNCTION("""COMPUTED_VALUE"""),"B Saya suka memuji orang yang saya kagumi.")</f>
        <v>B Saya suka memuji orang yang saya kagumi.</v>
      </c>
      <c r="CP75" s="95" t="str">
        <f>IFERROR(__xludf.DUMMYFUNCTION("""COMPUTED_VALUE"""),"B Saya ingin dianggap menarik oleh orang lain.")</f>
        <v>B Saya ingin dianggap menarik oleh orang lain.</v>
      </c>
      <c r="CQ75" s="95" t="str">
        <f>IFERROR(__xludf.DUMMYFUNCTION("""COMPUTED_VALUE"""),"B Saya merasa kagum pada seseorang.")</f>
        <v>B Saya merasa kagum pada seseorang.</v>
      </c>
      <c r="CR75" s="95" t="str">
        <f>IFERROR(__xludf.DUMMYFUNCTION("""COMPUTED_VALUE"""),"B Saya rasanya ingin mengecam seseorang bila orang itu menjengkelkan.")</f>
        <v>B Saya rasanya ingin mengecam seseorang bila orang itu menjengkelkan.</v>
      </c>
      <c r="CS75" s="95" t="str">
        <f>IFERROR(__xludf.DUMMYFUNCTION("""COMPUTED_VALUE"""),"A Saya ingin terlihat menarik di depan teman-teman saya.")</f>
        <v>A Saya ingin terlihat menarik di depan teman-teman saya.</v>
      </c>
      <c r="CT75" s="95" t="str">
        <f>IFERROR(__xludf.DUMMYFUNCTION("""COMPUTED_VALUE"""),"A Saya ingin orang-orang memperhatikan komentar mengenai penampilan saya.")</f>
        <v>A Saya ingin orang-orang memperhatikan komentar mengenai penampilan saya.</v>
      </c>
      <c r="CU75" s="95" t="str">
        <f>IFERROR(__xludf.DUMMYFUNCTION("""COMPUTED_VALUE"""),"A Saya ingin diperlakukan dengan ramah oleh teman-teman saya.")</f>
        <v>A Saya ingin diperlakukan dengan ramah oleh teman-teman saya.</v>
      </c>
      <c r="CV75" s="95" t="str">
        <f>IFERROR(__xludf.DUMMYFUNCTION("""COMPUTED_VALUE"""),"A Saya ingin ditunjuk atau dipilih sebagai ketua dalam suatu kelompok.")</f>
        <v>A Saya ingin ditunjuk atau dipilih sebagai ketua dalam suatu kelompok.</v>
      </c>
      <c r="CW75" s="95" t="str">
        <f>IFERROR(__xludf.DUMMYFUNCTION("""COMPUTED_VALUE"""),"A Saya suka menolong teman-teman saya, apabila mereka dalam kesulitan.")</f>
        <v>A Saya suka menolong teman-teman saya, apabila mereka dalam kesulitan.</v>
      </c>
      <c r="CX75" s="95" t="str">
        <f>IFERROR(__xludf.DUMMYFUNCTION("""COMPUTED_VALUE"""),"A Saya suka belajar sampai malam untuk menyelesaikan suatu tugas.")</f>
        <v>A Saya suka belajar sampai malam untuk menyelesaikan suatu tugas.</v>
      </c>
      <c r="CY75" s="95" t="str">
        <f>IFERROR(__xludf.DUMMYFUNCTION("""COMPUTED_VALUE"""),"A Saya ingin tidak tergantung dari orang lain terhadap apa yang akan saya lakukan.")</f>
        <v>A Saya ingin tidak tergantung dari orang lain terhadap apa yang akan saya lakukan.</v>
      </c>
      <c r="CZ75" s="95" t="str">
        <f>IFERROR(__xludf.DUMMYFUNCTION("""COMPUTED_VALUE"""),"A Saya suka merencanakan dan mengatur setiap pekerjaan yang harus saya lakukan.")</f>
        <v>A Saya suka merencanakan dan mengatur setiap pekerjaan yang harus saya lakukan.</v>
      </c>
      <c r="DA75" s="95" t="str">
        <f>IFERROR(__xludf.DUMMYFUNCTION("""COMPUTED_VALUE"""),"A Saya ingin melakukan apa saja sebaik mungkin.")</f>
        <v>A Saya ingin melakukan apa saja sebaik mungkin.</v>
      </c>
      <c r="DB75" s="89" t="s">
        <v>23</v>
      </c>
      <c r="DC75" s="97" t="str">
        <f t="shared" ref="DC75:GX75" si="120">LEFT(F75,1)</f>
        <v>B</v>
      </c>
      <c r="DD75" s="97" t="str">
        <f t="shared" si="120"/>
        <v>A</v>
      </c>
      <c r="DE75" s="97" t="str">
        <f t="shared" si="120"/>
        <v>B</v>
      </c>
      <c r="DF75" s="97" t="str">
        <f t="shared" si="120"/>
        <v>B</v>
      </c>
      <c r="DG75" s="97" t="str">
        <f t="shared" si="120"/>
        <v>A</v>
      </c>
      <c r="DH75" s="97" t="str">
        <f t="shared" si="120"/>
        <v>B</v>
      </c>
      <c r="DI75" s="97" t="str">
        <f t="shared" si="120"/>
        <v>B</v>
      </c>
      <c r="DJ75" s="97" t="str">
        <f t="shared" si="120"/>
        <v>A</v>
      </c>
      <c r="DK75" s="97" t="str">
        <f t="shared" si="120"/>
        <v>B</v>
      </c>
      <c r="DL75" s="97" t="str">
        <f t="shared" si="120"/>
        <v>B</v>
      </c>
      <c r="DM75" s="97" t="str">
        <f t="shared" si="120"/>
        <v>B</v>
      </c>
      <c r="DN75" s="97" t="str">
        <f t="shared" si="120"/>
        <v>B</v>
      </c>
      <c r="DO75" s="97" t="str">
        <f t="shared" si="120"/>
        <v>B</v>
      </c>
      <c r="DP75" s="97" t="str">
        <f t="shared" si="120"/>
        <v>B</v>
      </c>
      <c r="DQ75" s="97" t="str">
        <f t="shared" si="120"/>
        <v>B</v>
      </c>
      <c r="DR75" s="97" t="str">
        <f t="shared" si="120"/>
        <v>A</v>
      </c>
      <c r="DS75" s="97" t="str">
        <f t="shared" si="120"/>
        <v>B</v>
      </c>
      <c r="DT75" s="97" t="str">
        <f t="shared" si="120"/>
        <v>B</v>
      </c>
      <c r="DU75" s="97" t="str">
        <f t="shared" si="120"/>
        <v>B</v>
      </c>
      <c r="DV75" s="97" t="str">
        <f t="shared" si="120"/>
        <v>A</v>
      </c>
      <c r="DW75" s="97" t="str">
        <f t="shared" si="120"/>
        <v>A</v>
      </c>
      <c r="DX75" s="97" t="str">
        <f t="shared" si="120"/>
        <v>A</v>
      </c>
      <c r="DY75" s="97" t="str">
        <f t="shared" si="120"/>
        <v>A</v>
      </c>
      <c r="DZ75" s="97" t="str">
        <f t="shared" si="120"/>
        <v>A</v>
      </c>
      <c r="EA75" s="97" t="str">
        <f t="shared" si="120"/>
        <v>A</v>
      </c>
      <c r="EB75" s="97" t="str">
        <f t="shared" si="120"/>
        <v>A</v>
      </c>
      <c r="EC75" s="97" t="str">
        <f t="shared" si="120"/>
        <v>B</v>
      </c>
      <c r="ED75" s="97" t="str">
        <f t="shared" si="120"/>
        <v>B</v>
      </c>
      <c r="EE75" s="97" t="str">
        <f t="shared" si="120"/>
        <v>B</v>
      </c>
      <c r="EF75" s="97" t="str">
        <f t="shared" si="120"/>
        <v>B</v>
      </c>
      <c r="EG75" s="97" t="str">
        <f t="shared" si="120"/>
        <v>B</v>
      </c>
      <c r="EH75" s="97" t="str">
        <f t="shared" si="120"/>
        <v>B</v>
      </c>
      <c r="EI75" s="97" t="str">
        <f t="shared" si="120"/>
        <v>B</v>
      </c>
      <c r="EJ75" s="97" t="str">
        <f t="shared" si="120"/>
        <v>B</v>
      </c>
      <c r="EK75" s="97" t="str">
        <f t="shared" si="120"/>
        <v>A</v>
      </c>
      <c r="EL75" s="97" t="str">
        <f t="shared" si="120"/>
        <v>B</v>
      </c>
      <c r="EM75" s="97" t="str">
        <f t="shared" si="120"/>
        <v>A</v>
      </c>
      <c r="EN75" s="97" t="str">
        <f t="shared" si="120"/>
        <v>B</v>
      </c>
      <c r="EO75" s="97" t="str">
        <f t="shared" si="120"/>
        <v>B</v>
      </c>
      <c r="EP75" s="97" t="str">
        <f t="shared" si="120"/>
        <v>A</v>
      </c>
      <c r="EQ75" s="97" t="str">
        <f t="shared" si="120"/>
        <v>A</v>
      </c>
      <c r="ER75" s="97" t="str">
        <f t="shared" si="120"/>
        <v>B</v>
      </c>
      <c r="ES75" s="97" t="str">
        <f t="shared" si="120"/>
        <v>B</v>
      </c>
      <c r="ET75" s="97" t="str">
        <f t="shared" si="120"/>
        <v>A</v>
      </c>
      <c r="EU75" s="97" t="str">
        <f t="shared" si="120"/>
        <v>A</v>
      </c>
      <c r="EV75" s="97" t="str">
        <f t="shared" si="120"/>
        <v>B</v>
      </c>
      <c r="EW75" s="97" t="str">
        <f t="shared" si="120"/>
        <v>B</v>
      </c>
      <c r="EX75" s="97" t="str">
        <f t="shared" si="120"/>
        <v>B</v>
      </c>
      <c r="EY75" s="97" t="str">
        <f t="shared" si="120"/>
        <v>B</v>
      </c>
      <c r="EZ75" s="97" t="str">
        <f t="shared" si="120"/>
        <v>B</v>
      </c>
      <c r="FA75" s="97" t="str">
        <f t="shared" si="120"/>
        <v>B</v>
      </c>
      <c r="FB75" s="97" t="str">
        <f t="shared" si="120"/>
        <v>B</v>
      </c>
      <c r="FC75" s="97" t="str">
        <f t="shared" si="120"/>
        <v>B</v>
      </c>
      <c r="FD75" s="97" t="str">
        <f t="shared" si="120"/>
        <v>B</v>
      </c>
      <c r="FE75" s="97" t="str">
        <f t="shared" si="120"/>
        <v>A</v>
      </c>
      <c r="FF75" s="97" t="str">
        <f t="shared" si="120"/>
        <v>A</v>
      </c>
      <c r="FG75" s="97" t="str">
        <f t="shared" si="120"/>
        <v>A</v>
      </c>
      <c r="FH75" s="97" t="str">
        <f t="shared" si="120"/>
        <v>A</v>
      </c>
      <c r="FI75" s="97" t="str">
        <f t="shared" si="120"/>
        <v>A</v>
      </c>
      <c r="FJ75" s="97" t="str">
        <f t="shared" si="120"/>
        <v>A</v>
      </c>
      <c r="FK75" s="97" t="str">
        <f t="shared" si="120"/>
        <v>A</v>
      </c>
      <c r="FL75" s="97" t="str">
        <f t="shared" si="120"/>
        <v>A</v>
      </c>
      <c r="FM75" s="97" t="str">
        <f t="shared" si="120"/>
        <v>A</v>
      </c>
      <c r="FN75" s="97" t="str">
        <f t="shared" si="120"/>
        <v>A</v>
      </c>
      <c r="FO75" s="97" t="str">
        <f t="shared" si="120"/>
        <v>A</v>
      </c>
      <c r="FP75" s="97" t="str">
        <f t="shared" si="120"/>
        <v>B</v>
      </c>
      <c r="FQ75" s="97" t="str">
        <f t="shared" si="120"/>
        <v>A</v>
      </c>
      <c r="FR75" s="97" t="str">
        <f t="shared" si="120"/>
        <v>A</v>
      </c>
      <c r="FS75" s="97" t="str">
        <f t="shared" si="120"/>
        <v>B</v>
      </c>
      <c r="FT75" s="97" t="str">
        <f t="shared" si="120"/>
        <v>B</v>
      </c>
      <c r="FU75" s="97" t="str">
        <f t="shared" si="120"/>
        <v>B</v>
      </c>
      <c r="FV75" s="97" t="str">
        <f t="shared" si="120"/>
        <v>B</v>
      </c>
      <c r="FW75" s="97" t="str">
        <f t="shared" si="120"/>
        <v>B</v>
      </c>
      <c r="FX75" s="97" t="str">
        <f t="shared" si="120"/>
        <v>A</v>
      </c>
      <c r="FY75" s="97" t="str">
        <f t="shared" si="120"/>
        <v>B</v>
      </c>
      <c r="FZ75" s="97" t="str">
        <f t="shared" si="120"/>
        <v>A</v>
      </c>
      <c r="GA75" s="97" t="str">
        <f t="shared" si="120"/>
        <v>A</v>
      </c>
      <c r="GB75" s="97" t="str">
        <f t="shared" si="120"/>
        <v>A</v>
      </c>
      <c r="GC75" s="97" t="str">
        <f t="shared" si="120"/>
        <v>A</v>
      </c>
      <c r="GD75" s="97" t="str">
        <f t="shared" si="120"/>
        <v>A</v>
      </c>
      <c r="GE75" s="97" t="str">
        <f t="shared" si="120"/>
        <v>A</v>
      </c>
      <c r="GF75" s="97" t="str">
        <f t="shared" si="120"/>
        <v>A</v>
      </c>
      <c r="GG75" s="97" t="str">
        <f t="shared" si="120"/>
        <v>A</v>
      </c>
      <c r="GH75" s="97" t="str">
        <f t="shared" si="120"/>
        <v>A</v>
      </c>
      <c r="GI75" s="97" t="str">
        <f t="shared" si="120"/>
        <v>A</v>
      </c>
      <c r="GJ75" s="97" t="str">
        <f t="shared" si="120"/>
        <v>B</v>
      </c>
      <c r="GK75" s="97" t="str">
        <f t="shared" si="120"/>
        <v>A</v>
      </c>
      <c r="GL75" s="97" t="str">
        <f t="shared" si="120"/>
        <v>B</v>
      </c>
      <c r="GM75" s="97" t="str">
        <f t="shared" si="120"/>
        <v>B</v>
      </c>
      <c r="GN75" s="97" t="str">
        <f t="shared" si="120"/>
        <v>B</v>
      </c>
      <c r="GO75" s="97" t="str">
        <f t="shared" si="120"/>
        <v>B</v>
      </c>
      <c r="GP75" s="97" t="str">
        <f t="shared" si="120"/>
        <v>A</v>
      </c>
      <c r="GQ75" s="97" t="str">
        <f t="shared" si="120"/>
        <v>A</v>
      </c>
      <c r="GR75" s="97" t="str">
        <f t="shared" si="120"/>
        <v>A</v>
      </c>
      <c r="GS75" s="97" t="str">
        <f t="shared" si="120"/>
        <v>A</v>
      </c>
      <c r="GT75" s="97" t="str">
        <f t="shared" si="120"/>
        <v>A</v>
      </c>
      <c r="GU75" s="97" t="str">
        <f t="shared" si="120"/>
        <v>A</v>
      </c>
      <c r="GV75" s="97" t="str">
        <f t="shared" si="120"/>
        <v>A</v>
      </c>
      <c r="GW75" s="97" t="str">
        <f t="shared" si="120"/>
        <v>A</v>
      </c>
      <c r="GX75" s="97" t="str">
        <f t="shared" si="120"/>
        <v>A</v>
      </c>
      <c r="GY75" s="98"/>
      <c r="GZ75" s="97">
        <f t="shared" si="3"/>
        <v>51</v>
      </c>
      <c r="HA75" s="97">
        <f t="shared" si="4"/>
        <v>49</v>
      </c>
      <c r="HB75" s="90">
        <f t="shared" si="5"/>
        <v>100</v>
      </c>
      <c r="HC75" s="99"/>
      <c r="HD75" s="97">
        <f t="shared" si="6"/>
        <v>9</v>
      </c>
      <c r="HE75" s="97">
        <f t="shared" si="7"/>
        <v>6</v>
      </c>
      <c r="HF75" s="90">
        <f t="shared" si="8"/>
        <v>15</v>
      </c>
      <c r="HG75" s="99"/>
      <c r="HH75" s="97">
        <f t="shared" si="9"/>
        <v>7</v>
      </c>
      <c r="HI75" s="97">
        <f t="shared" si="10"/>
        <v>8</v>
      </c>
      <c r="HJ75" s="90">
        <f t="shared" si="11"/>
        <v>15</v>
      </c>
      <c r="HK75" s="99"/>
      <c r="HL75" s="97">
        <f t="shared" si="12"/>
        <v>5</v>
      </c>
      <c r="HM75" s="97">
        <f t="shared" si="13"/>
        <v>4</v>
      </c>
      <c r="HN75" s="90">
        <f t="shared" si="14"/>
        <v>9</v>
      </c>
      <c r="HO75" s="99"/>
      <c r="HP75" s="97">
        <f t="shared" si="15"/>
        <v>7</v>
      </c>
      <c r="HQ75" s="97">
        <f t="shared" si="16"/>
        <v>7</v>
      </c>
      <c r="HR75" s="90">
        <f t="shared" si="17"/>
        <v>14</v>
      </c>
      <c r="HS75" s="99"/>
      <c r="HT75" s="97">
        <f t="shared" si="18"/>
        <v>8</v>
      </c>
      <c r="HU75" s="97">
        <f t="shared" si="19"/>
        <v>7</v>
      </c>
      <c r="HV75" s="90">
        <f t="shared" si="20"/>
        <v>15</v>
      </c>
      <c r="HW75" s="99"/>
      <c r="HX75" s="97">
        <f t="shared" si="21"/>
        <v>3</v>
      </c>
      <c r="HY75" s="97">
        <f t="shared" si="22"/>
        <v>4</v>
      </c>
      <c r="HZ75" s="90">
        <f t="shared" si="23"/>
        <v>7</v>
      </c>
      <c r="IA75" s="99"/>
      <c r="IB75" s="97">
        <f t="shared" si="24"/>
        <v>3</v>
      </c>
      <c r="IC75" s="97">
        <f t="shared" si="25"/>
        <v>3</v>
      </c>
      <c r="ID75" s="90">
        <f t="shared" si="26"/>
        <v>6</v>
      </c>
      <c r="IE75" s="99"/>
      <c r="IF75" s="97">
        <f t="shared" si="27"/>
        <v>3</v>
      </c>
      <c r="IG75" s="97">
        <f t="shared" si="28"/>
        <v>4</v>
      </c>
      <c r="IH75" s="90">
        <f t="shared" si="29"/>
        <v>7</v>
      </c>
      <c r="II75" s="99"/>
      <c r="IJ75" s="97">
        <f t="shared" si="30"/>
        <v>1</v>
      </c>
      <c r="IK75" s="97">
        <f t="shared" si="31"/>
        <v>4</v>
      </c>
      <c r="IL75" s="90">
        <f t="shared" si="32"/>
        <v>5</v>
      </c>
      <c r="IM75" s="99"/>
      <c r="IN75" s="97">
        <f t="shared" si="33"/>
        <v>0</v>
      </c>
      <c r="IO75" s="97">
        <f t="shared" si="34"/>
        <v>1</v>
      </c>
      <c r="IP75" s="90">
        <f t="shared" si="35"/>
        <v>1</v>
      </c>
      <c r="IQ75" s="99"/>
      <c r="IR75" s="99"/>
      <c r="IS75" s="100">
        <f t="shared" si="36"/>
        <v>15</v>
      </c>
      <c r="IT75" s="100">
        <f t="shared" si="37"/>
        <v>15</v>
      </c>
      <c r="IU75" s="100">
        <f t="shared" si="38"/>
        <v>9</v>
      </c>
      <c r="IV75" s="100">
        <f t="shared" si="39"/>
        <v>14</v>
      </c>
      <c r="IW75" s="100">
        <f t="shared" si="40"/>
        <v>15</v>
      </c>
      <c r="IX75" s="100">
        <f t="shared" si="41"/>
        <v>7</v>
      </c>
      <c r="IY75" s="100">
        <f t="shared" si="42"/>
        <v>6</v>
      </c>
      <c r="IZ75" s="100">
        <f t="shared" si="43"/>
        <v>7</v>
      </c>
      <c r="JA75" s="100">
        <f t="shared" si="44"/>
        <v>5</v>
      </c>
      <c r="JB75" s="101">
        <f t="shared" si="45"/>
        <v>1</v>
      </c>
      <c r="JC75" s="102">
        <f t="shared" si="46"/>
        <v>94</v>
      </c>
      <c r="JD75" s="67">
        <f t="shared" si="50"/>
        <v>0</v>
      </c>
      <c r="JE75" s="67">
        <f t="shared" si="47"/>
        <v>0</v>
      </c>
      <c r="JF75" s="67">
        <f t="shared" si="48"/>
        <v>0</v>
      </c>
    </row>
    <row r="76">
      <c r="A76" s="103">
        <f>IFERROR(__xludf.DUMMYFUNCTION("""COMPUTED_VALUE"""),45936.64880601852)</f>
        <v>45936.64881</v>
      </c>
      <c r="B76" s="95" t="str">
        <f>IFERROR(__xludf.DUMMYFUNCTION("""COMPUTED_VALUE"""),"Suhail Aiman")</f>
        <v>Suhail Aiman</v>
      </c>
      <c r="C76" s="96" t="str">
        <f>IFERROR(__xludf.DUMMYFUNCTION("""COMPUTED_VALUE"""),"A250045")</f>
        <v>A250045</v>
      </c>
      <c r="D76" s="96" t="str">
        <f>IFERROR(__xludf.DUMMYFUNCTION("""COMPUTED_VALUE"""),"MTs Putra")</f>
        <v>MTs Putra</v>
      </c>
      <c r="E76" s="96" t="str">
        <f>IFERROR(__xludf.DUMMYFUNCTION("""COMPUTED_VALUE"""),"Ya")</f>
        <v>Ya</v>
      </c>
      <c r="F76" s="95" t="str">
        <f>IFERROR(__xludf.DUMMYFUNCTION("""COMPUTED_VALUE"""),"B Saya ingin melakukan apa saja sebaik mungkin.")</f>
        <v>B Saya ingin melakukan apa saja sebaik mungkin.</v>
      </c>
      <c r="G76" s="95" t="str">
        <f>IFERROR(__xludf.DUMMYFUNCTION("""COMPUTED_VALUE"""),"A Saya ingin setiap tulisan saya teliti, rapi, dan tersusun dengan baik.")</f>
        <v>A Saya ingin setiap tulisan saya teliti, rapi, dan tersusun dengan baik.</v>
      </c>
      <c r="H76" s="95" t="str">
        <f>IFERROR(__xludf.DUMMYFUNCTION("""COMPUTED_VALUE"""),"A Saya ingin berbuat sesuai kata hati saya.")</f>
        <v>A Saya ingin berbuat sesuai kata hati saya.</v>
      </c>
      <c r="I76" s="95" t="str">
        <f>IFERROR(__xludf.DUMMYFUNCTION("""COMPUTED_VALUE"""),"B Saya ingin bisa melakukan dengan baik meskipun tugas yang sulit.")</f>
        <v>B Saya ingin bisa melakukan dengan baik meskipun tugas yang sulit.</v>
      </c>
      <c r="J76" s="95" t="str">
        <f>IFERROR(__xludf.DUMMYFUNCTION("""COMPUTED_VALUE"""),"A Saya suka membantu teman-teman saya apabila mereka mengalami kesulitan.")</f>
        <v>A Saya suka membantu teman-teman saya apabila mereka mengalami kesulitan.</v>
      </c>
      <c r="K76" s="95" t="str">
        <f>IFERROR(__xludf.DUMMYFUNCTION("""COMPUTED_VALUE"""),"A Saya ingin menjadi pemimpin dalam suatu kelompok.")</f>
        <v>A Saya ingin menjadi pemimpin dalam suatu kelompok.</v>
      </c>
      <c r="L76" s="95" t="str">
        <f>IFERROR(__xludf.DUMMYFUNCTION("""COMPUTED_VALUE"""),"A Saya ingin menjadi pemimpin dalam suatu kelompok")</f>
        <v>A Saya ingin menjadi pemimpin dalam suatu kelompok</v>
      </c>
      <c r="M76" s="95" t="str">
        <f>IFERROR(__xludf.DUMMYFUNCTION("""COMPUTED_VALUE"""),"A Saya suka berbicara tentang hal-hal yang telah berhasil saya lakukan.")</f>
        <v>A Saya suka berbicara tentang hal-hal yang telah berhasil saya lakukan.</v>
      </c>
      <c r="N76" s="95" t="str">
        <f>IFERROR(__xludf.DUMMYFUNCTION("""COMPUTED_VALUE"""),"B Saya suka memecahkan persoalan yang sukar bagi orang lain.")</f>
        <v>B Saya suka memecahkan persoalan yang sukar bagi orang lain.</v>
      </c>
      <c r="O76" s="95" t="str">
        <f>IFERROR(__xludf.DUMMYFUNCTION("""COMPUTED_VALUE"""),"B Saya suka melakukan tugas sebaik mungkin.")</f>
        <v>B Saya suka melakukan tugas sebaik mungkin.</v>
      </c>
      <c r="P76" s="95" t="str">
        <f>IFERROR(__xludf.DUMMYFUNCTION("""COMPUTED_VALUE"""),"A Saya suka bercerita tentang hal-hal yang menegangkan atau menantang.")</f>
        <v>A Saya suka bercerita tentang hal-hal yang menegangkan atau menantang.</v>
      </c>
      <c r="Q76" s="95" t="str">
        <f>IFERROR(__xludf.DUMMYFUNCTION("""COMPUTED_VALUE"""),"B Saya merencanakan keperluan yang dibutuhkan sebelum bepergian.")</f>
        <v>B Saya merencanakan keperluan yang dibutuhkan sebelum bepergian.</v>
      </c>
      <c r="R76" s="95" t="str">
        <f>IFERROR(__xludf.DUMMYFUNCTION("""COMPUTED_VALUE"""),"B Saya suka barang-barang saya tersusun rapi dan teratur.")</f>
        <v>B Saya suka barang-barang saya tersusun rapi dan teratur.</v>
      </c>
      <c r="S76" s="95" t="str">
        <f>IFERROR(__xludf.DUMMYFUNCTION("""COMPUTED_VALUE"""),"B Saya suka membuat perencanaan sebelum memulai tugas yang sulit.")</f>
        <v>B Saya suka membuat perencanaan sebelum memulai tugas yang sulit.</v>
      </c>
      <c r="T76" s="95" t="str">
        <f>IFERROR(__xludf.DUMMYFUNCTION("""COMPUTED_VALUE"""),"B Saya ingin agar hidup saya teratur sesuai cita-cita saya.")</f>
        <v>B Saya ingin agar hidup saya teratur sesuai cita-cita saya.</v>
      </c>
      <c r="U76" s="95" t="str">
        <f>IFERROR(__xludf.DUMMYFUNCTION("""COMPUTED_VALUE"""),"A Saya suka memberikan bantuan kepada teman-teman saya.")</f>
        <v>A Saya suka memberikan bantuan kepada teman-teman saya.</v>
      </c>
      <c r="V76" s="95" t="str">
        <f>IFERROR(__xludf.DUMMYFUNCTION("""COMPUTED_VALUE"""),"B Saya suka belajar saya teratur dan ada waktu-waktu tertentu untuk belajar.")</f>
        <v>B Saya suka belajar saya teratur dan ada waktu-waktu tertentu untuk belajar.</v>
      </c>
      <c r="W76" s="95" t="str">
        <f>IFERROR(__xludf.DUMMYFUNCTION("""COMPUTED_VALUE"""),"B Saya ingin kegiatan itu teratur dan direncanakan.")</f>
        <v>B Saya ingin kegiatan itu teratur dan direncanakan.</v>
      </c>
      <c r="X76" s="95" t="str">
        <f>IFERROR(__xludf.DUMMYFUNCTION("""COMPUTED_VALUE"""),"B Saya ingin agar hidup saya teratur sesuai cita-cita saya.")</f>
        <v>B Saya ingin agar hidup saya teratur sesuai cita-cita saya.</v>
      </c>
      <c r="Y76" s="95" t="str">
        <f>IFERROR(__xludf.DUMMYFUNCTION("""COMPUTED_VALUE"""),"B Saya senang merencanakan untuk masa depan.")</f>
        <v>B Saya senang merencanakan untuk masa depan.</v>
      </c>
      <c r="Z76" s="95" t="str">
        <f>IFERROR(__xludf.DUMMYFUNCTION("""COMPUTED_VALUE"""),"A Saya ingin berhasil dengan belajar yang saya lakukan.")</f>
        <v>A Saya ingin berhasil dengan belajar yang saya lakukan.</v>
      </c>
      <c r="AA76" s="95" t="str">
        <f>IFERROR(__xludf.DUMMYFUNCTION("""COMPUTED_VALUE"""),"B Saya tidak suka pada orang yang berbuat seenaknya sendiri.")</f>
        <v>B Saya tidak suka pada orang yang berbuat seenaknya sendiri.</v>
      </c>
      <c r="AB76" s="95" t="str">
        <f>IFERROR(__xludf.DUMMYFUNCTION("""COMPUTED_VALUE"""),"A Saya ingin tidak tergantung dari orang lain terhadap apa yang akan saya lakukan.")</f>
        <v>A Saya ingin tidak tergantung dari orang lain terhadap apa yang akan saya lakukan.</v>
      </c>
      <c r="AC76" s="95" t="str">
        <f>IFERROR(__xludf.DUMMYFUNCTION("""COMPUTED_VALUE"""),"A Saya suka menyelesaikan setiap tugas meskipun membutuhkan waktu lama.")</f>
        <v>A Saya suka menyelesaikan setiap tugas meskipun membutuhkan waktu lama.</v>
      </c>
      <c r="AD76" s="95" t="str">
        <f>IFERROR(__xludf.DUMMYFUNCTION("""COMPUTED_VALUE"""),"A Saya suka bermurah hati terhadap teman-teman saya.")</f>
        <v>A Saya suka bermurah hati terhadap teman-teman saya.</v>
      </c>
      <c r="AE76" s="95" t="str">
        <f>IFERROR(__xludf.DUMMYFUNCTION("""COMPUTED_VALUE"""),"A Saya ingin dianggap sebagai pemimpin oleh teman di kelompok.")</f>
        <v>A Saya ingin dianggap sebagai pemimpin oleh teman di kelompok.</v>
      </c>
      <c r="AF76" s="95" t="str">
        <f>IFERROR(__xludf.DUMMYFUNCTION("""COMPUTED_VALUE"""),"B Saya suka melakukan hal-hal dengan cara saya sendiri.")</f>
        <v>B Saya suka melakukan hal-hal dengan cara saya sendiri.</v>
      </c>
      <c r="AG76" s="95" t="str">
        <f>IFERROR(__xludf.DUMMYFUNCTION("""COMPUTED_VALUE"""),"A Saya mengajari orang lain bagaimana mereka harus melakukan pekerjaan mereka.")</f>
        <v>A Saya mengajari orang lain bagaimana mereka harus melakukan pekerjaan mereka.</v>
      </c>
      <c r="AH76" s="95" t="str">
        <f>IFERROR(__xludf.DUMMYFUNCTION("""COMPUTED_VALUE"""),"B Saya ingin merasa bebas untuk melakukan apa yang saya kehendaki.")</f>
        <v>B Saya ingin merasa bebas untuk melakukan apa yang saya kehendaki.</v>
      </c>
      <c r="AI76" s="95" t="str">
        <f>IFERROR(__xludf.DUMMYFUNCTION("""COMPUTED_VALUE"""),"B Saya suka melakukan kegiatan sesuai kondisi yang saya inginkan.")</f>
        <v>B Saya suka melakukan kegiatan sesuai kondisi yang saya inginkan.</v>
      </c>
      <c r="AJ76" s="95" t="str">
        <f>IFERROR(__xludf.DUMMYFUNCTION("""COMPUTED_VALUE"""),"B Saya suka bertahan menghadapi satu masalah meskipun belum tentu berhasil.")</f>
        <v>B Saya suka bertahan menghadapi satu masalah meskipun belum tentu berhasil.</v>
      </c>
      <c r="AK76" s="95" t="str">
        <f>IFERROR(__xludf.DUMMYFUNCTION("""COMPUTED_VALUE"""),"B Bila saya harus melakukan suatu tugas, saya ingin mengerjakan sampai selesai.")</f>
        <v>B Bila saya harus melakukan suatu tugas, saya ingin mengerjakan sampai selesai.</v>
      </c>
      <c r="AL76" s="95" t="str">
        <f>IFERROR(__xludf.DUMMYFUNCTION("""COMPUTED_VALUE"""),"B Saya ingin menghindarkan gangguan bila saya sedang belajar.")</f>
        <v>B Saya ingin menghindarkan gangguan bila saya sedang belajar.</v>
      </c>
      <c r="AM76" s="95" t="str">
        <f>IFERROR(__xludf.DUMMYFUNCTION("""COMPUTED_VALUE"""),"B Saya suka belajar sampai malam untuk menyelesaikan suatu tugas.")</f>
        <v>B Saya suka belajar sampai malam untuk menyelesaikan suatu tugas.</v>
      </c>
      <c r="AN76" s="95" t="str">
        <f>IFERROR(__xludf.DUMMYFUNCTION("""COMPUTED_VALUE"""),"A Saya tidak suka pada orang yang semena-mena.")</f>
        <v>A Saya tidak suka pada orang yang semena-mena.</v>
      </c>
      <c r="AO76" s="95" t="str">
        <f>IFERROR(__xludf.DUMMYFUNCTION("""COMPUTED_VALUE"""),"A Saya suka berlaku sangat ramah terhadap teman-teman saya.")</f>
        <v>A Saya suka berlaku sangat ramah terhadap teman-teman saya.</v>
      </c>
      <c r="AP76" s="95" t="str">
        <f>IFERROR(__xludf.DUMMYFUNCTION("""COMPUTED_VALUE"""),"B Saya suka bertahan menghadapi satu masalah meskipun belum tentu berhasil.")</f>
        <v>B Saya suka bertahan menghadapi satu masalah meskipun belum tentu berhasil.</v>
      </c>
      <c r="AQ76" s="95" t="str">
        <f>IFERROR(__xludf.DUMMYFUNCTION("""COMPUTED_VALUE"""),"B Bila saya harus melakukan suatu tugas, saya ingin mengerjakan sampai selesai.")</f>
        <v>B Bila saya harus melakukan suatu tugas, saya ingin mengerjakan sampai selesai.</v>
      </c>
      <c r="AR76" s="95" t="str">
        <f>IFERROR(__xludf.DUMMYFUNCTION("""COMPUTED_VALUE"""),"B Saya suka belajar keras pada tiap pelajaran yang saya hadapi.")</f>
        <v>B Saya suka belajar keras pada tiap pelajaran yang saya hadapi.</v>
      </c>
      <c r="AS76" s="95" t="str">
        <f>IFERROR(__xludf.DUMMYFUNCTION("""COMPUTED_VALUE"""),"B Saya suka belajar sampai malam untuk menyelesaikan suatu tugas.")</f>
        <v>B Saya suka belajar sampai malam untuk menyelesaikan suatu tugas.</v>
      </c>
      <c r="AT76" s="95" t="str">
        <f>IFERROR(__xludf.DUMMYFUNCTION("""COMPUTED_VALUE"""),"B Saya suka membantu orang lain yang menurut saya perlu dikasihani.")</f>
        <v>B Saya suka membantu orang lain yang menurut saya perlu dikasihani.</v>
      </c>
      <c r="AU76" s="95" t="str">
        <f>IFERROR(__xludf.DUMMYFUNCTION("""COMPUTED_VALUE"""),"A Saya ingin menyelesaikan pekerjaan satu persatu sebelum memulai yang lain.")</f>
        <v>A Saya ingin menyelesaikan pekerjaan satu persatu sebelum memulai yang lain.</v>
      </c>
      <c r="AV76" s="95" t="str">
        <f>IFERROR(__xludf.DUMMYFUNCTION("""COMPUTED_VALUE"""),"B Saya suka menolong teman-teman saya.")</f>
        <v>B Saya suka menolong teman-teman saya.</v>
      </c>
      <c r="AW76" s="95" t="str">
        <f>IFERROR(__xludf.DUMMYFUNCTION("""COMPUTED_VALUE"""),"A Saya ingin mengerjakan tugas sampai selesai.")</f>
        <v>A Saya ingin mengerjakan tugas sampai selesai.</v>
      </c>
      <c r="AX76" s="95" t="str">
        <f>IFERROR(__xludf.DUMMYFUNCTION("""COMPUTED_VALUE"""),"B Saya suka memaafkan teman-teman saya yang menyakiti hati saya.")</f>
        <v>B Saya suka memaafkan teman-teman saya yang menyakiti hati saya.</v>
      </c>
      <c r="AY76" s="95" t="str">
        <f>IFERROR(__xludf.DUMMYFUNCTION("""COMPUTED_VALUE"""),"B Saya suka menolong teman-teman saya apabila mereka dalam kesulitan.")</f>
        <v>B Saya suka menolong teman-teman saya apabila mereka dalam kesulitan.</v>
      </c>
      <c r="AZ76" s="95" t="str">
        <f>IFERROR(__xludf.DUMMYFUNCTION("""COMPUTED_VALUE"""),"B Saya suka menunjukkan simpati saya kepada teman-teman saya.")</f>
        <v>B Saya suka menunjukkan simpati saya kepada teman-teman saya.</v>
      </c>
      <c r="BA76" s="95" t="str">
        <f>IFERROR(__xludf.DUMMYFUNCTION("""COMPUTED_VALUE"""),"B Saya suka memperlakukan orang lain dengan baik dan ramah.")</f>
        <v>B Saya suka memperlakukan orang lain dengan baik dan ramah.</v>
      </c>
      <c r="BB76" s="95" t="str">
        <f>IFERROR(__xludf.DUMMYFUNCTION("""COMPUTED_VALUE"""),"B Saya suka bermurah hati terhadap teman-teman saya.")</f>
        <v>B Saya suka bermurah hati terhadap teman-teman saya.</v>
      </c>
      <c r="BC76" s="95" t="str">
        <f>IFERROR(__xludf.DUMMYFUNCTION("""COMPUTED_VALUE"""),"B Saya suka membantu orang lain yang menurut saya perlu dikasihani.")</f>
        <v>B Saya suka membantu orang lain yang menurut saya perlu dikasihani.</v>
      </c>
      <c r="BD76" s="95" t="str">
        <f>IFERROR(__xludf.DUMMYFUNCTION("""COMPUTED_VALUE"""),"B Saya suka bersikukuh dengan pendirian saya.")</f>
        <v>B Saya suka bersikukuh dengan pendirian saya.</v>
      </c>
      <c r="BE76" s="95" t="str">
        <f>IFERROR(__xludf.DUMMYFUNCTION("""COMPUTED_VALUE"""),"B Saya ingin orang lain melakukan apa yang saya kehendaki.")</f>
        <v>B Saya ingin orang lain melakukan apa yang saya kehendaki.</v>
      </c>
      <c r="BF76" s="95" t="str">
        <f>IFERROR(__xludf.DUMMYFUNCTION("""COMPUTED_VALUE"""),"B Bila saya dalam kelompok, saya ingin menentukan apa yang akan kita lakukan.")</f>
        <v>B Bila saya dalam kelompok, saya ingin menentukan apa yang akan kita lakukan.</v>
      </c>
      <c r="BG76" s="95" t="str">
        <f>IFERROR(__xludf.DUMMYFUNCTION("""COMPUTED_VALUE"""),"B Saya suka mengarahkan kepada orang lain apa yang harus dilakukan.")</f>
        <v>B Saya suka mengarahkan kepada orang lain apa yang harus dilakukan.</v>
      </c>
      <c r="BH76" s="95" t="str">
        <f>IFERROR(__xludf.DUMMYFUNCTION("""COMPUTED_VALUE"""),"B Apabila saya berkumpul dalam kelompok, saya ingin dihargai teman-teman.")</f>
        <v>B Apabila saya berkumpul dalam kelompok, saya ingin dihargai teman-teman.</v>
      </c>
      <c r="BI76" s="95" t="str">
        <f>IFERROR(__xludf.DUMMYFUNCTION("""COMPUTED_VALUE"""),"A Saya suka bermurah hati terhadap teman-teman saya.")</f>
        <v>A Saya suka bermurah hati terhadap teman-teman saya.</v>
      </c>
      <c r="BJ76" s="95" t="str">
        <f>IFERROR(__xludf.DUMMYFUNCTION("""COMPUTED_VALUE"""),"A Saya ingin mengerjakan tugas sampai selesai.")</f>
        <v>A Saya ingin mengerjakan tugas sampai selesai.</v>
      </c>
      <c r="BK76" s="95" t="str">
        <f>IFERROR(__xludf.DUMMYFUNCTION("""COMPUTED_VALUE"""),"B Saya senang untuk diminta menyelesaikan pertentangan-pertentangan.")</f>
        <v>B Saya senang untuk diminta menyelesaikan pertentangan-pertentangan.</v>
      </c>
      <c r="BL76" s="95" t="str">
        <f>IFERROR(__xludf.DUMMYFUNCTION("""COMPUTED_VALUE"""),"A Saya suka belajar saya teratur dan ada waktu-waktu tertentu untuk belajar.")</f>
        <v>A Saya suka belajar saya teratur dan ada waktu-waktu tertentu untuk belajar.</v>
      </c>
      <c r="BM76" s="95" t="str">
        <f>IFERROR(__xludf.DUMMYFUNCTION("""COMPUTED_VALUE"""),"A Saya suka melakukan pekerjaan sebaik mungkin.")</f>
        <v>A Saya suka melakukan pekerjaan sebaik mungkin.</v>
      </c>
      <c r="BN76" s="95" t="str">
        <f>IFERROR(__xludf.DUMMYFUNCTION("""COMPUTED_VALUE"""),"A Saya suka mengerjakan teka-teki atau memecahkan persoalan sampai selesai.")</f>
        <v>A Saya suka mengerjakan teka-teki atau memecahkan persoalan sampai selesai.</v>
      </c>
      <c r="BO76" s="95" t="str">
        <f>IFERROR(__xludf.DUMMYFUNCTION("""COMPUTED_VALUE"""),"A Saya suka membuat perencanaan sebelum memulai belajar yang sulit.")</f>
        <v>A Saya suka membuat perencanaan sebelum memulai belajar yang sulit.</v>
      </c>
      <c r="BP76" s="95" t="str">
        <f>IFERROR(__xludf.DUMMYFUNCTION("""COMPUTED_VALUE"""),"A Saya ingin menyelesaikan sesuatu yang sangat penting artinya.")</f>
        <v>A Saya ingin menyelesaikan sesuatu yang sangat penting artinya.</v>
      </c>
      <c r="BQ76" s="95" t="str">
        <f>IFERROR(__xludf.DUMMYFUNCTION("""COMPUTED_VALUE"""),"A Saya ingin mengerjakannya tugas sampai selesai.")</f>
        <v>A Saya ingin mengerjakannya tugas sampai selesai.</v>
      </c>
      <c r="BR76" s="95" t="str">
        <f>IFERROR(__xludf.DUMMYFUNCTION("""COMPUTED_VALUE"""),"A Saya suka memaafkan teman-teman saya yang menyakiti hati saya.")</f>
        <v>A Saya suka memaafkan teman-teman saya yang menyakiti hati saya.</v>
      </c>
      <c r="BS76" s="95" t="str">
        <f>IFERROR(__xludf.DUMMYFUNCTION("""COMPUTED_VALUE"""),"B Saya ingin teman-teman saya membantu saya bila saya mengalami kesulitan")</f>
        <v>B Saya ingin teman-teman saya membantu saya bila saya mengalami kesulitan</v>
      </c>
      <c r="BT76" s="95" t="str">
        <f>IFERROR(__xludf.DUMMYFUNCTION("""COMPUTED_VALUE"""),"A Saya ingin teman-teman saya merasa kasihan pada saya apabila saya sakit.")</f>
        <v>A Saya ingin teman-teman saya merasa kasihan pada saya apabila saya sakit.</v>
      </c>
      <c r="BU76" s="95" t="str">
        <f>IFERROR(__xludf.DUMMYFUNCTION("""COMPUTED_VALUE"""),"A Saya kadang-kadang suka melakukan hal-hal yang dapat dipuji oleh orang lain.")</f>
        <v>A Saya kadang-kadang suka melakukan hal-hal yang dapat dipuji oleh orang lain.</v>
      </c>
      <c r="BV76" s="95" t="str">
        <f>IFERROR(__xludf.DUMMYFUNCTION("""COMPUTED_VALUE"""),"B Saya ingin teman-teman dengan gembira memberikan pertolongan kepada saya.")</f>
        <v>B Saya ingin teman-teman dengan gembira memberikan pertolongan kepada saya.</v>
      </c>
      <c r="BW76" s="95" t="str">
        <f>IFERROR(__xludf.DUMMYFUNCTION("""COMPUTED_VALUE"""),"B Saya ingin diperlakukan dengan baik oleh teman-teman saya.")</f>
        <v>B Saya ingin diperlakukan dengan baik oleh teman-teman saya.</v>
      </c>
      <c r="BX76" s="95" t="str">
        <f>IFERROR(__xludf.DUMMYFUNCTION("""COMPUTED_VALUE"""),"B Saya kadang-kadang suka melakukan hal-hal yang dapat dipuji oleh orang lain.")</f>
        <v>B Saya kadang-kadang suka melakukan hal-hal yang dapat dipuji oleh orang lain.</v>
      </c>
      <c r="BY76" s="95" t="str">
        <f>IFERROR(__xludf.DUMMYFUNCTION("""COMPUTED_VALUE"""),"A Saya suka melamun atau membayangkan hal-hal yang tidak jelas.")</f>
        <v>A Saya suka melamun atau membayangkan hal-hal yang tidak jelas.</v>
      </c>
      <c r="BZ76" s="95" t="str">
        <f>IFERROR(__xludf.DUMMYFUNCTION("""COMPUTED_VALUE"""),"A Saya suka berkata yang artinya sulit dipahami oleh orang lain.")</f>
        <v>A Saya suka berkata yang artinya sulit dipahami oleh orang lain.</v>
      </c>
      <c r="CA76" s="95" t="str">
        <f>IFERROR(__xludf.DUMMYFUNCTION("""COMPUTED_VALUE"""),"A Saya ingin teman-teman dengan gembira memberikan pertolongan kepada saya.")</f>
        <v>A Saya ingin teman-teman dengan gembira memberikan pertolongan kepada saya.</v>
      </c>
      <c r="CB76" s="95" t="str">
        <f>IFERROR(__xludf.DUMMYFUNCTION("""COMPUTED_VALUE"""),"B Saya suka berbicara tentang hal-hal yang telah saya capai.")</f>
        <v>B Saya suka berbicara tentang hal-hal yang telah saya capai.</v>
      </c>
      <c r="CC76" s="95" t="str">
        <f>IFERROR(__xludf.DUMMYFUNCTION("""COMPUTED_VALUE"""),"A Apabila saya berkumpul dalam kelompok, saya ingin dihargai teman-teman.")</f>
        <v>A Apabila saya berkumpul dalam kelompok, saya ingin dihargai teman-teman.</v>
      </c>
      <c r="CD76" s="95" t="str">
        <f>IFERROR(__xludf.DUMMYFUNCTION("""COMPUTED_VALUE"""),"A Saya suka menyelesaikan setiap tugas meskipun membutuhkan waktu lama.")</f>
        <v>A Saya suka menyelesaikan setiap tugas meskipun membutuhkan waktu lama.</v>
      </c>
      <c r="CE76" s="95" t="str">
        <f>IFERROR(__xludf.DUMMYFUNCTION("""COMPUTED_VALUE"""),"A Saya suka menyelesaikan setiap tugas belajar yang telah saya mulai.")</f>
        <v>A Saya suka menyelesaikan setiap tugas belajar yang telah saya mulai.</v>
      </c>
      <c r="CF76" s="95" t="str">
        <f>IFERROR(__xludf.DUMMYFUNCTION("""COMPUTED_VALUE"""),"A Saya ingin agar hidup saya teratur sesuai cita-cita saya.")</f>
        <v>A Saya ingin agar hidup saya teratur sesuai cita-cita saya.</v>
      </c>
      <c r="CG76" s="95" t="str">
        <f>IFERROR(__xludf.DUMMYFUNCTION("""COMPUTED_VALUE"""),"A Saya ingin berhasil dalam apa yang saya lakukan.")</f>
        <v>A Saya ingin berhasil dalam apa yang saya lakukan.</v>
      </c>
      <c r="CH76" s="95" t="str">
        <f>IFERROR(__xludf.DUMMYFUNCTION("""COMPUTED_VALUE"""),"A Saya ingin bisa melakukan dengan baik sesuatu pekerjaan sulit.")</f>
        <v>A Saya ingin bisa melakukan dengan baik sesuatu pekerjaan sulit.</v>
      </c>
      <c r="CI76" s="95" t="str">
        <f>IFERROR(__xludf.DUMMYFUNCTION("""COMPUTED_VALUE"""),"A Saya suka belajar saya teratur dan ada waktu-waktu tertentu untuk belajar.")</f>
        <v>A Saya suka belajar saya teratur dan ada waktu-waktu tertentu untuk belajar.</v>
      </c>
      <c r="CJ76" s="95" t="str">
        <f>IFERROR(__xludf.DUMMYFUNCTION("""COMPUTED_VALUE"""),"A Saya ingin tidak tergantung dari orang lain terhadap apa yang akan saya lakukan.")</f>
        <v>A Saya ingin tidak tergantung dari orang lain terhadap apa yang akan saya lakukan.</v>
      </c>
      <c r="CK76" s="95" t="str">
        <f>IFERROR(__xludf.DUMMYFUNCTION("""COMPUTED_VALUE"""),"A Saya suka bertahan menghadapi satu masalah, meskipun belum tentu berhasil.")</f>
        <v>A Saya suka bertahan menghadapi satu masalah, meskipun belum tentu berhasil.</v>
      </c>
      <c r="CL76" s="95" t="str">
        <f>IFERROR(__xludf.DUMMYFUNCTION("""COMPUTED_VALUE"""),"A Saya suka menolong teman-teman saya, apabila mereka dalam kesulitan.")</f>
        <v>A Saya suka menolong teman-teman saya, apabila mereka dalam kesulitan.</v>
      </c>
      <c r="CM76" s="95" t="str">
        <f>IFERROR(__xludf.DUMMYFUNCTION("""COMPUTED_VALUE"""),"B Saya merasa kagum pada seseorang.")</f>
        <v>B Saya merasa kagum pada seseorang.</v>
      </c>
      <c r="CN76" s="95" t="str">
        <f>IFERROR(__xludf.DUMMYFUNCTION("""COMPUTED_VALUE"""),"A Saya ingin diperlakukan dengan baik oleh teman-teman saya.")</f>
        <v>A Saya ingin diperlakukan dengan baik oleh teman-teman saya.</v>
      </c>
      <c r="CO76" s="95" t="str">
        <f>IFERROR(__xludf.DUMMYFUNCTION("""COMPUTED_VALUE"""),"B Saya suka memuji orang yang saya kagumi.")</f>
        <v>B Saya suka memuji orang yang saya kagumi.</v>
      </c>
      <c r="CP76" s="95" t="str">
        <f>IFERROR(__xludf.DUMMYFUNCTION("""COMPUTED_VALUE"""),"A Saya suka melamun atau membayangkan sesuatu sendirian.")</f>
        <v>A Saya suka melamun atau membayangkan sesuatu sendirian.</v>
      </c>
      <c r="CQ76" s="95" t="str">
        <f>IFERROR(__xludf.DUMMYFUNCTION("""COMPUTED_VALUE"""),"B Saya merasa kagum pada seseorang.")</f>
        <v>B Saya merasa kagum pada seseorang.</v>
      </c>
      <c r="CR76" s="95" t="str">
        <f>IFERROR(__xludf.DUMMYFUNCTION("""COMPUTED_VALUE"""),"B Saya rasanya ingin mengecam seseorang bila orang itu menjengkelkan.")</f>
        <v>B Saya rasanya ingin mengecam seseorang bila orang itu menjengkelkan.</v>
      </c>
      <c r="CS76" s="95" t="str">
        <f>IFERROR(__xludf.DUMMYFUNCTION("""COMPUTED_VALUE"""),"A Saya ingin terlihat menarik di depan teman-teman saya.")</f>
        <v>A Saya ingin terlihat menarik di depan teman-teman saya.</v>
      </c>
      <c r="CT76" s="95" t="str">
        <f>IFERROR(__xludf.DUMMYFUNCTION("""COMPUTED_VALUE"""),"B Saya saat marah rasanya ingin melemparkan dan merusak barang-barang.")</f>
        <v>B Saya saat marah rasanya ingin melemparkan dan merusak barang-barang.</v>
      </c>
      <c r="CU76" s="95" t="str">
        <f>IFERROR(__xludf.DUMMYFUNCTION("""COMPUTED_VALUE"""),"A Saya ingin diperlakukan dengan ramah oleh teman-teman saya.")</f>
        <v>A Saya ingin diperlakukan dengan ramah oleh teman-teman saya.</v>
      </c>
      <c r="CV76" s="95" t="str">
        <f>IFERROR(__xludf.DUMMYFUNCTION("""COMPUTED_VALUE"""),"A Saya ingin ditunjuk atau dipilih sebagai ketua dalam suatu kelompok.")</f>
        <v>A Saya ingin ditunjuk atau dipilih sebagai ketua dalam suatu kelompok.</v>
      </c>
      <c r="CW76" s="95" t="str">
        <f>IFERROR(__xludf.DUMMYFUNCTION("""COMPUTED_VALUE"""),"A Saya suka menolong teman-teman saya, apabila mereka dalam kesulitan.")</f>
        <v>A Saya suka menolong teman-teman saya, apabila mereka dalam kesulitan.</v>
      </c>
      <c r="CX76" s="95" t="str">
        <f>IFERROR(__xludf.DUMMYFUNCTION("""COMPUTED_VALUE"""),"A Saya suka belajar sampai malam untuk menyelesaikan suatu tugas.")</f>
        <v>A Saya suka belajar sampai malam untuk menyelesaikan suatu tugas.</v>
      </c>
      <c r="CY76" s="95" t="str">
        <f>IFERROR(__xludf.DUMMYFUNCTION("""COMPUTED_VALUE"""),"A Saya ingin tidak tergantung dari orang lain terhadap apa yang akan saya lakukan.")</f>
        <v>A Saya ingin tidak tergantung dari orang lain terhadap apa yang akan saya lakukan.</v>
      </c>
      <c r="CZ76" s="95" t="str">
        <f>IFERROR(__xludf.DUMMYFUNCTION("""COMPUTED_VALUE"""),"A Saya suka merencanakan dan mengatur setiap pekerjaan yang harus saya lakukan.")</f>
        <v>A Saya suka merencanakan dan mengatur setiap pekerjaan yang harus saya lakukan.</v>
      </c>
      <c r="DA76" s="95" t="str">
        <f>IFERROR(__xludf.DUMMYFUNCTION("""COMPUTED_VALUE"""),"A Saya ingin melakukan apa saja sebaik mungkin.")</f>
        <v>A Saya ingin melakukan apa saja sebaik mungkin.</v>
      </c>
      <c r="DB76" s="89" t="s">
        <v>23</v>
      </c>
      <c r="DC76" s="97" t="str">
        <f t="shared" ref="DC76:GX76" si="121">LEFT(F76,1)</f>
        <v>B</v>
      </c>
      <c r="DD76" s="97" t="str">
        <f t="shared" si="121"/>
        <v>A</v>
      </c>
      <c r="DE76" s="97" t="str">
        <f t="shared" si="121"/>
        <v>A</v>
      </c>
      <c r="DF76" s="97" t="str">
        <f t="shared" si="121"/>
        <v>B</v>
      </c>
      <c r="DG76" s="97" t="str">
        <f t="shared" si="121"/>
        <v>A</v>
      </c>
      <c r="DH76" s="97" t="str">
        <f t="shared" si="121"/>
        <v>A</v>
      </c>
      <c r="DI76" s="97" t="str">
        <f t="shared" si="121"/>
        <v>A</v>
      </c>
      <c r="DJ76" s="97" t="str">
        <f t="shared" si="121"/>
        <v>A</v>
      </c>
      <c r="DK76" s="97" t="str">
        <f t="shared" si="121"/>
        <v>B</v>
      </c>
      <c r="DL76" s="97" t="str">
        <f t="shared" si="121"/>
        <v>B</v>
      </c>
      <c r="DM76" s="97" t="str">
        <f t="shared" si="121"/>
        <v>A</v>
      </c>
      <c r="DN76" s="97" t="str">
        <f t="shared" si="121"/>
        <v>B</v>
      </c>
      <c r="DO76" s="97" t="str">
        <f t="shared" si="121"/>
        <v>B</v>
      </c>
      <c r="DP76" s="97" t="str">
        <f t="shared" si="121"/>
        <v>B</v>
      </c>
      <c r="DQ76" s="97" t="str">
        <f t="shared" si="121"/>
        <v>B</v>
      </c>
      <c r="DR76" s="97" t="str">
        <f t="shared" si="121"/>
        <v>A</v>
      </c>
      <c r="DS76" s="97" t="str">
        <f t="shared" si="121"/>
        <v>B</v>
      </c>
      <c r="DT76" s="97" t="str">
        <f t="shared" si="121"/>
        <v>B</v>
      </c>
      <c r="DU76" s="97" t="str">
        <f t="shared" si="121"/>
        <v>B</v>
      </c>
      <c r="DV76" s="97" t="str">
        <f t="shared" si="121"/>
        <v>B</v>
      </c>
      <c r="DW76" s="97" t="str">
        <f t="shared" si="121"/>
        <v>A</v>
      </c>
      <c r="DX76" s="97" t="str">
        <f t="shared" si="121"/>
        <v>B</v>
      </c>
      <c r="DY76" s="97" t="str">
        <f t="shared" si="121"/>
        <v>A</v>
      </c>
      <c r="DZ76" s="97" t="str">
        <f t="shared" si="121"/>
        <v>A</v>
      </c>
      <c r="EA76" s="97" t="str">
        <f t="shared" si="121"/>
        <v>A</v>
      </c>
      <c r="EB76" s="97" t="str">
        <f t="shared" si="121"/>
        <v>A</v>
      </c>
      <c r="EC76" s="97" t="str">
        <f t="shared" si="121"/>
        <v>B</v>
      </c>
      <c r="ED76" s="97" t="str">
        <f t="shared" si="121"/>
        <v>A</v>
      </c>
      <c r="EE76" s="97" t="str">
        <f t="shared" si="121"/>
        <v>B</v>
      </c>
      <c r="EF76" s="97" t="str">
        <f t="shared" si="121"/>
        <v>B</v>
      </c>
      <c r="EG76" s="97" t="str">
        <f t="shared" si="121"/>
        <v>B</v>
      </c>
      <c r="EH76" s="97" t="str">
        <f t="shared" si="121"/>
        <v>B</v>
      </c>
      <c r="EI76" s="97" t="str">
        <f t="shared" si="121"/>
        <v>B</v>
      </c>
      <c r="EJ76" s="97" t="str">
        <f t="shared" si="121"/>
        <v>B</v>
      </c>
      <c r="EK76" s="97" t="str">
        <f t="shared" si="121"/>
        <v>A</v>
      </c>
      <c r="EL76" s="97" t="str">
        <f t="shared" si="121"/>
        <v>A</v>
      </c>
      <c r="EM76" s="97" t="str">
        <f t="shared" si="121"/>
        <v>B</v>
      </c>
      <c r="EN76" s="97" t="str">
        <f t="shared" si="121"/>
        <v>B</v>
      </c>
      <c r="EO76" s="97" t="str">
        <f t="shared" si="121"/>
        <v>B</v>
      </c>
      <c r="EP76" s="97" t="str">
        <f t="shared" si="121"/>
        <v>B</v>
      </c>
      <c r="EQ76" s="97" t="str">
        <f t="shared" si="121"/>
        <v>B</v>
      </c>
      <c r="ER76" s="97" t="str">
        <f t="shared" si="121"/>
        <v>A</v>
      </c>
      <c r="ES76" s="97" t="str">
        <f t="shared" si="121"/>
        <v>B</v>
      </c>
      <c r="ET76" s="97" t="str">
        <f t="shared" si="121"/>
        <v>A</v>
      </c>
      <c r="EU76" s="97" t="str">
        <f t="shared" si="121"/>
        <v>B</v>
      </c>
      <c r="EV76" s="97" t="str">
        <f t="shared" si="121"/>
        <v>B</v>
      </c>
      <c r="EW76" s="97" t="str">
        <f t="shared" si="121"/>
        <v>B</v>
      </c>
      <c r="EX76" s="97" t="str">
        <f t="shared" si="121"/>
        <v>B</v>
      </c>
      <c r="EY76" s="97" t="str">
        <f t="shared" si="121"/>
        <v>B</v>
      </c>
      <c r="EZ76" s="97" t="str">
        <f t="shared" si="121"/>
        <v>B</v>
      </c>
      <c r="FA76" s="97" t="str">
        <f t="shared" si="121"/>
        <v>B</v>
      </c>
      <c r="FB76" s="97" t="str">
        <f t="shared" si="121"/>
        <v>B</v>
      </c>
      <c r="FC76" s="97" t="str">
        <f t="shared" si="121"/>
        <v>B</v>
      </c>
      <c r="FD76" s="97" t="str">
        <f t="shared" si="121"/>
        <v>B</v>
      </c>
      <c r="FE76" s="97" t="str">
        <f t="shared" si="121"/>
        <v>B</v>
      </c>
      <c r="FF76" s="97" t="str">
        <f t="shared" si="121"/>
        <v>A</v>
      </c>
      <c r="FG76" s="97" t="str">
        <f t="shared" si="121"/>
        <v>A</v>
      </c>
      <c r="FH76" s="97" t="str">
        <f t="shared" si="121"/>
        <v>B</v>
      </c>
      <c r="FI76" s="97" t="str">
        <f t="shared" si="121"/>
        <v>A</v>
      </c>
      <c r="FJ76" s="97" t="str">
        <f t="shared" si="121"/>
        <v>A</v>
      </c>
      <c r="FK76" s="97" t="str">
        <f t="shared" si="121"/>
        <v>A</v>
      </c>
      <c r="FL76" s="97" t="str">
        <f t="shared" si="121"/>
        <v>A</v>
      </c>
      <c r="FM76" s="97" t="str">
        <f t="shared" si="121"/>
        <v>A</v>
      </c>
      <c r="FN76" s="97" t="str">
        <f t="shared" si="121"/>
        <v>A</v>
      </c>
      <c r="FO76" s="97" t="str">
        <f t="shared" si="121"/>
        <v>A</v>
      </c>
      <c r="FP76" s="97" t="str">
        <f t="shared" si="121"/>
        <v>B</v>
      </c>
      <c r="FQ76" s="97" t="str">
        <f t="shared" si="121"/>
        <v>A</v>
      </c>
      <c r="FR76" s="97" t="str">
        <f t="shared" si="121"/>
        <v>A</v>
      </c>
      <c r="FS76" s="97" t="str">
        <f t="shared" si="121"/>
        <v>B</v>
      </c>
      <c r="FT76" s="97" t="str">
        <f t="shared" si="121"/>
        <v>B</v>
      </c>
      <c r="FU76" s="97" t="str">
        <f t="shared" si="121"/>
        <v>B</v>
      </c>
      <c r="FV76" s="97" t="str">
        <f t="shared" si="121"/>
        <v>A</v>
      </c>
      <c r="FW76" s="97" t="str">
        <f t="shared" si="121"/>
        <v>A</v>
      </c>
      <c r="FX76" s="97" t="str">
        <f t="shared" si="121"/>
        <v>A</v>
      </c>
      <c r="FY76" s="97" t="str">
        <f t="shared" si="121"/>
        <v>B</v>
      </c>
      <c r="FZ76" s="97" t="str">
        <f t="shared" si="121"/>
        <v>A</v>
      </c>
      <c r="GA76" s="97" t="str">
        <f t="shared" si="121"/>
        <v>A</v>
      </c>
      <c r="GB76" s="97" t="str">
        <f t="shared" si="121"/>
        <v>A</v>
      </c>
      <c r="GC76" s="97" t="str">
        <f t="shared" si="121"/>
        <v>A</v>
      </c>
      <c r="GD76" s="97" t="str">
        <f t="shared" si="121"/>
        <v>A</v>
      </c>
      <c r="GE76" s="97" t="str">
        <f t="shared" si="121"/>
        <v>A</v>
      </c>
      <c r="GF76" s="97" t="str">
        <f t="shared" si="121"/>
        <v>A</v>
      </c>
      <c r="GG76" s="97" t="str">
        <f t="shared" si="121"/>
        <v>A</v>
      </c>
      <c r="GH76" s="97" t="str">
        <f t="shared" si="121"/>
        <v>A</v>
      </c>
      <c r="GI76" s="97" t="str">
        <f t="shared" si="121"/>
        <v>A</v>
      </c>
      <c r="GJ76" s="97" t="str">
        <f t="shared" si="121"/>
        <v>B</v>
      </c>
      <c r="GK76" s="97" t="str">
        <f t="shared" si="121"/>
        <v>A</v>
      </c>
      <c r="GL76" s="97" t="str">
        <f t="shared" si="121"/>
        <v>B</v>
      </c>
      <c r="GM76" s="97" t="str">
        <f t="shared" si="121"/>
        <v>A</v>
      </c>
      <c r="GN76" s="97" t="str">
        <f t="shared" si="121"/>
        <v>B</v>
      </c>
      <c r="GO76" s="97" t="str">
        <f t="shared" si="121"/>
        <v>B</v>
      </c>
      <c r="GP76" s="97" t="str">
        <f t="shared" si="121"/>
        <v>A</v>
      </c>
      <c r="GQ76" s="97" t="str">
        <f t="shared" si="121"/>
        <v>B</v>
      </c>
      <c r="GR76" s="97" t="str">
        <f t="shared" si="121"/>
        <v>A</v>
      </c>
      <c r="GS76" s="97" t="str">
        <f t="shared" si="121"/>
        <v>A</v>
      </c>
      <c r="GT76" s="97" t="str">
        <f t="shared" si="121"/>
        <v>A</v>
      </c>
      <c r="GU76" s="97" t="str">
        <f t="shared" si="121"/>
        <v>A</v>
      </c>
      <c r="GV76" s="97" t="str">
        <f t="shared" si="121"/>
        <v>A</v>
      </c>
      <c r="GW76" s="97" t="str">
        <f t="shared" si="121"/>
        <v>A</v>
      </c>
      <c r="GX76" s="97" t="str">
        <f t="shared" si="121"/>
        <v>A</v>
      </c>
      <c r="GY76" s="98"/>
      <c r="GZ76" s="97">
        <f t="shared" si="3"/>
        <v>52</v>
      </c>
      <c r="HA76" s="97">
        <f t="shared" si="4"/>
        <v>48</v>
      </c>
      <c r="HB76" s="90">
        <f t="shared" si="5"/>
        <v>100</v>
      </c>
      <c r="HC76" s="99"/>
      <c r="HD76" s="97">
        <f t="shared" si="6"/>
        <v>6</v>
      </c>
      <c r="HE76" s="97">
        <f t="shared" si="7"/>
        <v>3</v>
      </c>
      <c r="HF76" s="90">
        <f t="shared" si="8"/>
        <v>9</v>
      </c>
      <c r="HG76" s="99"/>
      <c r="HH76" s="97">
        <f t="shared" si="9"/>
        <v>7</v>
      </c>
      <c r="HI76" s="97">
        <f t="shared" si="10"/>
        <v>8</v>
      </c>
      <c r="HJ76" s="90">
        <f t="shared" si="11"/>
        <v>15</v>
      </c>
      <c r="HK76" s="99"/>
      <c r="HL76" s="97">
        <f t="shared" si="12"/>
        <v>5</v>
      </c>
      <c r="HM76" s="97">
        <f t="shared" si="13"/>
        <v>4</v>
      </c>
      <c r="HN76" s="90">
        <f t="shared" si="14"/>
        <v>9</v>
      </c>
      <c r="HO76" s="99"/>
      <c r="HP76" s="97">
        <f t="shared" si="15"/>
        <v>7</v>
      </c>
      <c r="HQ76" s="97">
        <f t="shared" si="16"/>
        <v>8</v>
      </c>
      <c r="HR76" s="90">
        <f t="shared" si="17"/>
        <v>15</v>
      </c>
      <c r="HS76" s="99"/>
      <c r="HT76" s="97">
        <f t="shared" si="18"/>
        <v>9</v>
      </c>
      <c r="HU76" s="97">
        <f t="shared" si="19"/>
        <v>8</v>
      </c>
      <c r="HV76" s="90">
        <f t="shared" si="20"/>
        <v>17</v>
      </c>
      <c r="HW76" s="99"/>
      <c r="HX76" s="97">
        <f t="shared" si="21"/>
        <v>4</v>
      </c>
      <c r="HY76" s="97">
        <f t="shared" si="22"/>
        <v>6</v>
      </c>
      <c r="HZ76" s="90">
        <f t="shared" si="23"/>
        <v>10</v>
      </c>
      <c r="IA76" s="99"/>
      <c r="IB76" s="97">
        <f t="shared" si="24"/>
        <v>4</v>
      </c>
      <c r="IC76" s="97">
        <f t="shared" si="25"/>
        <v>3</v>
      </c>
      <c r="ID76" s="90">
        <f t="shared" si="26"/>
        <v>7</v>
      </c>
      <c r="IE76" s="99"/>
      <c r="IF76" s="97">
        <f t="shared" si="27"/>
        <v>3</v>
      </c>
      <c r="IG76" s="97">
        <f t="shared" si="28"/>
        <v>2</v>
      </c>
      <c r="IH76" s="90">
        <f t="shared" si="29"/>
        <v>5</v>
      </c>
      <c r="II76" s="99"/>
      <c r="IJ76" s="97">
        <f t="shared" si="30"/>
        <v>2</v>
      </c>
      <c r="IK76" s="97">
        <f t="shared" si="31"/>
        <v>3</v>
      </c>
      <c r="IL76" s="90">
        <f t="shared" si="32"/>
        <v>5</v>
      </c>
      <c r="IM76" s="99"/>
      <c r="IN76" s="97">
        <f t="shared" si="33"/>
        <v>1</v>
      </c>
      <c r="IO76" s="97">
        <f t="shared" si="34"/>
        <v>2</v>
      </c>
      <c r="IP76" s="90">
        <f t="shared" si="35"/>
        <v>3</v>
      </c>
      <c r="IQ76" s="99"/>
      <c r="IR76" s="99"/>
      <c r="IS76" s="100">
        <f t="shared" si="36"/>
        <v>9</v>
      </c>
      <c r="IT76" s="100">
        <f t="shared" si="37"/>
        <v>15</v>
      </c>
      <c r="IU76" s="100">
        <f t="shared" si="38"/>
        <v>9</v>
      </c>
      <c r="IV76" s="100">
        <f t="shared" si="39"/>
        <v>15</v>
      </c>
      <c r="IW76" s="100">
        <f t="shared" si="40"/>
        <v>17</v>
      </c>
      <c r="IX76" s="100">
        <f t="shared" si="41"/>
        <v>10</v>
      </c>
      <c r="IY76" s="100">
        <f t="shared" si="42"/>
        <v>7</v>
      </c>
      <c r="IZ76" s="100">
        <f t="shared" si="43"/>
        <v>5</v>
      </c>
      <c r="JA76" s="100">
        <f t="shared" si="44"/>
        <v>5</v>
      </c>
      <c r="JB76" s="101">
        <f t="shared" si="45"/>
        <v>3</v>
      </c>
      <c r="JC76" s="102">
        <f t="shared" si="46"/>
        <v>95</v>
      </c>
      <c r="JD76" s="67">
        <f t="shared" si="50"/>
        <v>0</v>
      </c>
      <c r="JE76" s="67">
        <f t="shared" si="47"/>
        <v>1</v>
      </c>
      <c r="JF76" s="67">
        <f t="shared" si="48"/>
        <v>1</v>
      </c>
    </row>
    <row r="77">
      <c r="A77" s="103">
        <f>IFERROR(__xludf.DUMMYFUNCTION("""COMPUTED_VALUE"""),45937.398725983796)</f>
        <v>45937.39873</v>
      </c>
      <c r="B77" s="95" t="str">
        <f>IFERROR(__xludf.DUMMYFUNCTION("""COMPUTED_VALUE"""),"Fathi Fahlevi Fahmi")</f>
        <v>Fathi Fahlevi Fahmi</v>
      </c>
      <c r="C77" s="96" t="str">
        <f>IFERROR(__xludf.DUMMYFUNCTION("""COMPUTED_VALUE"""),"A250011")</f>
        <v>A250011</v>
      </c>
      <c r="D77" s="96" t="str">
        <f>IFERROR(__xludf.DUMMYFUNCTION("""COMPUTED_VALUE"""),"MTs Putra")</f>
        <v>MTs Putra</v>
      </c>
      <c r="E77" s="96" t="str">
        <f>IFERROR(__xludf.DUMMYFUNCTION("""COMPUTED_VALUE"""),"Ya")</f>
        <v>Ya</v>
      </c>
      <c r="F77" s="95" t="str">
        <f>IFERROR(__xludf.DUMMYFUNCTION("""COMPUTED_VALUE"""),"B Saya ingin melakukan apa saja sebaik mungkin.")</f>
        <v>B Saya ingin melakukan apa saja sebaik mungkin.</v>
      </c>
      <c r="G77" s="95" t="str">
        <f>IFERROR(__xludf.DUMMYFUNCTION("""COMPUTED_VALUE"""),"A Saya ingin setiap tulisan saya teliti, rapi, dan tersusun dengan baik.")</f>
        <v>A Saya ingin setiap tulisan saya teliti, rapi, dan tersusun dengan baik.</v>
      </c>
      <c r="H77" s="95" t="str">
        <f>IFERROR(__xludf.DUMMYFUNCTION("""COMPUTED_VALUE"""),"B Saya ingin menjadi orang yang diakui dalam suatu pekerjaan atau bidang khusus.")</f>
        <v>B Saya ingin menjadi orang yang diakui dalam suatu pekerjaan atau bidang khusus.</v>
      </c>
      <c r="I77" s="95" t="str">
        <f>IFERROR(__xludf.DUMMYFUNCTION("""COMPUTED_VALUE"""),"B Saya ingin bisa melakukan dengan baik meskipun tugas yang sulit.")</f>
        <v>B Saya ingin bisa melakukan dengan baik meskipun tugas yang sulit.</v>
      </c>
      <c r="J77" s="95" t="str">
        <f>IFERROR(__xludf.DUMMYFUNCTION("""COMPUTED_VALUE"""),"A Saya suka membantu teman-teman saya apabila mereka mengalami kesulitan.")</f>
        <v>A Saya suka membantu teman-teman saya apabila mereka mengalami kesulitan.</v>
      </c>
      <c r="K77" s="95" t="str">
        <f>IFERROR(__xludf.DUMMYFUNCTION("""COMPUTED_VALUE"""),"A Saya ingin menjadi pemimpin dalam suatu kelompok.")</f>
        <v>A Saya ingin menjadi pemimpin dalam suatu kelompok.</v>
      </c>
      <c r="L77" s="95" t="str">
        <f>IFERROR(__xludf.DUMMYFUNCTION("""COMPUTED_VALUE"""),"B Saya ingin mengatakan telah melakukan dengan baik sesuatu tugas yang sulit")</f>
        <v>B Saya ingin mengatakan telah melakukan dengan baik sesuatu tugas yang sulit</v>
      </c>
      <c r="M77" s="95" t="str">
        <f>IFERROR(__xludf.DUMMYFUNCTION("""COMPUTED_VALUE"""),"A Saya suka berbicara tentang hal-hal yang telah berhasil saya lakukan.")</f>
        <v>A Saya suka berbicara tentang hal-hal yang telah berhasil saya lakukan.</v>
      </c>
      <c r="N77" s="95" t="str">
        <f>IFERROR(__xludf.DUMMYFUNCTION("""COMPUTED_VALUE"""),"B Saya suka memecahkan persoalan yang sukar bagi orang lain.")</f>
        <v>B Saya suka memecahkan persoalan yang sukar bagi orang lain.</v>
      </c>
      <c r="O77" s="95" t="str">
        <f>IFERROR(__xludf.DUMMYFUNCTION("""COMPUTED_VALUE"""),"B Saya suka melakukan tugas sebaik mungkin.")</f>
        <v>B Saya suka melakukan tugas sebaik mungkin.</v>
      </c>
      <c r="P77" s="95" t="str">
        <f>IFERROR(__xludf.DUMMYFUNCTION("""COMPUTED_VALUE"""),"B Saya ingin setiap belajar itu teratur dan direncanakan.")</f>
        <v>B Saya ingin setiap belajar itu teratur dan direncanakan.</v>
      </c>
      <c r="Q77" s="95" t="str">
        <f>IFERROR(__xludf.DUMMYFUNCTION("""COMPUTED_VALUE"""),"B Saya merencanakan keperluan yang dibutuhkan sebelum bepergian.")</f>
        <v>B Saya merencanakan keperluan yang dibutuhkan sebelum bepergian.</v>
      </c>
      <c r="R77" s="95" t="str">
        <f>IFERROR(__xludf.DUMMYFUNCTION("""COMPUTED_VALUE"""),"B Saya suka barang-barang saya tersusun rapi dan teratur.")</f>
        <v>B Saya suka barang-barang saya tersusun rapi dan teratur.</v>
      </c>
      <c r="S77" s="95" t="str">
        <f>IFERROR(__xludf.DUMMYFUNCTION("""COMPUTED_VALUE"""),"A Saya ingin agar teman-teman pengertian bila saya mengalami kesukaran.")</f>
        <v>A Saya ingin agar teman-teman pengertian bila saya mengalami kesukaran.</v>
      </c>
      <c r="T77" s="95" t="str">
        <f>IFERROR(__xludf.DUMMYFUNCTION("""COMPUTED_VALUE"""),"A Saya ingin menjadi salah seorang pemimpin dalam kelompok yang saya kenal.")</f>
        <v>A Saya ingin menjadi salah seorang pemimpin dalam kelompok yang saya kenal.</v>
      </c>
      <c r="U77" s="95" t="str">
        <f>IFERROR(__xludf.DUMMYFUNCTION("""COMPUTED_VALUE"""),"A Saya suka memberikan bantuan kepada teman-teman saya.")</f>
        <v>A Saya suka memberikan bantuan kepada teman-teman saya.</v>
      </c>
      <c r="V77" s="95" t="str">
        <f>IFERROR(__xludf.DUMMYFUNCTION("""COMPUTED_VALUE"""),"B Saya suka belajar saya teratur dan ada waktu-waktu tertentu untuk belajar.")</f>
        <v>B Saya suka belajar saya teratur dan ada waktu-waktu tertentu untuk belajar.</v>
      </c>
      <c r="W77" s="95" t="str">
        <f>IFERROR(__xludf.DUMMYFUNCTION("""COMPUTED_VALUE"""),"B Saya ingin kegiatan itu teratur dan direncanakan.")</f>
        <v>B Saya ingin kegiatan itu teratur dan direncanakan.</v>
      </c>
      <c r="X77" s="95" t="str">
        <f>IFERROR(__xludf.DUMMYFUNCTION("""COMPUTED_VALUE"""),"B Saya ingin agar hidup saya teratur sesuai cita-cita saya.")</f>
        <v>B Saya ingin agar hidup saya teratur sesuai cita-cita saya.</v>
      </c>
      <c r="Y77" s="95" t="str">
        <f>IFERROR(__xludf.DUMMYFUNCTION("""COMPUTED_VALUE"""),"A Saya suka menyelesaikan tugas-tugas yang membutuhkan ketrampilan dan usaha.")</f>
        <v>A Saya suka menyelesaikan tugas-tugas yang membutuhkan ketrampilan dan usaha.</v>
      </c>
      <c r="Z77" s="95" t="str">
        <f>IFERROR(__xludf.DUMMYFUNCTION("""COMPUTED_VALUE"""),"A Saya ingin berhasil dengan belajar yang saya lakukan.")</f>
        <v>A Saya ingin berhasil dengan belajar yang saya lakukan.</v>
      </c>
      <c r="AA77" s="95" t="str">
        <f>IFERROR(__xludf.DUMMYFUNCTION("""COMPUTED_VALUE"""),"B Saya tidak suka pada orang yang berbuat seenaknya sendiri.")</f>
        <v>B Saya tidak suka pada orang yang berbuat seenaknya sendiri.</v>
      </c>
      <c r="AB77" s="95" t="str">
        <f>IFERROR(__xludf.DUMMYFUNCTION("""COMPUTED_VALUE"""),"B Saya ingin menyelesaikan pekerjaan satu persatu sebelum memulai yang lain.")</f>
        <v>B Saya ingin menyelesaikan pekerjaan satu persatu sebelum memulai yang lain.</v>
      </c>
      <c r="AC77" s="95" t="str">
        <f>IFERROR(__xludf.DUMMYFUNCTION("""COMPUTED_VALUE"""),"A Saya suka menyelesaikan setiap tugas meskipun membutuhkan waktu lama.")</f>
        <v>A Saya suka menyelesaikan setiap tugas meskipun membutuhkan waktu lama.</v>
      </c>
      <c r="AD77" s="95" t="str">
        <f>IFERROR(__xludf.DUMMYFUNCTION("""COMPUTED_VALUE"""),"A Saya suka bermurah hati terhadap teman-teman saya.")</f>
        <v>A Saya suka bermurah hati terhadap teman-teman saya.</v>
      </c>
      <c r="AE77" s="95" t="str">
        <f>IFERROR(__xludf.DUMMYFUNCTION("""COMPUTED_VALUE"""),"A Saya ingin dianggap sebagai pemimpin oleh teman di kelompok.")</f>
        <v>A Saya ingin dianggap sebagai pemimpin oleh teman di kelompok.</v>
      </c>
      <c r="AF77" s="95" t="str">
        <f>IFERROR(__xludf.DUMMYFUNCTION("""COMPUTED_VALUE"""),"A Saya ingin agar teman-teman mengerti bila saya mengalami kesukaran.")</f>
        <v>A Saya ingin agar teman-teman mengerti bila saya mengalami kesukaran.</v>
      </c>
      <c r="AG77" s="95" t="str">
        <f>IFERROR(__xludf.DUMMYFUNCTION("""COMPUTED_VALUE"""),"B Saya ingin berhasil dengan tugas yang saya lakukan.")</f>
        <v>B Saya ingin berhasil dengan tugas yang saya lakukan.</v>
      </c>
      <c r="AH77" s="95" t="str">
        <f>IFERROR(__xludf.DUMMYFUNCTION("""COMPUTED_VALUE"""),"A Saya suka membaca buku-buku tentang pergaulan remaja.")</f>
        <v>A Saya suka membaca buku-buku tentang pergaulan remaja.</v>
      </c>
      <c r="AI77" s="95" t="str">
        <f>IFERROR(__xludf.DUMMYFUNCTION("""COMPUTED_VALUE"""),"B Saya suka melakukan kegiatan sesuai kondisi yang saya inginkan.")</f>
        <v>B Saya suka melakukan kegiatan sesuai kondisi yang saya inginkan.</v>
      </c>
      <c r="AJ77" s="95" t="str">
        <f>IFERROR(__xludf.DUMMYFUNCTION("""COMPUTED_VALUE"""),"B Saya suka bertahan menghadapi satu masalah meskipun belum tentu berhasil.")</f>
        <v>B Saya suka bertahan menghadapi satu masalah meskipun belum tentu berhasil.</v>
      </c>
      <c r="AK77" s="95" t="str">
        <f>IFERROR(__xludf.DUMMYFUNCTION("""COMPUTED_VALUE"""),"B Bila saya harus melakukan suatu tugas, saya ingin mengerjakan sampai selesai.")</f>
        <v>B Bila saya harus melakukan suatu tugas, saya ingin mengerjakan sampai selesai.</v>
      </c>
      <c r="AL77" s="95" t="str">
        <f>IFERROR(__xludf.DUMMYFUNCTION("""COMPUTED_VALUE"""),"B Saya ingin menghindarkan gangguan bila saya sedang belajar.")</f>
        <v>B Saya ingin menghindarkan gangguan bila saya sedang belajar.</v>
      </c>
      <c r="AM77" s="95" t="str">
        <f>IFERROR(__xludf.DUMMYFUNCTION("""COMPUTED_VALUE"""),"A Saya ingin teman-teman saya merasa kasihan pada saya apabila saya sakit.")</f>
        <v>A Saya ingin teman-teman saya merasa kasihan pada saya apabila saya sakit.</v>
      </c>
      <c r="AN77" s="95" t="str">
        <f>IFERROR(__xludf.DUMMYFUNCTION("""COMPUTED_VALUE"""),"A Saya tidak suka pada orang yang semena-mena.")</f>
        <v>A Saya tidak suka pada orang yang semena-mena.</v>
      </c>
      <c r="AO77" s="95" t="str">
        <f>IFERROR(__xludf.DUMMYFUNCTION("""COMPUTED_VALUE"""),"B Saya suka menyelesaikan setiap tugas meskipun membutuhkan waktu lama.")</f>
        <v>B Saya suka menyelesaikan setiap tugas meskipun membutuhkan waktu lama.</v>
      </c>
      <c r="AP77" s="95" t="str">
        <f>IFERROR(__xludf.DUMMYFUNCTION("""COMPUTED_VALUE"""),"B Saya suka bertahan menghadapi satu masalah meskipun belum tentu berhasil.")</f>
        <v>B Saya suka bertahan menghadapi satu masalah meskipun belum tentu berhasil.</v>
      </c>
      <c r="AQ77" s="95" t="str">
        <f>IFERROR(__xludf.DUMMYFUNCTION("""COMPUTED_VALUE"""),"B Bila saya harus melakukan suatu tugas, saya ingin mengerjakan sampai selesai.")</f>
        <v>B Bila saya harus melakukan suatu tugas, saya ingin mengerjakan sampai selesai.</v>
      </c>
      <c r="AR77" s="95" t="str">
        <f>IFERROR(__xludf.DUMMYFUNCTION("""COMPUTED_VALUE"""),"B Saya suka belajar keras pada tiap pelajaran yang saya hadapi.")</f>
        <v>B Saya suka belajar keras pada tiap pelajaran yang saya hadapi.</v>
      </c>
      <c r="AS77" s="95" t="str">
        <f>IFERROR(__xludf.DUMMYFUNCTION("""COMPUTED_VALUE"""),"A Saya ingin dapat menyelesaikan persoalan yang dianggap sukar bagi orang lain.")</f>
        <v>A Saya ingin dapat menyelesaikan persoalan yang dianggap sukar bagi orang lain.</v>
      </c>
      <c r="AT77" s="95" t="str">
        <f>IFERROR(__xludf.DUMMYFUNCTION("""COMPUTED_VALUE"""),"B Saya suka membantu orang lain yang menurut saya perlu dikasihani.")</f>
        <v>B Saya suka membantu orang lain yang menurut saya perlu dikasihani.</v>
      </c>
      <c r="AU77" s="95" t="str">
        <f>IFERROR(__xludf.DUMMYFUNCTION("""COMPUTED_VALUE"""),"A Saya ingin menyelesaikan pekerjaan satu persatu sebelum memulai yang lain.")</f>
        <v>A Saya ingin menyelesaikan pekerjaan satu persatu sebelum memulai yang lain.</v>
      </c>
      <c r="AV77" s="95" t="str">
        <f>IFERROR(__xludf.DUMMYFUNCTION("""COMPUTED_VALUE"""),"B Saya suka menolong teman-teman saya.")</f>
        <v>B Saya suka menolong teman-teman saya.</v>
      </c>
      <c r="AW77" s="95" t="str">
        <f>IFERROR(__xludf.DUMMYFUNCTION("""COMPUTED_VALUE"""),"A Saya ingin mengerjakan tugas sampai selesai.")</f>
        <v>A Saya ingin mengerjakan tugas sampai selesai.</v>
      </c>
      <c r="AX77" s="95" t="str">
        <f>IFERROR(__xludf.DUMMYFUNCTION("""COMPUTED_VALUE"""),"B Saya suka memaafkan teman-teman saya yang menyakiti hati saya.")</f>
        <v>B Saya suka memaafkan teman-teman saya yang menyakiti hati saya.</v>
      </c>
      <c r="AY77" s="95" t="str">
        <f>IFERROR(__xludf.DUMMYFUNCTION("""COMPUTED_VALUE"""),"B Saya suka menolong teman-teman saya apabila mereka dalam kesulitan.")</f>
        <v>B Saya suka menolong teman-teman saya apabila mereka dalam kesulitan.</v>
      </c>
      <c r="AZ77" s="95" t="str">
        <f>IFERROR(__xludf.DUMMYFUNCTION("""COMPUTED_VALUE"""),"A Saya ingin agar teman-teman saya bersimpati dan menghibur saya bila saya sedih.")</f>
        <v>A Saya ingin agar teman-teman saya bersimpati dan menghibur saya bila saya sedih.</v>
      </c>
      <c r="BA77" s="95" t="str">
        <f>IFERROR(__xludf.DUMMYFUNCTION("""COMPUTED_VALUE"""),"B Saya suka memperlakukan orang lain dengan baik dan ramah.")</f>
        <v>B Saya suka memperlakukan orang lain dengan baik dan ramah.</v>
      </c>
      <c r="BB77" s="95" t="str">
        <f>IFERROR(__xludf.DUMMYFUNCTION("""COMPUTED_VALUE"""),"B Saya suka bermurah hati terhadap teman-teman saya.")</f>
        <v>B Saya suka bermurah hati terhadap teman-teman saya.</v>
      </c>
      <c r="BC77" s="95" t="str">
        <f>IFERROR(__xludf.DUMMYFUNCTION("""COMPUTED_VALUE"""),"B Saya suka membantu orang lain yang menurut saya perlu dikasihani.")</f>
        <v>B Saya suka membantu orang lain yang menurut saya perlu dikasihani.</v>
      </c>
      <c r="BD77" s="95" t="str">
        <f>IFERROR(__xludf.DUMMYFUNCTION("""COMPUTED_VALUE"""),"B Saya suka bersikukuh dengan pendirian saya.")</f>
        <v>B Saya suka bersikukuh dengan pendirian saya.</v>
      </c>
      <c r="BE77" s="95" t="str">
        <f>IFERROR(__xludf.DUMMYFUNCTION("""COMPUTED_VALUE"""),"A Saya suka mendengarkan atau menceritakan hal-hal yang sebaiknya tidak diceritakan.")</f>
        <v>A Saya suka mendengarkan atau menceritakan hal-hal yang sebaiknya tidak diceritakan.</v>
      </c>
      <c r="BF77" s="95" t="str">
        <f>IFERROR(__xludf.DUMMYFUNCTION("""COMPUTED_VALUE"""),"A Saya ingin orang lain memperhatikan dan berkomentar tentang penampilan saya.")</f>
        <v>A Saya ingin orang lain memperhatikan dan berkomentar tentang penampilan saya.</v>
      </c>
      <c r="BG77" s="95" t="str">
        <f>IFERROR(__xludf.DUMMYFUNCTION("""COMPUTED_VALUE"""),"A Saya ingin teman-teman banyak menunjukkan rasa sayang mereka terhadap saya.")</f>
        <v>A Saya ingin teman-teman banyak menunjukkan rasa sayang mereka terhadap saya.</v>
      </c>
      <c r="BH77" s="95" t="str">
        <f>IFERROR(__xludf.DUMMYFUNCTION("""COMPUTED_VALUE"""),"A Saya suka menghindar dari situasi yang tidak saya harapkan.")</f>
        <v>A Saya suka menghindar dari situasi yang tidak saya harapkan.</v>
      </c>
      <c r="BI77" s="95" t="str">
        <f>IFERROR(__xludf.DUMMYFUNCTION("""COMPUTED_VALUE"""),"A Saya suka bermurah hati terhadap teman-teman saya.")</f>
        <v>A Saya suka bermurah hati terhadap teman-teman saya.</v>
      </c>
      <c r="BJ77" s="95" t="str">
        <f>IFERROR(__xludf.DUMMYFUNCTION("""COMPUTED_VALUE"""),"B Saya ingin menjadi pemimpin dalam kelompok di mana saya ada di situ")</f>
        <v>B Saya ingin menjadi pemimpin dalam kelompok di mana saya ada di situ</v>
      </c>
      <c r="BK77" s="95" t="str">
        <f>IFERROR(__xludf.DUMMYFUNCTION("""COMPUTED_VALUE"""),"A Saya ingin menyelesaikan pekerjaan satu persatu sebelum memulai yang lain.")</f>
        <v>A Saya ingin menyelesaikan pekerjaan satu persatu sebelum memulai yang lain.</v>
      </c>
      <c r="BL77" s="95" t="str">
        <f>IFERROR(__xludf.DUMMYFUNCTION("""COMPUTED_VALUE"""),"A Saya suka belajar saya teratur dan ada waktu-waktu tertentu untuk belajar.")</f>
        <v>A Saya suka belajar saya teratur dan ada waktu-waktu tertentu untuk belajar.</v>
      </c>
      <c r="BM77" s="95" t="str">
        <f>IFERROR(__xludf.DUMMYFUNCTION("""COMPUTED_VALUE"""),"A Saya suka melakukan pekerjaan sebaik mungkin.")</f>
        <v>A Saya suka melakukan pekerjaan sebaik mungkin.</v>
      </c>
      <c r="BN77" s="95" t="str">
        <f>IFERROR(__xludf.DUMMYFUNCTION("""COMPUTED_VALUE"""),"A Saya suka mengerjakan teka-teki atau memecahkan persoalan sampai selesai.")</f>
        <v>A Saya suka mengerjakan teka-teki atau memecahkan persoalan sampai selesai.</v>
      </c>
      <c r="BO77" s="95" t="str">
        <f>IFERROR(__xludf.DUMMYFUNCTION("""COMPUTED_VALUE"""),"B Saya ingin diperlakukan dengan baik oleh teman-teman saya.")</f>
        <v>B Saya ingin diperlakukan dengan baik oleh teman-teman saya.</v>
      </c>
      <c r="BP77" s="95" t="str">
        <f>IFERROR(__xludf.DUMMYFUNCTION("""COMPUTED_VALUE"""),"A Saya ingin menyelesaikan sesuatu yang sangat penting artinya.")</f>
        <v>A Saya ingin menyelesaikan sesuatu yang sangat penting artinya.</v>
      </c>
      <c r="BQ77" s="95" t="str">
        <f>IFERROR(__xludf.DUMMYFUNCTION("""COMPUTED_VALUE"""),"B Saya ingin agar teman-teman menceritakan diri saya apabila saya sakit.")</f>
        <v>B Saya ingin agar teman-teman menceritakan diri saya apabila saya sakit.</v>
      </c>
      <c r="BR77" s="95" t="str">
        <f>IFERROR(__xludf.DUMMYFUNCTION("""COMPUTED_VALUE"""),"A Saya suka memaafkan teman-teman saya yang menyakiti hati saya.")</f>
        <v>A Saya suka memaafkan teman-teman saya yang menyakiti hati saya.</v>
      </c>
      <c r="BS77" s="95" t="str">
        <f>IFERROR(__xludf.DUMMYFUNCTION("""COMPUTED_VALUE"""),"B Saya ingin teman-teman saya membantu saya bila saya mengalami kesulitan")</f>
        <v>B Saya ingin teman-teman saya membantu saya bila saya mengalami kesulitan</v>
      </c>
      <c r="BT77" s="95" t="str">
        <f>IFERROR(__xludf.DUMMYFUNCTION("""COMPUTED_VALUE"""),"B Saya ingin teman-teman banyak menunjukkan rasa sayang mereka terhadap saya.")</f>
        <v>B Saya ingin teman-teman banyak menunjukkan rasa sayang mereka terhadap saya.</v>
      </c>
      <c r="BU77" s="95" t="str">
        <f>IFERROR(__xludf.DUMMYFUNCTION("""COMPUTED_VALUE"""),"B Saya ingin agar teman-teman saya merasa kasihan pada saya apabila saya sakit.")</f>
        <v>B Saya ingin agar teman-teman saya merasa kasihan pada saya apabila saya sakit.</v>
      </c>
      <c r="BV77" s="95" t="str">
        <f>IFERROR(__xludf.DUMMYFUNCTION("""COMPUTED_VALUE"""),"B Saya ingin teman-teman dengan gembira memberikan pertolongan kepada saya.")</f>
        <v>B Saya ingin teman-teman dengan gembira memberikan pertolongan kepada saya.</v>
      </c>
      <c r="BW77" s="95" t="str">
        <f>IFERROR(__xludf.DUMMYFUNCTION("""COMPUTED_VALUE"""),"B Saya ingin diperlakukan dengan baik oleh teman-teman saya.")</f>
        <v>B Saya ingin diperlakukan dengan baik oleh teman-teman saya.</v>
      </c>
      <c r="BX77" s="95" t="str">
        <f>IFERROR(__xludf.DUMMYFUNCTION("""COMPUTED_VALUE"""),"B Saya kadang-kadang suka melakukan hal-hal yang dapat dipuji oleh orang lain.")</f>
        <v>B Saya kadang-kadang suka melakukan hal-hal yang dapat dipuji oleh orang lain.</v>
      </c>
      <c r="BY77" s="95" t="str">
        <f>IFERROR(__xludf.DUMMYFUNCTION("""COMPUTED_VALUE"""),"B Saya ingin orang lain memperhatikan dan berkomentar tentang penampilan saya.")</f>
        <v>B Saya ingin orang lain memperhatikan dan berkomentar tentang penampilan saya.</v>
      </c>
      <c r="BZ77" s="95" t="str">
        <f>IFERROR(__xludf.DUMMYFUNCTION("""COMPUTED_VALUE"""),"B Saya suka diperhatikan, apabila saya ada di dalam suatu kelompok.")</f>
        <v>B Saya suka diperhatikan, apabila saya ada di dalam suatu kelompok.</v>
      </c>
      <c r="CA77" s="95" t="str">
        <f>IFERROR(__xludf.DUMMYFUNCTION("""COMPUTED_VALUE"""),"A Saya ingin teman-teman dengan gembira memberikan pertolongan kepada saya.")</f>
        <v>A Saya ingin teman-teman dengan gembira memberikan pertolongan kepada saya.</v>
      </c>
      <c r="CB77" s="95" t="str">
        <f>IFERROR(__xludf.DUMMYFUNCTION("""COMPUTED_VALUE"""),"B Saya suka berbicara tentang hal-hal yang telah saya capai.")</f>
        <v>B Saya suka berbicara tentang hal-hal yang telah saya capai.</v>
      </c>
      <c r="CC77" s="95" t="str">
        <f>IFERROR(__xludf.DUMMYFUNCTION("""COMPUTED_VALUE"""),"A Apabila saya berkumpul dalam kelompok, saya ingin dihargai teman-teman.")</f>
        <v>A Apabila saya berkumpul dalam kelompok, saya ingin dihargai teman-teman.</v>
      </c>
      <c r="CD77" s="95" t="str">
        <f>IFERROR(__xludf.DUMMYFUNCTION("""COMPUTED_VALUE"""),"A Saya suka menyelesaikan setiap tugas meskipun membutuhkan waktu lama.")</f>
        <v>A Saya suka menyelesaikan setiap tugas meskipun membutuhkan waktu lama.</v>
      </c>
      <c r="CE77" s="95" t="str">
        <f>IFERROR(__xludf.DUMMYFUNCTION("""COMPUTED_VALUE"""),"B Saya kadang-kadang suka melakukan hal-hal yang dapat dipuji oleh orang lain.")</f>
        <v>B Saya kadang-kadang suka melakukan hal-hal yang dapat dipuji oleh orang lain.</v>
      </c>
      <c r="CF77" s="95" t="str">
        <f>IFERROR(__xludf.DUMMYFUNCTION("""COMPUTED_VALUE"""),"A Saya ingin agar hidup saya teratur sesuai cita-cita saya.")</f>
        <v>A Saya ingin agar hidup saya teratur sesuai cita-cita saya.</v>
      </c>
      <c r="CG77" s="95" t="str">
        <f>IFERROR(__xludf.DUMMYFUNCTION("""COMPUTED_VALUE"""),"A Saya ingin berhasil dalam apa yang saya lakukan.")</f>
        <v>A Saya ingin berhasil dalam apa yang saya lakukan.</v>
      </c>
      <c r="CH77" s="95" t="str">
        <f>IFERROR(__xludf.DUMMYFUNCTION("""COMPUTED_VALUE"""),"A Saya ingin bisa melakukan dengan baik sesuatu pekerjaan sulit.")</f>
        <v>A Saya ingin bisa melakukan dengan baik sesuatu pekerjaan sulit.</v>
      </c>
      <c r="CI77" s="95" t="str">
        <f>IFERROR(__xludf.DUMMYFUNCTION("""COMPUTED_VALUE"""),"A Saya suka belajar saya teratur dan ada waktu-waktu tertentu untuk belajar.")</f>
        <v>A Saya suka belajar saya teratur dan ada waktu-waktu tertentu untuk belajar.</v>
      </c>
      <c r="CJ77" s="95" t="str">
        <f>IFERROR(__xludf.DUMMYFUNCTION("""COMPUTED_VALUE"""),"A Saya ingin tidak tergantung dari orang lain terhadap apa yang akan saya lakukan.")</f>
        <v>A Saya ingin tidak tergantung dari orang lain terhadap apa yang akan saya lakukan.</v>
      </c>
      <c r="CK77" s="95" t="str">
        <f>IFERROR(__xludf.DUMMYFUNCTION("""COMPUTED_VALUE"""),"A Saya suka bertahan menghadapi satu masalah, meskipun belum tentu berhasil.")</f>
        <v>A Saya suka bertahan menghadapi satu masalah, meskipun belum tentu berhasil.</v>
      </c>
      <c r="CL77" s="95" t="str">
        <f>IFERROR(__xludf.DUMMYFUNCTION("""COMPUTED_VALUE"""),"A Saya suka menolong teman-teman saya, apabila mereka dalam kesulitan.")</f>
        <v>A Saya suka menolong teman-teman saya, apabila mereka dalam kesulitan.</v>
      </c>
      <c r="CM77" s="95" t="str">
        <f>IFERROR(__xludf.DUMMYFUNCTION("""COMPUTED_VALUE"""),"B Saya merasa kagum pada seseorang.")</f>
        <v>B Saya merasa kagum pada seseorang.</v>
      </c>
      <c r="CN77" s="95" t="str">
        <f>IFERROR(__xludf.DUMMYFUNCTION("""COMPUTED_VALUE"""),"A Saya ingin diperlakukan dengan baik oleh teman-teman saya.")</f>
        <v>A Saya ingin diperlakukan dengan baik oleh teman-teman saya.</v>
      </c>
      <c r="CO77" s="95" t="str">
        <f>IFERROR(__xludf.DUMMYFUNCTION("""COMPUTED_VALUE"""),"A Saya suka menceritakan hal-hal lucu agar diperhatikan oleh orang lain.")</f>
        <v>A Saya suka menceritakan hal-hal lucu agar diperhatikan oleh orang lain.</v>
      </c>
      <c r="CP77" s="95" t="str">
        <f>IFERROR(__xludf.DUMMYFUNCTION("""COMPUTED_VALUE"""),"A Saya suka melamun atau membayangkan sesuatu sendirian.")</f>
        <v>A Saya suka melamun atau membayangkan sesuatu sendirian.</v>
      </c>
      <c r="CQ77" s="95" t="str">
        <f>IFERROR(__xludf.DUMMYFUNCTION("""COMPUTED_VALUE"""),"B Saya merasa kagum pada seseorang.")</f>
        <v>B Saya merasa kagum pada seseorang.</v>
      </c>
      <c r="CR77" s="95" t="str">
        <f>IFERROR(__xludf.DUMMYFUNCTION("""COMPUTED_VALUE"""),"B Saya rasanya ingin mengecam seseorang bila orang itu menjengkelkan.")</f>
        <v>B Saya rasanya ingin mengecam seseorang bila orang itu menjengkelkan.</v>
      </c>
      <c r="CS77" s="95" t="str">
        <f>IFERROR(__xludf.DUMMYFUNCTION("""COMPUTED_VALUE"""),"A Saya ingin terlihat menarik di depan teman-teman saya.")</f>
        <v>A Saya ingin terlihat menarik di depan teman-teman saya.</v>
      </c>
      <c r="CT77" s="95" t="str">
        <f>IFERROR(__xludf.DUMMYFUNCTION("""COMPUTED_VALUE"""),"A Saya ingin orang-orang memperhatikan komentar mengenai penampilan saya.")</f>
        <v>A Saya ingin orang-orang memperhatikan komentar mengenai penampilan saya.</v>
      </c>
      <c r="CU77" s="95" t="str">
        <f>IFERROR(__xludf.DUMMYFUNCTION("""COMPUTED_VALUE"""),"A Saya ingin diperlakukan dengan ramah oleh teman-teman saya.")</f>
        <v>A Saya ingin diperlakukan dengan ramah oleh teman-teman saya.</v>
      </c>
      <c r="CV77" s="95" t="str">
        <f>IFERROR(__xludf.DUMMYFUNCTION("""COMPUTED_VALUE"""),"A Saya ingin ditunjuk atau dipilih sebagai ketua dalam suatu kelompok.")</f>
        <v>A Saya ingin ditunjuk atau dipilih sebagai ketua dalam suatu kelompok.</v>
      </c>
      <c r="CW77" s="95" t="str">
        <f>IFERROR(__xludf.DUMMYFUNCTION("""COMPUTED_VALUE"""),"A Saya suka menolong teman-teman saya, apabila mereka dalam kesulitan.")</f>
        <v>A Saya suka menolong teman-teman saya, apabila mereka dalam kesulitan.</v>
      </c>
      <c r="CX77" s="95" t="str">
        <f>IFERROR(__xludf.DUMMYFUNCTION("""COMPUTED_VALUE"""),"A Saya suka belajar sampai malam untuk menyelesaikan suatu tugas.")</f>
        <v>A Saya suka belajar sampai malam untuk menyelesaikan suatu tugas.</v>
      </c>
      <c r="CY77" s="95" t="str">
        <f>IFERROR(__xludf.DUMMYFUNCTION("""COMPUTED_VALUE"""),"B Saya rasanya ingin membalas dendam bila seseorang menghina saya.")</f>
        <v>B Saya rasanya ingin membalas dendam bila seseorang menghina saya.</v>
      </c>
      <c r="CZ77" s="95" t="str">
        <f>IFERROR(__xludf.DUMMYFUNCTION("""COMPUTED_VALUE"""),"A Saya suka merencanakan dan mengatur setiap pekerjaan yang harus saya lakukan.")</f>
        <v>A Saya suka merencanakan dan mengatur setiap pekerjaan yang harus saya lakukan.</v>
      </c>
      <c r="DA77" s="95" t="str">
        <f>IFERROR(__xludf.DUMMYFUNCTION("""COMPUTED_VALUE"""),"A Saya ingin melakukan apa saja sebaik mungkin.")</f>
        <v>A Saya ingin melakukan apa saja sebaik mungkin.</v>
      </c>
      <c r="DB77" s="89" t="s">
        <v>23</v>
      </c>
      <c r="DC77" s="97" t="str">
        <f t="shared" ref="DC77:GX77" si="122">LEFT(F77,1)</f>
        <v>B</v>
      </c>
      <c r="DD77" s="97" t="str">
        <f t="shared" si="122"/>
        <v>A</v>
      </c>
      <c r="DE77" s="97" t="str">
        <f t="shared" si="122"/>
        <v>B</v>
      </c>
      <c r="DF77" s="97" t="str">
        <f t="shared" si="122"/>
        <v>B</v>
      </c>
      <c r="DG77" s="97" t="str">
        <f t="shared" si="122"/>
        <v>A</v>
      </c>
      <c r="DH77" s="97" t="str">
        <f t="shared" si="122"/>
        <v>A</v>
      </c>
      <c r="DI77" s="97" t="str">
        <f t="shared" si="122"/>
        <v>B</v>
      </c>
      <c r="DJ77" s="97" t="str">
        <f t="shared" si="122"/>
        <v>A</v>
      </c>
      <c r="DK77" s="97" t="str">
        <f t="shared" si="122"/>
        <v>B</v>
      </c>
      <c r="DL77" s="97" t="str">
        <f t="shared" si="122"/>
        <v>B</v>
      </c>
      <c r="DM77" s="97" t="str">
        <f t="shared" si="122"/>
        <v>B</v>
      </c>
      <c r="DN77" s="97" t="str">
        <f t="shared" si="122"/>
        <v>B</v>
      </c>
      <c r="DO77" s="97" t="str">
        <f t="shared" si="122"/>
        <v>B</v>
      </c>
      <c r="DP77" s="97" t="str">
        <f t="shared" si="122"/>
        <v>A</v>
      </c>
      <c r="DQ77" s="97" t="str">
        <f t="shared" si="122"/>
        <v>A</v>
      </c>
      <c r="DR77" s="97" t="str">
        <f t="shared" si="122"/>
        <v>A</v>
      </c>
      <c r="DS77" s="97" t="str">
        <f t="shared" si="122"/>
        <v>B</v>
      </c>
      <c r="DT77" s="97" t="str">
        <f t="shared" si="122"/>
        <v>B</v>
      </c>
      <c r="DU77" s="97" t="str">
        <f t="shared" si="122"/>
        <v>B</v>
      </c>
      <c r="DV77" s="97" t="str">
        <f t="shared" si="122"/>
        <v>A</v>
      </c>
      <c r="DW77" s="97" t="str">
        <f t="shared" si="122"/>
        <v>A</v>
      </c>
      <c r="DX77" s="97" t="str">
        <f t="shared" si="122"/>
        <v>B</v>
      </c>
      <c r="DY77" s="97" t="str">
        <f t="shared" si="122"/>
        <v>B</v>
      </c>
      <c r="DZ77" s="97" t="str">
        <f t="shared" si="122"/>
        <v>A</v>
      </c>
      <c r="EA77" s="97" t="str">
        <f t="shared" si="122"/>
        <v>A</v>
      </c>
      <c r="EB77" s="97" t="str">
        <f t="shared" si="122"/>
        <v>A</v>
      </c>
      <c r="EC77" s="97" t="str">
        <f t="shared" si="122"/>
        <v>A</v>
      </c>
      <c r="ED77" s="97" t="str">
        <f t="shared" si="122"/>
        <v>B</v>
      </c>
      <c r="EE77" s="97" t="str">
        <f t="shared" si="122"/>
        <v>A</v>
      </c>
      <c r="EF77" s="97" t="str">
        <f t="shared" si="122"/>
        <v>B</v>
      </c>
      <c r="EG77" s="97" t="str">
        <f t="shared" si="122"/>
        <v>B</v>
      </c>
      <c r="EH77" s="97" t="str">
        <f t="shared" si="122"/>
        <v>B</v>
      </c>
      <c r="EI77" s="97" t="str">
        <f t="shared" si="122"/>
        <v>B</v>
      </c>
      <c r="EJ77" s="97" t="str">
        <f t="shared" si="122"/>
        <v>A</v>
      </c>
      <c r="EK77" s="97" t="str">
        <f t="shared" si="122"/>
        <v>A</v>
      </c>
      <c r="EL77" s="97" t="str">
        <f t="shared" si="122"/>
        <v>B</v>
      </c>
      <c r="EM77" s="97" t="str">
        <f t="shared" si="122"/>
        <v>B</v>
      </c>
      <c r="EN77" s="97" t="str">
        <f t="shared" si="122"/>
        <v>B</v>
      </c>
      <c r="EO77" s="97" t="str">
        <f t="shared" si="122"/>
        <v>B</v>
      </c>
      <c r="EP77" s="97" t="str">
        <f t="shared" si="122"/>
        <v>A</v>
      </c>
      <c r="EQ77" s="97" t="str">
        <f t="shared" si="122"/>
        <v>B</v>
      </c>
      <c r="ER77" s="97" t="str">
        <f t="shared" si="122"/>
        <v>A</v>
      </c>
      <c r="ES77" s="97" t="str">
        <f t="shared" si="122"/>
        <v>B</v>
      </c>
      <c r="ET77" s="97" t="str">
        <f t="shared" si="122"/>
        <v>A</v>
      </c>
      <c r="EU77" s="97" t="str">
        <f t="shared" si="122"/>
        <v>B</v>
      </c>
      <c r="EV77" s="97" t="str">
        <f t="shared" si="122"/>
        <v>B</v>
      </c>
      <c r="EW77" s="97" t="str">
        <f t="shared" si="122"/>
        <v>A</v>
      </c>
      <c r="EX77" s="97" t="str">
        <f t="shared" si="122"/>
        <v>B</v>
      </c>
      <c r="EY77" s="97" t="str">
        <f t="shared" si="122"/>
        <v>B</v>
      </c>
      <c r="EZ77" s="97" t="str">
        <f t="shared" si="122"/>
        <v>B</v>
      </c>
      <c r="FA77" s="97" t="str">
        <f t="shared" si="122"/>
        <v>B</v>
      </c>
      <c r="FB77" s="97" t="str">
        <f t="shared" si="122"/>
        <v>A</v>
      </c>
      <c r="FC77" s="97" t="str">
        <f t="shared" si="122"/>
        <v>A</v>
      </c>
      <c r="FD77" s="97" t="str">
        <f t="shared" si="122"/>
        <v>A</v>
      </c>
      <c r="FE77" s="97" t="str">
        <f t="shared" si="122"/>
        <v>A</v>
      </c>
      <c r="FF77" s="97" t="str">
        <f t="shared" si="122"/>
        <v>A</v>
      </c>
      <c r="FG77" s="97" t="str">
        <f t="shared" si="122"/>
        <v>B</v>
      </c>
      <c r="FH77" s="97" t="str">
        <f t="shared" si="122"/>
        <v>A</v>
      </c>
      <c r="FI77" s="97" t="str">
        <f t="shared" si="122"/>
        <v>A</v>
      </c>
      <c r="FJ77" s="97" t="str">
        <f t="shared" si="122"/>
        <v>A</v>
      </c>
      <c r="FK77" s="97" t="str">
        <f t="shared" si="122"/>
        <v>A</v>
      </c>
      <c r="FL77" s="97" t="str">
        <f t="shared" si="122"/>
        <v>B</v>
      </c>
      <c r="FM77" s="97" t="str">
        <f t="shared" si="122"/>
        <v>A</v>
      </c>
      <c r="FN77" s="97" t="str">
        <f t="shared" si="122"/>
        <v>B</v>
      </c>
      <c r="FO77" s="97" t="str">
        <f t="shared" si="122"/>
        <v>A</v>
      </c>
      <c r="FP77" s="97" t="str">
        <f t="shared" si="122"/>
        <v>B</v>
      </c>
      <c r="FQ77" s="97" t="str">
        <f t="shared" si="122"/>
        <v>B</v>
      </c>
      <c r="FR77" s="97" t="str">
        <f t="shared" si="122"/>
        <v>B</v>
      </c>
      <c r="FS77" s="97" t="str">
        <f t="shared" si="122"/>
        <v>B</v>
      </c>
      <c r="FT77" s="97" t="str">
        <f t="shared" si="122"/>
        <v>B</v>
      </c>
      <c r="FU77" s="97" t="str">
        <f t="shared" si="122"/>
        <v>B</v>
      </c>
      <c r="FV77" s="97" t="str">
        <f t="shared" si="122"/>
        <v>B</v>
      </c>
      <c r="FW77" s="97" t="str">
        <f t="shared" si="122"/>
        <v>B</v>
      </c>
      <c r="FX77" s="97" t="str">
        <f t="shared" si="122"/>
        <v>A</v>
      </c>
      <c r="FY77" s="97" t="str">
        <f t="shared" si="122"/>
        <v>B</v>
      </c>
      <c r="FZ77" s="97" t="str">
        <f t="shared" si="122"/>
        <v>A</v>
      </c>
      <c r="GA77" s="97" t="str">
        <f t="shared" si="122"/>
        <v>A</v>
      </c>
      <c r="GB77" s="97" t="str">
        <f t="shared" si="122"/>
        <v>B</v>
      </c>
      <c r="GC77" s="97" t="str">
        <f t="shared" si="122"/>
        <v>A</v>
      </c>
      <c r="GD77" s="97" t="str">
        <f t="shared" si="122"/>
        <v>A</v>
      </c>
      <c r="GE77" s="97" t="str">
        <f t="shared" si="122"/>
        <v>A</v>
      </c>
      <c r="GF77" s="97" t="str">
        <f t="shared" si="122"/>
        <v>A</v>
      </c>
      <c r="GG77" s="97" t="str">
        <f t="shared" si="122"/>
        <v>A</v>
      </c>
      <c r="GH77" s="97" t="str">
        <f t="shared" si="122"/>
        <v>A</v>
      </c>
      <c r="GI77" s="97" t="str">
        <f t="shared" si="122"/>
        <v>A</v>
      </c>
      <c r="GJ77" s="97" t="str">
        <f t="shared" si="122"/>
        <v>B</v>
      </c>
      <c r="GK77" s="97" t="str">
        <f t="shared" si="122"/>
        <v>A</v>
      </c>
      <c r="GL77" s="97" t="str">
        <f t="shared" si="122"/>
        <v>A</v>
      </c>
      <c r="GM77" s="97" t="str">
        <f t="shared" si="122"/>
        <v>A</v>
      </c>
      <c r="GN77" s="97" t="str">
        <f t="shared" si="122"/>
        <v>B</v>
      </c>
      <c r="GO77" s="97" t="str">
        <f t="shared" si="122"/>
        <v>B</v>
      </c>
      <c r="GP77" s="97" t="str">
        <f t="shared" si="122"/>
        <v>A</v>
      </c>
      <c r="GQ77" s="97" t="str">
        <f t="shared" si="122"/>
        <v>A</v>
      </c>
      <c r="GR77" s="97" t="str">
        <f t="shared" si="122"/>
        <v>A</v>
      </c>
      <c r="GS77" s="97" t="str">
        <f t="shared" si="122"/>
        <v>A</v>
      </c>
      <c r="GT77" s="97" t="str">
        <f t="shared" si="122"/>
        <v>A</v>
      </c>
      <c r="GU77" s="97" t="str">
        <f t="shared" si="122"/>
        <v>A</v>
      </c>
      <c r="GV77" s="97" t="str">
        <f t="shared" si="122"/>
        <v>B</v>
      </c>
      <c r="GW77" s="97" t="str">
        <f t="shared" si="122"/>
        <v>A</v>
      </c>
      <c r="GX77" s="97" t="str">
        <f t="shared" si="122"/>
        <v>A</v>
      </c>
      <c r="GY77" s="98"/>
      <c r="GZ77" s="97">
        <f t="shared" si="3"/>
        <v>52</v>
      </c>
      <c r="HA77" s="97">
        <f t="shared" si="4"/>
        <v>48</v>
      </c>
      <c r="HB77" s="90">
        <f t="shared" si="5"/>
        <v>100</v>
      </c>
      <c r="HC77" s="99"/>
      <c r="HD77" s="97">
        <f t="shared" si="6"/>
        <v>8</v>
      </c>
      <c r="HE77" s="97">
        <f t="shared" si="7"/>
        <v>5</v>
      </c>
      <c r="HF77" s="90">
        <f t="shared" si="8"/>
        <v>13</v>
      </c>
      <c r="HG77" s="99"/>
      <c r="HH77" s="97">
        <f t="shared" si="9"/>
        <v>6</v>
      </c>
      <c r="HI77" s="97">
        <f t="shared" si="10"/>
        <v>6</v>
      </c>
      <c r="HJ77" s="90">
        <f t="shared" si="11"/>
        <v>12</v>
      </c>
      <c r="HK77" s="99"/>
      <c r="HL77" s="97">
        <f t="shared" si="12"/>
        <v>3</v>
      </c>
      <c r="HM77" s="97">
        <f t="shared" si="13"/>
        <v>4</v>
      </c>
      <c r="HN77" s="90">
        <f t="shared" si="14"/>
        <v>7</v>
      </c>
      <c r="HO77" s="99"/>
      <c r="HP77" s="97">
        <f t="shared" si="15"/>
        <v>5</v>
      </c>
      <c r="HQ77" s="97">
        <f t="shared" si="16"/>
        <v>7</v>
      </c>
      <c r="HR77" s="90">
        <f t="shared" si="17"/>
        <v>12</v>
      </c>
      <c r="HS77" s="99"/>
      <c r="HT77" s="97">
        <f t="shared" si="18"/>
        <v>8</v>
      </c>
      <c r="HU77" s="97">
        <f t="shared" si="19"/>
        <v>7</v>
      </c>
      <c r="HV77" s="90">
        <f t="shared" si="20"/>
        <v>15</v>
      </c>
      <c r="HW77" s="99"/>
      <c r="HX77" s="97">
        <f t="shared" si="21"/>
        <v>5</v>
      </c>
      <c r="HY77" s="97">
        <f t="shared" si="22"/>
        <v>2</v>
      </c>
      <c r="HZ77" s="90">
        <f t="shared" si="23"/>
        <v>7</v>
      </c>
      <c r="IA77" s="99"/>
      <c r="IB77" s="97">
        <f t="shared" si="24"/>
        <v>8</v>
      </c>
      <c r="IC77" s="97">
        <f t="shared" si="25"/>
        <v>7</v>
      </c>
      <c r="ID77" s="90">
        <f t="shared" si="26"/>
        <v>15</v>
      </c>
      <c r="IE77" s="99"/>
      <c r="IF77" s="97">
        <f t="shared" si="27"/>
        <v>4</v>
      </c>
      <c r="IG77" s="97">
        <f t="shared" si="28"/>
        <v>5</v>
      </c>
      <c r="IH77" s="90">
        <f t="shared" si="29"/>
        <v>9</v>
      </c>
      <c r="II77" s="99"/>
      <c r="IJ77" s="97">
        <f t="shared" si="30"/>
        <v>3</v>
      </c>
      <c r="IK77" s="97">
        <f t="shared" si="31"/>
        <v>2</v>
      </c>
      <c r="IL77" s="90">
        <f t="shared" si="32"/>
        <v>5</v>
      </c>
      <c r="IM77" s="99"/>
      <c r="IN77" s="97">
        <f t="shared" si="33"/>
        <v>0</v>
      </c>
      <c r="IO77" s="97">
        <f t="shared" si="34"/>
        <v>2</v>
      </c>
      <c r="IP77" s="90">
        <f t="shared" si="35"/>
        <v>2</v>
      </c>
      <c r="IQ77" s="99"/>
      <c r="IR77" s="99"/>
      <c r="IS77" s="100">
        <f t="shared" si="36"/>
        <v>13</v>
      </c>
      <c r="IT77" s="100">
        <f t="shared" si="37"/>
        <v>12</v>
      </c>
      <c r="IU77" s="100">
        <f t="shared" si="38"/>
        <v>7</v>
      </c>
      <c r="IV77" s="100">
        <f t="shared" si="39"/>
        <v>12</v>
      </c>
      <c r="IW77" s="100">
        <f t="shared" si="40"/>
        <v>15</v>
      </c>
      <c r="IX77" s="100">
        <f t="shared" si="41"/>
        <v>7</v>
      </c>
      <c r="IY77" s="100">
        <f t="shared" si="42"/>
        <v>15</v>
      </c>
      <c r="IZ77" s="100">
        <f t="shared" si="43"/>
        <v>9</v>
      </c>
      <c r="JA77" s="100">
        <f t="shared" si="44"/>
        <v>5</v>
      </c>
      <c r="JB77" s="101">
        <f t="shared" si="45"/>
        <v>2</v>
      </c>
      <c r="JC77" s="102">
        <f t="shared" si="46"/>
        <v>97</v>
      </c>
      <c r="JD77" s="67">
        <f t="shared" si="50"/>
        <v>0</v>
      </c>
      <c r="JE77" s="67">
        <f t="shared" si="47"/>
        <v>1</v>
      </c>
      <c r="JF77" s="67">
        <f t="shared" si="48"/>
        <v>1</v>
      </c>
    </row>
    <row r="78">
      <c r="A78" s="103">
        <f>IFERROR(__xludf.DUMMYFUNCTION("""COMPUTED_VALUE"""),45938.7930762037)</f>
        <v>45938.79308</v>
      </c>
      <c r="B78" s="95" t="str">
        <f>IFERROR(__xludf.DUMMYFUNCTION("""COMPUTED_VALUE"""),"Angga saputra")</f>
        <v>Angga saputra</v>
      </c>
      <c r="C78" s="96" t="str">
        <f>IFERROR(__xludf.DUMMYFUNCTION("""COMPUTED_VALUE"""),"B250017")</f>
        <v>B250017</v>
      </c>
      <c r="D78" s="96" t="str">
        <f>IFERROR(__xludf.DUMMYFUNCTION("""COMPUTED_VALUE"""),"IL Putra")</f>
        <v>IL Putra</v>
      </c>
      <c r="E78" s="96" t="str">
        <f>IFERROR(__xludf.DUMMYFUNCTION("""COMPUTED_VALUE"""),"Ya")</f>
        <v>Ya</v>
      </c>
      <c r="F78" s="95" t="str">
        <f>IFERROR(__xludf.DUMMYFUNCTION("""COMPUTED_VALUE"""),"B Saya ingin melakukan apa saja sebaik mungkin.")</f>
        <v>B Saya ingin melakukan apa saja sebaik mungkin.</v>
      </c>
      <c r="G78" s="95" t="str">
        <f>IFERROR(__xludf.DUMMYFUNCTION("""COMPUTED_VALUE"""),"A Saya ingin setiap tulisan saya teliti, rapi, dan tersusun dengan baik.")</f>
        <v>A Saya ingin setiap tulisan saya teliti, rapi, dan tersusun dengan baik.</v>
      </c>
      <c r="H78" s="95" t="str">
        <f>IFERROR(__xludf.DUMMYFUNCTION("""COMPUTED_VALUE"""),"B Saya ingin menjadi orang yang diakui dalam suatu pekerjaan atau bidang khusus.")</f>
        <v>B Saya ingin menjadi orang yang diakui dalam suatu pekerjaan atau bidang khusus.</v>
      </c>
      <c r="I78" s="95" t="str">
        <f>IFERROR(__xludf.DUMMYFUNCTION("""COMPUTED_VALUE"""),"B Saya ingin bisa melakukan dengan baik meskipun tugas yang sulit.")</f>
        <v>B Saya ingin bisa melakukan dengan baik meskipun tugas yang sulit.</v>
      </c>
      <c r="J78" s="95" t="str">
        <f>IFERROR(__xludf.DUMMYFUNCTION("""COMPUTED_VALUE"""),"A Saya suka membantu teman-teman saya apabila mereka mengalami kesulitan.")</f>
        <v>A Saya suka membantu teman-teman saya apabila mereka mengalami kesulitan.</v>
      </c>
      <c r="K78" s="95" t="str">
        <f>IFERROR(__xludf.DUMMYFUNCTION("""COMPUTED_VALUE"""),"A Saya ingin menjadi pemimpin dalam suatu kelompok.")</f>
        <v>A Saya ingin menjadi pemimpin dalam suatu kelompok.</v>
      </c>
      <c r="L78" s="95" t="str">
        <f>IFERROR(__xludf.DUMMYFUNCTION("""COMPUTED_VALUE"""),"B Saya ingin mengatakan telah melakukan dengan baik sesuatu tugas yang sulit")</f>
        <v>B Saya ingin mengatakan telah melakukan dengan baik sesuatu tugas yang sulit</v>
      </c>
      <c r="M78" s="95" t="str">
        <f>IFERROR(__xludf.DUMMYFUNCTION("""COMPUTED_VALUE"""),"A Saya suka berbicara tentang hal-hal yang telah berhasil saya lakukan.")</f>
        <v>A Saya suka berbicara tentang hal-hal yang telah berhasil saya lakukan.</v>
      </c>
      <c r="N78" s="95" t="str">
        <f>IFERROR(__xludf.DUMMYFUNCTION("""COMPUTED_VALUE"""),"A Saya suka pergi dengan pakaian rapi agar lebih menarik perhatian orang lain.")</f>
        <v>A Saya suka pergi dengan pakaian rapi agar lebih menarik perhatian orang lain.</v>
      </c>
      <c r="O78" s="95" t="str">
        <f>IFERROR(__xludf.DUMMYFUNCTION("""COMPUTED_VALUE"""),"A Saya marah saat ada teman memperolok-olok hal-hal yang saya anggap bodoh.")</f>
        <v>A Saya marah saat ada teman memperolok-olok hal-hal yang saya anggap bodoh.</v>
      </c>
      <c r="P78" s="95" t="str">
        <f>IFERROR(__xludf.DUMMYFUNCTION("""COMPUTED_VALUE"""),"B Saya ingin setiap belajar itu teratur dan direncanakan.")</f>
        <v>B Saya ingin setiap belajar itu teratur dan direncanakan.</v>
      </c>
      <c r="Q78" s="95" t="str">
        <f>IFERROR(__xludf.DUMMYFUNCTION("""COMPUTED_VALUE"""),"A Saya mulai suka dengan lawan jenis.")</f>
        <v>A Saya mulai suka dengan lawan jenis.</v>
      </c>
      <c r="R78" s="95" t="str">
        <f>IFERROR(__xludf.DUMMYFUNCTION("""COMPUTED_VALUE"""),"B Saya suka barang-barang saya tersusun rapi dan teratur.")</f>
        <v>B Saya suka barang-barang saya tersusun rapi dan teratur.</v>
      </c>
      <c r="S78" s="95" t="str">
        <f>IFERROR(__xludf.DUMMYFUNCTION("""COMPUTED_VALUE"""),"A Saya ingin agar teman-teman pengertian bila saya mengalami kesukaran.")</f>
        <v>A Saya ingin agar teman-teman pengertian bila saya mengalami kesukaran.</v>
      </c>
      <c r="T78" s="95" t="str">
        <f>IFERROR(__xludf.DUMMYFUNCTION("""COMPUTED_VALUE"""),"B Saya ingin agar hidup saya teratur sesuai cita-cita saya.")</f>
        <v>B Saya ingin agar hidup saya teratur sesuai cita-cita saya.</v>
      </c>
      <c r="U78" s="95" t="str">
        <f>IFERROR(__xludf.DUMMYFUNCTION("""COMPUTED_VALUE"""),"A Saya suka memberikan bantuan kepada teman-teman saya.")</f>
        <v>A Saya suka memberikan bantuan kepada teman-teman saya.</v>
      </c>
      <c r="V78" s="95" t="str">
        <f>IFERROR(__xludf.DUMMYFUNCTION("""COMPUTED_VALUE"""),"B Saya suka belajar saya teratur dan ada waktu-waktu tertentu untuk belajar.")</f>
        <v>B Saya suka belajar saya teratur dan ada waktu-waktu tertentu untuk belajar.</v>
      </c>
      <c r="W78" s="95" t="str">
        <f>IFERROR(__xludf.DUMMYFUNCTION("""COMPUTED_VALUE"""),"B Saya ingin kegiatan itu teratur dan direncanakan.")</f>
        <v>B Saya ingin kegiatan itu teratur dan direncanakan.</v>
      </c>
      <c r="X78" s="95" t="str">
        <f>IFERROR(__xludf.DUMMYFUNCTION("""COMPUTED_VALUE"""),"A Saya suka merencanakan dan mengatur setiap apa yang harus saya lakukan.")</f>
        <v>A Saya suka merencanakan dan mengatur setiap apa yang harus saya lakukan.</v>
      </c>
      <c r="Y78" s="95" t="str">
        <f>IFERROR(__xludf.DUMMYFUNCTION("""COMPUTED_VALUE"""),"B Saya senang merencanakan untuk masa depan.")</f>
        <v>B Saya senang merencanakan untuk masa depan.</v>
      </c>
      <c r="Z78" s="95" t="str">
        <f>IFERROR(__xludf.DUMMYFUNCTION("""COMPUTED_VALUE"""),"A Saya ingin berhasil dengan belajar yang saya lakukan.")</f>
        <v>A Saya ingin berhasil dengan belajar yang saya lakukan.</v>
      </c>
      <c r="AA78" s="95" t="str">
        <f>IFERROR(__xludf.DUMMYFUNCTION("""COMPUTED_VALUE"""),"B Saya tidak suka pada orang yang berbuat seenaknya sendiri.")</f>
        <v>B Saya tidak suka pada orang yang berbuat seenaknya sendiri.</v>
      </c>
      <c r="AB78" s="95" t="str">
        <f>IFERROR(__xludf.DUMMYFUNCTION("""COMPUTED_VALUE"""),"B Saya ingin menyelesaikan pekerjaan satu persatu sebelum memulai yang lain.")</f>
        <v>B Saya ingin menyelesaikan pekerjaan satu persatu sebelum memulai yang lain.</v>
      </c>
      <c r="AC78" s="95" t="str">
        <f>IFERROR(__xludf.DUMMYFUNCTION("""COMPUTED_VALUE"""),"B Saya suka melakukan kegiatan sesuai kondisi yang saya inginkan.")</f>
        <v>B Saya suka melakukan kegiatan sesuai kondisi yang saya inginkan.</v>
      </c>
      <c r="AD78" s="95" t="str">
        <f>IFERROR(__xludf.DUMMYFUNCTION("""COMPUTED_VALUE"""),"A Saya suka bermurah hati terhadap teman-teman saya.")</f>
        <v>A Saya suka bermurah hati terhadap teman-teman saya.</v>
      </c>
      <c r="AE78" s="95" t="str">
        <f>IFERROR(__xludf.DUMMYFUNCTION("""COMPUTED_VALUE"""),"B Saya suka melakukan hal-hal yang dianggap orang lain tidak sesuai.")</f>
        <v>B Saya suka melakukan hal-hal yang dianggap orang lain tidak sesuai.</v>
      </c>
      <c r="AF78" s="95" t="str">
        <f>IFERROR(__xludf.DUMMYFUNCTION("""COMPUTED_VALUE"""),"A Saya ingin agar teman-teman mengerti bila saya mengalami kesukaran.")</f>
        <v>A Saya ingin agar teman-teman mengerti bila saya mengalami kesukaran.</v>
      </c>
      <c r="AG78" s="95" t="str">
        <f>IFERROR(__xludf.DUMMYFUNCTION("""COMPUTED_VALUE"""),"A Saya mengajari orang lain bagaimana mereka harus melakukan pekerjaan mereka.")</f>
        <v>A Saya mengajari orang lain bagaimana mereka harus melakukan pekerjaan mereka.</v>
      </c>
      <c r="AH78" s="95" t="str">
        <f>IFERROR(__xludf.DUMMYFUNCTION("""COMPUTED_VALUE"""),"A Saya suka membaca buku-buku tentang pergaulan remaja.")</f>
        <v>A Saya suka membaca buku-buku tentang pergaulan remaja.</v>
      </c>
      <c r="AI78" s="95" t="str">
        <f>IFERROR(__xludf.DUMMYFUNCTION("""COMPUTED_VALUE"""),"B Saya suka melakukan kegiatan sesuai kondisi yang saya inginkan.")</f>
        <v>B Saya suka melakukan kegiatan sesuai kondisi yang saya inginkan.</v>
      </c>
      <c r="AJ78" s="95" t="str">
        <f>IFERROR(__xludf.DUMMYFUNCTION("""COMPUTED_VALUE"""),"B Saya suka bertahan menghadapi satu masalah meskipun belum tentu berhasil.")</f>
        <v>B Saya suka bertahan menghadapi satu masalah meskipun belum tentu berhasil.</v>
      </c>
      <c r="AK78" s="95" t="str">
        <f>IFERROR(__xludf.DUMMYFUNCTION("""COMPUTED_VALUE"""),"A Saya suka bercerita tentang hal-hal pribadi yang seharusnya tidak perlu diketahui orang lain.")</f>
        <v>A Saya suka bercerita tentang hal-hal pribadi yang seharusnya tidak perlu diketahui orang lain.</v>
      </c>
      <c r="AL78" s="95" t="str">
        <f>IFERROR(__xludf.DUMMYFUNCTION("""COMPUTED_VALUE"""),"B Saya ingin menghindarkan gangguan bila saya sedang belajar.")</f>
        <v>B Saya ingin menghindarkan gangguan bila saya sedang belajar.</v>
      </c>
      <c r="AM78" s="95" t="str">
        <f>IFERROR(__xludf.DUMMYFUNCTION("""COMPUTED_VALUE"""),"A Saya ingin teman-teman saya merasa kasihan pada saya apabila saya sakit.")</f>
        <v>A Saya ingin teman-teman saya merasa kasihan pada saya apabila saya sakit.</v>
      </c>
      <c r="AN78" s="95" t="str">
        <f>IFERROR(__xludf.DUMMYFUNCTION("""COMPUTED_VALUE"""),"A Saya tidak suka pada orang yang semena-mena.")</f>
        <v>A Saya tidak suka pada orang yang semena-mena.</v>
      </c>
      <c r="AO78" s="95" t="str">
        <f>IFERROR(__xludf.DUMMYFUNCTION("""COMPUTED_VALUE"""),"A Saya suka berlaku sangat ramah terhadap teman-teman saya.")</f>
        <v>A Saya suka berlaku sangat ramah terhadap teman-teman saya.</v>
      </c>
      <c r="AP78" s="95" t="str">
        <f>IFERROR(__xludf.DUMMYFUNCTION("""COMPUTED_VALUE"""),"B Saya suka bertahan menghadapi satu masalah meskipun belum tentu berhasil.")</f>
        <v>B Saya suka bertahan menghadapi satu masalah meskipun belum tentu berhasil.</v>
      </c>
      <c r="AQ78" s="95" t="str">
        <f>IFERROR(__xludf.DUMMYFUNCTION("""COMPUTED_VALUE"""),"B Bila saya harus melakukan suatu tugas, saya ingin mengerjakan sampai selesai.")</f>
        <v>B Bila saya harus melakukan suatu tugas, saya ingin mengerjakan sampai selesai.</v>
      </c>
      <c r="AR78" s="95" t="str">
        <f>IFERROR(__xludf.DUMMYFUNCTION("""COMPUTED_VALUE"""),"A Saya suka menyimpan catatan secara rapi.")</f>
        <v>A Saya suka menyimpan catatan secara rapi.</v>
      </c>
      <c r="AS78" s="95" t="str">
        <f>IFERROR(__xludf.DUMMYFUNCTION("""COMPUTED_VALUE"""),"B Saya suka belajar sampai malam untuk menyelesaikan suatu tugas.")</f>
        <v>B Saya suka belajar sampai malam untuk menyelesaikan suatu tugas.</v>
      </c>
      <c r="AT78" s="95" t="str">
        <f>IFERROR(__xludf.DUMMYFUNCTION("""COMPUTED_VALUE"""),"B Saya suka membantu orang lain yang menurut saya perlu dikasihani.")</f>
        <v>B Saya suka membantu orang lain yang menurut saya perlu dikasihani.</v>
      </c>
      <c r="AU78" s="95" t="str">
        <f>IFERROR(__xludf.DUMMYFUNCTION("""COMPUTED_VALUE"""),"B Saya suka bermurah hati terhadap teman-teman saya.")</f>
        <v>B Saya suka bermurah hati terhadap teman-teman saya.</v>
      </c>
      <c r="AV78" s="95" t="str">
        <f>IFERROR(__xludf.DUMMYFUNCTION("""COMPUTED_VALUE"""),"B Saya suka menolong teman-teman saya.")</f>
        <v>B Saya suka menolong teman-teman saya.</v>
      </c>
      <c r="AW78" s="95" t="str">
        <f>IFERROR(__xludf.DUMMYFUNCTION("""COMPUTED_VALUE"""),"B Saya ingin teman-teman saya percaya bahwa saya bisa menolong mereka.")</f>
        <v>B Saya ingin teman-teman saya percaya bahwa saya bisa menolong mereka.</v>
      </c>
      <c r="AX78" s="95" t="str">
        <f>IFERROR(__xludf.DUMMYFUNCTION("""COMPUTED_VALUE"""),"A Saya suka menolong teman-teman saya apabila mereka dalam kesulitan.")</f>
        <v>A Saya suka menolong teman-teman saya apabila mereka dalam kesulitan.</v>
      </c>
      <c r="AY78" s="95" t="str">
        <f>IFERROR(__xludf.DUMMYFUNCTION("""COMPUTED_VALUE"""),"B Saya suka menolong teman-teman saya apabila mereka dalam kesulitan.")</f>
        <v>B Saya suka menolong teman-teman saya apabila mereka dalam kesulitan.</v>
      </c>
      <c r="AZ78" s="95" t="str">
        <f>IFERROR(__xludf.DUMMYFUNCTION("""COMPUTED_VALUE"""),"A Saya ingin agar teman-teman saya bersimpati dan menghibur saya bila saya sedih.")</f>
        <v>A Saya ingin agar teman-teman saya bersimpati dan menghibur saya bila saya sedih.</v>
      </c>
      <c r="BA78" s="95" t="str">
        <f>IFERROR(__xludf.DUMMYFUNCTION("""COMPUTED_VALUE"""),"B Saya suka memperlakukan orang lain dengan baik dan ramah.")</f>
        <v>B Saya suka memperlakukan orang lain dengan baik dan ramah.</v>
      </c>
      <c r="BB78" s="95" t="str">
        <f>IFERROR(__xludf.DUMMYFUNCTION("""COMPUTED_VALUE"""),"B Saya suka bermurah hati terhadap teman-teman saya.")</f>
        <v>B Saya suka bermurah hati terhadap teman-teman saya.</v>
      </c>
      <c r="BC78" s="95" t="str">
        <f>IFERROR(__xludf.DUMMYFUNCTION("""COMPUTED_VALUE"""),"B Saya suka membantu orang lain yang menurut saya perlu dikasihani.")</f>
        <v>B Saya suka membantu orang lain yang menurut saya perlu dikasihani.</v>
      </c>
      <c r="BD78" s="95" t="str">
        <f>IFERROR(__xludf.DUMMYFUNCTION("""COMPUTED_VALUE"""),"A Saya rasanya ingin menyalahkan orang lain bila keadaan tidak baik bagi saya.")</f>
        <v>A Saya rasanya ingin menyalahkan orang lain bila keadaan tidak baik bagi saya.</v>
      </c>
      <c r="BE78" s="95" t="str">
        <f>IFERROR(__xludf.DUMMYFUNCTION("""COMPUTED_VALUE"""),"A Saya suka mendengarkan atau menceritakan hal-hal yang sebaiknya tidak diceritakan.")</f>
        <v>A Saya suka mendengarkan atau menceritakan hal-hal yang sebaiknya tidak diceritakan.</v>
      </c>
      <c r="BF78" s="95" t="str">
        <f>IFERROR(__xludf.DUMMYFUNCTION("""COMPUTED_VALUE"""),"A Saya ingin orang lain memperhatikan dan berkomentar tentang penampilan saya.")</f>
        <v>A Saya ingin orang lain memperhatikan dan berkomentar tentang penampilan saya.</v>
      </c>
      <c r="BG78" s="95" t="str">
        <f>IFERROR(__xludf.DUMMYFUNCTION("""COMPUTED_VALUE"""),"A Saya ingin teman-teman banyak menunjukkan rasa sayang mereka terhadap saya.")</f>
        <v>A Saya ingin teman-teman banyak menunjukkan rasa sayang mereka terhadap saya.</v>
      </c>
      <c r="BH78" s="95" t="str">
        <f>IFERROR(__xludf.DUMMYFUNCTION("""COMPUTED_VALUE"""),"B Apabila saya berkumpul dalam kelompok, saya ingin dihargai teman-teman.")</f>
        <v>B Apabila saya berkumpul dalam kelompok, saya ingin dihargai teman-teman.</v>
      </c>
      <c r="BI78" s="95" t="str">
        <f>IFERROR(__xludf.DUMMYFUNCTION("""COMPUTED_VALUE"""),"A Saya suka bermurah hati terhadap teman-teman saya.")</f>
        <v>A Saya suka bermurah hati terhadap teman-teman saya.</v>
      </c>
      <c r="BJ78" s="95" t="str">
        <f>IFERROR(__xludf.DUMMYFUNCTION("""COMPUTED_VALUE"""),"A Saya ingin mengerjakan tugas sampai selesai.")</f>
        <v>A Saya ingin mengerjakan tugas sampai selesai.</v>
      </c>
      <c r="BK78" s="95" t="str">
        <f>IFERROR(__xludf.DUMMYFUNCTION("""COMPUTED_VALUE"""),"A Saya ingin menyelesaikan pekerjaan satu persatu sebelum memulai yang lain.")</f>
        <v>A Saya ingin menyelesaikan pekerjaan satu persatu sebelum memulai yang lain.</v>
      </c>
      <c r="BL78" s="95" t="str">
        <f>IFERROR(__xludf.DUMMYFUNCTION("""COMPUTED_VALUE"""),"A Saya suka belajar saya teratur dan ada waktu-waktu tertentu untuk belajar.")</f>
        <v>A Saya suka belajar saya teratur dan ada waktu-waktu tertentu untuk belajar.</v>
      </c>
      <c r="BM78" s="95" t="str">
        <f>IFERROR(__xludf.DUMMYFUNCTION("""COMPUTED_VALUE"""),"A Saya suka melakukan pekerjaan sebaik mungkin.")</f>
        <v>A Saya suka melakukan pekerjaan sebaik mungkin.</v>
      </c>
      <c r="BN78" s="95" t="str">
        <f>IFERROR(__xludf.DUMMYFUNCTION("""COMPUTED_VALUE"""),"B Saya ingin teman-teman memberi dorongan bila saya menghadapi kegagalan.")</f>
        <v>B Saya ingin teman-teman memberi dorongan bila saya menghadapi kegagalan.</v>
      </c>
      <c r="BO78" s="95" t="str">
        <f>IFERROR(__xludf.DUMMYFUNCTION("""COMPUTED_VALUE"""),"B Saya ingin diperlakukan dengan baik oleh teman-teman saya.")</f>
        <v>B Saya ingin diperlakukan dengan baik oleh teman-teman saya.</v>
      </c>
      <c r="BP78" s="95" t="str">
        <f>IFERROR(__xludf.DUMMYFUNCTION("""COMPUTED_VALUE"""),"B Saya ingin teman-teman saya merasa kasihan pada saya apabila saya sakit.")</f>
        <v>B Saya ingin teman-teman saya merasa kasihan pada saya apabila saya sakit.</v>
      </c>
      <c r="BQ78" s="95" t="str">
        <f>IFERROR(__xludf.DUMMYFUNCTION("""COMPUTED_VALUE"""),"B Saya ingin agar teman-teman menceritakan diri saya apabila saya sakit.")</f>
        <v>B Saya ingin agar teman-teman menceritakan diri saya apabila saya sakit.</v>
      </c>
      <c r="BR78" s="95" t="str">
        <f>IFERROR(__xludf.DUMMYFUNCTION("""COMPUTED_VALUE"""),"A Saya suka memaafkan teman-teman saya yang menyakiti hati saya.")</f>
        <v>A Saya suka memaafkan teman-teman saya yang menyakiti hati saya.</v>
      </c>
      <c r="BS78" s="95" t="str">
        <f>IFERROR(__xludf.DUMMYFUNCTION("""COMPUTED_VALUE"""),"B Saya ingin teman-teman saya membantu saya bila saya mengalami kesulitan")</f>
        <v>B Saya ingin teman-teman saya membantu saya bila saya mengalami kesulitan</v>
      </c>
      <c r="BT78" s="95" t="str">
        <f>IFERROR(__xludf.DUMMYFUNCTION("""COMPUTED_VALUE"""),"A Saya ingin teman-teman saya merasa kasihan pada saya apabila saya sakit.")</f>
        <v>A Saya ingin teman-teman saya merasa kasihan pada saya apabila saya sakit.</v>
      </c>
      <c r="BU78" s="95" t="str">
        <f>IFERROR(__xludf.DUMMYFUNCTION("""COMPUTED_VALUE"""),"A Saya kadang-kadang suka melakukan hal-hal yang dapat dipuji oleh orang lain.")</f>
        <v>A Saya kadang-kadang suka melakukan hal-hal yang dapat dipuji oleh orang lain.</v>
      </c>
      <c r="BV78" s="95" t="str">
        <f>IFERROR(__xludf.DUMMYFUNCTION("""COMPUTED_VALUE"""),"B Saya ingin teman-teman dengan gembira memberikan pertolongan kepada saya.")</f>
        <v>B Saya ingin teman-teman dengan gembira memberikan pertolongan kepada saya.</v>
      </c>
      <c r="BW78" s="95" t="str">
        <f>IFERROR(__xludf.DUMMYFUNCTION("""COMPUTED_VALUE"""),"B Saya ingin diperlakukan dengan baik oleh teman-teman saya.")</f>
        <v>B Saya ingin diperlakukan dengan baik oleh teman-teman saya.</v>
      </c>
      <c r="BX78" s="95" t="str">
        <f>IFERROR(__xludf.DUMMYFUNCTION("""COMPUTED_VALUE"""),"B Saya kadang-kadang suka melakukan hal-hal yang dapat dipuji oleh orang lain.")</f>
        <v>B Saya kadang-kadang suka melakukan hal-hal yang dapat dipuji oleh orang lain.</v>
      </c>
      <c r="BY78" s="95" t="str">
        <f>IFERROR(__xludf.DUMMYFUNCTION("""COMPUTED_VALUE"""),"B Saya ingin orang lain memperhatikan dan berkomentar tentang penampilan saya.")</f>
        <v>B Saya ingin orang lain memperhatikan dan berkomentar tentang penampilan saya.</v>
      </c>
      <c r="BZ78" s="95" t="str">
        <f>IFERROR(__xludf.DUMMYFUNCTION("""COMPUTED_VALUE"""),"A Saya suka berkata yang artinya sulit dipahami oleh orang lain.")</f>
        <v>A Saya suka berkata yang artinya sulit dipahami oleh orang lain.</v>
      </c>
      <c r="CA78" s="95" t="str">
        <f>IFERROR(__xludf.DUMMYFUNCTION("""COMPUTED_VALUE"""),"A Saya ingin teman-teman dengan gembira memberikan pertolongan kepada saya.")</f>
        <v>A Saya ingin teman-teman dengan gembira memberikan pertolongan kepada saya.</v>
      </c>
      <c r="CB78" s="95" t="str">
        <f>IFERROR(__xludf.DUMMYFUNCTION("""COMPUTED_VALUE"""),"B Saya suka berbicara tentang hal-hal yang telah saya capai.")</f>
        <v>B Saya suka berbicara tentang hal-hal yang telah saya capai.</v>
      </c>
      <c r="CC78" s="95" t="str">
        <f>IFERROR(__xludf.DUMMYFUNCTION("""COMPUTED_VALUE"""),"A Apabila saya berkumpul dalam kelompok, saya ingin dihargai teman-teman.")</f>
        <v>A Apabila saya berkumpul dalam kelompok, saya ingin dihargai teman-teman.</v>
      </c>
      <c r="CD78" s="95" t="str">
        <f>IFERROR(__xludf.DUMMYFUNCTION("""COMPUTED_VALUE"""),"B Saya suka berkata yang artinya sulit dipahami oleh orang lain.")</f>
        <v>B Saya suka berkata yang artinya sulit dipahami oleh orang lain.</v>
      </c>
      <c r="CE78" s="95" t="str">
        <f>IFERROR(__xludf.DUMMYFUNCTION("""COMPUTED_VALUE"""),"A Saya suka menyelesaikan setiap tugas belajar yang telah saya mulai.")</f>
        <v>A Saya suka menyelesaikan setiap tugas belajar yang telah saya mulai.</v>
      </c>
      <c r="CF78" s="95" t="str">
        <f>IFERROR(__xludf.DUMMYFUNCTION("""COMPUTED_VALUE"""),"A Saya ingin agar hidup saya teratur sesuai cita-cita saya.")</f>
        <v>A Saya ingin agar hidup saya teratur sesuai cita-cita saya.</v>
      </c>
      <c r="CG78" s="95" t="str">
        <f>IFERROR(__xludf.DUMMYFUNCTION("""COMPUTED_VALUE"""),"A Saya ingin berhasil dalam apa yang saya lakukan.")</f>
        <v>A Saya ingin berhasil dalam apa yang saya lakukan.</v>
      </c>
      <c r="CH78" s="95" t="str">
        <f>IFERROR(__xludf.DUMMYFUNCTION("""COMPUTED_VALUE"""),"B Saya suka dengan orang yang berpenampilan menarik.")</f>
        <v>B Saya suka dengan orang yang berpenampilan menarik.</v>
      </c>
      <c r="CI78" s="95" t="str">
        <f>IFERROR(__xludf.DUMMYFUNCTION("""COMPUTED_VALUE"""),"A Saya suka belajar saya teratur dan ada waktu-waktu tertentu untuk belajar.")</f>
        <v>A Saya suka belajar saya teratur dan ada waktu-waktu tertentu untuk belajar.</v>
      </c>
      <c r="CJ78" s="95" t="str">
        <f>IFERROR(__xludf.DUMMYFUNCTION("""COMPUTED_VALUE"""),"A Saya ingin tidak tergantung dari orang lain terhadap apa yang akan saya lakukan.")</f>
        <v>A Saya ingin tidak tergantung dari orang lain terhadap apa yang akan saya lakukan.</v>
      </c>
      <c r="CK78" s="95" t="str">
        <f>IFERROR(__xludf.DUMMYFUNCTION("""COMPUTED_VALUE"""),"B Saya senang ikut beraktivitas bersama teman sebaya saya.")</f>
        <v>B Saya senang ikut beraktivitas bersama teman sebaya saya.</v>
      </c>
      <c r="CL78" s="95" t="str">
        <f>IFERROR(__xludf.DUMMYFUNCTION("""COMPUTED_VALUE"""),"A Saya suka menolong teman-teman saya, apabila mereka dalam kesulitan.")</f>
        <v>A Saya suka menolong teman-teman saya, apabila mereka dalam kesulitan.</v>
      </c>
      <c r="CM78" s="95" t="str">
        <f>IFERROR(__xludf.DUMMYFUNCTION("""COMPUTED_VALUE"""),"B Saya merasa kagum pada seseorang.")</f>
        <v>B Saya merasa kagum pada seseorang.</v>
      </c>
      <c r="CN78" s="95" t="str">
        <f>IFERROR(__xludf.DUMMYFUNCTION("""COMPUTED_VALUE"""),"B Saya suka mendengarkan atau menceritakan hal-hal yang tidak pantas.")</f>
        <v>B Saya suka mendengarkan atau menceritakan hal-hal yang tidak pantas.</v>
      </c>
      <c r="CO78" s="95" t="str">
        <f>IFERROR(__xludf.DUMMYFUNCTION("""COMPUTED_VALUE"""),"A Saya suka menceritakan hal-hal lucu agar diperhatikan oleh orang lain.")</f>
        <v>A Saya suka menceritakan hal-hal lucu agar diperhatikan oleh orang lain.</v>
      </c>
      <c r="CP78" s="95" t="str">
        <f>IFERROR(__xludf.DUMMYFUNCTION("""COMPUTED_VALUE"""),"A Saya suka melamun atau membayangkan sesuatu sendirian.")</f>
        <v>A Saya suka melamun atau membayangkan sesuatu sendirian.</v>
      </c>
      <c r="CQ78" s="95" t="str">
        <f>IFERROR(__xludf.DUMMYFUNCTION("""COMPUTED_VALUE"""),"B Saya merasa kagum pada seseorang.")</f>
        <v>B Saya merasa kagum pada seseorang.</v>
      </c>
      <c r="CR78" s="95" t="str">
        <f>IFERROR(__xludf.DUMMYFUNCTION("""COMPUTED_VALUE"""),"B Saya rasanya ingin mengecam seseorang bila orang itu menjengkelkan.")</f>
        <v>B Saya rasanya ingin mengecam seseorang bila orang itu menjengkelkan.</v>
      </c>
      <c r="CS78" s="95" t="str">
        <f>IFERROR(__xludf.DUMMYFUNCTION("""COMPUTED_VALUE"""),"A Saya ingin terlihat menarik di depan teman-teman saya.")</f>
        <v>A Saya ingin terlihat menarik di depan teman-teman saya.</v>
      </c>
      <c r="CT78" s="95" t="str">
        <f>IFERROR(__xludf.DUMMYFUNCTION("""COMPUTED_VALUE"""),"A Saya ingin orang-orang memperhatikan komentar mengenai penampilan saya.")</f>
        <v>A Saya ingin orang-orang memperhatikan komentar mengenai penampilan saya.</v>
      </c>
      <c r="CU78" s="95" t="str">
        <f>IFERROR(__xludf.DUMMYFUNCTION("""COMPUTED_VALUE"""),"A Saya ingin diperlakukan dengan ramah oleh teman-teman saya.")</f>
        <v>A Saya ingin diperlakukan dengan ramah oleh teman-teman saya.</v>
      </c>
      <c r="CV78" s="95" t="str">
        <f>IFERROR(__xludf.DUMMYFUNCTION("""COMPUTED_VALUE"""),"B Saya menyerang pendirian-pendirian yang bertentangan dengan pendirian saya.")</f>
        <v>B Saya menyerang pendirian-pendirian yang bertentangan dengan pendirian saya.</v>
      </c>
      <c r="CW78" s="95" t="str">
        <f>IFERROR(__xludf.DUMMYFUNCTION("""COMPUTED_VALUE"""),"A Saya suka menolong teman-teman saya, apabila mereka dalam kesulitan.")</f>
        <v>A Saya suka menolong teman-teman saya, apabila mereka dalam kesulitan.</v>
      </c>
      <c r="CX78" s="95" t="str">
        <f>IFERROR(__xludf.DUMMYFUNCTION("""COMPUTED_VALUE"""),"B Saya ingin memperolok-olok orang yang saya anggap melakukan tindakan bodoh.")</f>
        <v>B Saya ingin memperolok-olok orang yang saya anggap melakukan tindakan bodoh.</v>
      </c>
      <c r="CY78" s="95" t="str">
        <f>IFERROR(__xludf.DUMMYFUNCTION("""COMPUTED_VALUE"""),"A Saya ingin tidak tergantung dari orang lain terhadap apa yang akan saya lakukan.")</f>
        <v>A Saya ingin tidak tergantung dari orang lain terhadap apa yang akan saya lakukan.</v>
      </c>
      <c r="CZ78" s="95" t="str">
        <f>IFERROR(__xludf.DUMMYFUNCTION("""COMPUTED_VALUE"""),"B Saya rasanya ingin menggertak orang bila saya berbeda pendapat dengan mereka.")</f>
        <v>B Saya rasanya ingin menggertak orang bila saya berbeda pendapat dengan mereka.</v>
      </c>
      <c r="DA78" s="95" t="str">
        <f>IFERROR(__xludf.DUMMYFUNCTION("""COMPUTED_VALUE"""),"A Saya ingin melakukan apa saja sebaik mungkin.")</f>
        <v>A Saya ingin melakukan apa saja sebaik mungkin.</v>
      </c>
      <c r="DB78" s="89" t="s">
        <v>23</v>
      </c>
      <c r="DC78" s="97" t="str">
        <f t="shared" ref="DC78:GX78" si="123">LEFT(F78,1)</f>
        <v>B</v>
      </c>
      <c r="DD78" s="97" t="str">
        <f t="shared" si="123"/>
        <v>A</v>
      </c>
      <c r="DE78" s="97" t="str">
        <f t="shared" si="123"/>
        <v>B</v>
      </c>
      <c r="DF78" s="97" t="str">
        <f t="shared" si="123"/>
        <v>B</v>
      </c>
      <c r="DG78" s="97" t="str">
        <f t="shared" si="123"/>
        <v>A</v>
      </c>
      <c r="DH78" s="97" t="str">
        <f t="shared" si="123"/>
        <v>A</v>
      </c>
      <c r="DI78" s="97" t="str">
        <f t="shared" si="123"/>
        <v>B</v>
      </c>
      <c r="DJ78" s="97" t="str">
        <f t="shared" si="123"/>
        <v>A</v>
      </c>
      <c r="DK78" s="97" t="str">
        <f t="shared" si="123"/>
        <v>A</v>
      </c>
      <c r="DL78" s="97" t="str">
        <f t="shared" si="123"/>
        <v>A</v>
      </c>
      <c r="DM78" s="97" t="str">
        <f t="shared" si="123"/>
        <v>B</v>
      </c>
      <c r="DN78" s="97" t="str">
        <f t="shared" si="123"/>
        <v>A</v>
      </c>
      <c r="DO78" s="97" t="str">
        <f t="shared" si="123"/>
        <v>B</v>
      </c>
      <c r="DP78" s="97" t="str">
        <f t="shared" si="123"/>
        <v>A</v>
      </c>
      <c r="DQ78" s="97" t="str">
        <f t="shared" si="123"/>
        <v>B</v>
      </c>
      <c r="DR78" s="97" t="str">
        <f t="shared" si="123"/>
        <v>A</v>
      </c>
      <c r="DS78" s="97" t="str">
        <f t="shared" si="123"/>
        <v>B</v>
      </c>
      <c r="DT78" s="97" t="str">
        <f t="shared" si="123"/>
        <v>B</v>
      </c>
      <c r="DU78" s="97" t="str">
        <f t="shared" si="123"/>
        <v>A</v>
      </c>
      <c r="DV78" s="97" t="str">
        <f t="shared" si="123"/>
        <v>B</v>
      </c>
      <c r="DW78" s="97" t="str">
        <f t="shared" si="123"/>
        <v>A</v>
      </c>
      <c r="DX78" s="97" t="str">
        <f t="shared" si="123"/>
        <v>B</v>
      </c>
      <c r="DY78" s="97" t="str">
        <f t="shared" si="123"/>
        <v>B</v>
      </c>
      <c r="DZ78" s="97" t="str">
        <f t="shared" si="123"/>
        <v>B</v>
      </c>
      <c r="EA78" s="97" t="str">
        <f t="shared" si="123"/>
        <v>A</v>
      </c>
      <c r="EB78" s="97" t="str">
        <f t="shared" si="123"/>
        <v>B</v>
      </c>
      <c r="EC78" s="97" t="str">
        <f t="shared" si="123"/>
        <v>A</v>
      </c>
      <c r="ED78" s="97" t="str">
        <f t="shared" si="123"/>
        <v>A</v>
      </c>
      <c r="EE78" s="97" t="str">
        <f t="shared" si="123"/>
        <v>A</v>
      </c>
      <c r="EF78" s="97" t="str">
        <f t="shared" si="123"/>
        <v>B</v>
      </c>
      <c r="EG78" s="97" t="str">
        <f t="shared" si="123"/>
        <v>B</v>
      </c>
      <c r="EH78" s="97" t="str">
        <f t="shared" si="123"/>
        <v>A</v>
      </c>
      <c r="EI78" s="97" t="str">
        <f t="shared" si="123"/>
        <v>B</v>
      </c>
      <c r="EJ78" s="97" t="str">
        <f t="shared" si="123"/>
        <v>A</v>
      </c>
      <c r="EK78" s="97" t="str">
        <f t="shared" si="123"/>
        <v>A</v>
      </c>
      <c r="EL78" s="97" t="str">
        <f t="shared" si="123"/>
        <v>A</v>
      </c>
      <c r="EM78" s="97" t="str">
        <f t="shared" si="123"/>
        <v>B</v>
      </c>
      <c r="EN78" s="97" t="str">
        <f t="shared" si="123"/>
        <v>B</v>
      </c>
      <c r="EO78" s="97" t="str">
        <f t="shared" si="123"/>
        <v>A</v>
      </c>
      <c r="EP78" s="97" t="str">
        <f t="shared" si="123"/>
        <v>B</v>
      </c>
      <c r="EQ78" s="97" t="str">
        <f t="shared" si="123"/>
        <v>B</v>
      </c>
      <c r="ER78" s="97" t="str">
        <f t="shared" si="123"/>
        <v>B</v>
      </c>
      <c r="ES78" s="97" t="str">
        <f t="shared" si="123"/>
        <v>B</v>
      </c>
      <c r="ET78" s="97" t="str">
        <f t="shared" si="123"/>
        <v>B</v>
      </c>
      <c r="EU78" s="97" t="str">
        <f t="shared" si="123"/>
        <v>A</v>
      </c>
      <c r="EV78" s="97" t="str">
        <f t="shared" si="123"/>
        <v>B</v>
      </c>
      <c r="EW78" s="97" t="str">
        <f t="shared" si="123"/>
        <v>A</v>
      </c>
      <c r="EX78" s="97" t="str">
        <f t="shared" si="123"/>
        <v>B</v>
      </c>
      <c r="EY78" s="97" t="str">
        <f t="shared" si="123"/>
        <v>B</v>
      </c>
      <c r="EZ78" s="97" t="str">
        <f t="shared" si="123"/>
        <v>B</v>
      </c>
      <c r="FA78" s="97" t="str">
        <f t="shared" si="123"/>
        <v>A</v>
      </c>
      <c r="FB78" s="97" t="str">
        <f t="shared" si="123"/>
        <v>A</v>
      </c>
      <c r="FC78" s="97" t="str">
        <f t="shared" si="123"/>
        <v>A</v>
      </c>
      <c r="FD78" s="97" t="str">
        <f t="shared" si="123"/>
        <v>A</v>
      </c>
      <c r="FE78" s="97" t="str">
        <f t="shared" si="123"/>
        <v>B</v>
      </c>
      <c r="FF78" s="97" t="str">
        <f t="shared" si="123"/>
        <v>A</v>
      </c>
      <c r="FG78" s="97" t="str">
        <f t="shared" si="123"/>
        <v>A</v>
      </c>
      <c r="FH78" s="97" t="str">
        <f t="shared" si="123"/>
        <v>A</v>
      </c>
      <c r="FI78" s="97" t="str">
        <f t="shared" si="123"/>
        <v>A</v>
      </c>
      <c r="FJ78" s="97" t="str">
        <f t="shared" si="123"/>
        <v>A</v>
      </c>
      <c r="FK78" s="97" t="str">
        <f t="shared" si="123"/>
        <v>B</v>
      </c>
      <c r="FL78" s="97" t="str">
        <f t="shared" si="123"/>
        <v>B</v>
      </c>
      <c r="FM78" s="97" t="str">
        <f t="shared" si="123"/>
        <v>B</v>
      </c>
      <c r="FN78" s="97" t="str">
        <f t="shared" si="123"/>
        <v>B</v>
      </c>
      <c r="FO78" s="97" t="str">
        <f t="shared" si="123"/>
        <v>A</v>
      </c>
      <c r="FP78" s="97" t="str">
        <f t="shared" si="123"/>
        <v>B</v>
      </c>
      <c r="FQ78" s="97" t="str">
        <f t="shared" si="123"/>
        <v>A</v>
      </c>
      <c r="FR78" s="97" t="str">
        <f t="shared" si="123"/>
        <v>A</v>
      </c>
      <c r="FS78" s="97" t="str">
        <f t="shared" si="123"/>
        <v>B</v>
      </c>
      <c r="FT78" s="97" t="str">
        <f t="shared" si="123"/>
        <v>B</v>
      </c>
      <c r="FU78" s="97" t="str">
        <f t="shared" si="123"/>
        <v>B</v>
      </c>
      <c r="FV78" s="97" t="str">
        <f t="shared" si="123"/>
        <v>B</v>
      </c>
      <c r="FW78" s="97" t="str">
        <f t="shared" si="123"/>
        <v>A</v>
      </c>
      <c r="FX78" s="97" t="str">
        <f t="shared" si="123"/>
        <v>A</v>
      </c>
      <c r="FY78" s="97" t="str">
        <f t="shared" si="123"/>
        <v>B</v>
      </c>
      <c r="FZ78" s="97" t="str">
        <f t="shared" si="123"/>
        <v>A</v>
      </c>
      <c r="GA78" s="97" t="str">
        <f t="shared" si="123"/>
        <v>B</v>
      </c>
      <c r="GB78" s="97" t="str">
        <f t="shared" si="123"/>
        <v>A</v>
      </c>
      <c r="GC78" s="97" t="str">
        <f t="shared" si="123"/>
        <v>A</v>
      </c>
      <c r="GD78" s="97" t="str">
        <f t="shared" si="123"/>
        <v>A</v>
      </c>
      <c r="GE78" s="97" t="str">
        <f t="shared" si="123"/>
        <v>B</v>
      </c>
      <c r="GF78" s="97" t="str">
        <f t="shared" si="123"/>
        <v>A</v>
      </c>
      <c r="GG78" s="97" t="str">
        <f t="shared" si="123"/>
        <v>A</v>
      </c>
      <c r="GH78" s="97" t="str">
        <f t="shared" si="123"/>
        <v>B</v>
      </c>
      <c r="GI78" s="97" t="str">
        <f t="shared" si="123"/>
        <v>A</v>
      </c>
      <c r="GJ78" s="97" t="str">
        <f t="shared" si="123"/>
        <v>B</v>
      </c>
      <c r="GK78" s="97" t="str">
        <f t="shared" si="123"/>
        <v>B</v>
      </c>
      <c r="GL78" s="97" t="str">
        <f t="shared" si="123"/>
        <v>A</v>
      </c>
      <c r="GM78" s="97" t="str">
        <f t="shared" si="123"/>
        <v>A</v>
      </c>
      <c r="GN78" s="97" t="str">
        <f t="shared" si="123"/>
        <v>B</v>
      </c>
      <c r="GO78" s="97" t="str">
        <f t="shared" si="123"/>
        <v>B</v>
      </c>
      <c r="GP78" s="97" t="str">
        <f t="shared" si="123"/>
        <v>A</v>
      </c>
      <c r="GQ78" s="97" t="str">
        <f t="shared" si="123"/>
        <v>A</v>
      </c>
      <c r="GR78" s="97" t="str">
        <f t="shared" si="123"/>
        <v>A</v>
      </c>
      <c r="GS78" s="97" t="str">
        <f t="shared" si="123"/>
        <v>B</v>
      </c>
      <c r="GT78" s="97" t="str">
        <f t="shared" si="123"/>
        <v>A</v>
      </c>
      <c r="GU78" s="97" t="str">
        <f t="shared" si="123"/>
        <v>B</v>
      </c>
      <c r="GV78" s="97" t="str">
        <f t="shared" si="123"/>
        <v>A</v>
      </c>
      <c r="GW78" s="97" t="str">
        <f t="shared" si="123"/>
        <v>B</v>
      </c>
      <c r="GX78" s="97" t="str">
        <f t="shared" si="123"/>
        <v>A</v>
      </c>
      <c r="GY78" s="98"/>
      <c r="GZ78" s="97">
        <f t="shared" si="3"/>
        <v>51</v>
      </c>
      <c r="HA78" s="97">
        <f t="shared" si="4"/>
        <v>49</v>
      </c>
      <c r="HB78" s="90">
        <f t="shared" si="5"/>
        <v>100</v>
      </c>
      <c r="HC78" s="99"/>
      <c r="HD78" s="97">
        <f t="shared" si="6"/>
        <v>4</v>
      </c>
      <c r="HE78" s="97">
        <f t="shared" si="7"/>
        <v>3</v>
      </c>
      <c r="HF78" s="90">
        <f t="shared" si="8"/>
        <v>7</v>
      </c>
      <c r="HG78" s="99"/>
      <c r="HH78" s="97">
        <f t="shared" si="9"/>
        <v>5</v>
      </c>
      <c r="HI78" s="97">
        <f t="shared" si="10"/>
        <v>6</v>
      </c>
      <c r="HJ78" s="90">
        <f t="shared" si="11"/>
        <v>11</v>
      </c>
      <c r="HK78" s="99"/>
      <c r="HL78" s="97">
        <f t="shared" si="12"/>
        <v>4</v>
      </c>
      <c r="HM78" s="97">
        <f t="shared" si="13"/>
        <v>5</v>
      </c>
      <c r="HN78" s="90">
        <f t="shared" si="14"/>
        <v>9</v>
      </c>
      <c r="HO78" s="99"/>
      <c r="HP78" s="97">
        <f t="shared" si="15"/>
        <v>1</v>
      </c>
      <c r="HQ78" s="97">
        <f t="shared" si="16"/>
        <v>5</v>
      </c>
      <c r="HR78" s="90">
        <f t="shared" si="17"/>
        <v>6</v>
      </c>
      <c r="HS78" s="99"/>
      <c r="HT78" s="97">
        <f t="shared" si="18"/>
        <v>9</v>
      </c>
      <c r="HU78" s="97">
        <f t="shared" si="19"/>
        <v>8</v>
      </c>
      <c r="HV78" s="90">
        <f t="shared" si="20"/>
        <v>17</v>
      </c>
      <c r="HW78" s="99"/>
      <c r="HX78" s="97">
        <f t="shared" si="21"/>
        <v>2</v>
      </c>
      <c r="HY78" s="97">
        <f t="shared" si="22"/>
        <v>1</v>
      </c>
      <c r="HZ78" s="90">
        <f t="shared" si="23"/>
        <v>3</v>
      </c>
      <c r="IA78" s="99"/>
      <c r="IB78" s="97">
        <f t="shared" si="24"/>
        <v>7</v>
      </c>
      <c r="IC78" s="97">
        <f t="shared" si="25"/>
        <v>7</v>
      </c>
      <c r="ID78" s="90">
        <f t="shared" si="26"/>
        <v>14</v>
      </c>
      <c r="IE78" s="99"/>
      <c r="IF78" s="97">
        <f t="shared" si="27"/>
        <v>6</v>
      </c>
      <c r="IG78" s="97">
        <f t="shared" si="28"/>
        <v>4</v>
      </c>
      <c r="IH78" s="90">
        <f t="shared" si="29"/>
        <v>10</v>
      </c>
      <c r="II78" s="99"/>
      <c r="IJ78" s="97">
        <f t="shared" si="30"/>
        <v>6</v>
      </c>
      <c r="IK78" s="97">
        <f t="shared" si="31"/>
        <v>5</v>
      </c>
      <c r="IL78" s="90">
        <f t="shared" si="32"/>
        <v>11</v>
      </c>
      <c r="IM78" s="99"/>
      <c r="IN78" s="97">
        <f t="shared" si="33"/>
        <v>2</v>
      </c>
      <c r="IO78" s="97">
        <f t="shared" si="34"/>
        <v>4</v>
      </c>
      <c r="IP78" s="90">
        <f t="shared" si="35"/>
        <v>6</v>
      </c>
      <c r="IQ78" s="99"/>
      <c r="IR78" s="99"/>
      <c r="IS78" s="100">
        <f t="shared" si="36"/>
        <v>7</v>
      </c>
      <c r="IT78" s="100">
        <f t="shared" si="37"/>
        <v>11</v>
      </c>
      <c r="IU78" s="100">
        <f t="shared" si="38"/>
        <v>9</v>
      </c>
      <c r="IV78" s="100">
        <f t="shared" si="39"/>
        <v>6</v>
      </c>
      <c r="IW78" s="100">
        <f t="shared" si="40"/>
        <v>17</v>
      </c>
      <c r="IX78" s="100">
        <f t="shared" si="41"/>
        <v>3</v>
      </c>
      <c r="IY78" s="100">
        <f t="shared" si="42"/>
        <v>14</v>
      </c>
      <c r="IZ78" s="100">
        <f t="shared" si="43"/>
        <v>10</v>
      </c>
      <c r="JA78" s="100">
        <f t="shared" si="44"/>
        <v>11</v>
      </c>
      <c r="JB78" s="101">
        <f t="shared" si="45"/>
        <v>6</v>
      </c>
      <c r="JC78" s="102">
        <f t="shared" si="46"/>
        <v>94</v>
      </c>
      <c r="JD78" s="67">
        <f t="shared" si="50"/>
        <v>0</v>
      </c>
      <c r="JE78" s="67">
        <f t="shared" si="47"/>
        <v>3</v>
      </c>
      <c r="JF78" s="67">
        <f t="shared" si="48"/>
        <v>3</v>
      </c>
    </row>
    <row r="79">
      <c r="A79" s="103">
        <f>IFERROR(__xludf.DUMMYFUNCTION("""COMPUTED_VALUE"""),45939.49267136574)</f>
        <v>45939.49267</v>
      </c>
      <c r="B79" s="95" t="str">
        <f>IFERROR(__xludf.DUMMYFUNCTION("""COMPUTED_VALUE"""),"Malka Firdaus Syarif ")</f>
        <v>Malka Firdaus Syarif </v>
      </c>
      <c r="C79" s="96" t="str">
        <f>IFERROR(__xludf.DUMMYFUNCTION("""COMPUTED_VALUE"""),"A250021")</f>
        <v>A250021</v>
      </c>
      <c r="D79" s="96" t="str">
        <f>IFERROR(__xludf.DUMMYFUNCTION("""COMPUTED_VALUE"""),"MTs Putra")</f>
        <v>MTs Putra</v>
      </c>
      <c r="E79" s="96" t="str">
        <f>IFERROR(__xludf.DUMMYFUNCTION("""COMPUTED_VALUE"""),"Ya")</f>
        <v>Ya</v>
      </c>
      <c r="F79" s="95" t="str">
        <f>IFERROR(__xludf.DUMMYFUNCTION("""COMPUTED_VALUE"""),"B Saya ingin melakukan apa saja sebaik mungkin.")</f>
        <v>B Saya ingin melakukan apa saja sebaik mungkin.</v>
      </c>
      <c r="G79" s="95" t="str">
        <f>IFERROR(__xludf.DUMMYFUNCTION("""COMPUTED_VALUE"""),"B Saya ingin menyelesaikan tugas yang segera dikumpulkan.")</f>
        <v>B Saya ingin menyelesaikan tugas yang segera dikumpulkan.</v>
      </c>
      <c r="H79" s="95" t="str">
        <f>IFERROR(__xludf.DUMMYFUNCTION("""COMPUTED_VALUE"""),"A Saya ingin berbuat sesuai kata hati saya.")</f>
        <v>A Saya ingin berbuat sesuai kata hati saya.</v>
      </c>
      <c r="I79" s="95" t="str">
        <f>IFERROR(__xludf.DUMMYFUNCTION("""COMPUTED_VALUE"""),"B Saya ingin bisa melakukan dengan baik meskipun tugas yang sulit.")</f>
        <v>B Saya ingin bisa melakukan dengan baik meskipun tugas yang sulit.</v>
      </c>
      <c r="J79" s="95" t="str">
        <f>IFERROR(__xludf.DUMMYFUNCTION("""COMPUTED_VALUE"""),"A Saya suka membantu teman-teman saya apabila mereka mengalami kesulitan.")</f>
        <v>A Saya suka membantu teman-teman saya apabila mereka mengalami kesulitan.</v>
      </c>
      <c r="K79" s="95" t="str">
        <f>IFERROR(__xludf.DUMMYFUNCTION("""COMPUTED_VALUE"""),"A Saya ingin menjadi pemimpin dalam suatu kelompok.")</f>
        <v>A Saya ingin menjadi pemimpin dalam suatu kelompok.</v>
      </c>
      <c r="L79" s="95" t="str">
        <f>IFERROR(__xludf.DUMMYFUNCTION("""COMPUTED_VALUE"""),"A Saya ingin menjadi pemimpin dalam suatu kelompok")</f>
        <v>A Saya ingin menjadi pemimpin dalam suatu kelompok</v>
      </c>
      <c r="M79" s="95" t="str">
        <f>IFERROR(__xludf.DUMMYFUNCTION("""COMPUTED_VALUE"""),"B Saya ingin mengerjakan segala tugas lebih baik daripada orang lain.")</f>
        <v>B Saya ingin mengerjakan segala tugas lebih baik daripada orang lain.</v>
      </c>
      <c r="N79" s="95" t="str">
        <f>IFERROR(__xludf.DUMMYFUNCTION("""COMPUTED_VALUE"""),"B Saya suka memecahkan persoalan yang sukar bagi orang lain.")</f>
        <v>B Saya suka memecahkan persoalan yang sukar bagi orang lain.</v>
      </c>
      <c r="O79" s="95" t="str">
        <f>IFERROR(__xludf.DUMMYFUNCTION("""COMPUTED_VALUE"""),"B Saya suka melakukan tugas sebaik mungkin.")</f>
        <v>B Saya suka melakukan tugas sebaik mungkin.</v>
      </c>
      <c r="P79" s="95" t="str">
        <f>IFERROR(__xludf.DUMMYFUNCTION("""COMPUTED_VALUE"""),"B Saya ingin setiap belajar itu teratur dan direncanakan.")</f>
        <v>B Saya ingin setiap belajar itu teratur dan direncanakan.</v>
      </c>
      <c r="Q79" s="95" t="str">
        <f>IFERROR(__xludf.DUMMYFUNCTION("""COMPUTED_VALUE"""),"B Saya merencanakan keperluan yang dibutuhkan sebelum bepergian.")</f>
        <v>B Saya merencanakan keperluan yang dibutuhkan sebelum bepergian.</v>
      </c>
      <c r="R79" s="95" t="str">
        <f>IFERROR(__xludf.DUMMYFUNCTION("""COMPUTED_VALUE"""),"B Saya suka barang-barang saya tersusun rapi dan teratur.")</f>
        <v>B Saya suka barang-barang saya tersusun rapi dan teratur.</v>
      </c>
      <c r="S79" s="95" t="str">
        <f>IFERROR(__xludf.DUMMYFUNCTION("""COMPUTED_VALUE"""),"B Saya suka membuat perencanaan sebelum memulai tugas yang sulit.")</f>
        <v>B Saya suka membuat perencanaan sebelum memulai tugas yang sulit.</v>
      </c>
      <c r="T79" s="95" t="str">
        <f>IFERROR(__xludf.DUMMYFUNCTION("""COMPUTED_VALUE"""),"B Saya ingin agar hidup saya teratur sesuai cita-cita saya.")</f>
        <v>B Saya ingin agar hidup saya teratur sesuai cita-cita saya.</v>
      </c>
      <c r="U79" s="95" t="str">
        <f>IFERROR(__xludf.DUMMYFUNCTION("""COMPUTED_VALUE"""),"A Saya suka memberikan bantuan kepada teman-teman saya.")</f>
        <v>A Saya suka memberikan bantuan kepada teman-teman saya.</v>
      </c>
      <c r="V79" s="95" t="str">
        <f>IFERROR(__xludf.DUMMYFUNCTION("""COMPUTED_VALUE"""),"B Saya suka belajar saya teratur dan ada waktu-waktu tertentu untuk belajar.")</f>
        <v>B Saya suka belajar saya teratur dan ada waktu-waktu tertentu untuk belajar.</v>
      </c>
      <c r="W79" s="95" t="str">
        <f>IFERROR(__xludf.DUMMYFUNCTION("""COMPUTED_VALUE"""),"B Saya ingin kegiatan itu teratur dan direncanakan.")</f>
        <v>B Saya ingin kegiatan itu teratur dan direncanakan.</v>
      </c>
      <c r="X79" s="95" t="str">
        <f>IFERROR(__xludf.DUMMYFUNCTION("""COMPUTED_VALUE"""),"B Saya ingin agar hidup saya teratur sesuai cita-cita saya.")</f>
        <v>B Saya ingin agar hidup saya teratur sesuai cita-cita saya.</v>
      </c>
      <c r="Y79" s="95" t="str">
        <f>IFERROR(__xludf.DUMMYFUNCTION("""COMPUTED_VALUE"""),"A Saya suka menyelesaikan tugas-tugas yang membutuhkan ketrampilan dan usaha.")</f>
        <v>A Saya suka menyelesaikan tugas-tugas yang membutuhkan ketrampilan dan usaha.</v>
      </c>
      <c r="Z79" s="95" t="str">
        <f>IFERROR(__xludf.DUMMYFUNCTION("""COMPUTED_VALUE"""),"A Saya ingin berhasil dengan belajar yang saya lakukan.")</f>
        <v>A Saya ingin berhasil dengan belajar yang saya lakukan.</v>
      </c>
      <c r="AA79" s="95" t="str">
        <f>IFERROR(__xludf.DUMMYFUNCTION("""COMPUTED_VALUE"""),"A Saya suka menyelesaikan tugas yang telah saya rencanakan.")</f>
        <v>A Saya suka menyelesaikan tugas yang telah saya rencanakan.</v>
      </c>
      <c r="AB79" s="95" t="str">
        <f>IFERROR(__xludf.DUMMYFUNCTION("""COMPUTED_VALUE"""),"B Saya ingin menyelesaikan pekerjaan satu persatu sebelum memulai yang lain.")</f>
        <v>B Saya ingin menyelesaikan pekerjaan satu persatu sebelum memulai yang lain.</v>
      </c>
      <c r="AC79" s="95" t="str">
        <f>IFERROR(__xludf.DUMMYFUNCTION("""COMPUTED_VALUE"""),"B Saya suka melakukan kegiatan sesuai kondisi yang saya inginkan.")</f>
        <v>B Saya suka melakukan kegiatan sesuai kondisi yang saya inginkan.</v>
      </c>
      <c r="AD79" s="95" t="str">
        <f>IFERROR(__xludf.DUMMYFUNCTION("""COMPUTED_VALUE"""),"A Saya suka bermurah hati terhadap teman-teman saya.")</f>
        <v>A Saya suka bermurah hati terhadap teman-teman saya.</v>
      </c>
      <c r="AE79" s="95" t="str">
        <f>IFERROR(__xludf.DUMMYFUNCTION("""COMPUTED_VALUE"""),"A Saya ingin dianggap sebagai pemimpin oleh teman di kelompok.")</f>
        <v>A Saya ingin dianggap sebagai pemimpin oleh teman di kelompok.</v>
      </c>
      <c r="AF79" s="95" t="str">
        <f>IFERROR(__xludf.DUMMYFUNCTION("""COMPUTED_VALUE"""),"A Saya ingin agar teman-teman mengerti bila saya mengalami kesukaran.")</f>
        <v>A Saya ingin agar teman-teman mengerti bila saya mengalami kesukaran.</v>
      </c>
      <c r="AG79" s="95" t="str">
        <f>IFERROR(__xludf.DUMMYFUNCTION("""COMPUTED_VALUE"""),"B Saya ingin berhasil dengan tugas yang saya lakukan.")</f>
        <v>B Saya ingin berhasil dengan tugas yang saya lakukan.</v>
      </c>
      <c r="AH79" s="95" t="str">
        <f>IFERROR(__xludf.DUMMYFUNCTION("""COMPUTED_VALUE"""),"A Saya suka membaca buku-buku tentang pergaulan remaja.")</f>
        <v>A Saya suka membaca buku-buku tentang pergaulan remaja.</v>
      </c>
      <c r="AI79" s="95" t="str">
        <f>IFERROR(__xludf.DUMMYFUNCTION("""COMPUTED_VALUE"""),"A Saya ingin menghardik orang lain bila saya berbeda pendapat dengan mereka.")</f>
        <v>A Saya ingin menghardik orang lain bila saya berbeda pendapat dengan mereka.</v>
      </c>
      <c r="AJ79" s="95" t="str">
        <f>IFERROR(__xludf.DUMMYFUNCTION("""COMPUTED_VALUE"""),"B Saya suka bertahan menghadapi satu masalah meskipun belum tentu berhasil.")</f>
        <v>B Saya suka bertahan menghadapi satu masalah meskipun belum tentu berhasil.</v>
      </c>
      <c r="AK79" s="95" t="str">
        <f>IFERROR(__xludf.DUMMYFUNCTION("""COMPUTED_VALUE"""),"B Bila saya harus melakukan suatu tugas, saya ingin mengerjakan sampai selesai.")</f>
        <v>B Bila saya harus melakukan suatu tugas, saya ingin mengerjakan sampai selesai.</v>
      </c>
      <c r="AL79" s="95" t="str">
        <f>IFERROR(__xludf.DUMMYFUNCTION("""COMPUTED_VALUE"""),"B Saya ingin menghindarkan gangguan bila saya sedang belajar.")</f>
        <v>B Saya ingin menghindarkan gangguan bila saya sedang belajar.</v>
      </c>
      <c r="AM79" s="95" t="str">
        <f>IFERROR(__xludf.DUMMYFUNCTION("""COMPUTED_VALUE"""),"B Saya suka belajar sampai malam untuk menyelesaikan suatu tugas.")</f>
        <v>B Saya suka belajar sampai malam untuk menyelesaikan suatu tugas.</v>
      </c>
      <c r="AN79" s="95" t="str">
        <f>IFERROR(__xludf.DUMMYFUNCTION("""COMPUTED_VALUE"""),"A Saya tidak suka pada orang yang semena-mena.")</f>
        <v>A Saya tidak suka pada orang yang semena-mena.</v>
      </c>
      <c r="AO79" s="95" t="str">
        <f>IFERROR(__xludf.DUMMYFUNCTION("""COMPUTED_VALUE"""),"A Saya suka berlaku sangat ramah terhadap teman-teman saya.")</f>
        <v>A Saya suka berlaku sangat ramah terhadap teman-teman saya.</v>
      </c>
      <c r="AP79" s="95" t="str">
        <f>IFERROR(__xludf.DUMMYFUNCTION("""COMPUTED_VALUE"""),"B Saya suka bertahan menghadapi satu masalah meskipun belum tentu berhasil.")</f>
        <v>B Saya suka bertahan menghadapi satu masalah meskipun belum tentu berhasil.</v>
      </c>
      <c r="AQ79" s="95" t="str">
        <f>IFERROR(__xludf.DUMMYFUNCTION("""COMPUTED_VALUE"""),"B Bila saya harus melakukan suatu tugas, saya ingin mengerjakan sampai selesai.")</f>
        <v>B Bila saya harus melakukan suatu tugas, saya ingin mengerjakan sampai selesai.</v>
      </c>
      <c r="AR79" s="95" t="str">
        <f>IFERROR(__xludf.DUMMYFUNCTION("""COMPUTED_VALUE"""),"B Saya suka belajar keras pada tiap pelajaran yang saya hadapi.")</f>
        <v>B Saya suka belajar keras pada tiap pelajaran yang saya hadapi.</v>
      </c>
      <c r="AS79" s="95" t="str">
        <f>IFERROR(__xludf.DUMMYFUNCTION("""COMPUTED_VALUE"""),"A Saya ingin dapat menyelesaikan persoalan yang dianggap sukar bagi orang lain.")</f>
        <v>A Saya ingin dapat menyelesaikan persoalan yang dianggap sukar bagi orang lain.</v>
      </c>
      <c r="AT79" s="95" t="str">
        <f>IFERROR(__xludf.DUMMYFUNCTION("""COMPUTED_VALUE"""),"B Saya suka membantu orang lain yang menurut saya perlu dikasihani.")</f>
        <v>B Saya suka membantu orang lain yang menurut saya perlu dikasihani.</v>
      </c>
      <c r="AU79" s="95" t="str">
        <f>IFERROR(__xludf.DUMMYFUNCTION("""COMPUTED_VALUE"""),"B Saya suka bermurah hati terhadap teman-teman saya.")</f>
        <v>B Saya suka bermurah hati terhadap teman-teman saya.</v>
      </c>
      <c r="AV79" s="95" t="str">
        <f>IFERROR(__xludf.DUMMYFUNCTION("""COMPUTED_VALUE"""),"B Saya suka menolong teman-teman saya.")</f>
        <v>B Saya suka menolong teman-teman saya.</v>
      </c>
      <c r="AW79" s="95" t="str">
        <f>IFERROR(__xludf.DUMMYFUNCTION("""COMPUTED_VALUE"""),"B Saya ingin teman-teman saya percaya bahwa saya bisa menolong mereka.")</f>
        <v>B Saya ingin teman-teman saya percaya bahwa saya bisa menolong mereka.</v>
      </c>
      <c r="AX79" s="95" t="str">
        <f>IFERROR(__xludf.DUMMYFUNCTION("""COMPUTED_VALUE"""),"A Saya suka menolong teman-teman saya apabila mereka dalam kesulitan.")</f>
        <v>A Saya suka menolong teman-teman saya apabila mereka dalam kesulitan.</v>
      </c>
      <c r="AY79" s="95" t="str">
        <f>IFERROR(__xludf.DUMMYFUNCTION("""COMPUTED_VALUE"""),"B Saya suka menolong teman-teman saya apabila mereka dalam kesulitan.")</f>
        <v>B Saya suka menolong teman-teman saya apabila mereka dalam kesulitan.</v>
      </c>
      <c r="AZ79" s="95" t="str">
        <f>IFERROR(__xludf.DUMMYFUNCTION("""COMPUTED_VALUE"""),"B Saya suka menunjukkan simpati saya kepada teman-teman saya.")</f>
        <v>B Saya suka menunjukkan simpati saya kepada teman-teman saya.</v>
      </c>
      <c r="BA79" s="95" t="str">
        <f>IFERROR(__xludf.DUMMYFUNCTION("""COMPUTED_VALUE"""),"B Saya suka memperlakukan orang lain dengan baik dan ramah.")</f>
        <v>B Saya suka memperlakukan orang lain dengan baik dan ramah.</v>
      </c>
      <c r="BB79" s="95" t="str">
        <f>IFERROR(__xludf.DUMMYFUNCTION("""COMPUTED_VALUE"""),"B Saya suka bermurah hati terhadap teman-teman saya.")</f>
        <v>B Saya suka bermurah hati terhadap teman-teman saya.</v>
      </c>
      <c r="BC79" s="95" t="str">
        <f>IFERROR(__xludf.DUMMYFUNCTION("""COMPUTED_VALUE"""),"B Saya suka membantu orang lain yang menurut saya perlu dikasihani.")</f>
        <v>B Saya suka membantu orang lain yang menurut saya perlu dikasihani.</v>
      </c>
      <c r="BD79" s="95" t="str">
        <f>IFERROR(__xludf.DUMMYFUNCTION("""COMPUTED_VALUE"""),"B Saya suka bersikukuh dengan pendirian saya.")</f>
        <v>B Saya suka bersikukuh dengan pendirian saya.</v>
      </c>
      <c r="BE79" s="95" t="str">
        <f>IFERROR(__xludf.DUMMYFUNCTION("""COMPUTED_VALUE"""),"B Saya ingin orang lain melakukan apa yang saya kehendaki.")</f>
        <v>B Saya ingin orang lain melakukan apa yang saya kehendaki.</v>
      </c>
      <c r="BF79" s="95" t="str">
        <f>IFERROR(__xludf.DUMMYFUNCTION("""COMPUTED_VALUE"""),"A Saya ingin orang lain memperhatikan dan berkomentar tentang penampilan saya.")</f>
        <v>A Saya ingin orang lain memperhatikan dan berkomentar tentang penampilan saya.</v>
      </c>
      <c r="BG79" s="95" t="str">
        <f>IFERROR(__xludf.DUMMYFUNCTION("""COMPUTED_VALUE"""),"A Saya ingin teman-teman banyak menunjukkan rasa sayang mereka terhadap saya.")</f>
        <v>A Saya ingin teman-teman banyak menunjukkan rasa sayang mereka terhadap saya.</v>
      </c>
      <c r="BH79" s="95" t="str">
        <f>IFERROR(__xludf.DUMMYFUNCTION("""COMPUTED_VALUE"""),"A Saya suka menghindar dari situasi yang tidak saya harapkan.")</f>
        <v>A Saya suka menghindar dari situasi yang tidak saya harapkan.</v>
      </c>
      <c r="BI79" s="95" t="str">
        <f>IFERROR(__xludf.DUMMYFUNCTION("""COMPUTED_VALUE"""),"A Saya suka bermurah hati terhadap teman-teman saya.")</f>
        <v>A Saya suka bermurah hati terhadap teman-teman saya.</v>
      </c>
      <c r="BJ79" s="95" t="str">
        <f>IFERROR(__xludf.DUMMYFUNCTION("""COMPUTED_VALUE"""),"A Saya ingin mengerjakan tugas sampai selesai.")</f>
        <v>A Saya ingin mengerjakan tugas sampai selesai.</v>
      </c>
      <c r="BK79" s="95" t="str">
        <f>IFERROR(__xludf.DUMMYFUNCTION("""COMPUTED_VALUE"""),"A Saya ingin menyelesaikan pekerjaan satu persatu sebelum memulai yang lain.")</f>
        <v>A Saya ingin menyelesaikan pekerjaan satu persatu sebelum memulai yang lain.</v>
      </c>
      <c r="BL79" s="95" t="str">
        <f>IFERROR(__xludf.DUMMYFUNCTION("""COMPUTED_VALUE"""),"A Saya suka belajar saya teratur dan ada waktu-waktu tertentu untuk belajar.")</f>
        <v>A Saya suka belajar saya teratur dan ada waktu-waktu tertentu untuk belajar.</v>
      </c>
      <c r="BM79" s="95" t="str">
        <f>IFERROR(__xludf.DUMMYFUNCTION("""COMPUTED_VALUE"""),"A Saya suka melakukan pekerjaan sebaik mungkin.")</f>
        <v>A Saya suka melakukan pekerjaan sebaik mungkin.</v>
      </c>
      <c r="BN79" s="95" t="str">
        <f>IFERROR(__xludf.DUMMYFUNCTION("""COMPUTED_VALUE"""),"A Saya suka mengerjakan teka-teki atau memecahkan persoalan sampai selesai.")</f>
        <v>A Saya suka mengerjakan teka-teki atau memecahkan persoalan sampai selesai.</v>
      </c>
      <c r="BO79" s="95" t="str">
        <f>IFERROR(__xludf.DUMMYFUNCTION("""COMPUTED_VALUE"""),"B Saya ingin diperlakukan dengan baik oleh teman-teman saya.")</f>
        <v>B Saya ingin diperlakukan dengan baik oleh teman-teman saya.</v>
      </c>
      <c r="BP79" s="95" t="str">
        <f>IFERROR(__xludf.DUMMYFUNCTION("""COMPUTED_VALUE"""),"A Saya ingin menyelesaikan sesuatu yang sangat penting artinya.")</f>
        <v>A Saya ingin menyelesaikan sesuatu yang sangat penting artinya.</v>
      </c>
      <c r="BQ79" s="95" t="str">
        <f>IFERROR(__xludf.DUMMYFUNCTION("""COMPUTED_VALUE"""),"A Saya ingin mengerjakannya tugas sampai selesai.")</f>
        <v>A Saya ingin mengerjakannya tugas sampai selesai.</v>
      </c>
      <c r="BR79" s="95" t="str">
        <f>IFERROR(__xludf.DUMMYFUNCTION("""COMPUTED_VALUE"""),"A Saya suka memaafkan teman-teman saya yang menyakiti hati saya.")</f>
        <v>A Saya suka memaafkan teman-teman saya yang menyakiti hati saya.</v>
      </c>
      <c r="BS79" s="95" t="str">
        <f>IFERROR(__xludf.DUMMYFUNCTION("""COMPUTED_VALUE"""),"B Saya ingin teman-teman saya membantu saya bila saya mengalami kesulitan")</f>
        <v>B Saya ingin teman-teman saya membantu saya bila saya mengalami kesulitan</v>
      </c>
      <c r="BT79" s="95" t="str">
        <f>IFERROR(__xludf.DUMMYFUNCTION("""COMPUTED_VALUE"""),"B Saya ingin teman-teman banyak menunjukkan rasa sayang mereka terhadap saya.")</f>
        <v>B Saya ingin teman-teman banyak menunjukkan rasa sayang mereka terhadap saya.</v>
      </c>
      <c r="BU79" s="95" t="str">
        <f>IFERROR(__xludf.DUMMYFUNCTION("""COMPUTED_VALUE"""),"A Saya kadang-kadang suka melakukan hal-hal yang dapat dipuji oleh orang lain.")</f>
        <v>A Saya kadang-kadang suka melakukan hal-hal yang dapat dipuji oleh orang lain.</v>
      </c>
      <c r="BV79" s="95" t="str">
        <f>IFERROR(__xludf.DUMMYFUNCTION("""COMPUTED_VALUE"""),"B Saya ingin teman-teman dengan gembira memberikan pertolongan kepada saya.")</f>
        <v>B Saya ingin teman-teman dengan gembira memberikan pertolongan kepada saya.</v>
      </c>
      <c r="BW79" s="95" t="str">
        <f>IFERROR(__xludf.DUMMYFUNCTION("""COMPUTED_VALUE"""),"B Saya ingin diperlakukan dengan baik oleh teman-teman saya.")</f>
        <v>B Saya ingin diperlakukan dengan baik oleh teman-teman saya.</v>
      </c>
      <c r="BX79" s="95" t="str">
        <f>IFERROR(__xludf.DUMMYFUNCTION("""COMPUTED_VALUE"""),"B Saya kadang-kadang suka melakukan hal-hal yang dapat dipuji oleh orang lain.")</f>
        <v>B Saya kadang-kadang suka melakukan hal-hal yang dapat dipuji oleh orang lain.</v>
      </c>
      <c r="BY79" s="95" t="str">
        <f>IFERROR(__xludf.DUMMYFUNCTION("""COMPUTED_VALUE"""),"B Saya ingin orang lain memperhatikan dan berkomentar tentang penampilan saya.")</f>
        <v>B Saya ingin orang lain memperhatikan dan berkomentar tentang penampilan saya.</v>
      </c>
      <c r="BZ79" s="95" t="str">
        <f>IFERROR(__xludf.DUMMYFUNCTION("""COMPUTED_VALUE"""),"B Saya suka diperhatikan, apabila saya ada di dalam suatu kelompok.")</f>
        <v>B Saya suka diperhatikan, apabila saya ada di dalam suatu kelompok.</v>
      </c>
      <c r="CA79" s="95" t="str">
        <f>IFERROR(__xludf.DUMMYFUNCTION("""COMPUTED_VALUE"""),"A Saya ingin teman-teman dengan gembira memberikan pertolongan kepada saya.")</f>
        <v>A Saya ingin teman-teman dengan gembira memberikan pertolongan kepada saya.</v>
      </c>
      <c r="CB79" s="95" t="str">
        <f>IFERROR(__xludf.DUMMYFUNCTION("""COMPUTED_VALUE"""),"A Saya suka menghindar dari tanggung jawab yang tidak saya inginkan.")</f>
        <v>A Saya suka menghindar dari tanggung jawab yang tidak saya inginkan.</v>
      </c>
      <c r="CC79" s="95" t="str">
        <f>IFERROR(__xludf.DUMMYFUNCTION("""COMPUTED_VALUE"""),"A Apabila saya berkumpul dalam kelompok, saya ingin dihargai teman-teman.")</f>
        <v>A Apabila saya berkumpul dalam kelompok, saya ingin dihargai teman-teman.</v>
      </c>
      <c r="CD79" s="95" t="str">
        <f>IFERROR(__xludf.DUMMYFUNCTION("""COMPUTED_VALUE"""),"A Saya suka menyelesaikan setiap tugas meskipun membutuhkan waktu lama.")</f>
        <v>A Saya suka menyelesaikan setiap tugas meskipun membutuhkan waktu lama.</v>
      </c>
      <c r="CE79" s="95" t="str">
        <f>IFERROR(__xludf.DUMMYFUNCTION("""COMPUTED_VALUE"""),"A Saya suka menyelesaikan setiap tugas belajar yang telah saya mulai.")</f>
        <v>A Saya suka menyelesaikan setiap tugas belajar yang telah saya mulai.</v>
      </c>
      <c r="CF79" s="95" t="str">
        <f>IFERROR(__xludf.DUMMYFUNCTION("""COMPUTED_VALUE"""),"A Saya ingin agar hidup saya teratur sesuai cita-cita saya.")</f>
        <v>A Saya ingin agar hidup saya teratur sesuai cita-cita saya.</v>
      </c>
      <c r="CG79" s="95" t="str">
        <f>IFERROR(__xludf.DUMMYFUNCTION("""COMPUTED_VALUE"""),"A Saya ingin berhasil dalam apa yang saya lakukan.")</f>
        <v>A Saya ingin berhasil dalam apa yang saya lakukan.</v>
      </c>
      <c r="CH79" s="95" t="str">
        <f>IFERROR(__xludf.DUMMYFUNCTION("""COMPUTED_VALUE"""),"A Saya ingin bisa melakukan dengan baik sesuatu pekerjaan sulit.")</f>
        <v>A Saya ingin bisa melakukan dengan baik sesuatu pekerjaan sulit.</v>
      </c>
      <c r="CI79" s="95" t="str">
        <f>IFERROR(__xludf.DUMMYFUNCTION("""COMPUTED_VALUE"""),"A Saya suka belajar saya teratur dan ada waktu-waktu tertentu untuk belajar.")</f>
        <v>A Saya suka belajar saya teratur dan ada waktu-waktu tertentu untuk belajar.</v>
      </c>
      <c r="CJ79" s="95" t="str">
        <f>IFERROR(__xludf.DUMMYFUNCTION("""COMPUTED_VALUE"""),"A Saya ingin tidak tergantung dari orang lain terhadap apa yang akan saya lakukan.")</f>
        <v>A Saya ingin tidak tergantung dari orang lain terhadap apa yang akan saya lakukan.</v>
      </c>
      <c r="CK79" s="95" t="str">
        <f>IFERROR(__xludf.DUMMYFUNCTION("""COMPUTED_VALUE"""),"A Saya suka bertahan menghadapi satu masalah, meskipun belum tentu berhasil.")</f>
        <v>A Saya suka bertahan menghadapi satu masalah, meskipun belum tentu berhasil.</v>
      </c>
      <c r="CL79" s="95" t="str">
        <f>IFERROR(__xludf.DUMMYFUNCTION("""COMPUTED_VALUE"""),"A Saya suka menolong teman-teman saya, apabila mereka dalam kesulitan.")</f>
        <v>A Saya suka menolong teman-teman saya, apabila mereka dalam kesulitan.</v>
      </c>
      <c r="CM79" s="95" t="str">
        <f>IFERROR(__xludf.DUMMYFUNCTION("""COMPUTED_VALUE"""),"B Saya merasa kagum pada seseorang.")</f>
        <v>B Saya merasa kagum pada seseorang.</v>
      </c>
      <c r="CN79" s="95" t="str">
        <f>IFERROR(__xludf.DUMMYFUNCTION("""COMPUTED_VALUE"""),"A Saya ingin diperlakukan dengan baik oleh teman-teman saya.")</f>
        <v>A Saya ingin diperlakukan dengan baik oleh teman-teman saya.</v>
      </c>
      <c r="CO79" s="95" t="str">
        <f>IFERROR(__xludf.DUMMYFUNCTION("""COMPUTED_VALUE"""),"A Saya suka menceritakan hal-hal lucu agar diperhatikan oleh orang lain.")</f>
        <v>A Saya suka menceritakan hal-hal lucu agar diperhatikan oleh orang lain.</v>
      </c>
      <c r="CP79" s="95" t="str">
        <f>IFERROR(__xludf.DUMMYFUNCTION("""COMPUTED_VALUE"""),"A Saya suka melamun atau membayangkan sesuatu sendirian.")</f>
        <v>A Saya suka melamun atau membayangkan sesuatu sendirian.</v>
      </c>
      <c r="CQ79" s="95" t="str">
        <f>IFERROR(__xludf.DUMMYFUNCTION("""COMPUTED_VALUE"""),"B Saya merasa kagum pada seseorang.")</f>
        <v>B Saya merasa kagum pada seseorang.</v>
      </c>
      <c r="CR79" s="95" t="str">
        <f>IFERROR(__xludf.DUMMYFUNCTION("""COMPUTED_VALUE"""),"B Saya rasanya ingin mengecam seseorang bila orang itu menjengkelkan.")</f>
        <v>B Saya rasanya ingin mengecam seseorang bila orang itu menjengkelkan.</v>
      </c>
      <c r="CS79" s="95" t="str">
        <f>IFERROR(__xludf.DUMMYFUNCTION("""COMPUTED_VALUE"""),"A Saya ingin terlihat menarik di depan teman-teman saya.")</f>
        <v>A Saya ingin terlihat menarik di depan teman-teman saya.</v>
      </c>
      <c r="CT79" s="95" t="str">
        <f>IFERROR(__xludf.DUMMYFUNCTION("""COMPUTED_VALUE"""),"A Saya ingin orang-orang memperhatikan komentar mengenai penampilan saya.")</f>
        <v>A Saya ingin orang-orang memperhatikan komentar mengenai penampilan saya.</v>
      </c>
      <c r="CU79" s="95" t="str">
        <f>IFERROR(__xludf.DUMMYFUNCTION("""COMPUTED_VALUE"""),"A Saya ingin diperlakukan dengan ramah oleh teman-teman saya.")</f>
        <v>A Saya ingin diperlakukan dengan ramah oleh teman-teman saya.</v>
      </c>
      <c r="CV79" s="95" t="str">
        <f>IFERROR(__xludf.DUMMYFUNCTION("""COMPUTED_VALUE"""),"A Saya ingin ditunjuk atau dipilih sebagai ketua dalam suatu kelompok.")</f>
        <v>A Saya ingin ditunjuk atau dipilih sebagai ketua dalam suatu kelompok.</v>
      </c>
      <c r="CW79" s="95" t="str">
        <f>IFERROR(__xludf.DUMMYFUNCTION("""COMPUTED_VALUE"""),"A Saya suka menolong teman-teman saya, apabila mereka dalam kesulitan.")</f>
        <v>A Saya suka menolong teman-teman saya, apabila mereka dalam kesulitan.</v>
      </c>
      <c r="CX79" s="95" t="str">
        <f>IFERROR(__xludf.DUMMYFUNCTION("""COMPUTED_VALUE"""),"A Saya suka belajar sampai malam untuk menyelesaikan suatu tugas.")</f>
        <v>A Saya suka belajar sampai malam untuk menyelesaikan suatu tugas.</v>
      </c>
      <c r="CY79" s="95" t="str">
        <f>IFERROR(__xludf.DUMMYFUNCTION("""COMPUTED_VALUE"""),"B Saya rasanya ingin membalas dendam bila seseorang menghina saya.")</f>
        <v>B Saya rasanya ingin membalas dendam bila seseorang menghina saya.</v>
      </c>
      <c r="CZ79" s="95" t="str">
        <f>IFERROR(__xludf.DUMMYFUNCTION("""COMPUTED_VALUE"""),"A Saya suka merencanakan dan mengatur setiap pekerjaan yang harus saya lakukan.")</f>
        <v>A Saya suka merencanakan dan mengatur setiap pekerjaan yang harus saya lakukan.</v>
      </c>
      <c r="DA79" s="95" t="str">
        <f>IFERROR(__xludf.DUMMYFUNCTION("""COMPUTED_VALUE"""),"A Saya ingin melakukan apa saja sebaik mungkin.")</f>
        <v>A Saya ingin melakukan apa saja sebaik mungkin.</v>
      </c>
      <c r="DB79" s="89" t="s">
        <v>23</v>
      </c>
      <c r="DC79" s="97" t="str">
        <f t="shared" ref="DC79:GX79" si="124">LEFT(F79,1)</f>
        <v>B</v>
      </c>
      <c r="DD79" s="97" t="str">
        <f t="shared" si="124"/>
        <v>B</v>
      </c>
      <c r="DE79" s="97" t="str">
        <f t="shared" si="124"/>
        <v>A</v>
      </c>
      <c r="DF79" s="97" t="str">
        <f t="shared" si="124"/>
        <v>B</v>
      </c>
      <c r="DG79" s="97" t="str">
        <f t="shared" si="124"/>
        <v>A</v>
      </c>
      <c r="DH79" s="97" t="str">
        <f t="shared" si="124"/>
        <v>A</v>
      </c>
      <c r="DI79" s="97" t="str">
        <f t="shared" si="124"/>
        <v>A</v>
      </c>
      <c r="DJ79" s="97" t="str">
        <f t="shared" si="124"/>
        <v>B</v>
      </c>
      <c r="DK79" s="97" t="str">
        <f t="shared" si="124"/>
        <v>B</v>
      </c>
      <c r="DL79" s="97" t="str">
        <f t="shared" si="124"/>
        <v>B</v>
      </c>
      <c r="DM79" s="97" t="str">
        <f t="shared" si="124"/>
        <v>B</v>
      </c>
      <c r="DN79" s="97" t="str">
        <f t="shared" si="124"/>
        <v>B</v>
      </c>
      <c r="DO79" s="97" t="str">
        <f t="shared" si="124"/>
        <v>B</v>
      </c>
      <c r="DP79" s="97" t="str">
        <f t="shared" si="124"/>
        <v>B</v>
      </c>
      <c r="DQ79" s="97" t="str">
        <f t="shared" si="124"/>
        <v>B</v>
      </c>
      <c r="DR79" s="97" t="str">
        <f t="shared" si="124"/>
        <v>A</v>
      </c>
      <c r="DS79" s="97" t="str">
        <f t="shared" si="124"/>
        <v>B</v>
      </c>
      <c r="DT79" s="97" t="str">
        <f t="shared" si="124"/>
        <v>B</v>
      </c>
      <c r="DU79" s="97" t="str">
        <f t="shared" si="124"/>
        <v>B</v>
      </c>
      <c r="DV79" s="97" t="str">
        <f t="shared" si="124"/>
        <v>A</v>
      </c>
      <c r="DW79" s="97" t="str">
        <f t="shared" si="124"/>
        <v>A</v>
      </c>
      <c r="DX79" s="97" t="str">
        <f t="shared" si="124"/>
        <v>A</v>
      </c>
      <c r="DY79" s="97" t="str">
        <f t="shared" si="124"/>
        <v>B</v>
      </c>
      <c r="DZ79" s="97" t="str">
        <f t="shared" si="124"/>
        <v>B</v>
      </c>
      <c r="EA79" s="97" t="str">
        <f t="shared" si="124"/>
        <v>A</v>
      </c>
      <c r="EB79" s="97" t="str">
        <f t="shared" si="124"/>
        <v>A</v>
      </c>
      <c r="EC79" s="97" t="str">
        <f t="shared" si="124"/>
        <v>A</v>
      </c>
      <c r="ED79" s="97" t="str">
        <f t="shared" si="124"/>
        <v>B</v>
      </c>
      <c r="EE79" s="97" t="str">
        <f t="shared" si="124"/>
        <v>A</v>
      </c>
      <c r="EF79" s="97" t="str">
        <f t="shared" si="124"/>
        <v>A</v>
      </c>
      <c r="EG79" s="97" t="str">
        <f t="shared" si="124"/>
        <v>B</v>
      </c>
      <c r="EH79" s="97" t="str">
        <f t="shared" si="124"/>
        <v>B</v>
      </c>
      <c r="EI79" s="97" t="str">
        <f t="shared" si="124"/>
        <v>B</v>
      </c>
      <c r="EJ79" s="97" t="str">
        <f t="shared" si="124"/>
        <v>B</v>
      </c>
      <c r="EK79" s="97" t="str">
        <f t="shared" si="124"/>
        <v>A</v>
      </c>
      <c r="EL79" s="97" t="str">
        <f t="shared" si="124"/>
        <v>A</v>
      </c>
      <c r="EM79" s="97" t="str">
        <f t="shared" si="124"/>
        <v>B</v>
      </c>
      <c r="EN79" s="97" t="str">
        <f t="shared" si="124"/>
        <v>B</v>
      </c>
      <c r="EO79" s="97" t="str">
        <f t="shared" si="124"/>
        <v>B</v>
      </c>
      <c r="EP79" s="97" t="str">
        <f t="shared" si="124"/>
        <v>A</v>
      </c>
      <c r="EQ79" s="97" t="str">
        <f t="shared" si="124"/>
        <v>B</v>
      </c>
      <c r="ER79" s="97" t="str">
        <f t="shared" si="124"/>
        <v>B</v>
      </c>
      <c r="ES79" s="97" t="str">
        <f t="shared" si="124"/>
        <v>B</v>
      </c>
      <c r="ET79" s="97" t="str">
        <f t="shared" si="124"/>
        <v>B</v>
      </c>
      <c r="EU79" s="97" t="str">
        <f t="shared" si="124"/>
        <v>A</v>
      </c>
      <c r="EV79" s="97" t="str">
        <f t="shared" si="124"/>
        <v>B</v>
      </c>
      <c r="EW79" s="97" t="str">
        <f t="shared" si="124"/>
        <v>B</v>
      </c>
      <c r="EX79" s="97" t="str">
        <f t="shared" si="124"/>
        <v>B</v>
      </c>
      <c r="EY79" s="97" t="str">
        <f t="shared" si="124"/>
        <v>B</v>
      </c>
      <c r="EZ79" s="97" t="str">
        <f t="shared" si="124"/>
        <v>B</v>
      </c>
      <c r="FA79" s="97" t="str">
        <f t="shared" si="124"/>
        <v>B</v>
      </c>
      <c r="FB79" s="97" t="str">
        <f t="shared" si="124"/>
        <v>B</v>
      </c>
      <c r="FC79" s="97" t="str">
        <f t="shared" si="124"/>
        <v>A</v>
      </c>
      <c r="FD79" s="97" t="str">
        <f t="shared" si="124"/>
        <v>A</v>
      </c>
      <c r="FE79" s="97" t="str">
        <f t="shared" si="124"/>
        <v>A</v>
      </c>
      <c r="FF79" s="97" t="str">
        <f t="shared" si="124"/>
        <v>A</v>
      </c>
      <c r="FG79" s="97" t="str">
        <f t="shared" si="124"/>
        <v>A</v>
      </c>
      <c r="FH79" s="97" t="str">
        <f t="shared" si="124"/>
        <v>A</v>
      </c>
      <c r="FI79" s="97" t="str">
        <f t="shared" si="124"/>
        <v>A</v>
      </c>
      <c r="FJ79" s="97" t="str">
        <f t="shared" si="124"/>
        <v>A</v>
      </c>
      <c r="FK79" s="97" t="str">
        <f t="shared" si="124"/>
        <v>A</v>
      </c>
      <c r="FL79" s="97" t="str">
        <f t="shared" si="124"/>
        <v>B</v>
      </c>
      <c r="FM79" s="97" t="str">
        <f t="shared" si="124"/>
        <v>A</v>
      </c>
      <c r="FN79" s="97" t="str">
        <f t="shared" si="124"/>
        <v>A</v>
      </c>
      <c r="FO79" s="97" t="str">
        <f t="shared" si="124"/>
        <v>A</v>
      </c>
      <c r="FP79" s="97" t="str">
        <f t="shared" si="124"/>
        <v>B</v>
      </c>
      <c r="FQ79" s="97" t="str">
        <f t="shared" si="124"/>
        <v>B</v>
      </c>
      <c r="FR79" s="97" t="str">
        <f t="shared" si="124"/>
        <v>A</v>
      </c>
      <c r="FS79" s="97" t="str">
        <f t="shared" si="124"/>
        <v>B</v>
      </c>
      <c r="FT79" s="97" t="str">
        <f t="shared" si="124"/>
        <v>B</v>
      </c>
      <c r="FU79" s="97" t="str">
        <f t="shared" si="124"/>
        <v>B</v>
      </c>
      <c r="FV79" s="97" t="str">
        <f t="shared" si="124"/>
        <v>B</v>
      </c>
      <c r="FW79" s="97" t="str">
        <f t="shared" si="124"/>
        <v>B</v>
      </c>
      <c r="FX79" s="97" t="str">
        <f t="shared" si="124"/>
        <v>A</v>
      </c>
      <c r="FY79" s="97" t="str">
        <f t="shared" si="124"/>
        <v>A</v>
      </c>
      <c r="FZ79" s="97" t="str">
        <f t="shared" si="124"/>
        <v>A</v>
      </c>
      <c r="GA79" s="97" t="str">
        <f t="shared" si="124"/>
        <v>A</v>
      </c>
      <c r="GB79" s="97" t="str">
        <f t="shared" si="124"/>
        <v>A</v>
      </c>
      <c r="GC79" s="97" t="str">
        <f t="shared" si="124"/>
        <v>A</v>
      </c>
      <c r="GD79" s="97" t="str">
        <f t="shared" si="124"/>
        <v>A</v>
      </c>
      <c r="GE79" s="97" t="str">
        <f t="shared" si="124"/>
        <v>A</v>
      </c>
      <c r="GF79" s="97" t="str">
        <f t="shared" si="124"/>
        <v>A</v>
      </c>
      <c r="GG79" s="97" t="str">
        <f t="shared" si="124"/>
        <v>A</v>
      </c>
      <c r="GH79" s="97" t="str">
        <f t="shared" si="124"/>
        <v>A</v>
      </c>
      <c r="GI79" s="97" t="str">
        <f t="shared" si="124"/>
        <v>A</v>
      </c>
      <c r="GJ79" s="97" t="str">
        <f t="shared" si="124"/>
        <v>B</v>
      </c>
      <c r="GK79" s="97" t="str">
        <f t="shared" si="124"/>
        <v>A</v>
      </c>
      <c r="GL79" s="97" t="str">
        <f t="shared" si="124"/>
        <v>A</v>
      </c>
      <c r="GM79" s="97" t="str">
        <f t="shared" si="124"/>
        <v>A</v>
      </c>
      <c r="GN79" s="97" t="str">
        <f t="shared" si="124"/>
        <v>B</v>
      </c>
      <c r="GO79" s="97" t="str">
        <f t="shared" si="124"/>
        <v>B</v>
      </c>
      <c r="GP79" s="97" t="str">
        <f t="shared" si="124"/>
        <v>A</v>
      </c>
      <c r="GQ79" s="97" t="str">
        <f t="shared" si="124"/>
        <v>A</v>
      </c>
      <c r="GR79" s="97" t="str">
        <f t="shared" si="124"/>
        <v>A</v>
      </c>
      <c r="GS79" s="97" t="str">
        <f t="shared" si="124"/>
        <v>A</v>
      </c>
      <c r="GT79" s="97" t="str">
        <f t="shared" si="124"/>
        <v>A</v>
      </c>
      <c r="GU79" s="97" t="str">
        <f t="shared" si="124"/>
        <v>A</v>
      </c>
      <c r="GV79" s="97" t="str">
        <f t="shared" si="124"/>
        <v>B</v>
      </c>
      <c r="GW79" s="97" t="str">
        <f t="shared" si="124"/>
        <v>A</v>
      </c>
      <c r="GX79" s="97" t="str">
        <f t="shared" si="124"/>
        <v>A</v>
      </c>
      <c r="GY79" s="98"/>
      <c r="GZ79" s="97">
        <f t="shared" si="3"/>
        <v>53</v>
      </c>
      <c r="HA79" s="97">
        <f t="shared" si="4"/>
        <v>47</v>
      </c>
      <c r="HB79" s="90">
        <f t="shared" si="5"/>
        <v>100</v>
      </c>
      <c r="HC79" s="99"/>
      <c r="HD79" s="97">
        <f t="shared" si="6"/>
        <v>8</v>
      </c>
      <c r="HE79" s="97">
        <f t="shared" si="7"/>
        <v>5</v>
      </c>
      <c r="HF79" s="90">
        <f t="shared" si="8"/>
        <v>13</v>
      </c>
      <c r="HG79" s="99"/>
      <c r="HH79" s="97">
        <f t="shared" si="9"/>
        <v>5</v>
      </c>
      <c r="HI79" s="97">
        <f t="shared" si="10"/>
        <v>8</v>
      </c>
      <c r="HJ79" s="90">
        <f t="shared" si="11"/>
        <v>13</v>
      </c>
      <c r="HK79" s="99"/>
      <c r="HL79" s="97">
        <f t="shared" si="12"/>
        <v>5</v>
      </c>
      <c r="HM79" s="97">
        <f t="shared" si="13"/>
        <v>3</v>
      </c>
      <c r="HN79" s="90">
        <f t="shared" si="14"/>
        <v>8</v>
      </c>
      <c r="HO79" s="99"/>
      <c r="HP79" s="97">
        <f t="shared" si="15"/>
        <v>5</v>
      </c>
      <c r="HQ79" s="97">
        <f t="shared" si="16"/>
        <v>7</v>
      </c>
      <c r="HR79" s="90">
        <f t="shared" si="17"/>
        <v>12</v>
      </c>
      <c r="HS79" s="99"/>
      <c r="HT79" s="97">
        <f t="shared" si="18"/>
        <v>9</v>
      </c>
      <c r="HU79" s="97">
        <f t="shared" si="19"/>
        <v>9</v>
      </c>
      <c r="HV79" s="90">
        <f t="shared" si="20"/>
        <v>18</v>
      </c>
      <c r="HW79" s="99"/>
      <c r="HX79" s="97">
        <f t="shared" si="21"/>
        <v>5</v>
      </c>
      <c r="HY79" s="97">
        <f t="shared" si="22"/>
        <v>2</v>
      </c>
      <c r="HZ79" s="90">
        <f t="shared" si="23"/>
        <v>7</v>
      </c>
      <c r="IA79" s="99"/>
      <c r="IB79" s="97">
        <f t="shared" si="24"/>
        <v>6</v>
      </c>
      <c r="IC79" s="97">
        <f t="shared" si="25"/>
        <v>5</v>
      </c>
      <c r="ID79" s="90">
        <f t="shared" si="26"/>
        <v>11</v>
      </c>
      <c r="IE79" s="99"/>
      <c r="IF79" s="97">
        <f t="shared" si="27"/>
        <v>4</v>
      </c>
      <c r="IG79" s="97">
        <f t="shared" si="28"/>
        <v>3</v>
      </c>
      <c r="IH79" s="90">
        <f t="shared" si="29"/>
        <v>7</v>
      </c>
      <c r="II79" s="99"/>
      <c r="IJ79" s="97">
        <f t="shared" si="30"/>
        <v>2</v>
      </c>
      <c r="IK79" s="97">
        <f t="shared" si="31"/>
        <v>2</v>
      </c>
      <c r="IL79" s="90">
        <f t="shared" si="32"/>
        <v>4</v>
      </c>
      <c r="IM79" s="99"/>
      <c r="IN79" s="97">
        <f t="shared" si="33"/>
        <v>1</v>
      </c>
      <c r="IO79" s="97">
        <f t="shared" si="34"/>
        <v>2</v>
      </c>
      <c r="IP79" s="90">
        <f t="shared" si="35"/>
        <v>3</v>
      </c>
      <c r="IQ79" s="99"/>
      <c r="IR79" s="99"/>
      <c r="IS79" s="100">
        <f t="shared" si="36"/>
        <v>13</v>
      </c>
      <c r="IT79" s="100">
        <f t="shared" si="37"/>
        <v>13</v>
      </c>
      <c r="IU79" s="100">
        <f t="shared" si="38"/>
        <v>8</v>
      </c>
      <c r="IV79" s="100">
        <f t="shared" si="39"/>
        <v>12</v>
      </c>
      <c r="IW79" s="100">
        <f t="shared" si="40"/>
        <v>18</v>
      </c>
      <c r="IX79" s="100">
        <f t="shared" si="41"/>
        <v>7</v>
      </c>
      <c r="IY79" s="100">
        <f t="shared" si="42"/>
        <v>11</v>
      </c>
      <c r="IZ79" s="100">
        <f t="shared" si="43"/>
        <v>7</v>
      </c>
      <c r="JA79" s="100">
        <f t="shared" si="44"/>
        <v>4</v>
      </c>
      <c r="JB79" s="101">
        <f t="shared" si="45"/>
        <v>3</v>
      </c>
      <c r="JC79" s="102">
        <f t="shared" si="46"/>
        <v>96</v>
      </c>
      <c r="JD79" s="67">
        <f t="shared" si="50"/>
        <v>0</v>
      </c>
      <c r="JE79" s="67">
        <f t="shared" si="47"/>
        <v>1</v>
      </c>
      <c r="JF79" s="67">
        <f t="shared" si="48"/>
        <v>1</v>
      </c>
    </row>
    <row r="80">
      <c r="A80" s="103">
        <f>IFERROR(__xludf.DUMMYFUNCTION("""COMPUTED_VALUE"""),45939.63380804398)</f>
        <v>45939.63381</v>
      </c>
      <c r="B80" s="95" t="str">
        <f>IFERROR(__xludf.DUMMYFUNCTION("""COMPUTED_VALUE"""),"Muhamad Hamudi alfariji")</f>
        <v>Muhamad Hamudi alfariji</v>
      </c>
      <c r="C80" s="96" t="str">
        <f>IFERROR(__xludf.DUMMYFUNCTION("""COMPUTED_VALUE"""),"A250062")</f>
        <v>A250062</v>
      </c>
      <c r="D80" s="96" t="str">
        <f>IFERROR(__xludf.DUMMYFUNCTION("""COMPUTED_VALUE"""),"MTs Putra")</f>
        <v>MTs Putra</v>
      </c>
      <c r="E80" s="96" t="str">
        <f>IFERROR(__xludf.DUMMYFUNCTION("""COMPUTED_VALUE"""),"Ya")</f>
        <v>Ya</v>
      </c>
      <c r="F80" s="95" t="str">
        <f>IFERROR(__xludf.DUMMYFUNCTION("""COMPUTED_VALUE"""),"B Saya ingin melakukan apa saja sebaik mungkin.")</f>
        <v>B Saya ingin melakukan apa saja sebaik mungkin.</v>
      </c>
      <c r="G80" s="95" t="str">
        <f>IFERROR(__xludf.DUMMYFUNCTION("""COMPUTED_VALUE"""),"A Saya ingin setiap tulisan saya teliti, rapi, dan tersusun dengan baik.")</f>
        <v>A Saya ingin setiap tulisan saya teliti, rapi, dan tersusun dengan baik.</v>
      </c>
      <c r="H80" s="95" t="str">
        <f>IFERROR(__xludf.DUMMYFUNCTION("""COMPUTED_VALUE"""),"A Saya ingin berbuat sesuai kata hati saya.")</f>
        <v>A Saya ingin berbuat sesuai kata hati saya.</v>
      </c>
      <c r="I80" s="95" t="str">
        <f>IFERROR(__xludf.DUMMYFUNCTION("""COMPUTED_VALUE"""),"B Saya ingin bisa melakukan dengan baik meskipun tugas yang sulit.")</f>
        <v>B Saya ingin bisa melakukan dengan baik meskipun tugas yang sulit.</v>
      </c>
      <c r="J80" s="95" t="str">
        <f>IFERROR(__xludf.DUMMYFUNCTION("""COMPUTED_VALUE"""),"A Saya suka membantu teman-teman saya apabila mereka mengalami kesulitan.")</f>
        <v>A Saya suka membantu teman-teman saya apabila mereka mengalami kesulitan.</v>
      </c>
      <c r="K80" s="95" t="str">
        <f>IFERROR(__xludf.DUMMYFUNCTION("""COMPUTED_VALUE"""),"B Saya ingin mengatakan telah melakukan dengan baik sesuatu tugas yang sulit.")</f>
        <v>B Saya ingin mengatakan telah melakukan dengan baik sesuatu tugas yang sulit.</v>
      </c>
      <c r="L80" s="95" t="str">
        <f>IFERROR(__xludf.DUMMYFUNCTION("""COMPUTED_VALUE"""),"B Saya ingin mengatakan telah melakukan dengan baik sesuatu tugas yang sulit")</f>
        <v>B Saya ingin mengatakan telah melakukan dengan baik sesuatu tugas yang sulit</v>
      </c>
      <c r="M80" s="95" t="str">
        <f>IFERROR(__xludf.DUMMYFUNCTION("""COMPUTED_VALUE"""),"A Saya suka berbicara tentang hal-hal yang telah berhasil saya lakukan.")</f>
        <v>A Saya suka berbicara tentang hal-hal yang telah berhasil saya lakukan.</v>
      </c>
      <c r="N80" s="95" t="str">
        <f>IFERROR(__xludf.DUMMYFUNCTION("""COMPUTED_VALUE"""),"A Saya suka pergi dengan pakaian rapi agar lebih menarik perhatian orang lain.")</f>
        <v>A Saya suka pergi dengan pakaian rapi agar lebih menarik perhatian orang lain.</v>
      </c>
      <c r="O80" s="95" t="str">
        <f>IFERROR(__xludf.DUMMYFUNCTION("""COMPUTED_VALUE"""),"B Saya suka melakukan tugas sebaik mungkin.")</f>
        <v>B Saya suka melakukan tugas sebaik mungkin.</v>
      </c>
      <c r="P80" s="95" t="str">
        <f>IFERROR(__xludf.DUMMYFUNCTION("""COMPUTED_VALUE"""),"B Saya ingin setiap belajar itu teratur dan direncanakan.")</f>
        <v>B Saya ingin setiap belajar itu teratur dan direncanakan.</v>
      </c>
      <c r="Q80" s="95" t="str">
        <f>IFERROR(__xludf.DUMMYFUNCTION("""COMPUTED_VALUE"""),"B Saya merencanakan keperluan yang dibutuhkan sebelum bepergian.")</f>
        <v>B Saya merencanakan keperluan yang dibutuhkan sebelum bepergian.</v>
      </c>
      <c r="R80" s="95" t="str">
        <f>IFERROR(__xludf.DUMMYFUNCTION("""COMPUTED_VALUE"""),"B Saya suka barang-barang saya tersusun rapi dan teratur.")</f>
        <v>B Saya suka barang-barang saya tersusun rapi dan teratur.</v>
      </c>
      <c r="S80" s="95" t="str">
        <f>IFERROR(__xludf.DUMMYFUNCTION("""COMPUTED_VALUE"""),"B Saya suka membuat perencanaan sebelum memulai tugas yang sulit.")</f>
        <v>B Saya suka membuat perencanaan sebelum memulai tugas yang sulit.</v>
      </c>
      <c r="T80" s="95" t="str">
        <f>IFERROR(__xludf.DUMMYFUNCTION("""COMPUTED_VALUE"""),"B Saya ingin agar hidup saya teratur sesuai cita-cita saya.")</f>
        <v>B Saya ingin agar hidup saya teratur sesuai cita-cita saya.</v>
      </c>
      <c r="U80" s="95" t="str">
        <f>IFERROR(__xludf.DUMMYFUNCTION("""COMPUTED_VALUE"""),"A Saya suka memberikan bantuan kepada teman-teman saya.")</f>
        <v>A Saya suka memberikan bantuan kepada teman-teman saya.</v>
      </c>
      <c r="V80" s="95" t="str">
        <f>IFERROR(__xludf.DUMMYFUNCTION("""COMPUTED_VALUE"""),"B Saya suka belajar saya teratur dan ada waktu-waktu tertentu untuk belajar.")</f>
        <v>B Saya suka belajar saya teratur dan ada waktu-waktu tertentu untuk belajar.</v>
      </c>
      <c r="W80" s="95" t="str">
        <f>IFERROR(__xludf.DUMMYFUNCTION("""COMPUTED_VALUE"""),"B Saya ingin kegiatan itu teratur dan direncanakan.")</f>
        <v>B Saya ingin kegiatan itu teratur dan direncanakan.</v>
      </c>
      <c r="X80" s="95" t="str">
        <f>IFERROR(__xludf.DUMMYFUNCTION("""COMPUTED_VALUE"""),"A Saya suka merencanakan dan mengatur setiap apa yang harus saya lakukan.")</f>
        <v>A Saya suka merencanakan dan mengatur setiap apa yang harus saya lakukan.</v>
      </c>
      <c r="Y80" s="95" t="str">
        <f>IFERROR(__xludf.DUMMYFUNCTION("""COMPUTED_VALUE"""),"A Saya suka menyelesaikan tugas-tugas yang membutuhkan ketrampilan dan usaha.")</f>
        <v>A Saya suka menyelesaikan tugas-tugas yang membutuhkan ketrampilan dan usaha.</v>
      </c>
      <c r="Z80" s="95" t="str">
        <f>IFERROR(__xludf.DUMMYFUNCTION("""COMPUTED_VALUE"""),"A Saya ingin berhasil dengan belajar yang saya lakukan.")</f>
        <v>A Saya ingin berhasil dengan belajar yang saya lakukan.</v>
      </c>
      <c r="AA80" s="95" t="str">
        <f>IFERROR(__xludf.DUMMYFUNCTION("""COMPUTED_VALUE"""),"B Saya tidak suka pada orang yang berbuat seenaknya sendiri.")</f>
        <v>B Saya tidak suka pada orang yang berbuat seenaknya sendiri.</v>
      </c>
      <c r="AB80" s="95" t="str">
        <f>IFERROR(__xludf.DUMMYFUNCTION("""COMPUTED_VALUE"""),"B Saya ingin menyelesaikan pekerjaan satu persatu sebelum memulai yang lain.")</f>
        <v>B Saya ingin menyelesaikan pekerjaan satu persatu sebelum memulai yang lain.</v>
      </c>
      <c r="AC80" s="95" t="str">
        <f>IFERROR(__xludf.DUMMYFUNCTION("""COMPUTED_VALUE"""),"B Saya suka melakukan kegiatan sesuai kondisi yang saya inginkan.")</f>
        <v>B Saya suka melakukan kegiatan sesuai kondisi yang saya inginkan.</v>
      </c>
      <c r="AD80" s="95" t="str">
        <f>IFERROR(__xludf.DUMMYFUNCTION("""COMPUTED_VALUE"""),"A Saya suka bermurah hati terhadap teman-teman saya.")</f>
        <v>A Saya suka bermurah hati terhadap teman-teman saya.</v>
      </c>
      <c r="AE80" s="95" t="str">
        <f>IFERROR(__xludf.DUMMYFUNCTION("""COMPUTED_VALUE"""),"A Saya ingin dianggap sebagai pemimpin oleh teman di kelompok.")</f>
        <v>A Saya ingin dianggap sebagai pemimpin oleh teman di kelompok.</v>
      </c>
      <c r="AF80" s="95" t="str">
        <f>IFERROR(__xludf.DUMMYFUNCTION("""COMPUTED_VALUE"""),"A Saya ingin agar teman-teman mengerti bila saya mengalami kesukaran.")</f>
        <v>A Saya ingin agar teman-teman mengerti bila saya mengalami kesukaran.</v>
      </c>
      <c r="AG80" s="95" t="str">
        <f>IFERROR(__xludf.DUMMYFUNCTION("""COMPUTED_VALUE"""),"B Saya ingin berhasil dengan tugas yang saya lakukan.")</f>
        <v>B Saya ingin berhasil dengan tugas yang saya lakukan.</v>
      </c>
      <c r="AH80" s="95" t="str">
        <f>IFERROR(__xludf.DUMMYFUNCTION("""COMPUTED_VALUE"""),"B Saya ingin merasa bebas untuk melakukan apa yang saya kehendaki.")</f>
        <v>B Saya ingin merasa bebas untuk melakukan apa yang saya kehendaki.</v>
      </c>
      <c r="AI80" s="95" t="str">
        <f>IFERROR(__xludf.DUMMYFUNCTION("""COMPUTED_VALUE"""),"B Saya suka melakukan kegiatan sesuai kondisi yang saya inginkan.")</f>
        <v>B Saya suka melakukan kegiatan sesuai kondisi yang saya inginkan.</v>
      </c>
      <c r="AJ80" s="95" t="str">
        <f>IFERROR(__xludf.DUMMYFUNCTION("""COMPUTED_VALUE"""),"B Saya suka bertahan menghadapi satu masalah meskipun belum tentu berhasil.")</f>
        <v>B Saya suka bertahan menghadapi satu masalah meskipun belum tentu berhasil.</v>
      </c>
      <c r="AK80" s="95" t="str">
        <f>IFERROR(__xludf.DUMMYFUNCTION("""COMPUTED_VALUE"""),"B Bila saya harus melakukan suatu tugas, saya ingin mengerjakan sampai selesai.")</f>
        <v>B Bila saya harus melakukan suatu tugas, saya ingin mengerjakan sampai selesai.</v>
      </c>
      <c r="AL80" s="95" t="str">
        <f>IFERROR(__xludf.DUMMYFUNCTION("""COMPUTED_VALUE"""),"B Saya ingin menghindarkan gangguan bila saya sedang belajar.")</f>
        <v>B Saya ingin menghindarkan gangguan bila saya sedang belajar.</v>
      </c>
      <c r="AM80" s="95" t="str">
        <f>IFERROR(__xludf.DUMMYFUNCTION("""COMPUTED_VALUE"""),"B Saya suka belajar sampai malam untuk menyelesaikan suatu tugas.")</f>
        <v>B Saya suka belajar sampai malam untuk menyelesaikan suatu tugas.</v>
      </c>
      <c r="AN80" s="95" t="str">
        <f>IFERROR(__xludf.DUMMYFUNCTION("""COMPUTED_VALUE"""),"A Saya tidak suka pada orang yang semena-mena.")</f>
        <v>A Saya tidak suka pada orang yang semena-mena.</v>
      </c>
      <c r="AO80" s="95" t="str">
        <f>IFERROR(__xludf.DUMMYFUNCTION("""COMPUTED_VALUE"""),"B Saya suka menyelesaikan setiap tugas meskipun membutuhkan waktu lama.")</f>
        <v>B Saya suka menyelesaikan setiap tugas meskipun membutuhkan waktu lama.</v>
      </c>
      <c r="AP80" s="95" t="str">
        <f>IFERROR(__xludf.DUMMYFUNCTION("""COMPUTED_VALUE"""),"A Saya ingin mengerjakannya tugas sampai selesai.")</f>
        <v>A Saya ingin mengerjakannya tugas sampai selesai.</v>
      </c>
      <c r="AQ80" s="95" t="str">
        <f>IFERROR(__xludf.DUMMYFUNCTION("""COMPUTED_VALUE"""),"B Bila saya harus melakukan suatu tugas, saya ingin mengerjakan sampai selesai.")</f>
        <v>B Bila saya harus melakukan suatu tugas, saya ingin mengerjakan sampai selesai.</v>
      </c>
      <c r="AR80" s="95" t="str">
        <f>IFERROR(__xludf.DUMMYFUNCTION("""COMPUTED_VALUE"""),"A Saya suka menyimpan catatan secara rapi.")</f>
        <v>A Saya suka menyimpan catatan secara rapi.</v>
      </c>
      <c r="AS80" s="95" t="str">
        <f>IFERROR(__xludf.DUMMYFUNCTION("""COMPUTED_VALUE"""),"A Saya ingin dapat menyelesaikan persoalan yang dianggap sukar bagi orang lain.")</f>
        <v>A Saya ingin dapat menyelesaikan persoalan yang dianggap sukar bagi orang lain.</v>
      </c>
      <c r="AT80" s="95" t="str">
        <f>IFERROR(__xludf.DUMMYFUNCTION("""COMPUTED_VALUE"""),"B Saya suka membantu orang lain yang menurut saya perlu dikasihani.")</f>
        <v>B Saya suka membantu orang lain yang menurut saya perlu dikasihani.</v>
      </c>
      <c r="AU80" s="95" t="str">
        <f>IFERROR(__xludf.DUMMYFUNCTION("""COMPUTED_VALUE"""),"B Saya suka bermurah hati terhadap teman-teman saya.")</f>
        <v>B Saya suka bermurah hati terhadap teman-teman saya.</v>
      </c>
      <c r="AV80" s="95" t="str">
        <f>IFERROR(__xludf.DUMMYFUNCTION("""COMPUTED_VALUE"""),"B Saya suka menolong teman-teman saya.")</f>
        <v>B Saya suka menolong teman-teman saya.</v>
      </c>
      <c r="AW80" s="95" t="str">
        <f>IFERROR(__xludf.DUMMYFUNCTION("""COMPUTED_VALUE"""),"A Saya ingin mengerjakan tugas sampai selesai.")</f>
        <v>A Saya ingin mengerjakan tugas sampai selesai.</v>
      </c>
      <c r="AX80" s="95" t="str">
        <f>IFERROR(__xludf.DUMMYFUNCTION("""COMPUTED_VALUE"""),"B Saya suka memaafkan teman-teman saya yang menyakiti hati saya.")</f>
        <v>B Saya suka memaafkan teman-teman saya yang menyakiti hati saya.</v>
      </c>
      <c r="AY80" s="95" t="str">
        <f>IFERROR(__xludf.DUMMYFUNCTION("""COMPUTED_VALUE"""),"B Saya suka menolong teman-teman saya apabila mereka dalam kesulitan.")</f>
        <v>B Saya suka menolong teman-teman saya apabila mereka dalam kesulitan.</v>
      </c>
      <c r="AZ80" s="95" t="str">
        <f>IFERROR(__xludf.DUMMYFUNCTION("""COMPUTED_VALUE"""),"B Saya suka menunjukkan simpati saya kepada teman-teman saya.")</f>
        <v>B Saya suka menunjukkan simpati saya kepada teman-teman saya.</v>
      </c>
      <c r="BA80" s="95" t="str">
        <f>IFERROR(__xludf.DUMMYFUNCTION("""COMPUTED_VALUE"""),"B Saya suka memperlakukan orang lain dengan baik dan ramah.")</f>
        <v>B Saya suka memperlakukan orang lain dengan baik dan ramah.</v>
      </c>
      <c r="BB80" s="95" t="str">
        <f>IFERROR(__xludf.DUMMYFUNCTION("""COMPUTED_VALUE"""),"B Saya suka bermurah hati terhadap teman-teman saya.")</f>
        <v>B Saya suka bermurah hati terhadap teman-teman saya.</v>
      </c>
      <c r="BC80" s="95" t="str">
        <f>IFERROR(__xludf.DUMMYFUNCTION("""COMPUTED_VALUE"""),"B Saya suka membantu orang lain yang menurut saya perlu dikasihani.")</f>
        <v>B Saya suka membantu orang lain yang menurut saya perlu dikasihani.</v>
      </c>
      <c r="BD80" s="95" t="str">
        <f>IFERROR(__xludf.DUMMYFUNCTION("""COMPUTED_VALUE"""),"B Saya suka bersikukuh dengan pendirian saya.")</f>
        <v>B Saya suka bersikukuh dengan pendirian saya.</v>
      </c>
      <c r="BE80" s="95" t="str">
        <f>IFERROR(__xludf.DUMMYFUNCTION("""COMPUTED_VALUE"""),"B Saya ingin orang lain melakukan apa yang saya kehendaki.")</f>
        <v>B Saya ingin orang lain melakukan apa yang saya kehendaki.</v>
      </c>
      <c r="BF80" s="95" t="str">
        <f>IFERROR(__xludf.DUMMYFUNCTION("""COMPUTED_VALUE"""),"B Bila saya dalam kelompok, saya ingin menentukan apa yang akan kita lakukan.")</f>
        <v>B Bila saya dalam kelompok, saya ingin menentukan apa yang akan kita lakukan.</v>
      </c>
      <c r="BG80" s="95" t="str">
        <f>IFERROR(__xludf.DUMMYFUNCTION("""COMPUTED_VALUE"""),"B Saya suka mengarahkan kepada orang lain apa yang harus dilakukan.")</f>
        <v>B Saya suka mengarahkan kepada orang lain apa yang harus dilakukan.</v>
      </c>
      <c r="BH80" s="95" t="str">
        <f>IFERROR(__xludf.DUMMYFUNCTION("""COMPUTED_VALUE"""),"B Apabila saya berkumpul dalam kelompok, saya ingin dihargai teman-teman.")</f>
        <v>B Apabila saya berkumpul dalam kelompok, saya ingin dihargai teman-teman.</v>
      </c>
      <c r="BI80" s="95" t="str">
        <f>IFERROR(__xludf.DUMMYFUNCTION("""COMPUTED_VALUE"""),"A Saya suka bermurah hati terhadap teman-teman saya.")</f>
        <v>A Saya suka bermurah hati terhadap teman-teman saya.</v>
      </c>
      <c r="BJ80" s="95" t="str">
        <f>IFERROR(__xludf.DUMMYFUNCTION("""COMPUTED_VALUE"""),"A Saya ingin mengerjakan tugas sampai selesai.")</f>
        <v>A Saya ingin mengerjakan tugas sampai selesai.</v>
      </c>
      <c r="BK80" s="95" t="str">
        <f>IFERROR(__xludf.DUMMYFUNCTION("""COMPUTED_VALUE"""),"A Saya ingin menyelesaikan pekerjaan satu persatu sebelum memulai yang lain.")</f>
        <v>A Saya ingin menyelesaikan pekerjaan satu persatu sebelum memulai yang lain.</v>
      </c>
      <c r="BL80" s="95" t="str">
        <f>IFERROR(__xludf.DUMMYFUNCTION("""COMPUTED_VALUE"""),"B Saya suka bersikukuh dengan pendirian saya.")</f>
        <v>B Saya suka bersikukuh dengan pendirian saya.</v>
      </c>
      <c r="BM80" s="95" t="str">
        <f>IFERROR(__xludf.DUMMYFUNCTION("""COMPUTED_VALUE"""),"A Saya suka melakukan pekerjaan sebaik mungkin.")</f>
        <v>A Saya suka melakukan pekerjaan sebaik mungkin.</v>
      </c>
      <c r="BN80" s="95" t="str">
        <f>IFERROR(__xludf.DUMMYFUNCTION("""COMPUTED_VALUE"""),"A Saya suka mengerjakan teka-teki atau memecahkan persoalan sampai selesai.")</f>
        <v>A Saya suka mengerjakan teka-teki atau memecahkan persoalan sampai selesai.</v>
      </c>
      <c r="BO80" s="95" t="str">
        <f>IFERROR(__xludf.DUMMYFUNCTION("""COMPUTED_VALUE"""),"A Saya suka membuat perencanaan sebelum memulai belajar yang sulit.")</f>
        <v>A Saya suka membuat perencanaan sebelum memulai belajar yang sulit.</v>
      </c>
      <c r="BP80" s="95" t="str">
        <f>IFERROR(__xludf.DUMMYFUNCTION("""COMPUTED_VALUE"""),"A Saya ingin menyelesaikan sesuatu yang sangat penting artinya.")</f>
        <v>A Saya ingin menyelesaikan sesuatu yang sangat penting artinya.</v>
      </c>
      <c r="BQ80" s="95" t="str">
        <f>IFERROR(__xludf.DUMMYFUNCTION("""COMPUTED_VALUE"""),"A Saya ingin mengerjakannya tugas sampai selesai.")</f>
        <v>A Saya ingin mengerjakannya tugas sampai selesai.</v>
      </c>
      <c r="BR80" s="95" t="str">
        <f>IFERROR(__xludf.DUMMYFUNCTION("""COMPUTED_VALUE"""),"A Saya suka memaafkan teman-teman saya yang menyakiti hati saya.")</f>
        <v>A Saya suka memaafkan teman-teman saya yang menyakiti hati saya.</v>
      </c>
      <c r="BS80" s="95" t="str">
        <f>IFERROR(__xludf.DUMMYFUNCTION("""COMPUTED_VALUE"""),"B Saya ingin teman-teman saya membantu saya bila saya mengalami kesulitan")</f>
        <v>B Saya ingin teman-teman saya membantu saya bila saya mengalami kesulitan</v>
      </c>
      <c r="BT80" s="95" t="str">
        <f>IFERROR(__xludf.DUMMYFUNCTION("""COMPUTED_VALUE"""),"B Saya ingin teman-teman banyak menunjukkan rasa sayang mereka terhadap saya.")</f>
        <v>B Saya ingin teman-teman banyak menunjukkan rasa sayang mereka terhadap saya.</v>
      </c>
      <c r="BU80" s="95" t="str">
        <f>IFERROR(__xludf.DUMMYFUNCTION("""COMPUTED_VALUE"""),"A Saya kadang-kadang suka melakukan hal-hal yang dapat dipuji oleh orang lain.")</f>
        <v>A Saya kadang-kadang suka melakukan hal-hal yang dapat dipuji oleh orang lain.</v>
      </c>
      <c r="BV80" s="95" t="str">
        <f>IFERROR(__xludf.DUMMYFUNCTION("""COMPUTED_VALUE"""),"B Saya ingin teman-teman dengan gembira memberikan pertolongan kepada saya.")</f>
        <v>B Saya ingin teman-teman dengan gembira memberikan pertolongan kepada saya.</v>
      </c>
      <c r="BW80" s="95" t="str">
        <f>IFERROR(__xludf.DUMMYFUNCTION("""COMPUTED_VALUE"""),"B Saya ingin diperlakukan dengan baik oleh teman-teman saya.")</f>
        <v>B Saya ingin diperlakukan dengan baik oleh teman-teman saya.</v>
      </c>
      <c r="BX80" s="95" t="str">
        <f>IFERROR(__xludf.DUMMYFUNCTION("""COMPUTED_VALUE"""),"B Saya kadang-kadang suka melakukan hal-hal yang dapat dipuji oleh orang lain.")</f>
        <v>B Saya kadang-kadang suka melakukan hal-hal yang dapat dipuji oleh orang lain.</v>
      </c>
      <c r="BY80" s="95" t="str">
        <f>IFERROR(__xludf.DUMMYFUNCTION("""COMPUTED_VALUE"""),"B Saya ingin orang lain memperhatikan dan berkomentar tentang penampilan saya.")</f>
        <v>B Saya ingin orang lain memperhatikan dan berkomentar tentang penampilan saya.</v>
      </c>
      <c r="BZ80" s="95" t="str">
        <f>IFERROR(__xludf.DUMMYFUNCTION("""COMPUTED_VALUE"""),"B Saya suka diperhatikan, apabila saya ada di dalam suatu kelompok.")</f>
        <v>B Saya suka diperhatikan, apabila saya ada di dalam suatu kelompok.</v>
      </c>
      <c r="CA80" s="95" t="str">
        <f>IFERROR(__xludf.DUMMYFUNCTION("""COMPUTED_VALUE"""),"A Saya ingin teman-teman dengan gembira memberikan pertolongan kepada saya.")</f>
        <v>A Saya ingin teman-teman dengan gembira memberikan pertolongan kepada saya.</v>
      </c>
      <c r="CB80" s="95" t="str">
        <f>IFERROR(__xludf.DUMMYFUNCTION("""COMPUTED_VALUE"""),"B Saya suka berbicara tentang hal-hal yang telah saya capai.")</f>
        <v>B Saya suka berbicara tentang hal-hal yang telah saya capai.</v>
      </c>
      <c r="CC80" s="95" t="str">
        <f>IFERROR(__xludf.DUMMYFUNCTION("""COMPUTED_VALUE"""),"A Apabila saya berkumpul dalam kelompok, saya ingin dihargai teman-teman.")</f>
        <v>A Apabila saya berkumpul dalam kelompok, saya ingin dihargai teman-teman.</v>
      </c>
      <c r="CD80" s="95" t="str">
        <f>IFERROR(__xludf.DUMMYFUNCTION("""COMPUTED_VALUE"""),"A Saya suka menyelesaikan setiap tugas meskipun membutuhkan waktu lama.")</f>
        <v>A Saya suka menyelesaikan setiap tugas meskipun membutuhkan waktu lama.</v>
      </c>
      <c r="CE80" s="95" t="str">
        <f>IFERROR(__xludf.DUMMYFUNCTION("""COMPUTED_VALUE"""),"A Saya suka menyelesaikan setiap tugas belajar yang telah saya mulai.")</f>
        <v>A Saya suka menyelesaikan setiap tugas belajar yang telah saya mulai.</v>
      </c>
      <c r="CF80" s="95" t="str">
        <f>IFERROR(__xludf.DUMMYFUNCTION("""COMPUTED_VALUE"""),"B Saya ingin orang lain memperhatikan dan berkomentar tentang penampilan saya.")</f>
        <v>B Saya ingin orang lain memperhatikan dan berkomentar tentang penampilan saya.</v>
      </c>
      <c r="CG80" s="95" t="str">
        <f>IFERROR(__xludf.DUMMYFUNCTION("""COMPUTED_VALUE"""),"A Saya ingin berhasil dalam apa yang saya lakukan.")</f>
        <v>A Saya ingin berhasil dalam apa yang saya lakukan.</v>
      </c>
      <c r="CH80" s="95" t="str">
        <f>IFERROR(__xludf.DUMMYFUNCTION("""COMPUTED_VALUE"""),"A Saya ingin bisa melakukan dengan baik sesuatu pekerjaan sulit.")</f>
        <v>A Saya ingin bisa melakukan dengan baik sesuatu pekerjaan sulit.</v>
      </c>
      <c r="CI80" s="95" t="str">
        <f>IFERROR(__xludf.DUMMYFUNCTION("""COMPUTED_VALUE"""),"B Saya ingin dianggap menarik oleh orang lain.")</f>
        <v>B Saya ingin dianggap menarik oleh orang lain.</v>
      </c>
      <c r="CJ80" s="95" t="str">
        <f>IFERROR(__xludf.DUMMYFUNCTION("""COMPUTED_VALUE"""),"A Saya ingin tidak tergantung dari orang lain terhadap apa yang akan saya lakukan.")</f>
        <v>A Saya ingin tidak tergantung dari orang lain terhadap apa yang akan saya lakukan.</v>
      </c>
      <c r="CK80" s="95" t="str">
        <f>IFERROR(__xludf.DUMMYFUNCTION("""COMPUTED_VALUE"""),"A Saya suka bertahan menghadapi satu masalah, meskipun belum tentu berhasil.")</f>
        <v>A Saya suka bertahan menghadapi satu masalah, meskipun belum tentu berhasil.</v>
      </c>
      <c r="CL80" s="95" t="str">
        <f>IFERROR(__xludf.DUMMYFUNCTION("""COMPUTED_VALUE"""),"A Saya suka menolong teman-teman saya, apabila mereka dalam kesulitan.")</f>
        <v>A Saya suka menolong teman-teman saya, apabila mereka dalam kesulitan.</v>
      </c>
      <c r="CM80" s="95" t="str">
        <f>IFERROR(__xludf.DUMMYFUNCTION("""COMPUTED_VALUE"""),"B Saya merasa kagum pada seseorang.")</f>
        <v>B Saya merasa kagum pada seseorang.</v>
      </c>
      <c r="CN80" s="95" t="str">
        <f>IFERROR(__xludf.DUMMYFUNCTION("""COMPUTED_VALUE"""),"A Saya ingin diperlakukan dengan baik oleh teman-teman saya.")</f>
        <v>A Saya ingin diperlakukan dengan baik oleh teman-teman saya.</v>
      </c>
      <c r="CO80" s="95" t="str">
        <f>IFERROR(__xludf.DUMMYFUNCTION("""COMPUTED_VALUE"""),"B Saya suka memuji orang yang saya kagumi.")</f>
        <v>B Saya suka memuji orang yang saya kagumi.</v>
      </c>
      <c r="CP80" s="95" t="str">
        <f>IFERROR(__xludf.DUMMYFUNCTION("""COMPUTED_VALUE"""),"B Saya ingin dianggap menarik oleh orang lain.")</f>
        <v>B Saya ingin dianggap menarik oleh orang lain.</v>
      </c>
      <c r="CQ80" s="95" t="str">
        <f>IFERROR(__xludf.DUMMYFUNCTION("""COMPUTED_VALUE"""),"B Saya merasa kagum pada seseorang.")</f>
        <v>B Saya merasa kagum pada seseorang.</v>
      </c>
      <c r="CR80" s="95" t="str">
        <f>IFERROR(__xludf.DUMMYFUNCTION("""COMPUTED_VALUE"""),"B Saya rasanya ingin mengecam seseorang bila orang itu menjengkelkan.")</f>
        <v>B Saya rasanya ingin mengecam seseorang bila orang itu menjengkelkan.</v>
      </c>
      <c r="CS80" s="95" t="str">
        <f>IFERROR(__xludf.DUMMYFUNCTION("""COMPUTED_VALUE"""),"A Saya ingin terlihat menarik di depan teman-teman saya.")</f>
        <v>A Saya ingin terlihat menarik di depan teman-teman saya.</v>
      </c>
      <c r="CT80" s="95" t="str">
        <f>IFERROR(__xludf.DUMMYFUNCTION("""COMPUTED_VALUE"""),"A Saya ingin orang-orang memperhatikan komentar mengenai penampilan saya.")</f>
        <v>A Saya ingin orang-orang memperhatikan komentar mengenai penampilan saya.</v>
      </c>
      <c r="CU80" s="95" t="str">
        <f>IFERROR(__xludf.DUMMYFUNCTION("""COMPUTED_VALUE"""),"A Saya ingin diperlakukan dengan ramah oleh teman-teman saya.")</f>
        <v>A Saya ingin diperlakukan dengan ramah oleh teman-teman saya.</v>
      </c>
      <c r="CV80" s="95" t="str">
        <f>IFERROR(__xludf.DUMMYFUNCTION("""COMPUTED_VALUE"""),"A Saya ingin ditunjuk atau dipilih sebagai ketua dalam suatu kelompok.")</f>
        <v>A Saya ingin ditunjuk atau dipilih sebagai ketua dalam suatu kelompok.</v>
      </c>
      <c r="CW80" s="95" t="str">
        <f>IFERROR(__xludf.DUMMYFUNCTION("""COMPUTED_VALUE"""),"A Saya suka menolong teman-teman saya, apabila mereka dalam kesulitan.")</f>
        <v>A Saya suka menolong teman-teman saya, apabila mereka dalam kesulitan.</v>
      </c>
      <c r="CX80" s="95" t="str">
        <f>IFERROR(__xludf.DUMMYFUNCTION("""COMPUTED_VALUE"""),"A Saya suka belajar sampai malam untuk menyelesaikan suatu tugas.")</f>
        <v>A Saya suka belajar sampai malam untuk menyelesaikan suatu tugas.</v>
      </c>
      <c r="CY80" s="95" t="str">
        <f>IFERROR(__xludf.DUMMYFUNCTION("""COMPUTED_VALUE"""),"A Saya ingin tidak tergantung dari orang lain terhadap apa yang akan saya lakukan.")</f>
        <v>A Saya ingin tidak tergantung dari orang lain terhadap apa yang akan saya lakukan.</v>
      </c>
      <c r="CZ80" s="95" t="str">
        <f>IFERROR(__xludf.DUMMYFUNCTION("""COMPUTED_VALUE"""),"A Saya suka merencanakan dan mengatur setiap pekerjaan yang harus saya lakukan.")</f>
        <v>A Saya suka merencanakan dan mengatur setiap pekerjaan yang harus saya lakukan.</v>
      </c>
      <c r="DA80" s="95" t="str">
        <f>IFERROR(__xludf.DUMMYFUNCTION("""COMPUTED_VALUE"""),"A Saya ingin melakukan apa saja sebaik mungkin.")</f>
        <v>A Saya ingin melakukan apa saja sebaik mungkin.</v>
      </c>
      <c r="DB80" s="89" t="s">
        <v>23</v>
      </c>
      <c r="DC80" s="97" t="str">
        <f t="shared" ref="DC80:GX80" si="125">LEFT(F80,1)</f>
        <v>B</v>
      </c>
      <c r="DD80" s="97" t="str">
        <f t="shared" si="125"/>
        <v>A</v>
      </c>
      <c r="DE80" s="97" t="str">
        <f t="shared" si="125"/>
        <v>A</v>
      </c>
      <c r="DF80" s="97" t="str">
        <f t="shared" si="125"/>
        <v>B</v>
      </c>
      <c r="DG80" s="97" t="str">
        <f t="shared" si="125"/>
        <v>A</v>
      </c>
      <c r="DH80" s="97" t="str">
        <f t="shared" si="125"/>
        <v>B</v>
      </c>
      <c r="DI80" s="97" t="str">
        <f t="shared" si="125"/>
        <v>B</v>
      </c>
      <c r="DJ80" s="97" t="str">
        <f t="shared" si="125"/>
        <v>A</v>
      </c>
      <c r="DK80" s="97" t="str">
        <f t="shared" si="125"/>
        <v>A</v>
      </c>
      <c r="DL80" s="97" t="str">
        <f t="shared" si="125"/>
        <v>B</v>
      </c>
      <c r="DM80" s="97" t="str">
        <f t="shared" si="125"/>
        <v>B</v>
      </c>
      <c r="DN80" s="97" t="str">
        <f t="shared" si="125"/>
        <v>B</v>
      </c>
      <c r="DO80" s="97" t="str">
        <f t="shared" si="125"/>
        <v>B</v>
      </c>
      <c r="DP80" s="97" t="str">
        <f t="shared" si="125"/>
        <v>B</v>
      </c>
      <c r="DQ80" s="97" t="str">
        <f t="shared" si="125"/>
        <v>B</v>
      </c>
      <c r="DR80" s="97" t="str">
        <f t="shared" si="125"/>
        <v>A</v>
      </c>
      <c r="DS80" s="97" t="str">
        <f t="shared" si="125"/>
        <v>B</v>
      </c>
      <c r="DT80" s="97" t="str">
        <f t="shared" si="125"/>
        <v>B</v>
      </c>
      <c r="DU80" s="97" t="str">
        <f t="shared" si="125"/>
        <v>A</v>
      </c>
      <c r="DV80" s="97" t="str">
        <f t="shared" si="125"/>
        <v>A</v>
      </c>
      <c r="DW80" s="97" t="str">
        <f t="shared" si="125"/>
        <v>A</v>
      </c>
      <c r="DX80" s="97" t="str">
        <f t="shared" si="125"/>
        <v>B</v>
      </c>
      <c r="DY80" s="97" t="str">
        <f t="shared" si="125"/>
        <v>B</v>
      </c>
      <c r="DZ80" s="97" t="str">
        <f t="shared" si="125"/>
        <v>B</v>
      </c>
      <c r="EA80" s="97" t="str">
        <f t="shared" si="125"/>
        <v>A</v>
      </c>
      <c r="EB80" s="97" t="str">
        <f t="shared" si="125"/>
        <v>A</v>
      </c>
      <c r="EC80" s="97" t="str">
        <f t="shared" si="125"/>
        <v>A</v>
      </c>
      <c r="ED80" s="97" t="str">
        <f t="shared" si="125"/>
        <v>B</v>
      </c>
      <c r="EE80" s="97" t="str">
        <f t="shared" si="125"/>
        <v>B</v>
      </c>
      <c r="EF80" s="97" t="str">
        <f t="shared" si="125"/>
        <v>B</v>
      </c>
      <c r="EG80" s="97" t="str">
        <f t="shared" si="125"/>
        <v>B</v>
      </c>
      <c r="EH80" s="97" t="str">
        <f t="shared" si="125"/>
        <v>B</v>
      </c>
      <c r="EI80" s="97" t="str">
        <f t="shared" si="125"/>
        <v>B</v>
      </c>
      <c r="EJ80" s="97" t="str">
        <f t="shared" si="125"/>
        <v>B</v>
      </c>
      <c r="EK80" s="97" t="str">
        <f t="shared" si="125"/>
        <v>A</v>
      </c>
      <c r="EL80" s="97" t="str">
        <f t="shared" si="125"/>
        <v>B</v>
      </c>
      <c r="EM80" s="97" t="str">
        <f t="shared" si="125"/>
        <v>A</v>
      </c>
      <c r="EN80" s="97" t="str">
        <f t="shared" si="125"/>
        <v>B</v>
      </c>
      <c r="EO80" s="97" t="str">
        <f t="shared" si="125"/>
        <v>A</v>
      </c>
      <c r="EP80" s="97" t="str">
        <f t="shared" si="125"/>
        <v>A</v>
      </c>
      <c r="EQ80" s="97" t="str">
        <f t="shared" si="125"/>
        <v>B</v>
      </c>
      <c r="ER80" s="97" t="str">
        <f t="shared" si="125"/>
        <v>B</v>
      </c>
      <c r="ES80" s="97" t="str">
        <f t="shared" si="125"/>
        <v>B</v>
      </c>
      <c r="ET80" s="97" t="str">
        <f t="shared" si="125"/>
        <v>A</v>
      </c>
      <c r="EU80" s="97" t="str">
        <f t="shared" si="125"/>
        <v>B</v>
      </c>
      <c r="EV80" s="97" t="str">
        <f t="shared" si="125"/>
        <v>B</v>
      </c>
      <c r="EW80" s="97" t="str">
        <f t="shared" si="125"/>
        <v>B</v>
      </c>
      <c r="EX80" s="97" t="str">
        <f t="shared" si="125"/>
        <v>B</v>
      </c>
      <c r="EY80" s="97" t="str">
        <f t="shared" si="125"/>
        <v>B</v>
      </c>
      <c r="EZ80" s="97" t="str">
        <f t="shared" si="125"/>
        <v>B</v>
      </c>
      <c r="FA80" s="97" t="str">
        <f t="shared" si="125"/>
        <v>B</v>
      </c>
      <c r="FB80" s="97" t="str">
        <f t="shared" si="125"/>
        <v>B</v>
      </c>
      <c r="FC80" s="97" t="str">
        <f t="shared" si="125"/>
        <v>B</v>
      </c>
      <c r="FD80" s="97" t="str">
        <f t="shared" si="125"/>
        <v>B</v>
      </c>
      <c r="FE80" s="97" t="str">
        <f t="shared" si="125"/>
        <v>B</v>
      </c>
      <c r="FF80" s="97" t="str">
        <f t="shared" si="125"/>
        <v>A</v>
      </c>
      <c r="FG80" s="97" t="str">
        <f t="shared" si="125"/>
        <v>A</v>
      </c>
      <c r="FH80" s="97" t="str">
        <f t="shared" si="125"/>
        <v>A</v>
      </c>
      <c r="FI80" s="97" t="str">
        <f t="shared" si="125"/>
        <v>B</v>
      </c>
      <c r="FJ80" s="97" t="str">
        <f t="shared" si="125"/>
        <v>A</v>
      </c>
      <c r="FK80" s="97" t="str">
        <f t="shared" si="125"/>
        <v>A</v>
      </c>
      <c r="FL80" s="97" t="str">
        <f t="shared" si="125"/>
        <v>A</v>
      </c>
      <c r="FM80" s="97" t="str">
        <f t="shared" si="125"/>
        <v>A</v>
      </c>
      <c r="FN80" s="97" t="str">
        <f t="shared" si="125"/>
        <v>A</v>
      </c>
      <c r="FO80" s="97" t="str">
        <f t="shared" si="125"/>
        <v>A</v>
      </c>
      <c r="FP80" s="97" t="str">
        <f t="shared" si="125"/>
        <v>B</v>
      </c>
      <c r="FQ80" s="97" t="str">
        <f t="shared" si="125"/>
        <v>B</v>
      </c>
      <c r="FR80" s="97" t="str">
        <f t="shared" si="125"/>
        <v>A</v>
      </c>
      <c r="FS80" s="97" t="str">
        <f t="shared" si="125"/>
        <v>B</v>
      </c>
      <c r="FT80" s="97" t="str">
        <f t="shared" si="125"/>
        <v>B</v>
      </c>
      <c r="FU80" s="97" t="str">
        <f t="shared" si="125"/>
        <v>B</v>
      </c>
      <c r="FV80" s="97" t="str">
        <f t="shared" si="125"/>
        <v>B</v>
      </c>
      <c r="FW80" s="97" t="str">
        <f t="shared" si="125"/>
        <v>B</v>
      </c>
      <c r="FX80" s="97" t="str">
        <f t="shared" si="125"/>
        <v>A</v>
      </c>
      <c r="FY80" s="97" t="str">
        <f t="shared" si="125"/>
        <v>B</v>
      </c>
      <c r="FZ80" s="97" t="str">
        <f t="shared" si="125"/>
        <v>A</v>
      </c>
      <c r="GA80" s="97" t="str">
        <f t="shared" si="125"/>
        <v>A</v>
      </c>
      <c r="GB80" s="97" t="str">
        <f t="shared" si="125"/>
        <v>A</v>
      </c>
      <c r="GC80" s="97" t="str">
        <f t="shared" si="125"/>
        <v>B</v>
      </c>
      <c r="GD80" s="97" t="str">
        <f t="shared" si="125"/>
        <v>A</v>
      </c>
      <c r="GE80" s="97" t="str">
        <f t="shared" si="125"/>
        <v>A</v>
      </c>
      <c r="GF80" s="97" t="str">
        <f t="shared" si="125"/>
        <v>B</v>
      </c>
      <c r="GG80" s="97" t="str">
        <f t="shared" si="125"/>
        <v>A</v>
      </c>
      <c r="GH80" s="97" t="str">
        <f t="shared" si="125"/>
        <v>A</v>
      </c>
      <c r="GI80" s="97" t="str">
        <f t="shared" si="125"/>
        <v>A</v>
      </c>
      <c r="GJ80" s="97" t="str">
        <f t="shared" si="125"/>
        <v>B</v>
      </c>
      <c r="GK80" s="97" t="str">
        <f t="shared" si="125"/>
        <v>A</v>
      </c>
      <c r="GL80" s="97" t="str">
        <f t="shared" si="125"/>
        <v>B</v>
      </c>
      <c r="GM80" s="97" t="str">
        <f t="shared" si="125"/>
        <v>B</v>
      </c>
      <c r="GN80" s="97" t="str">
        <f t="shared" si="125"/>
        <v>B</v>
      </c>
      <c r="GO80" s="97" t="str">
        <f t="shared" si="125"/>
        <v>B</v>
      </c>
      <c r="GP80" s="97" t="str">
        <f t="shared" si="125"/>
        <v>A</v>
      </c>
      <c r="GQ80" s="97" t="str">
        <f t="shared" si="125"/>
        <v>A</v>
      </c>
      <c r="GR80" s="97" t="str">
        <f t="shared" si="125"/>
        <v>A</v>
      </c>
      <c r="GS80" s="97" t="str">
        <f t="shared" si="125"/>
        <v>A</v>
      </c>
      <c r="GT80" s="97" t="str">
        <f t="shared" si="125"/>
        <v>A</v>
      </c>
      <c r="GU80" s="97" t="str">
        <f t="shared" si="125"/>
        <v>A</v>
      </c>
      <c r="GV80" s="97" t="str">
        <f t="shared" si="125"/>
        <v>A</v>
      </c>
      <c r="GW80" s="97" t="str">
        <f t="shared" si="125"/>
        <v>A</v>
      </c>
      <c r="GX80" s="97" t="str">
        <f t="shared" si="125"/>
        <v>A</v>
      </c>
      <c r="GY80" s="98"/>
      <c r="GZ80" s="97">
        <f t="shared" si="3"/>
        <v>46</v>
      </c>
      <c r="HA80" s="97">
        <f t="shared" si="4"/>
        <v>54</v>
      </c>
      <c r="HB80" s="90">
        <f t="shared" si="5"/>
        <v>100</v>
      </c>
      <c r="HC80" s="99"/>
      <c r="HD80" s="97">
        <f t="shared" si="6"/>
        <v>8</v>
      </c>
      <c r="HE80" s="97">
        <f t="shared" si="7"/>
        <v>4</v>
      </c>
      <c r="HF80" s="90">
        <f t="shared" si="8"/>
        <v>12</v>
      </c>
      <c r="HG80" s="99"/>
      <c r="HH80" s="97">
        <f t="shared" si="9"/>
        <v>4</v>
      </c>
      <c r="HI80" s="97">
        <f t="shared" si="10"/>
        <v>7</v>
      </c>
      <c r="HJ80" s="90">
        <f t="shared" si="11"/>
        <v>11</v>
      </c>
      <c r="HK80" s="99"/>
      <c r="HL80" s="97">
        <f t="shared" si="12"/>
        <v>6</v>
      </c>
      <c r="HM80" s="97">
        <f t="shared" si="13"/>
        <v>6</v>
      </c>
      <c r="HN80" s="90">
        <f t="shared" si="14"/>
        <v>12</v>
      </c>
      <c r="HO80" s="99"/>
      <c r="HP80" s="97">
        <f t="shared" si="15"/>
        <v>6</v>
      </c>
      <c r="HQ80" s="97">
        <f t="shared" si="16"/>
        <v>6</v>
      </c>
      <c r="HR80" s="90">
        <f t="shared" si="17"/>
        <v>12</v>
      </c>
      <c r="HS80" s="99"/>
      <c r="HT80" s="97">
        <f t="shared" si="18"/>
        <v>8</v>
      </c>
      <c r="HU80" s="97">
        <f t="shared" si="19"/>
        <v>9</v>
      </c>
      <c r="HV80" s="90">
        <f t="shared" si="20"/>
        <v>17</v>
      </c>
      <c r="HW80" s="99"/>
      <c r="HX80" s="97">
        <f t="shared" si="21"/>
        <v>3</v>
      </c>
      <c r="HY80" s="97">
        <f t="shared" si="22"/>
        <v>6</v>
      </c>
      <c r="HZ80" s="90">
        <f t="shared" si="23"/>
        <v>9</v>
      </c>
      <c r="IA80" s="99"/>
      <c r="IB80" s="97">
        <f t="shared" si="24"/>
        <v>4</v>
      </c>
      <c r="IC80" s="97">
        <f t="shared" si="25"/>
        <v>4</v>
      </c>
      <c r="ID80" s="90">
        <f t="shared" si="26"/>
        <v>8</v>
      </c>
      <c r="IE80" s="99"/>
      <c r="IF80" s="97">
        <f t="shared" si="27"/>
        <v>3</v>
      </c>
      <c r="IG80" s="97">
        <f t="shared" si="28"/>
        <v>5</v>
      </c>
      <c r="IH80" s="90">
        <f t="shared" si="29"/>
        <v>8</v>
      </c>
      <c r="II80" s="99"/>
      <c r="IJ80" s="97">
        <f t="shared" si="30"/>
        <v>2</v>
      </c>
      <c r="IK80" s="97">
        <f t="shared" si="31"/>
        <v>5</v>
      </c>
      <c r="IL80" s="90">
        <f t="shared" si="32"/>
        <v>7</v>
      </c>
      <c r="IM80" s="99"/>
      <c r="IN80" s="97">
        <f t="shared" si="33"/>
        <v>0</v>
      </c>
      <c r="IO80" s="97">
        <f t="shared" si="34"/>
        <v>1</v>
      </c>
      <c r="IP80" s="90">
        <f t="shared" si="35"/>
        <v>1</v>
      </c>
      <c r="IQ80" s="99"/>
      <c r="IR80" s="99"/>
      <c r="IS80" s="100">
        <f t="shared" si="36"/>
        <v>12</v>
      </c>
      <c r="IT80" s="100">
        <f t="shared" si="37"/>
        <v>11</v>
      </c>
      <c r="IU80" s="100">
        <f t="shared" si="38"/>
        <v>12</v>
      </c>
      <c r="IV80" s="100">
        <f t="shared" si="39"/>
        <v>12</v>
      </c>
      <c r="IW80" s="100">
        <f t="shared" si="40"/>
        <v>17</v>
      </c>
      <c r="IX80" s="100">
        <f t="shared" si="41"/>
        <v>9</v>
      </c>
      <c r="IY80" s="100">
        <f t="shared" si="42"/>
        <v>8</v>
      </c>
      <c r="IZ80" s="100">
        <f t="shared" si="43"/>
        <v>8</v>
      </c>
      <c r="JA80" s="100">
        <f t="shared" si="44"/>
        <v>7</v>
      </c>
      <c r="JB80" s="101">
        <f t="shared" si="45"/>
        <v>1</v>
      </c>
      <c r="JC80" s="102">
        <f t="shared" si="46"/>
        <v>97</v>
      </c>
      <c r="JD80" s="67">
        <f t="shared" si="50"/>
        <v>0</v>
      </c>
      <c r="JE80" s="67">
        <f t="shared" si="47"/>
        <v>0</v>
      </c>
      <c r="JF80" s="67">
        <f t="shared" si="48"/>
        <v>0</v>
      </c>
    </row>
    <row r="81">
      <c r="A81" s="103">
        <f>IFERROR(__xludf.DUMMYFUNCTION("""COMPUTED_VALUE"""),45940.39247842593)</f>
        <v>45940.39248</v>
      </c>
      <c r="B81" s="95" t="str">
        <f>IFERROR(__xludf.DUMMYFUNCTION("""COMPUTED_VALUE"""),"Donli Caesar Norton")</f>
        <v>Donli Caesar Norton</v>
      </c>
      <c r="C81" s="96" t="str">
        <f>IFERROR(__xludf.DUMMYFUNCTION("""COMPUTED_VALUE"""),"B250001")</f>
        <v>B250001</v>
      </c>
      <c r="D81" s="96" t="str">
        <f>IFERROR(__xludf.DUMMYFUNCTION("""COMPUTED_VALUE"""),"IL Putra")</f>
        <v>IL Putra</v>
      </c>
      <c r="E81" s="96" t="str">
        <f>IFERROR(__xludf.DUMMYFUNCTION("""COMPUTED_VALUE"""),"Ya")</f>
        <v>Ya</v>
      </c>
      <c r="F81" s="95" t="str">
        <f>IFERROR(__xludf.DUMMYFUNCTION("""COMPUTED_VALUE"""),"A Saya ingin mengerjakan segala tugas lebih baik daripada orang lain.")</f>
        <v>A Saya ingin mengerjakan segala tugas lebih baik daripada orang lain.</v>
      </c>
      <c r="G81" s="95" t="str">
        <f>IFERROR(__xludf.DUMMYFUNCTION("""COMPUTED_VALUE"""),"A Saya ingin setiap tulisan saya teliti, rapi, dan tersusun dengan baik.")</f>
        <v>A Saya ingin setiap tulisan saya teliti, rapi, dan tersusun dengan baik.</v>
      </c>
      <c r="H81" s="95" t="str">
        <f>IFERROR(__xludf.DUMMYFUNCTION("""COMPUTED_VALUE"""),"B Saya ingin menjadi orang yang diakui dalam suatu pekerjaan atau bidang khusus.")</f>
        <v>B Saya ingin menjadi orang yang diakui dalam suatu pekerjaan atau bidang khusus.</v>
      </c>
      <c r="I81" s="95" t="str">
        <f>IFERROR(__xludf.DUMMYFUNCTION("""COMPUTED_VALUE"""),"B Saya ingin bisa melakukan dengan baik meskipun tugas yang sulit.")</f>
        <v>B Saya ingin bisa melakukan dengan baik meskipun tugas yang sulit.</v>
      </c>
      <c r="J81" s="95" t="str">
        <f>IFERROR(__xludf.DUMMYFUNCTION("""COMPUTED_VALUE"""),"A Saya suka membantu teman-teman saya apabila mereka mengalami kesulitan.")</f>
        <v>A Saya suka membantu teman-teman saya apabila mereka mengalami kesulitan.</v>
      </c>
      <c r="K81" s="95" t="str">
        <f>IFERROR(__xludf.DUMMYFUNCTION("""COMPUTED_VALUE"""),"B Saya ingin mengatakan telah melakukan dengan baik sesuatu tugas yang sulit.")</f>
        <v>B Saya ingin mengatakan telah melakukan dengan baik sesuatu tugas yang sulit.</v>
      </c>
      <c r="L81" s="95" t="str">
        <f>IFERROR(__xludf.DUMMYFUNCTION("""COMPUTED_VALUE"""),"A Saya ingin menjadi pemimpin dalam suatu kelompok")</f>
        <v>A Saya ingin menjadi pemimpin dalam suatu kelompok</v>
      </c>
      <c r="M81" s="95" t="str">
        <f>IFERROR(__xludf.DUMMYFUNCTION("""COMPUTED_VALUE"""),"B Saya ingin mengerjakan segala tugas lebih baik daripada orang lain.")</f>
        <v>B Saya ingin mengerjakan segala tugas lebih baik daripada orang lain.</v>
      </c>
      <c r="N81" s="95" t="str">
        <f>IFERROR(__xludf.DUMMYFUNCTION("""COMPUTED_VALUE"""),"B Saya suka memecahkan persoalan yang sukar bagi orang lain.")</f>
        <v>B Saya suka memecahkan persoalan yang sukar bagi orang lain.</v>
      </c>
      <c r="O81" s="95" t="str">
        <f>IFERROR(__xludf.DUMMYFUNCTION("""COMPUTED_VALUE"""),"A Saya marah saat ada teman memperolok-olok hal-hal yang saya anggap bodoh.")</f>
        <v>A Saya marah saat ada teman memperolok-olok hal-hal yang saya anggap bodoh.</v>
      </c>
      <c r="P81" s="95" t="str">
        <f>IFERROR(__xludf.DUMMYFUNCTION("""COMPUTED_VALUE"""),"B Saya ingin setiap belajar itu teratur dan direncanakan.")</f>
        <v>B Saya ingin setiap belajar itu teratur dan direncanakan.</v>
      </c>
      <c r="Q81" s="95" t="str">
        <f>IFERROR(__xludf.DUMMYFUNCTION("""COMPUTED_VALUE"""),"B Saya merencanakan keperluan yang dibutuhkan sebelum bepergian.")</f>
        <v>B Saya merencanakan keperluan yang dibutuhkan sebelum bepergian.</v>
      </c>
      <c r="R81" s="95" t="str">
        <f>IFERROR(__xludf.DUMMYFUNCTION("""COMPUTED_VALUE"""),"B Saya suka barang-barang saya tersusun rapi dan teratur.")</f>
        <v>B Saya suka barang-barang saya tersusun rapi dan teratur.</v>
      </c>
      <c r="S81" s="95" t="str">
        <f>IFERROR(__xludf.DUMMYFUNCTION("""COMPUTED_VALUE"""),"A Saya ingin agar teman-teman pengertian bila saya mengalami kesukaran.")</f>
        <v>A Saya ingin agar teman-teman pengertian bila saya mengalami kesukaran.</v>
      </c>
      <c r="T81" s="95" t="str">
        <f>IFERROR(__xludf.DUMMYFUNCTION("""COMPUTED_VALUE"""),"B Saya ingin agar hidup saya teratur sesuai cita-cita saya.")</f>
        <v>B Saya ingin agar hidup saya teratur sesuai cita-cita saya.</v>
      </c>
      <c r="U81" s="95" t="str">
        <f>IFERROR(__xludf.DUMMYFUNCTION("""COMPUTED_VALUE"""),"A Saya suka memberikan bantuan kepada teman-teman saya.")</f>
        <v>A Saya suka memberikan bantuan kepada teman-teman saya.</v>
      </c>
      <c r="V81" s="95" t="str">
        <f>IFERROR(__xludf.DUMMYFUNCTION("""COMPUTED_VALUE"""),"A Saya suka belajar sampai malam untuk menyelesaikan suatu tugas.")</f>
        <v>A Saya suka belajar sampai malam untuk menyelesaikan suatu tugas.</v>
      </c>
      <c r="W81" s="95" t="str">
        <f>IFERROR(__xludf.DUMMYFUNCTION("""COMPUTED_VALUE"""),"B Saya ingin kegiatan itu teratur dan direncanakan.")</f>
        <v>B Saya ingin kegiatan itu teratur dan direncanakan.</v>
      </c>
      <c r="X81" s="95" t="str">
        <f>IFERROR(__xludf.DUMMYFUNCTION("""COMPUTED_VALUE"""),"B Saya ingin agar hidup saya teratur sesuai cita-cita saya.")</f>
        <v>B Saya ingin agar hidup saya teratur sesuai cita-cita saya.</v>
      </c>
      <c r="Y81" s="95" t="str">
        <f>IFERROR(__xludf.DUMMYFUNCTION("""COMPUTED_VALUE"""),"A Saya suka menyelesaikan tugas-tugas yang membutuhkan ketrampilan dan usaha.")</f>
        <v>A Saya suka menyelesaikan tugas-tugas yang membutuhkan ketrampilan dan usaha.</v>
      </c>
      <c r="Z81" s="95" t="str">
        <f>IFERROR(__xludf.DUMMYFUNCTION("""COMPUTED_VALUE"""),"A Saya ingin berhasil dengan belajar yang saya lakukan.")</f>
        <v>A Saya ingin berhasil dengan belajar yang saya lakukan.</v>
      </c>
      <c r="AA81" s="95" t="str">
        <f>IFERROR(__xludf.DUMMYFUNCTION("""COMPUTED_VALUE"""),"B Saya tidak suka pada orang yang berbuat seenaknya sendiri.")</f>
        <v>B Saya tidak suka pada orang yang berbuat seenaknya sendiri.</v>
      </c>
      <c r="AB81" s="95" t="str">
        <f>IFERROR(__xludf.DUMMYFUNCTION("""COMPUTED_VALUE"""),"B Saya ingin menyelesaikan pekerjaan satu persatu sebelum memulai yang lain.")</f>
        <v>B Saya ingin menyelesaikan pekerjaan satu persatu sebelum memulai yang lain.</v>
      </c>
      <c r="AC81" s="95" t="str">
        <f>IFERROR(__xludf.DUMMYFUNCTION("""COMPUTED_VALUE"""),"A Saya suka menyelesaikan setiap tugas meskipun membutuhkan waktu lama.")</f>
        <v>A Saya suka menyelesaikan setiap tugas meskipun membutuhkan waktu lama.</v>
      </c>
      <c r="AD81" s="95" t="str">
        <f>IFERROR(__xludf.DUMMYFUNCTION("""COMPUTED_VALUE"""),"A Saya suka bermurah hati terhadap teman-teman saya.")</f>
        <v>A Saya suka bermurah hati terhadap teman-teman saya.</v>
      </c>
      <c r="AE81" s="95" t="str">
        <f>IFERROR(__xludf.DUMMYFUNCTION("""COMPUTED_VALUE"""),"B Saya suka melakukan hal-hal yang dianggap orang lain tidak sesuai.")</f>
        <v>B Saya suka melakukan hal-hal yang dianggap orang lain tidak sesuai.</v>
      </c>
      <c r="AF81" s="95" t="str">
        <f>IFERROR(__xludf.DUMMYFUNCTION("""COMPUTED_VALUE"""),"A Saya ingin agar teman-teman mengerti bila saya mengalami kesukaran.")</f>
        <v>A Saya ingin agar teman-teman mengerti bila saya mengalami kesukaran.</v>
      </c>
      <c r="AG81" s="95" t="str">
        <f>IFERROR(__xludf.DUMMYFUNCTION("""COMPUTED_VALUE"""),"B Saya ingin berhasil dengan tugas yang saya lakukan.")</f>
        <v>B Saya ingin berhasil dengan tugas yang saya lakukan.</v>
      </c>
      <c r="AH81" s="95" t="str">
        <f>IFERROR(__xludf.DUMMYFUNCTION("""COMPUTED_VALUE"""),"A Saya suka membaca buku-buku tentang pergaulan remaja.")</f>
        <v>A Saya suka membaca buku-buku tentang pergaulan remaja.</v>
      </c>
      <c r="AI81" s="95" t="str">
        <f>IFERROR(__xludf.DUMMYFUNCTION("""COMPUTED_VALUE"""),"B Saya suka melakukan kegiatan sesuai kondisi yang saya inginkan.")</f>
        <v>B Saya suka melakukan kegiatan sesuai kondisi yang saya inginkan.</v>
      </c>
      <c r="AJ81" s="95" t="str">
        <f>IFERROR(__xludf.DUMMYFUNCTION("""COMPUTED_VALUE"""),"B Saya suka bertahan menghadapi satu masalah meskipun belum tentu berhasil.")</f>
        <v>B Saya suka bertahan menghadapi satu masalah meskipun belum tentu berhasil.</v>
      </c>
      <c r="AK81" s="95" t="str">
        <f>IFERROR(__xludf.DUMMYFUNCTION("""COMPUTED_VALUE"""),"B Bila saya harus melakukan suatu tugas, saya ingin mengerjakan sampai selesai.")</f>
        <v>B Bila saya harus melakukan suatu tugas, saya ingin mengerjakan sampai selesai.</v>
      </c>
      <c r="AL81" s="95" t="str">
        <f>IFERROR(__xludf.DUMMYFUNCTION("""COMPUTED_VALUE"""),"B Saya ingin menghindarkan gangguan bila saya sedang belajar.")</f>
        <v>B Saya ingin menghindarkan gangguan bila saya sedang belajar.</v>
      </c>
      <c r="AM81" s="95" t="str">
        <f>IFERROR(__xludf.DUMMYFUNCTION("""COMPUTED_VALUE"""),"B Saya suka belajar sampai malam untuk menyelesaikan suatu tugas.")</f>
        <v>B Saya suka belajar sampai malam untuk menyelesaikan suatu tugas.</v>
      </c>
      <c r="AN81" s="95" t="str">
        <f>IFERROR(__xludf.DUMMYFUNCTION("""COMPUTED_VALUE"""),"A Saya tidak suka pada orang yang semena-mena.")</f>
        <v>A Saya tidak suka pada orang yang semena-mena.</v>
      </c>
      <c r="AO81" s="95" t="str">
        <f>IFERROR(__xludf.DUMMYFUNCTION("""COMPUTED_VALUE"""),"A Saya suka berlaku sangat ramah terhadap teman-teman saya.")</f>
        <v>A Saya suka berlaku sangat ramah terhadap teman-teman saya.</v>
      </c>
      <c r="AP81" s="95" t="str">
        <f>IFERROR(__xludf.DUMMYFUNCTION("""COMPUTED_VALUE"""),"A Saya ingin mengerjakannya tugas sampai selesai.")</f>
        <v>A Saya ingin mengerjakannya tugas sampai selesai.</v>
      </c>
      <c r="AQ81" s="95" t="str">
        <f>IFERROR(__xludf.DUMMYFUNCTION("""COMPUTED_VALUE"""),"B Bila saya harus melakukan suatu tugas, saya ingin mengerjakan sampai selesai.")</f>
        <v>B Bila saya harus melakukan suatu tugas, saya ingin mengerjakan sampai selesai.</v>
      </c>
      <c r="AR81" s="95" t="str">
        <f>IFERROR(__xludf.DUMMYFUNCTION("""COMPUTED_VALUE"""),"B Saya suka belajar keras pada tiap pelajaran yang saya hadapi.")</f>
        <v>B Saya suka belajar keras pada tiap pelajaran yang saya hadapi.</v>
      </c>
      <c r="AS81" s="95" t="str">
        <f>IFERROR(__xludf.DUMMYFUNCTION("""COMPUTED_VALUE"""),"A Saya ingin dapat menyelesaikan persoalan yang dianggap sukar bagi orang lain.")</f>
        <v>A Saya ingin dapat menyelesaikan persoalan yang dianggap sukar bagi orang lain.</v>
      </c>
      <c r="AT81" s="95" t="str">
        <f>IFERROR(__xludf.DUMMYFUNCTION("""COMPUTED_VALUE"""),"B Saya suka membantu orang lain yang menurut saya perlu dikasihani.")</f>
        <v>B Saya suka membantu orang lain yang menurut saya perlu dikasihani.</v>
      </c>
      <c r="AU81" s="95" t="str">
        <f>IFERROR(__xludf.DUMMYFUNCTION("""COMPUTED_VALUE"""),"A Saya ingin menyelesaikan pekerjaan satu persatu sebelum memulai yang lain.")</f>
        <v>A Saya ingin menyelesaikan pekerjaan satu persatu sebelum memulai yang lain.</v>
      </c>
      <c r="AV81" s="95" t="str">
        <f>IFERROR(__xludf.DUMMYFUNCTION("""COMPUTED_VALUE"""),"B Saya suka menolong teman-teman saya.")</f>
        <v>B Saya suka menolong teman-teman saya.</v>
      </c>
      <c r="AW81" s="95" t="str">
        <f>IFERROR(__xludf.DUMMYFUNCTION("""COMPUTED_VALUE"""),"A Saya ingin mengerjakan tugas sampai selesai.")</f>
        <v>A Saya ingin mengerjakan tugas sampai selesai.</v>
      </c>
      <c r="AX81" s="95" t="str">
        <f>IFERROR(__xludf.DUMMYFUNCTION("""COMPUTED_VALUE"""),"B Saya suka memaafkan teman-teman saya yang menyakiti hati saya.")</f>
        <v>B Saya suka memaafkan teman-teman saya yang menyakiti hati saya.</v>
      </c>
      <c r="AY81" s="95" t="str">
        <f>IFERROR(__xludf.DUMMYFUNCTION("""COMPUTED_VALUE"""),"B Saya suka menolong teman-teman saya apabila mereka dalam kesulitan.")</f>
        <v>B Saya suka menolong teman-teman saya apabila mereka dalam kesulitan.</v>
      </c>
      <c r="AZ81" s="95" t="str">
        <f>IFERROR(__xludf.DUMMYFUNCTION("""COMPUTED_VALUE"""),"A Saya ingin agar teman-teman saya bersimpati dan menghibur saya bila saya sedih.")</f>
        <v>A Saya ingin agar teman-teman saya bersimpati dan menghibur saya bila saya sedih.</v>
      </c>
      <c r="BA81" s="95" t="str">
        <f>IFERROR(__xludf.DUMMYFUNCTION("""COMPUTED_VALUE"""),"B Saya suka memperlakukan orang lain dengan baik dan ramah.")</f>
        <v>B Saya suka memperlakukan orang lain dengan baik dan ramah.</v>
      </c>
      <c r="BB81" s="95" t="str">
        <f>IFERROR(__xludf.DUMMYFUNCTION("""COMPUTED_VALUE"""),"A Saya berkeinginan untuk bersama orang yang menarik bagi saya.")</f>
        <v>A Saya berkeinginan untuk bersama orang yang menarik bagi saya.</v>
      </c>
      <c r="BC81" s="95" t="str">
        <f>IFERROR(__xludf.DUMMYFUNCTION("""COMPUTED_VALUE"""),"B Saya suka membantu orang lain yang menurut saya perlu dikasihani.")</f>
        <v>B Saya suka membantu orang lain yang menurut saya perlu dikasihani.</v>
      </c>
      <c r="BD81" s="95" t="str">
        <f>IFERROR(__xludf.DUMMYFUNCTION("""COMPUTED_VALUE"""),"B Saya suka bersikukuh dengan pendirian saya.")</f>
        <v>B Saya suka bersikukuh dengan pendirian saya.</v>
      </c>
      <c r="BE81" s="95" t="str">
        <f>IFERROR(__xludf.DUMMYFUNCTION("""COMPUTED_VALUE"""),"B Saya ingin orang lain melakukan apa yang saya kehendaki.")</f>
        <v>B Saya ingin orang lain melakukan apa yang saya kehendaki.</v>
      </c>
      <c r="BF81" s="95" t="str">
        <f>IFERROR(__xludf.DUMMYFUNCTION("""COMPUTED_VALUE"""),"A Saya ingin orang lain memperhatikan dan berkomentar tentang penampilan saya.")</f>
        <v>A Saya ingin orang lain memperhatikan dan berkomentar tentang penampilan saya.</v>
      </c>
      <c r="BG81" s="95" t="str">
        <f>IFERROR(__xludf.DUMMYFUNCTION("""COMPUTED_VALUE"""),"A Saya ingin teman-teman banyak menunjukkan rasa sayang mereka terhadap saya.")</f>
        <v>A Saya ingin teman-teman banyak menunjukkan rasa sayang mereka terhadap saya.</v>
      </c>
      <c r="BH81" s="95" t="str">
        <f>IFERROR(__xludf.DUMMYFUNCTION("""COMPUTED_VALUE"""),"B Apabila saya berkumpul dalam kelompok, saya ingin dihargai teman-teman.")</f>
        <v>B Apabila saya berkumpul dalam kelompok, saya ingin dihargai teman-teman.</v>
      </c>
      <c r="BI81" s="95" t="str">
        <f>IFERROR(__xludf.DUMMYFUNCTION("""COMPUTED_VALUE"""),"A Saya suka bermurah hati terhadap teman-teman saya.")</f>
        <v>A Saya suka bermurah hati terhadap teman-teman saya.</v>
      </c>
      <c r="BJ81" s="95" t="str">
        <f>IFERROR(__xludf.DUMMYFUNCTION("""COMPUTED_VALUE"""),"A Saya ingin mengerjakan tugas sampai selesai.")</f>
        <v>A Saya ingin mengerjakan tugas sampai selesai.</v>
      </c>
      <c r="BK81" s="95" t="str">
        <f>IFERROR(__xludf.DUMMYFUNCTION("""COMPUTED_VALUE"""),"A Saya ingin menyelesaikan pekerjaan satu persatu sebelum memulai yang lain.")</f>
        <v>A Saya ingin menyelesaikan pekerjaan satu persatu sebelum memulai yang lain.</v>
      </c>
      <c r="BL81" s="95" t="str">
        <f>IFERROR(__xludf.DUMMYFUNCTION("""COMPUTED_VALUE"""),"A Saya suka belajar saya teratur dan ada waktu-waktu tertentu untuk belajar.")</f>
        <v>A Saya suka belajar saya teratur dan ada waktu-waktu tertentu untuk belajar.</v>
      </c>
      <c r="BM81" s="95" t="str">
        <f>IFERROR(__xludf.DUMMYFUNCTION("""COMPUTED_VALUE"""),"A Saya suka melakukan pekerjaan sebaik mungkin.")</f>
        <v>A Saya suka melakukan pekerjaan sebaik mungkin.</v>
      </c>
      <c r="BN81" s="95" t="str">
        <f>IFERROR(__xludf.DUMMYFUNCTION("""COMPUTED_VALUE"""),"B Saya ingin teman-teman memberi dorongan bila saya menghadapi kegagalan.")</f>
        <v>B Saya ingin teman-teman memberi dorongan bila saya menghadapi kegagalan.</v>
      </c>
      <c r="BO81" s="95" t="str">
        <f>IFERROR(__xludf.DUMMYFUNCTION("""COMPUTED_VALUE"""),"B Saya ingin diperlakukan dengan baik oleh teman-teman saya.")</f>
        <v>B Saya ingin diperlakukan dengan baik oleh teman-teman saya.</v>
      </c>
      <c r="BP81" s="95" t="str">
        <f>IFERROR(__xludf.DUMMYFUNCTION("""COMPUTED_VALUE"""),"A Saya ingin menyelesaikan sesuatu yang sangat penting artinya.")</f>
        <v>A Saya ingin menyelesaikan sesuatu yang sangat penting artinya.</v>
      </c>
      <c r="BQ81" s="95" t="str">
        <f>IFERROR(__xludf.DUMMYFUNCTION("""COMPUTED_VALUE"""),"A Saya ingin mengerjakannya tugas sampai selesai.")</f>
        <v>A Saya ingin mengerjakannya tugas sampai selesai.</v>
      </c>
      <c r="BR81" s="95" t="str">
        <f>IFERROR(__xludf.DUMMYFUNCTION("""COMPUTED_VALUE"""),"A Saya suka memaafkan teman-teman saya yang menyakiti hati saya.")</f>
        <v>A Saya suka memaafkan teman-teman saya yang menyakiti hati saya.</v>
      </c>
      <c r="BS81" s="95" t="str">
        <f>IFERROR(__xludf.DUMMYFUNCTION("""COMPUTED_VALUE"""),"B Saya ingin teman-teman saya membantu saya bila saya mengalami kesulitan")</f>
        <v>B Saya ingin teman-teman saya membantu saya bila saya mengalami kesulitan</v>
      </c>
      <c r="BT81" s="95" t="str">
        <f>IFERROR(__xludf.DUMMYFUNCTION("""COMPUTED_VALUE"""),"B Saya ingin teman-teman banyak menunjukkan rasa sayang mereka terhadap saya.")</f>
        <v>B Saya ingin teman-teman banyak menunjukkan rasa sayang mereka terhadap saya.</v>
      </c>
      <c r="BU81" s="95" t="str">
        <f>IFERROR(__xludf.DUMMYFUNCTION("""COMPUTED_VALUE"""),"B Saya ingin agar teman-teman saya merasa kasihan pada saya apabila saya sakit.")</f>
        <v>B Saya ingin agar teman-teman saya merasa kasihan pada saya apabila saya sakit.</v>
      </c>
      <c r="BV81" s="95" t="str">
        <f>IFERROR(__xludf.DUMMYFUNCTION("""COMPUTED_VALUE"""),"B Saya ingin teman-teman dengan gembira memberikan pertolongan kepada saya.")</f>
        <v>B Saya ingin teman-teman dengan gembira memberikan pertolongan kepada saya.</v>
      </c>
      <c r="BW81" s="95" t="str">
        <f>IFERROR(__xludf.DUMMYFUNCTION("""COMPUTED_VALUE"""),"B Saya ingin diperlakukan dengan baik oleh teman-teman saya.")</f>
        <v>B Saya ingin diperlakukan dengan baik oleh teman-teman saya.</v>
      </c>
      <c r="BX81" s="95" t="str">
        <f>IFERROR(__xludf.DUMMYFUNCTION("""COMPUTED_VALUE"""),"B Saya kadang-kadang suka melakukan hal-hal yang dapat dipuji oleh orang lain.")</f>
        <v>B Saya kadang-kadang suka melakukan hal-hal yang dapat dipuji oleh orang lain.</v>
      </c>
      <c r="BY81" s="95" t="str">
        <f>IFERROR(__xludf.DUMMYFUNCTION("""COMPUTED_VALUE"""),"A Saya suka melamun atau membayangkan hal-hal yang tidak jelas.")</f>
        <v>A Saya suka melamun atau membayangkan hal-hal yang tidak jelas.</v>
      </c>
      <c r="BZ81" s="95" t="str">
        <f>IFERROR(__xludf.DUMMYFUNCTION("""COMPUTED_VALUE"""),"B Saya suka diperhatikan, apabila saya ada di dalam suatu kelompok.")</f>
        <v>B Saya suka diperhatikan, apabila saya ada di dalam suatu kelompok.</v>
      </c>
      <c r="CA81" s="95" t="str">
        <f>IFERROR(__xludf.DUMMYFUNCTION("""COMPUTED_VALUE"""),"B Saya suka mengajukan pertanyaan agar orang lain memperhatikan saya.")</f>
        <v>B Saya suka mengajukan pertanyaan agar orang lain memperhatikan saya.</v>
      </c>
      <c r="CB81" s="95" t="str">
        <f>IFERROR(__xludf.DUMMYFUNCTION("""COMPUTED_VALUE"""),"B Saya suka berbicara tentang hal-hal yang telah saya capai.")</f>
        <v>B Saya suka berbicara tentang hal-hal yang telah saya capai.</v>
      </c>
      <c r="CC81" s="95" t="str">
        <f>IFERROR(__xludf.DUMMYFUNCTION("""COMPUTED_VALUE"""),"A Apabila saya berkumpul dalam kelompok, saya ingin dihargai teman-teman.")</f>
        <v>A Apabila saya berkumpul dalam kelompok, saya ingin dihargai teman-teman.</v>
      </c>
      <c r="CD81" s="95" t="str">
        <f>IFERROR(__xludf.DUMMYFUNCTION("""COMPUTED_VALUE"""),"A Saya suka menyelesaikan setiap tugas meskipun membutuhkan waktu lama.")</f>
        <v>A Saya suka menyelesaikan setiap tugas meskipun membutuhkan waktu lama.</v>
      </c>
      <c r="CE81" s="95" t="str">
        <f>IFERROR(__xludf.DUMMYFUNCTION("""COMPUTED_VALUE"""),"A Saya suka menyelesaikan setiap tugas belajar yang telah saya mulai.")</f>
        <v>A Saya suka menyelesaikan setiap tugas belajar yang telah saya mulai.</v>
      </c>
      <c r="CF81" s="95" t="str">
        <f>IFERROR(__xludf.DUMMYFUNCTION("""COMPUTED_VALUE"""),"A Saya ingin agar hidup saya teratur sesuai cita-cita saya.")</f>
        <v>A Saya ingin agar hidup saya teratur sesuai cita-cita saya.</v>
      </c>
      <c r="CG81" s="95" t="str">
        <f>IFERROR(__xludf.DUMMYFUNCTION("""COMPUTED_VALUE"""),"A Saya ingin berhasil dalam apa yang saya lakukan.")</f>
        <v>A Saya ingin berhasil dalam apa yang saya lakukan.</v>
      </c>
      <c r="CH81" s="95" t="str">
        <f>IFERROR(__xludf.DUMMYFUNCTION("""COMPUTED_VALUE"""),"A Saya ingin bisa melakukan dengan baik sesuatu pekerjaan sulit.")</f>
        <v>A Saya ingin bisa melakukan dengan baik sesuatu pekerjaan sulit.</v>
      </c>
      <c r="CI81" s="95" t="str">
        <f>IFERROR(__xludf.DUMMYFUNCTION("""COMPUTED_VALUE"""),"A Saya suka belajar saya teratur dan ada waktu-waktu tertentu untuk belajar.")</f>
        <v>A Saya suka belajar saya teratur dan ada waktu-waktu tertentu untuk belajar.</v>
      </c>
      <c r="CJ81" s="95" t="str">
        <f>IFERROR(__xludf.DUMMYFUNCTION("""COMPUTED_VALUE"""),"A Saya ingin tidak tergantung dari orang lain terhadap apa yang akan saya lakukan.")</f>
        <v>A Saya ingin tidak tergantung dari orang lain terhadap apa yang akan saya lakukan.</v>
      </c>
      <c r="CK81" s="95" t="str">
        <f>IFERROR(__xludf.DUMMYFUNCTION("""COMPUTED_VALUE"""),"B Saya senang ikut beraktivitas bersama teman sebaya saya.")</f>
        <v>B Saya senang ikut beraktivitas bersama teman sebaya saya.</v>
      </c>
      <c r="CL81" s="95" t="str">
        <f>IFERROR(__xludf.DUMMYFUNCTION("""COMPUTED_VALUE"""),"A Saya suka menolong teman-teman saya, apabila mereka dalam kesulitan.")</f>
        <v>A Saya suka menolong teman-teman saya, apabila mereka dalam kesulitan.</v>
      </c>
      <c r="CM81" s="95" t="str">
        <f>IFERROR(__xludf.DUMMYFUNCTION("""COMPUTED_VALUE"""),"B Saya merasa kagum pada seseorang.")</f>
        <v>B Saya merasa kagum pada seseorang.</v>
      </c>
      <c r="CN81" s="95" t="str">
        <f>IFERROR(__xludf.DUMMYFUNCTION("""COMPUTED_VALUE"""),"A Saya ingin diperlakukan dengan baik oleh teman-teman saya.")</f>
        <v>A Saya ingin diperlakukan dengan baik oleh teman-teman saya.</v>
      </c>
      <c r="CO81" s="95" t="str">
        <f>IFERROR(__xludf.DUMMYFUNCTION("""COMPUTED_VALUE"""),"A Saya suka menceritakan hal-hal lucu agar diperhatikan oleh orang lain.")</f>
        <v>A Saya suka menceritakan hal-hal lucu agar diperhatikan oleh orang lain.</v>
      </c>
      <c r="CP81" s="95" t="str">
        <f>IFERROR(__xludf.DUMMYFUNCTION("""COMPUTED_VALUE"""),"A Saya suka melamun atau membayangkan sesuatu sendirian.")</f>
        <v>A Saya suka melamun atau membayangkan sesuatu sendirian.</v>
      </c>
      <c r="CQ81" s="95" t="str">
        <f>IFERROR(__xludf.DUMMYFUNCTION("""COMPUTED_VALUE"""),"B Saya merasa kagum pada seseorang.")</f>
        <v>B Saya merasa kagum pada seseorang.</v>
      </c>
      <c r="CR81" s="95" t="str">
        <f>IFERROR(__xludf.DUMMYFUNCTION("""COMPUTED_VALUE"""),"B Saya rasanya ingin mengecam seseorang bila orang itu menjengkelkan.")</f>
        <v>B Saya rasanya ingin mengecam seseorang bila orang itu menjengkelkan.</v>
      </c>
      <c r="CS81" s="95" t="str">
        <f>IFERROR(__xludf.DUMMYFUNCTION("""COMPUTED_VALUE"""),"A Saya ingin terlihat menarik di depan teman-teman saya.")</f>
        <v>A Saya ingin terlihat menarik di depan teman-teman saya.</v>
      </c>
      <c r="CT81" s="95" t="str">
        <f>IFERROR(__xludf.DUMMYFUNCTION("""COMPUTED_VALUE"""),"A Saya ingin orang-orang memperhatikan komentar mengenai penampilan saya.")</f>
        <v>A Saya ingin orang-orang memperhatikan komentar mengenai penampilan saya.</v>
      </c>
      <c r="CU81" s="95" t="str">
        <f>IFERROR(__xludf.DUMMYFUNCTION("""COMPUTED_VALUE"""),"A Saya ingin diperlakukan dengan ramah oleh teman-teman saya.")</f>
        <v>A Saya ingin diperlakukan dengan ramah oleh teman-teman saya.</v>
      </c>
      <c r="CV81" s="95" t="str">
        <f>IFERROR(__xludf.DUMMYFUNCTION("""COMPUTED_VALUE"""),"A Saya ingin ditunjuk atau dipilih sebagai ketua dalam suatu kelompok.")</f>
        <v>A Saya ingin ditunjuk atau dipilih sebagai ketua dalam suatu kelompok.</v>
      </c>
      <c r="CW81" s="95" t="str">
        <f>IFERROR(__xludf.DUMMYFUNCTION("""COMPUTED_VALUE"""),"A Saya suka menolong teman-teman saya, apabila mereka dalam kesulitan.")</f>
        <v>A Saya suka menolong teman-teman saya, apabila mereka dalam kesulitan.</v>
      </c>
      <c r="CX81" s="95" t="str">
        <f>IFERROR(__xludf.DUMMYFUNCTION("""COMPUTED_VALUE"""),"A Saya suka belajar sampai malam untuk menyelesaikan suatu tugas.")</f>
        <v>A Saya suka belajar sampai malam untuk menyelesaikan suatu tugas.</v>
      </c>
      <c r="CY81" s="95" t="str">
        <f>IFERROR(__xludf.DUMMYFUNCTION("""COMPUTED_VALUE"""),"A Saya ingin tidak tergantung dari orang lain terhadap apa yang akan saya lakukan.")</f>
        <v>A Saya ingin tidak tergantung dari orang lain terhadap apa yang akan saya lakukan.</v>
      </c>
      <c r="CZ81" s="95" t="str">
        <f>IFERROR(__xludf.DUMMYFUNCTION("""COMPUTED_VALUE"""),"A Saya suka merencanakan dan mengatur setiap pekerjaan yang harus saya lakukan.")</f>
        <v>A Saya suka merencanakan dan mengatur setiap pekerjaan yang harus saya lakukan.</v>
      </c>
      <c r="DA81" s="95" t="str">
        <f>IFERROR(__xludf.DUMMYFUNCTION("""COMPUTED_VALUE"""),"A Saya ingin melakukan apa saja sebaik mungkin.")</f>
        <v>A Saya ingin melakukan apa saja sebaik mungkin.</v>
      </c>
      <c r="DB81" s="89" t="s">
        <v>23</v>
      </c>
      <c r="DC81" s="97" t="str">
        <f t="shared" ref="DC81:GX81" si="126">LEFT(F81,1)</f>
        <v>A</v>
      </c>
      <c r="DD81" s="97" t="str">
        <f t="shared" si="126"/>
        <v>A</v>
      </c>
      <c r="DE81" s="97" t="str">
        <f t="shared" si="126"/>
        <v>B</v>
      </c>
      <c r="DF81" s="97" t="str">
        <f t="shared" si="126"/>
        <v>B</v>
      </c>
      <c r="DG81" s="97" t="str">
        <f t="shared" si="126"/>
        <v>A</v>
      </c>
      <c r="DH81" s="97" t="str">
        <f t="shared" si="126"/>
        <v>B</v>
      </c>
      <c r="DI81" s="97" t="str">
        <f t="shared" si="126"/>
        <v>A</v>
      </c>
      <c r="DJ81" s="97" t="str">
        <f t="shared" si="126"/>
        <v>B</v>
      </c>
      <c r="DK81" s="97" t="str">
        <f t="shared" si="126"/>
        <v>B</v>
      </c>
      <c r="DL81" s="97" t="str">
        <f t="shared" si="126"/>
        <v>A</v>
      </c>
      <c r="DM81" s="97" t="str">
        <f t="shared" si="126"/>
        <v>B</v>
      </c>
      <c r="DN81" s="97" t="str">
        <f t="shared" si="126"/>
        <v>B</v>
      </c>
      <c r="DO81" s="97" t="str">
        <f t="shared" si="126"/>
        <v>B</v>
      </c>
      <c r="DP81" s="97" t="str">
        <f t="shared" si="126"/>
        <v>A</v>
      </c>
      <c r="DQ81" s="97" t="str">
        <f t="shared" si="126"/>
        <v>B</v>
      </c>
      <c r="DR81" s="97" t="str">
        <f t="shared" si="126"/>
        <v>A</v>
      </c>
      <c r="DS81" s="97" t="str">
        <f t="shared" si="126"/>
        <v>A</v>
      </c>
      <c r="DT81" s="97" t="str">
        <f t="shared" si="126"/>
        <v>B</v>
      </c>
      <c r="DU81" s="97" t="str">
        <f t="shared" si="126"/>
        <v>B</v>
      </c>
      <c r="DV81" s="97" t="str">
        <f t="shared" si="126"/>
        <v>A</v>
      </c>
      <c r="DW81" s="97" t="str">
        <f t="shared" si="126"/>
        <v>A</v>
      </c>
      <c r="DX81" s="97" t="str">
        <f t="shared" si="126"/>
        <v>B</v>
      </c>
      <c r="DY81" s="97" t="str">
        <f t="shared" si="126"/>
        <v>B</v>
      </c>
      <c r="DZ81" s="97" t="str">
        <f t="shared" si="126"/>
        <v>A</v>
      </c>
      <c r="EA81" s="97" t="str">
        <f t="shared" si="126"/>
        <v>A</v>
      </c>
      <c r="EB81" s="97" t="str">
        <f t="shared" si="126"/>
        <v>B</v>
      </c>
      <c r="EC81" s="97" t="str">
        <f t="shared" si="126"/>
        <v>A</v>
      </c>
      <c r="ED81" s="97" t="str">
        <f t="shared" si="126"/>
        <v>B</v>
      </c>
      <c r="EE81" s="97" t="str">
        <f t="shared" si="126"/>
        <v>A</v>
      </c>
      <c r="EF81" s="97" t="str">
        <f t="shared" si="126"/>
        <v>B</v>
      </c>
      <c r="EG81" s="97" t="str">
        <f t="shared" si="126"/>
        <v>B</v>
      </c>
      <c r="EH81" s="97" t="str">
        <f t="shared" si="126"/>
        <v>B</v>
      </c>
      <c r="EI81" s="97" t="str">
        <f t="shared" si="126"/>
        <v>B</v>
      </c>
      <c r="EJ81" s="97" t="str">
        <f t="shared" si="126"/>
        <v>B</v>
      </c>
      <c r="EK81" s="97" t="str">
        <f t="shared" si="126"/>
        <v>A</v>
      </c>
      <c r="EL81" s="97" t="str">
        <f t="shared" si="126"/>
        <v>A</v>
      </c>
      <c r="EM81" s="97" t="str">
        <f t="shared" si="126"/>
        <v>A</v>
      </c>
      <c r="EN81" s="97" t="str">
        <f t="shared" si="126"/>
        <v>B</v>
      </c>
      <c r="EO81" s="97" t="str">
        <f t="shared" si="126"/>
        <v>B</v>
      </c>
      <c r="EP81" s="97" t="str">
        <f t="shared" si="126"/>
        <v>A</v>
      </c>
      <c r="EQ81" s="97" t="str">
        <f t="shared" si="126"/>
        <v>B</v>
      </c>
      <c r="ER81" s="97" t="str">
        <f t="shared" si="126"/>
        <v>A</v>
      </c>
      <c r="ES81" s="97" t="str">
        <f t="shared" si="126"/>
        <v>B</v>
      </c>
      <c r="ET81" s="97" t="str">
        <f t="shared" si="126"/>
        <v>A</v>
      </c>
      <c r="EU81" s="97" t="str">
        <f t="shared" si="126"/>
        <v>B</v>
      </c>
      <c r="EV81" s="97" t="str">
        <f t="shared" si="126"/>
        <v>B</v>
      </c>
      <c r="EW81" s="97" t="str">
        <f t="shared" si="126"/>
        <v>A</v>
      </c>
      <c r="EX81" s="97" t="str">
        <f t="shared" si="126"/>
        <v>B</v>
      </c>
      <c r="EY81" s="97" t="str">
        <f t="shared" si="126"/>
        <v>A</v>
      </c>
      <c r="EZ81" s="97" t="str">
        <f t="shared" si="126"/>
        <v>B</v>
      </c>
      <c r="FA81" s="97" t="str">
        <f t="shared" si="126"/>
        <v>B</v>
      </c>
      <c r="FB81" s="97" t="str">
        <f t="shared" si="126"/>
        <v>B</v>
      </c>
      <c r="FC81" s="97" t="str">
        <f t="shared" si="126"/>
        <v>A</v>
      </c>
      <c r="FD81" s="97" t="str">
        <f t="shared" si="126"/>
        <v>A</v>
      </c>
      <c r="FE81" s="97" t="str">
        <f t="shared" si="126"/>
        <v>B</v>
      </c>
      <c r="FF81" s="97" t="str">
        <f t="shared" si="126"/>
        <v>A</v>
      </c>
      <c r="FG81" s="97" t="str">
        <f t="shared" si="126"/>
        <v>A</v>
      </c>
      <c r="FH81" s="97" t="str">
        <f t="shared" si="126"/>
        <v>A</v>
      </c>
      <c r="FI81" s="97" t="str">
        <f t="shared" si="126"/>
        <v>A</v>
      </c>
      <c r="FJ81" s="97" t="str">
        <f t="shared" si="126"/>
        <v>A</v>
      </c>
      <c r="FK81" s="97" t="str">
        <f t="shared" si="126"/>
        <v>B</v>
      </c>
      <c r="FL81" s="97" t="str">
        <f t="shared" si="126"/>
        <v>B</v>
      </c>
      <c r="FM81" s="97" t="str">
        <f t="shared" si="126"/>
        <v>A</v>
      </c>
      <c r="FN81" s="97" t="str">
        <f t="shared" si="126"/>
        <v>A</v>
      </c>
      <c r="FO81" s="97" t="str">
        <f t="shared" si="126"/>
        <v>A</v>
      </c>
      <c r="FP81" s="97" t="str">
        <f t="shared" si="126"/>
        <v>B</v>
      </c>
      <c r="FQ81" s="97" t="str">
        <f t="shared" si="126"/>
        <v>B</v>
      </c>
      <c r="FR81" s="97" t="str">
        <f t="shared" si="126"/>
        <v>B</v>
      </c>
      <c r="FS81" s="97" t="str">
        <f t="shared" si="126"/>
        <v>B</v>
      </c>
      <c r="FT81" s="97" t="str">
        <f t="shared" si="126"/>
        <v>B</v>
      </c>
      <c r="FU81" s="97" t="str">
        <f t="shared" si="126"/>
        <v>B</v>
      </c>
      <c r="FV81" s="97" t="str">
        <f t="shared" si="126"/>
        <v>A</v>
      </c>
      <c r="FW81" s="97" t="str">
        <f t="shared" si="126"/>
        <v>B</v>
      </c>
      <c r="FX81" s="97" t="str">
        <f t="shared" si="126"/>
        <v>B</v>
      </c>
      <c r="FY81" s="97" t="str">
        <f t="shared" si="126"/>
        <v>B</v>
      </c>
      <c r="FZ81" s="97" t="str">
        <f t="shared" si="126"/>
        <v>A</v>
      </c>
      <c r="GA81" s="97" t="str">
        <f t="shared" si="126"/>
        <v>A</v>
      </c>
      <c r="GB81" s="97" t="str">
        <f t="shared" si="126"/>
        <v>A</v>
      </c>
      <c r="GC81" s="97" t="str">
        <f t="shared" si="126"/>
        <v>A</v>
      </c>
      <c r="GD81" s="97" t="str">
        <f t="shared" si="126"/>
        <v>A</v>
      </c>
      <c r="GE81" s="97" t="str">
        <f t="shared" si="126"/>
        <v>A</v>
      </c>
      <c r="GF81" s="97" t="str">
        <f t="shared" si="126"/>
        <v>A</v>
      </c>
      <c r="GG81" s="97" t="str">
        <f t="shared" si="126"/>
        <v>A</v>
      </c>
      <c r="GH81" s="97" t="str">
        <f t="shared" si="126"/>
        <v>B</v>
      </c>
      <c r="GI81" s="97" t="str">
        <f t="shared" si="126"/>
        <v>A</v>
      </c>
      <c r="GJ81" s="97" t="str">
        <f t="shared" si="126"/>
        <v>B</v>
      </c>
      <c r="GK81" s="97" t="str">
        <f t="shared" si="126"/>
        <v>A</v>
      </c>
      <c r="GL81" s="97" t="str">
        <f t="shared" si="126"/>
        <v>A</v>
      </c>
      <c r="GM81" s="97" t="str">
        <f t="shared" si="126"/>
        <v>A</v>
      </c>
      <c r="GN81" s="97" t="str">
        <f t="shared" si="126"/>
        <v>B</v>
      </c>
      <c r="GO81" s="97" t="str">
        <f t="shared" si="126"/>
        <v>B</v>
      </c>
      <c r="GP81" s="97" t="str">
        <f t="shared" si="126"/>
        <v>A</v>
      </c>
      <c r="GQ81" s="97" t="str">
        <f t="shared" si="126"/>
        <v>A</v>
      </c>
      <c r="GR81" s="97" t="str">
        <f t="shared" si="126"/>
        <v>A</v>
      </c>
      <c r="GS81" s="97" t="str">
        <f t="shared" si="126"/>
        <v>A</v>
      </c>
      <c r="GT81" s="97" t="str">
        <f t="shared" si="126"/>
        <v>A</v>
      </c>
      <c r="GU81" s="97" t="str">
        <f t="shared" si="126"/>
        <v>A</v>
      </c>
      <c r="GV81" s="97" t="str">
        <f t="shared" si="126"/>
        <v>A</v>
      </c>
      <c r="GW81" s="97" t="str">
        <f t="shared" si="126"/>
        <v>A</v>
      </c>
      <c r="GX81" s="97" t="str">
        <f t="shared" si="126"/>
        <v>A</v>
      </c>
      <c r="GY81" s="98"/>
      <c r="GZ81" s="97">
        <f t="shared" si="3"/>
        <v>54</v>
      </c>
      <c r="HA81" s="97">
        <f t="shared" si="4"/>
        <v>46</v>
      </c>
      <c r="HB81" s="90">
        <f t="shared" si="5"/>
        <v>100</v>
      </c>
      <c r="HC81" s="99"/>
      <c r="HD81" s="97">
        <f t="shared" si="6"/>
        <v>7</v>
      </c>
      <c r="HE81" s="97">
        <f t="shared" si="7"/>
        <v>5</v>
      </c>
      <c r="HF81" s="90">
        <f t="shared" si="8"/>
        <v>12</v>
      </c>
      <c r="HG81" s="99"/>
      <c r="HH81" s="97">
        <f t="shared" si="9"/>
        <v>6</v>
      </c>
      <c r="HI81" s="97">
        <f t="shared" si="10"/>
        <v>6</v>
      </c>
      <c r="HJ81" s="90">
        <f t="shared" si="11"/>
        <v>12</v>
      </c>
      <c r="HK81" s="99"/>
      <c r="HL81" s="97">
        <f t="shared" si="12"/>
        <v>5</v>
      </c>
      <c r="HM81" s="97">
        <f t="shared" si="13"/>
        <v>5</v>
      </c>
      <c r="HN81" s="90">
        <f t="shared" si="14"/>
        <v>10</v>
      </c>
      <c r="HO81" s="99"/>
      <c r="HP81" s="97">
        <f t="shared" si="15"/>
        <v>7</v>
      </c>
      <c r="HQ81" s="97">
        <f t="shared" si="16"/>
        <v>6</v>
      </c>
      <c r="HR81" s="90">
        <f t="shared" si="17"/>
        <v>13</v>
      </c>
      <c r="HS81" s="99"/>
      <c r="HT81" s="97">
        <f t="shared" si="18"/>
        <v>9</v>
      </c>
      <c r="HU81" s="97">
        <f t="shared" si="19"/>
        <v>6</v>
      </c>
      <c r="HV81" s="90">
        <f t="shared" si="20"/>
        <v>15</v>
      </c>
      <c r="HW81" s="99"/>
      <c r="HX81" s="97">
        <f t="shared" si="21"/>
        <v>2</v>
      </c>
      <c r="HY81" s="97">
        <f t="shared" si="22"/>
        <v>3</v>
      </c>
      <c r="HZ81" s="90">
        <f t="shared" si="23"/>
        <v>5</v>
      </c>
      <c r="IA81" s="99"/>
      <c r="IB81" s="97">
        <f t="shared" si="24"/>
        <v>7</v>
      </c>
      <c r="IC81" s="97">
        <f t="shared" si="25"/>
        <v>7</v>
      </c>
      <c r="ID81" s="90">
        <f t="shared" si="26"/>
        <v>14</v>
      </c>
      <c r="IE81" s="99"/>
      <c r="IF81" s="97">
        <f t="shared" si="27"/>
        <v>3</v>
      </c>
      <c r="IG81" s="97">
        <f t="shared" si="28"/>
        <v>4</v>
      </c>
      <c r="IH81" s="90">
        <f t="shared" si="29"/>
        <v>7</v>
      </c>
      <c r="II81" s="99"/>
      <c r="IJ81" s="97">
        <f t="shared" si="30"/>
        <v>4</v>
      </c>
      <c r="IK81" s="97">
        <f t="shared" si="31"/>
        <v>3</v>
      </c>
      <c r="IL81" s="90">
        <f t="shared" si="32"/>
        <v>7</v>
      </c>
      <c r="IM81" s="99"/>
      <c r="IN81" s="97">
        <f t="shared" si="33"/>
        <v>1</v>
      </c>
      <c r="IO81" s="97">
        <f t="shared" si="34"/>
        <v>1</v>
      </c>
      <c r="IP81" s="90">
        <f t="shared" si="35"/>
        <v>2</v>
      </c>
      <c r="IQ81" s="99"/>
      <c r="IR81" s="99"/>
      <c r="IS81" s="100">
        <f t="shared" si="36"/>
        <v>12</v>
      </c>
      <c r="IT81" s="100">
        <f t="shared" si="37"/>
        <v>12</v>
      </c>
      <c r="IU81" s="100">
        <f t="shared" si="38"/>
        <v>10</v>
      </c>
      <c r="IV81" s="100">
        <f t="shared" si="39"/>
        <v>13</v>
      </c>
      <c r="IW81" s="100">
        <f t="shared" si="40"/>
        <v>15</v>
      </c>
      <c r="IX81" s="100">
        <f t="shared" si="41"/>
        <v>5</v>
      </c>
      <c r="IY81" s="100">
        <f t="shared" si="42"/>
        <v>14</v>
      </c>
      <c r="IZ81" s="100">
        <f t="shared" si="43"/>
        <v>7</v>
      </c>
      <c r="JA81" s="100">
        <f t="shared" si="44"/>
        <v>7</v>
      </c>
      <c r="JB81" s="101">
        <f t="shared" si="45"/>
        <v>2</v>
      </c>
      <c r="JC81" s="102">
        <f t="shared" si="46"/>
        <v>97</v>
      </c>
      <c r="JD81" s="67">
        <f t="shared" si="50"/>
        <v>0</v>
      </c>
      <c r="JE81" s="67">
        <f t="shared" si="47"/>
        <v>1</v>
      </c>
      <c r="JF81" s="67">
        <f t="shared" si="48"/>
        <v>1</v>
      </c>
    </row>
    <row r="82">
      <c r="A82" s="103">
        <f>IFERROR(__xludf.DUMMYFUNCTION("""COMPUTED_VALUE"""),45941.35542363426)</f>
        <v>45941.35542</v>
      </c>
      <c r="B82" s="95" t="str">
        <f>IFERROR(__xludf.DUMMYFUNCTION("""COMPUTED_VALUE"""),"Umar fawwaz")</f>
        <v>Umar fawwaz</v>
      </c>
      <c r="C82" s="96" t="str">
        <f>IFERROR(__xludf.DUMMYFUNCTION("""COMPUTED_VALUE"""),"A250002")</f>
        <v>A250002</v>
      </c>
      <c r="D82" s="96" t="str">
        <f>IFERROR(__xludf.DUMMYFUNCTION("""COMPUTED_VALUE"""),"MTs Putra")</f>
        <v>MTs Putra</v>
      </c>
      <c r="E82" s="96" t="str">
        <f>IFERROR(__xludf.DUMMYFUNCTION("""COMPUTED_VALUE"""),"Ya")</f>
        <v>Ya</v>
      </c>
      <c r="F82" s="95" t="str">
        <f>IFERROR(__xludf.DUMMYFUNCTION("""COMPUTED_VALUE"""),"B Saya ingin melakukan apa saja sebaik mungkin.")</f>
        <v>B Saya ingin melakukan apa saja sebaik mungkin.</v>
      </c>
      <c r="G82" s="95" t="str">
        <f>IFERROR(__xludf.DUMMYFUNCTION("""COMPUTED_VALUE"""),"A Saya ingin setiap tulisan saya teliti, rapi, dan tersusun dengan baik.")</f>
        <v>A Saya ingin setiap tulisan saya teliti, rapi, dan tersusun dengan baik.</v>
      </c>
      <c r="H82" s="95" t="str">
        <f>IFERROR(__xludf.DUMMYFUNCTION("""COMPUTED_VALUE"""),"B Saya ingin menjadi orang yang diakui dalam suatu pekerjaan atau bidang khusus.")</f>
        <v>B Saya ingin menjadi orang yang diakui dalam suatu pekerjaan atau bidang khusus.</v>
      </c>
      <c r="I82" s="95" t="str">
        <f>IFERROR(__xludf.DUMMYFUNCTION("""COMPUTED_VALUE"""),"A Saya suka belajar keras pada tiap pelajaran yang saya hadapi.")</f>
        <v>A Saya suka belajar keras pada tiap pelajaran yang saya hadapi.</v>
      </c>
      <c r="J82" s="95" t="str">
        <f>IFERROR(__xludf.DUMMYFUNCTION("""COMPUTED_VALUE"""),"A Saya suka membantu teman-teman saya apabila mereka mengalami kesulitan.")</f>
        <v>A Saya suka membantu teman-teman saya apabila mereka mengalami kesulitan.</v>
      </c>
      <c r="K82" s="95" t="str">
        <f>IFERROR(__xludf.DUMMYFUNCTION("""COMPUTED_VALUE"""),"B Saya ingin mengatakan telah melakukan dengan baik sesuatu tugas yang sulit.")</f>
        <v>B Saya ingin mengatakan telah melakukan dengan baik sesuatu tugas yang sulit.</v>
      </c>
      <c r="L82" s="95" t="str">
        <f>IFERROR(__xludf.DUMMYFUNCTION("""COMPUTED_VALUE"""),"B Saya ingin mengatakan telah melakukan dengan baik sesuatu tugas yang sulit")</f>
        <v>B Saya ingin mengatakan telah melakukan dengan baik sesuatu tugas yang sulit</v>
      </c>
      <c r="M82" s="95" t="str">
        <f>IFERROR(__xludf.DUMMYFUNCTION("""COMPUTED_VALUE"""),"B Saya ingin mengerjakan segala tugas lebih baik daripada orang lain.")</f>
        <v>B Saya ingin mengerjakan segala tugas lebih baik daripada orang lain.</v>
      </c>
      <c r="N82" s="95" t="str">
        <f>IFERROR(__xludf.DUMMYFUNCTION("""COMPUTED_VALUE"""),"B Saya suka memecahkan persoalan yang sukar bagi orang lain.")</f>
        <v>B Saya suka memecahkan persoalan yang sukar bagi orang lain.</v>
      </c>
      <c r="O82" s="95" t="str">
        <f>IFERROR(__xludf.DUMMYFUNCTION("""COMPUTED_VALUE"""),"B Saya suka melakukan tugas sebaik mungkin.")</f>
        <v>B Saya suka melakukan tugas sebaik mungkin.</v>
      </c>
      <c r="P82" s="95" t="str">
        <f>IFERROR(__xludf.DUMMYFUNCTION("""COMPUTED_VALUE"""),"B Saya ingin setiap belajar itu teratur dan direncanakan.")</f>
        <v>B Saya ingin setiap belajar itu teratur dan direncanakan.</v>
      </c>
      <c r="Q82" s="95" t="str">
        <f>IFERROR(__xludf.DUMMYFUNCTION("""COMPUTED_VALUE"""),"B Saya merencanakan keperluan yang dibutuhkan sebelum bepergian.")</f>
        <v>B Saya merencanakan keperluan yang dibutuhkan sebelum bepergian.</v>
      </c>
      <c r="R82" s="95" t="str">
        <f>IFERROR(__xludf.DUMMYFUNCTION("""COMPUTED_VALUE"""),"B Saya suka barang-barang saya tersusun rapi dan teratur.")</f>
        <v>B Saya suka barang-barang saya tersusun rapi dan teratur.</v>
      </c>
      <c r="S82" s="95" t="str">
        <f>IFERROR(__xludf.DUMMYFUNCTION("""COMPUTED_VALUE"""),"B Saya suka membuat perencanaan sebelum memulai tugas yang sulit.")</f>
        <v>B Saya suka membuat perencanaan sebelum memulai tugas yang sulit.</v>
      </c>
      <c r="T82" s="95" t="str">
        <f>IFERROR(__xludf.DUMMYFUNCTION("""COMPUTED_VALUE"""),"B Saya ingin agar hidup saya teratur sesuai cita-cita saya.")</f>
        <v>B Saya ingin agar hidup saya teratur sesuai cita-cita saya.</v>
      </c>
      <c r="U82" s="95" t="str">
        <f>IFERROR(__xludf.DUMMYFUNCTION("""COMPUTED_VALUE"""),"A Saya suka memberikan bantuan kepada teman-teman saya.")</f>
        <v>A Saya suka memberikan bantuan kepada teman-teman saya.</v>
      </c>
      <c r="V82" s="95" t="str">
        <f>IFERROR(__xludf.DUMMYFUNCTION("""COMPUTED_VALUE"""),"B Saya suka belajar saya teratur dan ada waktu-waktu tertentu untuk belajar.")</f>
        <v>B Saya suka belajar saya teratur dan ada waktu-waktu tertentu untuk belajar.</v>
      </c>
      <c r="W82" s="95" t="str">
        <f>IFERROR(__xludf.DUMMYFUNCTION("""COMPUTED_VALUE"""),"B Saya ingin kegiatan itu teratur dan direncanakan.")</f>
        <v>B Saya ingin kegiatan itu teratur dan direncanakan.</v>
      </c>
      <c r="X82" s="95" t="str">
        <f>IFERROR(__xludf.DUMMYFUNCTION("""COMPUTED_VALUE"""),"B Saya ingin agar hidup saya teratur sesuai cita-cita saya.")</f>
        <v>B Saya ingin agar hidup saya teratur sesuai cita-cita saya.</v>
      </c>
      <c r="Y82" s="95" t="str">
        <f>IFERROR(__xludf.DUMMYFUNCTION("""COMPUTED_VALUE"""),"A Saya suka menyelesaikan tugas-tugas yang membutuhkan ketrampilan dan usaha.")</f>
        <v>A Saya suka menyelesaikan tugas-tugas yang membutuhkan ketrampilan dan usaha.</v>
      </c>
      <c r="Z82" s="95" t="str">
        <f>IFERROR(__xludf.DUMMYFUNCTION("""COMPUTED_VALUE"""),"A Saya ingin berhasil dengan belajar yang saya lakukan.")</f>
        <v>A Saya ingin berhasil dengan belajar yang saya lakukan.</v>
      </c>
      <c r="AA82" s="95" t="str">
        <f>IFERROR(__xludf.DUMMYFUNCTION("""COMPUTED_VALUE"""),"A Saya suka menyelesaikan tugas yang telah saya rencanakan.")</f>
        <v>A Saya suka menyelesaikan tugas yang telah saya rencanakan.</v>
      </c>
      <c r="AB82" s="95" t="str">
        <f>IFERROR(__xludf.DUMMYFUNCTION("""COMPUTED_VALUE"""),"B Saya ingin menyelesaikan pekerjaan satu persatu sebelum memulai yang lain.")</f>
        <v>B Saya ingin menyelesaikan pekerjaan satu persatu sebelum memulai yang lain.</v>
      </c>
      <c r="AC82" s="95" t="str">
        <f>IFERROR(__xludf.DUMMYFUNCTION("""COMPUTED_VALUE"""),"B Saya suka melakukan kegiatan sesuai kondisi yang saya inginkan.")</f>
        <v>B Saya suka melakukan kegiatan sesuai kondisi yang saya inginkan.</v>
      </c>
      <c r="AD82" s="95" t="str">
        <f>IFERROR(__xludf.DUMMYFUNCTION("""COMPUTED_VALUE"""),"B Saya suka menyatakan pendapat saya tentang berbagai hal.")</f>
        <v>B Saya suka menyatakan pendapat saya tentang berbagai hal.</v>
      </c>
      <c r="AE82" s="95" t="str">
        <f>IFERROR(__xludf.DUMMYFUNCTION("""COMPUTED_VALUE"""),"A Saya ingin dianggap sebagai pemimpin oleh teman di kelompok.")</f>
        <v>A Saya ingin dianggap sebagai pemimpin oleh teman di kelompok.</v>
      </c>
      <c r="AF82" s="95" t="str">
        <f>IFERROR(__xludf.DUMMYFUNCTION("""COMPUTED_VALUE"""),"A Saya ingin agar teman-teman mengerti bila saya mengalami kesukaran.")</f>
        <v>A Saya ingin agar teman-teman mengerti bila saya mengalami kesukaran.</v>
      </c>
      <c r="AG82" s="95" t="str">
        <f>IFERROR(__xludf.DUMMYFUNCTION("""COMPUTED_VALUE"""),"B Saya ingin berhasil dengan tugas yang saya lakukan.")</f>
        <v>B Saya ingin berhasil dengan tugas yang saya lakukan.</v>
      </c>
      <c r="AH82" s="95" t="str">
        <f>IFERROR(__xludf.DUMMYFUNCTION("""COMPUTED_VALUE"""),"A Saya suka membaca buku-buku tentang pergaulan remaja.")</f>
        <v>A Saya suka membaca buku-buku tentang pergaulan remaja.</v>
      </c>
      <c r="AI82" s="95" t="str">
        <f>IFERROR(__xludf.DUMMYFUNCTION("""COMPUTED_VALUE"""),"B Saya suka melakukan kegiatan sesuai kondisi yang saya inginkan.")</f>
        <v>B Saya suka melakukan kegiatan sesuai kondisi yang saya inginkan.</v>
      </c>
      <c r="AJ82" s="95" t="str">
        <f>IFERROR(__xludf.DUMMYFUNCTION("""COMPUTED_VALUE"""),"B Saya suka bertahan menghadapi satu masalah meskipun belum tentu berhasil.")</f>
        <v>B Saya suka bertahan menghadapi satu masalah meskipun belum tentu berhasil.</v>
      </c>
      <c r="AK82" s="95" t="str">
        <f>IFERROR(__xludf.DUMMYFUNCTION("""COMPUTED_VALUE"""),"B Bila saya harus melakukan suatu tugas, saya ingin mengerjakan sampai selesai.")</f>
        <v>B Bila saya harus melakukan suatu tugas, saya ingin mengerjakan sampai selesai.</v>
      </c>
      <c r="AL82" s="95" t="str">
        <f>IFERROR(__xludf.DUMMYFUNCTION("""COMPUTED_VALUE"""),"B Saya ingin menghindarkan gangguan bila saya sedang belajar.")</f>
        <v>B Saya ingin menghindarkan gangguan bila saya sedang belajar.</v>
      </c>
      <c r="AM82" s="95" t="str">
        <f>IFERROR(__xludf.DUMMYFUNCTION("""COMPUTED_VALUE"""),"A Saya ingin teman-teman saya merasa kasihan pada saya apabila saya sakit.")</f>
        <v>A Saya ingin teman-teman saya merasa kasihan pada saya apabila saya sakit.</v>
      </c>
      <c r="AN82" s="95" t="str">
        <f>IFERROR(__xludf.DUMMYFUNCTION("""COMPUTED_VALUE"""),"B Saya ingin bekerja berjam-jam tanpa diganggu.")</f>
        <v>B Saya ingin bekerja berjam-jam tanpa diganggu.</v>
      </c>
      <c r="AO82" s="95" t="str">
        <f>IFERROR(__xludf.DUMMYFUNCTION("""COMPUTED_VALUE"""),"B Saya suka menyelesaikan setiap tugas meskipun membutuhkan waktu lama.")</f>
        <v>B Saya suka menyelesaikan setiap tugas meskipun membutuhkan waktu lama.</v>
      </c>
      <c r="AP82" s="95" t="str">
        <f>IFERROR(__xludf.DUMMYFUNCTION("""COMPUTED_VALUE"""),"B Saya suka bertahan menghadapi satu masalah meskipun belum tentu berhasil.")</f>
        <v>B Saya suka bertahan menghadapi satu masalah meskipun belum tentu berhasil.</v>
      </c>
      <c r="AQ82" s="95" t="str">
        <f>IFERROR(__xludf.DUMMYFUNCTION("""COMPUTED_VALUE"""),"B Bila saya harus melakukan suatu tugas, saya ingin mengerjakan sampai selesai.")</f>
        <v>B Bila saya harus melakukan suatu tugas, saya ingin mengerjakan sampai selesai.</v>
      </c>
      <c r="AR82" s="95" t="str">
        <f>IFERROR(__xludf.DUMMYFUNCTION("""COMPUTED_VALUE"""),"A Saya suka menyimpan catatan secara rapi.")</f>
        <v>A Saya suka menyimpan catatan secara rapi.</v>
      </c>
      <c r="AS82" s="95" t="str">
        <f>IFERROR(__xludf.DUMMYFUNCTION("""COMPUTED_VALUE"""),"A Saya ingin dapat menyelesaikan persoalan yang dianggap sukar bagi orang lain.")</f>
        <v>A Saya ingin dapat menyelesaikan persoalan yang dianggap sukar bagi orang lain.</v>
      </c>
      <c r="AT82" s="95" t="str">
        <f>IFERROR(__xludf.DUMMYFUNCTION("""COMPUTED_VALUE"""),"A Saya ingin bisa melakukan dengan baik sesuatu pekerjaan sulit.")</f>
        <v>A Saya ingin bisa melakukan dengan baik sesuatu pekerjaan sulit.</v>
      </c>
      <c r="AU82" s="95" t="str">
        <f>IFERROR(__xludf.DUMMYFUNCTION("""COMPUTED_VALUE"""),"A Saya ingin menyelesaikan pekerjaan satu persatu sebelum memulai yang lain.")</f>
        <v>A Saya ingin menyelesaikan pekerjaan satu persatu sebelum memulai yang lain.</v>
      </c>
      <c r="AV82" s="95" t="str">
        <f>IFERROR(__xludf.DUMMYFUNCTION("""COMPUTED_VALUE"""),"B Saya suka menolong teman-teman saya.")</f>
        <v>B Saya suka menolong teman-teman saya.</v>
      </c>
      <c r="AW82" s="95" t="str">
        <f>IFERROR(__xludf.DUMMYFUNCTION("""COMPUTED_VALUE"""),"A Saya ingin mengerjakan tugas sampai selesai.")</f>
        <v>A Saya ingin mengerjakan tugas sampai selesai.</v>
      </c>
      <c r="AX82" s="95" t="str">
        <f>IFERROR(__xludf.DUMMYFUNCTION("""COMPUTED_VALUE"""),"B Saya suka memaafkan teman-teman saya yang menyakiti hati saya.")</f>
        <v>B Saya suka memaafkan teman-teman saya yang menyakiti hati saya.</v>
      </c>
      <c r="AY82" s="95" t="str">
        <f>IFERROR(__xludf.DUMMYFUNCTION("""COMPUTED_VALUE"""),"B Saya suka menolong teman-teman saya apabila mereka dalam kesulitan.")</f>
        <v>B Saya suka menolong teman-teman saya apabila mereka dalam kesulitan.</v>
      </c>
      <c r="AZ82" s="95" t="str">
        <f>IFERROR(__xludf.DUMMYFUNCTION("""COMPUTED_VALUE"""),"B Saya suka menunjukkan simpati saya kepada teman-teman saya.")</f>
        <v>B Saya suka menunjukkan simpati saya kepada teman-teman saya.</v>
      </c>
      <c r="BA82" s="95" t="str">
        <f>IFERROR(__xludf.DUMMYFUNCTION("""COMPUTED_VALUE"""),"B Saya suka memperlakukan orang lain dengan baik dan ramah.")</f>
        <v>B Saya suka memperlakukan orang lain dengan baik dan ramah.</v>
      </c>
      <c r="BB82" s="95" t="str">
        <f>IFERROR(__xludf.DUMMYFUNCTION("""COMPUTED_VALUE"""),"A Saya berkeinginan untuk bersama orang yang menarik bagi saya.")</f>
        <v>A Saya berkeinginan untuk bersama orang yang menarik bagi saya.</v>
      </c>
      <c r="BC82" s="95" t="str">
        <f>IFERROR(__xludf.DUMMYFUNCTION("""COMPUTED_VALUE"""),"B Saya suka membantu orang lain yang menurut saya perlu dikasihani.")</f>
        <v>B Saya suka membantu orang lain yang menurut saya perlu dikasihani.</v>
      </c>
      <c r="BD82" s="95" t="str">
        <f>IFERROR(__xludf.DUMMYFUNCTION("""COMPUTED_VALUE"""),"B Saya suka bersikukuh dengan pendirian saya.")</f>
        <v>B Saya suka bersikukuh dengan pendirian saya.</v>
      </c>
      <c r="BE82" s="95" t="str">
        <f>IFERROR(__xludf.DUMMYFUNCTION("""COMPUTED_VALUE"""),"B Saya ingin orang lain melakukan apa yang saya kehendaki.")</f>
        <v>B Saya ingin orang lain melakukan apa yang saya kehendaki.</v>
      </c>
      <c r="BF82" s="95" t="str">
        <f>IFERROR(__xludf.DUMMYFUNCTION("""COMPUTED_VALUE"""),"B Bila saya dalam kelompok, saya ingin menentukan apa yang akan kita lakukan.")</f>
        <v>B Bila saya dalam kelompok, saya ingin menentukan apa yang akan kita lakukan.</v>
      </c>
      <c r="BG82" s="95" t="str">
        <f>IFERROR(__xludf.DUMMYFUNCTION("""COMPUTED_VALUE"""),"A Saya ingin teman-teman banyak menunjukkan rasa sayang mereka terhadap saya.")</f>
        <v>A Saya ingin teman-teman banyak menunjukkan rasa sayang mereka terhadap saya.</v>
      </c>
      <c r="BH82" s="95" t="str">
        <f>IFERROR(__xludf.DUMMYFUNCTION("""COMPUTED_VALUE"""),"B Apabila saya berkumpul dalam kelompok, saya ingin dihargai teman-teman.")</f>
        <v>B Apabila saya berkumpul dalam kelompok, saya ingin dihargai teman-teman.</v>
      </c>
      <c r="BI82" s="95" t="str">
        <f>IFERROR(__xludf.DUMMYFUNCTION("""COMPUTED_VALUE"""),"A Saya suka bermurah hati terhadap teman-teman saya.")</f>
        <v>A Saya suka bermurah hati terhadap teman-teman saya.</v>
      </c>
      <c r="BJ82" s="95" t="str">
        <f>IFERROR(__xludf.DUMMYFUNCTION("""COMPUTED_VALUE"""),"A Saya ingin mengerjakan tugas sampai selesai.")</f>
        <v>A Saya ingin mengerjakan tugas sampai selesai.</v>
      </c>
      <c r="BK82" s="95" t="str">
        <f>IFERROR(__xludf.DUMMYFUNCTION("""COMPUTED_VALUE"""),"A Saya ingin menyelesaikan pekerjaan satu persatu sebelum memulai yang lain.")</f>
        <v>A Saya ingin menyelesaikan pekerjaan satu persatu sebelum memulai yang lain.</v>
      </c>
      <c r="BL82" s="95" t="str">
        <f>IFERROR(__xludf.DUMMYFUNCTION("""COMPUTED_VALUE"""),"A Saya suka belajar saya teratur dan ada waktu-waktu tertentu untuk belajar.")</f>
        <v>A Saya suka belajar saya teratur dan ada waktu-waktu tertentu untuk belajar.</v>
      </c>
      <c r="BM82" s="95" t="str">
        <f>IFERROR(__xludf.DUMMYFUNCTION("""COMPUTED_VALUE"""),"A Saya suka melakukan pekerjaan sebaik mungkin.")</f>
        <v>A Saya suka melakukan pekerjaan sebaik mungkin.</v>
      </c>
      <c r="BN82" s="95" t="str">
        <f>IFERROR(__xludf.DUMMYFUNCTION("""COMPUTED_VALUE"""),"A Saya suka mengerjakan teka-teki atau memecahkan persoalan sampai selesai.")</f>
        <v>A Saya suka mengerjakan teka-teki atau memecahkan persoalan sampai selesai.</v>
      </c>
      <c r="BO82" s="95" t="str">
        <f>IFERROR(__xludf.DUMMYFUNCTION("""COMPUTED_VALUE"""),"A Saya suka membuat perencanaan sebelum memulai belajar yang sulit.")</f>
        <v>A Saya suka membuat perencanaan sebelum memulai belajar yang sulit.</v>
      </c>
      <c r="BP82" s="95" t="str">
        <f>IFERROR(__xludf.DUMMYFUNCTION("""COMPUTED_VALUE"""),"A Saya ingin menyelesaikan sesuatu yang sangat penting artinya.")</f>
        <v>A Saya ingin menyelesaikan sesuatu yang sangat penting artinya.</v>
      </c>
      <c r="BQ82" s="95" t="str">
        <f>IFERROR(__xludf.DUMMYFUNCTION("""COMPUTED_VALUE"""),"A Saya ingin mengerjakannya tugas sampai selesai.")</f>
        <v>A Saya ingin mengerjakannya tugas sampai selesai.</v>
      </c>
      <c r="BR82" s="95" t="str">
        <f>IFERROR(__xludf.DUMMYFUNCTION("""COMPUTED_VALUE"""),"B Saya ingin agar teman-teman saya bersimpati dan menghibur saya bila saya sedih.")</f>
        <v>B Saya ingin agar teman-teman saya bersimpati dan menghibur saya bila saya sedih.</v>
      </c>
      <c r="BS82" s="95" t="str">
        <f>IFERROR(__xludf.DUMMYFUNCTION("""COMPUTED_VALUE"""),"B Saya ingin teman-teman saya membantu saya bila saya mengalami kesulitan")</f>
        <v>B Saya ingin teman-teman saya membantu saya bila saya mengalami kesulitan</v>
      </c>
      <c r="BT82" s="95" t="str">
        <f>IFERROR(__xludf.DUMMYFUNCTION("""COMPUTED_VALUE"""),"A Saya ingin teman-teman saya merasa kasihan pada saya apabila saya sakit.")</f>
        <v>A Saya ingin teman-teman saya merasa kasihan pada saya apabila saya sakit.</v>
      </c>
      <c r="BU82" s="95" t="str">
        <f>IFERROR(__xludf.DUMMYFUNCTION("""COMPUTED_VALUE"""),"B Saya ingin agar teman-teman saya merasa kasihan pada saya apabila saya sakit.")</f>
        <v>B Saya ingin agar teman-teman saya merasa kasihan pada saya apabila saya sakit.</v>
      </c>
      <c r="BV82" s="95" t="str">
        <f>IFERROR(__xludf.DUMMYFUNCTION("""COMPUTED_VALUE"""),"B Saya ingin teman-teman dengan gembira memberikan pertolongan kepada saya.")</f>
        <v>B Saya ingin teman-teman dengan gembira memberikan pertolongan kepada saya.</v>
      </c>
      <c r="BW82" s="95" t="str">
        <f>IFERROR(__xludf.DUMMYFUNCTION("""COMPUTED_VALUE"""),"B Saya ingin diperlakukan dengan baik oleh teman-teman saya.")</f>
        <v>B Saya ingin diperlakukan dengan baik oleh teman-teman saya.</v>
      </c>
      <c r="BX82" s="95" t="str">
        <f>IFERROR(__xludf.DUMMYFUNCTION("""COMPUTED_VALUE"""),"B Saya kadang-kadang suka melakukan hal-hal yang dapat dipuji oleh orang lain.")</f>
        <v>B Saya kadang-kadang suka melakukan hal-hal yang dapat dipuji oleh orang lain.</v>
      </c>
      <c r="BY82" s="95" t="str">
        <f>IFERROR(__xludf.DUMMYFUNCTION("""COMPUTED_VALUE"""),"B Saya ingin orang lain memperhatikan dan berkomentar tentang penampilan saya.")</f>
        <v>B Saya ingin orang lain memperhatikan dan berkomentar tentang penampilan saya.</v>
      </c>
      <c r="BZ82" s="95" t="str">
        <f>IFERROR(__xludf.DUMMYFUNCTION("""COMPUTED_VALUE"""),"B Saya suka diperhatikan, apabila saya ada di dalam suatu kelompok.")</f>
        <v>B Saya suka diperhatikan, apabila saya ada di dalam suatu kelompok.</v>
      </c>
      <c r="CA82" s="95" t="str">
        <f>IFERROR(__xludf.DUMMYFUNCTION("""COMPUTED_VALUE"""),"A Saya ingin teman-teman dengan gembira memberikan pertolongan kepada saya.")</f>
        <v>A Saya ingin teman-teman dengan gembira memberikan pertolongan kepada saya.</v>
      </c>
      <c r="CB82" s="95" t="str">
        <f>IFERROR(__xludf.DUMMYFUNCTION("""COMPUTED_VALUE"""),"B Saya suka berbicara tentang hal-hal yang telah saya capai.")</f>
        <v>B Saya suka berbicara tentang hal-hal yang telah saya capai.</v>
      </c>
      <c r="CC82" s="95" t="str">
        <f>IFERROR(__xludf.DUMMYFUNCTION("""COMPUTED_VALUE"""),"A Apabila saya berkumpul dalam kelompok, saya ingin dihargai teman-teman.")</f>
        <v>A Apabila saya berkumpul dalam kelompok, saya ingin dihargai teman-teman.</v>
      </c>
      <c r="CD82" s="95" t="str">
        <f>IFERROR(__xludf.DUMMYFUNCTION("""COMPUTED_VALUE"""),"A Saya suka menyelesaikan setiap tugas meskipun membutuhkan waktu lama.")</f>
        <v>A Saya suka menyelesaikan setiap tugas meskipun membutuhkan waktu lama.</v>
      </c>
      <c r="CE82" s="95" t="str">
        <f>IFERROR(__xludf.DUMMYFUNCTION("""COMPUTED_VALUE"""),"A Saya suka menyelesaikan setiap tugas belajar yang telah saya mulai.")</f>
        <v>A Saya suka menyelesaikan setiap tugas belajar yang telah saya mulai.</v>
      </c>
      <c r="CF82" s="95" t="str">
        <f>IFERROR(__xludf.DUMMYFUNCTION("""COMPUTED_VALUE"""),"A Saya ingin agar hidup saya teratur sesuai cita-cita saya.")</f>
        <v>A Saya ingin agar hidup saya teratur sesuai cita-cita saya.</v>
      </c>
      <c r="CG82" s="95" t="str">
        <f>IFERROR(__xludf.DUMMYFUNCTION("""COMPUTED_VALUE"""),"A Saya ingin berhasil dalam apa yang saya lakukan.")</f>
        <v>A Saya ingin berhasil dalam apa yang saya lakukan.</v>
      </c>
      <c r="CH82" s="95" t="str">
        <f>IFERROR(__xludf.DUMMYFUNCTION("""COMPUTED_VALUE"""),"A Saya ingin bisa melakukan dengan baik sesuatu pekerjaan sulit.")</f>
        <v>A Saya ingin bisa melakukan dengan baik sesuatu pekerjaan sulit.</v>
      </c>
      <c r="CI82" s="95" t="str">
        <f>IFERROR(__xludf.DUMMYFUNCTION("""COMPUTED_VALUE"""),"A Saya suka belajar saya teratur dan ada waktu-waktu tertentu untuk belajar.")</f>
        <v>A Saya suka belajar saya teratur dan ada waktu-waktu tertentu untuk belajar.</v>
      </c>
      <c r="CJ82" s="95" t="str">
        <f>IFERROR(__xludf.DUMMYFUNCTION("""COMPUTED_VALUE"""),"A Saya ingin tidak tergantung dari orang lain terhadap apa yang akan saya lakukan.")</f>
        <v>A Saya ingin tidak tergantung dari orang lain terhadap apa yang akan saya lakukan.</v>
      </c>
      <c r="CK82" s="95" t="str">
        <f>IFERROR(__xludf.DUMMYFUNCTION("""COMPUTED_VALUE"""),"B Saya senang ikut beraktivitas bersama teman sebaya saya.")</f>
        <v>B Saya senang ikut beraktivitas bersama teman sebaya saya.</v>
      </c>
      <c r="CL82" s="95" t="str">
        <f>IFERROR(__xludf.DUMMYFUNCTION("""COMPUTED_VALUE"""),"A Saya suka menolong teman-teman saya, apabila mereka dalam kesulitan.")</f>
        <v>A Saya suka menolong teman-teman saya, apabila mereka dalam kesulitan.</v>
      </c>
      <c r="CM82" s="95" t="str">
        <f>IFERROR(__xludf.DUMMYFUNCTION("""COMPUTED_VALUE"""),"B Saya merasa kagum pada seseorang.")</f>
        <v>B Saya merasa kagum pada seseorang.</v>
      </c>
      <c r="CN82" s="95" t="str">
        <f>IFERROR(__xludf.DUMMYFUNCTION("""COMPUTED_VALUE"""),"A Saya ingin diperlakukan dengan baik oleh teman-teman saya.")</f>
        <v>A Saya ingin diperlakukan dengan baik oleh teman-teman saya.</v>
      </c>
      <c r="CO82" s="95" t="str">
        <f>IFERROR(__xludf.DUMMYFUNCTION("""COMPUTED_VALUE"""),"B Saya suka memuji orang yang saya kagumi.")</f>
        <v>B Saya suka memuji orang yang saya kagumi.</v>
      </c>
      <c r="CP82" s="95" t="str">
        <f>IFERROR(__xludf.DUMMYFUNCTION("""COMPUTED_VALUE"""),"B Saya ingin dianggap menarik oleh orang lain.")</f>
        <v>B Saya ingin dianggap menarik oleh orang lain.</v>
      </c>
      <c r="CQ82" s="95" t="str">
        <f>IFERROR(__xludf.DUMMYFUNCTION("""COMPUTED_VALUE"""),"B Saya merasa kagum pada seseorang.")</f>
        <v>B Saya merasa kagum pada seseorang.</v>
      </c>
      <c r="CR82" s="95" t="str">
        <f>IFERROR(__xludf.DUMMYFUNCTION("""COMPUTED_VALUE"""),"B Saya rasanya ingin mengecam seseorang bila orang itu menjengkelkan.")</f>
        <v>B Saya rasanya ingin mengecam seseorang bila orang itu menjengkelkan.</v>
      </c>
      <c r="CS82" s="95" t="str">
        <f>IFERROR(__xludf.DUMMYFUNCTION("""COMPUTED_VALUE"""),"A Saya ingin terlihat menarik di depan teman-teman saya.")</f>
        <v>A Saya ingin terlihat menarik di depan teman-teman saya.</v>
      </c>
      <c r="CT82" s="95" t="str">
        <f>IFERROR(__xludf.DUMMYFUNCTION("""COMPUTED_VALUE"""),"A Saya ingin orang-orang memperhatikan komentar mengenai penampilan saya.")</f>
        <v>A Saya ingin orang-orang memperhatikan komentar mengenai penampilan saya.</v>
      </c>
      <c r="CU82" s="95" t="str">
        <f>IFERROR(__xludf.DUMMYFUNCTION("""COMPUTED_VALUE"""),"A Saya ingin diperlakukan dengan ramah oleh teman-teman saya.")</f>
        <v>A Saya ingin diperlakukan dengan ramah oleh teman-teman saya.</v>
      </c>
      <c r="CV82" s="95" t="str">
        <f>IFERROR(__xludf.DUMMYFUNCTION("""COMPUTED_VALUE"""),"A Saya ingin ditunjuk atau dipilih sebagai ketua dalam suatu kelompok.")</f>
        <v>A Saya ingin ditunjuk atau dipilih sebagai ketua dalam suatu kelompok.</v>
      </c>
      <c r="CW82" s="95" t="str">
        <f>IFERROR(__xludf.DUMMYFUNCTION("""COMPUTED_VALUE"""),"A Saya suka menolong teman-teman saya, apabila mereka dalam kesulitan.")</f>
        <v>A Saya suka menolong teman-teman saya, apabila mereka dalam kesulitan.</v>
      </c>
      <c r="CX82" s="95" t="str">
        <f>IFERROR(__xludf.DUMMYFUNCTION("""COMPUTED_VALUE"""),"A Saya suka belajar sampai malam untuk menyelesaikan suatu tugas.")</f>
        <v>A Saya suka belajar sampai malam untuk menyelesaikan suatu tugas.</v>
      </c>
      <c r="CY82" s="95" t="str">
        <f>IFERROR(__xludf.DUMMYFUNCTION("""COMPUTED_VALUE"""),"A Saya ingin tidak tergantung dari orang lain terhadap apa yang akan saya lakukan.")</f>
        <v>A Saya ingin tidak tergantung dari orang lain terhadap apa yang akan saya lakukan.</v>
      </c>
      <c r="CZ82" s="95" t="str">
        <f>IFERROR(__xludf.DUMMYFUNCTION("""COMPUTED_VALUE"""),"A Saya suka merencanakan dan mengatur setiap pekerjaan yang harus saya lakukan.")</f>
        <v>A Saya suka merencanakan dan mengatur setiap pekerjaan yang harus saya lakukan.</v>
      </c>
      <c r="DA82" s="95" t="str">
        <f>IFERROR(__xludf.DUMMYFUNCTION("""COMPUTED_VALUE"""),"A Saya ingin melakukan apa saja sebaik mungkin.")</f>
        <v>A Saya ingin melakukan apa saja sebaik mungkin.</v>
      </c>
      <c r="DB82" s="89" t="s">
        <v>23</v>
      </c>
      <c r="DC82" s="97" t="str">
        <f t="shared" ref="DC82:GX82" si="127">LEFT(F82,1)</f>
        <v>B</v>
      </c>
      <c r="DD82" s="97" t="str">
        <f t="shared" si="127"/>
        <v>A</v>
      </c>
      <c r="DE82" s="97" t="str">
        <f t="shared" si="127"/>
        <v>B</v>
      </c>
      <c r="DF82" s="97" t="str">
        <f t="shared" si="127"/>
        <v>A</v>
      </c>
      <c r="DG82" s="97" t="str">
        <f t="shared" si="127"/>
        <v>A</v>
      </c>
      <c r="DH82" s="97" t="str">
        <f t="shared" si="127"/>
        <v>B</v>
      </c>
      <c r="DI82" s="97" t="str">
        <f t="shared" si="127"/>
        <v>B</v>
      </c>
      <c r="DJ82" s="97" t="str">
        <f t="shared" si="127"/>
        <v>B</v>
      </c>
      <c r="DK82" s="97" t="str">
        <f t="shared" si="127"/>
        <v>B</v>
      </c>
      <c r="DL82" s="97" t="str">
        <f t="shared" si="127"/>
        <v>B</v>
      </c>
      <c r="DM82" s="97" t="str">
        <f t="shared" si="127"/>
        <v>B</v>
      </c>
      <c r="DN82" s="97" t="str">
        <f t="shared" si="127"/>
        <v>B</v>
      </c>
      <c r="DO82" s="97" t="str">
        <f t="shared" si="127"/>
        <v>B</v>
      </c>
      <c r="DP82" s="97" t="str">
        <f t="shared" si="127"/>
        <v>B</v>
      </c>
      <c r="DQ82" s="97" t="str">
        <f t="shared" si="127"/>
        <v>B</v>
      </c>
      <c r="DR82" s="97" t="str">
        <f t="shared" si="127"/>
        <v>A</v>
      </c>
      <c r="DS82" s="97" t="str">
        <f t="shared" si="127"/>
        <v>B</v>
      </c>
      <c r="DT82" s="97" t="str">
        <f t="shared" si="127"/>
        <v>B</v>
      </c>
      <c r="DU82" s="97" t="str">
        <f t="shared" si="127"/>
        <v>B</v>
      </c>
      <c r="DV82" s="97" t="str">
        <f t="shared" si="127"/>
        <v>A</v>
      </c>
      <c r="DW82" s="97" t="str">
        <f t="shared" si="127"/>
        <v>A</v>
      </c>
      <c r="DX82" s="97" t="str">
        <f t="shared" si="127"/>
        <v>A</v>
      </c>
      <c r="DY82" s="97" t="str">
        <f t="shared" si="127"/>
        <v>B</v>
      </c>
      <c r="DZ82" s="97" t="str">
        <f t="shared" si="127"/>
        <v>B</v>
      </c>
      <c r="EA82" s="97" t="str">
        <f t="shared" si="127"/>
        <v>B</v>
      </c>
      <c r="EB82" s="97" t="str">
        <f t="shared" si="127"/>
        <v>A</v>
      </c>
      <c r="EC82" s="97" t="str">
        <f t="shared" si="127"/>
        <v>A</v>
      </c>
      <c r="ED82" s="97" t="str">
        <f t="shared" si="127"/>
        <v>B</v>
      </c>
      <c r="EE82" s="97" t="str">
        <f t="shared" si="127"/>
        <v>A</v>
      </c>
      <c r="EF82" s="97" t="str">
        <f t="shared" si="127"/>
        <v>B</v>
      </c>
      <c r="EG82" s="97" t="str">
        <f t="shared" si="127"/>
        <v>B</v>
      </c>
      <c r="EH82" s="97" t="str">
        <f t="shared" si="127"/>
        <v>B</v>
      </c>
      <c r="EI82" s="97" t="str">
        <f t="shared" si="127"/>
        <v>B</v>
      </c>
      <c r="EJ82" s="97" t="str">
        <f t="shared" si="127"/>
        <v>A</v>
      </c>
      <c r="EK82" s="97" t="str">
        <f t="shared" si="127"/>
        <v>B</v>
      </c>
      <c r="EL82" s="97" t="str">
        <f t="shared" si="127"/>
        <v>B</v>
      </c>
      <c r="EM82" s="97" t="str">
        <f t="shared" si="127"/>
        <v>B</v>
      </c>
      <c r="EN82" s="97" t="str">
        <f t="shared" si="127"/>
        <v>B</v>
      </c>
      <c r="EO82" s="97" t="str">
        <f t="shared" si="127"/>
        <v>A</v>
      </c>
      <c r="EP82" s="97" t="str">
        <f t="shared" si="127"/>
        <v>A</v>
      </c>
      <c r="EQ82" s="97" t="str">
        <f t="shared" si="127"/>
        <v>A</v>
      </c>
      <c r="ER82" s="97" t="str">
        <f t="shared" si="127"/>
        <v>A</v>
      </c>
      <c r="ES82" s="97" t="str">
        <f t="shared" si="127"/>
        <v>B</v>
      </c>
      <c r="ET82" s="97" t="str">
        <f t="shared" si="127"/>
        <v>A</v>
      </c>
      <c r="EU82" s="97" t="str">
        <f t="shared" si="127"/>
        <v>B</v>
      </c>
      <c r="EV82" s="97" t="str">
        <f t="shared" si="127"/>
        <v>B</v>
      </c>
      <c r="EW82" s="97" t="str">
        <f t="shared" si="127"/>
        <v>B</v>
      </c>
      <c r="EX82" s="97" t="str">
        <f t="shared" si="127"/>
        <v>B</v>
      </c>
      <c r="EY82" s="97" t="str">
        <f t="shared" si="127"/>
        <v>A</v>
      </c>
      <c r="EZ82" s="97" t="str">
        <f t="shared" si="127"/>
        <v>B</v>
      </c>
      <c r="FA82" s="97" t="str">
        <f t="shared" si="127"/>
        <v>B</v>
      </c>
      <c r="FB82" s="97" t="str">
        <f t="shared" si="127"/>
        <v>B</v>
      </c>
      <c r="FC82" s="97" t="str">
        <f t="shared" si="127"/>
        <v>B</v>
      </c>
      <c r="FD82" s="97" t="str">
        <f t="shared" si="127"/>
        <v>A</v>
      </c>
      <c r="FE82" s="97" t="str">
        <f t="shared" si="127"/>
        <v>B</v>
      </c>
      <c r="FF82" s="97" t="str">
        <f t="shared" si="127"/>
        <v>A</v>
      </c>
      <c r="FG82" s="97" t="str">
        <f t="shared" si="127"/>
        <v>A</v>
      </c>
      <c r="FH82" s="97" t="str">
        <f t="shared" si="127"/>
        <v>A</v>
      </c>
      <c r="FI82" s="97" t="str">
        <f t="shared" si="127"/>
        <v>A</v>
      </c>
      <c r="FJ82" s="97" t="str">
        <f t="shared" si="127"/>
        <v>A</v>
      </c>
      <c r="FK82" s="97" t="str">
        <f t="shared" si="127"/>
        <v>A</v>
      </c>
      <c r="FL82" s="97" t="str">
        <f t="shared" si="127"/>
        <v>A</v>
      </c>
      <c r="FM82" s="97" t="str">
        <f t="shared" si="127"/>
        <v>A</v>
      </c>
      <c r="FN82" s="97" t="str">
        <f t="shared" si="127"/>
        <v>A</v>
      </c>
      <c r="FO82" s="97" t="str">
        <f t="shared" si="127"/>
        <v>B</v>
      </c>
      <c r="FP82" s="97" t="str">
        <f t="shared" si="127"/>
        <v>B</v>
      </c>
      <c r="FQ82" s="97" t="str">
        <f t="shared" si="127"/>
        <v>A</v>
      </c>
      <c r="FR82" s="97" t="str">
        <f t="shared" si="127"/>
        <v>B</v>
      </c>
      <c r="FS82" s="97" t="str">
        <f t="shared" si="127"/>
        <v>B</v>
      </c>
      <c r="FT82" s="97" t="str">
        <f t="shared" si="127"/>
        <v>B</v>
      </c>
      <c r="FU82" s="97" t="str">
        <f t="shared" si="127"/>
        <v>B</v>
      </c>
      <c r="FV82" s="97" t="str">
        <f t="shared" si="127"/>
        <v>B</v>
      </c>
      <c r="FW82" s="97" t="str">
        <f t="shared" si="127"/>
        <v>B</v>
      </c>
      <c r="FX82" s="97" t="str">
        <f t="shared" si="127"/>
        <v>A</v>
      </c>
      <c r="FY82" s="97" t="str">
        <f t="shared" si="127"/>
        <v>B</v>
      </c>
      <c r="FZ82" s="97" t="str">
        <f t="shared" si="127"/>
        <v>A</v>
      </c>
      <c r="GA82" s="97" t="str">
        <f t="shared" si="127"/>
        <v>A</v>
      </c>
      <c r="GB82" s="97" t="str">
        <f t="shared" si="127"/>
        <v>A</v>
      </c>
      <c r="GC82" s="97" t="str">
        <f t="shared" si="127"/>
        <v>A</v>
      </c>
      <c r="GD82" s="97" t="str">
        <f t="shared" si="127"/>
        <v>A</v>
      </c>
      <c r="GE82" s="97" t="str">
        <f t="shared" si="127"/>
        <v>A</v>
      </c>
      <c r="GF82" s="97" t="str">
        <f t="shared" si="127"/>
        <v>A</v>
      </c>
      <c r="GG82" s="97" t="str">
        <f t="shared" si="127"/>
        <v>A</v>
      </c>
      <c r="GH82" s="97" t="str">
        <f t="shared" si="127"/>
        <v>B</v>
      </c>
      <c r="GI82" s="97" t="str">
        <f t="shared" si="127"/>
        <v>A</v>
      </c>
      <c r="GJ82" s="97" t="str">
        <f t="shared" si="127"/>
        <v>B</v>
      </c>
      <c r="GK82" s="97" t="str">
        <f t="shared" si="127"/>
        <v>A</v>
      </c>
      <c r="GL82" s="97" t="str">
        <f t="shared" si="127"/>
        <v>B</v>
      </c>
      <c r="GM82" s="97" t="str">
        <f t="shared" si="127"/>
        <v>B</v>
      </c>
      <c r="GN82" s="97" t="str">
        <f t="shared" si="127"/>
        <v>B</v>
      </c>
      <c r="GO82" s="97" t="str">
        <f t="shared" si="127"/>
        <v>B</v>
      </c>
      <c r="GP82" s="97" t="str">
        <f t="shared" si="127"/>
        <v>A</v>
      </c>
      <c r="GQ82" s="97" t="str">
        <f t="shared" si="127"/>
        <v>A</v>
      </c>
      <c r="GR82" s="97" t="str">
        <f t="shared" si="127"/>
        <v>A</v>
      </c>
      <c r="GS82" s="97" t="str">
        <f t="shared" si="127"/>
        <v>A</v>
      </c>
      <c r="GT82" s="97" t="str">
        <f t="shared" si="127"/>
        <v>A</v>
      </c>
      <c r="GU82" s="97" t="str">
        <f t="shared" si="127"/>
        <v>A</v>
      </c>
      <c r="GV82" s="97" t="str">
        <f t="shared" si="127"/>
        <v>A</v>
      </c>
      <c r="GW82" s="97" t="str">
        <f t="shared" si="127"/>
        <v>A</v>
      </c>
      <c r="GX82" s="97" t="str">
        <f t="shared" si="127"/>
        <v>A</v>
      </c>
      <c r="GY82" s="98"/>
      <c r="GZ82" s="97">
        <f t="shared" si="3"/>
        <v>48</v>
      </c>
      <c r="HA82" s="97">
        <f t="shared" si="4"/>
        <v>52</v>
      </c>
      <c r="HB82" s="90">
        <f t="shared" si="5"/>
        <v>100</v>
      </c>
      <c r="HC82" s="99"/>
      <c r="HD82" s="97">
        <f t="shared" si="6"/>
        <v>9</v>
      </c>
      <c r="HE82" s="97">
        <f t="shared" si="7"/>
        <v>6</v>
      </c>
      <c r="HF82" s="90">
        <f t="shared" si="8"/>
        <v>15</v>
      </c>
      <c r="HG82" s="99"/>
      <c r="HH82" s="97">
        <f t="shared" si="9"/>
        <v>9</v>
      </c>
      <c r="HI82" s="97">
        <f t="shared" si="10"/>
        <v>8</v>
      </c>
      <c r="HJ82" s="90">
        <f t="shared" si="11"/>
        <v>17</v>
      </c>
      <c r="HK82" s="99"/>
      <c r="HL82" s="97">
        <f t="shared" si="12"/>
        <v>5</v>
      </c>
      <c r="HM82" s="97">
        <f t="shared" si="13"/>
        <v>5</v>
      </c>
      <c r="HN82" s="90">
        <f t="shared" si="14"/>
        <v>10</v>
      </c>
      <c r="HO82" s="99"/>
      <c r="HP82" s="97">
        <f t="shared" si="15"/>
        <v>6</v>
      </c>
      <c r="HQ82" s="97">
        <f t="shared" si="16"/>
        <v>7</v>
      </c>
      <c r="HR82" s="90">
        <f t="shared" si="17"/>
        <v>13</v>
      </c>
      <c r="HS82" s="99"/>
      <c r="HT82" s="97">
        <f t="shared" si="18"/>
        <v>6</v>
      </c>
      <c r="HU82" s="97">
        <f t="shared" si="19"/>
        <v>6</v>
      </c>
      <c r="HV82" s="90">
        <f t="shared" si="20"/>
        <v>12</v>
      </c>
      <c r="HW82" s="99"/>
      <c r="HX82" s="97">
        <f t="shared" si="21"/>
        <v>2</v>
      </c>
      <c r="HY82" s="97">
        <f t="shared" si="22"/>
        <v>4</v>
      </c>
      <c r="HZ82" s="90">
        <f t="shared" si="23"/>
        <v>6</v>
      </c>
      <c r="IA82" s="99"/>
      <c r="IB82" s="97">
        <f t="shared" si="24"/>
        <v>6</v>
      </c>
      <c r="IC82" s="97">
        <f t="shared" si="25"/>
        <v>5</v>
      </c>
      <c r="ID82" s="90">
        <f t="shared" si="26"/>
        <v>11</v>
      </c>
      <c r="IE82" s="99"/>
      <c r="IF82" s="97">
        <f t="shared" si="27"/>
        <v>1</v>
      </c>
      <c r="IG82" s="97">
        <f t="shared" si="28"/>
        <v>4</v>
      </c>
      <c r="IH82" s="90">
        <f t="shared" si="29"/>
        <v>5</v>
      </c>
      <c r="II82" s="99"/>
      <c r="IJ82" s="97">
        <f t="shared" si="30"/>
        <v>3</v>
      </c>
      <c r="IK82" s="97">
        <f t="shared" si="31"/>
        <v>5</v>
      </c>
      <c r="IL82" s="90">
        <f t="shared" si="32"/>
        <v>8</v>
      </c>
      <c r="IM82" s="99"/>
      <c r="IN82" s="97">
        <f t="shared" si="33"/>
        <v>0</v>
      </c>
      <c r="IO82" s="97">
        <f t="shared" si="34"/>
        <v>1</v>
      </c>
      <c r="IP82" s="90">
        <f t="shared" si="35"/>
        <v>1</v>
      </c>
      <c r="IQ82" s="99"/>
      <c r="IR82" s="99"/>
      <c r="IS82" s="100">
        <f t="shared" si="36"/>
        <v>15</v>
      </c>
      <c r="IT82" s="100">
        <f t="shared" si="37"/>
        <v>17</v>
      </c>
      <c r="IU82" s="100">
        <f t="shared" si="38"/>
        <v>10</v>
      </c>
      <c r="IV82" s="100">
        <f t="shared" si="39"/>
        <v>13</v>
      </c>
      <c r="IW82" s="100">
        <f t="shared" si="40"/>
        <v>12</v>
      </c>
      <c r="IX82" s="100">
        <f t="shared" si="41"/>
        <v>6</v>
      </c>
      <c r="IY82" s="100">
        <f t="shared" si="42"/>
        <v>11</v>
      </c>
      <c r="IZ82" s="100">
        <f t="shared" si="43"/>
        <v>5</v>
      </c>
      <c r="JA82" s="100">
        <f t="shared" si="44"/>
        <v>8</v>
      </c>
      <c r="JB82" s="101">
        <f t="shared" si="45"/>
        <v>1</v>
      </c>
      <c r="JC82" s="102">
        <f t="shared" si="46"/>
        <v>98</v>
      </c>
      <c r="JD82" s="67">
        <f t="shared" si="50"/>
        <v>0</v>
      </c>
      <c r="JE82" s="67">
        <f t="shared" si="47"/>
        <v>1</v>
      </c>
      <c r="JF82" s="67">
        <f t="shared" si="48"/>
        <v>1</v>
      </c>
    </row>
    <row r="83">
      <c r="A83" s="103">
        <f>IFERROR(__xludf.DUMMYFUNCTION("""COMPUTED_VALUE"""),45941.39565236111)</f>
        <v>45941.39565</v>
      </c>
      <c r="B83" s="95" t="str">
        <f>IFERROR(__xludf.DUMMYFUNCTION("""COMPUTED_VALUE"""),"Ahmad Al Ghifary ")</f>
        <v>Ahmad Al Ghifary </v>
      </c>
      <c r="C83" s="96" t="str">
        <f>IFERROR(__xludf.DUMMYFUNCTION("""COMPUTED_VALUE"""),"B250022")</f>
        <v>B250022</v>
      </c>
      <c r="D83" s="96" t="str">
        <f>IFERROR(__xludf.DUMMYFUNCTION("""COMPUTED_VALUE"""),"SMA")</f>
        <v>SMA</v>
      </c>
      <c r="E83" s="96" t="str">
        <f>IFERROR(__xludf.DUMMYFUNCTION("""COMPUTED_VALUE"""),"Ya")</f>
        <v>Ya</v>
      </c>
      <c r="F83" s="95" t="str">
        <f>IFERROR(__xludf.DUMMYFUNCTION("""COMPUTED_VALUE"""),"B Saya ingin melakukan apa saja sebaik mungkin.")</f>
        <v>B Saya ingin melakukan apa saja sebaik mungkin.</v>
      </c>
      <c r="G83" s="95" t="str">
        <f>IFERROR(__xludf.DUMMYFUNCTION("""COMPUTED_VALUE"""),"B Saya ingin menyelesaikan tugas yang segera dikumpulkan.")</f>
        <v>B Saya ingin menyelesaikan tugas yang segera dikumpulkan.</v>
      </c>
      <c r="H83" s="95" t="str">
        <f>IFERROR(__xludf.DUMMYFUNCTION("""COMPUTED_VALUE"""),"B Saya ingin menjadi orang yang diakui dalam suatu pekerjaan atau bidang khusus.")</f>
        <v>B Saya ingin menjadi orang yang diakui dalam suatu pekerjaan atau bidang khusus.</v>
      </c>
      <c r="I83" s="95" t="str">
        <f>IFERROR(__xludf.DUMMYFUNCTION("""COMPUTED_VALUE"""),"B Saya ingin bisa melakukan dengan baik meskipun tugas yang sulit.")</f>
        <v>B Saya ingin bisa melakukan dengan baik meskipun tugas yang sulit.</v>
      </c>
      <c r="J83" s="95" t="str">
        <f>IFERROR(__xludf.DUMMYFUNCTION("""COMPUTED_VALUE"""),"A Saya suka membantu teman-teman saya apabila mereka mengalami kesulitan.")</f>
        <v>A Saya suka membantu teman-teman saya apabila mereka mengalami kesulitan.</v>
      </c>
      <c r="K83" s="95" t="str">
        <f>IFERROR(__xludf.DUMMYFUNCTION("""COMPUTED_VALUE"""),"B Saya ingin mengatakan telah melakukan dengan baik sesuatu tugas yang sulit.")</f>
        <v>B Saya ingin mengatakan telah melakukan dengan baik sesuatu tugas yang sulit.</v>
      </c>
      <c r="L83" s="95" t="str">
        <f>IFERROR(__xludf.DUMMYFUNCTION("""COMPUTED_VALUE"""),"B Saya ingin mengatakan telah melakukan dengan baik sesuatu tugas yang sulit")</f>
        <v>B Saya ingin mengatakan telah melakukan dengan baik sesuatu tugas yang sulit</v>
      </c>
      <c r="M83" s="95" t="str">
        <f>IFERROR(__xludf.DUMMYFUNCTION("""COMPUTED_VALUE"""),"B Saya ingin mengerjakan segala tugas lebih baik daripada orang lain.")</f>
        <v>B Saya ingin mengerjakan segala tugas lebih baik daripada orang lain.</v>
      </c>
      <c r="N83" s="95" t="str">
        <f>IFERROR(__xludf.DUMMYFUNCTION("""COMPUTED_VALUE"""),"B Saya suka memecahkan persoalan yang sukar bagi orang lain.")</f>
        <v>B Saya suka memecahkan persoalan yang sukar bagi orang lain.</v>
      </c>
      <c r="O83" s="95" t="str">
        <f>IFERROR(__xludf.DUMMYFUNCTION("""COMPUTED_VALUE"""),"B Saya suka melakukan tugas sebaik mungkin.")</f>
        <v>B Saya suka melakukan tugas sebaik mungkin.</v>
      </c>
      <c r="P83" s="95" t="str">
        <f>IFERROR(__xludf.DUMMYFUNCTION("""COMPUTED_VALUE"""),"B Saya ingin setiap belajar itu teratur dan direncanakan.")</f>
        <v>B Saya ingin setiap belajar itu teratur dan direncanakan.</v>
      </c>
      <c r="Q83" s="95" t="str">
        <f>IFERROR(__xludf.DUMMYFUNCTION("""COMPUTED_VALUE"""),"B Saya merencanakan keperluan yang dibutuhkan sebelum bepergian.")</f>
        <v>B Saya merencanakan keperluan yang dibutuhkan sebelum bepergian.</v>
      </c>
      <c r="R83" s="95" t="str">
        <f>IFERROR(__xludf.DUMMYFUNCTION("""COMPUTED_VALUE"""),"B Saya suka barang-barang saya tersusun rapi dan teratur.")</f>
        <v>B Saya suka barang-barang saya tersusun rapi dan teratur.</v>
      </c>
      <c r="S83" s="95" t="str">
        <f>IFERROR(__xludf.DUMMYFUNCTION("""COMPUTED_VALUE"""),"A Saya ingin agar teman-teman pengertian bila saya mengalami kesukaran.")</f>
        <v>A Saya ingin agar teman-teman pengertian bila saya mengalami kesukaran.</v>
      </c>
      <c r="T83" s="95" t="str">
        <f>IFERROR(__xludf.DUMMYFUNCTION("""COMPUTED_VALUE"""),"B Saya ingin agar hidup saya teratur sesuai cita-cita saya.")</f>
        <v>B Saya ingin agar hidup saya teratur sesuai cita-cita saya.</v>
      </c>
      <c r="U83" s="95" t="str">
        <f>IFERROR(__xludf.DUMMYFUNCTION("""COMPUTED_VALUE"""),"A Saya suka memberikan bantuan kepada teman-teman saya.")</f>
        <v>A Saya suka memberikan bantuan kepada teman-teman saya.</v>
      </c>
      <c r="V83" s="95" t="str">
        <f>IFERROR(__xludf.DUMMYFUNCTION("""COMPUTED_VALUE"""),"B Saya suka belajar saya teratur dan ada waktu-waktu tertentu untuk belajar.")</f>
        <v>B Saya suka belajar saya teratur dan ada waktu-waktu tertentu untuk belajar.</v>
      </c>
      <c r="W83" s="95" t="str">
        <f>IFERROR(__xludf.DUMMYFUNCTION("""COMPUTED_VALUE"""),"B Saya ingin kegiatan itu teratur dan direncanakan.")</f>
        <v>B Saya ingin kegiatan itu teratur dan direncanakan.</v>
      </c>
      <c r="X83" s="95" t="str">
        <f>IFERROR(__xludf.DUMMYFUNCTION("""COMPUTED_VALUE"""),"A Saya suka merencanakan dan mengatur setiap apa yang harus saya lakukan.")</f>
        <v>A Saya suka merencanakan dan mengatur setiap apa yang harus saya lakukan.</v>
      </c>
      <c r="Y83" s="95" t="str">
        <f>IFERROR(__xludf.DUMMYFUNCTION("""COMPUTED_VALUE"""),"A Saya suka menyelesaikan tugas-tugas yang membutuhkan ketrampilan dan usaha.")</f>
        <v>A Saya suka menyelesaikan tugas-tugas yang membutuhkan ketrampilan dan usaha.</v>
      </c>
      <c r="Z83" s="95" t="str">
        <f>IFERROR(__xludf.DUMMYFUNCTION("""COMPUTED_VALUE"""),"A Saya ingin berhasil dengan belajar yang saya lakukan.")</f>
        <v>A Saya ingin berhasil dengan belajar yang saya lakukan.</v>
      </c>
      <c r="AA83" s="95" t="str">
        <f>IFERROR(__xludf.DUMMYFUNCTION("""COMPUTED_VALUE"""),"B Saya tidak suka pada orang yang berbuat seenaknya sendiri.")</f>
        <v>B Saya tidak suka pada orang yang berbuat seenaknya sendiri.</v>
      </c>
      <c r="AB83" s="95" t="str">
        <f>IFERROR(__xludf.DUMMYFUNCTION("""COMPUTED_VALUE"""),"B Saya ingin menyelesaikan pekerjaan satu persatu sebelum memulai yang lain.")</f>
        <v>B Saya ingin menyelesaikan pekerjaan satu persatu sebelum memulai yang lain.</v>
      </c>
      <c r="AC83" s="95" t="str">
        <f>IFERROR(__xludf.DUMMYFUNCTION("""COMPUTED_VALUE"""),"A Saya suka menyelesaikan setiap tugas meskipun membutuhkan waktu lama.")</f>
        <v>A Saya suka menyelesaikan setiap tugas meskipun membutuhkan waktu lama.</v>
      </c>
      <c r="AD83" s="95" t="str">
        <f>IFERROR(__xludf.DUMMYFUNCTION("""COMPUTED_VALUE"""),"B Saya suka menyatakan pendapat saya tentang berbagai hal.")</f>
        <v>B Saya suka menyatakan pendapat saya tentang berbagai hal.</v>
      </c>
      <c r="AE83" s="95" t="str">
        <f>IFERROR(__xludf.DUMMYFUNCTION("""COMPUTED_VALUE"""),"A Saya ingin dianggap sebagai pemimpin oleh teman di kelompok.")</f>
        <v>A Saya ingin dianggap sebagai pemimpin oleh teman di kelompok.</v>
      </c>
      <c r="AF83" s="95" t="str">
        <f>IFERROR(__xludf.DUMMYFUNCTION("""COMPUTED_VALUE"""),"A Saya ingin agar teman-teman mengerti bila saya mengalami kesukaran.")</f>
        <v>A Saya ingin agar teman-teman mengerti bila saya mengalami kesukaran.</v>
      </c>
      <c r="AG83" s="95" t="str">
        <f>IFERROR(__xludf.DUMMYFUNCTION("""COMPUTED_VALUE"""),"B Saya ingin berhasil dengan tugas yang saya lakukan.")</f>
        <v>B Saya ingin berhasil dengan tugas yang saya lakukan.</v>
      </c>
      <c r="AH83" s="95" t="str">
        <f>IFERROR(__xludf.DUMMYFUNCTION("""COMPUTED_VALUE"""),"B Saya ingin merasa bebas untuk melakukan apa yang saya kehendaki.")</f>
        <v>B Saya ingin merasa bebas untuk melakukan apa yang saya kehendaki.</v>
      </c>
      <c r="AI83" s="95" t="str">
        <f>IFERROR(__xludf.DUMMYFUNCTION("""COMPUTED_VALUE"""),"B Saya suka melakukan kegiatan sesuai kondisi yang saya inginkan.")</f>
        <v>B Saya suka melakukan kegiatan sesuai kondisi yang saya inginkan.</v>
      </c>
      <c r="AJ83" s="95" t="str">
        <f>IFERROR(__xludf.DUMMYFUNCTION("""COMPUTED_VALUE"""),"B Saya suka bertahan menghadapi satu masalah meskipun belum tentu berhasil.")</f>
        <v>B Saya suka bertahan menghadapi satu masalah meskipun belum tentu berhasil.</v>
      </c>
      <c r="AK83" s="95" t="str">
        <f>IFERROR(__xludf.DUMMYFUNCTION("""COMPUTED_VALUE"""),"B Bila saya harus melakukan suatu tugas, saya ingin mengerjakan sampai selesai.")</f>
        <v>B Bila saya harus melakukan suatu tugas, saya ingin mengerjakan sampai selesai.</v>
      </c>
      <c r="AL83" s="95" t="str">
        <f>IFERROR(__xludf.DUMMYFUNCTION("""COMPUTED_VALUE"""),"B Saya ingin menghindarkan gangguan bila saya sedang belajar.")</f>
        <v>B Saya ingin menghindarkan gangguan bila saya sedang belajar.</v>
      </c>
      <c r="AM83" s="95" t="str">
        <f>IFERROR(__xludf.DUMMYFUNCTION("""COMPUTED_VALUE"""),"B Saya suka belajar sampai malam untuk menyelesaikan suatu tugas.")</f>
        <v>B Saya suka belajar sampai malam untuk menyelesaikan suatu tugas.</v>
      </c>
      <c r="AN83" s="95" t="str">
        <f>IFERROR(__xludf.DUMMYFUNCTION("""COMPUTED_VALUE"""),"A Saya tidak suka pada orang yang semena-mena.")</f>
        <v>A Saya tidak suka pada orang yang semena-mena.</v>
      </c>
      <c r="AO83" s="95" t="str">
        <f>IFERROR(__xludf.DUMMYFUNCTION("""COMPUTED_VALUE"""),"B Saya suka menyelesaikan setiap tugas meskipun membutuhkan waktu lama.")</f>
        <v>B Saya suka menyelesaikan setiap tugas meskipun membutuhkan waktu lama.</v>
      </c>
      <c r="AP83" s="95" t="str">
        <f>IFERROR(__xludf.DUMMYFUNCTION("""COMPUTED_VALUE"""),"B Saya suka bertahan menghadapi satu masalah meskipun belum tentu berhasil.")</f>
        <v>B Saya suka bertahan menghadapi satu masalah meskipun belum tentu berhasil.</v>
      </c>
      <c r="AQ83" s="95" t="str">
        <f>IFERROR(__xludf.DUMMYFUNCTION("""COMPUTED_VALUE"""),"B Bila saya harus melakukan suatu tugas, saya ingin mengerjakan sampai selesai.")</f>
        <v>B Bila saya harus melakukan suatu tugas, saya ingin mengerjakan sampai selesai.</v>
      </c>
      <c r="AR83" s="95" t="str">
        <f>IFERROR(__xludf.DUMMYFUNCTION("""COMPUTED_VALUE"""),"B Saya suka belajar keras pada tiap pelajaran yang saya hadapi.")</f>
        <v>B Saya suka belajar keras pada tiap pelajaran yang saya hadapi.</v>
      </c>
      <c r="AS83" s="95" t="str">
        <f>IFERROR(__xludf.DUMMYFUNCTION("""COMPUTED_VALUE"""),"B Saya suka belajar sampai malam untuk menyelesaikan suatu tugas.")</f>
        <v>B Saya suka belajar sampai malam untuk menyelesaikan suatu tugas.</v>
      </c>
      <c r="AT83" s="95" t="str">
        <f>IFERROR(__xludf.DUMMYFUNCTION("""COMPUTED_VALUE"""),"B Saya suka membantu orang lain yang menurut saya perlu dikasihani.")</f>
        <v>B Saya suka membantu orang lain yang menurut saya perlu dikasihani.</v>
      </c>
      <c r="AU83" s="95" t="str">
        <f>IFERROR(__xludf.DUMMYFUNCTION("""COMPUTED_VALUE"""),"B Saya suka bermurah hati terhadap teman-teman saya.")</f>
        <v>B Saya suka bermurah hati terhadap teman-teman saya.</v>
      </c>
      <c r="AV83" s="95" t="str">
        <f>IFERROR(__xludf.DUMMYFUNCTION("""COMPUTED_VALUE"""),"B Saya suka menolong teman-teman saya.")</f>
        <v>B Saya suka menolong teman-teman saya.</v>
      </c>
      <c r="AW83" s="95" t="str">
        <f>IFERROR(__xludf.DUMMYFUNCTION("""COMPUTED_VALUE"""),"B Saya ingin teman-teman saya percaya bahwa saya bisa menolong mereka.")</f>
        <v>B Saya ingin teman-teman saya percaya bahwa saya bisa menolong mereka.</v>
      </c>
      <c r="AX83" s="95" t="str">
        <f>IFERROR(__xludf.DUMMYFUNCTION("""COMPUTED_VALUE"""),"A Saya suka menolong teman-teman saya apabila mereka dalam kesulitan.")</f>
        <v>A Saya suka menolong teman-teman saya apabila mereka dalam kesulitan.</v>
      </c>
      <c r="AY83" s="95" t="str">
        <f>IFERROR(__xludf.DUMMYFUNCTION("""COMPUTED_VALUE"""),"B Saya suka menolong teman-teman saya apabila mereka dalam kesulitan.")</f>
        <v>B Saya suka menolong teman-teman saya apabila mereka dalam kesulitan.</v>
      </c>
      <c r="AZ83" s="95" t="str">
        <f>IFERROR(__xludf.DUMMYFUNCTION("""COMPUTED_VALUE"""),"B Saya suka menunjukkan simpati saya kepada teman-teman saya.")</f>
        <v>B Saya suka menunjukkan simpati saya kepada teman-teman saya.</v>
      </c>
      <c r="BA83" s="95" t="str">
        <f>IFERROR(__xludf.DUMMYFUNCTION("""COMPUTED_VALUE"""),"B Saya suka memperlakukan orang lain dengan baik dan ramah.")</f>
        <v>B Saya suka memperlakukan orang lain dengan baik dan ramah.</v>
      </c>
      <c r="BB83" s="95" t="str">
        <f>IFERROR(__xludf.DUMMYFUNCTION("""COMPUTED_VALUE"""),"B Saya suka bermurah hati terhadap teman-teman saya.")</f>
        <v>B Saya suka bermurah hati terhadap teman-teman saya.</v>
      </c>
      <c r="BC83" s="95" t="str">
        <f>IFERROR(__xludf.DUMMYFUNCTION("""COMPUTED_VALUE"""),"B Saya suka membantu orang lain yang menurut saya perlu dikasihani.")</f>
        <v>B Saya suka membantu orang lain yang menurut saya perlu dikasihani.</v>
      </c>
      <c r="BD83" s="95" t="str">
        <f>IFERROR(__xludf.DUMMYFUNCTION("""COMPUTED_VALUE"""),"B Saya suka bersikukuh dengan pendirian saya.")</f>
        <v>B Saya suka bersikukuh dengan pendirian saya.</v>
      </c>
      <c r="BE83" s="95" t="str">
        <f>IFERROR(__xludf.DUMMYFUNCTION("""COMPUTED_VALUE"""),"B Saya ingin orang lain melakukan apa yang saya kehendaki.")</f>
        <v>B Saya ingin orang lain melakukan apa yang saya kehendaki.</v>
      </c>
      <c r="BF83" s="95" t="str">
        <f>IFERROR(__xludf.DUMMYFUNCTION("""COMPUTED_VALUE"""),"B Bila saya dalam kelompok, saya ingin menentukan apa yang akan kita lakukan.")</f>
        <v>B Bila saya dalam kelompok, saya ingin menentukan apa yang akan kita lakukan.</v>
      </c>
      <c r="BG83" s="95" t="str">
        <f>IFERROR(__xludf.DUMMYFUNCTION("""COMPUTED_VALUE"""),"A Saya ingin teman-teman banyak menunjukkan rasa sayang mereka terhadap saya.")</f>
        <v>A Saya ingin teman-teman banyak menunjukkan rasa sayang mereka terhadap saya.</v>
      </c>
      <c r="BH83" s="95" t="str">
        <f>IFERROR(__xludf.DUMMYFUNCTION("""COMPUTED_VALUE"""),"A Saya suka menghindar dari situasi yang tidak saya harapkan.")</f>
        <v>A Saya suka menghindar dari situasi yang tidak saya harapkan.</v>
      </c>
      <c r="BI83" s="95" t="str">
        <f>IFERROR(__xludf.DUMMYFUNCTION("""COMPUTED_VALUE"""),"A Saya suka bermurah hati terhadap teman-teman saya.")</f>
        <v>A Saya suka bermurah hati terhadap teman-teman saya.</v>
      </c>
      <c r="BJ83" s="95" t="str">
        <f>IFERROR(__xludf.DUMMYFUNCTION("""COMPUTED_VALUE"""),"A Saya ingin mengerjakan tugas sampai selesai.")</f>
        <v>A Saya ingin mengerjakan tugas sampai selesai.</v>
      </c>
      <c r="BK83" s="95" t="str">
        <f>IFERROR(__xludf.DUMMYFUNCTION("""COMPUTED_VALUE"""),"A Saya ingin menyelesaikan pekerjaan satu persatu sebelum memulai yang lain.")</f>
        <v>A Saya ingin menyelesaikan pekerjaan satu persatu sebelum memulai yang lain.</v>
      </c>
      <c r="BL83" s="95" t="str">
        <f>IFERROR(__xludf.DUMMYFUNCTION("""COMPUTED_VALUE"""),"A Saya suka belajar saya teratur dan ada waktu-waktu tertentu untuk belajar.")</f>
        <v>A Saya suka belajar saya teratur dan ada waktu-waktu tertentu untuk belajar.</v>
      </c>
      <c r="BM83" s="95" t="str">
        <f>IFERROR(__xludf.DUMMYFUNCTION("""COMPUTED_VALUE"""),"A Saya suka melakukan pekerjaan sebaik mungkin.")</f>
        <v>A Saya suka melakukan pekerjaan sebaik mungkin.</v>
      </c>
      <c r="BN83" s="95" t="str">
        <f>IFERROR(__xludf.DUMMYFUNCTION("""COMPUTED_VALUE"""),"A Saya suka mengerjakan teka-teki atau memecahkan persoalan sampai selesai.")</f>
        <v>A Saya suka mengerjakan teka-teki atau memecahkan persoalan sampai selesai.</v>
      </c>
      <c r="BO83" s="95" t="str">
        <f>IFERROR(__xludf.DUMMYFUNCTION("""COMPUTED_VALUE"""),"B Saya ingin diperlakukan dengan baik oleh teman-teman saya.")</f>
        <v>B Saya ingin diperlakukan dengan baik oleh teman-teman saya.</v>
      </c>
      <c r="BP83" s="95" t="str">
        <f>IFERROR(__xludf.DUMMYFUNCTION("""COMPUTED_VALUE"""),"A Saya ingin menyelesaikan sesuatu yang sangat penting artinya.")</f>
        <v>A Saya ingin menyelesaikan sesuatu yang sangat penting artinya.</v>
      </c>
      <c r="BQ83" s="95" t="str">
        <f>IFERROR(__xludf.DUMMYFUNCTION("""COMPUTED_VALUE"""),"A Saya ingin mengerjakannya tugas sampai selesai.")</f>
        <v>A Saya ingin mengerjakannya tugas sampai selesai.</v>
      </c>
      <c r="BR83" s="95" t="str">
        <f>IFERROR(__xludf.DUMMYFUNCTION("""COMPUTED_VALUE"""),"A Saya suka memaafkan teman-teman saya yang menyakiti hati saya.")</f>
        <v>A Saya suka memaafkan teman-teman saya yang menyakiti hati saya.</v>
      </c>
      <c r="BS83" s="95" t="str">
        <f>IFERROR(__xludf.DUMMYFUNCTION("""COMPUTED_VALUE"""),"B Saya ingin teman-teman saya membantu saya bila saya mengalami kesulitan")</f>
        <v>B Saya ingin teman-teman saya membantu saya bila saya mengalami kesulitan</v>
      </c>
      <c r="BT83" s="95" t="str">
        <f>IFERROR(__xludf.DUMMYFUNCTION("""COMPUTED_VALUE"""),"B Saya ingin teman-teman banyak menunjukkan rasa sayang mereka terhadap saya.")</f>
        <v>B Saya ingin teman-teman banyak menunjukkan rasa sayang mereka terhadap saya.</v>
      </c>
      <c r="BU83" s="95" t="str">
        <f>IFERROR(__xludf.DUMMYFUNCTION("""COMPUTED_VALUE"""),"B Saya ingin agar teman-teman saya merasa kasihan pada saya apabila saya sakit.")</f>
        <v>B Saya ingin agar teman-teman saya merasa kasihan pada saya apabila saya sakit.</v>
      </c>
      <c r="BV83" s="95" t="str">
        <f>IFERROR(__xludf.DUMMYFUNCTION("""COMPUTED_VALUE"""),"B Saya ingin teman-teman dengan gembira memberikan pertolongan kepada saya.")</f>
        <v>B Saya ingin teman-teman dengan gembira memberikan pertolongan kepada saya.</v>
      </c>
      <c r="BW83" s="95" t="str">
        <f>IFERROR(__xludf.DUMMYFUNCTION("""COMPUTED_VALUE"""),"B Saya ingin diperlakukan dengan baik oleh teman-teman saya.")</f>
        <v>B Saya ingin diperlakukan dengan baik oleh teman-teman saya.</v>
      </c>
      <c r="BX83" s="95" t="str">
        <f>IFERROR(__xludf.DUMMYFUNCTION("""COMPUTED_VALUE"""),"B Saya kadang-kadang suka melakukan hal-hal yang dapat dipuji oleh orang lain.")</f>
        <v>B Saya kadang-kadang suka melakukan hal-hal yang dapat dipuji oleh orang lain.</v>
      </c>
      <c r="BY83" s="95" t="str">
        <f>IFERROR(__xludf.DUMMYFUNCTION("""COMPUTED_VALUE"""),"B Saya ingin orang lain memperhatikan dan berkomentar tentang penampilan saya.")</f>
        <v>B Saya ingin orang lain memperhatikan dan berkomentar tentang penampilan saya.</v>
      </c>
      <c r="BZ83" s="95" t="str">
        <f>IFERROR(__xludf.DUMMYFUNCTION("""COMPUTED_VALUE"""),"A Saya suka berkata yang artinya sulit dipahami oleh orang lain.")</f>
        <v>A Saya suka berkata yang artinya sulit dipahami oleh orang lain.</v>
      </c>
      <c r="CA83" s="95" t="str">
        <f>IFERROR(__xludf.DUMMYFUNCTION("""COMPUTED_VALUE"""),"B Saya suka mengajukan pertanyaan agar orang lain memperhatikan saya.")</f>
        <v>B Saya suka mengajukan pertanyaan agar orang lain memperhatikan saya.</v>
      </c>
      <c r="CB83" s="95" t="str">
        <f>IFERROR(__xludf.DUMMYFUNCTION("""COMPUTED_VALUE"""),"B Saya suka berbicara tentang hal-hal yang telah saya capai.")</f>
        <v>B Saya suka berbicara tentang hal-hal yang telah saya capai.</v>
      </c>
      <c r="CC83" s="95" t="str">
        <f>IFERROR(__xludf.DUMMYFUNCTION("""COMPUTED_VALUE"""),"A Apabila saya berkumpul dalam kelompok, saya ingin dihargai teman-teman.")</f>
        <v>A Apabila saya berkumpul dalam kelompok, saya ingin dihargai teman-teman.</v>
      </c>
      <c r="CD83" s="95" t="str">
        <f>IFERROR(__xludf.DUMMYFUNCTION("""COMPUTED_VALUE"""),"A Saya suka menyelesaikan setiap tugas meskipun membutuhkan waktu lama.")</f>
        <v>A Saya suka menyelesaikan setiap tugas meskipun membutuhkan waktu lama.</v>
      </c>
      <c r="CE83" s="95" t="str">
        <f>IFERROR(__xludf.DUMMYFUNCTION("""COMPUTED_VALUE"""),"B Saya kadang-kadang suka melakukan hal-hal yang dapat dipuji oleh orang lain.")</f>
        <v>B Saya kadang-kadang suka melakukan hal-hal yang dapat dipuji oleh orang lain.</v>
      </c>
      <c r="CF83" s="95" t="str">
        <f>IFERROR(__xludf.DUMMYFUNCTION("""COMPUTED_VALUE"""),"A Saya ingin agar hidup saya teratur sesuai cita-cita saya.")</f>
        <v>A Saya ingin agar hidup saya teratur sesuai cita-cita saya.</v>
      </c>
      <c r="CG83" s="95" t="str">
        <f>IFERROR(__xludf.DUMMYFUNCTION("""COMPUTED_VALUE"""),"A Saya ingin berhasil dalam apa yang saya lakukan.")</f>
        <v>A Saya ingin berhasil dalam apa yang saya lakukan.</v>
      </c>
      <c r="CH83" s="95" t="str">
        <f>IFERROR(__xludf.DUMMYFUNCTION("""COMPUTED_VALUE"""),"A Saya ingin bisa melakukan dengan baik sesuatu pekerjaan sulit.")</f>
        <v>A Saya ingin bisa melakukan dengan baik sesuatu pekerjaan sulit.</v>
      </c>
      <c r="CI83" s="95" t="str">
        <f>IFERROR(__xludf.DUMMYFUNCTION("""COMPUTED_VALUE"""),"A Saya suka belajar saya teratur dan ada waktu-waktu tertentu untuk belajar.")</f>
        <v>A Saya suka belajar saya teratur dan ada waktu-waktu tertentu untuk belajar.</v>
      </c>
      <c r="CJ83" s="95" t="str">
        <f>IFERROR(__xludf.DUMMYFUNCTION("""COMPUTED_VALUE"""),"A Saya ingin tidak tergantung dari orang lain terhadap apa yang akan saya lakukan.")</f>
        <v>A Saya ingin tidak tergantung dari orang lain terhadap apa yang akan saya lakukan.</v>
      </c>
      <c r="CK83" s="95" t="str">
        <f>IFERROR(__xludf.DUMMYFUNCTION("""COMPUTED_VALUE"""),"B Saya senang ikut beraktivitas bersama teman sebaya saya.")</f>
        <v>B Saya senang ikut beraktivitas bersama teman sebaya saya.</v>
      </c>
      <c r="CL83" s="95" t="str">
        <f>IFERROR(__xludf.DUMMYFUNCTION("""COMPUTED_VALUE"""),"A Saya suka menolong teman-teman saya, apabila mereka dalam kesulitan.")</f>
        <v>A Saya suka menolong teman-teman saya, apabila mereka dalam kesulitan.</v>
      </c>
      <c r="CM83" s="95" t="str">
        <f>IFERROR(__xludf.DUMMYFUNCTION("""COMPUTED_VALUE"""),"B Saya merasa kagum pada seseorang.")</f>
        <v>B Saya merasa kagum pada seseorang.</v>
      </c>
      <c r="CN83" s="95" t="str">
        <f>IFERROR(__xludf.DUMMYFUNCTION("""COMPUTED_VALUE"""),"A Saya ingin diperlakukan dengan baik oleh teman-teman saya.")</f>
        <v>A Saya ingin diperlakukan dengan baik oleh teman-teman saya.</v>
      </c>
      <c r="CO83" s="95" t="str">
        <f>IFERROR(__xludf.DUMMYFUNCTION("""COMPUTED_VALUE"""),"B Saya suka memuji orang yang saya kagumi.")</f>
        <v>B Saya suka memuji orang yang saya kagumi.</v>
      </c>
      <c r="CP83" s="95" t="str">
        <f>IFERROR(__xludf.DUMMYFUNCTION("""COMPUTED_VALUE"""),"A Saya suka melamun atau membayangkan sesuatu sendirian.")</f>
        <v>A Saya suka melamun atau membayangkan sesuatu sendirian.</v>
      </c>
      <c r="CQ83" s="95" t="str">
        <f>IFERROR(__xludf.DUMMYFUNCTION("""COMPUTED_VALUE"""),"B Saya merasa kagum pada seseorang.")</f>
        <v>B Saya merasa kagum pada seseorang.</v>
      </c>
      <c r="CR83" s="95" t="str">
        <f>IFERROR(__xludf.DUMMYFUNCTION("""COMPUTED_VALUE"""),"B Saya rasanya ingin mengecam seseorang bila orang itu menjengkelkan.")</f>
        <v>B Saya rasanya ingin mengecam seseorang bila orang itu menjengkelkan.</v>
      </c>
      <c r="CS83" s="95" t="str">
        <f>IFERROR(__xludf.DUMMYFUNCTION("""COMPUTED_VALUE"""),"A Saya ingin terlihat menarik di depan teman-teman saya.")</f>
        <v>A Saya ingin terlihat menarik di depan teman-teman saya.</v>
      </c>
      <c r="CT83" s="95" t="str">
        <f>IFERROR(__xludf.DUMMYFUNCTION("""COMPUTED_VALUE"""),"A Saya ingin orang-orang memperhatikan komentar mengenai penampilan saya.")</f>
        <v>A Saya ingin orang-orang memperhatikan komentar mengenai penampilan saya.</v>
      </c>
      <c r="CU83" s="95" t="str">
        <f>IFERROR(__xludf.DUMMYFUNCTION("""COMPUTED_VALUE"""),"A Saya ingin diperlakukan dengan ramah oleh teman-teman saya.")</f>
        <v>A Saya ingin diperlakukan dengan ramah oleh teman-teman saya.</v>
      </c>
      <c r="CV83" s="95" t="str">
        <f>IFERROR(__xludf.DUMMYFUNCTION("""COMPUTED_VALUE"""),"A Saya ingin ditunjuk atau dipilih sebagai ketua dalam suatu kelompok.")</f>
        <v>A Saya ingin ditunjuk atau dipilih sebagai ketua dalam suatu kelompok.</v>
      </c>
      <c r="CW83" s="95" t="str">
        <f>IFERROR(__xludf.DUMMYFUNCTION("""COMPUTED_VALUE"""),"B Saya mengatakan kepada orang lain bagaimana pendapat saya terhadap mereka.")</f>
        <v>B Saya mengatakan kepada orang lain bagaimana pendapat saya terhadap mereka.</v>
      </c>
      <c r="CX83" s="95" t="str">
        <f>IFERROR(__xludf.DUMMYFUNCTION("""COMPUTED_VALUE"""),"A Saya suka belajar sampai malam untuk menyelesaikan suatu tugas.")</f>
        <v>A Saya suka belajar sampai malam untuk menyelesaikan suatu tugas.</v>
      </c>
      <c r="CY83" s="95" t="str">
        <f>IFERROR(__xludf.DUMMYFUNCTION("""COMPUTED_VALUE"""),"A Saya ingin tidak tergantung dari orang lain terhadap apa yang akan saya lakukan.")</f>
        <v>A Saya ingin tidak tergantung dari orang lain terhadap apa yang akan saya lakukan.</v>
      </c>
      <c r="CZ83" s="95" t="str">
        <f>IFERROR(__xludf.DUMMYFUNCTION("""COMPUTED_VALUE"""),"B Saya rasanya ingin menggertak orang bila saya berbeda pendapat dengan mereka.")</f>
        <v>B Saya rasanya ingin menggertak orang bila saya berbeda pendapat dengan mereka.</v>
      </c>
      <c r="DA83" s="95" t="str">
        <f>IFERROR(__xludf.DUMMYFUNCTION("""COMPUTED_VALUE"""),"A Saya ingin melakukan apa saja sebaik mungkin.")</f>
        <v>A Saya ingin melakukan apa saja sebaik mungkin.</v>
      </c>
      <c r="DB83" s="89" t="s">
        <v>23</v>
      </c>
      <c r="DC83" s="97" t="str">
        <f t="shared" ref="DC83:GX83" si="128">LEFT(F83,1)</f>
        <v>B</v>
      </c>
      <c r="DD83" s="97" t="str">
        <f t="shared" si="128"/>
        <v>B</v>
      </c>
      <c r="DE83" s="97" t="str">
        <f t="shared" si="128"/>
        <v>B</v>
      </c>
      <c r="DF83" s="97" t="str">
        <f t="shared" si="128"/>
        <v>B</v>
      </c>
      <c r="DG83" s="97" t="str">
        <f t="shared" si="128"/>
        <v>A</v>
      </c>
      <c r="DH83" s="97" t="str">
        <f t="shared" si="128"/>
        <v>B</v>
      </c>
      <c r="DI83" s="97" t="str">
        <f t="shared" si="128"/>
        <v>B</v>
      </c>
      <c r="DJ83" s="97" t="str">
        <f t="shared" si="128"/>
        <v>B</v>
      </c>
      <c r="DK83" s="97" t="str">
        <f t="shared" si="128"/>
        <v>B</v>
      </c>
      <c r="DL83" s="97" t="str">
        <f t="shared" si="128"/>
        <v>B</v>
      </c>
      <c r="DM83" s="97" t="str">
        <f t="shared" si="128"/>
        <v>B</v>
      </c>
      <c r="DN83" s="97" t="str">
        <f t="shared" si="128"/>
        <v>B</v>
      </c>
      <c r="DO83" s="97" t="str">
        <f t="shared" si="128"/>
        <v>B</v>
      </c>
      <c r="DP83" s="97" t="str">
        <f t="shared" si="128"/>
        <v>A</v>
      </c>
      <c r="DQ83" s="97" t="str">
        <f t="shared" si="128"/>
        <v>B</v>
      </c>
      <c r="DR83" s="97" t="str">
        <f t="shared" si="128"/>
        <v>A</v>
      </c>
      <c r="DS83" s="97" t="str">
        <f t="shared" si="128"/>
        <v>B</v>
      </c>
      <c r="DT83" s="97" t="str">
        <f t="shared" si="128"/>
        <v>B</v>
      </c>
      <c r="DU83" s="97" t="str">
        <f t="shared" si="128"/>
        <v>A</v>
      </c>
      <c r="DV83" s="97" t="str">
        <f t="shared" si="128"/>
        <v>A</v>
      </c>
      <c r="DW83" s="97" t="str">
        <f t="shared" si="128"/>
        <v>A</v>
      </c>
      <c r="DX83" s="97" t="str">
        <f t="shared" si="128"/>
        <v>B</v>
      </c>
      <c r="DY83" s="97" t="str">
        <f t="shared" si="128"/>
        <v>B</v>
      </c>
      <c r="DZ83" s="97" t="str">
        <f t="shared" si="128"/>
        <v>A</v>
      </c>
      <c r="EA83" s="97" t="str">
        <f t="shared" si="128"/>
        <v>B</v>
      </c>
      <c r="EB83" s="97" t="str">
        <f t="shared" si="128"/>
        <v>A</v>
      </c>
      <c r="EC83" s="97" t="str">
        <f t="shared" si="128"/>
        <v>A</v>
      </c>
      <c r="ED83" s="97" t="str">
        <f t="shared" si="128"/>
        <v>B</v>
      </c>
      <c r="EE83" s="97" t="str">
        <f t="shared" si="128"/>
        <v>B</v>
      </c>
      <c r="EF83" s="97" t="str">
        <f t="shared" si="128"/>
        <v>B</v>
      </c>
      <c r="EG83" s="97" t="str">
        <f t="shared" si="128"/>
        <v>B</v>
      </c>
      <c r="EH83" s="97" t="str">
        <f t="shared" si="128"/>
        <v>B</v>
      </c>
      <c r="EI83" s="97" t="str">
        <f t="shared" si="128"/>
        <v>B</v>
      </c>
      <c r="EJ83" s="97" t="str">
        <f t="shared" si="128"/>
        <v>B</v>
      </c>
      <c r="EK83" s="97" t="str">
        <f t="shared" si="128"/>
        <v>A</v>
      </c>
      <c r="EL83" s="97" t="str">
        <f t="shared" si="128"/>
        <v>B</v>
      </c>
      <c r="EM83" s="97" t="str">
        <f t="shared" si="128"/>
        <v>B</v>
      </c>
      <c r="EN83" s="97" t="str">
        <f t="shared" si="128"/>
        <v>B</v>
      </c>
      <c r="EO83" s="97" t="str">
        <f t="shared" si="128"/>
        <v>B</v>
      </c>
      <c r="EP83" s="97" t="str">
        <f t="shared" si="128"/>
        <v>B</v>
      </c>
      <c r="EQ83" s="97" t="str">
        <f t="shared" si="128"/>
        <v>B</v>
      </c>
      <c r="ER83" s="97" t="str">
        <f t="shared" si="128"/>
        <v>B</v>
      </c>
      <c r="ES83" s="97" t="str">
        <f t="shared" si="128"/>
        <v>B</v>
      </c>
      <c r="ET83" s="97" t="str">
        <f t="shared" si="128"/>
        <v>B</v>
      </c>
      <c r="EU83" s="97" t="str">
        <f t="shared" si="128"/>
        <v>A</v>
      </c>
      <c r="EV83" s="97" t="str">
        <f t="shared" si="128"/>
        <v>B</v>
      </c>
      <c r="EW83" s="97" t="str">
        <f t="shared" si="128"/>
        <v>B</v>
      </c>
      <c r="EX83" s="97" t="str">
        <f t="shared" si="128"/>
        <v>B</v>
      </c>
      <c r="EY83" s="97" t="str">
        <f t="shared" si="128"/>
        <v>B</v>
      </c>
      <c r="EZ83" s="97" t="str">
        <f t="shared" si="128"/>
        <v>B</v>
      </c>
      <c r="FA83" s="97" t="str">
        <f t="shared" si="128"/>
        <v>B</v>
      </c>
      <c r="FB83" s="97" t="str">
        <f t="shared" si="128"/>
        <v>B</v>
      </c>
      <c r="FC83" s="97" t="str">
        <f t="shared" si="128"/>
        <v>B</v>
      </c>
      <c r="FD83" s="97" t="str">
        <f t="shared" si="128"/>
        <v>A</v>
      </c>
      <c r="FE83" s="97" t="str">
        <f t="shared" si="128"/>
        <v>A</v>
      </c>
      <c r="FF83" s="97" t="str">
        <f t="shared" si="128"/>
        <v>A</v>
      </c>
      <c r="FG83" s="97" t="str">
        <f t="shared" si="128"/>
        <v>A</v>
      </c>
      <c r="FH83" s="97" t="str">
        <f t="shared" si="128"/>
        <v>A</v>
      </c>
      <c r="FI83" s="97" t="str">
        <f t="shared" si="128"/>
        <v>A</v>
      </c>
      <c r="FJ83" s="97" t="str">
        <f t="shared" si="128"/>
        <v>A</v>
      </c>
      <c r="FK83" s="97" t="str">
        <f t="shared" si="128"/>
        <v>A</v>
      </c>
      <c r="FL83" s="97" t="str">
        <f t="shared" si="128"/>
        <v>B</v>
      </c>
      <c r="FM83" s="97" t="str">
        <f t="shared" si="128"/>
        <v>A</v>
      </c>
      <c r="FN83" s="97" t="str">
        <f t="shared" si="128"/>
        <v>A</v>
      </c>
      <c r="FO83" s="97" t="str">
        <f t="shared" si="128"/>
        <v>A</v>
      </c>
      <c r="FP83" s="97" t="str">
        <f t="shared" si="128"/>
        <v>B</v>
      </c>
      <c r="FQ83" s="97" t="str">
        <f t="shared" si="128"/>
        <v>B</v>
      </c>
      <c r="FR83" s="97" t="str">
        <f t="shared" si="128"/>
        <v>B</v>
      </c>
      <c r="FS83" s="97" t="str">
        <f t="shared" si="128"/>
        <v>B</v>
      </c>
      <c r="FT83" s="97" t="str">
        <f t="shared" si="128"/>
        <v>B</v>
      </c>
      <c r="FU83" s="97" t="str">
        <f t="shared" si="128"/>
        <v>B</v>
      </c>
      <c r="FV83" s="97" t="str">
        <f t="shared" si="128"/>
        <v>B</v>
      </c>
      <c r="FW83" s="97" t="str">
        <f t="shared" si="128"/>
        <v>A</v>
      </c>
      <c r="FX83" s="97" t="str">
        <f t="shared" si="128"/>
        <v>B</v>
      </c>
      <c r="FY83" s="97" t="str">
        <f t="shared" si="128"/>
        <v>B</v>
      </c>
      <c r="FZ83" s="97" t="str">
        <f t="shared" si="128"/>
        <v>A</v>
      </c>
      <c r="GA83" s="97" t="str">
        <f t="shared" si="128"/>
        <v>A</v>
      </c>
      <c r="GB83" s="97" t="str">
        <f t="shared" si="128"/>
        <v>B</v>
      </c>
      <c r="GC83" s="97" t="str">
        <f t="shared" si="128"/>
        <v>A</v>
      </c>
      <c r="GD83" s="97" t="str">
        <f t="shared" si="128"/>
        <v>A</v>
      </c>
      <c r="GE83" s="97" t="str">
        <f t="shared" si="128"/>
        <v>A</v>
      </c>
      <c r="GF83" s="97" t="str">
        <f t="shared" si="128"/>
        <v>A</v>
      </c>
      <c r="GG83" s="97" t="str">
        <f t="shared" si="128"/>
        <v>A</v>
      </c>
      <c r="GH83" s="97" t="str">
        <f t="shared" si="128"/>
        <v>B</v>
      </c>
      <c r="GI83" s="97" t="str">
        <f t="shared" si="128"/>
        <v>A</v>
      </c>
      <c r="GJ83" s="97" t="str">
        <f t="shared" si="128"/>
        <v>B</v>
      </c>
      <c r="GK83" s="97" t="str">
        <f t="shared" si="128"/>
        <v>A</v>
      </c>
      <c r="GL83" s="97" t="str">
        <f t="shared" si="128"/>
        <v>B</v>
      </c>
      <c r="GM83" s="97" t="str">
        <f t="shared" si="128"/>
        <v>A</v>
      </c>
      <c r="GN83" s="97" t="str">
        <f t="shared" si="128"/>
        <v>B</v>
      </c>
      <c r="GO83" s="97" t="str">
        <f t="shared" si="128"/>
        <v>B</v>
      </c>
      <c r="GP83" s="97" t="str">
        <f t="shared" si="128"/>
        <v>A</v>
      </c>
      <c r="GQ83" s="97" t="str">
        <f t="shared" si="128"/>
        <v>A</v>
      </c>
      <c r="GR83" s="97" t="str">
        <f t="shared" si="128"/>
        <v>A</v>
      </c>
      <c r="GS83" s="97" t="str">
        <f t="shared" si="128"/>
        <v>A</v>
      </c>
      <c r="GT83" s="97" t="str">
        <f t="shared" si="128"/>
        <v>B</v>
      </c>
      <c r="GU83" s="97" t="str">
        <f t="shared" si="128"/>
        <v>A</v>
      </c>
      <c r="GV83" s="97" t="str">
        <f t="shared" si="128"/>
        <v>A</v>
      </c>
      <c r="GW83" s="97" t="str">
        <f t="shared" si="128"/>
        <v>B</v>
      </c>
      <c r="GX83" s="97" t="str">
        <f t="shared" si="128"/>
        <v>A</v>
      </c>
      <c r="GY83" s="98"/>
      <c r="GZ83" s="97">
        <f t="shared" si="3"/>
        <v>40</v>
      </c>
      <c r="HA83" s="97">
        <f t="shared" si="4"/>
        <v>60</v>
      </c>
      <c r="HB83" s="90">
        <f t="shared" si="5"/>
        <v>100</v>
      </c>
      <c r="HC83" s="99"/>
      <c r="HD83" s="97">
        <f t="shared" si="6"/>
        <v>7</v>
      </c>
      <c r="HE83" s="97">
        <f t="shared" si="7"/>
        <v>8</v>
      </c>
      <c r="HF83" s="90">
        <f t="shared" si="8"/>
        <v>15</v>
      </c>
      <c r="HG83" s="99"/>
      <c r="HH83" s="97">
        <f t="shared" si="9"/>
        <v>3</v>
      </c>
      <c r="HI83" s="97">
        <f t="shared" si="10"/>
        <v>6</v>
      </c>
      <c r="HJ83" s="90">
        <f t="shared" si="11"/>
        <v>9</v>
      </c>
      <c r="HK83" s="99"/>
      <c r="HL83" s="97">
        <f t="shared" si="12"/>
        <v>4</v>
      </c>
      <c r="HM83" s="97">
        <f t="shared" si="13"/>
        <v>6</v>
      </c>
      <c r="HN83" s="90">
        <f t="shared" si="14"/>
        <v>10</v>
      </c>
      <c r="HO83" s="99"/>
      <c r="HP83" s="97">
        <f t="shared" si="15"/>
        <v>5</v>
      </c>
      <c r="HQ83" s="97">
        <f t="shared" si="16"/>
        <v>9</v>
      </c>
      <c r="HR83" s="90">
        <f t="shared" si="17"/>
        <v>14</v>
      </c>
      <c r="HS83" s="99"/>
      <c r="HT83" s="97">
        <f t="shared" si="18"/>
        <v>6</v>
      </c>
      <c r="HU83" s="97">
        <f t="shared" si="19"/>
        <v>9</v>
      </c>
      <c r="HV83" s="90">
        <f t="shared" si="20"/>
        <v>15</v>
      </c>
      <c r="HW83" s="99"/>
      <c r="HX83" s="97">
        <f t="shared" si="21"/>
        <v>3</v>
      </c>
      <c r="HY83" s="97">
        <f t="shared" si="22"/>
        <v>3</v>
      </c>
      <c r="HZ83" s="90">
        <f t="shared" si="23"/>
        <v>6</v>
      </c>
      <c r="IA83" s="99"/>
      <c r="IB83" s="97">
        <f t="shared" si="24"/>
        <v>5</v>
      </c>
      <c r="IC83" s="97">
        <f t="shared" si="25"/>
        <v>6</v>
      </c>
      <c r="ID83" s="90">
        <f t="shared" si="26"/>
        <v>11</v>
      </c>
      <c r="IE83" s="99"/>
      <c r="IF83" s="97">
        <f t="shared" si="27"/>
        <v>1</v>
      </c>
      <c r="IG83" s="97">
        <f t="shared" si="28"/>
        <v>5</v>
      </c>
      <c r="IH83" s="90">
        <f t="shared" si="29"/>
        <v>6</v>
      </c>
      <c r="II83" s="99"/>
      <c r="IJ83" s="97">
        <f t="shared" si="30"/>
        <v>1</v>
      </c>
      <c r="IK83" s="97">
        <f t="shared" si="31"/>
        <v>4</v>
      </c>
      <c r="IL83" s="90">
        <f t="shared" si="32"/>
        <v>5</v>
      </c>
      <c r="IM83" s="99"/>
      <c r="IN83" s="97">
        <f t="shared" si="33"/>
        <v>0</v>
      </c>
      <c r="IO83" s="97">
        <f t="shared" si="34"/>
        <v>3</v>
      </c>
      <c r="IP83" s="90">
        <f t="shared" si="35"/>
        <v>3</v>
      </c>
      <c r="IQ83" s="99"/>
      <c r="IR83" s="99"/>
      <c r="IS83" s="100">
        <f t="shared" si="36"/>
        <v>15</v>
      </c>
      <c r="IT83" s="100">
        <f t="shared" si="37"/>
        <v>9</v>
      </c>
      <c r="IU83" s="100">
        <f t="shared" si="38"/>
        <v>10</v>
      </c>
      <c r="IV83" s="100">
        <f t="shared" si="39"/>
        <v>14</v>
      </c>
      <c r="IW83" s="100">
        <f t="shared" si="40"/>
        <v>15</v>
      </c>
      <c r="IX83" s="100">
        <f t="shared" si="41"/>
        <v>6</v>
      </c>
      <c r="IY83" s="100">
        <f t="shared" si="42"/>
        <v>11</v>
      </c>
      <c r="IZ83" s="100">
        <f t="shared" si="43"/>
        <v>6</v>
      </c>
      <c r="JA83" s="100">
        <f t="shared" si="44"/>
        <v>5</v>
      </c>
      <c r="JB83" s="101">
        <f t="shared" si="45"/>
        <v>3</v>
      </c>
      <c r="JC83" s="102">
        <f t="shared" si="46"/>
        <v>94</v>
      </c>
      <c r="JD83" s="67">
        <f t="shared" si="50"/>
        <v>0</v>
      </c>
      <c r="JE83" s="67">
        <f t="shared" si="47"/>
        <v>1</v>
      </c>
      <c r="JF83" s="67">
        <f t="shared" si="48"/>
        <v>1</v>
      </c>
    </row>
    <row r="84">
      <c r="A84" s="103">
        <f>IFERROR(__xludf.DUMMYFUNCTION("""COMPUTED_VALUE"""),45941.398057812505)</f>
        <v>45941.39806</v>
      </c>
      <c r="B84" s="95" t="str">
        <f>IFERROR(__xludf.DUMMYFUNCTION("""COMPUTED_VALUE"""),"Umar")</f>
        <v>Umar</v>
      </c>
      <c r="C84" s="96" t="str">
        <f>IFERROR(__xludf.DUMMYFUNCTION("""COMPUTED_VALUE"""),"A250027")</f>
        <v>A250027</v>
      </c>
      <c r="D84" s="96" t="str">
        <f>IFERROR(__xludf.DUMMYFUNCTION("""COMPUTED_VALUE"""),"MTs Putra")</f>
        <v>MTs Putra</v>
      </c>
      <c r="E84" s="96" t="str">
        <f>IFERROR(__xludf.DUMMYFUNCTION("""COMPUTED_VALUE"""),"Ya")</f>
        <v>Ya</v>
      </c>
      <c r="F84" s="95" t="str">
        <f>IFERROR(__xludf.DUMMYFUNCTION("""COMPUTED_VALUE"""),"A Saya ingin mengerjakan segala tugas lebih baik daripada orang lain.")</f>
        <v>A Saya ingin mengerjakan segala tugas lebih baik daripada orang lain.</v>
      </c>
      <c r="G84" s="95" t="str">
        <f>IFERROR(__xludf.DUMMYFUNCTION("""COMPUTED_VALUE"""),"B Saya ingin menyelesaikan tugas yang segera dikumpulkan.")</f>
        <v>B Saya ingin menyelesaikan tugas yang segera dikumpulkan.</v>
      </c>
      <c r="H84" s="95" t="str">
        <f>IFERROR(__xludf.DUMMYFUNCTION("""COMPUTED_VALUE"""),"B Saya ingin menjadi orang yang diakui dalam suatu pekerjaan atau bidang khusus.")</f>
        <v>B Saya ingin menjadi orang yang diakui dalam suatu pekerjaan atau bidang khusus.</v>
      </c>
      <c r="I84" s="95" t="str">
        <f>IFERROR(__xludf.DUMMYFUNCTION("""COMPUTED_VALUE"""),"B Saya ingin bisa melakukan dengan baik meskipun tugas yang sulit.")</f>
        <v>B Saya ingin bisa melakukan dengan baik meskipun tugas yang sulit.</v>
      </c>
      <c r="J84" s="95" t="str">
        <f>IFERROR(__xludf.DUMMYFUNCTION("""COMPUTED_VALUE"""),"A Saya suka membantu teman-teman saya apabila mereka mengalami kesulitan.")</f>
        <v>A Saya suka membantu teman-teman saya apabila mereka mengalami kesulitan.</v>
      </c>
      <c r="K84" s="95" t="str">
        <f>IFERROR(__xludf.DUMMYFUNCTION("""COMPUTED_VALUE"""),"A Saya ingin menjadi pemimpin dalam suatu kelompok.")</f>
        <v>A Saya ingin menjadi pemimpin dalam suatu kelompok.</v>
      </c>
      <c r="L84" s="95" t="str">
        <f>IFERROR(__xludf.DUMMYFUNCTION("""COMPUTED_VALUE"""),"A Saya ingin menjadi pemimpin dalam suatu kelompok")</f>
        <v>A Saya ingin menjadi pemimpin dalam suatu kelompok</v>
      </c>
      <c r="M84" s="95" t="str">
        <f>IFERROR(__xludf.DUMMYFUNCTION("""COMPUTED_VALUE"""),"B Saya ingin mengerjakan segala tugas lebih baik daripada orang lain.")</f>
        <v>B Saya ingin mengerjakan segala tugas lebih baik daripada orang lain.</v>
      </c>
      <c r="N84" s="95" t="str">
        <f>IFERROR(__xludf.DUMMYFUNCTION("""COMPUTED_VALUE"""),"B Saya suka memecahkan persoalan yang sukar bagi orang lain.")</f>
        <v>B Saya suka memecahkan persoalan yang sukar bagi orang lain.</v>
      </c>
      <c r="O84" s="95" t="str">
        <f>IFERROR(__xludf.DUMMYFUNCTION("""COMPUTED_VALUE"""),"A Saya marah saat ada teman memperolok-olok hal-hal yang saya anggap bodoh.")</f>
        <v>A Saya marah saat ada teman memperolok-olok hal-hal yang saya anggap bodoh.</v>
      </c>
      <c r="P84" s="95" t="str">
        <f>IFERROR(__xludf.DUMMYFUNCTION("""COMPUTED_VALUE"""),"A Saya suka bercerita tentang hal-hal yang menegangkan atau menantang.")</f>
        <v>A Saya suka bercerita tentang hal-hal yang menegangkan atau menantang.</v>
      </c>
      <c r="Q84" s="95" t="str">
        <f>IFERROR(__xludf.DUMMYFUNCTION("""COMPUTED_VALUE"""),"A Saya mulai suka dengan lawan jenis.")</f>
        <v>A Saya mulai suka dengan lawan jenis.</v>
      </c>
      <c r="R84" s="95" t="str">
        <f>IFERROR(__xludf.DUMMYFUNCTION("""COMPUTED_VALUE"""),"B Saya suka barang-barang saya tersusun rapi dan teratur.")</f>
        <v>B Saya suka barang-barang saya tersusun rapi dan teratur.</v>
      </c>
      <c r="S84" s="95" t="str">
        <f>IFERROR(__xludf.DUMMYFUNCTION("""COMPUTED_VALUE"""),"B Saya suka membuat perencanaan sebelum memulai tugas yang sulit.")</f>
        <v>B Saya suka membuat perencanaan sebelum memulai tugas yang sulit.</v>
      </c>
      <c r="T84" s="95" t="str">
        <f>IFERROR(__xludf.DUMMYFUNCTION("""COMPUTED_VALUE"""),"B Saya ingin agar hidup saya teratur sesuai cita-cita saya.")</f>
        <v>B Saya ingin agar hidup saya teratur sesuai cita-cita saya.</v>
      </c>
      <c r="U84" s="95" t="str">
        <f>IFERROR(__xludf.DUMMYFUNCTION("""COMPUTED_VALUE"""),"A Saya suka memberikan bantuan kepada teman-teman saya.")</f>
        <v>A Saya suka memberikan bantuan kepada teman-teman saya.</v>
      </c>
      <c r="V84" s="95" t="str">
        <f>IFERROR(__xludf.DUMMYFUNCTION("""COMPUTED_VALUE"""),"B Saya suka belajar saya teratur dan ada waktu-waktu tertentu untuk belajar.")</f>
        <v>B Saya suka belajar saya teratur dan ada waktu-waktu tertentu untuk belajar.</v>
      </c>
      <c r="W84" s="95" t="str">
        <f>IFERROR(__xludf.DUMMYFUNCTION("""COMPUTED_VALUE"""),"A Saya suka melakukan kegiatan sesuai kondisi yang saya inginkan.")</f>
        <v>A Saya suka melakukan kegiatan sesuai kondisi yang saya inginkan.</v>
      </c>
      <c r="X84" s="95" t="str">
        <f>IFERROR(__xludf.DUMMYFUNCTION("""COMPUTED_VALUE"""),"B Saya ingin agar hidup saya teratur sesuai cita-cita saya.")</f>
        <v>B Saya ingin agar hidup saya teratur sesuai cita-cita saya.</v>
      </c>
      <c r="Y84" s="95" t="str">
        <f>IFERROR(__xludf.DUMMYFUNCTION("""COMPUTED_VALUE"""),"A Saya suka menyelesaikan tugas-tugas yang membutuhkan ketrampilan dan usaha.")</f>
        <v>A Saya suka menyelesaikan tugas-tugas yang membutuhkan ketrampilan dan usaha.</v>
      </c>
      <c r="Z84" s="95" t="str">
        <f>IFERROR(__xludf.DUMMYFUNCTION("""COMPUTED_VALUE"""),"B Saya ingin merasa bebas untuk melakukan apa yang saya inginkan.")</f>
        <v>B Saya ingin merasa bebas untuk melakukan apa yang saya inginkan.</v>
      </c>
      <c r="AA84" s="95" t="str">
        <f>IFERROR(__xludf.DUMMYFUNCTION("""COMPUTED_VALUE"""),"B Saya tidak suka pada orang yang berbuat seenaknya sendiri.")</f>
        <v>B Saya tidak suka pada orang yang berbuat seenaknya sendiri.</v>
      </c>
      <c r="AB84" s="95" t="str">
        <f>IFERROR(__xludf.DUMMYFUNCTION("""COMPUTED_VALUE"""),"A Saya ingin tidak tergantung dari orang lain terhadap apa yang akan saya lakukan.")</f>
        <v>A Saya ingin tidak tergantung dari orang lain terhadap apa yang akan saya lakukan.</v>
      </c>
      <c r="AC84" s="95" t="str">
        <f>IFERROR(__xludf.DUMMYFUNCTION("""COMPUTED_VALUE"""),"B Saya suka melakukan kegiatan sesuai kondisi yang saya inginkan.")</f>
        <v>B Saya suka melakukan kegiatan sesuai kondisi yang saya inginkan.</v>
      </c>
      <c r="AD84" s="95" t="str">
        <f>IFERROR(__xludf.DUMMYFUNCTION("""COMPUTED_VALUE"""),"B Saya suka menyatakan pendapat saya tentang berbagai hal.")</f>
        <v>B Saya suka menyatakan pendapat saya tentang berbagai hal.</v>
      </c>
      <c r="AE84" s="95" t="str">
        <f>IFERROR(__xludf.DUMMYFUNCTION("""COMPUTED_VALUE"""),"A Saya ingin dianggap sebagai pemimpin oleh teman di kelompok.")</f>
        <v>A Saya ingin dianggap sebagai pemimpin oleh teman di kelompok.</v>
      </c>
      <c r="AF84" s="95" t="str">
        <f>IFERROR(__xludf.DUMMYFUNCTION("""COMPUTED_VALUE"""),"B Saya suka melakukan hal-hal dengan cara saya sendiri.")</f>
        <v>B Saya suka melakukan hal-hal dengan cara saya sendiri.</v>
      </c>
      <c r="AG84" s="95" t="str">
        <f>IFERROR(__xludf.DUMMYFUNCTION("""COMPUTED_VALUE"""),"B Saya ingin berhasil dengan tugas yang saya lakukan.")</f>
        <v>B Saya ingin berhasil dengan tugas yang saya lakukan.</v>
      </c>
      <c r="AH84" s="95" t="str">
        <f>IFERROR(__xludf.DUMMYFUNCTION("""COMPUTED_VALUE"""),"B Saya ingin merasa bebas untuk melakukan apa yang saya kehendaki.")</f>
        <v>B Saya ingin merasa bebas untuk melakukan apa yang saya kehendaki.</v>
      </c>
      <c r="AI84" s="95" t="str">
        <f>IFERROR(__xludf.DUMMYFUNCTION("""COMPUTED_VALUE"""),"A Saya ingin menghardik orang lain bila saya berbeda pendapat dengan mereka.")</f>
        <v>A Saya ingin menghardik orang lain bila saya berbeda pendapat dengan mereka.</v>
      </c>
      <c r="AJ84" s="95" t="str">
        <f>IFERROR(__xludf.DUMMYFUNCTION("""COMPUTED_VALUE"""),"A Saya rasanya ingin membalas dendam bila seseorang menghina saya.")</f>
        <v>A Saya rasanya ingin membalas dendam bila seseorang menghina saya.</v>
      </c>
      <c r="AK84" s="95" t="str">
        <f>IFERROR(__xludf.DUMMYFUNCTION("""COMPUTED_VALUE"""),"B Bila saya harus melakukan suatu tugas, saya ingin mengerjakan sampai selesai.")</f>
        <v>B Bila saya harus melakukan suatu tugas, saya ingin mengerjakan sampai selesai.</v>
      </c>
      <c r="AL84" s="95" t="str">
        <f>IFERROR(__xludf.DUMMYFUNCTION("""COMPUTED_VALUE"""),"B Saya ingin menghindarkan gangguan bila saya sedang belajar.")</f>
        <v>B Saya ingin menghindarkan gangguan bila saya sedang belajar.</v>
      </c>
      <c r="AM84" s="95" t="str">
        <f>IFERROR(__xludf.DUMMYFUNCTION("""COMPUTED_VALUE"""),"A Saya ingin teman-teman saya merasa kasihan pada saya apabila saya sakit.")</f>
        <v>A Saya ingin teman-teman saya merasa kasihan pada saya apabila saya sakit.</v>
      </c>
      <c r="AN84" s="95" t="str">
        <f>IFERROR(__xludf.DUMMYFUNCTION("""COMPUTED_VALUE"""),"A Saya tidak suka pada orang yang semena-mena.")</f>
        <v>A Saya tidak suka pada orang yang semena-mena.</v>
      </c>
      <c r="AO84" s="95" t="str">
        <f>IFERROR(__xludf.DUMMYFUNCTION("""COMPUTED_VALUE"""),"A Saya suka berlaku sangat ramah terhadap teman-teman saya.")</f>
        <v>A Saya suka berlaku sangat ramah terhadap teman-teman saya.</v>
      </c>
      <c r="AP84" s="95" t="str">
        <f>IFERROR(__xludf.DUMMYFUNCTION("""COMPUTED_VALUE"""),"A Saya ingin mengerjakannya tugas sampai selesai.")</f>
        <v>A Saya ingin mengerjakannya tugas sampai selesai.</v>
      </c>
      <c r="AQ84" s="95" t="str">
        <f>IFERROR(__xludf.DUMMYFUNCTION("""COMPUTED_VALUE"""),"A Saya ingin bisa mengerjakan segala sesuatu lebih baik daripada orang-orang lain.")</f>
        <v>A Saya ingin bisa mengerjakan segala sesuatu lebih baik daripada orang-orang lain.</v>
      </c>
      <c r="AR84" s="95" t="str">
        <f>IFERROR(__xludf.DUMMYFUNCTION("""COMPUTED_VALUE"""),"A Saya suka menyimpan catatan secara rapi.")</f>
        <v>A Saya suka menyimpan catatan secara rapi.</v>
      </c>
      <c r="AS84" s="95" t="str">
        <f>IFERROR(__xludf.DUMMYFUNCTION("""COMPUTED_VALUE"""),"A Saya ingin dapat menyelesaikan persoalan yang dianggap sukar bagi orang lain.")</f>
        <v>A Saya ingin dapat menyelesaikan persoalan yang dianggap sukar bagi orang lain.</v>
      </c>
      <c r="AT84" s="95" t="str">
        <f>IFERROR(__xludf.DUMMYFUNCTION("""COMPUTED_VALUE"""),"B Saya suka membantu orang lain yang menurut saya perlu dikasihani.")</f>
        <v>B Saya suka membantu orang lain yang menurut saya perlu dikasihani.</v>
      </c>
      <c r="AU84" s="95" t="str">
        <f>IFERROR(__xludf.DUMMYFUNCTION("""COMPUTED_VALUE"""),"B Saya suka bermurah hati terhadap teman-teman saya.")</f>
        <v>B Saya suka bermurah hati terhadap teman-teman saya.</v>
      </c>
      <c r="AV84" s="95" t="str">
        <f>IFERROR(__xludf.DUMMYFUNCTION("""COMPUTED_VALUE"""),"A Saya ingin merasa bebas untuk melakukan apa yang saya kehendaki.")</f>
        <v>A Saya ingin merasa bebas untuk melakukan apa yang saya kehendaki.</v>
      </c>
      <c r="AW84" s="95" t="str">
        <f>IFERROR(__xludf.DUMMYFUNCTION("""COMPUTED_VALUE"""),"B Saya ingin teman-teman saya percaya bahwa saya bisa menolong mereka.")</f>
        <v>B Saya ingin teman-teman saya percaya bahwa saya bisa menolong mereka.</v>
      </c>
      <c r="AX84" s="95" t="str">
        <f>IFERROR(__xludf.DUMMYFUNCTION("""COMPUTED_VALUE"""),"B Saya suka memaafkan teman-teman saya yang menyakiti hati saya.")</f>
        <v>B Saya suka memaafkan teman-teman saya yang menyakiti hati saya.</v>
      </c>
      <c r="AY84" s="95" t="str">
        <f>IFERROR(__xludf.DUMMYFUNCTION("""COMPUTED_VALUE"""),"B Saya suka menolong teman-teman saya apabila mereka dalam kesulitan.")</f>
        <v>B Saya suka menolong teman-teman saya apabila mereka dalam kesulitan.</v>
      </c>
      <c r="AZ84" s="95" t="str">
        <f>IFERROR(__xludf.DUMMYFUNCTION("""COMPUTED_VALUE"""),"B Saya suka menunjukkan simpati saya kepada teman-teman saya.")</f>
        <v>B Saya suka menunjukkan simpati saya kepada teman-teman saya.</v>
      </c>
      <c r="BA84" s="95" t="str">
        <f>IFERROR(__xludf.DUMMYFUNCTION("""COMPUTED_VALUE"""),"A Saya suka menyatakan pendapat saya tentang berbagai hal.")</f>
        <v>A Saya suka menyatakan pendapat saya tentang berbagai hal.</v>
      </c>
      <c r="BB84" s="95" t="str">
        <f>IFERROR(__xludf.DUMMYFUNCTION("""COMPUTED_VALUE"""),"B Saya suka bermurah hati terhadap teman-teman saya.")</f>
        <v>B Saya suka bermurah hati terhadap teman-teman saya.</v>
      </c>
      <c r="BC84" s="95" t="str">
        <f>IFERROR(__xludf.DUMMYFUNCTION("""COMPUTED_VALUE"""),"A Saya rasanya ingin mengecam seseorang bila orang itu menjengkelkan.")</f>
        <v>A Saya rasanya ingin mengecam seseorang bila orang itu menjengkelkan.</v>
      </c>
      <c r="BD84" s="95" t="str">
        <f>IFERROR(__xludf.DUMMYFUNCTION("""COMPUTED_VALUE"""),"A Saya rasanya ingin menyalahkan orang lain bila keadaan tidak baik bagi saya.")</f>
        <v>A Saya rasanya ingin menyalahkan orang lain bila keadaan tidak baik bagi saya.</v>
      </c>
      <c r="BE84" s="95" t="str">
        <f>IFERROR(__xludf.DUMMYFUNCTION("""COMPUTED_VALUE"""),"A Saya suka mendengarkan atau menceritakan hal-hal yang sebaiknya tidak diceritakan.")</f>
        <v>A Saya suka mendengarkan atau menceritakan hal-hal yang sebaiknya tidak diceritakan.</v>
      </c>
      <c r="BF84" s="95" t="str">
        <f>IFERROR(__xludf.DUMMYFUNCTION("""COMPUTED_VALUE"""),"B Bila saya dalam kelompok, saya ingin menentukan apa yang akan kita lakukan.")</f>
        <v>B Bila saya dalam kelompok, saya ingin menentukan apa yang akan kita lakukan.</v>
      </c>
      <c r="BG84" s="95" t="str">
        <f>IFERROR(__xludf.DUMMYFUNCTION("""COMPUTED_VALUE"""),"A Saya ingin teman-teman banyak menunjukkan rasa sayang mereka terhadap saya.")</f>
        <v>A Saya ingin teman-teman banyak menunjukkan rasa sayang mereka terhadap saya.</v>
      </c>
      <c r="BH84" s="95" t="str">
        <f>IFERROR(__xludf.DUMMYFUNCTION("""COMPUTED_VALUE"""),"B Apabila saya berkumpul dalam kelompok, saya ingin dihargai teman-teman.")</f>
        <v>B Apabila saya berkumpul dalam kelompok, saya ingin dihargai teman-teman.</v>
      </c>
      <c r="BI84" s="95" t="str">
        <f>IFERROR(__xludf.DUMMYFUNCTION("""COMPUTED_VALUE"""),"A Saya suka bermurah hati terhadap teman-teman saya.")</f>
        <v>A Saya suka bermurah hati terhadap teman-teman saya.</v>
      </c>
      <c r="BJ84" s="95" t="str">
        <f>IFERROR(__xludf.DUMMYFUNCTION("""COMPUTED_VALUE"""),"B Saya ingin menjadi pemimpin dalam kelompok di mana saya ada di situ")</f>
        <v>B Saya ingin menjadi pemimpin dalam kelompok di mana saya ada di situ</v>
      </c>
      <c r="BK84" s="95" t="str">
        <f>IFERROR(__xludf.DUMMYFUNCTION("""COMPUTED_VALUE"""),"B Saya senang untuk diminta menyelesaikan pertentangan-pertentangan.")</f>
        <v>B Saya senang untuk diminta menyelesaikan pertentangan-pertentangan.</v>
      </c>
      <c r="BL84" s="95" t="str">
        <f>IFERROR(__xludf.DUMMYFUNCTION("""COMPUTED_VALUE"""),"B Saya suka bersikukuh dengan pendirian saya.")</f>
        <v>B Saya suka bersikukuh dengan pendirian saya.</v>
      </c>
      <c r="BM84" s="95" t="str">
        <f>IFERROR(__xludf.DUMMYFUNCTION("""COMPUTED_VALUE"""),"A Saya suka melakukan pekerjaan sebaik mungkin.")</f>
        <v>A Saya suka melakukan pekerjaan sebaik mungkin.</v>
      </c>
      <c r="BN84" s="95" t="str">
        <f>IFERROR(__xludf.DUMMYFUNCTION("""COMPUTED_VALUE"""),"A Saya suka mengerjakan teka-teki atau memecahkan persoalan sampai selesai.")</f>
        <v>A Saya suka mengerjakan teka-teki atau memecahkan persoalan sampai selesai.</v>
      </c>
      <c r="BO84" s="95" t="str">
        <f>IFERROR(__xludf.DUMMYFUNCTION("""COMPUTED_VALUE"""),"B Saya ingin diperlakukan dengan baik oleh teman-teman saya.")</f>
        <v>B Saya ingin diperlakukan dengan baik oleh teman-teman saya.</v>
      </c>
      <c r="BP84" s="95" t="str">
        <f>IFERROR(__xludf.DUMMYFUNCTION("""COMPUTED_VALUE"""),"B Saya ingin teman-teman saya merasa kasihan pada saya apabila saya sakit.")</f>
        <v>B Saya ingin teman-teman saya merasa kasihan pada saya apabila saya sakit.</v>
      </c>
      <c r="BQ84" s="95" t="str">
        <f>IFERROR(__xludf.DUMMYFUNCTION("""COMPUTED_VALUE"""),"B Saya ingin agar teman-teman menceritakan diri saya apabila saya sakit.")</f>
        <v>B Saya ingin agar teman-teman menceritakan diri saya apabila saya sakit.</v>
      </c>
      <c r="BR84" s="95" t="str">
        <f>IFERROR(__xludf.DUMMYFUNCTION("""COMPUTED_VALUE"""),"A Saya suka memaafkan teman-teman saya yang menyakiti hati saya.")</f>
        <v>A Saya suka memaafkan teman-teman saya yang menyakiti hati saya.</v>
      </c>
      <c r="BS84" s="95" t="str">
        <f>IFERROR(__xludf.DUMMYFUNCTION("""COMPUTED_VALUE"""),"A Saya suka menghindar dari tanggung jawab yang tidak saya inginkan.")</f>
        <v>A Saya suka menghindar dari tanggung jawab yang tidak saya inginkan.</v>
      </c>
      <c r="BT84" s="95" t="str">
        <f>IFERROR(__xludf.DUMMYFUNCTION("""COMPUTED_VALUE"""),"A Saya ingin teman-teman saya merasa kasihan pada saya apabila saya sakit.")</f>
        <v>A Saya ingin teman-teman saya merasa kasihan pada saya apabila saya sakit.</v>
      </c>
      <c r="BU84" s="95" t="str">
        <f>IFERROR(__xludf.DUMMYFUNCTION("""COMPUTED_VALUE"""),"B Saya ingin agar teman-teman saya merasa kasihan pada saya apabila saya sakit.")</f>
        <v>B Saya ingin agar teman-teman saya merasa kasihan pada saya apabila saya sakit.</v>
      </c>
      <c r="BV84" s="95" t="str">
        <f>IFERROR(__xludf.DUMMYFUNCTION("""COMPUTED_VALUE"""),"B Saya ingin teman-teman dengan gembira memberikan pertolongan kepada saya.")</f>
        <v>B Saya ingin teman-teman dengan gembira memberikan pertolongan kepada saya.</v>
      </c>
      <c r="BW84" s="95" t="str">
        <f>IFERROR(__xludf.DUMMYFUNCTION("""COMPUTED_VALUE"""),"B Saya ingin diperlakukan dengan baik oleh teman-teman saya.")</f>
        <v>B Saya ingin diperlakukan dengan baik oleh teman-teman saya.</v>
      </c>
      <c r="BX84" s="95" t="str">
        <f>IFERROR(__xludf.DUMMYFUNCTION("""COMPUTED_VALUE"""),"B Saya kadang-kadang suka melakukan hal-hal yang dapat dipuji oleh orang lain.")</f>
        <v>B Saya kadang-kadang suka melakukan hal-hal yang dapat dipuji oleh orang lain.</v>
      </c>
      <c r="BY84" s="95" t="str">
        <f>IFERROR(__xludf.DUMMYFUNCTION("""COMPUTED_VALUE"""),"A Saya suka melamun atau membayangkan hal-hal yang tidak jelas.")</f>
        <v>A Saya suka melamun atau membayangkan hal-hal yang tidak jelas.</v>
      </c>
      <c r="BZ84" s="95" t="str">
        <f>IFERROR(__xludf.DUMMYFUNCTION("""COMPUTED_VALUE"""),"A Saya suka berkata yang artinya sulit dipahami oleh orang lain.")</f>
        <v>A Saya suka berkata yang artinya sulit dipahami oleh orang lain.</v>
      </c>
      <c r="CA84" s="95" t="str">
        <f>IFERROR(__xludf.DUMMYFUNCTION("""COMPUTED_VALUE"""),"A Saya ingin teman-teman dengan gembira memberikan pertolongan kepada saya.")</f>
        <v>A Saya ingin teman-teman dengan gembira memberikan pertolongan kepada saya.</v>
      </c>
      <c r="CB84" s="95" t="str">
        <f>IFERROR(__xludf.DUMMYFUNCTION("""COMPUTED_VALUE"""),"A Saya suka menghindar dari tanggung jawab yang tidak saya inginkan.")</f>
        <v>A Saya suka menghindar dari tanggung jawab yang tidak saya inginkan.</v>
      </c>
      <c r="CC84" s="95" t="str">
        <f>IFERROR(__xludf.DUMMYFUNCTION("""COMPUTED_VALUE"""),"B Saya suka menceritakan hal-hal lucu agar diperhatikan oleh orang lain.")</f>
        <v>B Saya suka menceritakan hal-hal lucu agar diperhatikan oleh orang lain.</v>
      </c>
      <c r="CD84" s="95" t="str">
        <f>IFERROR(__xludf.DUMMYFUNCTION("""COMPUTED_VALUE"""),"B Saya suka berkata yang artinya sulit dipahami oleh orang lain.")</f>
        <v>B Saya suka berkata yang artinya sulit dipahami oleh orang lain.</v>
      </c>
      <c r="CE84" s="95" t="str">
        <f>IFERROR(__xludf.DUMMYFUNCTION("""COMPUTED_VALUE"""),"B Saya kadang-kadang suka melakukan hal-hal yang dapat dipuji oleh orang lain.")</f>
        <v>B Saya kadang-kadang suka melakukan hal-hal yang dapat dipuji oleh orang lain.</v>
      </c>
      <c r="CF84" s="95" t="str">
        <f>IFERROR(__xludf.DUMMYFUNCTION("""COMPUTED_VALUE"""),"A Saya ingin agar hidup saya teratur sesuai cita-cita saya.")</f>
        <v>A Saya ingin agar hidup saya teratur sesuai cita-cita saya.</v>
      </c>
      <c r="CG84" s="95" t="str">
        <f>IFERROR(__xludf.DUMMYFUNCTION("""COMPUTED_VALUE"""),"A Saya ingin berhasil dalam apa yang saya lakukan.")</f>
        <v>A Saya ingin berhasil dalam apa yang saya lakukan.</v>
      </c>
      <c r="CH84" s="95" t="str">
        <f>IFERROR(__xludf.DUMMYFUNCTION("""COMPUTED_VALUE"""),"B Saya suka dengan orang yang berpenampilan menarik.")</f>
        <v>B Saya suka dengan orang yang berpenampilan menarik.</v>
      </c>
      <c r="CI84" s="95" t="str">
        <f>IFERROR(__xludf.DUMMYFUNCTION("""COMPUTED_VALUE"""),"A Saya suka belajar saya teratur dan ada waktu-waktu tertentu untuk belajar.")</f>
        <v>A Saya suka belajar saya teratur dan ada waktu-waktu tertentu untuk belajar.</v>
      </c>
      <c r="CJ84" s="95" t="str">
        <f>IFERROR(__xludf.DUMMYFUNCTION("""COMPUTED_VALUE"""),"A Saya ingin tidak tergantung dari orang lain terhadap apa yang akan saya lakukan.")</f>
        <v>A Saya ingin tidak tergantung dari orang lain terhadap apa yang akan saya lakukan.</v>
      </c>
      <c r="CK84" s="95" t="str">
        <f>IFERROR(__xludf.DUMMYFUNCTION("""COMPUTED_VALUE"""),"B Saya senang ikut beraktivitas bersama teman sebaya saya.")</f>
        <v>B Saya senang ikut beraktivitas bersama teman sebaya saya.</v>
      </c>
      <c r="CL84" s="95" t="str">
        <f>IFERROR(__xludf.DUMMYFUNCTION("""COMPUTED_VALUE"""),"A Saya suka menolong teman-teman saya, apabila mereka dalam kesulitan.")</f>
        <v>A Saya suka menolong teman-teman saya, apabila mereka dalam kesulitan.</v>
      </c>
      <c r="CM84" s="95" t="str">
        <f>IFERROR(__xludf.DUMMYFUNCTION("""COMPUTED_VALUE"""),"A Saya ingin ditunjuk atau dipilih sebagai ketua dalam suatu kelompok.")</f>
        <v>A Saya ingin ditunjuk atau dipilih sebagai ketua dalam suatu kelompok.</v>
      </c>
      <c r="CN84" s="95" t="str">
        <f>IFERROR(__xludf.DUMMYFUNCTION("""COMPUTED_VALUE"""),"A Saya ingin diperlakukan dengan baik oleh teman-teman saya.")</f>
        <v>A Saya ingin diperlakukan dengan baik oleh teman-teman saya.</v>
      </c>
      <c r="CO84" s="95" t="str">
        <f>IFERROR(__xludf.DUMMYFUNCTION("""COMPUTED_VALUE"""),"B Saya suka memuji orang yang saya kagumi.")</f>
        <v>B Saya suka memuji orang yang saya kagumi.</v>
      </c>
      <c r="CP84" s="95" t="str">
        <f>IFERROR(__xludf.DUMMYFUNCTION("""COMPUTED_VALUE"""),"A Saya suka melamun atau membayangkan sesuatu sendirian.")</f>
        <v>A Saya suka melamun atau membayangkan sesuatu sendirian.</v>
      </c>
      <c r="CQ84" s="95" t="str">
        <f>IFERROR(__xludf.DUMMYFUNCTION("""COMPUTED_VALUE"""),"A Saya ingin menggertak orang bila saya berbeda pendapat dengan mereka.")</f>
        <v>A Saya ingin menggertak orang bila saya berbeda pendapat dengan mereka.</v>
      </c>
      <c r="CR84" s="95" t="str">
        <f>IFERROR(__xludf.DUMMYFUNCTION("""COMPUTED_VALUE"""),"B Saya rasanya ingin mengecam seseorang bila orang itu menjengkelkan.")</f>
        <v>B Saya rasanya ingin mengecam seseorang bila orang itu menjengkelkan.</v>
      </c>
      <c r="CS84" s="95" t="str">
        <f>IFERROR(__xludf.DUMMYFUNCTION("""COMPUTED_VALUE"""),"B Saya rasanya ingin membalas dendam bila seseorang menghina saya.")</f>
        <v>B Saya rasanya ingin membalas dendam bila seseorang menghina saya.</v>
      </c>
      <c r="CT84" s="95" t="str">
        <f>IFERROR(__xludf.DUMMYFUNCTION("""COMPUTED_VALUE"""),"B Saya saat marah rasanya ingin melemparkan dan merusak barang-barang.")</f>
        <v>B Saya saat marah rasanya ingin melemparkan dan merusak barang-barang.</v>
      </c>
      <c r="CU84" s="95" t="str">
        <f>IFERROR(__xludf.DUMMYFUNCTION("""COMPUTED_VALUE"""),"B Saya ingin menyalahkan orang lain bila keadaan tidak baik bagi saya.")</f>
        <v>B Saya ingin menyalahkan orang lain bila keadaan tidak baik bagi saya.</v>
      </c>
      <c r="CV84" s="95" t="str">
        <f>IFERROR(__xludf.DUMMYFUNCTION("""COMPUTED_VALUE"""),"A Saya ingin ditunjuk atau dipilih sebagai ketua dalam suatu kelompok.")</f>
        <v>A Saya ingin ditunjuk atau dipilih sebagai ketua dalam suatu kelompok.</v>
      </c>
      <c r="CW84" s="95" t="str">
        <f>IFERROR(__xludf.DUMMYFUNCTION("""COMPUTED_VALUE"""),"A Saya suka menolong teman-teman saya, apabila mereka dalam kesulitan.")</f>
        <v>A Saya suka menolong teman-teman saya, apabila mereka dalam kesulitan.</v>
      </c>
      <c r="CX84" s="95" t="str">
        <f>IFERROR(__xludf.DUMMYFUNCTION("""COMPUTED_VALUE"""),"B Saya ingin memperolok-olok orang yang saya anggap melakukan tindakan bodoh.")</f>
        <v>B Saya ingin memperolok-olok orang yang saya anggap melakukan tindakan bodoh.</v>
      </c>
      <c r="CY84" s="95" t="str">
        <f>IFERROR(__xludf.DUMMYFUNCTION("""COMPUTED_VALUE"""),"B Saya rasanya ingin membalas dendam bila seseorang menghina saya.")</f>
        <v>B Saya rasanya ingin membalas dendam bila seseorang menghina saya.</v>
      </c>
      <c r="CZ84" s="95" t="str">
        <f>IFERROR(__xludf.DUMMYFUNCTION("""COMPUTED_VALUE"""),"B Saya rasanya ingin menggertak orang bila saya berbeda pendapat dengan mereka.")</f>
        <v>B Saya rasanya ingin menggertak orang bila saya berbeda pendapat dengan mereka.</v>
      </c>
      <c r="DA84" s="95" t="str">
        <f>IFERROR(__xludf.DUMMYFUNCTION("""COMPUTED_VALUE"""),"B Saya rasanya ingin mengecam seseorang bila orang itu menjengkelkan.")</f>
        <v>B Saya rasanya ingin mengecam seseorang bila orang itu menjengkelkan.</v>
      </c>
      <c r="DB84" s="89" t="s">
        <v>23</v>
      </c>
      <c r="DC84" s="97" t="str">
        <f t="shared" ref="DC84:GX84" si="129">LEFT(F84,1)</f>
        <v>A</v>
      </c>
      <c r="DD84" s="97" t="str">
        <f t="shared" si="129"/>
        <v>B</v>
      </c>
      <c r="DE84" s="97" t="str">
        <f t="shared" si="129"/>
        <v>B</v>
      </c>
      <c r="DF84" s="97" t="str">
        <f t="shared" si="129"/>
        <v>B</v>
      </c>
      <c r="DG84" s="97" t="str">
        <f t="shared" si="129"/>
        <v>A</v>
      </c>
      <c r="DH84" s="97" t="str">
        <f t="shared" si="129"/>
        <v>A</v>
      </c>
      <c r="DI84" s="97" t="str">
        <f t="shared" si="129"/>
        <v>A</v>
      </c>
      <c r="DJ84" s="97" t="str">
        <f t="shared" si="129"/>
        <v>B</v>
      </c>
      <c r="DK84" s="97" t="str">
        <f t="shared" si="129"/>
        <v>B</v>
      </c>
      <c r="DL84" s="97" t="str">
        <f t="shared" si="129"/>
        <v>A</v>
      </c>
      <c r="DM84" s="97" t="str">
        <f t="shared" si="129"/>
        <v>A</v>
      </c>
      <c r="DN84" s="97" t="str">
        <f t="shared" si="129"/>
        <v>A</v>
      </c>
      <c r="DO84" s="97" t="str">
        <f t="shared" si="129"/>
        <v>B</v>
      </c>
      <c r="DP84" s="97" t="str">
        <f t="shared" si="129"/>
        <v>B</v>
      </c>
      <c r="DQ84" s="97" t="str">
        <f t="shared" si="129"/>
        <v>B</v>
      </c>
      <c r="DR84" s="97" t="str">
        <f t="shared" si="129"/>
        <v>A</v>
      </c>
      <c r="DS84" s="97" t="str">
        <f t="shared" si="129"/>
        <v>B</v>
      </c>
      <c r="DT84" s="97" t="str">
        <f t="shared" si="129"/>
        <v>A</v>
      </c>
      <c r="DU84" s="97" t="str">
        <f t="shared" si="129"/>
        <v>B</v>
      </c>
      <c r="DV84" s="97" t="str">
        <f t="shared" si="129"/>
        <v>A</v>
      </c>
      <c r="DW84" s="97" t="str">
        <f t="shared" si="129"/>
        <v>B</v>
      </c>
      <c r="DX84" s="97" t="str">
        <f t="shared" si="129"/>
        <v>B</v>
      </c>
      <c r="DY84" s="97" t="str">
        <f t="shared" si="129"/>
        <v>A</v>
      </c>
      <c r="DZ84" s="97" t="str">
        <f t="shared" si="129"/>
        <v>B</v>
      </c>
      <c r="EA84" s="97" t="str">
        <f t="shared" si="129"/>
        <v>B</v>
      </c>
      <c r="EB84" s="97" t="str">
        <f t="shared" si="129"/>
        <v>A</v>
      </c>
      <c r="EC84" s="97" t="str">
        <f t="shared" si="129"/>
        <v>B</v>
      </c>
      <c r="ED84" s="97" t="str">
        <f t="shared" si="129"/>
        <v>B</v>
      </c>
      <c r="EE84" s="97" t="str">
        <f t="shared" si="129"/>
        <v>B</v>
      </c>
      <c r="EF84" s="97" t="str">
        <f t="shared" si="129"/>
        <v>A</v>
      </c>
      <c r="EG84" s="97" t="str">
        <f t="shared" si="129"/>
        <v>A</v>
      </c>
      <c r="EH84" s="97" t="str">
        <f t="shared" si="129"/>
        <v>B</v>
      </c>
      <c r="EI84" s="97" t="str">
        <f t="shared" si="129"/>
        <v>B</v>
      </c>
      <c r="EJ84" s="97" t="str">
        <f t="shared" si="129"/>
        <v>A</v>
      </c>
      <c r="EK84" s="97" t="str">
        <f t="shared" si="129"/>
        <v>A</v>
      </c>
      <c r="EL84" s="97" t="str">
        <f t="shared" si="129"/>
        <v>A</v>
      </c>
      <c r="EM84" s="97" t="str">
        <f t="shared" si="129"/>
        <v>A</v>
      </c>
      <c r="EN84" s="97" t="str">
        <f t="shared" si="129"/>
        <v>A</v>
      </c>
      <c r="EO84" s="97" t="str">
        <f t="shared" si="129"/>
        <v>A</v>
      </c>
      <c r="EP84" s="97" t="str">
        <f t="shared" si="129"/>
        <v>A</v>
      </c>
      <c r="EQ84" s="97" t="str">
        <f t="shared" si="129"/>
        <v>B</v>
      </c>
      <c r="ER84" s="97" t="str">
        <f t="shared" si="129"/>
        <v>B</v>
      </c>
      <c r="ES84" s="97" t="str">
        <f t="shared" si="129"/>
        <v>A</v>
      </c>
      <c r="ET84" s="97" t="str">
        <f t="shared" si="129"/>
        <v>B</v>
      </c>
      <c r="EU84" s="97" t="str">
        <f t="shared" si="129"/>
        <v>B</v>
      </c>
      <c r="EV84" s="97" t="str">
        <f t="shared" si="129"/>
        <v>B</v>
      </c>
      <c r="EW84" s="97" t="str">
        <f t="shared" si="129"/>
        <v>B</v>
      </c>
      <c r="EX84" s="97" t="str">
        <f t="shared" si="129"/>
        <v>A</v>
      </c>
      <c r="EY84" s="97" t="str">
        <f t="shared" si="129"/>
        <v>B</v>
      </c>
      <c r="EZ84" s="97" t="str">
        <f t="shared" si="129"/>
        <v>A</v>
      </c>
      <c r="FA84" s="97" t="str">
        <f t="shared" si="129"/>
        <v>A</v>
      </c>
      <c r="FB84" s="97" t="str">
        <f t="shared" si="129"/>
        <v>A</v>
      </c>
      <c r="FC84" s="97" t="str">
        <f t="shared" si="129"/>
        <v>B</v>
      </c>
      <c r="FD84" s="97" t="str">
        <f t="shared" si="129"/>
        <v>A</v>
      </c>
      <c r="FE84" s="97" t="str">
        <f t="shared" si="129"/>
        <v>B</v>
      </c>
      <c r="FF84" s="97" t="str">
        <f t="shared" si="129"/>
        <v>A</v>
      </c>
      <c r="FG84" s="97" t="str">
        <f t="shared" si="129"/>
        <v>B</v>
      </c>
      <c r="FH84" s="97" t="str">
        <f t="shared" si="129"/>
        <v>B</v>
      </c>
      <c r="FI84" s="97" t="str">
        <f t="shared" si="129"/>
        <v>B</v>
      </c>
      <c r="FJ84" s="97" t="str">
        <f t="shared" si="129"/>
        <v>A</v>
      </c>
      <c r="FK84" s="97" t="str">
        <f t="shared" si="129"/>
        <v>A</v>
      </c>
      <c r="FL84" s="97" t="str">
        <f t="shared" si="129"/>
        <v>B</v>
      </c>
      <c r="FM84" s="97" t="str">
        <f t="shared" si="129"/>
        <v>B</v>
      </c>
      <c r="FN84" s="97" t="str">
        <f t="shared" si="129"/>
        <v>B</v>
      </c>
      <c r="FO84" s="97" t="str">
        <f t="shared" si="129"/>
        <v>A</v>
      </c>
      <c r="FP84" s="97" t="str">
        <f t="shared" si="129"/>
        <v>A</v>
      </c>
      <c r="FQ84" s="97" t="str">
        <f t="shared" si="129"/>
        <v>A</v>
      </c>
      <c r="FR84" s="97" t="str">
        <f t="shared" si="129"/>
        <v>B</v>
      </c>
      <c r="FS84" s="97" t="str">
        <f t="shared" si="129"/>
        <v>B</v>
      </c>
      <c r="FT84" s="97" t="str">
        <f t="shared" si="129"/>
        <v>B</v>
      </c>
      <c r="FU84" s="97" t="str">
        <f t="shared" si="129"/>
        <v>B</v>
      </c>
      <c r="FV84" s="97" t="str">
        <f t="shared" si="129"/>
        <v>A</v>
      </c>
      <c r="FW84" s="97" t="str">
        <f t="shared" si="129"/>
        <v>A</v>
      </c>
      <c r="FX84" s="97" t="str">
        <f t="shared" si="129"/>
        <v>A</v>
      </c>
      <c r="FY84" s="97" t="str">
        <f t="shared" si="129"/>
        <v>A</v>
      </c>
      <c r="FZ84" s="97" t="str">
        <f t="shared" si="129"/>
        <v>B</v>
      </c>
      <c r="GA84" s="97" t="str">
        <f t="shared" si="129"/>
        <v>B</v>
      </c>
      <c r="GB84" s="97" t="str">
        <f t="shared" si="129"/>
        <v>B</v>
      </c>
      <c r="GC84" s="97" t="str">
        <f t="shared" si="129"/>
        <v>A</v>
      </c>
      <c r="GD84" s="97" t="str">
        <f t="shared" si="129"/>
        <v>A</v>
      </c>
      <c r="GE84" s="97" t="str">
        <f t="shared" si="129"/>
        <v>B</v>
      </c>
      <c r="GF84" s="97" t="str">
        <f t="shared" si="129"/>
        <v>A</v>
      </c>
      <c r="GG84" s="97" t="str">
        <f t="shared" si="129"/>
        <v>A</v>
      </c>
      <c r="GH84" s="97" t="str">
        <f t="shared" si="129"/>
        <v>B</v>
      </c>
      <c r="GI84" s="97" t="str">
        <f t="shared" si="129"/>
        <v>A</v>
      </c>
      <c r="GJ84" s="97" t="str">
        <f t="shared" si="129"/>
        <v>A</v>
      </c>
      <c r="GK84" s="97" t="str">
        <f t="shared" si="129"/>
        <v>A</v>
      </c>
      <c r="GL84" s="97" t="str">
        <f t="shared" si="129"/>
        <v>B</v>
      </c>
      <c r="GM84" s="97" t="str">
        <f t="shared" si="129"/>
        <v>A</v>
      </c>
      <c r="GN84" s="97" t="str">
        <f t="shared" si="129"/>
        <v>A</v>
      </c>
      <c r="GO84" s="97" t="str">
        <f t="shared" si="129"/>
        <v>B</v>
      </c>
      <c r="GP84" s="97" t="str">
        <f t="shared" si="129"/>
        <v>B</v>
      </c>
      <c r="GQ84" s="97" t="str">
        <f t="shared" si="129"/>
        <v>B</v>
      </c>
      <c r="GR84" s="97" t="str">
        <f t="shared" si="129"/>
        <v>B</v>
      </c>
      <c r="GS84" s="97" t="str">
        <f t="shared" si="129"/>
        <v>A</v>
      </c>
      <c r="GT84" s="97" t="str">
        <f t="shared" si="129"/>
        <v>A</v>
      </c>
      <c r="GU84" s="97" t="str">
        <f t="shared" si="129"/>
        <v>B</v>
      </c>
      <c r="GV84" s="97" t="str">
        <f t="shared" si="129"/>
        <v>B</v>
      </c>
      <c r="GW84" s="97" t="str">
        <f t="shared" si="129"/>
        <v>B</v>
      </c>
      <c r="GX84" s="97" t="str">
        <f t="shared" si="129"/>
        <v>B</v>
      </c>
      <c r="GY84" s="98"/>
      <c r="GZ84" s="97">
        <f t="shared" si="3"/>
        <v>48</v>
      </c>
      <c r="HA84" s="97">
        <f t="shared" si="4"/>
        <v>52</v>
      </c>
      <c r="HB84" s="90">
        <f t="shared" si="5"/>
        <v>100</v>
      </c>
      <c r="HC84" s="99"/>
      <c r="HD84" s="97">
        <f t="shared" si="6"/>
        <v>5</v>
      </c>
      <c r="HE84" s="97">
        <f t="shared" si="7"/>
        <v>5</v>
      </c>
      <c r="HF84" s="90">
        <f t="shared" si="8"/>
        <v>10</v>
      </c>
      <c r="HG84" s="99"/>
      <c r="HH84" s="97">
        <f t="shared" si="9"/>
        <v>3</v>
      </c>
      <c r="HI84" s="97">
        <f t="shared" si="10"/>
        <v>5</v>
      </c>
      <c r="HJ84" s="90">
        <f t="shared" si="11"/>
        <v>8</v>
      </c>
      <c r="HK84" s="99"/>
      <c r="HL84" s="97">
        <f t="shared" si="12"/>
        <v>4</v>
      </c>
      <c r="HM84" s="97">
        <f t="shared" si="13"/>
        <v>7</v>
      </c>
      <c r="HN84" s="90">
        <f t="shared" si="14"/>
        <v>11</v>
      </c>
      <c r="HO84" s="99"/>
      <c r="HP84" s="97">
        <f t="shared" si="15"/>
        <v>0</v>
      </c>
      <c r="HQ84" s="97">
        <f t="shared" si="16"/>
        <v>2</v>
      </c>
      <c r="HR84" s="90">
        <f t="shared" si="17"/>
        <v>2</v>
      </c>
      <c r="HS84" s="99"/>
      <c r="HT84" s="97">
        <f t="shared" si="18"/>
        <v>7</v>
      </c>
      <c r="HU84" s="97">
        <f t="shared" si="19"/>
        <v>7</v>
      </c>
      <c r="HV84" s="90">
        <f t="shared" si="20"/>
        <v>14</v>
      </c>
      <c r="HW84" s="99"/>
      <c r="HX84" s="97">
        <f t="shared" si="21"/>
        <v>7</v>
      </c>
      <c r="HY84" s="97">
        <f t="shared" si="22"/>
        <v>5</v>
      </c>
      <c r="HZ84" s="90">
        <f t="shared" si="23"/>
        <v>12</v>
      </c>
      <c r="IA84" s="99"/>
      <c r="IB84" s="97">
        <f t="shared" si="24"/>
        <v>5</v>
      </c>
      <c r="IC84" s="97">
        <f t="shared" si="25"/>
        <v>6</v>
      </c>
      <c r="ID84" s="90">
        <f t="shared" si="26"/>
        <v>11</v>
      </c>
      <c r="IE84" s="99"/>
      <c r="IF84" s="97">
        <f t="shared" si="27"/>
        <v>1</v>
      </c>
      <c r="IG84" s="97">
        <f t="shared" si="28"/>
        <v>4</v>
      </c>
      <c r="IH84" s="90">
        <f t="shared" si="29"/>
        <v>5</v>
      </c>
      <c r="II84" s="99"/>
      <c r="IJ84" s="97">
        <f t="shared" si="30"/>
        <v>3</v>
      </c>
      <c r="IK84" s="97">
        <f t="shared" si="31"/>
        <v>3</v>
      </c>
      <c r="IL84" s="90">
        <f t="shared" si="32"/>
        <v>6</v>
      </c>
      <c r="IM84" s="99"/>
      <c r="IN84" s="97">
        <f t="shared" si="33"/>
        <v>7</v>
      </c>
      <c r="IO84" s="97">
        <f t="shared" si="34"/>
        <v>8</v>
      </c>
      <c r="IP84" s="90">
        <f t="shared" si="35"/>
        <v>15</v>
      </c>
      <c r="IQ84" s="99"/>
      <c r="IR84" s="99"/>
      <c r="IS84" s="100">
        <f t="shared" si="36"/>
        <v>10</v>
      </c>
      <c r="IT84" s="100">
        <f t="shared" si="37"/>
        <v>8</v>
      </c>
      <c r="IU84" s="100">
        <f t="shared" si="38"/>
        <v>11</v>
      </c>
      <c r="IV84" s="100">
        <f t="shared" si="39"/>
        <v>2</v>
      </c>
      <c r="IW84" s="100">
        <f t="shared" si="40"/>
        <v>14</v>
      </c>
      <c r="IX84" s="100">
        <f t="shared" si="41"/>
        <v>12</v>
      </c>
      <c r="IY84" s="100">
        <f t="shared" si="42"/>
        <v>11</v>
      </c>
      <c r="IZ84" s="100">
        <f t="shared" si="43"/>
        <v>5</v>
      </c>
      <c r="JA84" s="100">
        <f t="shared" si="44"/>
        <v>6</v>
      </c>
      <c r="JB84" s="101">
        <f t="shared" si="45"/>
        <v>15</v>
      </c>
      <c r="JC84" s="102">
        <f t="shared" si="46"/>
        <v>94</v>
      </c>
      <c r="JD84" s="67">
        <f t="shared" si="50"/>
        <v>1</v>
      </c>
      <c r="JE84" s="67">
        <f t="shared" si="47"/>
        <v>3</v>
      </c>
      <c r="JF84" s="67">
        <f t="shared" si="48"/>
        <v>4</v>
      </c>
    </row>
    <row r="85">
      <c r="A85" s="103">
        <f>IFERROR(__xludf.DUMMYFUNCTION("""COMPUTED_VALUE"""),45941.40245516204)</f>
        <v>45941.40246</v>
      </c>
      <c r="B85" s="95" t="str">
        <f>IFERROR(__xludf.DUMMYFUNCTION("""COMPUTED_VALUE"""),"FATAN IHYA AS-SUNNAH")</f>
        <v>FATAN IHYA AS-SUNNAH</v>
      </c>
      <c r="C85" s="96" t="str">
        <f>IFERROR(__xludf.DUMMYFUNCTION("""COMPUTED_VALUE"""),"A250031")</f>
        <v>A250031</v>
      </c>
      <c r="D85" s="96" t="str">
        <f>IFERROR(__xludf.DUMMYFUNCTION("""COMPUTED_VALUE"""),"MTs Putra")</f>
        <v>MTs Putra</v>
      </c>
      <c r="E85" s="96" t="str">
        <f>IFERROR(__xludf.DUMMYFUNCTION("""COMPUTED_VALUE"""),"Ya")</f>
        <v>Ya</v>
      </c>
      <c r="F85" s="95" t="str">
        <f>IFERROR(__xludf.DUMMYFUNCTION("""COMPUTED_VALUE"""),"A Saya ingin mengerjakan segala tugas lebih baik daripada orang lain.")</f>
        <v>A Saya ingin mengerjakan segala tugas lebih baik daripada orang lain.</v>
      </c>
      <c r="G85" s="95" t="str">
        <f>IFERROR(__xludf.DUMMYFUNCTION("""COMPUTED_VALUE"""),"A Saya ingin setiap tulisan saya teliti, rapi, dan tersusun dengan baik.")</f>
        <v>A Saya ingin setiap tulisan saya teliti, rapi, dan tersusun dengan baik.</v>
      </c>
      <c r="H85" s="95" t="str">
        <f>IFERROR(__xludf.DUMMYFUNCTION("""COMPUTED_VALUE"""),"A Saya ingin berbuat sesuai kata hati saya.")</f>
        <v>A Saya ingin berbuat sesuai kata hati saya.</v>
      </c>
      <c r="I85" s="95" t="str">
        <f>IFERROR(__xludf.DUMMYFUNCTION("""COMPUTED_VALUE"""),"B Saya ingin bisa melakukan dengan baik meskipun tugas yang sulit.")</f>
        <v>B Saya ingin bisa melakukan dengan baik meskipun tugas yang sulit.</v>
      </c>
      <c r="J85" s="95" t="str">
        <f>IFERROR(__xludf.DUMMYFUNCTION("""COMPUTED_VALUE"""),"A Saya suka membantu teman-teman saya apabila mereka mengalami kesulitan.")</f>
        <v>A Saya suka membantu teman-teman saya apabila mereka mengalami kesulitan.</v>
      </c>
      <c r="K85" s="95" t="str">
        <f>IFERROR(__xludf.DUMMYFUNCTION("""COMPUTED_VALUE"""),"B Saya ingin mengatakan telah melakukan dengan baik sesuatu tugas yang sulit.")</f>
        <v>B Saya ingin mengatakan telah melakukan dengan baik sesuatu tugas yang sulit.</v>
      </c>
      <c r="L85" s="95" t="str">
        <f>IFERROR(__xludf.DUMMYFUNCTION("""COMPUTED_VALUE"""),"B Saya ingin mengatakan telah melakukan dengan baik sesuatu tugas yang sulit")</f>
        <v>B Saya ingin mengatakan telah melakukan dengan baik sesuatu tugas yang sulit</v>
      </c>
      <c r="M85" s="95" t="str">
        <f>IFERROR(__xludf.DUMMYFUNCTION("""COMPUTED_VALUE"""),"B Saya ingin mengerjakan segala tugas lebih baik daripada orang lain.")</f>
        <v>B Saya ingin mengerjakan segala tugas lebih baik daripada orang lain.</v>
      </c>
      <c r="N85" s="95" t="str">
        <f>IFERROR(__xludf.DUMMYFUNCTION("""COMPUTED_VALUE"""),"B Saya suka memecahkan persoalan yang sukar bagi orang lain.")</f>
        <v>B Saya suka memecahkan persoalan yang sukar bagi orang lain.</v>
      </c>
      <c r="O85" s="95" t="str">
        <f>IFERROR(__xludf.DUMMYFUNCTION("""COMPUTED_VALUE"""),"B Saya suka melakukan tugas sebaik mungkin.")</f>
        <v>B Saya suka melakukan tugas sebaik mungkin.</v>
      </c>
      <c r="P85" s="95" t="str">
        <f>IFERROR(__xludf.DUMMYFUNCTION("""COMPUTED_VALUE"""),"B Saya ingin setiap belajar itu teratur dan direncanakan.")</f>
        <v>B Saya ingin setiap belajar itu teratur dan direncanakan.</v>
      </c>
      <c r="Q85" s="95" t="str">
        <f>IFERROR(__xludf.DUMMYFUNCTION("""COMPUTED_VALUE"""),"B Saya merencanakan keperluan yang dibutuhkan sebelum bepergian.")</f>
        <v>B Saya merencanakan keperluan yang dibutuhkan sebelum bepergian.</v>
      </c>
      <c r="R85" s="95" t="str">
        <f>IFERROR(__xludf.DUMMYFUNCTION("""COMPUTED_VALUE"""),"B Saya suka barang-barang saya tersusun rapi dan teratur.")</f>
        <v>B Saya suka barang-barang saya tersusun rapi dan teratur.</v>
      </c>
      <c r="S85" s="95" t="str">
        <f>IFERROR(__xludf.DUMMYFUNCTION("""COMPUTED_VALUE"""),"B Saya suka membuat perencanaan sebelum memulai tugas yang sulit.")</f>
        <v>B Saya suka membuat perencanaan sebelum memulai tugas yang sulit.</v>
      </c>
      <c r="T85" s="95" t="str">
        <f>IFERROR(__xludf.DUMMYFUNCTION("""COMPUTED_VALUE"""),"B Saya ingin agar hidup saya teratur sesuai cita-cita saya.")</f>
        <v>B Saya ingin agar hidup saya teratur sesuai cita-cita saya.</v>
      </c>
      <c r="U85" s="95" t="str">
        <f>IFERROR(__xludf.DUMMYFUNCTION("""COMPUTED_VALUE"""),"A Saya suka memberikan bantuan kepada teman-teman saya.")</f>
        <v>A Saya suka memberikan bantuan kepada teman-teman saya.</v>
      </c>
      <c r="V85" s="95" t="str">
        <f>IFERROR(__xludf.DUMMYFUNCTION("""COMPUTED_VALUE"""),"A Saya suka belajar sampai malam untuk menyelesaikan suatu tugas.")</f>
        <v>A Saya suka belajar sampai malam untuk menyelesaikan suatu tugas.</v>
      </c>
      <c r="W85" s="95" t="str">
        <f>IFERROR(__xludf.DUMMYFUNCTION("""COMPUTED_VALUE"""),"A Saya suka melakukan kegiatan sesuai kondisi yang saya inginkan.")</f>
        <v>A Saya suka melakukan kegiatan sesuai kondisi yang saya inginkan.</v>
      </c>
      <c r="X85" s="95" t="str">
        <f>IFERROR(__xludf.DUMMYFUNCTION("""COMPUTED_VALUE"""),"B Saya ingin agar hidup saya teratur sesuai cita-cita saya.")</f>
        <v>B Saya ingin agar hidup saya teratur sesuai cita-cita saya.</v>
      </c>
      <c r="Y85" s="95" t="str">
        <f>IFERROR(__xludf.DUMMYFUNCTION("""COMPUTED_VALUE"""),"A Saya suka menyelesaikan tugas-tugas yang membutuhkan ketrampilan dan usaha.")</f>
        <v>A Saya suka menyelesaikan tugas-tugas yang membutuhkan ketrampilan dan usaha.</v>
      </c>
      <c r="Z85" s="95" t="str">
        <f>IFERROR(__xludf.DUMMYFUNCTION("""COMPUTED_VALUE"""),"A Saya ingin berhasil dengan belajar yang saya lakukan.")</f>
        <v>A Saya ingin berhasil dengan belajar yang saya lakukan.</v>
      </c>
      <c r="AA85" s="95" t="str">
        <f>IFERROR(__xludf.DUMMYFUNCTION("""COMPUTED_VALUE"""),"B Saya tidak suka pada orang yang berbuat seenaknya sendiri.")</f>
        <v>B Saya tidak suka pada orang yang berbuat seenaknya sendiri.</v>
      </c>
      <c r="AB85" s="95" t="str">
        <f>IFERROR(__xludf.DUMMYFUNCTION("""COMPUTED_VALUE"""),"B Saya ingin menyelesaikan pekerjaan satu persatu sebelum memulai yang lain.")</f>
        <v>B Saya ingin menyelesaikan pekerjaan satu persatu sebelum memulai yang lain.</v>
      </c>
      <c r="AC85" s="95" t="str">
        <f>IFERROR(__xludf.DUMMYFUNCTION("""COMPUTED_VALUE"""),"A Saya suka menyelesaikan setiap tugas meskipun membutuhkan waktu lama.")</f>
        <v>A Saya suka menyelesaikan setiap tugas meskipun membutuhkan waktu lama.</v>
      </c>
      <c r="AD85" s="95" t="str">
        <f>IFERROR(__xludf.DUMMYFUNCTION("""COMPUTED_VALUE"""),"A Saya suka bermurah hati terhadap teman-teman saya.")</f>
        <v>A Saya suka bermurah hati terhadap teman-teman saya.</v>
      </c>
      <c r="AE85" s="95" t="str">
        <f>IFERROR(__xludf.DUMMYFUNCTION("""COMPUTED_VALUE"""),"B Saya suka melakukan hal-hal yang dianggap orang lain tidak sesuai.")</f>
        <v>B Saya suka melakukan hal-hal yang dianggap orang lain tidak sesuai.</v>
      </c>
      <c r="AF85" s="95" t="str">
        <f>IFERROR(__xludf.DUMMYFUNCTION("""COMPUTED_VALUE"""),"B Saya suka melakukan hal-hal dengan cara saya sendiri.")</f>
        <v>B Saya suka melakukan hal-hal dengan cara saya sendiri.</v>
      </c>
      <c r="AG85" s="95" t="str">
        <f>IFERROR(__xludf.DUMMYFUNCTION("""COMPUTED_VALUE"""),"A Saya mengajari orang lain bagaimana mereka harus melakukan pekerjaan mereka.")</f>
        <v>A Saya mengajari orang lain bagaimana mereka harus melakukan pekerjaan mereka.</v>
      </c>
      <c r="AH85" s="95" t="str">
        <f>IFERROR(__xludf.DUMMYFUNCTION("""COMPUTED_VALUE"""),"B Saya ingin merasa bebas untuk melakukan apa yang saya kehendaki.")</f>
        <v>B Saya ingin merasa bebas untuk melakukan apa yang saya kehendaki.</v>
      </c>
      <c r="AI85" s="95" t="str">
        <f>IFERROR(__xludf.DUMMYFUNCTION("""COMPUTED_VALUE"""),"B Saya suka melakukan kegiatan sesuai kondisi yang saya inginkan.")</f>
        <v>B Saya suka melakukan kegiatan sesuai kondisi yang saya inginkan.</v>
      </c>
      <c r="AJ85" s="95" t="str">
        <f>IFERROR(__xludf.DUMMYFUNCTION("""COMPUTED_VALUE"""),"B Saya suka bertahan menghadapi satu masalah meskipun belum tentu berhasil.")</f>
        <v>B Saya suka bertahan menghadapi satu masalah meskipun belum tentu berhasil.</v>
      </c>
      <c r="AK85" s="95" t="str">
        <f>IFERROR(__xludf.DUMMYFUNCTION("""COMPUTED_VALUE"""),"B Bila saya harus melakukan suatu tugas, saya ingin mengerjakan sampai selesai.")</f>
        <v>B Bila saya harus melakukan suatu tugas, saya ingin mengerjakan sampai selesai.</v>
      </c>
      <c r="AL85" s="95" t="str">
        <f>IFERROR(__xludf.DUMMYFUNCTION("""COMPUTED_VALUE"""),"A Saya suka berbicara tentang hal-hal yang telah saya capai.")</f>
        <v>A Saya suka berbicara tentang hal-hal yang telah saya capai.</v>
      </c>
      <c r="AM85" s="95" t="str">
        <f>IFERROR(__xludf.DUMMYFUNCTION("""COMPUTED_VALUE"""),"B Saya suka belajar sampai malam untuk menyelesaikan suatu tugas.")</f>
        <v>B Saya suka belajar sampai malam untuk menyelesaikan suatu tugas.</v>
      </c>
      <c r="AN85" s="95" t="str">
        <f>IFERROR(__xludf.DUMMYFUNCTION("""COMPUTED_VALUE"""),"A Saya tidak suka pada orang yang semena-mena.")</f>
        <v>A Saya tidak suka pada orang yang semena-mena.</v>
      </c>
      <c r="AO85" s="95" t="str">
        <f>IFERROR(__xludf.DUMMYFUNCTION("""COMPUTED_VALUE"""),"B Saya suka menyelesaikan setiap tugas meskipun membutuhkan waktu lama.")</f>
        <v>B Saya suka menyelesaikan setiap tugas meskipun membutuhkan waktu lama.</v>
      </c>
      <c r="AP85" s="95" t="str">
        <f>IFERROR(__xludf.DUMMYFUNCTION("""COMPUTED_VALUE"""),"B Saya suka bertahan menghadapi satu masalah meskipun belum tentu berhasil.")</f>
        <v>B Saya suka bertahan menghadapi satu masalah meskipun belum tentu berhasil.</v>
      </c>
      <c r="AQ85" s="95" t="str">
        <f>IFERROR(__xludf.DUMMYFUNCTION("""COMPUTED_VALUE"""),"A Saya ingin bisa mengerjakan segala sesuatu lebih baik daripada orang-orang lain.")</f>
        <v>A Saya ingin bisa mengerjakan segala sesuatu lebih baik daripada orang-orang lain.</v>
      </c>
      <c r="AR85" s="95" t="str">
        <f>IFERROR(__xludf.DUMMYFUNCTION("""COMPUTED_VALUE"""),"B Saya suka belajar keras pada tiap pelajaran yang saya hadapi.")</f>
        <v>B Saya suka belajar keras pada tiap pelajaran yang saya hadapi.</v>
      </c>
      <c r="AS85" s="95" t="str">
        <f>IFERROR(__xludf.DUMMYFUNCTION("""COMPUTED_VALUE"""),"B Saya suka belajar sampai malam untuk menyelesaikan suatu tugas.")</f>
        <v>B Saya suka belajar sampai malam untuk menyelesaikan suatu tugas.</v>
      </c>
      <c r="AT85" s="95" t="str">
        <f>IFERROR(__xludf.DUMMYFUNCTION("""COMPUTED_VALUE"""),"A Saya ingin bisa melakukan dengan baik sesuatu pekerjaan sulit.")</f>
        <v>A Saya ingin bisa melakukan dengan baik sesuatu pekerjaan sulit.</v>
      </c>
      <c r="AU85" s="95" t="str">
        <f>IFERROR(__xludf.DUMMYFUNCTION("""COMPUTED_VALUE"""),"B Saya suka bermurah hati terhadap teman-teman saya.")</f>
        <v>B Saya suka bermurah hati terhadap teman-teman saya.</v>
      </c>
      <c r="AV85" s="95" t="str">
        <f>IFERROR(__xludf.DUMMYFUNCTION("""COMPUTED_VALUE"""),"B Saya suka menolong teman-teman saya.")</f>
        <v>B Saya suka menolong teman-teman saya.</v>
      </c>
      <c r="AW85" s="95" t="str">
        <f>IFERROR(__xludf.DUMMYFUNCTION("""COMPUTED_VALUE"""),"B Saya ingin teman-teman saya percaya bahwa saya bisa menolong mereka.")</f>
        <v>B Saya ingin teman-teman saya percaya bahwa saya bisa menolong mereka.</v>
      </c>
      <c r="AX85" s="95" t="str">
        <f>IFERROR(__xludf.DUMMYFUNCTION("""COMPUTED_VALUE"""),"B Saya suka memaafkan teman-teman saya yang menyakiti hati saya.")</f>
        <v>B Saya suka memaafkan teman-teman saya yang menyakiti hati saya.</v>
      </c>
      <c r="AY85" s="95" t="str">
        <f>IFERROR(__xludf.DUMMYFUNCTION("""COMPUTED_VALUE"""),"B Saya suka menolong teman-teman saya apabila mereka dalam kesulitan.")</f>
        <v>B Saya suka menolong teman-teman saya apabila mereka dalam kesulitan.</v>
      </c>
      <c r="AZ85" s="95" t="str">
        <f>IFERROR(__xludf.DUMMYFUNCTION("""COMPUTED_VALUE"""),"A Saya ingin agar teman-teman saya bersimpati dan menghibur saya bila saya sedih.")</f>
        <v>A Saya ingin agar teman-teman saya bersimpati dan menghibur saya bila saya sedih.</v>
      </c>
      <c r="BA85" s="95" t="str">
        <f>IFERROR(__xludf.DUMMYFUNCTION("""COMPUTED_VALUE"""),"B Saya suka memperlakukan orang lain dengan baik dan ramah.")</f>
        <v>B Saya suka memperlakukan orang lain dengan baik dan ramah.</v>
      </c>
      <c r="BB85" s="95" t="str">
        <f>IFERROR(__xludf.DUMMYFUNCTION("""COMPUTED_VALUE"""),"B Saya suka bermurah hati terhadap teman-teman saya.")</f>
        <v>B Saya suka bermurah hati terhadap teman-teman saya.</v>
      </c>
      <c r="BC85" s="95" t="str">
        <f>IFERROR(__xludf.DUMMYFUNCTION("""COMPUTED_VALUE"""),"B Saya suka membantu orang lain yang menurut saya perlu dikasihani.")</f>
        <v>B Saya suka membantu orang lain yang menurut saya perlu dikasihani.</v>
      </c>
      <c r="BD85" s="95" t="str">
        <f>IFERROR(__xludf.DUMMYFUNCTION("""COMPUTED_VALUE"""),"B Saya suka bersikukuh dengan pendirian saya.")</f>
        <v>B Saya suka bersikukuh dengan pendirian saya.</v>
      </c>
      <c r="BE85" s="95" t="str">
        <f>IFERROR(__xludf.DUMMYFUNCTION("""COMPUTED_VALUE"""),"B Saya ingin orang lain melakukan apa yang saya kehendaki.")</f>
        <v>B Saya ingin orang lain melakukan apa yang saya kehendaki.</v>
      </c>
      <c r="BF85" s="95" t="str">
        <f>IFERROR(__xludf.DUMMYFUNCTION("""COMPUTED_VALUE"""),"A Saya ingin orang lain memperhatikan dan berkomentar tentang penampilan saya.")</f>
        <v>A Saya ingin orang lain memperhatikan dan berkomentar tentang penampilan saya.</v>
      </c>
      <c r="BG85" s="95" t="str">
        <f>IFERROR(__xludf.DUMMYFUNCTION("""COMPUTED_VALUE"""),"B Saya suka mengarahkan kepada orang lain apa yang harus dilakukan.")</f>
        <v>B Saya suka mengarahkan kepada orang lain apa yang harus dilakukan.</v>
      </c>
      <c r="BH85" s="95" t="str">
        <f>IFERROR(__xludf.DUMMYFUNCTION("""COMPUTED_VALUE"""),"B Apabila saya berkumpul dalam kelompok, saya ingin dihargai teman-teman.")</f>
        <v>B Apabila saya berkumpul dalam kelompok, saya ingin dihargai teman-teman.</v>
      </c>
      <c r="BI85" s="95" t="str">
        <f>IFERROR(__xludf.DUMMYFUNCTION("""COMPUTED_VALUE"""),"A Saya suka bermurah hati terhadap teman-teman saya.")</f>
        <v>A Saya suka bermurah hati terhadap teman-teman saya.</v>
      </c>
      <c r="BJ85" s="95" t="str">
        <f>IFERROR(__xludf.DUMMYFUNCTION("""COMPUTED_VALUE"""),"A Saya ingin mengerjakan tugas sampai selesai.")</f>
        <v>A Saya ingin mengerjakan tugas sampai selesai.</v>
      </c>
      <c r="BK85" s="95" t="str">
        <f>IFERROR(__xludf.DUMMYFUNCTION("""COMPUTED_VALUE"""),"A Saya ingin menyelesaikan pekerjaan satu persatu sebelum memulai yang lain.")</f>
        <v>A Saya ingin menyelesaikan pekerjaan satu persatu sebelum memulai yang lain.</v>
      </c>
      <c r="BL85" s="95" t="str">
        <f>IFERROR(__xludf.DUMMYFUNCTION("""COMPUTED_VALUE"""),"A Saya suka belajar saya teratur dan ada waktu-waktu tertentu untuk belajar.")</f>
        <v>A Saya suka belajar saya teratur dan ada waktu-waktu tertentu untuk belajar.</v>
      </c>
      <c r="BM85" s="95" t="str">
        <f>IFERROR(__xludf.DUMMYFUNCTION("""COMPUTED_VALUE"""),"A Saya suka melakukan pekerjaan sebaik mungkin.")</f>
        <v>A Saya suka melakukan pekerjaan sebaik mungkin.</v>
      </c>
      <c r="BN85" s="95" t="str">
        <f>IFERROR(__xludf.DUMMYFUNCTION("""COMPUTED_VALUE"""),"B Saya ingin teman-teman memberi dorongan bila saya menghadapi kegagalan.")</f>
        <v>B Saya ingin teman-teman memberi dorongan bila saya menghadapi kegagalan.</v>
      </c>
      <c r="BO85" s="95" t="str">
        <f>IFERROR(__xludf.DUMMYFUNCTION("""COMPUTED_VALUE"""),"B Saya ingin diperlakukan dengan baik oleh teman-teman saya.")</f>
        <v>B Saya ingin diperlakukan dengan baik oleh teman-teman saya.</v>
      </c>
      <c r="BP85" s="95" t="str">
        <f>IFERROR(__xludf.DUMMYFUNCTION("""COMPUTED_VALUE"""),"A Saya ingin menyelesaikan sesuatu yang sangat penting artinya.")</f>
        <v>A Saya ingin menyelesaikan sesuatu yang sangat penting artinya.</v>
      </c>
      <c r="BQ85" s="95" t="str">
        <f>IFERROR(__xludf.DUMMYFUNCTION("""COMPUTED_VALUE"""),"A Saya ingin mengerjakannya tugas sampai selesai.")</f>
        <v>A Saya ingin mengerjakannya tugas sampai selesai.</v>
      </c>
      <c r="BR85" s="95" t="str">
        <f>IFERROR(__xludf.DUMMYFUNCTION("""COMPUTED_VALUE"""),"A Saya suka memaafkan teman-teman saya yang menyakiti hati saya.")</f>
        <v>A Saya suka memaafkan teman-teman saya yang menyakiti hati saya.</v>
      </c>
      <c r="BS85" s="95" t="str">
        <f>IFERROR(__xludf.DUMMYFUNCTION("""COMPUTED_VALUE"""),"B Saya ingin teman-teman saya membantu saya bila saya mengalami kesulitan")</f>
        <v>B Saya ingin teman-teman saya membantu saya bila saya mengalami kesulitan</v>
      </c>
      <c r="BT85" s="95" t="str">
        <f>IFERROR(__xludf.DUMMYFUNCTION("""COMPUTED_VALUE"""),"B Saya ingin teman-teman banyak menunjukkan rasa sayang mereka terhadap saya.")</f>
        <v>B Saya ingin teman-teman banyak menunjukkan rasa sayang mereka terhadap saya.</v>
      </c>
      <c r="BU85" s="95" t="str">
        <f>IFERROR(__xludf.DUMMYFUNCTION("""COMPUTED_VALUE"""),"A Saya kadang-kadang suka melakukan hal-hal yang dapat dipuji oleh orang lain.")</f>
        <v>A Saya kadang-kadang suka melakukan hal-hal yang dapat dipuji oleh orang lain.</v>
      </c>
      <c r="BV85" s="95" t="str">
        <f>IFERROR(__xludf.DUMMYFUNCTION("""COMPUTED_VALUE"""),"A Saya ingin dianggap menarik oleh orang lain.")</f>
        <v>A Saya ingin dianggap menarik oleh orang lain.</v>
      </c>
      <c r="BW85" s="95" t="str">
        <f>IFERROR(__xludf.DUMMYFUNCTION("""COMPUTED_VALUE"""),"B Saya ingin diperlakukan dengan baik oleh teman-teman saya.")</f>
        <v>B Saya ingin diperlakukan dengan baik oleh teman-teman saya.</v>
      </c>
      <c r="BX85" s="95" t="str">
        <f>IFERROR(__xludf.DUMMYFUNCTION("""COMPUTED_VALUE"""),"B Saya kadang-kadang suka melakukan hal-hal yang dapat dipuji oleh orang lain.")</f>
        <v>B Saya kadang-kadang suka melakukan hal-hal yang dapat dipuji oleh orang lain.</v>
      </c>
      <c r="BY85" s="95" t="str">
        <f>IFERROR(__xludf.DUMMYFUNCTION("""COMPUTED_VALUE"""),"B Saya ingin orang lain memperhatikan dan berkomentar tentang penampilan saya.")</f>
        <v>B Saya ingin orang lain memperhatikan dan berkomentar tentang penampilan saya.</v>
      </c>
      <c r="BZ85" s="95" t="str">
        <f>IFERROR(__xludf.DUMMYFUNCTION("""COMPUTED_VALUE"""),"B Saya suka diperhatikan, apabila saya ada di dalam suatu kelompok.")</f>
        <v>B Saya suka diperhatikan, apabila saya ada di dalam suatu kelompok.</v>
      </c>
      <c r="CA85" s="95" t="str">
        <f>IFERROR(__xludf.DUMMYFUNCTION("""COMPUTED_VALUE"""),"A Saya ingin teman-teman dengan gembira memberikan pertolongan kepada saya.")</f>
        <v>A Saya ingin teman-teman dengan gembira memberikan pertolongan kepada saya.</v>
      </c>
      <c r="CB85" s="95" t="str">
        <f>IFERROR(__xludf.DUMMYFUNCTION("""COMPUTED_VALUE"""),"B Saya suka berbicara tentang hal-hal yang telah saya capai.")</f>
        <v>B Saya suka berbicara tentang hal-hal yang telah saya capai.</v>
      </c>
      <c r="CC85" s="95" t="str">
        <f>IFERROR(__xludf.DUMMYFUNCTION("""COMPUTED_VALUE"""),"A Apabila saya berkumpul dalam kelompok, saya ingin dihargai teman-teman.")</f>
        <v>A Apabila saya berkumpul dalam kelompok, saya ingin dihargai teman-teman.</v>
      </c>
      <c r="CD85" s="95" t="str">
        <f>IFERROR(__xludf.DUMMYFUNCTION("""COMPUTED_VALUE"""),"A Saya suka menyelesaikan setiap tugas meskipun membutuhkan waktu lama.")</f>
        <v>A Saya suka menyelesaikan setiap tugas meskipun membutuhkan waktu lama.</v>
      </c>
      <c r="CE85" s="95" t="str">
        <f>IFERROR(__xludf.DUMMYFUNCTION("""COMPUTED_VALUE"""),"B Saya kadang-kadang suka melakukan hal-hal yang dapat dipuji oleh orang lain.")</f>
        <v>B Saya kadang-kadang suka melakukan hal-hal yang dapat dipuji oleh orang lain.</v>
      </c>
      <c r="CF85" s="95" t="str">
        <f>IFERROR(__xludf.DUMMYFUNCTION("""COMPUTED_VALUE"""),"A Saya ingin agar hidup saya teratur sesuai cita-cita saya.")</f>
        <v>A Saya ingin agar hidup saya teratur sesuai cita-cita saya.</v>
      </c>
      <c r="CG85" s="95" t="str">
        <f>IFERROR(__xludf.DUMMYFUNCTION("""COMPUTED_VALUE"""),"A Saya ingin berhasil dalam apa yang saya lakukan.")</f>
        <v>A Saya ingin berhasil dalam apa yang saya lakukan.</v>
      </c>
      <c r="CH85" s="95" t="str">
        <f>IFERROR(__xludf.DUMMYFUNCTION("""COMPUTED_VALUE"""),"A Saya ingin bisa melakukan dengan baik sesuatu pekerjaan sulit.")</f>
        <v>A Saya ingin bisa melakukan dengan baik sesuatu pekerjaan sulit.</v>
      </c>
      <c r="CI85" s="95" t="str">
        <f>IFERROR(__xludf.DUMMYFUNCTION("""COMPUTED_VALUE"""),"A Saya suka belajar saya teratur dan ada waktu-waktu tertentu untuk belajar.")</f>
        <v>A Saya suka belajar saya teratur dan ada waktu-waktu tertentu untuk belajar.</v>
      </c>
      <c r="CJ85" s="95" t="str">
        <f>IFERROR(__xludf.DUMMYFUNCTION("""COMPUTED_VALUE"""),"A Saya ingin tidak tergantung dari orang lain terhadap apa yang akan saya lakukan.")</f>
        <v>A Saya ingin tidak tergantung dari orang lain terhadap apa yang akan saya lakukan.</v>
      </c>
      <c r="CK85" s="95" t="str">
        <f>IFERROR(__xludf.DUMMYFUNCTION("""COMPUTED_VALUE"""),"B Saya senang ikut beraktivitas bersama teman sebaya saya.")</f>
        <v>B Saya senang ikut beraktivitas bersama teman sebaya saya.</v>
      </c>
      <c r="CL85" s="95" t="str">
        <f>IFERROR(__xludf.DUMMYFUNCTION("""COMPUTED_VALUE"""),"A Saya suka menolong teman-teman saya, apabila mereka dalam kesulitan.")</f>
        <v>A Saya suka menolong teman-teman saya, apabila mereka dalam kesulitan.</v>
      </c>
      <c r="CM85" s="95" t="str">
        <f>IFERROR(__xludf.DUMMYFUNCTION("""COMPUTED_VALUE"""),"A Saya ingin ditunjuk atau dipilih sebagai ketua dalam suatu kelompok.")</f>
        <v>A Saya ingin ditunjuk atau dipilih sebagai ketua dalam suatu kelompok.</v>
      </c>
      <c r="CN85" s="95" t="str">
        <f>IFERROR(__xludf.DUMMYFUNCTION("""COMPUTED_VALUE"""),"A Saya ingin diperlakukan dengan baik oleh teman-teman saya.")</f>
        <v>A Saya ingin diperlakukan dengan baik oleh teman-teman saya.</v>
      </c>
      <c r="CO85" s="95" t="str">
        <f>IFERROR(__xludf.DUMMYFUNCTION("""COMPUTED_VALUE"""),"A Saya suka menceritakan hal-hal lucu agar diperhatikan oleh orang lain.")</f>
        <v>A Saya suka menceritakan hal-hal lucu agar diperhatikan oleh orang lain.</v>
      </c>
      <c r="CP85" s="95" t="str">
        <f>IFERROR(__xludf.DUMMYFUNCTION("""COMPUTED_VALUE"""),"A Saya suka melamun atau membayangkan sesuatu sendirian.")</f>
        <v>A Saya suka melamun atau membayangkan sesuatu sendirian.</v>
      </c>
      <c r="CQ85" s="95" t="str">
        <f>IFERROR(__xludf.DUMMYFUNCTION("""COMPUTED_VALUE"""),"B Saya merasa kagum pada seseorang.")</f>
        <v>B Saya merasa kagum pada seseorang.</v>
      </c>
      <c r="CR85" s="95" t="str">
        <f>IFERROR(__xludf.DUMMYFUNCTION("""COMPUTED_VALUE"""),"A Saya ingin memperolok-olok orang yang saya anggap melakukan tindakan bodoh.")</f>
        <v>A Saya ingin memperolok-olok orang yang saya anggap melakukan tindakan bodoh.</v>
      </c>
      <c r="CS85" s="95" t="str">
        <f>IFERROR(__xludf.DUMMYFUNCTION("""COMPUTED_VALUE"""),"B Saya rasanya ingin membalas dendam bila seseorang menghina saya.")</f>
        <v>B Saya rasanya ingin membalas dendam bila seseorang menghina saya.</v>
      </c>
      <c r="CT85" s="95" t="str">
        <f>IFERROR(__xludf.DUMMYFUNCTION("""COMPUTED_VALUE"""),"A Saya ingin orang-orang memperhatikan komentar mengenai penampilan saya.")</f>
        <v>A Saya ingin orang-orang memperhatikan komentar mengenai penampilan saya.</v>
      </c>
      <c r="CU85" s="95" t="str">
        <f>IFERROR(__xludf.DUMMYFUNCTION("""COMPUTED_VALUE"""),"A Saya ingin diperlakukan dengan ramah oleh teman-teman saya.")</f>
        <v>A Saya ingin diperlakukan dengan ramah oleh teman-teman saya.</v>
      </c>
      <c r="CV85" s="95" t="str">
        <f>IFERROR(__xludf.DUMMYFUNCTION("""COMPUTED_VALUE"""),"A Saya ingin ditunjuk atau dipilih sebagai ketua dalam suatu kelompok.")</f>
        <v>A Saya ingin ditunjuk atau dipilih sebagai ketua dalam suatu kelompok.</v>
      </c>
      <c r="CW85" s="95" t="str">
        <f>IFERROR(__xludf.DUMMYFUNCTION("""COMPUTED_VALUE"""),"A Saya suka menolong teman-teman saya, apabila mereka dalam kesulitan.")</f>
        <v>A Saya suka menolong teman-teman saya, apabila mereka dalam kesulitan.</v>
      </c>
      <c r="CX85" s="95" t="str">
        <f>IFERROR(__xludf.DUMMYFUNCTION("""COMPUTED_VALUE"""),"A Saya suka belajar sampai malam untuk menyelesaikan suatu tugas.")</f>
        <v>A Saya suka belajar sampai malam untuk menyelesaikan suatu tugas.</v>
      </c>
      <c r="CY85" s="95" t="str">
        <f>IFERROR(__xludf.DUMMYFUNCTION("""COMPUTED_VALUE"""),"B Saya rasanya ingin membalas dendam bila seseorang menghina saya.")</f>
        <v>B Saya rasanya ingin membalas dendam bila seseorang menghina saya.</v>
      </c>
      <c r="CZ85" s="95" t="str">
        <f>IFERROR(__xludf.DUMMYFUNCTION("""COMPUTED_VALUE"""),"A Saya suka merencanakan dan mengatur setiap pekerjaan yang harus saya lakukan.")</f>
        <v>A Saya suka merencanakan dan mengatur setiap pekerjaan yang harus saya lakukan.</v>
      </c>
      <c r="DA85" s="95" t="str">
        <f>IFERROR(__xludf.DUMMYFUNCTION("""COMPUTED_VALUE"""),"A Saya ingin melakukan apa saja sebaik mungkin.")</f>
        <v>A Saya ingin melakukan apa saja sebaik mungkin.</v>
      </c>
      <c r="DB85" s="89" t="s">
        <v>23</v>
      </c>
      <c r="DC85" s="97" t="str">
        <f t="shared" ref="DC85:GX85" si="130">LEFT(F85,1)</f>
        <v>A</v>
      </c>
      <c r="DD85" s="97" t="str">
        <f t="shared" si="130"/>
        <v>A</v>
      </c>
      <c r="DE85" s="97" t="str">
        <f t="shared" si="130"/>
        <v>A</v>
      </c>
      <c r="DF85" s="97" t="str">
        <f t="shared" si="130"/>
        <v>B</v>
      </c>
      <c r="DG85" s="97" t="str">
        <f t="shared" si="130"/>
        <v>A</v>
      </c>
      <c r="DH85" s="97" t="str">
        <f t="shared" si="130"/>
        <v>B</v>
      </c>
      <c r="DI85" s="97" t="str">
        <f t="shared" si="130"/>
        <v>B</v>
      </c>
      <c r="DJ85" s="97" t="str">
        <f t="shared" si="130"/>
        <v>B</v>
      </c>
      <c r="DK85" s="97" t="str">
        <f t="shared" si="130"/>
        <v>B</v>
      </c>
      <c r="DL85" s="97" t="str">
        <f t="shared" si="130"/>
        <v>B</v>
      </c>
      <c r="DM85" s="97" t="str">
        <f t="shared" si="130"/>
        <v>B</v>
      </c>
      <c r="DN85" s="97" t="str">
        <f t="shared" si="130"/>
        <v>B</v>
      </c>
      <c r="DO85" s="97" t="str">
        <f t="shared" si="130"/>
        <v>B</v>
      </c>
      <c r="DP85" s="97" t="str">
        <f t="shared" si="130"/>
        <v>B</v>
      </c>
      <c r="DQ85" s="97" t="str">
        <f t="shared" si="130"/>
        <v>B</v>
      </c>
      <c r="DR85" s="97" t="str">
        <f t="shared" si="130"/>
        <v>A</v>
      </c>
      <c r="DS85" s="97" t="str">
        <f t="shared" si="130"/>
        <v>A</v>
      </c>
      <c r="DT85" s="97" t="str">
        <f t="shared" si="130"/>
        <v>A</v>
      </c>
      <c r="DU85" s="97" t="str">
        <f t="shared" si="130"/>
        <v>B</v>
      </c>
      <c r="DV85" s="97" t="str">
        <f t="shared" si="130"/>
        <v>A</v>
      </c>
      <c r="DW85" s="97" t="str">
        <f t="shared" si="130"/>
        <v>A</v>
      </c>
      <c r="DX85" s="97" t="str">
        <f t="shared" si="130"/>
        <v>B</v>
      </c>
      <c r="DY85" s="97" t="str">
        <f t="shared" si="130"/>
        <v>B</v>
      </c>
      <c r="DZ85" s="97" t="str">
        <f t="shared" si="130"/>
        <v>A</v>
      </c>
      <c r="EA85" s="97" t="str">
        <f t="shared" si="130"/>
        <v>A</v>
      </c>
      <c r="EB85" s="97" t="str">
        <f t="shared" si="130"/>
        <v>B</v>
      </c>
      <c r="EC85" s="97" t="str">
        <f t="shared" si="130"/>
        <v>B</v>
      </c>
      <c r="ED85" s="97" t="str">
        <f t="shared" si="130"/>
        <v>A</v>
      </c>
      <c r="EE85" s="97" t="str">
        <f t="shared" si="130"/>
        <v>B</v>
      </c>
      <c r="EF85" s="97" t="str">
        <f t="shared" si="130"/>
        <v>B</v>
      </c>
      <c r="EG85" s="97" t="str">
        <f t="shared" si="130"/>
        <v>B</v>
      </c>
      <c r="EH85" s="97" t="str">
        <f t="shared" si="130"/>
        <v>B</v>
      </c>
      <c r="EI85" s="97" t="str">
        <f t="shared" si="130"/>
        <v>A</v>
      </c>
      <c r="EJ85" s="97" t="str">
        <f t="shared" si="130"/>
        <v>B</v>
      </c>
      <c r="EK85" s="97" t="str">
        <f t="shared" si="130"/>
        <v>A</v>
      </c>
      <c r="EL85" s="97" t="str">
        <f t="shared" si="130"/>
        <v>B</v>
      </c>
      <c r="EM85" s="97" t="str">
        <f t="shared" si="130"/>
        <v>B</v>
      </c>
      <c r="EN85" s="97" t="str">
        <f t="shared" si="130"/>
        <v>A</v>
      </c>
      <c r="EO85" s="97" t="str">
        <f t="shared" si="130"/>
        <v>B</v>
      </c>
      <c r="EP85" s="97" t="str">
        <f t="shared" si="130"/>
        <v>B</v>
      </c>
      <c r="EQ85" s="97" t="str">
        <f t="shared" si="130"/>
        <v>A</v>
      </c>
      <c r="ER85" s="97" t="str">
        <f t="shared" si="130"/>
        <v>B</v>
      </c>
      <c r="ES85" s="97" t="str">
        <f t="shared" si="130"/>
        <v>B</v>
      </c>
      <c r="ET85" s="97" t="str">
        <f t="shared" si="130"/>
        <v>B</v>
      </c>
      <c r="EU85" s="97" t="str">
        <f t="shared" si="130"/>
        <v>B</v>
      </c>
      <c r="EV85" s="97" t="str">
        <f t="shared" si="130"/>
        <v>B</v>
      </c>
      <c r="EW85" s="97" t="str">
        <f t="shared" si="130"/>
        <v>A</v>
      </c>
      <c r="EX85" s="97" t="str">
        <f t="shared" si="130"/>
        <v>B</v>
      </c>
      <c r="EY85" s="97" t="str">
        <f t="shared" si="130"/>
        <v>B</v>
      </c>
      <c r="EZ85" s="97" t="str">
        <f t="shared" si="130"/>
        <v>B</v>
      </c>
      <c r="FA85" s="97" t="str">
        <f t="shared" si="130"/>
        <v>B</v>
      </c>
      <c r="FB85" s="97" t="str">
        <f t="shared" si="130"/>
        <v>B</v>
      </c>
      <c r="FC85" s="97" t="str">
        <f t="shared" si="130"/>
        <v>A</v>
      </c>
      <c r="FD85" s="97" t="str">
        <f t="shared" si="130"/>
        <v>B</v>
      </c>
      <c r="FE85" s="97" t="str">
        <f t="shared" si="130"/>
        <v>B</v>
      </c>
      <c r="FF85" s="97" t="str">
        <f t="shared" si="130"/>
        <v>A</v>
      </c>
      <c r="FG85" s="97" t="str">
        <f t="shared" si="130"/>
        <v>A</v>
      </c>
      <c r="FH85" s="97" t="str">
        <f t="shared" si="130"/>
        <v>A</v>
      </c>
      <c r="FI85" s="97" t="str">
        <f t="shared" si="130"/>
        <v>A</v>
      </c>
      <c r="FJ85" s="97" t="str">
        <f t="shared" si="130"/>
        <v>A</v>
      </c>
      <c r="FK85" s="97" t="str">
        <f t="shared" si="130"/>
        <v>B</v>
      </c>
      <c r="FL85" s="97" t="str">
        <f t="shared" si="130"/>
        <v>B</v>
      </c>
      <c r="FM85" s="97" t="str">
        <f t="shared" si="130"/>
        <v>A</v>
      </c>
      <c r="FN85" s="97" t="str">
        <f t="shared" si="130"/>
        <v>A</v>
      </c>
      <c r="FO85" s="97" t="str">
        <f t="shared" si="130"/>
        <v>A</v>
      </c>
      <c r="FP85" s="97" t="str">
        <f t="shared" si="130"/>
        <v>B</v>
      </c>
      <c r="FQ85" s="97" t="str">
        <f t="shared" si="130"/>
        <v>B</v>
      </c>
      <c r="FR85" s="97" t="str">
        <f t="shared" si="130"/>
        <v>A</v>
      </c>
      <c r="FS85" s="97" t="str">
        <f t="shared" si="130"/>
        <v>A</v>
      </c>
      <c r="FT85" s="97" t="str">
        <f t="shared" si="130"/>
        <v>B</v>
      </c>
      <c r="FU85" s="97" t="str">
        <f t="shared" si="130"/>
        <v>B</v>
      </c>
      <c r="FV85" s="97" t="str">
        <f t="shared" si="130"/>
        <v>B</v>
      </c>
      <c r="FW85" s="97" t="str">
        <f t="shared" si="130"/>
        <v>B</v>
      </c>
      <c r="FX85" s="97" t="str">
        <f t="shared" si="130"/>
        <v>A</v>
      </c>
      <c r="FY85" s="97" t="str">
        <f t="shared" si="130"/>
        <v>B</v>
      </c>
      <c r="FZ85" s="97" t="str">
        <f t="shared" si="130"/>
        <v>A</v>
      </c>
      <c r="GA85" s="97" t="str">
        <f t="shared" si="130"/>
        <v>A</v>
      </c>
      <c r="GB85" s="97" t="str">
        <f t="shared" si="130"/>
        <v>B</v>
      </c>
      <c r="GC85" s="97" t="str">
        <f t="shared" si="130"/>
        <v>A</v>
      </c>
      <c r="GD85" s="97" t="str">
        <f t="shared" si="130"/>
        <v>A</v>
      </c>
      <c r="GE85" s="97" t="str">
        <f t="shared" si="130"/>
        <v>A</v>
      </c>
      <c r="GF85" s="97" t="str">
        <f t="shared" si="130"/>
        <v>A</v>
      </c>
      <c r="GG85" s="97" t="str">
        <f t="shared" si="130"/>
        <v>A</v>
      </c>
      <c r="GH85" s="97" t="str">
        <f t="shared" si="130"/>
        <v>B</v>
      </c>
      <c r="GI85" s="97" t="str">
        <f t="shared" si="130"/>
        <v>A</v>
      </c>
      <c r="GJ85" s="97" t="str">
        <f t="shared" si="130"/>
        <v>A</v>
      </c>
      <c r="GK85" s="97" t="str">
        <f t="shared" si="130"/>
        <v>A</v>
      </c>
      <c r="GL85" s="97" t="str">
        <f t="shared" si="130"/>
        <v>A</v>
      </c>
      <c r="GM85" s="97" t="str">
        <f t="shared" si="130"/>
        <v>A</v>
      </c>
      <c r="GN85" s="97" t="str">
        <f t="shared" si="130"/>
        <v>B</v>
      </c>
      <c r="GO85" s="97" t="str">
        <f t="shared" si="130"/>
        <v>A</v>
      </c>
      <c r="GP85" s="97" t="str">
        <f t="shared" si="130"/>
        <v>B</v>
      </c>
      <c r="GQ85" s="97" t="str">
        <f t="shared" si="130"/>
        <v>A</v>
      </c>
      <c r="GR85" s="97" t="str">
        <f t="shared" si="130"/>
        <v>A</v>
      </c>
      <c r="GS85" s="97" t="str">
        <f t="shared" si="130"/>
        <v>A</v>
      </c>
      <c r="GT85" s="97" t="str">
        <f t="shared" si="130"/>
        <v>A</v>
      </c>
      <c r="GU85" s="97" t="str">
        <f t="shared" si="130"/>
        <v>A</v>
      </c>
      <c r="GV85" s="97" t="str">
        <f t="shared" si="130"/>
        <v>B</v>
      </c>
      <c r="GW85" s="97" t="str">
        <f t="shared" si="130"/>
        <v>A</v>
      </c>
      <c r="GX85" s="97" t="str">
        <f t="shared" si="130"/>
        <v>A</v>
      </c>
      <c r="GY85" s="98"/>
      <c r="GZ85" s="97">
        <f t="shared" si="3"/>
        <v>49</v>
      </c>
      <c r="HA85" s="97">
        <f t="shared" si="4"/>
        <v>51</v>
      </c>
      <c r="HB85" s="90">
        <f t="shared" si="5"/>
        <v>100</v>
      </c>
      <c r="HC85" s="99"/>
      <c r="HD85" s="97">
        <f t="shared" si="6"/>
        <v>7</v>
      </c>
      <c r="HE85" s="97">
        <f t="shared" si="7"/>
        <v>6</v>
      </c>
      <c r="HF85" s="90">
        <f t="shared" si="8"/>
        <v>13</v>
      </c>
      <c r="HG85" s="99"/>
      <c r="HH85" s="97">
        <f t="shared" si="9"/>
        <v>5</v>
      </c>
      <c r="HI85" s="97">
        <f t="shared" si="10"/>
        <v>6</v>
      </c>
      <c r="HJ85" s="90">
        <f t="shared" si="11"/>
        <v>11</v>
      </c>
      <c r="HK85" s="99"/>
      <c r="HL85" s="97">
        <f t="shared" si="12"/>
        <v>6</v>
      </c>
      <c r="HM85" s="97">
        <f t="shared" si="13"/>
        <v>6</v>
      </c>
      <c r="HN85" s="90">
        <f t="shared" si="14"/>
        <v>12</v>
      </c>
      <c r="HO85" s="99"/>
      <c r="HP85" s="97">
        <f t="shared" si="15"/>
        <v>6</v>
      </c>
      <c r="HQ85" s="97">
        <f t="shared" si="16"/>
        <v>7</v>
      </c>
      <c r="HR85" s="90">
        <f t="shared" si="17"/>
        <v>13</v>
      </c>
      <c r="HS85" s="99"/>
      <c r="HT85" s="97">
        <f t="shared" si="18"/>
        <v>8</v>
      </c>
      <c r="HU85" s="97">
        <f t="shared" si="19"/>
        <v>8</v>
      </c>
      <c r="HV85" s="90">
        <f t="shared" si="20"/>
        <v>16</v>
      </c>
      <c r="HW85" s="99"/>
      <c r="HX85" s="97">
        <f t="shared" si="21"/>
        <v>3</v>
      </c>
      <c r="HY85" s="97">
        <f t="shared" si="22"/>
        <v>4</v>
      </c>
      <c r="HZ85" s="90">
        <f t="shared" si="23"/>
        <v>7</v>
      </c>
      <c r="IA85" s="99"/>
      <c r="IB85" s="97">
        <f t="shared" si="24"/>
        <v>4</v>
      </c>
      <c r="IC85" s="97">
        <f t="shared" si="25"/>
        <v>5</v>
      </c>
      <c r="ID85" s="90">
        <f t="shared" si="26"/>
        <v>9</v>
      </c>
      <c r="IE85" s="99"/>
      <c r="IF85" s="97">
        <f t="shared" si="27"/>
        <v>6</v>
      </c>
      <c r="IG85" s="97">
        <f t="shared" si="28"/>
        <v>5</v>
      </c>
      <c r="IH85" s="90">
        <f t="shared" si="29"/>
        <v>11</v>
      </c>
      <c r="II85" s="99"/>
      <c r="IJ85" s="97">
        <f t="shared" si="30"/>
        <v>1</v>
      </c>
      <c r="IK85" s="97">
        <f t="shared" si="31"/>
        <v>2</v>
      </c>
      <c r="IL85" s="90">
        <f t="shared" si="32"/>
        <v>3</v>
      </c>
      <c r="IM85" s="99"/>
      <c r="IN85" s="97">
        <f t="shared" si="33"/>
        <v>0</v>
      </c>
      <c r="IO85" s="97">
        <f t="shared" si="34"/>
        <v>2</v>
      </c>
      <c r="IP85" s="90">
        <f t="shared" si="35"/>
        <v>2</v>
      </c>
      <c r="IQ85" s="99"/>
      <c r="IR85" s="99"/>
      <c r="IS85" s="100">
        <f t="shared" si="36"/>
        <v>13</v>
      </c>
      <c r="IT85" s="100">
        <f t="shared" si="37"/>
        <v>11</v>
      </c>
      <c r="IU85" s="100">
        <f t="shared" si="38"/>
        <v>12</v>
      </c>
      <c r="IV85" s="100">
        <f t="shared" si="39"/>
        <v>13</v>
      </c>
      <c r="IW85" s="100">
        <f t="shared" si="40"/>
        <v>16</v>
      </c>
      <c r="IX85" s="100">
        <f t="shared" si="41"/>
        <v>7</v>
      </c>
      <c r="IY85" s="100">
        <f t="shared" si="42"/>
        <v>9</v>
      </c>
      <c r="IZ85" s="100">
        <f t="shared" si="43"/>
        <v>11</v>
      </c>
      <c r="JA85" s="100">
        <f t="shared" si="44"/>
        <v>3</v>
      </c>
      <c r="JB85" s="101">
        <f t="shared" si="45"/>
        <v>2</v>
      </c>
      <c r="JC85" s="102">
        <f t="shared" si="46"/>
        <v>97</v>
      </c>
      <c r="JD85" s="67">
        <f t="shared" si="50"/>
        <v>0</v>
      </c>
      <c r="JE85" s="67">
        <f t="shared" si="47"/>
        <v>1</v>
      </c>
      <c r="JF85" s="67">
        <f t="shared" si="48"/>
        <v>1</v>
      </c>
    </row>
    <row r="86">
      <c r="A86" s="103">
        <f>IFERROR(__xludf.DUMMYFUNCTION("""COMPUTED_VALUE"""),45941.40359590278)</f>
        <v>45941.4036</v>
      </c>
      <c r="B86" s="95" t="str">
        <f>IFERROR(__xludf.DUMMYFUNCTION("""COMPUTED_VALUE"""),"ALIFADHILAH IRHAB HAUZAN")</f>
        <v>ALIFADHILAH IRHAB HAUZAN</v>
      </c>
      <c r="C86" s="96" t="str">
        <f>IFERROR(__xludf.DUMMYFUNCTION("""COMPUTED_VALUE"""),"C250020")</f>
        <v>C250020</v>
      </c>
      <c r="D86" s="96" t="str">
        <f>IFERROR(__xludf.DUMMYFUNCTION("""COMPUTED_VALUE"""),"SMA")</f>
        <v>SMA</v>
      </c>
      <c r="E86" s="96" t="str">
        <f>IFERROR(__xludf.DUMMYFUNCTION("""COMPUTED_VALUE"""),"Ya")</f>
        <v>Ya</v>
      </c>
      <c r="F86" s="95" t="str">
        <f>IFERROR(__xludf.DUMMYFUNCTION("""COMPUTED_VALUE"""),"B Saya ingin melakukan apa saja sebaik mungkin.")</f>
        <v>B Saya ingin melakukan apa saja sebaik mungkin.</v>
      </c>
      <c r="G86" s="95" t="str">
        <f>IFERROR(__xludf.DUMMYFUNCTION("""COMPUTED_VALUE"""),"A Saya ingin setiap tulisan saya teliti, rapi, dan tersusun dengan baik.")</f>
        <v>A Saya ingin setiap tulisan saya teliti, rapi, dan tersusun dengan baik.</v>
      </c>
      <c r="H86" s="95" t="str">
        <f>IFERROR(__xludf.DUMMYFUNCTION("""COMPUTED_VALUE"""),"B Saya ingin menjadi orang yang diakui dalam suatu pekerjaan atau bidang khusus.")</f>
        <v>B Saya ingin menjadi orang yang diakui dalam suatu pekerjaan atau bidang khusus.</v>
      </c>
      <c r="I86" s="95" t="str">
        <f>IFERROR(__xludf.DUMMYFUNCTION("""COMPUTED_VALUE"""),"B Saya ingin bisa melakukan dengan baik meskipun tugas yang sulit.")</f>
        <v>B Saya ingin bisa melakukan dengan baik meskipun tugas yang sulit.</v>
      </c>
      <c r="J86" s="95" t="str">
        <f>IFERROR(__xludf.DUMMYFUNCTION("""COMPUTED_VALUE"""),"A Saya suka membantu teman-teman saya apabila mereka mengalami kesulitan.")</f>
        <v>A Saya suka membantu teman-teman saya apabila mereka mengalami kesulitan.</v>
      </c>
      <c r="K86" s="95" t="str">
        <f>IFERROR(__xludf.DUMMYFUNCTION("""COMPUTED_VALUE"""),"B Saya ingin mengatakan telah melakukan dengan baik sesuatu tugas yang sulit.")</f>
        <v>B Saya ingin mengatakan telah melakukan dengan baik sesuatu tugas yang sulit.</v>
      </c>
      <c r="L86" s="95" t="str">
        <f>IFERROR(__xludf.DUMMYFUNCTION("""COMPUTED_VALUE"""),"A Saya ingin menjadi pemimpin dalam suatu kelompok")</f>
        <v>A Saya ingin menjadi pemimpin dalam suatu kelompok</v>
      </c>
      <c r="M86" s="95" t="str">
        <f>IFERROR(__xludf.DUMMYFUNCTION("""COMPUTED_VALUE"""),"B Saya ingin mengerjakan segala tugas lebih baik daripada orang lain.")</f>
        <v>B Saya ingin mengerjakan segala tugas lebih baik daripada orang lain.</v>
      </c>
      <c r="N86" s="95" t="str">
        <f>IFERROR(__xludf.DUMMYFUNCTION("""COMPUTED_VALUE"""),"B Saya suka memecahkan persoalan yang sukar bagi orang lain.")</f>
        <v>B Saya suka memecahkan persoalan yang sukar bagi orang lain.</v>
      </c>
      <c r="O86" s="95" t="str">
        <f>IFERROR(__xludf.DUMMYFUNCTION("""COMPUTED_VALUE"""),"A Saya marah saat ada teman memperolok-olok hal-hal yang saya anggap bodoh.")</f>
        <v>A Saya marah saat ada teman memperolok-olok hal-hal yang saya anggap bodoh.</v>
      </c>
      <c r="P86" s="95" t="str">
        <f>IFERROR(__xludf.DUMMYFUNCTION("""COMPUTED_VALUE"""),"B Saya ingin setiap belajar itu teratur dan direncanakan.")</f>
        <v>B Saya ingin setiap belajar itu teratur dan direncanakan.</v>
      </c>
      <c r="Q86" s="95" t="str">
        <f>IFERROR(__xludf.DUMMYFUNCTION("""COMPUTED_VALUE"""),"B Saya merencanakan keperluan yang dibutuhkan sebelum bepergian.")</f>
        <v>B Saya merencanakan keperluan yang dibutuhkan sebelum bepergian.</v>
      </c>
      <c r="R86" s="95" t="str">
        <f>IFERROR(__xludf.DUMMYFUNCTION("""COMPUTED_VALUE"""),"B Saya suka barang-barang saya tersusun rapi dan teratur.")</f>
        <v>B Saya suka barang-barang saya tersusun rapi dan teratur.</v>
      </c>
      <c r="S86" s="95" t="str">
        <f>IFERROR(__xludf.DUMMYFUNCTION("""COMPUTED_VALUE"""),"B Saya suka membuat perencanaan sebelum memulai tugas yang sulit.")</f>
        <v>B Saya suka membuat perencanaan sebelum memulai tugas yang sulit.</v>
      </c>
      <c r="T86" s="95" t="str">
        <f>IFERROR(__xludf.DUMMYFUNCTION("""COMPUTED_VALUE"""),"B Saya ingin agar hidup saya teratur sesuai cita-cita saya.")</f>
        <v>B Saya ingin agar hidup saya teratur sesuai cita-cita saya.</v>
      </c>
      <c r="U86" s="95" t="str">
        <f>IFERROR(__xludf.DUMMYFUNCTION("""COMPUTED_VALUE"""),"B Saya suka menyimpan catatan secara rapi.")</f>
        <v>B Saya suka menyimpan catatan secara rapi.</v>
      </c>
      <c r="V86" s="95" t="str">
        <f>IFERROR(__xludf.DUMMYFUNCTION("""COMPUTED_VALUE"""),"B Saya suka belajar saya teratur dan ada waktu-waktu tertentu untuk belajar.")</f>
        <v>B Saya suka belajar saya teratur dan ada waktu-waktu tertentu untuk belajar.</v>
      </c>
      <c r="W86" s="95" t="str">
        <f>IFERROR(__xludf.DUMMYFUNCTION("""COMPUTED_VALUE"""),"B Saya ingin kegiatan itu teratur dan direncanakan.")</f>
        <v>B Saya ingin kegiatan itu teratur dan direncanakan.</v>
      </c>
      <c r="X86" s="95" t="str">
        <f>IFERROR(__xludf.DUMMYFUNCTION("""COMPUTED_VALUE"""),"A Saya suka merencanakan dan mengatur setiap apa yang harus saya lakukan.")</f>
        <v>A Saya suka merencanakan dan mengatur setiap apa yang harus saya lakukan.</v>
      </c>
      <c r="Y86" s="95" t="str">
        <f>IFERROR(__xludf.DUMMYFUNCTION("""COMPUTED_VALUE"""),"A Saya suka menyelesaikan tugas-tugas yang membutuhkan ketrampilan dan usaha.")</f>
        <v>A Saya suka menyelesaikan tugas-tugas yang membutuhkan ketrampilan dan usaha.</v>
      </c>
      <c r="Z86" s="95" t="str">
        <f>IFERROR(__xludf.DUMMYFUNCTION("""COMPUTED_VALUE"""),"A Saya ingin berhasil dengan belajar yang saya lakukan.")</f>
        <v>A Saya ingin berhasil dengan belajar yang saya lakukan.</v>
      </c>
      <c r="AA86" s="95" t="str">
        <f>IFERROR(__xludf.DUMMYFUNCTION("""COMPUTED_VALUE"""),"B Saya tidak suka pada orang yang berbuat seenaknya sendiri.")</f>
        <v>B Saya tidak suka pada orang yang berbuat seenaknya sendiri.</v>
      </c>
      <c r="AB86" s="95" t="str">
        <f>IFERROR(__xludf.DUMMYFUNCTION("""COMPUTED_VALUE"""),"A Saya ingin tidak tergantung dari orang lain terhadap apa yang akan saya lakukan.")</f>
        <v>A Saya ingin tidak tergantung dari orang lain terhadap apa yang akan saya lakukan.</v>
      </c>
      <c r="AC86" s="95" t="str">
        <f>IFERROR(__xludf.DUMMYFUNCTION("""COMPUTED_VALUE"""),"A Saya suka menyelesaikan setiap tugas meskipun membutuhkan waktu lama.")</f>
        <v>A Saya suka menyelesaikan setiap tugas meskipun membutuhkan waktu lama.</v>
      </c>
      <c r="AD86" s="95" t="str">
        <f>IFERROR(__xludf.DUMMYFUNCTION("""COMPUTED_VALUE"""),"A Saya suka bermurah hati terhadap teman-teman saya.")</f>
        <v>A Saya suka bermurah hati terhadap teman-teman saya.</v>
      </c>
      <c r="AE86" s="95" t="str">
        <f>IFERROR(__xludf.DUMMYFUNCTION("""COMPUTED_VALUE"""),"A Saya ingin dianggap sebagai pemimpin oleh teman di kelompok.")</f>
        <v>A Saya ingin dianggap sebagai pemimpin oleh teman di kelompok.</v>
      </c>
      <c r="AF86" s="95" t="str">
        <f>IFERROR(__xludf.DUMMYFUNCTION("""COMPUTED_VALUE"""),"B Saya suka melakukan hal-hal dengan cara saya sendiri.")</f>
        <v>B Saya suka melakukan hal-hal dengan cara saya sendiri.</v>
      </c>
      <c r="AG86" s="95" t="str">
        <f>IFERROR(__xludf.DUMMYFUNCTION("""COMPUTED_VALUE"""),"B Saya ingin berhasil dengan tugas yang saya lakukan.")</f>
        <v>B Saya ingin berhasil dengan tugas yang saya lakukan.</v>
      </c>
      <c r="AH86" s="95" t="str">
        <f>IFERROR(__xludf.DUMMYFUNCTION("""COMPUTED_VALUE"""),"A Saya suka membaca buku-buku tentang pergaulan remaja.")</f>
        <v>A Saya suka membaca buku-buku tentang pergaulan remaja.</v>
      </c>
      <c r="AI86" s="95" t="str">
        <f>IFERROR(__xludf.DUMMYFUNCTION("""COMPUTED_VALUE"""),"A Saya ingin menghardik orang lain bila saya berbeda pendapat dengan mereka.")</f>
        <v>A Saya ingin menghardik orang lain bila saya berbeda pendapat dengan mereka.</v>
      </c>
      <c r="AJ86" s="95" t="str">
        <f>IFERROR(__xludf.DUMMYFUNCTION("""COMPUTED_VALUE"""),"B Saya suka bertahan menghadapi satu masalah meskipun belum tentu berhasil.")</f>
        <v>B Saya suka bertahan menghadapi satu masalah meskipun belum tentu berhasil.</v>
      </c>
      <c r="AK86" s="95" t="str">
        <f>IFERROR(__xludf.DUMMYFUNCTION("""COMPUTED_VALUE"""),"B Bila saya harus melakukan suatu tugas, saya ingin mengerjakan sampai selesai.")</f>
        <v>B Bila saya harus melakukan suatu tugas, saya ingin mengerjakan sampai selesai.</v>
      </c>
      <c r="AL86" s="95" t="str">
        <f>IFERROR(__xludf.DUMMYFUNCTION("""COMPUTED_VALUE"""),"B Saya ingin menghindarkan gangguan bila saya sedang belajar.")</f>
        <v>B Saya ingin menghindarkan gangguan bila saya sedang belajar.</v>
      </c>
      <c r="AM86" s="95" t="str">
        <f>IFERROR(__xludf.DUMMYFUNCTION("""COMPUTED_VALUE"""),"B Saya suka belajar sampai malam untuk menyelesaikan suatu tugas.")</f>
        <v>B Saya suka belajar sampai malam untuk menyelesaikan suatu tugas.</v>
      </c>
      <c r="AN86" s="95" t="str">
        <f>IFERROR(__xludf.DUMMYFUNCTION("""COMPUTED_VALUE"""),"A Saya tidak suka pada orang yang semena-mena.")</f>
        <v>A Saya tidak suka pada orang yang semena-mena.</v>
      </c>
      <c r="AO86" s="95" t="str">
        <f>IFERROR(__xludf.DUMMYFUNCTION("""COMPUTED_VALUE"""),"A Saya suka berlaku sangat ramah terhadap teman-teman saya.")</f>
        <v>A Saya suka berlaku sangat ramah terhadap teman-teman saya.</v>
      </c>
      <c r="AP86" s="95" t="str">
        <f>IFERROR(__xludf.DUMMYFUNCTION("""COMPUTED_VALUE"""),"B Saya suka bertahan menghadapi satu masalah meskipun belum tentu berhasil.")</f>
        <v>B Saya suka bertahan menghadapi satu masalah meskipun belum tentu berhasil.</v>
      </c>
      <c r="AQ86" s="95" t="str">
        <f>IFERROR(__xludf.DUMMYFUNCTION("""COMPUTED_VALUE"""),"A Saya ingin bisa mengerjakan segala sesuatu lebih baik daripada orang-orang lain.")</f>
        <v>A Saya ingin bisa mengerjakan segala sesuatu lebih baik daripada orang-orang lain.</v>
      </c>
      <c r="AR86" s="95" t="str">
        <f>IFERROR(__xludf.DUMMYFUNCTION("""COMPUTED_VALUE"""),"B Saya suka belajar keras pada tiap pelajaran yang saya hadapi.")</f>
        <v>B Saya suka belajar keras pada tiap pelajaran yang saya hadapi.</v>
      </c>
      <c r="AS86" s="95" t="str">
        <f>IFERROR(__xludf.DUMMYFUNCTION("""COMPUTED_VALUE"""),"A Saya ingin dapat menyelesaikan persoalan yang dianggap sukar bagi orang lain.")</f>
        <v>A Saya ingin dapat menyelesaikan persoalan yang dianggap sukar bagi orang lain.</v>
      </c>
      <c r="AT86" s="95" t="str">
        <f>IFERROR(__xludf.DUMMYFUNCTION("""COMPUTED_VALUE"""),"A Saya ingin bisa melakukan dengan baik sesuatu pekerjaan sulit.")</f>
        <v>A Saya ingin bisa melakukan dengan baik sesuatu pekerjaan sulit.</v>
      </c>
      <c r="AU86" s="95" t="str">
        <f>IFERROR(__xludf.DUMMYFUNCTION("""COMPUTED_VALUE"""),"A Saya ingin menyelesaikan pekerjaan satu persatu sebelum memulai yang lain.")</f>
        <v>A Saya ingin menyelesaikan pekerjaan satu persatu sebelum memulai yang lain.</v>
      </c>
      <c r="AV86" s="95" t="str">
        <f>IFERROR(__xludf.DUMMYFUNCTION("""COMPUTED_VALUE"""),"B Saya suka menolong teman-teman saya.")</f>
        <v>B Saya suka menolong teman-teman saya.</v>
      </c>
      <c r="AW86" s="95" t="str">
        <f>IFERROR(__xludf.DUMMYFUNCTION("""COMPUTED_VALUE"""),"A Saya ingin mengerjakan tugas sampai selesai.")</f>
        <v>A Saya ingin mengerjakan tugas sampai selesai.</v>
      </c>
      <c r="AX86" s="95" t="str">
        <f>IFERROR(__xludf.DUMMYFUNCTION("""COMPUTED_VALUE"""),"B Saya suka memaafkan teman-teman saya yang menyakiti hati saya.")</f>
        <v>B Saya suka memaafkan teman-teman saya yang menyakiti hati saya.</v>
      </c>
      <c r="AY86" s="95" t="str">
        <f>IFERROR(__xludf.DUMMYFUNCTION("""COMPUTED_VALUE"""),"B Saya suka menolong teman-teman saya apabila mereka dalam kesulitan.")</f>
        <v>B Saya suka menolong teman-teman saya apabila mereka dalam kesulitan.</v>
      </c>
      <c r="AZ86" s="95" t="str">
        <f>IFERROR(__xludf.DUMMYFUNCTION("""COMPUTED_VALUE"""),"B Saya suka menunjukkan simpati saya kepada teman-teman saya.")</f>
        <v>B Saya suka menunjukkan simpati saya kepada teman-teman saya.</v>
      </c>
      <c r="BA86" s="95" t="str">
        <f>IFERROR(__xludf.DUMMYFUNCTION("""COMPUTED_VALUE"""),"B Saya suka memperlakukan orang lain dengan baik dan ramah.")</f>
        <v>B Saya suka memperlakukan orang lain dengan baik dan ramah.</v>
      </c>
      <c r="BB86" s="95" t="str">
        <f>IFERROR(__xludf.DUMMYFUNCTION("""COMPUTED_VALUE"""),"A Saya berkeinginan untuk bersama orang yang menarik bagi saya.")</f>
        <v>A Saya berkeinginan untuk bersama orang yang menarik bagi saya.</v>
      </c>
      <c r="BC86" s="95" t="str">
        <f>IFERROR(__xludf.DUMMYFUNCTION("""COMPUTED_VALUE"""),"B Saya suka membantu orang lain yang menurut saya perlu dikasihani.")</f>
        <v>B Saya suka membantu orang lain yang menurut saya perlu dikasihani.</v>
      </c>
      <c r="BD86" s="95" t="str">
        <f>IFERROR(__xludf.DUMMYFUNCTION("""COMPUTED_VALUE"""),"B Saya suka bersikukuh dengan pendirian saya.")</f>
        <v>B Saya suka bersikukuh dengan pendirian saya.</v>
      </c>
      <c r="BE86" s="95" t="str">
        <f>IFERROR(__xludf.DUMMYFUNCTION("""COMPUTED_VALUE"""),"B Saya ingin orang lain melakukan apa yang saya kehendaki.")</f>
        <v>B Saya ingin orang lain melakukan apa yang saya kehendaki.</v>
      </c>
      <c r="BF86" s="95" t="str">
        <f>IFERROR(__xludf.DUMMYFUNCTION("""COMPUTED_VALUE"""),"B Bila saya dalam kelompok, saya ingin menentukan apa yang akan kita lakukan.")</f>
        <v>B Bila saya dalam kelompok, saya ingin menentukan apa yang akan kita lakukan.</v>
      </c>
      <c r="BG86" s="95" t="str">
        <f>IFERROR(__xludf.DUMMYFUNCTION("""COMPUTED_VALUE"""),"B Saya suka mengarahkan kepada orang lain apa yang harus dilakukan.")</f>
        <v>B Saya suka mengarahkan kepada orang lain apa yang harus dilakukan.</v>
      </c>
      <c r="BH86" s="95" t="str">
        <f>IFERROR(__xludf.DUMMYFUNCTION("""COMPUTED_VALUE"""),"A Saya suka menghindar dari situasi yang tidak saya harapkan.")</f>
        <v>A Saya suka menghindar dari situasi yang tidak saya harapkan.</v>
      </c>
      <c r="BI86" s="95" t="str">
        <f>IFERROR(__xludf.DUMMYFUNCTION("""COMPUTED_VALUE"""),"A Saya suka bermurah hati terhadap teman-teman saya.")</f>
        <v>A Saya suka bermurah hati terhadap teman-teman saya.</v>
      </c>
      <c r="BJ86" s="95" t="str">
        <f>IFERROR(__xludf.DUMMYFUNCTION("""COMPUTED_VALUE"""),"A Saya ingin mengerjakan tugas sampai selesai.")</f>
        <v>A Saya ingin mengerjakan tugas sampai selesai.</v>
      </c>
      <c r="BK86" s="95" t="str">
        <f>IFERROR(__xludf.DUMMYFUNCTION("""COMPUTED_VALUE"""),"B Saya senang untuk diminta menyelesaikan pertentangan-pertentangan.")</f>
        <v>B Saya senang untuk diminta menyelesaikan pertentangan-pertentangan.</v>
      </c>
      <c r="BL86" s="95" t="str">
        <f>IFERROR(__xludf.DUMMYFUNCTION("""COMPUTED_VALUE"""),"A Saya suka belajar saya teratur dan ada waktu-waktu tertentu untuk belajar.")</f>
        <v>A Saya suka belajar saya teratur dan ada waktu-waktu tertentu untuk belajar.</v>
      </c>
      <c r="BM86" s="95" t="str">
        <f>IFERROR(__xludf.DUMMYFUNCTION("""COMPUTED_VALUE"""),"A Saya suka melakukan pekerjaan sebaik mungkin.")</f>
        <v>A Saya suka melakukan pekerjaan sebaik mungkin.</v>
      </c>
      <c r="BN86" s="95" t="str">
        <f>IFERROR(__xludf.DUMMYFUNCTION("""COMPUTED_VALUE"""),"A Saya suka mengerjakan teka-teki atau memecahkan persoalan sampai selesai.")</f>
        <v>A Saya suka mengerjakan teka-teki atau memecahkan persoalan sampai selesai.</v>
      </c>
      <c r="BO86" s="95" t="str">
        <f>IFERROR(__xludf.DUMMYFUNCTION("""COMPUTED_VALUE"""),"A Saya suka membuat perencanaan sebelum memulai belajar yang sulit.")</f>
        <v>A Saya suka membuat perencanaan sebelum memulai belajar yang sulit.</v>
      </c>
      <c r="BP86" s="95" t="str">
        <f>IFERROR(__xludf.DUMMYFUNCTION("""COMPUTED_VALUE"""),"A Saya ingin menyelesaikan sesuatu yang sangat penting artinya.")</f>
        <v>A Saya ingin menyelesaikan sesuatu yang sangat penting artinya.</v>
      </c>
      <c r="BQ86" s="95" t="str">
        <f>IFERROR(__xludf.DUMMYFUNCTION("""COMPUTED_VALUE"""),"A Saya ingin mengerjakannya tugas sampai selesai.")</f>
        <v>A Saya ingin mengerjakannya tugas sampai selesai.</v>
      </c>
      <c r="BR86" s="95" t="str">
        <f>IFERROR(__xludf.DUMMYFUNCTION("""COMPUTED_VALUE"""),"B Saya ingin agar teman-teman saya bersimpati dan menghibur saya bila saya sedih.")</f>
        <v>B Saya ingin agar teman-teman saya bersimpati dan menghibur saya bila saya sedih.</v>
      </c>
      <c r="BS86" s="95" t="str">
        <f>IFERROR(__xludf.DUMMYFUNCTION("""COMPUTED_VALUE"""),"B Saya ingin teman-teman saya membantu saya bila saya mengalami kesulitan")</f>
        <v>B Saya ingin teman-teman saya membantu saya bila saya mengalami kesulitan</v>
      </c>
      <c r="BT86" s="95" t="str">
        <f>IFERROR(__xludf.DUMMYFUNCTION("""COMPUTED_VALUE"""),"A Saya ingin teman-teman saya merasa kasihan pada saya apabila saya sakit.")</f>
        <v>A Saya ingin teman-teman saya merasa kasihan pada saya apabila saya sakit.</v>
      </c>
      <c r="BU86" s="95" t="str">
        <f>IFERROR(__xludf.DUMMYFUNCTION("""COMPUTED_VALUE"""),"B Saya ingin agar teman-teman saya merasa kasihan pada saya apabila saya sakit.")</f>
        <v>B Saya ingin agar teman-teman saya merasa kasihan pada saya apabila saya sakit.</v>
      </c>
      <c r="BV86" s="95" t="str">
        <f>IFERROR(__xludf.DUMMYFUNCTION("""COMPUTED_VALUE"""),"B Saya ingin teman-teman dengan gembira memberikan pertolongan kepada saya.")</f>
        <v>B Saya ingin teman-teman dengan gembira memberikan pertolongan kepada saya.</v>
      </c>
      <c r="BW86" s="95" t="str">
        <f>IFERROR(__xludf.DUMMYFUNCTION("""COMPUTED_VALUE"""),"B Saya ingin diperlakukan dengan baik oleh teman-teman saya.")</f>
        <v>B Saya ingin diperlakukan dengan baik oleh teman-teman saya.</v>
      </c>
      <c r="BX86" s="95" t="str">
        <f>IFERROR(__xludf.DUMMYFUNCTION("""COMPUTED_VALUE"""),"B Saya kadang-kadang suka melakukan hal-hal yang dapat dipuji oleh orang lain.")</f>
        <v>B Saya kadang-kadang suka melakukan hal-hal yang dapat dipuji oleh orang lain.</v>
      </c>
      <c r="BY86" s="95" t="str">
        <f>IFERROR(__xludf.DUMMYFUNCTION("""COMPUTED_VALUE"""),"B Saya ingin orang lain memperhatikan dan berkomentar tentang penampilan saya.")</f>
        <v>B Saya ingin orang lain memperhatikan dan berkomentar tentang penampilan saya.</v>
      </c>
      <c r="BZ86" s="95" t="str">
        <f>IFERROR(__xludf.DUMMYFUNCTION("""COMPUTED_VALUE"""),"A Saya suka berkata yang artinya sulit dipahami oleh orang lain.")</f>
        <v>A Saya suka berkata yang artinya sulit dipahami oleh orang lain.</v>
      </c>
      <c r="CA86" s="95" t="str">
        <f>IFERROR(__xludf.DUMMYFUNCTION("""COMPUTED_VALUE"""),"A Saya ingin teman-teman dengan gembira memberikan pertolongan kepada saya.")</f>
        <v>A Saya ingin teman-teman dengan gembira memberikan pertolongan kepada saya.</v>
      </c>
      <c r="CB86" s="95" t="str">
        <f>IFERROR(__xludf.DUMMYFUNCTION("""COMPUTED_VALUE"""),"B Saya suka berbicara tentang hal-hal yang telah saya capai.")</f>
        <v>B Saya suka berbicara tentang hal-hal yang telah saya capai.</v>
      </c>
      <c r="CC86" s="95" t="str">
        <f>IFERROR(__xludf.DUMMYFUNCTION("""COMPUTED_VALUE"""),"A Apabila saya berkumpul dalam kelompok, saya ingin dihargai teman-teman.")</f>
        <v>A Apabila saya berkumpul dalam kelompok, saya ingin dihargai teman-teman.</v>
      </c>
      <c r="CD86" s="95" t="str">
        <f>IFERROR(__xludf.DUMMYFUNCTION("""COMPUTED_VALUE"""),"A Saya suka menyelesaikan setiap tugas meskipun membutuhkan waktu lama.")</f>
        <v>A Saya suka menyelesaikan setiap tugas meskipun membutuhkan waktu lama.</v>
      </c>
      <c r="CE86" s="95" t="str">
        <f>IFERROR(__xludf.DUMMYFUNCTION("""COMPUTED_VALUE"""),"A Saya suka menyelesaikan setiap tugas belajar yang telah saya mulai.")</f>
        <v>A Saya suka menyelesaikan setiap tugas belajar yang telah saya mulai.</v>
      </c>
      <c r="CF86" s="95" t="str">
        <f>IFERROR(__xludf.DUMMYFUNCTION("""COMPUTED_VALUE"""),"A Saya ingin agar hidup saya teratur sesuai cita-cita saya.")</f>
        <v>A Saya ingin agar hidup saya teratur sesuai cita-cita saya.</v>
      </c>
      <c r="CG86" s="95" t="str">
        <f>IFERROR(__xludf.DUMMYFUNCTION("""COMPUTED_VALUE"""),"A Saya ingin berhasil dalam apa yang saya lakukan.")</f>
        <v>A Saya ingin berhasil dalam apa yang saya lakukan.</v>
      </c>
      <c r="CH86" s="95" t="str">
        <f>IFERROR(__xludf.DUMMYFUNCTION("""COMPUTED_VALUE"""),"A Saya ingin bisa melakukan dengan baik sesuatu pekerjaan sulit.")</f>
        <v>A Saya ingin bisa melakukan dengan baik sesuatu pekerjaan sulit.</v>
      </c>
      <c r="CI86" s="95" t="str">
        <f>IFERROR(__xludf.DUMMYFUNCTION("""COMPUTED_VALUE"""),"A Saya suka belajar saya teratur dan ada waktu-waktu tertentu untuk belajar.")</f>
        <v>A Saya suka belajar saya teratur dan ada waktu-waktu tertentu untuk belajar.</v>
      </c>
      <c r="CJ86" s="95" t="str">
        <f>IFERROR(__xludf.DUMMYFUNCTION("""COMPUTED_VALUE"""),"A Saya ingin tidak tergantung dari orang lain terhadap apa yang akan saya lakukan.")</f>
        <v>A Saya ingin tidak tergantung dari orang lain terhadap apa yang akan saya lakukan.</v>
      </c>
      <c r="CK86" s="95" t="str">
        <f>IFERROR(__xludf.DUMMYFUNCTION("""COMPUTED_VALUE"""),"A Saya suka bertahan menghadapi satu masalah, meskipun belum tentu berhasil.")</f>
        <v>A Saya suka bertahan menghadapi satu masalah, meskipun belum tentu berhasil.</v>
      </c>
      <c r="CL86" s="95" t="str">
        <f>IFERROR(__xludf.DUMMYFUNCTION("""COMPUTED_VALUE"""),"A Saya suka menolong teman-teman saya, apabila mereka dalam kesulitan.")</f>
        <v>A Saya suka menolong teman-teman saya, apabila mereka dalam kesulitan.</v>
      </c>
      <c r="CM86" s="95" t="str">
        <f>IFERROR(__xludf.DUMMYFUNCTION("""COMPUTED_VALUE"""),"B Saya merasa kagum pada seseorang.")</f>
        <v>B Saya merasa kagum pada seseorang.</v>
      </c>
      <c r="CN86" s="95" t="str">
        <f>IFERROR(__xludf.DUMMYFUNCTION("""COMPUTED_VALUE"""),"A Saya ingin diperlakukan dengan baik oleh teman-teman saya.")</f>
        <v>A Saya ingin diperlakukan dengan baik oleh teman-teman saya.</v>
      </c>
      <c r="CO86" s="95" t="str">
        <f>IFERROR(__xludf.DUMMYFUNCTION("""COMPUTED_VALUE"""),"B Saya suka memuji orang yang saya kagumi.")</f>
        <v>B Saya suka memuji orang yang saya kagumi.</v>
      </c>
      <c r="CP86" s="95" t="str">
        <f>IFERROR(__xludf.DUMMYFUNCTION("""COMPUTED_VALUE"""),"B Saya ingin dianggap menarik oleh orang lain.")</f>
        <v>B Saya ingin dianggap menarik oleh orang lain.</v>
      </c>
      <c r="CQ86" s="95" t="str">
        <f>IFERROR(__xludf.DUMMYFUNCTION("""COMPUTED_VALUE"""),"B Saya merasa kagum pada seseorang.")</f>
        <v>B Saya merasa kagum pada seseorang.</v>
      </c>
      <c r="CR86" s="95" t="str">
        <f>IFERROR(__xludf.DUMMYFUNCTION("""COMPUTED_VALUE"""),"B Saya rasanya ingin mengecam seseorang bila orang itu menjengkelkan.")</f>
        <v>B Saya rasanya ingin mengecam seseorang bila orang itu menjengkelkan.</v>
      </c>
      <c r="CS86" s="95" t="str">
        <f>IFERROR(__xludf.DUMMYFUNCTION("""COMPUTED_VALUE"""),"A Saya ingin terlihat menarik di depan teman-teman saya.")</f>
        <v>A Saya ingin terlihat menarik di depan teman-teman saya.</v>
      </c>
      <c r="CT86" s="95" t="str">
        <f>IFERROR(__xludf.DUMMYFUNCTION("""COMPUTED_VALUE"""),"A Saya ingin orang-orang memperhatikan komentar mengenai penampilan saya.")</f>
        <v>A Saya ingin orang-orang memperhatikan komentar mengenai penampilan saya.</v>
      </c>
      <c r="CU86" s="95" t="str">
        <f>IFERROR(__xludf.DUMMYFUNCTION("""COMPUTED_VALUE"""),"A Saya ingin diperlakukan dengan ramah oleh teman-teman saya.")</f>
        <v>A Saya ingin diperlakukan dengan ramah oleh teman-teman saya.</v>
      </c>
      <c r="CV86" s="95" t="str">
        <f>IFERROR(__xludf.DUMMYFUNCTION("""COMPUTED_VALUE"""),"B Saya menyerang pendirian-pendirian yang bertentangan dengan pendirian saya.")</f>
        <v>B Saya menyerang pendirian-pendirian yang bertentangan dengan pendirian saya.</v>
      </c>
      <c r="CW86" s="95" t="str">
        <f>IFERROR(__xludf.DUMMYFUNCTION("""COMPUTED_VALUE"""),"A Saya suka menolong teman-teman saya, apabila mereka dalam kesulitan.")</f>
        <v>A Saya suka menolong teman-teman saya, apabila mereka dalam kesulitan.</v>
      </c>
      <c r="CX86" s="95" t="str">
        <f>IFERROR(__xludf.DUMMYFUNCTION("""COMPUTED_VALUE"""),"A Saya suka belajar sampai malam untuk menyelesaikan suatu tugas.")</f>
        <v>A Saya suka belajar sampai malam untuk menyelesaikan suatu tugas.</v>
      </c>
      <c r="CY86" s="95" t="str">
        <f>IFERROR(__xludf.DUMMYFUNCTION("""COMPUTED_VALUE"""),"A Saya ingin tidak tergantung dari orang lain terhadap apa yang akan saya lakukan.")</f>
        <v>A Saya ingin tidak tergantung dari orang lain terhadap apa yang akan saya lakukan.</v>
      </c>
      <c r="CZ86" s="95" t="str">
        <f>IFERROR(__xludf.DUMMYFUNCTION("""COMPUTED_VALUE"""),"A Saya suka merencanakan dan mengatur setiap pekerjaan yang harus saya lakukan.")</f>
        <v>A Saya suka merencanakan dan mengatur setiap pekerjaan yang harus saya lakukan.</v>
      </c>
      <c r="DA86" s="95" t="str">
        <f>IFERROR(__xludf.DUMMYFUNCTION("""COMPUTED_VALUE"""),"A Saya ingin melakukan apa saja sebaik mungkin.")</f>
        <v>A Saya ingin melakukan apa saja sebaik mungkin.</v>
      </c>
      <c r="DB86" s="89" t="s">
        <v>23</v>
      </c>
      <c r="DC86" s="97" t="str">
        <f t="shared" ref="DC86:GX86" si="131">LEFT(F86,1)</f>
        <v>B</v>
      </c>
      <c r="DD86" s="97" t="str">
        <f t="shared" si="131"/>
        <v>A</v>
      </c>
      <c r="DE86" s="97" t="str">
        <f t="shared" si="131"/>
        <v>B</v>
      </c>
      <c r="DF86" s="97" t="str">
        <f t="shared" si="131"/>
        <v>B</v>
      </c>
      <c r="DG86" s="97" t="str">
        <f t="shared" si="131"/>
        <v>A</v>
      </c>
      <c r="DH86" s="97" t="str">
        <f t="shared" si="131"/>
        <v>B</v>
      </c>
      <c r="DI86" s="97" t="str">
        <f t="shared" si="131"/>
        <v>A</v>
      </c>
      <c r="DJ86" s="97" t="str">
        <f t="shared" si="131"/>
        <v>B</v>
      </c>
      <c r="DK86" s="97" t="str">
        <f t="shared" si="131"/>
        <v>B</v>
      </c>
      <c r="DL86" s="97" t="str">
        <f t="shared" si="131"/>
        <v>A</v>
      </c>
      <c r="DM86" s="97" t="str">
        <f t="shared" si="131"/>
        <v>B</v>
      </c>
      <c r="DN86" s="97" t="str">
        <f t="shared" si="131"/>
        <v>B</v>
      </c>
      <c r="DO86" s="97" t="str">
        <f t="shared" si="131"/>
        <v>B</v>
      </c>
      <c r="DP86" s="97" t="str">
        <f t="shared" si="131"/>
        <v>B</v>
      </c>
      <c r="DQ86" s="97" t="str">
        <f t="shared" si="131"/>
        <v>B</v>
      </c>
      <c r="DR86" s="97" t="str">
        <f t="shared" si="131"/>
        <v>B</v>
      </c>
      <c r="DS86" s="97" t="str">
        <f t="shared" si="131"/>
        <v>B</v>
      </c>
      <c r="DT86" s="97" t="str">
        <f t="shared" si="131"/>
        <v>B</v>
      </c>
      <c r="DU86" s="97" t="str">
        <f t="shared" si="131"/>
        <v>A</v>
      </c>
      <c r="DV86" s="97" t="str">
        <f t="shared" si="131"/>
        <v>A</v>
      </c>
      <c r="DW86" s="97" t="str">
        <f t="shared" si="131"/>
        <v>A</v>
      </c>
      <c r="DX86" s="97" t="str">
        <f t="shared" si="131"/>
        <v>B</v>
      </c>
      <c r="DY86" s="97" t="str">
        <f t="shared" si="131"/>
        <v>A</v>
      </c>
      <c r="DZ86" s="97" t="str">
        <f t="shared" si="131"/>
        <v>A</v>
      </c>
      <c r="EA86" s="97" t="str">
        <f t="shared" si="131"/>
        <v>A</v>
      </c>
      <c r="EB86" s="97" t="str">
        <f t="shared" si="131"/>
        <v>A</v>
      </c>
      <c r="EC86" s="97" t="str">
        <f t="shared" si="131"/>
        <v>B</v>
      </c>
      <c r="ED86" s="97" t="str">
        <f t="shared" si="131"/>
        <v>B</v>
      </c>
      <c r="EE86" s="97" t="str">
        <f t="shared" si="131"/>
        <v>A</v>
      </c>
      <c r="EF86" s="97" t="str">
        <f t="shared" si="131"/>
        <v>A</v>
      </c>
      <c r="EG86" s="97" t="str">
        <f t="shared" si="131"/>
        <v>B</v>
      </c>
      <c r="EH86" s="97" t="str">
        <f t="shared" si="131"/>
        <v>B</v>
      </c>
      <c r="EI86" s="97" t="str">
        <f t="shared" si="131"/>
        <v>B</v>
      </c>
      <c r="EJ86" s="97" t="str">
        <f t="shared" si="131"/>
        <v>B</v>
      </c>
      <c r="EK86" s="97" t="str">
        <f t="shared" si="131"/>
        <v>A</v>
      </c>
      <c r="EL86" s="97" t="str">
        <f t="shared" si="131"/>
        <v>A</v>
      </c>
      <c r="EM86" s="97" t="str">
        <f t="shared" si="131"/>
        <v>B</v>
      </c>
      <c r="EN86" s="97" t="str">
        <f t="shared" si="131"/>
        <v>A</v>
      </c>
      <c r="EO86" s="97" t="str">
        <f t="shared" si="131"/>
        <v>B</v>
      </c>
      <c r="EP86" s="97" t="str">
        <f t="shared" si="131"/>
        <v>A</v>
      </c>
      <c r="EQ86" s="97" t="str">
        <f t="shared" si="131"/>
        <v>A</v>
      </c>
      <c r="ER86" s="97" t="str">
        <f t="shared" si="131"/>
        <v>A</v>
      </c>
      <c r="ES86" s="97" t="str">
        <f t="shared" si="131"/>
        <v>B</v>
      </c>
      <c r="ET86" s="97" t="str">
        <f t="shared" si="131"/>
        <v>A</v>
      </c>
      <c r="EU86" s="97" t="str">
        <f t="shared" si="131"/>
        <v>B</v>
      </c>
      <c r="EV86" s="97" t="str">
        <f t="shared" si="131"/>
        <v>B</v>
      </c>
      <c r="EW86" s="97" t="str">
        <f t="shared" si="131"/>
        <v>B</v>
      </c>
      <c r="EX86" s="97" t="str">
        <f t="shared" si="131"/>
        <v>B</v>
      </c>
      <c r="EY86" s="97" t="str">
        <f t="shared" si="131"/>
        <v>A</v>
      </c>
      <c r="EZ86" s="97" t="str">
        <f t="shared" si="131"/>
        <v>B</v>
      </c>
      <c r="FA86" s="97" t="str">
        <f t="shared" si="131"/>
        <v>B</v>
      </c>
      <c r="FB86" s="97" t="str">
        <f t="shared" si="131"/>
        <v>B</v>
      </c>
      <c r="FC86" s="97" t="str">
        <f t="shared" si="131"/>
        <v>B</v>
      </c>
      <c r="FD86" s="97" t="str">
        <f t="shared" si="131"/>
        <v>B</v>
      </c>
      <c r="FE86" s="97" t="str">
        <f t="shared" si="131"/>
        <v>A</v>
      </c>
      <c r="FF86" s="97" t="str">
        <f t="shared" si="131"/>
        <v>A</v>
      </c>
      <c r="FG86" s="97" t="str">
        <f t="shared" si="131"/>
        <v>A</v>
      </c>
      <c r="FH86" s="97" t="str">
        <f t="shared" si="131"/>
        <v>B</v>
      </c>
      <c r="FI86" s="97" t="str">
        <f t="shared" si="131"/>
        <v>A</v>
      </c>
      <c r="FJ86" s="97" t="str">
        <f t="shared" si="131"/>
        <v>A</v>
      </c>
      <c r="FK86" s="97" t="str">
        <f t="shared" si="131"/>
        <v>A</v>
      </c>
      <c r="FL86" s="97" t="str">
        <f t="shared" si="131"/>
        <v>A</v>
      </c>
      <c r="FM86" s="97" t="str">
        <f t="shared" si="131"/>
        <v>A</v>
      </c>
      <c r="FN86" s="97" t="str">
        <f t="shared" si="131"/>
        <v>A</v>
      </c>
      <c r="FO86" s="97" t="str">
        <f t="shared" si="131"/>
        <v>B</v>
      </c>
      <c r="FP86" s="97" t="str">
        <f t="shared" si="131"/>
        <v>B</v>
      </c>
      <c r="FQ86" s="97" t="str">
        <f t="shared" si="131"/>
        <v>A</v>
      </c>
      <c r="FR86" s="97" t="str">
        <f t="shared" si="131"/>
        <v>B</v>
      </c>
      <c r="FS86" s="97" t="str">
        <f t="shared" si="131"/>
        <v>B</v>
      </c>
      <c r="FT86" s="97" t="str">
        <f t="shared" si="131"/>
        <v>B</v>
      </c>
      <c r="FU86" s="97" t="str">
        <f t="shared" si="131"/>
        <v>B</v>
      </c>
      <c r="FV86" s="97" t="str">
        <f t="shared" si="131"/>
        <v>B</v>
      </c>
      <c r="FW86" s="97" t="str">
        <f t="shared" si="131"/>
        <v>A</v>
      </c>
      <c r="FX86" s="97" t="str">
        <f t="shared" si="131"/>
        <v>A</v>
      </c>
      <c r="FY86" s="97" t="str">
        <f t="shared" si="131"/>
        <v>B</v>
      </c>
      <c r="FZ86" s="97" t="str">
        <f t="shared" si="131"/>
        <v>A</v>
      </c>
      <c r="GA86" s="97" t="str">
        <f t="shared" si="131"/>
        <v>A</v>
      </c>
      <c r="GB86" s="97" t="str">
        <f t="shared" si="131"/>
        <v>A</v>
      </c>
      <c r="GC86" s="97" t="str">
        <f t="shared" si="131"/>
        <v>A</v>
      </c>
      <c r="GD86" s="97" t="str">
        <f t="shared" si="131"/>
        <v>A</v>
      </c>
      <c r="GE86" s="97" t="str">
        <f t="shared" si="131"/>
        <v>A</v>
      </c>
      <c r="GF86" s="97" t="str">
        <f t="shared" si="131"/>
        <v>A</v>
      </c>
      <c r="GG86" s="97" t="str">
        <f t="shared" si="131"/>
        <v>A</v>
      </c>
      <c r="GH86" s="97" t="str">
        <f t="shared" si="131"/>
        <v>A</v>
      </c>
      <c r="GI86" s="97" t="str">
        <f t="shared" si="131"/>
        <v>A</v>
      </c>
      <c r="GJ86" s="97" t="str">
        <f t="shared" si="131"/>
        <v>B</v>
      </c>
      <c r="GK86" s="97" t="str">
        <f t="shared" si="131"/>
        <v>A</v>
      </c>
      <c r="GL86" s="97" t="str">
        <f t="shared" si="131"/>
        <v>B</v>
      </c>
      <c r="GM86" s="97" t="str">
        <f t="shared" si="131"/>
        <v>B</v>
      </c>
      <c r="GN86" s="97" t="str">
        <f t="shared" si="131"/>
        <v>B</v>
      </c>
      <c r="GO86" s="97" t="str">
        <f t="shared" si="131"/>
        <v>B</v>
      </c>
      <c r="GP86" s="97" t="str">
        <f t="shared" si="131"/>
        <v>A</v>
      </c>
      <c r="GQ86" s="97" t="str">
        <f t="shared" si="131"/>
        <v>A</v>
      </c>
      <c r="GR86" s="97" t="str">
        <f t="shared" si="131"/>
        <v>A</v>
      </c>
      <c r="GS86" s="97" t="str">
        <f t="shared" si="131"/>
        <v>B</v>
      </c>
      <c r="GT86" s="97" t="str">
        <f t="shared" si="131"/>
        <v>A</v>
      </c>
      <c r="GU86" s="97" t="str">
        <f t="shared" si="131"/>
        <v>A</v>
      </c>
      <c r="GV86" s="97" t="str">
        <f t="shared" si="131"/>
        <v>A</v>
      </c>
      <c r="GW86" s="97" t="str">
        <f t="shared" si="131"/>
        <v>A</v>
      </c>
      <c r="GX86" s="97" t="str">
        <f t="shared" si="131"/>
        <v>A</v>
      </c>
      <c r="GY86" s="98"/>
      <c r="GZ86" s="97">
        <f t="shared" si="3"/>
        <v>52</v>
      </c>
      <c r="HA86" s="97">
        <f t="shared" si="4"/>
        <v>48</v>
      </c>
      <c r="HB86" s="90">
        <f t="shared" si="5"/>
        <v>100</v>
      </c>
      <c r="HC86" s="99"/>
      <c r="HD86" s="97">
        <f t="shared" si="6"/>
        <v>9</v>
      </c>
      <c r="HE86" s="97">
        <f t="shared" si="7"/>
        <v>5</v>
      </c>
      <c r="HF86" s="90">
        <f t="shared" si="8"/>
        <v>14</v>
      </c>
      <c r="HG86" s="99"/>
      <c r="HH86" s="97">
        <f t="shared" si="9"/>
        <v>7</v>
      </c>
      <c r="HI86" s="97">
        <f t="shared" si="10"/>
        <v>8</v>
      </c>
      <c r="HJ86" s="90">
        <f t="shared" si="11"/>
        <v>15</v>
      </c>
      <c r="HK86" s="99"/>
      <c r="HL86" s="97">
        <f t="shared" si="12"/>
        <v>5</v>
      </c>
      <c r="HM86" s="97">
        <f t="shared" si="13"/>
        <v>3</v>
      </c>
      <c r="HN86" s="90">
        <f t="shared" si="14"/>
        <v>8</v>
      </c>
      <c r="HO86" s="99"/>
      <c r="HP86" s="97">
        <f t="shared" si="15"/>
        <v>7</v>
      </c>
      <c r="HQ86" s="97">
        <f t="shared" si="16"/>
        <v>6</v>
      </c>
      <c r="HR86" s="90">
        <f t="shared" si="17"/>
        <v>13</v>
      </c>
      <c r="HS86" s="99"/>
      <c r="HT86" s="97">
        <f t="shared" si="18"/>
        <v>7</v>
      </c>
      <c r="HU86" s="97">
        <f t="shared" si="19"/>
        <v>6</v>
      </c>
      <c r="HV86" s="90">
        <f t="shared" si="20"/>
        <v>13</v>
      </c>
      <c r="HW86" s="99"/>
      <c r="HX86" s="97">
        <f t="shared" si="21"/>
        <v>2</v>
      </c>
      <c r="HY86" s="97">
        <f t="shared" si="22"/>
        <v>5</v>
      </c>
      <c r="HZ86" s="90">
        <f t="shared" si="23"/>
        <v>7</v>
      </c>
      <c r="IA86" s="99"/>
      <c r="IB86" s="97">
        <f t="shared" si="24"/>
        <v>4</v>
      </c>
      <c r="IC86" s="97">
        <f t="shared" si="25"/>
        <v>5</v>
      </c>
      <c r="ID86" s="90">
        <f t="shared" si="26"/>
        <v>9</v>
      </c>
      <c r="IE86" s="99"/>
      <c r="IF86" s="97">
        <f t="shared" si="27"/>
        <v>1</v>
      </c>
      <c r="IG86" s="97">
        <f t="shared" si="28"/>
        <v>3</v>
      </c>
      <c r="IH86" s="90">
        <f t="shared" si="29"/>
        <v>4</v>
      </c>
      <c r="II86" s="99"/>
      <c r="IJ86" s="97">
        <f t="shared" si="30"/>
        <v>3</v>
      </c>
      <c r="IK86" s="97">
        <f t="shared" si="31"/>
        <v>4</v>
      </c>
      <c r="IL86" s="90">
        <f t="shared" si="32"/>
        <v>7</v>
      </c>
      <c r="IM86" s="99"/>
      <c r="IN86" s="97">
        <f t="shared" si="33"/>
        <v>2</v>
      </c>
      <c r="IO86" s="97">
        <f t="shared" si="34"/>
        <v>2</v>
      </c>
      <c r="IP86" s="90">
        <f t="shared" si="35"/>
        <v>4</v>
      </c>
      <c r="IQ86" s="99"/>
      <c r="IR86" s="99"/>
      <c r="IS86" s="100">
        <f t="shared" si="36"/>
        <v>14</v>
      </c>
      <c r="IT86" s="100">
        <f t="shared" si="37"/>
        <v>15</v>
      </c>
      <c r="IU86" s="100">
        <f t="shared" si="38"/>
        <v>8</v>
      </c>
      <c r="IV86" s="100">
        <f t="shared" si="39"/>
        <v>13</v>
      </c>
      <c r="IW86" s="100">
        <f t="shared" si="40"/>
        <v>13</v>
      </c>
      <c r="IX86" s="100">
        <f t="shared" si="41"/>
        <v>7</v>
      </c>
      <c r="IY86" s="100">
        <f t="shared" si="42"/>
        <v>9</v>
      </c>
      <c r="IZ86" s="100">
        <f t="shared" si="43"/>
        <v>4</v>
      </c>
      <c r="JA86" s="100">
        <f t="shared" si="44"/>
        <v>7</v>
      </c>
      <c r="JB86" s="101">
        <f t="shared" si="45"/>
        <v>4</v>
      </c>
      <c r="JC86" s="102">
        <f t="shared" si="46"/>
        <v>94</v>
      </c>
      <c r="JD86" s="67">
        <f t="shared" si="50"/>
        <v>0</v>
      </c>
      <c r="JE86" s="67">
        <f t="shared" si="47"/>
        <v>0</v>
      </c>
      <c r="JF86" s="67">
        <f t="shared" si="48"/>
        <v>0</v>
      </c>
    </row>
    <row r="87">
      <c r="A87" s="103">
        <f>IFERROR(__xludf.DUMMYFUNCTION("""COMPUTED_VALUE"""),45941.44943393518)</f>
        <v>45941.44943</v>
      </c>
      <c r="B87" s="95" t="str">
        <f>IFERROR(__xludf.DUMMYFUNCTION("""COMPUTED_VALUE"""),"AZKA KHAIRUL ICHSAN HASUGIANA")</f>
        <v>AZKA KHAIRUL ICHSAN HASUGIANA</v>
      </c>
      <c r="C87" s="96" t="str">
        <f>IFERROR(__xludf.DUMMYFUNCTION("""COMPUTED_VALUE"""),"A250033")</f>
        <v>A250033</v>
      </c>
      <c r="D87" s="96" t="str">
        <f>IFERROR(__xludf.DUMMYFUNCTION("""COMPUTED_VALUE"""),"MTs Putra")</f>
        <v>MTs Putra</v>
      </c>
      <c r="E87" s="96" t="str">
        <f>IFERROR(__xludf.DUMMYFUNCTION("""COMPUTED_VALUE"""),"Ya")</f>
        <v>Ya</v>
      </c>
      <c r="F87" s="95" t="str">
        <f>IFERROR(__xludf.DUMMYFUNCTION("""COMPUTED_VALUE"""),"B Saya ingin melakukan apa saja sebaik mungkin.")</f>
        <v>B Saya ingin melakukan apa saja sebaik mungkin.</v>
      </c>
      <c r="G87" s="95" t="str">
        <f>IFERROR(__xludf.DUMMYFUNCTION("""COMPUTED_VALUE"""),"A Saya ingin setiap tulisan saya teliti, rapi, dan tersusun dengan baik.")</f>
        <v>A Saya ingin setiap tulisan saya teliti, rapi, dan tersusun dengan baik.</v>
      </c>
      <c r="H87" s="95" t="str">
        <f>IFERROR(__xludf.DUMMYFUNCTION("""COMPUTED_VALUE"""),"A Saya ingin berbuat sesuai kata hati saya.")</f>
        <v>A Saya ingin berbuat sesuai kata hati saya.</v>
      </c>
      <c r="I87" s="95" t="str">
        <f>IFERROR(__xludf.DUMMYFUNCTION("""COMPUTED_VALUE"""),"B Saya ingin bisa melakukan dengan baik meskipun tugas yang sulit.")</f>
        <v>B Saya ingin bisa melakukan dengan baik meskipun tugas yang sulit.</v>
      </c>
      <c r="J87" s="95" t="str">
        <f>IFERROR(__xludf.DUMMYFUNCTION("""COMPUTED_VALUE"""),"A Saya suka membantu teman-teman saya apabila mereka mengalami kesulitan.")</f>
        <v>A Saya suka membantu teman-teman saya apabila mereka mengalami kesulitan.</v>
      </c>
      <c r="K87" s="95" t="str">
        <f>IFERROR(__xludf.DUMMYFUNCTION("""COMPUTED_VALUE"""),"B Saya ingin mengatakan telah melakukan dengan baik sesuatu tugas yang sulit.")</f>
        <v>B Saya ingin mengatakan telah melakukan dengan baik sesuatu tugas yang sulit.</v>
      </c>
      <c r="L87" s="95" t="str">
        <f>IFERROR(__xludf.DUMMYFUNCTION("""COMPUTED_VALUE"""),"B Saya ingin mengatakan telah melakukan dengan baik sesuatu tugas yang sulit")</f>
        <v>B Saya ingin mengatakan telah melakukan dengan baik sesuatu tugas yang sulit</v>
      </c>
      <c r="M87" s="95" t="str">
        <f>IFERROR(__xludf.DUMMYFUNCTION("""COMPUTED_VALUE"""),"A Saya suka berbicara tentang hal-hal yang telah berhasil saya lakukan.")</f>
        <v>A Saya suka berbicara tentang hal-hal yang telah berhasil saya lakukan.</v>
      </c>
      <c r="N87" s="95" t="str">
        <f>IFERROR(__xludf.DUMMYFUNCTION("""COMPUTED_VALUE"""),"B Saya suka memecahkan persoalan yang sukar bagi orang lain.")</f>
        <v>B Saya suka memecahkan persoalan yang sukar bagi orang lain.</v>
      </c>
      <c r="O87" s="95" t="str">
        <f>IFERROR(__xludf.DUMMYFUNCTION("""COMPUTED_VALUE"""),"B Saya suka melakukan tugas sebaik mungkin.")</f>
        <v>B Saya suka melakukan tugas sebaik mungkin.</v>
      </c>
      <c r="P87" s="95" t="str">
        <f>IFERROR(__xludf.DUMMYFUNCTION("""COMPUTED_VALUE"""),"B Saya ingin setiap belajar itu teratur dan direncanakan.")</f>
        <v>B Saya ingin setiap belajar itu teratur dan direncanakan.</v>
      </c>
      <c r="Q87" s="95" t="str">
        <f>IFERROR(__xludf.DUMMYFUNCTION("""COMPUTED_VALUE"""),"B Saya merencanakan keperluan yang dibutuhkan sebelum bepergian.")</f>
        <v>B Saya merencanakan keperluan yang dibutuhkan sebelum bepergian.</v>
      </c>
      <c r="R87" s="95" t="str">
        <f>IFERROR(__xludf.DUMMYFUNCTION("""COMPUTED_VALUE"""),"B Saya suka barang-barang saya tersusun rapi dan teratur.")</f>
        <v>B Saya suka barang-barang saya tersusun rapi dan teratur.</v>
      </c>
      <c r="S87" s="95" t="str">
        <f>IFERROR(__xludf.DUMMYFUNCTION("""COMPUTED_VALUE"""),"A Saya ingin agar teman-teman pengertian bila saya mengalami kesukaran.")</f>
        <v>A Saya ingin agar teman-teman pengertian bila saya mengalami kesukaran.</v>
      </c>
      <c r="T87" s="95" t="str">
        <f>IFERROR(__xludf.DUMMYFUNCTION("""COMPUTED_VALUE"""),"B Saya ingin agar hidup saya teratur sesuai cita-cita saya.")</f>
        <v>B Saya ingin agar hidup saya teratur sesuai cita-cita saya.</v>
      </c>
      <c r="U87" s="95" t="str">
        <f>IFERROR(__xludf.DUMMYFUNCTION("""COMPUTED_VALUE"""),"A Saya suka memberikan bantuan kepada teman-teman saya.")</f>
        <v>A Saya suka memberikan bantuan kepada teman-teman saya.</v>
      </c>
      <c r="V87" s="95" t="str">
        <f>IFERROR(__xludf.DUMMYFUNCTION("""COMPUTED_VALUE"""),"B Saya suka belajar saya teratur dan ada waktu-waktu tertentu untuk belajar.")</f>
        <v>B Saya suka belajar saya teratur dan ada waktu-waktu tertentu untuk belajar.</v>
      </c>
      <c r="W87" s="95" t="str">
        <f>IFERROR(__xludf.DUMMYFUNCTION("""COMPUTED_VALUE"""),"A Saya suka melakukan kegiatan sesuai kondisi yang saya inginkan.")</f>
        <v>A Saya suka melakukan kegiatan sesuai kondisi yang saya inginkan.</v>
      </c>
      <c r="X87" s="95" t="str">
        <f>IFERROR(__xludf.DUMMYFUNCTION("""COMPUTED_VALUE"""),"A Saya suka merencanakan dan mengatur setiap apa yang harus saya lakukan.")</f>
        <v>A Saya suka merencanakan dan mengatur setiap apa yang harus saya lakukan.</v>
      </c>
      <c r="Y87" s="95" t="str">
        <f>IFERROR(__xludf.DUMMYFUNCTION("""COMPUTED_VALUE"""),"A Saya suka menyelesaikan tugas-tugas yang membutuhkan ketrampilan dan usaha.")</f>
        <v>A Saya suka menyelesaikan tugas-tugas yang membutuhkan ketrampilan dan usaha.</v>
      </c>
      <c r="Z87" s="95" t="str">
        <f>IFERROR(__xludf.DUMMYFUNCTION("""COMPUTED_VALUE"""),"A Saya ingin berhasil dengan belajar yang saya lakukan.")</f>
        <v>A Saya ingin berhasil dengan belajar yang saya lakukan.</v>
      </c>
      <c r="AA87" s="95" t="str">
        <f>IFERROR(__xludf.DUMMYFUNCTION("""COMPUTED_VALUE"""),"A Saya suka menyelesaikan tugas yang telah saya rencanakan.")</f>
        <v>A Saya suka menyelesaikan tugas yang telah saya rencanakan.</v>
      </c>
      <c r="AB87" s="95" t="str">
        <f>IFERROR(__xludf.DUMMYFUNCTION("""COMPUTED_VALUE"""),"B Saya ingin menyelesaikan pekerjaan satu persatu sebelum memulai yang lain.")</f>
        <v>B Saya ingin menyelesaikan pekerjaan satu persatu sebelum memulai yang lain.</v>
      </c>
      <c r="AC87" s="95" t="str">
        <f>IFERROR(__xludf.DUMMYFUNCTION("""COMPUTED_VALUE"""),"A Saya suka menyelesaikan setiap tugas meskipun membutuhkan waktu lama.")</f>
        <v>A Saya suka menyelesaikan setiap tugas meskipun membutuhkan waktu lama.</v>
      </c>
      <c r="AD87" s="95" t="str">
        <f>IFERROR(__xludf.DUMMYFUNCTION("""COMPUTED_VALUE"""),"B Saya suka menyatakan pendapat saya tentang berbagai hal.")</f>
        <v>B Saya suka menyatakan pendapat saya tentang berbagai hal.</v>
      </c>
      <c r="AE87" s="95" t="str">
        <f>IFERROR(__xludf.DUMMYFUNCTION("""COMPUTED_VALUE"""),"A Saya ingin dianggap sebagai pemimpin oleh teman di kelompok.")</f>
        <v>A Saya ingin dianggap sebagai pemimpin oleh teman di kelompok.</v>
      </c>
      <c r="AF87" s="95" t="str">
        <f>IFERROR(__xludf.DUMMYFUNCTION("""COMPUTED_VALUE"""),"B Saya suka melakukan hal-hal dengan cara saya sendiri.")</f>
        <v>B Saya suka melakukan hal-hal dengan cara saya sendiri.</v>
      </c>
      <c r="AG87" s="95" t="str">
        <f>IFERROR(__xludf.DUMMYFUNCTION("""COMPUTED_VALUE"""),"B Saya ingin berhasil dengan tugas yang saya lakukan.")</f>
        <v>B Saya ingin berhasil dengan tugas yang saya lakukan.</v>
      </c>
      <c r="AH87" s="95" t="str">
        <f>IFERROR(__xludf.DUMMYFUNCTION("""COMPUTED_VALUE"""),"B Saya ingin merasa bebas untuk melakukan apa yang saya kehendaki.")</f>
        <v>B Saya ingin merasa bebas untuk melakukan apa yang saya kehendaki.</v>
      </c>
      <c r="AI87" s="95" t="str">
        <f>IFERROR(__xludf.DUMMYFUNCTION("""COMPUTED_VALUE"""),"B Saya suka melakukan kegiatan sesuai kondisi yang saya inginkan.")</f>
        <v>B Saya suka melakukan kegiatan sesuai kondisi yang saya inginkan.</v>
      </c>
      <c r="AJ87" s="95" t="str">
        <f>IFERROR(__xludf.DUMMYFUNCTION("""COMPUTED_VALUE"""),"B Saya suka bertahan menghadapi satu masalah meskipun belum tentu berhasil.")</f>
        <v>B Saya suka bertahan menghadapi satu masalah meskipun belum tentu berhasil.</v>
      </c>
      <c r="AK87" s="95" t="str">
        <f>IFERROR(__xludf.DUMMYFUNCTION("""COMPUTED_VALUE"""),"B Bila saya harus melakukan suatu tugas, saya ingin mengerjakan sampai selesai.")</f>
        <v>B Bila saya harus melakukan suatu tugas, saya ingin mengerjakan sampai selesai.</v>
      </c>
      <c r="AL87" s="95" t="str">
        <f>IFERROR(__xludf.DUMMYFUNCTION("""COMPUTED_VALUE"""),"B Saya ingin menghindarkan gangguan bila saya sedang belajar.")</f>
        <v>B Saya ingin menghindarkan gangguan bila saya sedang belajar.</v>
      </c>
      <c r="AM87" s="95" t="str">
        <f>IFERROR(__xludf.DUMMYFUNCTION("""COMPUTED_VALUE"""),"B Saya suka belajar sampai malam untuk menyelesaikan suatu tugas.")</f>
        <v>B Saya suka belajar sampai malam untuk menyelesaikan suatu tugas.</v>
      </c>
      <c r="AN87" s="95" t="str">
        <f>IFERROR(__xludf.DUMMYFUNCTION("""COMPUTED_VALUE"""),"A Saya tidak suka pada orang yang semena-mena.")</f>
        <v>A Saya tidak suka pada orang yang semena-mena.</v>
      </c>
      <c r="AO87" s="95" t="str">
        <f>IFERROR(__xludf.DUMMYFUNCTION("""COMPUTED_VALUE"""),"B Saya suka menyelesaikan setiap tugas meskipun membutuhkan waktu lama.")</f>
        <v>B Saya suka menyelesaikan setiap tugas meskipun membutuhkan waktu lama.</v>
      </c>
      <c r="AP87" s="95" t="str">
        <f>IFERROR(__xludf.DUMMYFUNCTION("""COMPUTED_VALUE"""),"B Saya suka bertahan menghadapi satu masalah meskipun belum tentu berhasil.")</f>
        <v>B Saya suka bertahan menghadapi satu masalah meskipun belum tentu berhasil.</v>
      </c>
      <c r="AQ87" s="95" t="str">
        <f>IFERROR(__xludf.DUMMYFUNCTION("""COMPUTED_VALUE"""),"B Bila saya harus melakukan suatu tugas, saya ingin mengerjakan sampai selesai.")</f>
        <v>B Bila saya harus melakukan suatu tugas, saya ingin mengerjakan sampai selesai.</v>
      </c>
      <c r="AR87" s="95" t="str">
        <f>IFERROR(__xludf.DUMMYFUNCTION("""COMPUTED_VALUE"""),"A Saya suka menyimpan catatan secara rapi.")</f>
        <v>A Saya suka menyimpan catatan secara rapi.</v>
      </c>
      <c r="AS87" s="95" t="str">
        <f>IFERROR(__xludf.DUMMYFUNCTION("""COMPUTED_VALUE"""),"A Saya ingin dapat menyelesaikan persoalan yang dianggap sukar bagi orang lain.")</f>
        <v>A Saya ingin dapat menyelesaikan persoalan yang dianggap sukar bagi orang lain.</v>
      </c>
      <c r="AT87" s="95" t="str">
        <f>IFERROR(__xludf.DUMMYFUNCTION("""COMPUTED_VALUE"""),"B Saya suka membantu orang lain yang menurut saya perlu dikasihani.")</f>
        <v>B Saya suka membantu orang lain yang menurut saya perlu dikasihani.</v>
      </c>
      <c r="AU87" s="95" t="str">
        <f>IFERROR(__xludf.DUMMYFUNCTION("""COMPUTED_VALUE"""),"A Saya ingin menyelesaikan pekerjaan satu persatu sebelum memulai yang lain.")</f>
        <v>A Saya ingin menyelesaikan pekerjaan satu persatu sebelum memulai yang lain.</v>
      </c>
      <c r="AV87" s="95" t="str">
        <f>IFERROR(__xludf.DUMMYFUNCTION("""COMPUTED_VALUE"""),"B Saya suka menolong teman-teman saya.")</f>
        <v>B Saya suka menolong teman-teman saya.</v>
      </c>
      <c r="AW87" s="95" t="str">
        <f>IFERROR(__xludf.DUMMYFUNCTION("""COMPUTED_VALUE"""),"A Saya ingin mengerjakan tugas sampai selesai.")</f>
        <v>A Saya ingin mengerjakan tugas sampai selesai.</v>
      </c>
      <c r="AX87" s="95" t="str">
        <f>IFERROR(__xludf.DUMMYFUNCTION("""COMPUTED_VALUE"""),"A Saya suka menolong teman-teman saya apabila mereka dalam kesulitan.")</f>
        <v>A Saya suka menolong teman-teman saya apabila mereka dalam kesulitan.</v>
      </c>
      <c r="AY87" s="95" t="str">
        <f>IFERROR(__xludf.DUMMYFUNCTION("""COMPUTED_VALUE"""),"B Saya suka menolong teman-teman saya apabila mereka dalam kesulitan.")</f>
        <v>B Saya suka menolong teman-teman saya apabila mereka dalam kesulitan.</v>
      </c>
      <c r="AZ87" s="95" t="str">
        <f>IFERROR(__xludf.DUMMYFUNCTION("""COMPUTED_VALUE"""),"B Saya suka menunjukkan simpati saya kepada teman-teman saya.")</f>
        <v>B Saya suka menunjukkan simpati saya kepada teman-teman saya.</v>
      </c>
      <c r="BA87" s="95" t="str">
        <f>IFERROR(__xludf.DUMMYFUNCTION("""COMPUTED_VALUE"""),"A Saya suka menyatakan pendapat saya tentang berbagai hal.")</f>
        <v>A Saya suka menyatakan pendapat saya tentang berbagai hal.</v>
      </c>
      <c r="BB87" s="95" t="str">
        <f>IFERROR(__xludf.DUMMYFUNCTION("""COMPUTED_VALUE"""),"A Saya berkeinginan untuk bersama orang yang menarik bagi saya.")</f>
        <v>A Saya berkeinginan untuk bersama orang yang menarik bagi saya.</v>
      </c>
      <c r="BC87" s="95" t="str">
        <f>IFERROR(__xludf.DUMMYFUNCTION("""COMPUTED_VALUE"""),"B Saya suka membantu orang lain yang menurut saya perlu dikasihani.")</f>
        <v>B Saya suka membantu orang lain yang menurut saya perlu dikasihani.</v>
      </c>
      <c r="BD87" s="95" t="str">
        <f>IFERROR(__xludf.DUMMYFUNCTION("""COMPUTED_VALUE"""),"B Saya suka bersikukuh dengan pendirian saya.")</f>
        <v>B Saya suka bersikukuh dengan pendirian saya.</v>
      </c>
      <c r="BE87" s="95" t="str">
        <f>IFERROR(__xludf.DUMMYFUNCTION("""COMPUTED_VALUE"""),"A Saya suka mendengarkan atau menceritakan hal-hal yang sebaiknya tidak diceritakan.")</f>
        <v>A Saya suka mendengarkan atau menceritakan hal-hal yang sebaiknya tidak diceritakan.</v>
      </c>
      <c r="BF87" s="95" t="str">
        <f>IFERROR(__xludf.DUMMYFUNCTION("""COMPUTED_VALUE"""),"B Bila saya dalam kelompok, saya ingin menentukan apa yang akan kita lakukan.")</f>
        <v>B Bila saya dalam kelompok, saya ingin menentukan apa yang akan kita lakukan.</v>
      </c>
      <c r="BG87" s="95" t="str">
        <f>IFERROR(__xludf.DUMMYFUNCTION("""COMPUTED_VALUE"""),"A Saya ingin teman-teman banyak menunjukkan rasa sayang mereka terhadap saya.")</f>
        <v>A Saya ingin teman-teman banyak menunjukkan rasa sayang mereka terhadap saya.</v>
      </c>
      <c r="BH87" s="95" t="str">
        <f>IFERROR(__xludf.DUMMYFUNCTION("""COMPUTED_VALUE"""),"A Saya suka menghindar dari situasi yang tidak saya harapkan.")</f>
        <v>A Saya suka menghindar dari situasi yang tidak saya harapkan.</v>
      </c>
      <c r="BI87" s="95" t="str">
        <f>IFERROR(__xludf.DUMMYFUNCTION("""COMPUTED_VALUE"""),"A Saya suka bermurah hati terhadap teman-teman saya.")</f>
        <v>A Saya suka bermurah hati terhadap teman-teman saya.</v>
      </c>
      <c r="BJ87" s="95" t="str">
        <f>IFERROR(__xludf.DUMMYFUNCTION("""COMPUTED_VALUE"""),"A Saya ingin mengerjakan tugas sampai selesai.")</f>
        <v>A Saya ingin mengerjakan tugas sampai selesai.</v>
      </c>
      <c r="BK87" s="95" t="str">
        <f>IFERROR(__xludf.DUMMYFUNCTION("""COMPUTED_VALUE"""),"A Saya ingin menyelesaikan pekerjaan satu persatu sebelum memulai yang lain.")</f>
        <v>A Saya ingin menyelesaikan pekerjaan satu persatu sebelum memulai yang lain.</v>
      </c>
      <c r="BL87" s="95" t="str">
        <f>IFERROR(__xludf.DUMMYFUNCTION("""COMPUTED_VALUE"""),"B Saya suka bersikukuh dengan pendirian saya.")</f>
        <v>B Saya suka bersikukuh dengan pendirian saya.</v>
      </c>
      <c r="BM87" s="95" t="str">
        <f>IFERROR(__xludf.DUMMYFUNCTION("""COMPUTED_VALUE"""),"A Saya suka melakukan pekerjaan sebaik mungkin.")</f>
        <v>A Saya suka melakukan pekerjaan sebaik mungkin.</v>
      </c>
      <c r="BN87" s="95" t="str">
        <f>IFERROR(__xludf.DUMMYFUNCTION("""COMPUTED_VALUE"""),"A Saya suka mengerjakan teka-teki atau memecahkan persoalan sampai selesai.")</f>
        <v>A Saya suka mengerjakan teka-teki atau memecahkan persoalan sampai selesai.</v>
      </c>
      <c r="BO87" s="95" t="str">
        <f>IFERROR(__xludf.DUMMYFUNCTION("""COMPUTED_VALUE"""),"B Saya ingin diperlakukan dengan baik oleh teman-teman saya.")</f>
        <v>B Saya ingin diperlakukan dengan baik oleh teman-teman saya.</v>
      </c>
      <c r="BP87" s="95" t="str">
        <f>IFERROR(__xludf.DUMMYFUNCTION("""COMPUTED_VALUE"""),"A Saya ingin menyelesaikan sesuatu yang sangat penting artinya.")</f>
        <v>A Saya ingin menyelesaikan sesuatu yang sangat penting artinya.</v>
      </c>
      <c r="BQ87" s="95" t="str">
        <f>IFERROR(__xludf.DUMMYFUNCTION("""COMPUTED_VALUE"""),"A Saya ingin mengerjakannya tugas sampai selesai.")</f>
        <v>A Saya ingin mengerjakannya tugas sampai selesai.</v>
      </c>
      <c r="BR87" s="95" t="str">
        <f>IFERROR(__xludf.DUMMYFUNCTION("""COMPUTED_VALUE"""),"A Saya suka memaafkan teman-teman saya yang menyakiti hati saya.")</f>
        <v>A Saya suka memaafkan teman-teman saya yang menyakiti hati saya.</v>
      </c>
      <c r="BS87" s="95" t="str">
        <f>IFERROR(__xludf.DUMMYFUNCTION("""COMPUTED_VALUE"""),"A Saya suka menghindar dari tanggung jawab yang tidak saya inginkan.")</f>
        <v>A Saya suka menghindar dari tanggung jawab yang tidak saya inginkan.</v>
      </c>
      <c r="BT87" s="95" t="str">
        <f>IFERROR(__xludf.DUMMYFUNCTION("""COMPUTED_VALUE"""),"B Saya ingin teman-teman banyak menunjukkan rasa sayang mereka terhadap saya.")</f>
        <v>B Saya ingin teman-teman banyak menunjukkan rasa sayang mereka terhadap saya.</v>
      </c>
      <c r="BU87" s="95" t="str">
        <f>IFERROR(__xludf.DUMMYFUNCTION("""COMPUTED_VALUE"""),"A Saya kadang-kadang suka melakukan hal-hal yang dapat dipuji oleh orang lain.")</f>
        <v>A Saya kadang-kadang suka melakukan hal-hal yang dapat dipuji oleh orang lain.</v>
      </c>
      <c r="BV87" s="95" t="str">
        <f>IFERROR(__xludf.DUMMYFUNCTION("""COMPUTED_VALUE"""),"B Saya ingin teman-teman dengan gembira memberikan pertolongan kepada saya.")</f>
        <v>B Saya ingin teman-teman dengan gembira memberikan pertolongan kepada saya.</v>
      </c>
      <c r="BW87" s="95" t="str">
        <f>IFERROR(__xludf.DUMMYFUNCTION("""COMPUTED_VALUE"""),"B Saya ingin diperlakukan dengan baik oleh teman-teman saya.")</f>
        <v>B Saya ingin diperlakukan dengan baik oleh teman-teman saya.</v>
      </c>
      <c r="BX87" s="95" t="str">
        <f>IFERROR(__xludf.DUMMYFUNCTION("""COMPUTED_VALUE"""),"B Saya kadang-kadang suka melakukan hal-hal yang dapat dipuji oleh orang lain.")</f>
        <v>B Saya kadang-kadang suka melakukan hal-hal yang dapat dipuji oleh orang lain.</v>
      </c>
      <c r="BY87" s="95" t="str">
        <f>IFERROR(__xludf.DUMMYFUNCTION("""COMPUTED_VALUE"""),"B Saya ingin orang lain memperhatikan dan berkomentar tentang penampilan saya.")</f>
        <v>B Saya ingin orang lain memperhatikan dan berkomentar tentang penampilan saya.</v>
      </c>
      <c r="BZ87" s="95" t="str">
        <f>IFERROR(__xludf.DUMMYFUNCTION("""COMPUTED_VALUE"""),"B Saya suka diperhatikan, apabila saya ada di dalam suatu kelompok.")</f>
        <v>B Saya suka diperhatikan, apabila saya ada di dalam suatu kelompok.</v>
      </c>
      <c r="CA87" s="95" t="str">
        <f>IFERROR(__xludf.DUMMYFUNCTION("""COMPUTED_VALUE"""),"A Saya ingin teman-teman dengan gembira memberikan pertolongan kepada saya.")</f>
        <v>A Saya ingin teman-teman dengan gembira memberikan pertolongan kepada saya.</v>
      </c>
      <c r="CB87" s="95" t="str">
        <f>IFERROR(__xludf.DUMMYFUNCTION("""COMPUTED_VALUE"""),"A Saya suka menghindar dari tanggung jawab yang tidak saya inginkan.")</f>
        <v>A Saya suka menghindar dari tanggung jawab yang tidak saya inginkan.</v>
      </c>
      <c r="CC87" s="95" t="str">
        <f>IFERROR(__xludf.DUMMYFUNCTION("""COMPUTED_VALUE"""),"A Apabila saya berkumpul dalam kelompok, saya ingin dihargai teman-teman.")</f>
        <v>A Apabila saya berkumpul dalam kelompok, saya ingin dihargai teman-teman.</v>
      </c>
      <c r="CD87" s="95" t="str">
        <f>IFERROR(__xludf.DUMMYFUNCTION("""COMPUTED_VALUE"""),"A Saya suka menyelesaikan setiap tugas meskipun membutuhkan waktu lama.")</f>
        <v>A Saya suka menyelesaikan setiap tugas meskipun membutuhkan waktu lama.</v>
      </c>
      <c r="CE87" s="95" t="str">
        <f>IFERROR(__xludf.DUMMYFUNCTION("""COMPUTED_VALUE"""),"A Saya suka menyelesaikan setiap tugas belajar yang telah saya mulai.")</f>
        <v>A Saya suka menyelesaikan setiap tugas belajar yang telah saya mulai.</v>
      </c>
      <c r="CF87" s="95" t="str">
        <f>IFERROR(__xludf.DUMMYFUNCTION("""COMPUTED_VALUE"""),"A Saya ingin agar hidup saya teratur sesuai cita-cita saya.")</f>
        <v>A Saya ingin agar hidup saya teratur sesuai cita-cita saya.</v>
      </c>
      <c r="CG87" s="95" t="str">
        <f>IFERROR(__xludf.DUMMYFUNCTION("""COMPUTED_VALUE"""),"A Saya ingin berhasil dalam apa yang saya lakukan.")</f>
        <v>A Saya ingin berhasil dalam apa yang saya lakukan.</v>
      </c>
      <c r="CH87" s="95" t="str">
        <f>IFERROR(__xludf.DUMMYFUNCTION("""COMPUTED_VALUE"""),"A Saya ingin bisa melakukan dengan baik sesuatu pekerjaan sulit.")</f>
        <v>A Saya ingin bisa melakukan dengan baik sesuatu pekerjaan sulit.</v>
      </c>
      <c r="CI87" s="95" t="str">
        <f>IFERROR(__xludf.DUMMYFUNCTION("""COMPUTED_VALUE"""),"A Saya suka belajar saya teratur dan ada waktu-waktu tertentu untuk belajar.")</f>
        <v>A Saya suka belajar saya teratur dan ada waktu-waktu tertentu untuk belajar.</v>
      </c>
      <c r="CJ87" s="95" t="str">
        <f>IFERROR(__xludf.DUMMYFUNCTION("""COMPUTED_VALUE"""),"A Saya ingin tidak tergantung dari orang lain terhadap apa yang akan saya lakukan.")</f>
        <v>A Saya ingin tidak tergantung dari orang lain terhadap apa yang akan saya lakukan.</v>
      </c>
      <c r="CK87" s="95" t="str">
        <f>IFERROR(__xludf.DUMMYFUNCTION("""COMPUTED_VALUE"""),"B Saya senang ikut beraktivitas bersama teman sebaya saya.")</f>
        <v>B Saya senang ikut beraktivitas bersama teman sebaya saya.</v>
      </c>
      <c r="CL87" s="95" t="str">
        <f>IFERROR(__xludf.DUMMYFUNCTION("""COMPUTED_VALUE"""),"A Saya suka menolong teman-teman saya, apabila mereka dalam kesulitan.")</f>
        <v>A Saya suka menolong teman-teman saya, apabila mereka dalam kesulitan.</v>
      </c>
      <c r="CM87" s="95" t="str">
        <f>IFERROR(__xludf.DUMMYFUNCTION("""COMPUTED_VALUE"""),"B Saya merasa kagum pada seseorang.")</f>
        <v>B Saya merasa kagum pada seseorang.</v>
      </c>
      <c r="CN87" s="95" t="str">
        <f>IFERROR(__xludf.DUMMYFUNCTION("""COMPUTED_VALUE"""),"A Saya ingin diperlakukan dengan baik oleh teman-teman saya.")</f>
        <v>A Saya ingin diperlakukan dengan baik oleh teman-teman saya.</v>
      </c>
      <c r="CO87" s="95" t="str">
        <f>IFERROR(__xludf.DUMMYFUNCTION("""COMPUTED_VALUE"""),"A Saya suka menceritakan hal-hal lucu agar diperhatikan oleh orang lain.")</f>
        <v>A Saya suka menceritakan hal-hal lucu agar diperhatikan oleh orang lain.</v>
      </c>
      <c r="CP87" s="95" t="str">
        <f>IFERROR(__xludf.DUMMYFUNCTION("""COMPUTED_VALUE"""),"B Saya ingin dianggap menarik oleh orang lain.")</f>
        <v>B Saya ingin dianggap menarik oleh orang lain.</v>
      </c>
      <c r="CQ87" s="95" t="str">
        <f>IFERROR(__xludf.DUMMYFUNCTION("""COMPUTED_VALUE"""),"B Saya merasa kagum pada seseorang.")</f>
        <v>B Saya merasa kagum pada seseorang.</v>
      </c>
      <c r="CR87" s="95" t="str">
        <f>IFERROR(__xludf.DUMMYFUNCTION("""COMPUTED_VALUE"""),"B Saya rasanya ingin mengecam seseorang bila orang itu menjengkelkan.")</f>
        <v>B Saya rasanya ingin mengecam seseorang bila orang itu menjengkelkan.</v>
      </c>
      <c r="CS87" s="95" t="str">
        <f>IFERROR(__xludf.DUMMYFUNCTION("""COMPUTED_VALUE"""),"A Saya ingin terlihat menarik di depan teman-teman saya.")</f>
        <v>A Saya ingin terlihat menarik di depan teman-teman saya.</v>
      </c>
      <c r="CT87" s="95" t="str">
        <f>IFERROR(__xludf.DUMMYFUNCTION("""COMPUTED_VALUE"""),"A Saya ingin orang-orang memperhatikan komentar mengenai penampilan saya.")</f>
        <v>A Saya ingin orang-orang memperhatikan komentar mengenai penampilan saya.</v>
      </c>
      <c r="CU87" s="95" t="str">
        <f>IFERROR(__xludf.DUMMYFUNCTION("""COMPUTED_VALUE"""),"A Saya ingin diperlakukan dengan ramah oleh teman-teman saya.")</f>
        <v>A Saya ingin diperlakukan dengan ramah oleh teman-teman saya.</v>
      </c>
      <c r="CV87" s="95" t="str">
        <f>IFERROR(__xludf.DUMMYFUNCTION("""COMPUTED_VALUE"""),"A Saya ingin ditunjuk atau dipilih sebagai ketua dalam suatu kelompok.")</f>
        <v>A Saya ingin ditunjuk atau dipilih sebagai ketua dalam suatu kelompok.</v>
      </c>
      <c r="CW87" s="95" t="str">
        <f>IFERROR(__xludf.DUMMYFUNCTION("""COMPUTED_VALUE"""),"A Saya suka menolong teman-teman saya, apabila mereka dalam kesulitan.")</f>
        <v>A Saya suka menolong teman-teman saya, apabila mereka dalam kesulitan.</v>
      </c>
      <c r="CX87" s="95" t="str">
        <f>IFERROR(__xludf.DUMMYFUNCTION("""COMPUTED_VALUE"""),"A Saya suka belajar sampai malam untuk menyelesaikan suatu tugas.")</f>
        <v>A Saya suka belajar sampai malam untuk menyelesaikan suatu tugas.</v>
      </c>
      <c r="CY87" s="95" t="str">
        <f>IFERROR(__xludf.DUMMYFUNCTION("""COMPUTED_VALUE"""),"A Saya ingin tidak tergantung dari orang lain terhadap apa yang akan saya lakukan.")</f>
        <v>A Saya ingin tidak tergantung dari orang lain terhadap apa yang akan saya lakukan.</v>
      </c>
      <c r="CZ87" s="95" t="str">
        <f>IFERROR(__xludf.DUMMYFUNCTION("""COMPUTED_VALUE"""),"A Saya suka merencanakan dan mengatur setiap pekerjaan yang harus saya lakukan.")</f>
        <v>A Saya suka merencanakan dan mengatur setiap pekerjaan yang harus saya lakukan.</v>
      </c>
      <c r="DA87" s="95" t="str">
        <f>IFERROR(__xludf.DUMMYFUNCTION("""COMPUTED_VALUE"""),"A Saya ingin melakukan apa saja sebaik mungkin.")</f>
        <v>A Saya ingin melakukan apa saja sebaik mungkin.</v>
      </c>
      <c r="DB87" s="89" t="s">
        <v>23</v>
      </c>
      <c r="DC87" s="97" t="str">
        <f t="shared" ref="DC87:GX87" si="132">LEFT(F87,1)</f>
        <v>B</v>
      </c>
      <c r="DD87" s="97" t="str">
        <f t="shared" si="132"/>
        <v>A</v>
      </c>
      <c r="DE87" s="97" t="str">
        <f t="shared" si="132"/>
        <v>A</v>
      </c>
      <c r="DF87" s="97" t="str">
        <f t="shared" si="132"/>
        <v>B</v>
      </c>
      <c r="DG87" s="97" t="str">
        <f t="shared" si="132"/>
        <v>A</v>
      </c>
      <c r="DH87" s="97" t="str">
        <f t="shared" si="132"/>
        <v>B</v>
      </c>
      <c r="DI87" s="97" t="str">
        <f t="shared" si="132"/>
        <v>B</v>
      </c>
      <c r="DJ87" s="97" t="str">
        <f t="shared" si="132"/>
        <v>A</v>
      </c>
      <c r="DK87" s="97" t="str">
        <f t="shared" si="132"/>
        <v>B</v>
      </c>
      <c r="DL87" s="97" t="str">
        <f t="shared" si="132"/>
        <v>B</v>
      </c>
      <c r="DM87" s="97" t="str">
        <f t="shared" si="132"/>
        <v>B</v>
      </c>
      <c r="DN87" s="97" t="str">
        <f t="shared" si="132"/>
        <v>B</v>
      </c>
      <c r="DO87" s="97" t="str">
        <f t="shared" si="132"/>
        <v>B</v>
      </c>
      <c r="DP87" s="97" t="str">
        <f t="shared" si="132"/>
        <v>A</v>
      </c>
      <c r="DQ87" s="97" t="str">
        <f t="shared" si="132"/>
        <v>B</v>
      </c>
      <c r="DR87" s="97" t="str">
        <f t="shared" si="132"/>
        <v>A</v>
      </c>
      <c r="DS87" s="97" t="str">
        <f t="shared" si="132"/>
        <v>B</v>
      </c>
      <c r="DT87" s="97" t="str">
        <f t="shared" si="132"/>
        <v>A</v>
      </c>
      <c r="DU87" s="97" t="str">
        <f t="shared" si="132"/>
        <v>A</v>
      </c>
      <c r="DV87" s="97" t="str">
        <f t="shared" si="132"/>
        <v>A</v>
      </c>
      <c r="DW87" s="97" t="str">
        <f t="shared" si="132"/>
        <v>A</v>
      </c>
      <c r="DX87" s="97" t="str">
        <f t="shared" si="132"/>
        <v>A</v>
      </c>
      <c r="DY87" s="97" t="str">
        <f t="shared" si="132"/>
        <v>B</v>
      </c>
      <c r="DZ87" s="97" t="str">
        <f t="shared" si="132"/>
        <v>A</v>
      </c>
      <c r="EA87" s="97" t="str">
        <f t="shared" si="132"/>
        <v>B</v>
      </c>
      <c r="EB87" s="97" t="str">
        <f t="shared" si="132"/>
        <v>A</v>
      </c>
      <c r="EC87" s="97" t="str">
        <f t="shared" si="132"/>
        <v>B</v>
      </c>
      <c r="ED87" s="97" t="str">
        <f t="shared" si="132"/>
        <v>B</v>
      </c>
      <c r="EE87" s="97" t="str">
        <f t="shared" si="132"/>
        <v>B</v>
      </c>
      <c r="EF87" s="97" t="str">
        <f t="shared" si="132"/>
        <v>B</v>
      </c>
      <c r="EG87" s="97" t="str">
        <f t="shared" si="132"/>
        <v>B</v>
      </c>
      <c r="EH87" s="97" t="str">
        <f t="shared" si="132"/>
        <v>B</v>
      </c>
      <c r="EI87" s="97" t="str">
        <f t="shared" si="132"/>
        <v>B</v>
      </c>
      <c r="EJ87" s="97" t="str">
        <f t="shared" si="132"/>
        <v>B</v>
      </c>
      <c r="EK87" s="97" t="str">
        <f t="shared" si="132"/>
        <v>A</v>
      </c>
      <c r="EL87" s="97" t="str">
        <f t="shared" si="132"/>
        <v>B</v>
      </c>
      <c r="EM87" s="97" t="str">
        <f t="shared" si="132"/>
        <v>B</v>
      </c>
      <c r="EN87" s="97" t="str">
        <f t="shared" si="132"/>
        <v>B</v>
      </c>
      <c r="EO87" s="97" t="str">
        <f t="shared" si="132"/>
        <v>A</v>
      </c>
      <c r="EP87" s="97" t="str">
        <f t="shared" si="132"/>
        <v>A</v>
      </c>
      <c r="EQ87" s="97" t="str">
        <f t="shared" si="132"/>
        <v>B</v>
      </c>
      <c r="ER87" s="97" t="str">
        <f t="shared" si="132"/>
        <v>A</v>
      </c>
      <c r="ES87" s="97" t="str">
        <f t="shared" si="132"/>
        <v>B</v>
      </c>
      <c r="ET87" s="97" t="str">
        <f t="shared" si="132"/>
        <v>A</v>
      </c>
      <c r="EU87" s="97" t="str">
        <f t="shared" si="132"/>
        <v>A</v>
      </c>
      <c r="EV87" s="97" t="str">
        <f t="shared" si="132"/>
        <v>B</v>
      </c>
      <c r="EW87" s="97" t="str">
        <f t="shared" si="132"/>
        <v>B</v>
      </c>
      <c r="EX87" s="97" t="str">
        <f t="shared" si="132"/>
        <v>A</v>
      </c>
      <c r="EY87" s="97" t="str">
        <f t="shared" si="132"/>
        <v>A</v>
      </c>
      <c r="EZ87" s="97" t="str">
        <f t="shared" si="132"/>
        <v>B</v>
      </c>
      <c r="FA87" s="97" t="str">
        <f t="shared" si="132"/>
        <v>B</v>
      </c>
      <c r="FB87" s="97" t="str">
        <f t="shared" si="132"/>
        <v>A</v>
      </c>
      <c r="FC87" s="97" t="str">
        <f t="shared" si="132"/>
        <v>B</v>
      </c>
      <c r="FD87" s="97" t="str">
        <f t="shared" si="132"/>
        <v>A</v>
      </c>
      <c r="FE87" s="97" t="str">
        <f t="shared" si="132"/>
        <v>A</v>
      </c>
      <c r="FF87" s="97" t="str">
        <f t="shared" si="132"/>
        <v>A</v>
      </c>
      <c r="FG87" s="97" t="str">
        <f t="shared" si="132"/>
        <v>A</v>
      </c>
      <c r="FH87" s="97" t="str">
        <f t="shared" si="132"/>
        <v>A</v>
      </c>
      <c r="FI87" s="97" t="str">
        <f t="shared" si="132"/>
        <v>B</v>
      </c>
      <c r="FJ87" s="97" t="str">
        <f t="shared" si="132"/>
        <v>A</v>
      </c>
      <c r="FK87" s="97" t="str">
        <f t="shared" si="132"/>
        <v>A</v>
      </c>
      <c r="FL87" s="97" t="str">
        <f t="shared" si="132"/>
        <v>B</v>
      </c>
      <c r="FM87" s="97" t="str">
        <f t="shared" si="132"/>
        <v>A</v>
      </c>
      <c r="FN87" s="97" t="str">
        <f t="shared" si="132"/>
        <v>A</v>
      </c>
      <c r="FO87" s="97" t="str">
        <f t="shared" si="132"/>
        <v>A</v>
      </c>
      <c r="FP87" s="97" t="str">
        <f t="shared" si="132"/>
        <v>A</v>
      </c>
      <c r="FQ87" s="97" t="str">
        <f t="shared" si="132"/>
        <v>B</v>
      </c>
      <c r="FR87" s="97" t="str">
        <f t="shared" si="132"/>
        <v>A</v>
      </c>
      <c r="FS87" s="97" t="str">
        <f t="shared" si="132"/>
        <v>B</v>
      </c>
      <c r="FT87" s="97" t="str">
        <f t="shared" si="132"/>
        <v>B</v>
      </c>
      <c r="FU87" s="97" t="str">
        <f t="shared" si="132"/>
        <v>B</v>
      </c>
      <c r="FV87" s="97" t="str">
        <f t="shared" si="132"/>
        <v>B</v>
      </c>
      <c r="FW87" s="97" t="str">
        <f t="shared" si="132"/>
        <v>B</v>
      </c>
      <c r="FX87" s="97" t="str">
        <f t="shared" si="132"/>
        <v>A</v>
      </c>
      <c r="FY87" s="97" t="str">
        <f t="shared" si="132"/>
        <v>A</v>
      </c>
      <c r="FZ87" s="97" t="str">
        <f t="shared" si="132"/>
        <v>A</v>
      </c>
      <c r="GA87" s="97" t="str">
        <f t="shared" si="132"/>
        <v>A</v>
      </c>
      <c r="GB87" s="97" t="str">
        <f t="shared" si="132"/>
        <v>A</v>
      </c>
      <c r="GC87" s="97" t="str">
        <f t="shared" si="132"/>
        <v>A</v>
      </c>
      <c r="GD87" s="97" t="str">
        <f t="shared" si="132"/>
        <v>A</v>
      </c>
      <c r="GE87" s="97" t="str">
        <f t="shared" si="132"/>
        <v>A</v>
      </c>
      <c r="GF87" s="97" t="str">
        <f t="shared" si="132"/>
        <v>A</v>
      </c>
      <c r="GG87" s="97" t="str">
        <f t="shared" si="132"/>
        <v>A</v>
      </c>
      <c r="GH87" s="97" t="str">
        <f t="shared" si="132"/>
        <v>B</v>
      </c>
      <c r="GI87" s="97" t="str">
        <f t="shared" si="132"/>
        <v>A</v>
      </c>
      <c r="GJ87" s="97" t="str">
        <f t="shared" si="132"/>
        <v>B</v>
      </c>
      <c r="GK87" s="97" t="str">
        <f t="shared" si="132"/>
        <v>A</v>
      </c>
      <c r="GL87" s="97" t="str">
        <f t="shared" si="132"/>
        <v>A</v>
      </c>
      <c r="GM87" s="97" t="str">
        <f t="shared" si="132"/>
        <v>B</v>
      </c>
      <c r="GN87" s="97" t="str">
        <f t="shared" si="132"/>
        <v>B</v>
      </c>
      <c r="GO87" s="97" t="str">
        <f t="shared" si="132"/>
        <v>B</v>
      </c>
      <c r="GP87" s="97" t="str">
        <f t="shared" si="132"/>
        <v>A</v>
      </c>
      <c r="GQ87" s="97" t="str">
        <f t="shared" si="132"/>
        <v>A</v>
      </c>
      <c r="GR87" s="97" t="str">
        <f t="shared" si="132"/>
        <v>A</v>
      </c>
      <c r="GS87" s="97" t="str">
        <f t="shared" si="132"/>
        <v>A</v>
      </c>
      <c r="GT87" s="97" t="str">
        <f t="shared" si="132"/>
        <v>A</v>
      </c>
      <c r="GU87" s="97" t="str">
        <f t="shared" si="132"/>
        <v>A</v>
      </c>
      <c r="GV87" s="97" t="str">
        <f t="shared" si="132"/>
        <v>A</v>
      </c>
      <c r="GW87" s="97" t="str">
        <f t="shared" si="132"/>
        <v>A</v>
      </c>
      <c r="GX87" s="97" t="str">
        <f t="shared" si="132"/>
        <v>A</v>
      </c>
      <c r="GY87" s="98"/>
      <c r="GZ87" s="97">
        <f t="shared" si="3"/>
        <v>56</v>
      </c>
      <c r="HA87" s="97">
        <f t="shared" si="4"/>
        <v>44</v>
      </c>
      <c r="HB87" s="90">
        <f t="shared" si="5"/>
        <v>100</v>
      </c>
      <c r="HC87" s="99"/>
      <c r="HD87" s="97">
        <f t="shared" si="6"/>
        <v>8</v>
      </c>
      <c r="HE87" s="97">
        <f t="shared" si="7"/>
        <v>5</v>
      </c>
      <c r="HF87" s="90">
        <f t="shared" si="8"/>
        <v>13</v>
      </c>
      <c r="HG87" s="99"/>
      <c r="HH87" s="97">
        <f t="shared" si="9"/>
        <v>7</v>
      </c>
      <c r="HI87" s="97">
        <f t="shared" si="10"/>
        <v>5</v>
      </c>
      <c r="HJ87" s="90">
        <f t="shared" si="11"/>
        <v>12</v>
      </c>
      <c r="HK87" s="99"/>
      <c r="HL87" s="97">
        <f t="shared" si="12"/>
        <v>7</v>
      </c>
      <c r="HM87" s="97">
        <f t="shared" si="13"/>
        <v>6</v>
      </c>
      <c r="HN87" s="90">
        <f t="shared" si="14"/>
        <v>13</v>
      </c>
      <c r="HO87" s="99"/>
      <c r="HP87" s="97">
        <f t="shared" si="15"/>
        <v>6</v>
      </c>
      <c r="HQ87" s="97">
        <f t="shared" si="16"/>
        <v>7</v>
      </c>
      <c r="HR87" s="90">
        <f t="shared" si="17"/>
        <v>13</v>
      </c>
      <c r="HS87" s="99"/>
      <c r="HT87" s="97">
        <f t="shared" si="18"/>
        <v>7</v>
      </c>
      <c r="HU87" s="97">
        <f t="shared" si="19"/>
        <v>5</v>
      </c>
      <c r="HV87" s="90">
        <f t="shared" si="20"/>
        <v>12</v>
      </c>
      <c r="HW87" s="99"/>
      <c r="HX87" s="97">
        <f t="shared" si="21"/>
        <v>5</v>
      </c>
      <c r="HY87" s="97">
        <f t="shared" si="22"/>
        <v>3</v>
      </c>
      <c r="HZ87" s="90">
        <f t="shared" si="23"/>
        <v>8</v>
      </c>
      <c r="IA87" s="99"/>
      <c r="IB87" s="97">
        <f t="shared" si="24"/>
        <v>5</v>
      </c>
      <c r="IC87" s="97">
        <f t="shared" si="25"/>
        <v>4</v>
      </c>
      <c r="ID87" s="90">
        <f t="shared" si="26"/>
        <v>9</v>
      </c>
      <c r="IE87" s="99"/>
      <c r="IF87" s="97">
        <f t="shared" si="27"/>
        <v>5</v>
      </c>
      <c r="IG87" s="97">
        <f t="shared" si="28"/>
        <v>3</v>
      </c>
      <c r="IH87" s="90">
        <f t="shared" si="29"/>
        <v>8</v>
      </c>
      <c r="II87" s="99"/>
      <c r="IJ87" s="97">
        <f t="shared" si="30"/>
        <v>3</v>
      </c>
      <c r="IK87" s="97">
        <f t="shared" si="31"/>
        <v>4</v>
      </c>
      <c r="IL87" s="90">
        <f t="shared" si="32"/>
        <v>7</v>
      </c>
      <c r="IM87" s="99"/>
      <c r="IN87" s="97">
        <f t="shared" si="33"/>
        <v>0</v>
      </c>
      <c r="IO87" s="97">
        <f t="shared" si="34"/>
        <v>1</v>
      </c>
      <c r="IP87" s="90">
        <f t="shared" si="35"/>
        <v>1</v>
      </c>
      <c r="IQ87" s="99"/>
      <c r="IR87" s="99"/>
      <c r="IS87" s="100">
        <f t="shared" si="36"/>
        <v>13</v>
      </c>
      <c r="IT87" s="100">
        <f t="shared" si="37"/>
        <v>12</v>
      </c>
      <c r="IU87" s="100">
        <f t="shared" si="38"/>
        <v>13</v>
      </c>
      <c r="IV87" s="100">
        <f t="shared" si="39"/>
        <v>13</v>
      </c>
      <c r="IW87" s="100">
        <f t="shared" si="40"/>
        <v>12</v>
      </c>
      <c r="IX87" s="100">
        <f t="shared" si="41"/>
        <v>8</v>
      </c>
      <c r="IY87" s="100">
        <f t="shared" si="42"/>
        <v>9</v>
      </c>
      <c r="IZ87" s="100">
        <f t="shared" si="43"/>
        <v>8</v>
      </c>
      <c r="JA87" s="100">
        <f t="shared" si="44"/>
        <v>7</v>
      </c>
      <c r="JB87" s="101">
        <f t="shared" si="45"/>
        <v>1</v>
      </c>
      <c r="JC87" s="102">
        <f t="shared" si="46"/>
        <v>96</v>
      </c>
      <c r="JD87" s="67">
        <f t="shared" si="50"/>
        <v>0</v>
      </c>
      <c r="JE87" s="67">
        <f t="shared" si="47"/>
        <v>0</v>
      </c>
      <c r="JF87" s="67">
        <f t="shared" si="48"/>
        <v>0</v>
      </c>
    </row>
    <row r="88">
      <c r="A88" s="103">
        <f>IFERROR(__xludf.DUMMYFUNCTION("""COMPUTED_VALUE"""),45941.46474674769)</f>
        <v>45941.46475</v>
      </c>
      <c r="B88" s="95" t="str">
        <f>IFERROR(__xludf.DUMMYFUNCTION("""COMPUTED_VALUE"""),"Qisya Rahma Kamila ")</f>
        <v>Qisya Rahma Kamila </v>
      </c>
      <c r="C88" s="96" t="str">
        <f>IFERROR(__xludf.DUMMYFUNCTION("""COMPUTED_VALUE"""),"D250001")</f>
        <v>D250001</v>
      </c>
      <c r="D88" s="96" t="str">
        <f>IFERROR(__xludf.DUMMYFUNCTION("""COMPUTED_VALUE"""),"MTs Putri")</f>
        <v>MTs Putri</v>
      </c>
      <c r="E88" s="96" t="str">
        <f>IFERROR(__xludf.DUMMYFUNCTION("""COMPUTED_VALUE"""),"Ya")</f>
        <v>Ya</v>
      </c>
      <c r="F88" s="95" t="str">
        <f>IFERROR(__xludf.DUMMYFUNCTION("""COMPUTED_VALUE"""),"B Saya ingin melakukan apa saja sebaik mungkin.")</f>
        <v>B Saya ingin melakukan apa saja sebaik mungkin.</v>
      </c>
      <c r="G88" s="95" t="str">
        <f>IFERROR(__xludf.DUMMYFUNCTION("""COMPUTED_VALUE"""),"A Saya ingin setiap tulisan saya teliti, rapi, dan tersusun dengan baik.")</f>
        <v>A Saya ingin setiap tulisan saya teliti, rapi, dan tersusun dengan baik.</v>
      </c>
      <c r="H88" s="95" t="str">
        <f>IFERROR(__xludf.DUMMYFUNCTION("""COMPUTED_VALUE"""),"A Saya ingin berbuat sesuai kata hati saya.")</f>
        <v>A Saya ingin berbuat sesuai kata hati saya.</v>
      </c>
      <c r="I88" s="95" t="str">
        <f>IFERROR(__xludf.DUMMYFUNCTION("""COMPUTED_VALUE"""),"A Saya suka belajar keras pada tiap pelajaran yang saya hadapi.")</f>
        <v>A Saya suka belajar keras pada tiap pelajaran yang saya hadapi.</v>
      </c>
      <c r="J88" s="95" t="str">
        <f>IFERROR(__xludf.DUMMYFUNCTION("""COMPUTED_VALUE"""),"A Saya suka membantu teman-teman saya apabila mereka mengalami kesulitan.")</f>
        <v>A Saya suka membantu teman-teman saya apabila mereka mengalami kesulitan.</v>
      </c>
      <c r="K88" s="95" t="str">
        <f>IFERROR(__xludf.DUMMYFUNCTION("""COMPUTED_VALUE"""),"B Saya ingin mengatakan telah melakukan dengan baik sesuatu tugas yang sulit.")</f>
        <v>B Saya ingin mengatakan telah melakukan dengan baik sesuatu tugas yang sulit.</v>
      </c>
      <c r="L88" s="95" t="str">
        <f>IFERROR(__xludf.DUMMYFUNCTION("""COMPUTED_VALUE"""),"B Saya ingin mengatakan telah melakukan dengan baik sesuatu tugas yang sulit")</f>
        <v>B Saya ingin mengatakan telah melakukan dengan baik sesuatu tugas yang sulit</v>
      </c>
      <c r="M88" s="95" t="str">
        <f>IFERROR(__xludf.DUMMYFUNCTION("""COMPUTED_VALUE"""),"A Saya suka berbicara tentang hal-hal yang telah berhasil saya lakukan.")</f>
        <v>A Saya suka berbicara tentang hal-hal yang telah berhasil saya lakukan.</v>
      </c>
      <c r="N88" s="95" t="str">
        <f>IFERROR(__xludf.DUMMYFUNCTION("""COMPUTED_VALUE"""),"B Saya suka memecahkan persoalan yang sukar bagi orang lain.")</f>
        <v>B Saya suka memecahkan persoalan yang sukar bagi orang lain.</v>
      </c>
      <c r="O88" s="95" t="str">
        <f>IFERROR(__xludf.DUMMYFUNCTION("""COMPUTED_VALUE"""),"B Saya suka melakukan tugas sebaik mungkin.")</f>
        <v>B Saya suka melakukan tugas sebaik mungkin.</v>
      </c>
      <c r="P88" s="95" t="str">
        <f>IFERROR(__xludf.DUMMYFUNCTION("""COMPUTED_VALUE"""),"A Saya suka bercerita tentang hal-hal yang menegangkan atau menantang.")</f>
        <v>A Saya suka bercerita tentang hal-hal yang menegangkan atau menantang.</v>
      </c>
      <c r="Q88" s="95" t="str">
        <f>IFERROR(__xludf.DUMMYFUNCTION("""COMPUTED_VALUE"""),"B Saya merencanakan keperluan yang dibutuhkan sebelum bepergian.")</f>
        <v>B Saya merencanakan keperluan yang dibutuhkan sebelum bepergian.</v>
      </c>
      <c r="R88" s="95" t="str">
        <f>IFERROR(__xludf.DUMMYFUNCTION("""COMPUTED_VALUE"""),"B Saya suka barang-barang saya tersusun rapi dan teratur.")</f>
        <v>B Saya suka barang-barang saya tersusun rapi dan teratur.</v>
      </c>
      <c r="S88" s="95" t="str">
        <f>IFERROR(__xludf.DUMMYFUNCTION("""COMPUTED_VALUE"""),"A Saya ingin agar teman-teman pengertian bila saya mengalami kesukaran.")</f>
        <v>A Saya ingin agar teman-teman pengertian bila saya mengalami kesukaran.</v>
      </c>
      <c r="T88" s="95" t="str">
        <f>IFERROR(__xludf.DUMMYFUNCTION("""COMPUTED_VALUE"""),"B Saya ingin agar hidup saya teratur sesuai cita-cita saya.")</f>
        <v>B Saya ingin agar hidup saya teratur sesuai cita-cita saya.</v>
      </c>
      <c r="U88" s="95" t="str">
        <f>IFERROR(__xludf.DUMMYFUNCTION("""COMPUTED_VALUE"""),"A Saya suka memberikan bantuan kepada teman-teman saya.")</f>
        <v>A Saya suka memberikan bantuan kepada teman-teman saya.</v>
      </c>
      <c r="V88" s="95" t="str">
        <f>IFERROR(__xludf.DUMMYFUNCTION("""COMPUTED_VALUE"""),"B Saya suka belajar saya teratur dan ada waktu-waktu tertentu untuk belajar.")</f>
        <v>B Saya suka belajar saya teratur dan ada waktu-waktu tertentu untuk belajar.</v>
      </c>
      <c r="W88" s="95" t="str">
        <f>IFERROR(__xludf.DUMMYFUNCTION("""COMPUTED_VALUE"""),"A Saya suka melakukan kegiatan sesuai kondisi yang saya inginkan.")</f>
        <v>A Saya suka melakukan kegiatan sesuai kondisi yang saya inginkan.</v>
      </c>
      <c r="X88" s="95" t="str">
        <f>IFERROR(__xludf.DUMMYFUNCTION("""COMPUTED_VALUE"""),"B Saya ingin agar hidup saya teratur sesuai cita-cita saya.")</f>
        <v>B Saya ingin agar hidup saya teratur sesuai cita-cita saya.</v>
      </c>
      <c r="Y88" s="95" t="str">
        <f>IFERROR(__xludf.DUMMYFUNCTION("""COMPUTED_VALUE"""),"A Saya suka menyelesaikan tugas-tugas yang membutuhkan ketrampilan dan usaha.")</f>
        <v>A Saya suka menyelesaikan tugas-tugas yang membutuhkan ketrampilan dan usaha.</v>
      </c>
      <c r="Z88" s="95" t="str">
        <f>IFERROR(__xludf.DUMMYFUNCTION("""COMPUTED_VALUE"""),"A Saya ingin berhasil dengan belajar yang saya lakukan.")</f>
        <v>A Saya ingin berhasil dengan belajar yang saya lakukan.</v>
      </c>
      <c r="AA88" s="95" t="str">
        <f>IFERROR(__xludf.DUMMYFUNCTION("""COMPUTED_VALUE"""),"A Saya suka menyelesaikan tugas yang telah saya rencanakan.")</f>
        <v>A Saya suka menyelesaikan tugas yang telah saya rencanakan.</v>
      </c>
      <c r="AB88" s="95" t="str">
        <f>IFERROR(__xludf.DUMMYFUNCTION("""COMPUTED_VALUE"""),"B Saya ingin menyelesaikan pekerjaan satu persatu sebelum memulai yang lain.")</f>
        <v>B Saya ingin menyelesaikan pekerjaan satu persatu sebelum memulai yang lain.</v>
      </c>
      <c r="AC88" s="95" t="str">
        <f>IFERROR(__xludf.DUMMYFUNCTION("""COMPUTED_VALUE"""),"B Saya suka melakukan kegiatan sesuai kondisi yang saya inginkan.")</f>
        <v>B Saya suka melakukan kegiatan sesuai kondisi yang saya inginkan.</v>
      </c>
      <c r="AD88" s="95" t="str">
        <f>IFERROR(__xludf.DUMMYFUNCTION("""COMPUTED_VALUE"""),"A Saya suka bermurah hati terhadap teman-teman saya.")</f>
        <v>A Saya suka bermurah hati terhadap teman-teman saya.</v>
      </c>
      <c r="AE88" s="95" t="str">
        <f>IFERROR(__xludf.DUMMYFUNCTION("""COMPUTED_VALUE"""),"A Saya ingin dianggap sebagai pemimpin oleh teman di kelompok.")</f>
        <v>A Saya ingin dianggap sebagai pemimpin oleh teman di kelompok.</v>
      </c>
      <c r="AF88" s="95" t="str">
        <f>IFERROR(__xludf.DUMMYFUNCTION("""COMPUTED_VALUE"""),"B Saya suka melakukan hal-hal dengan cara saya sendiri.")</f>
        <v>B Saya suka melakukan hal-hal dengan cara saya sendiri.</v>
      </c>
      <c r="AG88" s="95" t="str">
        <f>IFERROR(__xludf.DUMMYFUNCTION("""COMPUTED_VALUE"""),"B Saya ingin berhasil dengan tugas yang saya lakukan.")</f>
        <v>B Saya ingin berhasil dengan tugas yang saya lakukan.</v>
      </c>
      <c r="AH88" s="95" t="str">
        <f>IFERROR(__xludf.DUMMYFUNCTION("""COMPUTED_VALUE"""),"A Saya suka membaca buku-buku tentang pergaulan remaja.")</f>
        <v>A Saya suka membaca buku-buku tentang pergaulan remaja.</v>
      </c>
      <c r="AI88" s="95" t="str">
        <f>IFERROR(__xludf.DUMMYFUNCTION("""COMPUTED_VALUE"""),"B Saya suka melakukan kegiatan sesuai kondisi yang saya inginkan.")</f>
        <v>B Saya suka melakukan kegiatan sesuai kondisi yang saya inginkan.</v>
      </c>
      <c r="AJ88" s="95" t="str">
        <f>IFERROR(__xludf.DUMMYFUNCTION("""COMPUTED_VALUE"""),"B Saya suka bertahan menghadapi satu masalah meskipun belum tentu berhasil.")</f>
        <v>B Saya suka bertahan menghadapi satu masalah meskipun belum tentu berhasil.</v>
      </c>
      <c r="AK88" s="95" t="str">
        <f>IFERROR(__xludf.DUMMYFUNCTION("""COMPUTED_VALUE"""),"B Bila saya harus melakukan suatu tugas, saya ingin mengerjakan sampai selesai.")</f>
        <v>B Bila saya harus melakukan suatu tugas, saya ingin mengerjakan sampai selesai.</v>
      </c>
      <c r="AL88" s="95" t="str">
        <f>IFERROR(__xludf.DUMMYFUNCTION("""COMPUTED_VALUE"""),"B Saya ingin menghindarkan gangguan bila saya sedang belajar.")</f>
        <v>B Saya ingin menghindarkan gangguan bila saya sedang belajar.</v>
      </c>
      <c r="AM88" s="95" t="str">
        <f>IFERROR(__xludf.DUMMYFUNCTION("""COMPUTED_VALUE"""),"B Saya suka belajar sampai malam untuk menyelesaikan suatu tugas.")</f>
        <v>B Saya suka belajar sampai malam untuk menyelesaikan suatu tugas.</v>
      </c>
      <c r="AN88" s="95" t="str">
        <f>IFERROR(__xludf.DUMMYFUNCTION("""COMPUTED_VALUE"""),"A Saya tidak suka pada orang yang semena-mena.")</f>
        <v>A Saya tidak suka pada orang yang semena-mena.</v>
      </c>
      <c r="AO88" s="95" t="str">
        <f>IFERROR(__xludf.DUMMYFUNCTION("""COMPUTED_VALUE"""),"B Saya suka menyelesaikan setiap tugas meskipun membutuhkan waktu lama.")</f>
        <v>B Saya suka menyelesaikan setiap tugas meskipun membutuhkan waktu lama.</v>
      </c>
      <c r="AP88" s="95" t="str">
        <f>IFERROR(__xludf.DUMMYFUNCTION("""COMPUTED_VALUE"""),"B Saya suka bertahan menghadapi satu masalah meskipun belum tentu berhasil.")</f>
        <v>B Saya suka bertahan menghadapi satu masalah meskipun belum tentu berhasil.</v>
      </c>
      <c r="AQ88" s="95" t="str">
        <f>IFERROR(__xludf.DUMMYFUNCTION("""COMPUTED_VALUE"""),"B Bila saya harus melakukan suatu tugas, saya ingin mengerjakan sampai selesai.")</f>
        <v>B Bila saya harus melakukan suatu tugas, saya ingin mengerjakan sampai selesai.</v>
      </c>
      <c r="AR88" s="95" t="str">
        <f>IFERROR(__xludf.DUMMYFUNCTION("""COMPUTED_VALUE"""),"A Saya suka menyimpan catatan secara rapi.")</f>
        <v>A Saya suka menyimpan catatan secara rapi.</v>
      </c>
      <c r="AS88" s="95" t="str">
        <f>IFERROR(__xludf.DUMMYFUNCTION("""COMPUTED_VALUE"""),"A Saya ingin dapat menyelesaikan persoalan yang dianggap sukar bagi orang lain.")</f>
        <v>A Saya ingin dapat menyelesaikan persoalan yang dianggap sukar bagi orang lain.</v>
      </c>
      <c r="AT88" s="95" t="str">
        <f>IFERROR(__xludf.DUMMYFUNCTION("""COMPUTED_VALUE"""),"A Saya ingin bisa melakukan dengan baik sesuatu pekerjaan sulit.")</f>
        <v>A Saya ingin bisa melakukan dengan baik sesuatu pekerjaan sulit.</v>
      </c>
      <c r="AU88" s="95" t="str">
        <f>IFERROR(__xludf.DUMMYFUNCTION("""COMPUTED_VALUE"""),"A Saya ingin menyelesaikan pekerjaan satu persatu sebelum memulai yang lain.")</f>
        <v>A Saya ingin menyelesaikan pekerjaan satu persatu sebelum memulai yang lain.</v>
      </c>
      <c r="AV88" s="95" t="str">
        <f>IFERROR(__xludf.DUMMYFUNCTION("""COMPUTED_VALUE"""),"B Saya suka menolong teman-teman saya.")</f>
        <v>B Saya suka menolong teman-teman saya.</v>
      </c>
      <c r="AW88" s="95" t="str">
        <f>IFERROR(__xludf.DUMMYFUNCTION("""COMPUTED_VALUE"""),"A Saya ingin mengerjakan tugas sampai selesai.")</f>
        <v>A Saya ingin mengerjakan tugas sampai selesai.</v>
      </c>
      <c r="AX88" s="95" t="str">
        <f>IFERROR(__xludf.DUMMYFUNCTION("""COMPUTED_VALUE"""),"A Saya suka menolong teman-teman saya apabila mereka dalam kesulitan.")</f>
        <v>A Saya suka menolong teman-teman saya apabila mereka dalam kesulitan.</v>
      </c>
      <c r="AY88" s="95" t="str">
        <f>IFERROR(__xludf.DUMMYFUNCTION("""COMPUTED_VALUE"""),"B Saya suka menolong teman-teman saya apabila mereka dalam kesulitan.")</f>
        <v>B Saya suka menolong teman-teman saya apabila mereka dalam kesulitan.</v>
      </c>
      <c r="AZ88" s="95" t="str">
        <f>IFERROR(__xludf.DUMMYFUNCTION("""COMPUTED_VALUE"""),"B Saya suka menunjukkan simpati saya kepada teman-teman saya.")</f>
        <v>B Saya suka menunjukkan simpati saya kepada teman-teman saya.</v>
      </c>
      <c r="BA88" s="95" t="str">
        <f>IFERROR(__xludf.DUMMYFUNCTION("""COMPUTED_VALUE"""),"B Saya suka memperlakukan orang lain dengan baik dan ramah.")</f>
        <v>B Saya suka memperlakukan orang lain dengan baik dan ramah.</v>
      </c>
      <c r="BB88" s="95" t="str">
        <f>IFERROR(__xludf.DUMMYFUNCTION("""COMPUTED_VALUE"""),"B Saya suka bermurah hati terhadap teman-teman saya.")</f>
        <v>B Saya suka bermurah hati terhadap teman-teman saya.</v>
      </c>
      <c r="BC88" s="95" t="str">
        <f>IFERROR(__xludf.DUMMYFUNCTION("""COMPUTED_VALUE"""),"B Saya suka membantu orang lain yang menurut saya perlu dikasihani.")</f>
        <v>B Saya suka membantu orang lain yang menurut saya perlu dikasihani.</v>
      </c>
      <c r="BD88" s="95" t="str">
        <f>IFERROR(__xludf.DUMMYFUNCTION("""COMPUTED_VALUE"""),"B Saya suka bersikukuh dengan pendirian saya.")</f>
        <v>B Saya suka bersikukuh dengan pendirian saya.</v>
      </c>
      <c r="BE88" s="95" t="str">
        <f>IFERROR(__xludf.DUMMYFUNCTION("""COMPUTED_VALUE"""),"A Saya suka mendengarkan atau menceritakan hal-hal yang sebaiknya tidak diceritakan.")</f>
        <v>A Saya suka mendengarkan atau menceritakan hal-hal yang sebaiknya tidak diceritakan.</v>
      </c>
      <c r="BF88" s="95" t="str">
        <f>IFERROR(__xludf.DUMMYFUNCTION("""COMPUTED_VALUE"""),"B Bila saya dalam kelompok, saya ingin menentukan apa yang akan kita lakukan.")</f>
        <v>B Bila saya dalam kelompok, saya ingin menentukan apa yang akan kita lakukan.</v>
      </c>
      <c r="BG88" s="95" t="str">
        <f>IFERROR(__xludf.DUMMYFUNCTION("""COMPUTED_VALUE"""),"B Saya suka mengarahkan kepada orang lain apa yang harus dilakukan.")</f>
        <v>B Saya suka mengarahkan kepada orang lain apa yang harus dilakukan.</v>
      </c>
      <c r="BH88" s="95" t="str">
        <f>IFERROR(__xludf.DUMMYFUNCTION("""COMPUTED_VALUE"""),"A Saya suka menghindar dari situasi yang tidak saya harapkan.")</f>
        <v>A Saya suka menghindar dari situasi yang tidak saya harapkan.</v>
      </c>
      <c r="BI88" s="95" t="str">
        <f>IFERROR(__xludf.DUMMYFUNCTION("""COMPUTED_VALUE"""),"A Saya suka bermurah hati terhadap teman-teman saya.")</f>
        <v>A Saya suka bermurah hati terhadap teman-teman saya.</v>
      </c>
      <c r="BJ88" s="95" t="str">
        <f>IFERROR(__xludf.DUMMYFUNCTION("""COMPUTED_VALUE"""),"A Saya ingin mengerjakan tugas sampai selesai.")</f>
        <v>A Saya ingin mengerjakan tugas sampai selesai.</v>
      </c>
      <c r="BK88" s="95" t="str">
        <f>IFERROR(__xludf.DUMMYFUNCTION("""COMPUTED_VALUE"""),"A Saya ingin menyelesaikan pekerjaan satu persatu sebelum memulai yang lain.")</f>
        <v>A Saya ingin menyelesaikan pekerjaan satu persatu sebelum memulai yang lain.</v>
      </c>
      <c r="BL88" s="95" t="str">
        <f>IFERROR(__xludf.DUMMYFUNCTION("""COMPUTED_VALUE"""),"A Saya suka belajar saya teratur dan ada waktu-waktu tertentu untuk belajar.")</f>
        <v>A Saya suka belajar saya teratur dan ada waktu-waktu tertentu untuk belajar.</v>
      </c>
      <c r="BM88" s="95" t="str">
        <f>IFERROR(__xludf.DUMMYFUNCTION("""COMPUTED_VALUE"""),"A Saya suka melakukan pekerjaan sebaik mungkin.")</f>
        <v>A Saya suka melakukan pekerjaan sebaik mungkin.</v>
      </c>
      <c r="BN88" s="95" t="str">
        <f>IFERROR(__xludf.DUMMYFUNCTION("""COMPUTED_VALUE"""),"A Saya suka mengerjakan teka-teki atau memecahkan persoalan sampai selesai.")</f>
        <v>A Saya suka mengerjakan teka-teki atau memecahkan persoalan sampai selesai.</v>
      </c>
      <c r="BO88" s="95" t="str">
        <f>IFERROR(__xludf.DUMMYFUNCTION("""COMPUTED_VALUE"""),"A Saya suka membuat perencanaan sebelum memulai belajar yang sulit.")</f>
        <v>A Saya suka membuat perencanaan sebelum memulai belajar yang sulit.</v>
      </c>
      <c r="BP88" s="95" t="str">
        <f>IFERROR(__xludf.DUMMYFUNCTION("""COMPUTED_VALUE"""),"A Saya ingin menyelesaikan sesuatu yang sangat penting artinya.")</f>
        <v>A Saya ingin menyelesaikan sesuatu yang sangat penting artinya.</v>
      </c>
      <c r="BQ88" s="95" t="str">
        <f>IFERROR(__xludf.DUMMYFUNCTION("""COMPUTED_VALUE"""),"A Saya ingin mengerjakannya tugas sampai selesai.")</f>
        <v>A Saya ingin mengerjakannya tugas sampai selesai.</v>
      </c>
      <c r="BR88" s="95" t="str">
        <f>IFERROR(__xludf.DUMMYFUNCTION("""COMPUTED_VALUE"""),"A Saya suka memaafkan teman-teman saya yang menyakiti hati saya.")</f>
        <v>A Saya suka memaafkan teman-teman saya yang menyakiti hati saya.</v>
      </c>
      <c r="BS88" s="95" t="str">
        <f>IFERROR(__xludf.DUMMYFUNCTION("""COMPUTED_VALUE"""),"B Saya ingin teman-teman saya membantu saya bila saya mengalami kesulitan")</f>
        <v>B Saya ingin teman-teman saya membantu saya bila saya mengalami kesulitan</v>
      </c>
      <c r="BT88" s="95" t="str">
        <f>IFERROR(__xludf.DUMMYFUNCTION("""COMPUTED_VALUE"""),"B Saya ingin teman-teman banyak menunjukkan rasa sayang mereka terhadap saya.")</f>
        <v>B Saya ingin teman-teman banyak menunjukkan rasa sayang mereka terhadap saya.</v>
      </c>
      <c r="BU88" s="95" t="str">
        <f>IFERROR(__xludf.DUMMYFUNCTION("""COMPUTED_VALUE"""),"A Saya kadang-kadang suka melakukan hal-hal yang dapat dipuji oleh orang lain.")</f>
        <v>A Saya kadang-kadang suka melakukan hal-hal yang dapat dipuji oleh orang lain.</v>
      </c>
      <c r="BV88" s="95" t="str">
        <f>IFERROR(__xludf.DUMMYFUNCTION("""COMPUTED_VALUE"""),"B Saya ingin teman-teman dengan gembira memberikan pertolongan kepada saya.")</f>
        <v>B Saya ingin teman-teman dengan gembira memberikan pertolongan kepada saya.</v>
      </c>
      <c r="BW88" s="95" t="str">
        <f>IFERROR(__xludf.DUMMYFUNCTION("""COMPUTED_VALUE"""),"B Saya ingin diperlakukan dengan baik oleh teman-teman saya.")</f>
        <v>B Saya ingin diperlakukan dengan baik oleh teman-teman saya.</v>
      </c>
      <c r="BX88" s="95" t="str">
        <f>IFERROR(__xludf.DUMMYFUNCTION("""COMPUTED_VALUE"""),"B Saya kadang-kadang suka melakukan hal-hal yang dapat dipuji oleh orang lain.")</f>
        <v>B Saya kadang-kadang suka melakukan hal-hal yang dapat dipuji oleh orang lain.</v>
      </c>
      <c r="BY88" s="95" t="str">
        <f>IFERROR(__xludf.DUMMYFUNCTION("""COMPUTED_VALUE"""),"B Saya ingin orang lain memperhatikan dan berkomentar tentang penampilan saya.")</f>
        <v>B Saya ingin orang lain memperhatikan dan berkomentar tentang penampilan saya.</v>
      </c>
      <c r="BZ88" s="95" t="str">
        <f>IFERROR(__xludf.DUMMYFUNCTION("""COMPUTED_VALUE"""),"A Saya suka berkata yang artinya sulit dipahami oleh orang lain.")</f>
        <v>A Saya suka berkata yang artinya sulit dipahami oleh orang lain.</v>
      </c>
      <c r="CA88" s="95" t="str">
        <f>IFERROR(__xludf.DUMMYFUNCTION("""COMPUTED_VALUE"""),"A Saya ingin teman-teman dengan gembira memberikan pertolongan kepada saya.")</f>
        <v>A Saya ingin teman-teman dengan gembira memberikan pertolongan kepada saya.</v>
      </c>
      <c r="CB88" s="95" t="str">
        <f>IFERROR(__xludf.DUMMYFUNCTION("""COMPUTED_VALUE"""),"B Saya suka berbicara tentang hal-hal yang telah saya capai.")</f>
        <v>B Saya suka berbicara tentang hal-hal yang telah saya capai.</v>
      </c>
      <c r="CC88" s="95" t="str">
        <f>IFERROR(__xludf.DUMMYFUNCTION("""COMPUTED_VALUE"""),"A Apabila saya berkumpul dalam kelompok, saya ingin dihargai teman-teman.")</f>
        <v>A Apabila saya berkumpul dalam kelompok, saya ingin dihargai teman-teman.</v>
      </c>
      <c r="CD88" s="95" t="str">
        <f>IFERROR(__xludf.DUMMYFUNCTION("""COMPUTED_VALUE"""),"A Saya suka menyelesaikan setiap tugas meskipun membutuhkan waktu lama.")</f>
        <v>A Saya suka menyelesaikan setiap tugas meskipun membutuhkan waktu lama.</v>
      </c>
      <c r="CE88" s="95" t="str">
        <f>IFERROR(__xludf.DUMMYFUNCTION("""COMPUTED_VALUE"""),"A Saya suka menyelesaikan setiap tugas belajar yang telah saya mulai.")</f>
        <v>A Saya suka menyelesaikan setiap tugas belajar yang telah saya mulai.</v>
      </c>
      <c r="CF88" s="95" t="str">
        <f>IFERROR(__xludf.DUMMYFUNCTION("""COMPUTED_VALUE"""),"A Saya ingin agar hidup saya teratur sesuai cita-cita saya.")</f>
        <v>A Saya ingin agar hidup saya teratur sesuai cita-cita saya.</v>
      </c>
      <c r="CG88" s="95" t="str">
        <f>IFERROR(__xludf.DUMMYFUNCTION("""COMPUTED_VALUE"""),"A Saya ingin berhasil dalam apa yang saya lakukan.")</f>
        <v>A Saya ingin berhasil dalam apa yang saya lakukan.</v>
      </c>
      <c r="CH88" s="95" t="str">
        <f>IFERROR(__xludf.DUMMYFUNCTION("""COMPUTED_VALUE"""),"A Saya ingin bisa melakukan dengan baik sesuatu pekerjaan sulit.")</f>
        <v>A Saya ingin bisa melakukan dengan baik sesuatu pekerjaan sulit.</v>
      </c>
      <c r="CI88" s="95" t="str">
        <f>IFERROR(__xludf.DUMMYFUNCTION("""COMPUTED_VALUE"""),"A Saya suka belajar saya teratur dan ada waktu-waktu tertentu untuk belajar.")</f>
        <v>A Saya suka belajar saya teratur dan ada waktu-waktu tertentu untuk belajar.</v>
      </c>
      <c r="CJ88" s="95" t="str">
        <f>IFERROR(__xludf.DUMMYFUNCTION("""COMPUTED_VALUE"""),"A Saya ingin tidak tergantung dari orang lain terhadap apa yang akan saya lakukan.")</f>
        <v>A Saya ingin tidak tergantung dari orang lain terhadap apa yang akan saya lakukan.</v>
      </c>
      <c r="CK88" s="95" t="str">
        <f>IFERROR(__xludf.DUMMYFUNCTION("""COMPUTED_VALUE"""),"B Saya senang ikut beraktivitas bersama teman sebaya saya.")</f>
        <v>B Saya senang ikut beraktivitas bersama teman sebaya saya.</v>
      </c>
      <c r="CL88" s="95" t="str">
        <f>IFERROR(__xludf.DUMMYFUNCTION("""COMPUTED_VALUE"""),"A Saya suka menolong teman-teman saya, apabila mereka dalam kesulitan.")</f>
        <v>A Saya suka menolong teman-teman saya, apabila mereka dalam kesulitan.</v>
      </c>
      <c r="CM88" s="95" t="str">
        <f>IFERROR(__xludf.DUMMYFUNCTION("""COMPUTED_VALUE"""),"A Saya ingin ditunjuk atau dipilih sebagai ketua dalam suatu kelompok.")</f>
        <v>A Saya ingin ditunjuk atau dipilih sebagai ketua dalam suatu kelompok.</v>
      </c>
      <c r="CN88" s="95" t="str">
        <f>IFERROR(__xludf.DUMMYFUNCTION("""COMPUTED_VALUE"""),"A Saya ingin diperlakukan dengan baik oleh teman-teman saya.")</f>
        <v>A Saya ingin diperlakukan dengan baik oleh teman-teman saya.</v>
      </c>
      <c r="CO88" s="95" t="str">
        <f>IFERROR(__xludf.DUMMYFUNCTION("""COMPUTED_VALUE"""),"B Saya suka memuji orang yang saya kagumi.")</f>
        <v>B Saya suka memuji orang yang saya kagumi.</v>
      </c>
      <c r="CP88" s="95" t="str">
        <f>IFERROR(__xludf.DUMMYFUNCTION("""COMPUTED_VALUE"""),"A Saya suka melamun atau membayangkan sesuatu sendirian.")</f>
        <v>A Saya suka melamun atau membayangkan sesuatu sendirian.</v>
      </c>
      <c r="CQ88" s="95" t="str">
        <f>IFERROR(__xludf.DUMMYFUNCTION("""COMPUTED_VALUE"""),"B Saya merasa kagum pada seseorang.")</f>
        <v>B Saya merasa kagum pada seseorang.</v>
      </c>
      <c r="CR88" s="95" t="str">
        <f>IFERROR(__xludf.DUMMYFUNCTION("""COMPUTED_VALUE"""),"B Saya rasanya ingin mengecam seseorang bila orang itu menjengkelkan.")</f>
        <v>B Saya rasanya ingin mengecam seseorang bila orang itu menjengkelkan.</v>
      </c>
      <c r="CS88" s="95" t="str">
        <f>IFERROR(__xludf.DUMMYFUNCTION("""COMPUTED_VALUE"""),"A Saya ingin terlihat menarik di depan teman-teman saya.")</f>
        <v>A Saya ingin terlihat menarik di depan teman-teman saya.</v>
      </c>
      <c r="CT88" s="95" t="str">
        <f>IFERROR(__xludf.DUMMYFUNCTION("""COMPUTED_VALUE"""),"A Saya ingin orang-orang memperhatikan komentar mengenai penampilan saya.")</f>
        <v>A Saya ingin orang-orang memperhatikan komentar mengenai penampilan saya.</v>
      </c>
      <c r="CU88" s="95" t="str">
        <f>IFERROR(__xludf.DUMMYFUNCTION("""COMPUTED_VALUE"""),"A Saya ingin diperlakukan dengan ramah oleh teman-teman saya.")</f>
        <v>A Saya ingin diperlakukan dengan ramah oleh teman-teman saya.</v>
      </c>
      <c r="CV88" s="95" t="str">
        <f>IFERROR(__xludf.DUMMYFUNCTION("""COMPUTED_VALUE"""),"A Saya ingin ditunjuk atau dipilih sebagai ketua dalam suatu kelompok.")</f>
        <v>A Saya ingin ditunjuk atau dipilih sebagai ketua dalam suatu kelompok.</v>
      </c>
      <c r="CW88" s="95" t="str">
        <f>IFERROR(__xludf.DUMMYFUNCTION("""COMPUTED_VALUE"""),"A Saya suka menolong teman-teman saya, apabila mereka dalam kesulitan.")</f>
        <v>A Saya suka menolong teman-teman saya, apabila mereka dalam kesulitan.</v>
      </c>
      <c r="CX88" s="95" t="str">
        <f>IFERROR(__xludf.DUMMYFUNCTION("""COMPUTED_VALUE"""),"A Saya suka belajar sampai malam untuk menyelesaikan suatu tugas.")</f>
        <v>A Saya suka belajar sampai malam untuk menyelesaikan suatu tugas.</v>
      </c>
      <c r="CY88" s="95" t="str">
        <f>IFERROR(__xludf.DUMMYFUNCTION("""COMPUTED_VALUE"""),"A Saya ingin tidak tergantung dari orang lain terhadap apa yang akan saya lakukan.")</f>
        <v>A Saya ingin tidak tergantung dari orang lain terhadap apa yang akan saya lakukan.</v>
      </c>
      <c r="CZ88" s="95" t="str">
        <f>IFERROR(__xludf.DUMMYFUNCTION("""COMPUTED_VALUE"""),"A Saya suka merencanakan dan mengatur setiap pekerjaan yang harus saya lakukan.")</f>
        <v>A Saya suka merencanakan dan mengatur setiap pekerjaan yang harus saya lakukan.</v>
      </c>
      <c r="DA88" s="95" t="str">
        <f>IFERROR(__xludf.DUMMYFUNCTION("""COMPUTED_VALUE"""),"A Saya ingin melakukan apa saja sebaik mungkin.")</f>
        <v>A Saya ingin melakukan apa saja sebaik mungkin.</v>
      </c>
      <c r="DB88" s="89" t="s">
        <v>23</v>
      </c>
      <c r="DC88" s="97" t="str">
        <f t="shared" ref="DC88:GX88" si="133">LEFT(F88,1)</f>
        <v>B</v>
      </c>
      <c r="DD88" s="97" t="str">
        <f t="shared" si="133"/>
        <v>A</v>
      </c>
      <c r="DE88" s="97" t="str">
        <f t="shared" si="133"/>
        <v>A</v>
      </c>
      <c r="DF88" s="97" t="str">
        <f t="shared" si="133"/>
        <v>A</v>
      </c>
      <c r="DG88" s="97" t="str">
        <f t="shared" si="133"/>
        <v>A</v>
      </c>
      <c r="DH88" s="97" t="str">
        <f t="shared" si="133"/>
        <v>B</v>
      </c>
      <c r="DI88" s="97" t="str">
        <f t="shared" si="133"/>
        <v>B</v>
      </c>
      <c r="DJ88" s="97" t="str">
        <f t="shared" si="133"/>
        <v>A</v>
      </c>
      <c r="DK88" s="97" t="str">
        <f t="shared" si="133"/>
        <v>B</v>
      </c>
      <c r="DL88" s="97" t="str">
        <f t="shared" si="133"/>
        <v>B</v>
      </c>
      <c r="DM88" s="97" t="str">
        <f t="shared" si="133"/>
        <v>A</v>
      </c>
      <c r="DN88" s="97" t="str">
        <f t="shared" si="133"/>
        <v>B</v>
      </c>
      <c r="DO88" s="97" t="str">
        <f t="shared" si="133"/>
        <v>B</v>
      </c>
      <c r="DP88" s="97" t="str">
        <f t="shared" si="133"/>
        <v>A</v>
      </c>
      <c r="DQ88" s="97" t="str">
        <f t="shared" si="133"/>
        <v>B</v>
      </c>
      <c r="DR88" s="97" t="str">
        <f t="shared" si="133"/>
        <v>A</v>
      </c>
      <c r="DS88" s="97" t="str">
        <f t="shared" si="133"/>
        <v>B</v>
      </c>
      <c r="DT88" s="97" t="str">
        <f t="shared" si="133"/>
        <v>A</v>
      </c>
      <c r="DU88" s="97" t="str">
        <f t="shared" si="133"/>
        <v>B</v>
      </c>
      <c r="DV88" s="97" t="str">
        <f t="shared" si="133"/>
        <v>A</v>
      </c>
      <c r="DW88" s="97" t="str">
        <f t="shared" si="133"/>
        <v>A</v>
      </c>
      <c r="DX88" s="97" t="str">
        <f t="shared" si="133"/>
        <v>A</v>
      </c>
      <c r="DY88" s="97" t="str">
        <f t="shared" si="133"/>
        <v>B</v>
      </c>
      <c r="DZ88" s="97" t="str">
        <f t="shared" si="133"/>
        <v>B</v>
      </c>
      <c r="EA88" s="97" t="str">
        <f t="shared" si="133"/>
        <v>A</v>
      </c>
      <c r="EB88" s="97" t="str">
        <f t="shared" si="133"/>
        <v>A</v>
      </c>
      <c r="EC88" s="97" t="str">
        <f t="shared" si="133"/>
        <v>B</v>
      </c>
      <c r="ED88" s="97" t="str">
        <f t="shared" si="133"/>
        <v>B</v>
      </c>
      <c r="EE88" s="97" t="str">
        <f t="shared" si="133"/>
        <v>A</v>
      </c>
      <c r="EF88" s="97" t="str">
        <f t="shared" si="133"/>
        <v>B</v>
      </c>
      <c r="EG88" s="97" t="str">
        <f t="shared" si="133"/>
        <v>B</v>
      </c>
      <c r="EH88" s="97" t="str">
        <f t="shared" si="133"/>
        <v>B</v>
      </c>
      <c r="EI88" s="97" t="str">
        <f t="shared" si="133"/>
        <v>B</v>
      </c>
      <c r="EJ88" s="97" t="str">
        <f t="shared" si="133"/>
        <v>B</v>
      </c>
      <c r="EK88" s="97" t="str">
        <f t="shared" si="133"/>
        <v>A</v>
      </c>
      <c r="EL88" s="97" t="str">
        <f t="shared" si="133"/>
        <v>B</v>
      </c>
      <c r="EM88" s="97" t="str">
        <f t="shared" si="133"/>
        <v>B</v>
      </c>
      <c r="EN88" s="97" t="str">
        <f t="shared" si="133"/>
        <v>B</v>
      </c>
      <c r="EO88" s="97" t="str">
        <f t="shared" si="133"/>
        <v>A</v>
      </c>
      <c r="EP88" s="97" t="str">
        <f t="shared" si="133"/>
        <v>A</v>
      </c>
      <c r="EQ88" s="97" t="str">
        <f t="shared" si="133"/>
        <v>A</v>
      </c>
      <c r="ER88" s="97" t="str">
        <f t="shared" si="133"/>
        <v>A</v>
      </c>
      <c r="ES88" s="97" t="str">
        <f t="shared" si="133"/>
        <v>B</v>
      </c>
      <c r="ET88" s="97" t="str">
        <f t="shared" si="133"/>
        <v>A</v>
      </c>
      <c r="EU88" s="97" t="str">
        <f t="shared" si="133"/>
        <v>A</v>
      </c>
      <c r="EV88" s="97" t="str">
        <f t="shared" si="133"/>
        <v>B</v>
      </c>
      <c r="EW88" s="97" t="str">
        <f t="shared" si="133"/>
        <v>B</v>
      </c>
      <c r="EX88" s="97" t="str">
        <f t="shared" si="133"/>
        <v>B</v>
      </c>
      <c r="EY88" s="97" t="str">
        <f t="shared" si="133"/>
        <v>B</v>
      </c>
      <c r="EZ88" s="97" t="str">
        <f t="shared" si="133"/>
        <v>B</v>
      </c>
      <c r="FA88" s="97" t="str">
        <f t="shared" si="133"/>
        <v>B</v>
      </c>
      <c r="FB88" s="97" t="str">
        <f t="shared" si="133"/>
        <v>A</v>
      </c>
      <c r="FC88" s="97" t="str">
        <f t="shared" si="133"/>
        <v>B</v>
      </c>
      <c r="FD88" s="97" t="str">
        <f t="shared" si="133"/>
        <v>B</v>
      </c>
      <c r="FE88" s="97" t="str">
        <f t="shared" si="133"/>
        <v>A</v>
      </c>
      <c r="FF88" s="97" t="str">
        <f t="shared" si="133"/>
        <v>A</v>
      </c>
      <c r="FG88" s="97" t="str">
        <f t="shared" si="133"/>
        <v>A</v>
      </c>
      <c r="FH88" s="97" t="str">
        <f t="shared" si="133"/>
        <v>A</v>
      </c>
      <c r="FI88" s="97" t="str">
        <f t="shared" si="133"/>
        <v>A</v>
      </c>
      <c r="FJ88" s="97" t="str">
        <f t="shared" si="133"/>
        <v>A</v>
      </c>
      <c r="FK88" s="97" t="str">
        <f t="shared" si="133"/>
        <v>A</v>
      </c>
      <c r="FL88" s="97" t="str">
        <f t="shared" si="133"/>
        <v>A</v>
      </c>
      <c r="FM88" s="97" t="str">
        <f t="shared" si="133"/>
        <v>A</v>
      </c>
      <c r="FN88" s="97" t="str">
        <f t="shared" si="133"/>
        <v>A</v>
      </c>
      <c r="FO88" s="97" t="str">
        <f t="shared" si="133"/>
        <v>A</v>
      </c>
      <c r="FP88" s="97" t="str">
        <f t="shared" si="133"/>
        <v>B</v>
      </c>
      <c r="FQ88" s="97" t="str">
        <f t="shared" si="133"/>
        <v>B</v>
      </c>
      <c r="FR88" s="97" t="str">
        <f t="shared" si="133"/>
        <v>A</v>
      </c>
      <c r="FS88" s="97" t="str">
        <f t="shared" si="133"/>
        <v>B</v>
      </c>
      <c r="FT88" s="97" t="str">
        <f t="shared" si="133"/>
        <v>B</v>
      </c>
      <c r="FU88" s="97" t="str">
        <f t="shared" si="133"/>
        <v>B</v>
      </c>
      <c r="FV88" s="97" t="str">
        <f t="shared" si="133"/>
        <v>B</v>
      </c>
      <c r="FW88" s="97" t="str">
        <f t="shared" si="133"/>
        <v>A</v>
      </c>
      <c r="FX88" s="97" t="str">
        <f t="shared" si="133"/>
        <v>A</v>
      </c>
      <c r="FY88" s="97" t="str">
        <f t="shared" si="133"/>
        <v>B</v>
      </c>
      <c r="FZ88" s="97" t="str">
        <f t="shared" si="133"/>
        <v>A</v>
      </c>
      <c r="GA88" s="97" t="str">
        <f t="shared" si="133"/>
        <v>A</v>
      </c>
      <c r="GB88" s="97" t="str">
        <f t="shared" si="133"/>
        <v>A</v>
      </c>
      <c r="GC88" s="97" t="str">
        <f t="shared" si="133"/>
        <v>A</v>
      </c>
      <c r="GD88" s="97" t="str">
        <f t="shared" si="133"/>
        <v>A</v>
      </c>
      <c r="GE88" s="97" t="str">
        <f t="shared" si="133"/>
        <v>A</v>
      </c>
      <c r="GF88" s="97" t="str">
        <f t="shared" si="133"/>
        <v>A</v>
      </c>
      <c r="GG88" s="97" t="str">
        <f t="shared" si="133"/>
        <v>A</v>
      </c>
      <c r="GH88" s="97" t="str">
        <f t="shared" si="133"/>
        <v>B</v>
      </c>
      <c r="GI88" s="97" t="str">
        <f t="shared" si="133"/>
        <v>A</v>
      </c>
      <c r="GJ88" s="97" t="str">
        <f t="shared" si="133"/>
        <v>A</v>
      </c>
      <c r="GK88" s="97" t="str">
        <f t="shared" si="133"/>
        <v>A</v>
      </c>
      <c r="GL88" s="97" t="str">
        <f t="shared" si="133"/>
        <v>B</v>
      </c>
      <c r="GM88" s="97" t="str">
        <f t="shared" si="133"/>
        <v>A</v>
      </c>
      <c r="GN88" s="97" t="str">
        <f t="shared" si="133"/>
        <v>B</v>
      </c>
      <c r="GO88" s="97" t="str">
        <f t="shared" si="133"/>
        <v>B</v>
      </c>
      <c r="GP88" s="97" t="str">
        <f t="shared" si="133"/>
        <v>A</v>
      </c>
      <c r="GQ88" s="97" t="str">
        <f t="shared" si="133"/>
        <v>A</v>
      </c>
      <c r="GR88" s="97" t="str">
        <f t="shared" si="133"/>
        <v>A</v>
      </c>
      <c r="GS88" s="97" t="str">
        <f t="shared" si="133"/>
        <v>A</v>
      </c>
      <c r="GT88" s="97" t="str">
        <f t="shared" si="133"/>
        <v>A</v>
      </c>
      <c r="GU88" s="97" t="str">
        <f t="shared" si="133"/>
        <v>A</v>
      </c>
      <c r="GV88" s="97" t="str">
        <f t="shared" si="133"/>
        <v>A</v>
      </c>
      <c r="GW88" s="97" t="str">
        <f t="shared" si="133"/>
        <v>A</v>
      </c>
      <c r="GX88" s="97" t="str">
        <f t="shared" si="133"/>
        <v>A</v>
      </c>
      <c r="GY88" s="98"/>
      <c r="GZ88" s="97">
        <f t="shared" si="3"/>
        <v>58</v>
      </c>
      <c r="HA88" s="97">
        <f t="shared" si="4"/>
        <v>42</v>
      </c>
      <c r="HB88" s="90">
        <f t="shared" si="5"/>
        <v>100</v>
      </c>
      <c r="HC88" s="99"/>
      <c r="HD88" s="97">
        <f t="shared" si="6"/>
        <v>9</v>
      </c>
      <c r="HE88" s="97">
        <f t="shared" si="7"/>
        <v>4</v>
      </c>
      <c r="HF88" s="90">
        <f t="shared" si="8"/>
        <v>13</v>
      </c>
      <c r="HG88" s="99"/>
      <c r="HH88" s="97">
        <f t="shared" si="9"/>
        <v>9</v>
      </c>
      <c r="HI88" s="97">
        <f t="shared" si="10"/>
        <v>5</v>
      </c>
      <c r="HJ88" s="90">
        <f t="shared" si="11"/>
        <v>14</v>
      </c>
      <c r="HK88" s="99"/>
      <c r="HL88" s="97">
        <f t="shared" si="12"/>
        <v>7</v>
      </c>
      <c r="HM88" s="97">
        <f t="shared" si="13"/>
        <v>5</v>
      </c>
      <c r="HN88" s="90">
        <f t="shared" si="14"/>
        <v>12</v>
      </c>
      <c r="HO88" s="99"/>
      <c r="HP88" s="97">
        <f t="shared" si="15"/>
        <v>6</v>
      </c>
      <c r="HQ88" s="97">
        <f t="shared" si="16"/>
        <v>7</v>
      </c>
      <c r="HR88" s="90">
        <f t="shared" si="17"/>
        <v>13</v>
      </c>
      <c r="HS88" s="99"/>
      <c r="HT88" s="97">
        <f t="shared" si="18"/>
        <v>8</v>
      </c>
      <c r="HU88" s="97">
        <f t="shared" si="19"/>
        <v>6</v>
      </c>
      <c r="HV88" s="90">
        <f t="shared" si="20"/>
        <v>14</v>
      </c>
      <c r="HW88" s="99"/>
      <c r="HX88" s="97">
        <f t="shared" si="21"/>
        <v>4</v>
      </c>
      <c r="HY88" s="97">
        <f t="shared" si="22"/>
        <v>3</v>
      </c>
      <c r="HZ88" s="90">
        <f t="shared" si="23"/>
        <v>7</v>
      </c>
      <c r="IA88" s="99"/>
      <c r="IB88" s="97">
        <f t="shared" si="24"/>
        <v>4</v>
      </c>
      <c r="IC88" s="97">
        <f t="shared" si="25"/>
        <v>4</v>
      </c>
      <c r="ID88" s="90">
        <f t="shared" si="26"/>
        <v>8</v>
      </c>
      <c r="IE88" s="99"/>
      <c r="IF88" s="97">
        <f t="shared" si="27"/>
        <v>3</v>
      </c>
      <c r="IG88" s="97">
        <f t="shared" si="28"/>
        <v>3</v>
      </c>
      <c r="IH88" s="90">
        <f t="shared" si="29"/>
        <v>6</v>
      </c>
      <c r="II88" s="99"/>
      <c r="IJ88" s="97">
        <f t="shared" si="30"/>
        <v>3</v>
      </c>
      <c r="IK88" s="97">
        <f t="shared" si="31"/>
        <v>3</v>
      </c>
      <c r="IL88" s="90">
        <f t="shared" si="32"/>
        <v>6</v>
      </c>
      <c r="IM88" s="99"/>
      <c r="IN88" s="97">
        <f t="shared" si="33"/>
        <v>1</v>
      </c>
      <c r="IO88" s="97">
        <f t="shared" si="34"/>
        <v>1</v>
      </c>
      <c r="IP88" s="90">
        <f t="shared" si="35"/>
        <v>2</v>
      </c>
      <c r="IQ88" s="99"/>
      <c r="IR88" s="99"/>
      <c r="IS88" s="100">
        <f t="shared" si="36"/>
        <v>13</v>
      </c>
      <c r="IT88" s="100">
        <f t="shared" si="37"/>
        <v>14</v>
      </c>
      <c r="IU88" s="100">
        <f t="shared" si="38"/>
        <v>12</v>
      </c>
      <c r="IV88" s="100">
        <f t="shared" si="39"/>
        <v>13</v>
      </c>
      <c r="IW88" s="100">
        <f t="shared" si="40"/>
        <v>14</v>
      </c>
      <c r="IX88" s="100">
        <f t="shared" si="41"/>
        <v>7</v>
      </c>
      <c r="IY88" s="100">
        <f t="shared" si="42"/>
        <v>8</v>
      </c>
      <c r="IZ88" s="100">
        <f t="shared" si="43"/>
        <v>6</v>
      </c>
      <c r="JA88" s="100">
        <f t="shared" si="44"/>
        <v>6</v>
      </c>
      <c r="JB88" s="101">
        <f t="shared" si="45"/>
        <v>2</v>
      </c>
      <c r="JC88" s="102">
        <f t="shared" si="46"/>
        <v>95</v>
      </c>
      <c r="JD88" s="67">
        <f t="shared" si="50"/>
        <v>0</v>
      </c>
      <c r="JE88" s="67">
        <f t="shared" si="47"/>
        <v>0</v>
      </c>
      <c r="JF88" s="67">
        <f t="shared" si="48"/>
        <v>0</v>
      </c>
    </row>
    <row r="89">
      <c r="A89" s="103">
        <f>IFERROR(__xludf.DUMMYFUNCTION("""COMPUTED_VALUE"""),45941.46726019676)</f>
        <v>45941.46726</v>
      </c>
      <c r="B89" s="95" t="str">
        <f>IFERROR(__xludf.DUMMYFUNCTION("""COMPUTED_VALUE"""),"Akhdan Azkiya Mahdy")</f>
        <v>Akhdan Azkiya Mahdy</v>
      </c>
      <c r="C89" s="96" t="str">
        <f>IFERROR(__xludf.DUMMYFUNCTION("""COMPUTED_VALUE"""),"A250017")</f>
        <v>A250017</v>
      </c>
      <c r="D89" s="96" t="str">
        <f>IFERROR(__xludf.DUMMYFUNCTION("""COMPUTED_VALUE"""),"MTs Putra")</f>
        <v>MTs Putra</v>
      </c>
      <c r="E89" s="96" t="str">
        <f>IFERROR(__xludf.DUMMYFUNCTION("""COMPUTED_VALUE"""),"Ya")</f>
        <v>Ya</v>
      </c>
      <c r="F89" s="95" t="str">
        <f>IFERROR(__xludf.DUMMYFUNCTION("""COMPUTED_VALUE"""),"B Saya ingin melakukan apa saja sebaik mungkin.")</f>
        <v>B Saya ingin melakukan apa saja sebaik mungkin.</v>
      </c>
      <c r="G89" s="95" t="str">
        <f>IFERROR(__xludf.DUMMYFUNCTION("""COMPUTED_VALUE"""),"A Saya ingin setiap tulisan saya teliti, rapi, dan tersusun dengan baik.")</f>
        <v>A Saya ingin setiap tulisan saya teliti, rapi, dan tersusun dengan baik.</v>
      </c>
      <c r="H89" s="95" t="str">
        <f>IFERROR(__xludf.DUMMYFUNCTION("""COMPUTED_VALUE"""),"A Saya ingin berbuat sesuai kata hati saya.")</f>
        <v>A Saya ingin berbuat sesuai kata hati saya.</v>
      </c>
      <c r="I89" s="95" t="str">
        <f>IFERROR(__xludf.DUMMYFUNCTION("""COMPUTED_VALUE"""),"B Saya ingin bisa melakukan dengan baik meskipun tugas yang sulit.")</f>
        <v>B Saya ingin bisa melakukan dengan baik meskipun tugas yang sulit.</v>
      </c>
      <c r="J89" s="95" t="str">
        <f>IFERROR(__xludf.DUMMYFUNCTION("""COMPUTED_VALUE"""),"A Saya suka membantu teman-teman saya apabila mereka mengalami kesulitan.")</f>
        <v>A Saya suka membantu teman-teman saya apabila mereka mengalami kesulitan.</v>
      </c>
      <c r="K89" s="95" t="str">
        <f>IFERROR(__xludf.DUMMYFUNCTION("""COMPUTED_VALUE"""),"B Saya ingin mengatakan telah melakukan dengan baik sesuatu tugas yang sulit.")</f>
        <v>B Saya ingin mengatakan telah melakukan dengan baik sesuatu tugas yang sulit.</v>
      </c>
      <c r="L89" s="95" t="str">
        <f>IFERROR(__xludf.DUMMYFUNCTION("""COMPUTED_VALUE"""),"B Saya ingin mengatakan telah melakukan dengan baik sesuatu tugas yang sulit")</f>
        <v>B Saya ingin mengatakan telah melakukan dengan baik sesuatu tugas yang sulit</v>
      </c>
      <c r="M89" s="95" t="str">
        <f>IFERROR(__xludf.DUMMYFUNCTION("""COMPUTED_VALUE"""),"A Saya suka berbicara tentang hal-hal yang telah berhasil saya lakukan.")</f>
        <v>A Saya suka berbicara tentang hal-hal yang telah berhasil saya lakukan.</v>
      </c>
      <c r="N89" s="95" t="str">
        <f>IFERROR(__xludf.DUMMYFUNCTION("""COMPUTED_VALUE"""),"A Saya suka pergi dengan pakaian rapi agar lebih menarik perhatian orang lain.")</f>
        <v>A Saya suka pergi dengan pakaian rapi agar lebih menarik perhatian orang lain.</v>
      </c>
      <c r="O89" s="95" t="str">
        <f>IFERROR(__xludf.DUMMYFUNCTION("""COMPUTED_VALUE"""),"B Saya suka melakukan tugas sebaik mungkin.")</f>
        <v>B Saya suka melakukan tugas sebaik mungkin.</v>
      </c>
      <c r="P89" s="95" t="str">
        <f>IFERROR(__xludf.DUMMYFUNCTION("""COMPUTED_VALUE"""),"B Saya ingin setiap belajar itu teratur dan direncanakan.")</f>
        <v>B Saya ingin setiap belajar itu teratur dan direncanakan.</v>
      </c>
      <c r="Q89" s="95" t="str">
        <f>IFERROR(__xludf.DUMMYFUNCTION("""COMPUTED_VALUE"""),"A Saya mulai suka dengan lawan jenis.")</f>
        <v>A Saya mulai suka dengan lawan jenis.</v>
      </c>
      <c r="R89" s="95" t="str">
        <f>IFERROR(__xludf.DUMMYFUNCTION("""COMPUTED_VALUE"""),"B Saya suka barang-barang saya tersusun rapi dan teratur.")</f>
        <v>B Saya suka barang-barang saya tersusun rapi dan teratur.</v>
      </c>
      <c r="S89" s="95" t="str">
        <f>IFERROR(__xludf.DUMMYFUNCTION("""COMPUTED_VALUE"""),"A Saya ingin agar teman-teman pengertian bila saya mengalami kesukaran.")</f>
        <v>A Saya ingin agar teman-teman pengertian bila saya mengalami kesukaran.</v>
      </c>
      <c r="T89" s="95" t="str">
        <f>IFERROR(__xludf.DUMMYFUNCTION("""COMPUTED_VALUE"""),"B Saya ingin agar hidup saya teratur sesuai cita-cita saya.")</f>
        <v>B Saya ingin agar hidup saya teratur sesuai cita-cita saya.</v>
      </c>
      <c r="U89" s="95" t="str">
        <f>IFERROR(__xludf.DUMMYFUNCTION("""COMPUTED_VALUE"""),"A Saya suka memberikan bantuan kepada teman-teman saya.")</f>
        <v>A Saya suka memberikan bantuan kepada teman-teman saya.</v>
      </c>
      <c r="V89" s="95" t="str">
        <f>IFERROR(__xludf.DUMMYFUNCTION("""COMPUTED_VALUE"""),"B Saya suka belajar saya teratur dan ada waktu-waktu tertentu untuk belajar.")</f>
        <v>B Saya suka belajar saya teratur dan ada waktu-waktu tertentu untuk belajar.</v>
      </c>
      <c r="W89" s="95" t="str">
        <f>IFERROR(__xludf.DUMMYFUNCTION("""COMPUTED_VALUE"""),"B Saya ingin kegiatan itu teratur dan direncanakan.")</f>
        <v>B Saya ingin kegiatan itu teratur dan direncanakan.</v>
      </c>
      <c r="X89" s="95" t="str">
        <f>IFERROR(__xludf.DUMMYFUNCTION("""COMPUTED_VALUE"""),"A Saya suka merencanakan dan mengatur setiap apa yang harus saya lakukan.")</f>
        <v>A Saya suka merencanakan dan mengatur setiap apa yang harus saya lakukan.</v>
      </c>
      <c r="Y89" s="95" t="str">
        <f>IFERROR(__xludf.DUMMYFUNCTION("""COMPUTED_VALUE"""),"A Saya suka menyelesaikan tugas-tugas yang membutuhkan ketrampilan dan usaha.")</f>
        <v>A Saya suka menyelesaikan tugas-tugas yang membutuhkan ketrampilan dan usaha.</v>
      </c>
      <c r="Z89" s="95" t="str">
        <f>IFERROR(__xludf.DUMMYFUNCTION("""COMPUTED_VALUE"""),"A Saya ingin berhasil dengan belajar yang saya lakukan.")</f>
        <v>A Saya ingin berhasil dengan belajar yang saya lakukan.</v>
      </c>
      <c r="AA89" s="95" t="str">
        <f>IFERROR(__xludf.DUMMYFUNCTION("""COMPUTED_VALUE"""),"A Saya suka menyelesaikan tugas yang telah saya rencanakan.")</f>
        <v>A Saya suka menyelesaikan tugas yang telah saya rencanakan.</v>
      </c>
      <c r="AB89" s="95" t="str">
        <f>IFERROR(__xludf.DUMMYFUNCTION("""COMPUTED_VALUE"""),"B Saya ingin menyelesaikan pekerjaan satu persatu sebelum memulai yang lain.")</f>
        <v>B Saya ingin menyelesaikan pekerjaan satu persatu sebelum memulai yang lain.</v>
      </c>
      <c r="AC89" s="95" t="str">
        <f>IFERROR(__xludf.DUMMYFUNCTION("""COMPUTED_VALUE"""),"A Saya suka menyelesaikan setiap tugas meskipun membutuhkan waktu lama.")</f>
        <v>A Saya suka menyelesaikan setiap tugas meskipun membutuhkan waktu lama.</v>
      </c>
      <c r="AD89" s="95" t="str">
        <f>IFERROR(__xludf.DUMMYFUNCTION("""COMPUTED_VALUE"""),"A Saya suka bermurah hati terhadap teman-teman saya.")</f>
        <v>A Saya suka bermurah hati terhadap teman-teman saya.</v>
      </c>
      <c r="AE89" s="95" t="str">
        <f>IFERROR(__xludf.DUMMYFUNCTION("""COMPUTED_VALUE"""),"A Saya ingin dianggap sebagai pemimpin oleh teman di kelompok.")</f>
        <v>A Saya ingin dianggap sebagai pemimpin oleh teman di kelompok.</v>
      </c>
      <c r="AF89" s="95" t="str">
        <f>IFERROR(__xludf.DUMMYFUNCTION("""COMPUTED_VALUE"""),"A Saya ingin agar teman-teman mengerti bila saya mengalami kesukaran.")</f>
        <v>A Saya ingin agar teman-teman mengerti bila saya mengalami kesukaran.</v>
      </c>
      <c r="AG89" s="95" t="str">
        <f>IFERROR(__xludf.DUMMYFUNCTION("""COMPUTED_VALUE"""),"A Saya mengajari orang lain bagaimana mereka harus melakukan pekerjaan mereka.")</f>
        <v>A Saya mengajari orang lain bagaimana mereka harus melakukan pekerjaan mereka.</v>
      </c>
      <c r="AH89" s="95" t="str">
        <f>IFERROR(__xludf.DUMMYFUNCTION("""COMPUTED_VALUE"""),"A Saya suka membaca buku-buku tentang pergaulan remaja.")</f>
        <v>A Saya suka membaca buku-buku tentang pergaulan remaja.</v>
      </c>
      <c r="AI89" s="95" t="str">
        <f>IFERROR(__xludf.DUMMYFUNCTION("""COMPUTED_VALUE"""),"B Saya suka melakukan kegiatan sesuai kondisi yang saya inginkan.")</f>
        <v>B Saya suka melakukan kegiatan sesuai kondisi yang saya inginkan.</v>
      </c>
      <c r="AJ89" s="95" t="str">
        <f>IFERROR(__xludf.DUMMYFUNCTION("""COMPUTED_VALUE"""),"B Saya suka bertahan menghadapi satu masalah meskipun belum tentu berhasil.")</f>
        <v>B Saya suka bertahan menghadapi satu masalah meskipun belum tentu berhasil.</v>
      </c>
      <c r="AK89" s="95" t="str">
        <f>IFERROR(__xludf.DUMMYFUNCTION("""COMPUTED_VALUE"""),"B Bila saya harus melakukan suatu tugas, saya ingin mengerjakan sampai selesai.")</f>
        <v>B Bila saya harus melakukan suatu tugas, saya ingin mengerjakan sampai selesai.</v>
      </c>
      <c r="AL89" s="95" t="str">
        <f>IFERROR(__xludf.DUMMYFUNCTION("""COMPUTED_VALUE"""),"B Saya ingin menghindarkan gangguan bila saya sedang belajar.")</f>
        <v>B Saya ingin menghindarkan gangguan bila saya sedang belajar.</v>
      </c>
      <c r="AM89" s="95" t="str">
        <f>IFERROR(__xludf.DUMMYFUNCTION("""COMPUTED_VALUE"""),"B Saya suka belajar sampai malam untuk menyelesaikan suatu tugas.")</f>
        <v>B Saya suka belajar sampai malam untuk menyelesaikan suatu tugas.</v>
      </c>
      <c r="AN89" s="95" t="str">
        <f>IFERROR(__xludf.DUMMYFUNCTION("""COMPUTED_VALUE"""),"A Saya tidak suka pada orang yang semena-mena.")</f>
        <v>A Saya tidak suka pada orang yang semena-mena.</v>
      </c>
      <c r="AO89" s="95" t="str">
        <f>IFERROR(__xludf.DUMMYFUNCTION("""COMPUTED_VALUE"""),"A Saya suka berlaku sangat ramah terhadap teman-teman saya.")</f>
        <v>A Saya suka berlaku sangat ramah terhadap teman-teman saya.</v>
      </c>
      <c r="AP89" s="95" t="str">
        <f>IFERROR(__xludf.DUMMYFUNCTION("""COMPUTED_VALUE"""),"B Saya suka bertahan menghadapi satu masalah meskipun belum tentu berhasil.")</f>
        <v>B Saya suka bertahan menghadapi satu masalah meskipun belum tentu berhasil.</v>
      </c>
      <c r="AQ89" s="95" t="str">
        <f>IFERROR(__xludf.DUMMYFUNCTION("""COMPUTED_VALUE"""),"B Bila saya harus melakukan suatu tugas, saya ingin mengerjakan sampai selesai.")</f>
        <v>B Bila saya harus melakukan suatu tugas, saya ingin mengerjakan sampai selesai.</v>
      </c>
      <c r="AR89" s="95" t="str">
        <f>IFERROR(__xludf.DUMMYFUNCTION("""COMPUTED_VALUE"""),"A Saya suka menyimpan catatan secara rapi.")</f>
        <v>A Saya suka menyimpan catatan secara rapi.</v>
      </c>
      <c r="AS89" s="95" t="str">
        <f>IFERROR(__xludf.DUMMYFUNCTION("""COMPUTED_VALUE"""),"B Saya suka belajar sampai malam untuk menyelesaikan suatu tugas.")</f>
        <v>B Saya suka belajar sampai malam untuk menyelesaikan suatu tugas.</v>
      </c>
      <c r="AT89" s="95" t="str">
        <f>IFERROR(__xludf.DUMMYFUNCTION("""COMPUTED_VALUE"""),"B Saya suka membantu orang lain yang menurut saya perlu dikasihani.")</f>
        <v>B Saya suka membantu orang lain yang menurut saya perlu dikasihani.</v>
      </c>
      <c r="AU89" s="95" t="str">
        <f>IFERROR(__xludf.DUMMYFUNCTION("""COMPUTED_VALUE"""),"B Saya suka bermurah hati terhadap teman-teman saya.")</f>
        <v>B Saya suka bermurah hati terhadap teman-teman saya.</v>
      </c>
      <c r="AV89" s="95" t="str">
        <f>IFERROR(__xludf.DUMMYFUNCTION("""COMPUTED_VALUE"""),"B Saya suka menolong teman-teman saya.")</f>
        <v>B Saya suka menolong teman-teman saya.</v>
      </c>
      <c r="AW89" s="95" t="str">
        <f>IFERROR(__xludf.DUMMYFUNCTION("""COMPUTED_VALUE"""),"B Saya ingin teman-teman saya percaya bahwa saya bisa menolong mereka.")</f>
        <v>B Saya ingin teman-teman saya percaya bahwa saya bisa menolong mereka.</v>
      </c>
      <c r="AX89" s="95" t="str">
        <f>IFERROR(__xludf.DUMMYFUNCTION("""COMPUTED_VALUE"""),"B Saya suka memaafkan teman-teman saya yang menyakiti hati saya.")</f>
        <v>B Saya suka memaafkan teman-teman saya yang menyakiti hati saya.</v>
      </c>
      <c r="AY89" s="95" t="str">
        <f>IFERROR(__xludf.DUMMYFUNCTION("""COMPUTED_VALUE"""),"B Saya suka menolong teman-teman saya apabila mereka dalam kesulitan.")</f>
        <v>B Saya suka menolong teman-teman saya apabila mereka dalam kesulitan.</v>
      </c>
      <c r="AZ89" s="95" t="str">
        <f>IFERROR(__xludf.DUMMYFUNCTION("""COMPUTED_VALUE"""),"B Saya suka menunjukkan simpati saya kepada teman-teman saya.")</f>
        <v>B Saya suka menunjukkan simpati saya kepada teman-teman saya.</v>
      </c>
      <c r="BA89" s="95" t="str">
        <f>IFERROR(__xludf.DUMMYFUNCTION("""COMPUTED_VALUE"""),"B Saya suka memperlakukan orang lain dengan baik dan ramah.")</f>
        <v>B Saya suka memperlakukan orang lain dengan baik dan ramah.</v>
      </c>
      <c r="BB89" s="95" t="str">
        <f>IFERROR(__xludf.DUMMYFUNCTION("""COMPUTED_VALUE"""),"B Saya suka bermurah hati terhadap teman-teman saya.")</f>
        <v>B Saya suka bermurah hati terhadap teman-teman saya.</v>
      </c>
      <c r="BC89" s="95" t="str">
        <f>IFERROR(__xludf.DUMMYFUNCTION("""COMPUTED_VALUE"""),"B Saya suka membantu orang lain yang menurut saya perlu dikasihani.")</f>
        <v>B Saya suka membantu orang lain yang menurut saya perlu dikasihani.</v>
      </c>
      <c r="BD89" s="95" t="str">
        <f>IFERROR(__xludf.DUMMYFUNCTION("""COMPUTED_VALUE"""),"B Saya suka bersikukuh dengan pendirian saya.")</f>
        <v>B Saya suka bersikukuh dengan pendirian saya.</v>
      </c>
      <c r="BE89" s="95" t="str">
        <f>IFERROR(__xludf.DUMMYFUNCTION("""COMPUTED_VALUE"""),"A Saya suka mendengarkan atau menceritakan hal-hal yang sebaiknya tidak diceritakan.")</f>
        <v>A Saya suka mendengarkan atau menceritakan hal-hal yang sebaiknya tidak diceritakan.</v>
      </c>
      <c r="BF89" s="95" t="str">
        <f>IFERROR(__xludf.DUMMYFUNCTION("""COMPUTED_VALUE"""),"B Bila saya dalam kelompok, saya ingin menentukan apa yang akan kita lakukan.")</f>
        <v>B Bila saya dalam kelompok, saya ingin menentukan apa yang akan kita lakukan.</v>
      </c>
      <c r="BG89" s="95" t="str">
        <f>IFERROR(__xludf.DUMMYFUNCTION("""COMPUTED_VALUE"""),"B Saya suka mengarahkan kepada orang lain apa yang harus dilakukan.")</f>
        <v>B Saya suka mengarahkan kepada orang lain apa yang harus dilakukan.</v>
      </c>
      <c r="BH89" s="95" t="str">
        <f>IFERROR(__xludf.DUMMYFUNCTION("""COMPUTED_VALUE"""),"A Saya suka menghindar dari situasi yang tidak saya harapkan.")</f>
        <v>A Saya suka menghindar dari situasi yang tidak saya harapkan.</v>
      </c>
      <c r="BI89" s="95" t="str">
        <f>IFERROR(__xludf.DUMMYFUNCTION("""COMPUTED_VALUE"""),"A Saya suka bermurah hati terhadap teman-teman saya.")</f>
        <v>A Saya suka bermurah hati terhadap teman-teman saya.</v>
      </c>
      <c r="BJ89" s="95" t="str">
        <f>IFERROR(__xludf.DUMMYFUNCTION("""COMPUTED_VALUE"""),"A Saya ingin mengerjakan tugas sampai selesai.")</f>
        <v>A Saya ingin mengerjakan tugas sampai selesai.</v>
      </c>
      <c r="BK89" s="95" t="str">
        <f>IFERROR(__xludf.DUMMYFUNCTION("""COMPUTED_VALUE"""),"A Saya ingin menyelesaikan pekerjaan satu persatu sebelum memulai yang lain.")</f>
        <v>A Saya ingin menyelesaikan pekerjaan satu persatu sebelum memulai yang lain.</v>
      </c>
      <c r="BL89" s="95" t="str">
        <f>IFERROR(__xludf.DUMMYFUNCTION("""COMPUTED_VALUE"""),"B Saya suka bersikukuh dengan pendirian saya.")</f>
        <v>B Saya suka bersikukuh dengan pendirian saya.</v>
      </c>
      <c r="BM89" s="95" t="str">
        <f>IFERROR(__xludf.DUMMYFUNCTION("""COMPUTED_VALUE"""),"A Saya suka melakukan pekerjaan sebaik mungkin.")</f>
        <v>A Saya suka melakukan pekerjaan sebaik mungkin.</v>
      </c>
      <c r="BN89" s="95" t="str">
        <f>IFERROR(__xludf.DUMMYFUNCTION("""COMPUTED_VALUE"""),"B Saya ingin teman-teman memberi dorongan bila saya menghadapi kegagalan.")</f>
        <v>B Saya ingin teman-teman memberi dorongan bila saya menghadapi kegagalan.</v>
      </c>
      <c r="BO89" s="95" t="str">
        <f>IFERROR(__xludf.DUMMYFUNCTION("""COMPUTED_VALUE"""),"B Saya ingin diperlakukan dengan baik oleh teman-teman saya.")</f>
        <v>B Saya ingin diperlakukan dengan baik oleh teman-teman saya.</v>
      </c>
      <c r="BP89" s="95" t="str">
        <f>IFERROR(__xludf.DUMMYFUNCTION("""COMPUTED_VALUE"""),"A Saya ingin menyelesaikan sesuatu yang sangat penting artinya.")</f>
        <v>A Saya ingin menyelesaikan sesuatu yang sangat penting artinya.</v>
      </c>
      <c r="BQ89" s="95" t="str">
        <f>IFERROR(__xludf.DUMMYFUNCTION("""COMPUTED_VALUE"""),"A Saya ingin mengerjakannya tugas sampai selesai.")</f>
        <v>A Saya ingin mengerjakannya tugas sampai selesai.</v>
      </c>
      <c r="BR89" s="95" t="str">
        <f>IFERROR(__xludf.DUMMYFUNCTION("""COMPUTED_VALUE"""),"A Saya suka memaafkan teman-teman saya yang menyakiti hati saya.")</f>
        <v>A Saya suka memaafkan teman-teman saya yang menyakiti hati saya.</v>
      </c>
      <c r="BS89" s="95" t="str">
        <f>IFERROR(__xludf.DUMMYFUNCTION("""COMPUTED_VALUE"""),"B Saya ingin teman-teman saya membantu saya bila saya mengalami kesulitan")</f>
        <v>B Saya ingin teman-teman saya membantu saya bila saya mengalami kesulitan</v>
      </c>
      <c r="BT89" s="95" t="str">
        <f>IFERROR(__xludf.DUMMYFUNCTION("""COMPUTED_VALUE"""),"B Saya ingin teman-teman banyak menunjukkan rasa sayang mereka terhadap saya.")</f>
        <v>B Saya ingin teman-teman banyak menunjukkan rasa sayang mereka terhadap saya.</v>
      </c>
      <c r="BU89" s="95" t="str">
        <f>IFERROR(__xludf.DUMMYFUNCTION("""COMPUTED_VALUE"""),"A Saya kadang-kadang suka melakukan hal-hal yang dapat dipuji oleh orang lain.")</f>
        <v>A Saya kadang-kadang suka melakukan hal-hal yang dapat dipuji oleh orang lain.</v>
      </c>
      <c r="BV89" s="95" t="str">
        <f>IFERROR(__xludf.DUMMYFUNCTION("""COMPUTED_VALUE"""),"B Saya ingin teman-teman dengan gembira memberikan pertolongan kepada saya.")</f>
        <v>B Saya ingin teman-teman dengan gembira memberikan pertolongan kepada saya.</v>
      </c>
      <c r="BW89" s="95" t="str">
        <f>IFERROR(__xludf.DUMMYFUNCTION("""COMPUTED_VALUE"""),"B Saya ingin diperlakukan dengan baik oleh teman-teman saya.")</f>
        <v>B Saya ingin diperlakukan dengan baik oleh teman-teman saya.</v>
      </c>
      <c r="BX89" s="95" t="str">
        <f>IFERROR(__xludf.DUMMYFUNCTION("""COMPUTED_VALUE"""),"B Saya kadang-kadang suka melakukan hal-hal yang dapat dipuji oleh orang lain.")</f>
        <v>B Saya kadang-kadang suka melakukan hal-hal yang dapat dipuji oleh orang lain.</v>
      </c>
      <c r="BY89" s="95" t="str">
        <f>IFERROR(__xludf.DUMMYFUNCTION("""COMPUTED_VALUE"""),"B Saya ingin orang lain memperhatikan dan berkomentar tentang penampilan saya.")</f>
        <v>B Saya ingin orang lain memperhatikan dan berkomentar tentang penampilan saya.</v>
      </c>
      <c r="BZ89" s="95" t="str">
        <f>IFERROR(__xludf.DUMMYFUNCTION("""COMPUTED_VALUE"""),"A Saya suka berkata yang artinya sulit dipahami oleh orang lain.")</f>
        <v>A Saya suka berkata yang artinya sulit dipahami oleh orang lain.</v>
      </c>
      <c r="CA89" s="95" t="str">
        <f>IFERROR(__xludf.DUMMYFUNCTION("""COMPUTED_VALUE"""),"A Saya ingin teman-teman dengan gembira memberikan pertolongan kepada saya.")</f>
        <v>A Saya ingin teman-teman dengan gembira memberikan pertolongan kepada saya.</v>
      </c>
      <c r="CB89" s="95" t="str">
        <f>IFERROR(__xludf.DUMMYFUNCTION("""COMPUTED_VALUE"""),"B Saya suka berbicara tentang hal-hal yang telah saya capai.")</f>
        <v>B Saya suka berbicara tentang hal-hal yang telah saya capai.</v>
      </c>
      <c r="CC89" s="95" t="str">
        <f>IFERROR(__xludf.DUMMYFUNCTION("""COMPUTED_VALUE"""),"A Apabila saya berkumpul dalam kelompok, saya ingin dihargai teman-teman.")</f>
        <v>A Apabila saya berkumpul dalam kelompok, saya ingin dihargai teman-teman.</v>
      </c>
      <c r="CD89" s="95" t="str">
        <f>IFERROR(__xludf.DUMMYFUNCTION("""COMPUTED_VALUE"""),"A Saya suka menyelesaikan setiap tugas meskipun membutuhkan waktu lama.")</f>
        <v>A Saya suka menyelesaikan setiap tugas meskipun membutuhkan waktu lama.</v>
      </c>
      <c r="CE89" s="95" t="str">
        <f>IFERROR(__xludf.DUMMYFUNCTION("""COMPUTED_VALUE"""),"A Saya suka menyelesaikan setiap tugas belajar yang telah saya mulai.")</f>
        <v>A Saya suka menyelesaikan setiap tugas belajar yang telah saya mulai.</v>
      </c>
      <c r="CF89" s="95" t="str">
        <f>IFERROR(__xludf.DUMMYFUNCTION("""COMPUTED_VALUE"""),"A Saya ingin agar hidup saya teratur sesuai cita-cita saya.")</f>
        <v>A Saya ingin agar hidup saya teratur sesuai cita-cita saya.</v>
      </c>
      <c r="CG89" s="95" t="str">
        <f>IFERROR(__xludf.DUMMYFUNCTION("""COMPUTED_VALUE"""),"A Saya ingin berhasil dalam apa yang saya lakukan.")</f>
        <v>A Saya ingin berhasil dalam apa yang saya lakukan.</v>
      </c>
      <c r="CH89" s="95" t="str">
        <f>IFERROR(__xludf.DUMMYFUNCTION("""COMPUTED_VALUE"""),"A Saya ingin bisa melakukan dengan baik sesuatu pekerjaan sulit.")</f>
        <v>A Saya ingin bisa melakukan dengan baik sesuatu pekerjaan sulit.</v>
      </c>
      <c r="CI89" s="95" t="str">
        <f>IFERROR(__xludf.DUMMYFUNCTION("""COMPUTED_VALUE"""),"A Saya suka belajar saya teratur dan ada waktu-waktu tertentu untuk belajar.")</f>
        <v>A Saya suka belajar saya teratur dan ada waktu-waktu tertentu untuk belajar.</v>
      </c>
      <c r="CJ89" s="95" t="str">
        <f>IFERROR(__xludf.DUMMYFUNCTION("""COMPUTED_VALUE"""),"A Saya ingin tidak tergantung dari orang lain terhadap apa yang akan saya lakukan.")</f>
        <v>A Saya ingin tidak tergantung dari orang lain terhadap apa yang akan saya lakukan.</v>
      </c>
      <c r="CK89" s="95" t="str">
        <f>IFERROR(__xludf.DUMMYFUNCTION("""COMPUTED_VALUE"""),"A Saya suka bertahan menghadapi satu masalah, meskipun belum tentu berhasil.")</f>
        <v>A Saya suka bertahan menghadapi satu masalah, meskipun belum tentu berhasil.</v>
      </c>
      <c r="CL89" s="95" t="str">
        <f>IFERROR(__xludf.DUMMYFUNCTION("""COMPUTED_VALUE"""),"A Saya suka menolong teman-teman saya, apabila mereka dalam kesulitan.")</f>
        <v>A Saya suka menolong teman-teman saya, apabila mereka dalam kesulitan.</v>
      </c>
      <c r="CM89" s="95" t="str">
        <f>IFERROR(__xludf.DUMMYFUNCTION("""COMPUTED_VALUE"""),"B Saya merasa kagum pada seseorang.")</f>
        <v>B Saya merasa kagum pada seseorang.</v>
      </c>
      <c r="CN89" s="95" t="str">
        <f>IFERROR(__xludf.DUMMYFUNCTION("""COMPUTED_VALUE"""),"A Saya ingin diperlakukan dengan baik oleh teman-teman saya.")</f>
        <v>A Saya ingin diperlakukan dengan baik oleh teman-teman saya.</v>
      </c>
      <c r="CO89" s="95" t="str">
        <f>IFERROR(__xludf.DUMMYFUNCTION("""COMPUTED_VALUE"""),"B Saya suka memuji orang yang saya kagumi.")</f>
        <v>B Saya suka memuji orang yang saya kagumi.</v>
      </c>
      <c r="CP89" s="95" t="str">
        <f>IFERROR(__xludf.DUMMYFUNCTION("""COMPUTED_VALUE"""),"A Saya suka melamun atau membayangkan sesuatu sendirian.")</f>
        <v>A Saya suka melamun atau membayangkan sesuatu sendirian.</v>
      </c>
      <c r="CQ89" s="95" t="str">
        <f>IFERROR(__xludf.DUMMYFUNCTION("""COMPUTED_VALUE"""),"B Saya merasa kagum pada seseorang.")</f>
        <v>B Saya merasa kagum pada seseorang.</v>
      </c>
      <c r="CR89" s="95" t="str">
        <f>IFERROR(__xludf.DUMMYFUNCTION("""COMPUTED_VALUE"""),"B Saya rasanya ingin mengecam seseorang bila orang itu menjengkelkan.")</f>
        <v>B Saya rasanya ingin mengecam seseorang bila orang itu menjengkelkan.</v>
      </c>
      <c r="CS89" s="95" t="str">
        <f>IFERROR(__xludf.DUMMYFUNCTION("""COMPUTED_VALUE"""),"B Saya rasanya ingin membalas dendam bila seseorang menghina saya.")</f>
        <v>B Saya rasanya ingin membalas dendam bila seseorang menghina saya.</v>
      </c>
      <c r="CT89" s="95" t="str">
        <f>IFERROR(__xludf.DUMMYFUNCTION("""COMPUTED_VALUE"""),"A Saya ingin orang-orang memperhatikan komentar mengenai penampilan saya.")</f>
        <v>A Saya ingin orang-orang memperhatikan komentar mengenai penampilan saya.</v>
      </c>
      <c r="CU89" s="95" t="str">
        <f>IFERROR(__xludf.DUMMYFUNCTION("""COMPUTED_VALUE"""),"A Saya ingin diperlakukan dengan ramah oleh teman-teman saya.")</f>
        <v>A Saya ingin diperlakukan dengan ramah oleh teman-teman saya.</v>
      </c>
      <c r="CV89" s="95" t="str">
        <f>IFERROR(__xludf.DUMMYFUNCTION("""COMPUTED_VALUE"""),"B Saya menyerang pendirian-pendirian yang bertentangan dengan pendirian saya.")</f>
        <v>B Saya menyerang pendirian-pendirian yang bertentangan dengan pendirian saya.</v>
      </c>
      <c r="CW89" s="95" t="str">
        <f>IFERROR(__xludf.DUMMYFUNCTION("""COMPUTED_VALUE"""),"A Saya suka menolong teman-teman saya, apabila mereka dalam kesulitan.")</f>
        <v>A Saya suka menolong teman-teman saya, apabila mereka dalam kesulitan.</v>
      </c>
      <c r="CX89" s="95" t="str">
        <f>IFERROR(__xludf.DUMMYFUNCTION("""COMPUTED_VALUE"""),"A Saya suka belajar sampai malam untuk menyelesaikan suatu tugas.")</f>
        <v>A Saya suka belajar sampai malam untuk menyelesaikan suatu tugas.</v>
      </c>
      <c r="CY89" s="95" t="str">
        <f>IFERROR(__xludf.DUMMYFUNCTION("""COMPUTED_VALUE"""),"A Saya ingin tidak tergantung dari orang lain terhadap apa yang akan saya lakukan.")</f>
        <v>A Saya ingin tidak tergantung dari orang lain terhadap apa yang akan saya lakukan.</v>
      </c>
      <c r="CZ89" s="95" t="str">
        <f>IFERROR(__xludf.DUMMYFUNCTION("""COMPUTED_VALUE"""),"A Saya suka merencanakan dan mengatur setiap pekerjaan yang harus saya lakukan.")</f>
        <v>A Saya suka merencanakan dan mengatur setiap pekerjaan yang harus saya lakukan.</v>
      </c>
      <c r="DA89" s="95" t="str">
        <f>IFERROR(__xludf.DUMMYFUNCTION("""COMPUTED_VALUE"""),"A Saya ingin melakukan apa saja sebaik mungkin.")</f>
        <v>A Saya ingin melakukan apa saja sebaik mungkin.</v>
      </c>
      <c r="DB89" s="89" t="s">
        <v>23</v>
      </c>
      <c r="DC89" s="97" t="str">
        <f t="shared" ref="DC89:GX89" si="134">LEFT(F89,1)</f>
        <v>B</v>
      </c>
      <c r="DD89" s="97" t="str">
        <f t="shared" si="134"/>
        <v>A</v>
      </c>
      <c r="DE89" s="97" t="str">
        <f t="shared" si="134"/>
        <v>A</v>
      </c>
      <c r="DF89" s="97" t="str">
        <f t="shared" si="134"/>
        <v>B</v>
      </c>
      <c r="DG89" s="97" t="str">
        <f t="shared" si="134"/>
        <v>A</v>
      </c>
      <c r="DH89" s="97" t="str">
        <f t="shared" si="134"/>
        <v>B</v>
      </c>
      <c r="DI89" s="97" t="str">
        <f t="shared" si="134"/>
        <v>B</v>
      </c>
      <c r="DJ89" s="97" t="str">
        <f t="shared" si="134"/>
        <v>A</v>
      </c>
      <c r="DK89" s="97" t="str">
        <f t="shared" si="134"/>
        <v>A</v>
      </c>
      <c r="DL89" s="97" t="str">
        <f t="shared" si="134"/>
        <v>B</v>
      </c>
      <c r="DM89" s="97" t="str">
        <f t="shared" si="134"/>
        <v>B</v>
      </c>
      <c r="DN89" s="97" t="str">
        <f t="shared" si="134"/>
        <v>A</v>
      </c>
      <c r="DO89" s="97" t="str">
        <f t="shared" si="134"/>
        <v>B</v>
      </c>
      <c r="DP89" s="97" t="str">
        <f t="shared" si="134"/>
        <v>A</v>
      </c>
      <c r="DQ89" s="97" t="str">
        <f t="shared" si="134"/>
        <v>B</v>
      </c>
      <c r="DR89" s="97" t="str">
        <f t="shared" si="134"/>
        <v>A</v>
      </c>
      <c r="DS89" s="97" t="str">
        <f t="shared" si="134"/>
        <v>B</v>
      </c>
      <c r="DT89" s="97" t="str">
        <f t="shared" si="134"/>
        <v>B</v>
      </c>
      <c r="DU89" s="97" t="str">
        <f t="shared" si="134"/>
        <v>A</v>
      </c>
      <c r="DV89" s="97" t="str">
        <f t="shared" si="134"/>
        <v>A</v>
      </c>
      <c r="DW89" s="97" t="str">
        <f t="shared" si="134"/>
        <v>A</v>
      </c>
      <c r="DX89" s="97" t="str">
        <f t="shared" si="134"/>
        <v>A</v>
      </c>
      <c r="DY89" s="97" t="str">
        <f t="shared" si="134"/>
        <v>B</v>
      </c>
      <c r="DZ89" s="97" t="str">
        <f t="shared" si="134"/>
        <v>A</v>
      </c>
      <c r="EA89" s="97" t="str">
        <f t="shared" si="134"/>
        <v>A</v>
      </c>
      <c r="EB89" s="97" t="str">
        <f t="shared" si="134"/>
        <v>A</v>
      </c>
      <c r="EC89" s="97" t="str">
        <f t="shared" si="134"/>
        <v>A</v>
      </c>
      <c r="ED89" s="97" t="str">
        <f t="shared" si="134"/>
        <v>A</v>
      </c>
      <c r="EE89" s="97" t="str">
        <f t="shared" si="134"/>
        <v>A</v>
      </c>
      <c r="EF89" s="97" t="str">
        <f t="shared" si="134"/>
        <v>B</v>
      </c>
      <c r="EG89" s="97" t="str">
        <f t="shared" si="134"/>
        <v>B</v>
      </c>
      <c r="EH89" s="97" t="str">
        <f t="shared" si="134"/>
        <v>B</v>
      </c>
      <c r="EI89" s="97" t="str">
        <f t="shared" si="134"/>
        <v>B</v>
      </c>
      <c r="EJ89" s="97" t="str">
        <f t="shared" si="134"/>
        <v>B</v>
      </c>
      <c r="EK89" s="97" t="str">
        <f t="shared" si="134"/>
        <v>A</v>
      </c>
      <c r="EL89" s="97" t="str">
        <f t="shared" si="134"/>
        <v>A</v>
      </c>
      <c r="EM89" s="97" t="str">
        <f t="shared" si="134"/>
        <v>B</v>
      </c>
      <c r="EN89" s="97" t="str">
        <f t="shared" si="134"/>
        <v>B</v>
      </c>
      <c r="EO89" s="97" t="str">
        <f t="shared" si="134"/>
        <v>A</v>
      </c>
      <c r="EP89" s="97" t="str">
        <f t="shared" si="134"/>
        <v>B</v>
      </c>
      <c r="EQ89" s="97" t="str">
        <f t="shared" si="134"/>
        <v>B</v>
      </c>
      <c r="ER89" s="97" t="str">
        <f t="shared" si="134"/>
        <v>B</v>
      </c>
      <c r="ES89" s="97" t="str">
        <f t="shared" si="134"/>
        <v>B</v>
      </c>
      <c r="ET89" s="97" t="str">
        <f t="shared" si="134"/>
        <v>B</v>
      </c>
      <c r="EU89" s="97" t="str">
        <f t="shared" si="134"/>
        <v>B</v>
      </c>
      <c r="EV89" s="97" t="str">
        <f t="shared" si="134"/>
        <v>B</v>
      </c>
      <c r="EW89" s="97" t="str">
        <f t="shared" si="134"/>
        <v>B</v>
      </c>
      <c r="EX89" s="97" t="str">
        <f t="shared" si="134"/>
        <v>B</v>
      </c>
      <c r="EY89" s="97" t="str">
        <f t="shared" si="134"/>
        <v>B</v>
      </c>
      <c r="EZ89" s="97" t="str">
        <f t="shared" si="134"/>
        <v>B</v>
      </c>
      <c r="FA89" s="97" t="str">
        <f t="shared" si="134"/>
        <v>B</v>
      </c>
      <c r="FB89" s="97" t="str">
        <f t="shared" si="134"/>
        <v>A</v>
      </c>
      <c r="FC89" s="97" t="str">
        <f t="shared" si="134"/>
        <v>B</v>
      </c>
      <c r="FD89" s="97" t="str">
        <f t="shared" si="134"/>
        <v>B</v>
      </c>
      <c r="FE89" s="97" t="str">
        <f t="shared" si="134"/>
        <v>A</v>
      </c>
      <c r="FF89" s="97" t="str">
        <f t="shared" si="134"/>
        <v>A</v>
      </c>
      <c r="FG89" s="97" t="str">
        <f t="shared" si="134"/>
        <v>A</v>
      </c>
      <c r="FH89" s="97" t="str">
        <f t="shared" si="134"/>
        <v>A</v>
      </c>
      <c r="FI89" s="97" t="str">
        <f t="shared" si="134"/>
        <v>B</v>
      </c>
      <c r="FJ89" s="97" t="str">
        <f t="shared" si="134"/>
        <v>A</v>
      </c>
      <c r="FK89" s="97" t="str">
        <f t="shared" si="134"/>
        <v>B</v>
      </c>
      <c r="FL89" s="97" t="str">
        <f t="shared" si="134"/>
        <v>B</v>
      </c>
      <c r="FM89" s="97" t="str">
        <f t="shared" si="134"/>
        <v>A</v>
      </c>
      <c r="FN89" s="97" t="str">
        <f t="shared" si="134"/>
        <v>A</v>
      </c>
      <c r="FO89" s="97" t="str">
        <f t="shared" si="134"/>
        <v>A</v>
      </c>
      <c r="FP89" s="97" t="str">
        <f t="shared" si="134"/>
        <v>B</v>
      </c>
      <c r="FQ89" s="97" t="str">
        <f t="shared" si="134"/>
        <v>B</v>
      </c>
      <c r="FR89" s="97" t="str">
        <f t="shared" si="134"/>
        <v>A</v>
      </c>
      <c r="FS89" s="97" t="str">
        <f t="shared" si="134"/>
        <v>B</v>
      </c>
      <c r="FT89" s="97" t="str">
        <f t="shared" si="134"/>
        <v>B</v>
      </c>
      <c r="FU89" s="97" t="str">
        <f t="shared" si="134"/>
        <v>B</v>
      </c>
      <c r="FV89" s="97" t="str">
        <f t="shared" si="134"/>
        <v>B</v>
      </c>
      <c r="FW89" s="97" t="str">
        <f t="shared" si="134"/>
        <v>A</v>
      </c>
      <c r="FX89" s="97" t="str">
        <f t="shared" si="134"/>
        <v>A</v>
      </c>
      <c r="FY89" s="97" t="str">
        <f t="shared" si="134"/>
        <v>B</v>
      </c>
      <c r="FZ89" s="97" t="str">
        <f t="shared" si="134"/>
        <v>A</v>
      </c>
      <c r="GA89" s="97" t="str">
        <f t="shared" si="134"/>
        <v>A</v>
      </c>
      <c r="GB89" s="97" t="str">
        <f t="shared" si="134"/>
        <v>A</v>
      </c>
      <c r="GC89" s="97" t="str">
        <f t="shared" si="134"/>
        <v>A</v>
      </c>
      <c r="GD89" s="97" t="str">
        <f t="shared" si="134"/>
        <v>A</v>
      </c>
      <c r="GE89" s="97" t="str">
        <f t="shared" si="134"/>
        <v>A</v>
      </c>
      <c r="GF89" s="97" t="str">
        <f t="shared" si="134"/>
        <v>A</v>
      </c>
      <c r="GG89" s="97" t="str">
        <f t="shared" si="134"/>
        <v>A</v>
      </c>
      <c r="GH89" s="97" t="str">
        <f t="shared" si="134"/>
        <v>A</v>
      </c>
      <c r="GI89" s="97" t="str">
        <f t="shared" si="134"/>
        <v>A</v>
      </c>
      <c r="GJ89" s="97" t="str">
        <f t="shared" si="134"/>
        <v>B</v>
      </c>
      <c r="GK89" s="97" t="str">
        <f t="shared" si="134"/>
        <v>A</v>
      </c>
      <c r="GL89" s="97" t="str">
        <f t="shared" si="134"/>
        <v>B</v>
      </c>
      <c r="GM89" s="97" t="str">
        <f t="shared" si="134"/>
        <v>A</v>
      </c>
      <c r="GN89" s="97" t="str">
        <f t="shared" si="134"/>
        <v>B</v>
      </c>
      <c r="GO89" s="97" t="str">
        <f t="shared" si="134"/>
        <v>B</v>
      </c>
      <c r="GP89" s="97" t="str">
        <f t="shared" si="134"/>
        <v>B</v>
      </c>
      <c r="GQ89" s="97" t="str">
        <f t="shared" si="134"/>
        <v>A</v>
      </c>
      <c r="GR89" s="97" t="str">
        <f t="shared" si="134"/>
        <v>A</v>
      </c>
      <c r="GS89" s="97" t="str">
        <f t="shared" si="134"/>
        <v>B</v>
      </c>
      <c r="GT89" s="97" t="str">
        <f t="shared" si="134"/>
        <v>A</v>
      </c>
      <c r="GU89" s="97" t="str">
        <f t="shared" si="134"/>
        <v>A</v>
      </c>
      <c r="GV89" s="97" t="str">
        <f t="shared" si="134"/>
        <v>A</v>
      </c>
      <c r="GW89" s="97" t="str">
        <f t="shared" si="134"/>
        <v>A</v>
      </c>
      <c r="GX89" s="97" t="str">
        <f t="shared" si="134"/>
        <v>A</v>
      </c>
      <c r="GY89" s="98"/>
      <c r="GZ89" s="97">
        <f t="shared" si="3"/>
        <v>52</v>
      </c>
      <c r="HA89" s="97">
        <f t="shared" si="4"/>
        <v>48</v>
      </c>
      <c r="HB89" s="90">
        <f t="shared" si="5"/>
        <v>100</v>
      </c>
      <c r="HC89" s="99"/>
      <c r="HD89" s="97">
        <f t="shared" si="6"/>
        <v>6</v>
      </c>
      <c r="HE89" s="97">
        <f t="shared" si="7"/>
        <v>4</v>
      </c>
      <c r="HF89" s="90">
        <f t="shared" si="8"/>
        <v>10</v>
      </c>
      <c r="HG89" s="99"/>
      <c r="HH89" s="97">
        <f t="shared" si="9"/>
        <v>6</v>
      </c>
      <c r="HI89" s="97">
        <f t="shared" si="10"/>
        <v>5</v>
      </c>
      <c r="HJ89" s="90">
        <f t="shared" si="11"/>
        <v>11</v>
      </c>
      <c r="HK89" s="99"/>
      <c r="HL89" s="97">
        <f t="shared" si="12"/>
        <v>6</v>
      </c>
      <c r="HM89" s="97">
        <f t="shared" si="13"/>
        <v>2</v>
      </c>
      <c r="HN89" s="90">
        <f t="shared" si="14"/>
        <v>8</v>
      </c>
      <c r="HO89" s="99"/>
      <c r="HP89" s="97">
        <f t="shared" si="15"/>
        <v>6</v>
      </c>
      <c r="HQ89" s="97">
        <f t="shared" si="16"/>
        <v>7</v>
      </c>
      <c r="HR89" s="90">
        <f t="shared" si="17"/>
        <v>13</v>
      </c>
      <c r="HS89" s="99"/>
      <c r="HT89" s="97">
        <f t="shared" si="18"/>
        <v>9</v>
      </c>
      <c r="HU89" s="97">
        <f t="shared" si="19"/>
        <v>10</v>
      </c>
      <c r="HV89" s="90">
        <f t="shared" si="20"/>
        <v>19</v>
      </c>
      <c r="HW89" s="99"/>
      <c r="HX89" s="97">
        <f t="shared" si="21"/>
        <v>2</v>
      </c>
      <c r="HY89" s="97">
        <f t="shared" si="22"/>
        <v>4</v>
      </c>
      <c r="HZ89" s="90">
        <f t="shared" si="23"/>
        <v>6</v>
      </c>
      <c r="IA89" s="99"/>
      <c r="IB89" s="97">
        <f t="shared" si="24"/>
        <v>5</v>
      </c>
      <c r="IC89" s="97">
        <f t="shared" si="25"/>
        <v>6</v>
      </c>
      <c r="ID89" s="90">
        <f t="shared" si="26"/>
        <v>11</v>
      </c>
      <c r="IE89" s="99"/>
      <c r="IF89" s="97">
        <f t="shared" si="27"/>
        <v>4</v>
      </c>
      <c r="IG89" s="97">
        <f t="shared" si="28"/>
        <v>3</v>
      </c>
      <c r="IH89" s="90">
        <f t="shared" si="29"/>
        <v>7</v>
      </c>
      <c r="II89" s="99"/>
      <c r="IJ89" s="97">
        <f t="shared" si="30"/>
        <v>4</v>
      </c>
      <c r="IK89" s="97">
        <f t="shared" si="31"/>
        <v>3</v>
      </c>
      <c r="IL89" s="90">
        <f t="shared" si="32"/>
        <v>7</v>
      </c>
      <c r="IM89" s="99"/>
      <c r="IN89" s="97">
        <f t="shared" si="33"/>
        <v>0</v>
      </c>
      <c r="IO89" s="97">
        <f t="shared" si="34"/>
        <v>3</v>
      </c>
      <c r="IP89" s="90">
        <f t="shared" si="35"/>
        <v>3</v>
      </c>
      <c r="IQ89" s="99"/>
      <c r="IR89" s="99"/>
      <c r="IS89" s="100">
        <f t="shared" si="36"/>
        <v>10</v>
      </c>
      <c r="IT89" s="100">
        <f t="shared" si="37"/>
        <v>11</v>
      </c>
      <c r="IU89" s="100">
        <f t="shared" si="38"/>
        <v>8</v>
      </c>
      <c r="IV89" s="100">
        <f t="shared" si="39"/>
        <v>13</v>
      </c>
      <c r="IW89" s="100">
        <f t="shared" si="40"/>
        <v>19</v>
      </c>
      <c r="IX89" s="100">
        <f t="shared" si="41"/>
        <v>6</v>
      </c>
      <c r="IY89" s="100">
        <f t="shared" si="42"/>
        <v>11</v>
      </c>
      <c r="IZ89" s="100">
        <f t="shared" si="43"/>
        <v>7</v>
      </c>
      <c r="JA89" s="100">
        <f t="shared" si="44"/>
        <v>7</v>
      </c>
      <c r="JB89" s="101">
        <f t="shared" si="45"/>
        <v>3</v>
      </c>
      <c r="JC89" s="102">
        <f t="shared" si="46"/>
        <v>95</v>
      </c>
      <c r="JD89" s="67">
        <f t="shared" si="50"/>
        <v>0</v>
      </c>
      <c r="JE89" s="67">
        <f t="shared" si="47"/>
        <v>1</v>
      </c>
      <c r="JF89" s="67">
        <f t="shared" si="48"/>
        <v>1</v>
      </c>
    </row>
    <row r="90">
      <c r="A90" s="103">
        <f>IFERROR(__xludf.DUMMYFUNCTION("""COMPUTED_VALUE"""),45941.57719599537)</f>
        <v>45941.5772</v>
      </c>
      <c r="B90" s="95" t="str">
        <f>IFERROR(__xludf.DUMMYFUNCTION("""COMPUTED_VALUE"""),"Muhammad nizar")</f>
        <v>Muhammad nizar</v>
      </c>
      <c r="C90" s="96" t="str">
        <f>IFERROR(__xludf.DUMMYFUNCTION("""COMPUTED_VALUE"""),"A250061")</f>
        <v>A250061</v>
      </c>
      <c r="D90" s="96" t="str">
        <f>IFERROR(__xludf.DUMMYFUNCTION("""COMPUTED_VALUE"""),"MTs Putra")</f>
        <v>MTs Putra</v>
      </c>
      <c r="E90" s="96" t="str">
        <f>IFERROR(__xludf.DUMMYFUNCTION("""COMPUTED_VALUE"""),"Ya")</f>
        <v>Ya</v>
      </c>
      <c r="F90" s="95" t="str">
        <f>IFERROR(__xludf.DUMMYFUNCTION("""COMPUTED_VALUE"""),"B Saya ingin melakukan apa saja sebaik mungkin.")</f>
        <v>B Saya ingin melakukan apa saja sebaik mungkin.</v>
      </c>
      <c r="G90" s="95" t="str">
        <f>IFERROR(__xludf.DUMMYFUNCTION("""COMPUTED_VALUE"""),"A Saya ingin setiap tulisan saya teliti, rapi, dan tersusun dengan baik.")</f>
        <v>A Saya ingin setiap tulisan saya teliti, rapi, dan tersusun dengan baik.</v>
      </c>
      <c r="H90" s="95" t="str">
        <f>IFERROR(__xludf.DUMMYFUNCTION("""COMPUTED_VALUE"""),"B Saya ingin menjadi orang yang diakui dalam suatu pekerjaan atau bidang khusus.")</f>
        <v>B Saya ingin menjadi orang yang diakui dalam suatu pekerjaan atau bidang khusus.</v>
      </c>
      <c r="I90" s="95" t="str">
        <f>IFERROR(__xludf.DUMMYFUNCTION("""COMPUTED_VALUE"""),"B Saya ingin bisa melakukan dengan baik meskipun tugas yang sulit.")</f>
        <v>B Saya ingin bisa melakukan dengan baik meskipun tugas yang sulit.</v>
      </c>
      <c r="J90" s="95" t="str">
        <f>IFERROR(__xludf.DUMMYFUNCTION("""COMPUTED_VALUE"""),"A Saya suka membantu teman-teman saya apabila mereka mengalami kesulitan.")</f>
        <v>A Saya suka membantu teman-teman saya apabila mereka mengalami kesulitan.</v>
      </c>
      <c r="K90" s="95" t="str">
        <f>IFERROR(__xludf.DUMMYFUNCTION("""COMPUTED_VALUE"""),"B Saya ingin mengatakan telah melakukan dengan baik sesuatu tugas yang sulit.")</f>
        <v>B Saya ingin mengatakan telah melakukan dengan baik sesuatu tugas yang sulit.</v>
      </c>
      <c r="L90" s="95" t="str">
        <f>IFERROR(__xludf.DUMMYFUNCTION("""COMPUTED_VALUE"""),"B Saya ingin mengatakan telah melakukan dengan baik sesuatu tugas yang sulit")</f>
        <v>B Saya ingin mengatakan telah melakukan dengan baik sesuatu tugas yang sulit</v>
      </c>
      <c r="M90" s="95" t="str">
        <f>IFERROR(__xludf.DUMMYFUNCTION("""COMPUTED_VALUE"""),"B Saya ingin mengerjakan segala tugas lebih baik daripada orang lain.")</f>
        <v>B Saya ingin mengerjakan segala tugas lebih baik daripada orang lain.</v>
      </c>
      <c r="N90" s="95" t="str">
        <f>IFERROR(__xludf.DUMMYFUNCTION("""COMPUTED_VALUE"""),"B Saya suka memecahkan persoalan yang sukar bagi orang lain.")</f>
        <v>B Saya suka memecahkan persoalan yang sukar bagi orang lain.</v>
      </c>
      <c r="O90" s="95" t="str">
        <f>IFERROR(__xludf.DUMMYFUNCTION("""COMPUTED_VALUE"""),"A Saya marah saat ada teman memperolok-olok hal-hal yang saya anggap bodoh.")</f>
        <v>A Saya marah saat ada teman memperolok-olok hal-hal yang saya anggap bodoh.</v>
      </c>
      <c r="P90" s="95" t="str">
        <f>IFERROR(__xludf.DUMMYFUNCTION("""COMPUTED_VALUE"""),"B Saya ingin setiap belajar itu teratur dan direncanakan.")</f>
        <v>B Saya ingin setiap belajar itu teratur dan direncanakan.</v>
      </c>
      <c r="Q90" s="95" t="str">
        <f>IFERROR(__xludf.DUMMYFUNCTION("""COMPUTED_VALUE"""),"B Saya merencanakan keperluan yang dibutuhkan sebelum bepergian.")</f>
        <v>B Saya merencanakan keperluan yang dibutuhkan sebelum bepergian.</v>
      </c>
      <c r="R90" s="95" t="str">
        <f>IFERROR(__xludf.DUMMYFUNCTION("""COMPUTED_VALUE"""),"B Saya suka barang-barang saya tersusun rapi dan teratur.")</f>
        <v>B Saya suka barang-barang saya tersusun rapi dan teratur.</v>
      </c>
      <c r="S90" s="95" t="str">
        <f>IFERROR(__xludf.DUMMYFUNCTION("""COMPUTED_VALUE"""),"B Saya suka membuat perencanaan sebelum memulai tugas yang sulit.")</f>
        <v>B Saya suka membuat perencanaan sebelum memulai tugas yang sulit.</v>
      </c>
      <c r="T90" s="95" t="str">
        <f>IFERROR(__xludf.DUMMYFUNCTION("""COMPUTED_VALUE"""),"B Saya ingin agar hidup saya teratur sesuai cita-cita saya.")</f>
        <v>B Saya ingin agar hidup saya teratur sesuai cita-cita saya.</v>
      </c>
      <c r="U90" s="95" t="str">
        <f>IFERROR(__xludf.DUMMYFUNCTION("""COMPUTED_VALUE"""),"A Saya suka memberikan bantuan kepada teman-teman saya.")</f>
        <v>A Saya suka memberikan bantuan kepada teman-teman saya.</v>
      </c>
      <c r="V90" s="95" t="str">
        <f>IFERROR(__xludf.DUMMYFUNCTION("""COMPUTED_VALUE"""),"A Saya suka belajar sampai malam untuk menyelesaikan suatu tugas.")</f>
        <v>A Saya suka belajar sampai malam untuk menyelesaikan suatu tugas.</v>
      </c>
      <c r="W90" s="95" t="str">
        <f>IFERROR(__xludf.DUMMYFUNCTION("""COMPUTED_VALUE"""),"A Saya suka melakukan kegiatan sesuai kondisi yang saya inginkan.")</f>
        <v>A Saya suka melakukan kegiatan sesuai kondisi yang saya inginkan.</v>
      </c>
      <c r="X90" s="95" t="str">
        <f>IFERROR(__xludf.DUMMYFUNCTION("""COMPUTED_VALUE"""),"A Saya suka merencanakan dan mengatur setiap apa yang harus saya lakukan.")</f>
        <v>A Saya suka merencanakan dan mengatur setiap apa yang harus saya lakukan.</v>
      </c>
      <c r="Y90" s="95" t="str">
        <f>IFERROR(__xludf.DUMMYFUNCTION("""COMPUTED_VALUE"""),"A Saya suka menyelesaikan tugas-tugas yang membutuhkan ketrampilan dan usaha.")</f>
        <v>A Saya suka menyelesaikan tugas-tugas yang membutuhkan ketrampilan dan usaha.</v>
      </c>
      <c r="Z90" s="95" t="str">
        <f>IFERROR(__xludf.DUMMYFUNCTION("""COMPUTED_VALUE"""),"A Saya ingin berhasil dengan belajar yang saya lakukan.")</f>
        <v>A Saya ingin berhasil dengan belajar yang saya lakukan.</v>
      </c>
      <c r="AA90" s="95" t="str">
        <f>IFERROR(__xludf.DUMMYFUNCTION("""COMPUTED_VALUE"""),"B Saya tidak suka pada orang yang berbuat seenaknya sendiri.")</f>
        <v>B Saya tidak suka pada orang yang berbuat seenaknya sendiri.</v>
      </c>
      <c r="AB90" s="95" t="str">
        <f>IFERROR(__xludf.DUMMYFUNCTION("""COMPUTED_VALUE"""),"B Saya ingin menyelesaikan pekerjaan satu persatu sebelum memulai yang lain.")</f>
        <v>B Saya ingin menyelesaikan pekerjaan satu persatu sebelum memulai yang lain.</v>
      </c>
      <c r="AC90" s="95" t="str">
        <f>IFERROR(__xludf.DUMMYFUNCTION("""COMPUTED_VALUE"""),"A Saya suka menyelesaikan setiap tugas meskipun membutuhkan waktu lama.")</f>
        <v>A Saya suka menyelesaikan setiap tugas meskipun membutuhkan waktu lama.</v>
      </c>
      <c r="AD90" s="95" t="str">
        <f>IFERROR(__xludf.DUMMYFUNCTION("""COMPUTED_VALUE"""),"A Saya suka bermurah hati terhadap teman-teman saya.")</f>
        <v>A Saya suka bermurah hati terhadap teman-teman saya.</v>
      </c>
      <c r="AE90" s="95" t="str">
        <f>IFERROR(__xludf.DUMMYFUNCTION("""COMPUTED_VALUE"""),"A Saya ingin dianggap sebagai pemimpin oleh teman di kelompok.")</f>
        <v>A Saya ingin dianggap sebagai pemimpin oleh teman di kelompok.</v>
      </c>
      <c r="AF90" s="95" t="str">
        <f>IFERROR(__xludf.DUMMYFUNCTION("""COMPUTED_VALUE"""),"A Saya ingin agar teman-teman mengerti bila saya mengalami kesukaran.")</f>
        <v>A Saya ingin agar teman-teman mengerti bila saya mengalami kesukaran.</v>
      </c>
      <c r="AG90" s="95" t="str">
        <f>IFERROR(__xludf.DUMMYFUNCTION("""COMPUTED_VALUE"""),"B Saya ingin berhasil dengan tugas yang saya lakukan.")</f>
        <v>B Saya ingin berhasil dengan tugas yang saya lakukan.</v>
      </c>
      <c r="AH90" s="95" t="str">
        <f>IFERROR(__xludf.DUMMYFUNCTION("""COMPUTED_VALUE"""),"B Saya ingin merasa bebas untuk melakukan apa yang saya kehendaki.")</f>
        <v>B Saya ingin merasa bebas untuk melakukan apa yang saya kehendaki.</v>
      </c>
      <c r="AI90" s="95" t="str">
        <f>IFERROR(__xludf.DUMMYFUNCTION("""COMPUTED_VALUE"""),"B Saya suka melakukan kegiatan sesuai kondisi yang saya inginkan.")</f>
        <v>B Saya suka melakukan kegiatan sesuai kondisi yang saya inginkan.</v>
      </c>
      <c r="AJ90" s="95" t="str">
        <f>IFERROR(__xludf.DUMMYFUNCTION("""COMPUTED_VALUE"""),"B Saya suka bertahan menghadapi satu masalah meskipun belum tentu berhasil.")</f>
        <v>B Saya suka bertahan menghadapi satu masalah meskipun belum tentu berhasil.</v>
      </c>
      <c r="AK90" s="95" t="str">
        <f>IFERROR(__xludf.DUMMYFUNCTION("""COMPUTED_VALUE"""),"B Bila saya harus melakukan suatu tugas, saya ingin mengerjakan sampai selesai.")</f>
        <v>B Bila saya harus melakukan suatu tugas, saya ingin mengerjakan sampai selesai.</v>
      </c>
      <c r="AL90" s="95" t="str">
        <f>IFERROR(__xludf.DUMMYFUNCTION("""COMPUTED_VALUE"""),"A Saya suka berbicara tentang hal-hal yang telah saya capai.")</f>
        <v>A Saya suka berbicara tentang hal-hal yang telah saya capai.</v>
      </c>
      <c r="AM90" s="95" t="str">
        <f>IFERROR(__xludf.DUMMYFUNCTION("""COMPUTED_VALUE"""),"A Saya ingin teman-teman saya merasa kasihan pada saya apabila saya sakit.")</f>
        <v>A Saya ingin teman-teman saya merasa kasihan pada saya apabila saya sakit.</v>
      </c>
      <c r="AN90" s="95" t="str">
        <f>IFERROR(__xludf.DUMMYFUNCTION("""COMPUTED_VALUE"""),"A Saya tidak suka pada orang yang semena-mena.")</f>
        <v>A Saya tidak suka pada orang yang semena-mena.</v>
      </c>
      <c r="AO90" s="95" t="str">
        <f>IFERROR(__xludf.DUMMYFUNCTION("""COMPUTED_VALUE"""),"A Saya suka berlaku sangat ramah terhadap teman-teman saya.")</f>
        <v>A Saya suka berlaku sangat ramah terhadap teman-teman saya.</v>
      </c>
      <c r="AP90" s="95" t="str">
        <f>IFERROR(__xludf.DUMMYFUNCTION("""COMPUTED_VALUE"""),"A Saya ingin mengerjakannya tugas sampai selesai.")</f>
        <v>A Saya ingin mengerjakannya tugas sampai selesai.</v>
      </c>
      <c r="AQ90" s="95" t="str">
        <f>IFERROR(__xludf.DUMMYFUNCTION("""COMPUTED_VALUE"""),"A Saya ingin bisa mengerjakan segala sesuatu lebih baik daripada orang-orang lain.")</f>
        <v>A Saya ingin bisa mengerjakan segala sesuatu lebih baik daripada orang-orang lain.</v>
      </c>
      <c r="AR90" s="95" t="str">
        <f>IFERROR(__xludf.DUMMYFUNCTION("""COMPUTED_VALUE"""),"B Saya suka belajar keras pada tiap pelajaran yang saya hadapi.")</f>
        <v>B Saya suka belajar keras pada tiap pelajaran yang saya hadapi.</v>
      </c>
      <c r="AS90" s="95" t="str">
        <f>IFERROR(__xludf.DUMMYFUNCTION("""COMPUTED_VALUE"""),"B Saya suka belajar sampai malam untuk menyelesaikan suatu tugas.")</f>
        <v>B Saya suka belajar sampai malam untuk menyelesaikan suatu tugas.</v>
      </c>
      <c r="AT90" s="95" t="str">
        <f>IFERROR(__xludf.DUMMYFUNCTION("""COMPUTED_VALUE"""),"A Saya ingin bisa melakukan dengan baik sesuatu pekerjaan sulit.")</f>
        <v>A Saya ingin bisa melakukan dengan baik sesuatu pekerjaan sulit.</v>
      </c>
      <c r="AU90" s="95" t="str">
        <f>IFERROR(__xludf.DUMMYFUNCTION("""COMPUTED_VALUE"""),"A Saya ingin menyelesaikan pekerjaan satu persatu sebelum memulai yang lain.")</f>
        <v>A Saya ingin menyelesaikan pekerjaan satu persatu sebelum memulai yang lain.</v>
      </c>
      <c r="AV90" s="95" t="str">
        <f>IFERROR(__xludf.DUMMYFUNCTION("""COMPUTED_VALUE"""),"A Saya ingin merasa bebas untuk melakukan apa yang saya kehendaki.")</f>
        <v>A Saya ingin merasa bebas untuk melakukan apa yang saya kehendaki.</v>
      </c>
      <c r="AW90" s="95" t="str">
        <f>IFERROR(__xludf.DUMMYFUNCTION("""COMPUTED_VALUE"""),"A Saya ingin mengerjakan tugas sampai selesai.")</f>
        <v>A Saya ingin mengerjakan tugas sampai selesai.</v>
      </c>
      <c r="AX90" s="95" t="str">
        <f>IFERROR(__xludf.DUMMYFUNCTION("""COMPUTED_VALUE"""),"A Saya suka menolong teman-teman saya apabila mereka dalam kesulitan.")</f>
        <v>A Saya suka menolong teman-teman saya apabila mereka dalam kesulitan.</v>
      </c>
      <c r="AY90" s="95" t="str">
        <f>IFERROR(__xludf.DUMMYFUNCTION("""COMPUTED_VALUE"""),"B Saya suka menolong teman-teman saya apabila mereka dalam kesulitan.")</f>
        <v>B Saya suka menolong teman-teman saya apabila mereka dalam kesulitan.</v>
      </c>
      <c r="AZ90" s="95" t="str">
        <f>IFERROR(__xludf.DUMMYFUNCTION("""COMPUTED_VALUE"""),"B Saya suka menunjukkan simpati saya kepada teman-teman saya.")</f>
        <v>B Saya suka menunjukkan simpati saya kepada teman-teman saya.</v>
      </c>
      <c r="BA90" s="95" t="str">
        <f>IFERROR(__xludf.DUMMYFUNCTION("""COMPUTED_VALUE"""),"A Saya suka menyatakan pendapat saya tentang berbagai hal.")</f>
        <v>A Saya suka menyatakan pendapat saya tentang berbagai hal.</v>
      </c>
      <c r="BB90" s="95" t="str">
        <f>IFERROR(__xludf.DUMMYFUNCTION("""COMPUTED_VALUE"""),"A Saya berkeinginan untuk bersama orang yang menarik bagi saya.")</f>
        <v>A Saya berkeinginan untuk bersama orang yang menarik bagi saya.</v>
      </c>
      <c r="BC90" s="95" t="str">
        <f>IFERROR(__xludf.DUMMYFUNCTION("""COMPUTED_VALUE"""),"B Saya suka membantu orang lain yang menurut saya perlu dikasihani.")</f>
        <v>B Saya suka membantu orang lain yang menurut saya perlu dikasihani.</v>
      </c>
      <c r="BD90" s="95" t="str">
        <f>IFERROR(__xludf.DUMMYFUNCTION("""COMPUTED_VALUE"""),"B Saya suka bersikukuh dengan pendirian saya.")</f>
        <v>B Saya suka bersikukuh dengan pendirian saya.</v>
      </c>
      <c r="BE90" s="95" t="str">
        <f>IFERROR(__xludf.DUMMYFUNCTION("""COMPUTED_VALUE"""),"A Saya suka mendengarkan atau menceritakan hal-hal yang sebaiknya tidak diceritakan.")</f>
        <v>A Saya suka mendengarkan atau menceritakan hal-hal yang sebaiknya tidak diceritakan.</v>
      </c>
      <c r="BF90" s="95" t="str">
        <f>IFERROR(__xludf.DUMMYFUNCTION("""COMPUTED_VALUE"""),"B Bila saya dalam kelompok, saya ingin menentukan apa yang akan kita lakukan.")</f>
        <v>B Bila saya dalam kelompok, saya ingin menentukan apa yang akan kita lakukan.</v>
      </c>
      <c r="BG90" s="95" t="str">
        <f>IFERROR(__xludf.DUMMYFUNCTION("""COMPUTED_VALUE"""),"B Saya suka mengarahkan kepada orang lain apa yang harus dilakukan.")</f>
        <v>B Saya suka mengarahkan kepada orang lain apa yang harus dilakukan.</v>
      </c>
      <c r="BH90" s="95" t="str">
        <f>IFERROR(__xludf.DUMMYFUNCTION("""COMPUTED_VALUE"""),"B Apabila saya berkumpul dalam kelompok, saya ingin dihargai teman-teman.")</f>
        <v>B Apabila saya berkumpul dalam kelompok, saya ingin dihargai teman-teman.</v>
      </c>
      <c r="BI90" s="95" t="str">
        <f>IFERROR(__xludf.DUMMYFUNCTION("""COMPUTED_VALUE"""),"A Saya suka bermurah hati terhadap teman-teman saya.")</f>
        <v>A Saya suka bermurah hati terhadap teman-teman saya.</v>
      </c>
      <c r="BJ90" s="95" t="str">
        <f>IFERROR(__xludf.DUMMYFUNCTION("""COMPUTED_VALUE"""),"A Saya ingin mengerjakan tugas sampai selesai.")</f>
        <v>A Saya ingin mengerjakan tugas sampai selesai.</v>
      </c>
      <c r="BK90" s="95" t="str">
        <f>IFERROR(__xludf.DUMMYFUNCTION("""COMPUTED_VALUE"""),"A Saya ingin menyelesaikan pekerjaan satu persatu sebelum memulai yang lain.")</f>
        <v>A Saya ingin menyelesaikan pekerjaan satu persatu sebelum memulai yang lain.</v>
      </c>
      <c r="BL90" s="95" t="str">
        <f>IFERROR(__xludf.DUMMYFUNCTION("""COMPUTED_VALUE"""),"A Saya suka belajar saya teratur dan ada waktu-waktu tertentu untuk belajar.")</f>
        <v>A Saya suka belajar saya teratur dan ada waktu-waktu tertentu untuk belajar.</v>
      </c>
      <c r="BM90" s="95" t="str">
        <f>IFERROR(__xludf.DUMMYFUNCTION("""COMPUTED_VALUE"""),"A Saya suka melakukan pekerjaan sebaik mungkin.")</f>
        <v>A Saya suka melakukan pekerjaan sebaik mungkin.</v>
      </c>
      <c r="BN90" s="95" t="str">
        <f>IFERROR(__xludf.DUMMYFUNCTION("""COMPUTED_VALUE"""),"A Saya suka mengerjakan teka-teki atau memecahkan persoalan sampai selesai.")</f>
        <v>A Saya suka mengerjakan teka-teki atau memecahkan persoalan sampai selesai.</v>
      </c>
      <c r="BO90" s="95" t="str">
        <f>IFERROR(__xludf.DUMMYFUNCTION("""COMPUTED_VALUE"""),"A Saya suka membuat perencanaan sebelum memulai belajar yang sulit.")</f>
        <v>A Saya suka membuat perencanaan sebelum memulai belajar yang sulit.</v>
      </c>
      <c r="BP90" s="95" t="str">
        <f>IFERROR(__xludf.DUMMYFUNCTION("""COMPUTED_VALUE"""),"B Saya ingin teman-teman saya merasa kasihan pada saya apabila saya sakit.")</f>
        <v>B Saya ingin teman-teman saya merasa kasihan pada saya apabila saya sakit.</v>
      </c>
      <c r="BQ90" s="95" t="str">
        <f>IFERROR(__xludf.DUMMYFUNCTION("""COMPUTED_VALUE"""),"A Saya ingin mengerjakannya tugas sampai selesai.")</f>
        <v>A Saya ingin mengerjakannya tugas sampai selesai.</v>
      </c>
      <c r="BR90" s="95" t="str">
        <f>IFERROR(__xludf.DUMMYFUNCTION("""COMPUTED_VALUE"""),"A Saya suka memaafkan teman-teman saya yang menyakiti hati saya.")</f>
        <v>A Saya suka memaafkan teman-teman saya yang menyakiti hati saya.</v>
      </c>
      <c r="BS90" s="95" t="str">
        <f>IFERROR(__xludf.DUMMYFUNCTION("""COMPUTED_VALUE"""),"B Saya ingin teman-teman saya membantu saya bila saya mengalami kesulitan")</f>
        <v>B Saya ingin teman-teman saya membantu saya bila saya mengalami kesulitan</v>
      </c>
      <c r="BT90" s="95" t="str">
        <f>IFERROR(__xludf.DUMMYFUNCTION("""COMPUTED_VALUE"""),"A Saya ingin teman-teman saya merasa kasihan pada saya apabila saya sakit.")</f>
        <v>A Saya ingin teman-teman saya merasa kasihan pada saya apabila saya sakit.</v>
      </c>
      <c r="BU90" s="95" t="str">
        <f>IFERROR(__xludf.DUMMYFUNCTION("""COMPUTED_VALUE"""),"B Saya ingin agar teman-teman saya merasa kasihan pada saya apabila saya sakit.")</f>
        <v>B Saya ingin agar teman-teman saya merasa kasihan pada saya apabila saya sakit.</v>
      </c>
      <c r="BV90" s="95" t="str">
        <f>IFERROR(__xludf.DUMMYFUNCTION("""COMPUTED_VALUE"""),"B Saya ingin teman-teman dengan gembira memberikan pertolongan kepada saya.")</f>
        <v>B Saya ingin teman-teman dengan gembira memberikan pertolongan kepada saya.</v>
      </c>
      <c r="BW90" s="95" t="str">
        <f>IFERROR(__xludf.DUMMYFUNCTION("""COMPUTED_VALUE"""),"B Saya ingin diperlakukan dengan baik oleh teman-teman saya.")</f>
        <v>B Saya ingin diperlakukan dengan baik oleh teman-teman saya.</v>
      </c>
      <c r="BX90" s="95" t="str">
        <f>IFERROR(__xludf.DUMMYFUNCTION("""COMPUTED_VALUE"""),"B Saya kadang-kadang suka melakukan hal-hal yang dapat dipuji oleh orang lain.")</f>
        <v>B Saya kadang-kadang suka melakukan hal-hal yang dapat dipuji oleh orang lain.</v>
      </c>
      <c r="BY90" s="95" t="str">
        <f>IFERROR(__xludf.DUMMYFUNCTION("""COMPUTED_VALUE"""),"B Saya ingin orang lain memperhatikan dan berkomentar tentang penampilan saya.")</f>
        <v>B Saya ingin orang lain memperhatikan dan berkomentar tentang penampilan saya.</v>
      </c>
      <c r="BZ90" s="95" t="str">
        <f>IFERROR(__xludf.DUMMYFUNCTION("""COMPUTED_VALUE"""),"B Saya suka diperhatikan, apabila saya ada di dalam suatu kelompok.")</f>
        <v>B Saya suka diperhatikan, apabila saya ada di dalam suatu kelompok.</v>
      </c>
      <c r="CA90" s="95" t="str">
        <f>IFERROR(__xludf.DUMMYFUNCTION("""COMPUTED_VALUE"""),"B Saya suka mengajukan pertanyaan agar orang lain memperhatikan saya.")</f>
        <v>B Saya suka mengajukan pertanyaan agar orang lain memperhatikan saya.</v>
      </c>
      <c r="CB90" s="95" t="str">
        <f>IFERROR(__xludf.DUMMYFUNCTION("""COMPUTED_VALUE"""),"B Saya suka berbicara tentang hal-hal yang telah saya capai.")</f>
        <v>B Saya suka berbicara tentang hal-hal yang telah saya capai.</v>
      </c>
      <c r="CC90" s="95" t="str">
        <f>IFERROR(__xludf.DUMMYFUNCTION("""COMPUTED_VALUE"""),"B Saya suka menceritakan hal-hal lucu agar diperhatikan oleh orang lain.")</f>
        <v>B Saya suka menceritakan hal-hal lucu agar diperhatikan oleh orang lain.</v>
      </c>
      <c r="CD90" s="95" t="str">
        <f>IFERROR(__xludf.DUMMYFUNCTION("""COMPUTED_VALUE"""),"A Saya suka menyelesaikan setiap tugas meskipun membutuhkan waktu lama.")</f>
        <v>A Saya suka menyelesaikan setiap tugas meskipun membutuhkan waktu lama.</v>
      </c>
      <c r="CE90" s="95" t="str">
        <f>IFERROR(__xludf.DUMMYFUNCTION("""COMPUTED_VALUE"""),"A Saya suka menyelesaikan setiap tugas belajar yang telah saya mulai.")</f>
        <v>A Saya suka menyelesaikan setiap tugas belajar yang telah saya mulai.</v>
      </c>
      <c r="CF90" s="95" t="str">
        <f>IFERROR(__xludf.DUMMYFUNCTION("""COMPUTED_VALUE"""),"A Saya ingin agar hidup saya teratur sesuai cita-cita saya.")</f>
        <v>A Saya ingin agar hidup saya teratur sesuai cita-cita saya.</v>
      </c>
      <c r="CG90" s="95" t="str">
        <f>IFERROR(__xludf.DUMMYFUNCTION("""COMPUTED_VALUE"""),"A Saya ingin berhasil dalam apa yang saya lakukan.")</f>
        <v>A Saya ingin berhasil dalam apa yang saya lakukan.</v>
      </c>
      <c r="CH90" s="95" t="str">
        <f>IFERROR(__xludf.DUMMYFUNCTION("""COMPUTED_VALUE"""),"A Saya ingin bisa melakukan dengan baik sesuatu pekerjaan sulit.")</f>
        <v>A Saya ingin bisa melakukan dengan baik sesuatu pekerjaan sulit.</v>
      </c>
      <c r="CI90" s="95" t="str">
        <f>IFERROR(__xludf.DUMMYFUNCTION("""COMPUTED_VALUE"""),"A Saya suka belajar saya teratur dan ada waktu-waktu tertentu untuk belajar.")</f>
        <v>A Saya suka belajar saya teratur dan ada waktu-waktu tertentu untuk belajar.</v>
      </c>
      <c r="CJ90" s="95" t="str">
        <f>IFERROR(__xludf.DUMMYFUNCTION("""COMPUTED_VALUE"""),"A Saya ingin tidak tergantung dari orang lain terhadap apa yang akan saya lakukan.")</f>
        <v>A Saya ingin tidak tergantung dari orang lain terhadap apa yang akan saya lakukan.</v>
      </c>
      <c r="CK90" s="95" t="str">
        <f>IFERROR(__xludf.DUMMYFUNCTION("""COMPUTED_VALUE"""),"B Saya senang ikut beraktivitas bersama teman sebaya saya.")</f>
        <v>B Saya senang ikut beraktivitas bersama teman sebaya saya.</v>
      </c>
      <c r="CL90" s="95" t="str">
        <f>IFERROR(__xludf.DUMMYFUNCTION("""COMPUTED_VALUE"""),"A Saya suka menolong teman-teman saya, apabila mereka dalam kesulitan.")</f>
        <v>A Saya suka menolong teman-teman saya, apabila mereka dalam kesulitan.</v>
      </c>
      <c r="CM90" s="95" t="str">
        <f>IFERROR(__xludf.DUMMYFUNCTION("""COMPUTED_VALUE"""),"B Saya merasa kagum pada seseorang.")</f>
        <v>B Saya merasa kagum pada seseorang.</v>
      </c>
      <c r="CN90" s="95" t="str">
        <f>IFERROR(__xludf.DUMMYFUNCTION("""COMPUTED_VALUE"""),"A Saya ingin diperlakukan dengan baik oleh teman-teman saya.")</f>
        <v>A Saya ingin diperlakukan dengan baik oleh teman-teman saya.</v>
      </c>
      <c r="CO90" s="95" t="str">
        <f>IFERROR(__xludf.DUMMYFUNCTION("""COMPUTED_VALUE"""),"B Saya suka memuji orang yang saya kagumi.")</f>
        <v>B Saya suka memuji orang yang saya kagumi.</v>
      </c>
      <c r="CP90" s="95" t="str">
        <f>IFERROR(__xludf.DUMMYFUNCTION("""COMPUTED_VALUE"""),"A Saya suka melamun atau membayangkan sesuatu sendirian.")</f>
        <v>A Saya suka melamun atau membayangkan sesuatu sendirian.</v>
      </c>
      <c r="CQ90" s="95" t="str">
        <f>IFERROR(__xludf.DUMMYFUNCTION("""COMPUTED_VALUE"""),"B Saya merasa kagum pada seseorang.")</f>
        <v>B Saya merasa kagum pada seseorang.</v>
      </c>
      <c r="CR90" s="95" t="str">
        <f>IFERROR(__xludf.DUMMYFUNCTION("""COMPUTED_VALUE"""),"B Saya rasanya ingin mengecam seseorang bila orang itu menjengkelkan.")</f>
        <v>B Saya rasanya ingin mengecam seseorang bila orang itu menjengkelkan.</v>
      </c>
      <c r="CS90" s="95" t="str">
        <f>IFERROR(__xludf.DUMMYFUNCTION("""COMPUTED_VALUE"""),"A Saya ingin terlihat menarik di depan teman-teman saya.")</f>
        <v>A Saya ingin terlihat menarik di depan teman-teman saya.</v>
      </c>
      <c r="CT90" s="95" t="str">
        <f>IFERROR(__xludf.DUMMYFUNCTION("""COMPUTED_VALUE"""),"A Saya ingin orang-orang memperhatikan komentar mengenai penampilan saya.")</f>
        <v>A Saya ingin orang-orang memperhatikan komentar mengenai penampilan saya.</v>
      </c>
      <c r="CU90" s="95" t="str">
        <f>IFERROR(__xludf.DUMMYFUNCTION("""COMPUTED_VALUE"""),"A Saya ingin diperlakukan dengan ramah oleh teman-teman saya.")</f>
        <v>A Saya ingin diperlakukan dengan ramah oleh teman-teman saya.</v>
      </c>
      <c r="CV90" s="95" t="str">
        <f>IFERROR(__xludf.DUMMYFUNCTION("""COMPUTED_VALUE"""),"A Saya ingin ditunjuk atau dipilih sebagai ketua dalam suatu kelompok.")</f>
        <v>A Saya ingin ditunjuk atau dipilih sebagai ketua dalam suatu kelompok.</v>
      </c>
      <c r="CW90" s="95" t="str">
        <f>IFERROR(__xludf.DUMMYFUNCTION("""COMPUTED_VALUE"""),"A Saya suka menolong teman-teman saya, apabila mereka dalam kesulitan.")</f>
        <v>A Saya suka menolong teman-teman saya, apabila mereka dalam kesulitan.</v>
      </c>
      <c r="CX90" s="95" t="str">
        <f>IFERROR(__xludf.DUMMYFUNCTION("""COMPUTED_VALUE"""),"A Saya suka belajar sampai malam untuk menyelesaikan suatu tugas.")</f>
        <v>A Saya suka belajar sampai malam untuk menyelesaikan suatu tugas.</v>
      </c>
      <c r="CY90" s="95" t="str">
        <f>IFERROR(__xludf.DUMMYFUNCTION("""COMPUTED_VALUE"""),"A Saya ingin tidak tergantung dari orang lain terhadap apa yang akan saya lakukan.")</f>
        <v>A Saya ingin tidak tergantung dari orang lain terhadap apa yang akan saya lakukan.</v>
      </c>
      <c r="CZ90" s="95" t="str">
        <f>IFERROR(__xludf.DUMMYFUNCTION("""COMPUTED_VALUE"""),"A Saya suka merencanakan dan mengatur setiap pekerjaan yang harus saya lakukan.")</f>
        <v>A Saya suka merencanakan dan mengatur setiap pekerjaan yang harus saya lakukan.</v>
      </c>
      <c r="DA90" s="95" t="str">
        <f>IFERROR(__xludf.DUMMYFUNCTION("""COMPUTED_VALUE"""),"A Saya ingin melakukan apa saja sebaik mungkin.")</f>
        <v>A Saya ingin melakukan apa saja sebaik mungkin.</v>
      </c>
      <c r="DB90" s="89" t="s">
        <v>23</v>
      </c>
      <c r="DC90" s="97" t="str">
        <f t="shared" ref="DC90:GX90" si="135">LEFT(F90,1)</f>
        <v>B</v>
      </c>
      <c r="DD90" s="97" t="str">
        <f t="shared" si="135"/>
        <v>A</v>
      </c>
      <c r="DE90" s="97" t="str">
        <f t="shared" si="135"/>
        <v>B</v>
      </c>
      <c r="DF90" s="97" t="str">
        <f t="shared" si="135"/>
        <v>B</v>
      </c>
      <c r="DG90" s="97" t="str">
        <f t="shared" si="135"/>
        <v>A</v>
      </c>
      <c r="DH90" s="97" t="str">
        <f t="shared" si="135"/>
        <v>B</v>
      </c>
      <c r="DI90" s="97" t="str">
        <f t="shared" si="135"/>
        <v>B</v>
      </c>
      <c r="DJ90" s="97" t="str">
        <f t="shared" si="135"/>
        <v>B</v>
      </c>
      <c r="DK90" s="97" t="str">
        <f t="shared" si="135"/>
        <v>B</v>
      </c>
      <c r="DL90" s="97" t="str">
        <f t="shared" si="135"/>
        <v>A</v>
      </c>
      <c r="DM90" s="97" t="str">
        <f t="shared" si="135"/>
        <v>B</v>
      </c>
      <c r="DN90" s="97" t="str">
        <f t="shared" si="135"/>
        <v>B</v>
      </c>
      <c r="DO90" s="97" t="str">
        <f t="shared" si="135"/>
        <v>B</v>
      </c>
      <c r="DP90" s="97" t="str">
        <f t="shared" si="135"/>
        <v>B</v>
      </c>
      <c r="DQ90" s="97" t="str">
        <f t="shared" si="135"/>
        <v>B</v>
      </c>
      <c r="DR90" s="97" t="str">
        <f t="shared" si="135"/>
        <v>A</v>
      </c>
      <c r="DS90" s="97" t="str">
        <f t="shared" si="135"/>
        <v>A</v>
      </c>
      <c r="DT90" s="97" t="str">
        <f t="shared" si="135"/>
        <v>A</v>
      </c>
      <c r="DU90" s="97" t="str">
        <f t="shared" si="135"/>
        <v>A</v>
      </c>
      <c r="DV90" s="97" t="str">
        <f t="shared" si="135"/>
        <v>A</v>
      </c>
      <c r="DW90" s="97" t="str">
        <f t="shared" si="135"/>
        <v>A</v>
      </c>
      <c r="DX90" s="97" t="str">
        <f t="shared" si="135"/>
        <v>B</v>
      </c>
      <c r="DY90" s="97" t="str">
        <f t="shared" si="135"/>
        <v>B</v>
      </c>
      <c r="DZ90" s="97" t="str">
        <f t="shared" si="135"/>
        <v>A</v>
      </c>
      <c r="EA90" s="97" t="str">
        <f t="shared" si="135"/>
        <v>A</v>
      </c>
      <c r="EB90" s="97" t="str">
        <f t="shared" si="135"/>
        <v>A</v>
      </c>
      <c r="EC90" s="97" t="str">
        <f t="shared" si="135"/>
        <v>A</v>
      </c>
      <c r="ED90" s="97" t="str">
        <f t="shared" si="135"/>
        <v>B</v>
      </c>
      <c r="EE90" s="97" t="str">
        <f t="shared" si="135"/>
        <v>B</v>
      </c>
      <c r="EF90" s="97" t="str">
        <f t="shared" si="135"/>
        <v>B</v>
      </c>
      <c r="EG90" s="97" t="str">
        <f t="shared" si="135"/>
        <v>B</v>
      </c>
      <c r="EH90" s="97" t="str">
        <f t="shared" si="135"/>
        <v>B</v>
      </c>
      <c r="EI90" s="97" t="str">
        <f t="shared" si="135"/>
        <v>A</v>
      </c>
      <c r="EJ90" s="97" t="str">
        <f t="shared" si="135"/>
        <v>A</v>
      </c>
      <c r="EK90" s="97" t="str">
        <f t="shared" si="135"/>
        <v>A</v>
      </c>
      <c r="EL90" s="97" t="str">
        <f t="shared" si="135"/>
        <v>A</v>
      </c>
      <c r="EM90" s="97" t="str">
        <f t="shared" si="135"/>
        <v>A</v>
      </c>
      <c r="EN90" s="97" t="str">
        <f t="shared" si="135"/>
        <v>A</v>
      </c>
      <c r="EO90" s="97" t="str">
        <f t="shared" si="135"/>
        <v>B</v>
      </c>
      <c r="EP90" s="97" t="str">
        <f t="shared" si="135"/>
        <v>B</v>
      </c>
      <c r="EQ90" s="97" t="str">
        <f t="shared" si="135"/>
        <v>A</v>
      </c>
      <c r="ER90" s="97" t="str">
        <f t="shared" si="135"/>
        <v>A</v>
      </c>
      <c r="ES90" s="97" t="str">
        <f t="shared" si="135"/>
        <v>A</v>
      </c>
      <c r="ET90" s="97" t="str">
        <f t="shared" si="135"/>
        <v>A</v>
      </c>
      <c r="EU90" s="97" t="str">
        <f t="shared" si="135"/>
        <v>A</v>
      </c>
      <c r="EV90" s="97" t="str">
        <f t="shared" si="135"/>
        <v>B</v>
      </c>
      <c r="EW90" s="97" t="str">
        <f t="shared" si="135"/>
        <v>B</v>
      </c>
      <c r="EX90" s="97" t="str">
        <f t="shared" si="135"/>
        <v>A</v>
      </c>
      <c r="EY90" s="97" t="str">
        <f t="shared" si="135"/>
        <v>A</v>
      </c>
      <c r="EZ90" s="97" t="str">
        <f t="shared" si="135"/>
        <v>B</v>
      </c>
      <c r="FA90" s="97" t="str">
        <f t="shared" si="135"/>
        <v>B</v>
      </c>
      <c r="FB90" s="97" t="str">
        <f t="shared" si="135"/>
        <v>A</v>
      </c>
      <c r="FC90" s="97" t="str">
        <f t="shared" si="135"/>
        <v>B</v>
      </c>
      <c r="FD90" s="97" t="str">
        <f t="shared" si="135"/>
        <v>B</v>
      </c>
      <c r="FE90" s="97" t="str">
        <f t="shared" si="135"/>
        <v>B</v>
      </c>
      <c r="FF90" s="97" t="str">
        <f t="shared" si="135"/>
        <v>A</v>
      </c>
      <c r="FG90" s="97" t="str">
        <f t="shared" si="135"/>
        <v>A</v>
      </c>
      <c r="FH90" s="97" t="str">
        <f t="shared" si="135"/>
        <v>A</v>
      </c>
      <c r="FI90" s="97" t="str">
        <f t="shared" si="135"/>
        <v>A</v>
      </c>
      <c r="FJ90" s="97" t="str">
        <f t="shared" si="135"/>
        <v>A</v>
      </c>
      <c r="FK90" s="97" t="str">
        <f t="shared" si="135"/>
        <v>A</v>
      </c>
      <c r="FL90" s="97" t="str">
        <f t="shared" si="135"/>
        <v>A</v>
      </c>
      <c r="FM90" s="97" t="str">
        <f t="shared" si="135"/>
        <v>B</v>
      </c>
      <c r="FN90" s="97" t="str">
        <f t="shared" si="135"/>
        <v>A</v>
      </c>
      <c r="FO90" s="97" t="str">
        <f t="shared" si="135"/>
        <v>A</v>
      </c>
      <c r="FP90" s="97" t="str">
        <f t="shared" si="135"/>
        <v>B</v>
      </c>
      <c r="FQ90" s="97" t="str">
        <f t="shared" si="135"/>
        <v>A</v>
      </c>
      <c r="FR90" s="97" t="str">
        <f t="shared" si="135"/>
        <v>B</v>
      </c>
      <c r="FS90" s="97" t="str">
        <f t="shared" si="135"/>
        <v>B</v>
      </c>
      <c r="FT90" s="97" t="str">
        <f t="shared" si="135"/>
        <v>B</v>
      </c>
      <c r="FU90" s="97" t="str">
        <f t="shared" si="135"/>
        <v>B</v>
      </c>
      <c r="FV90" s="97" t="str">
        <f t="shared" si="135"/>
        <v>B</v>
      </c>
      <c r="FW90" s="97" t="str">
        <f t="shared" si="135"/>
        <v>B</v>
      </c>
      <c r="FX90" s="97" t="str">
        <f t="shared" si="135"/>
        <v>B</v>
      </c>
      <c r="FY90" s="97" t="str">
        <f t="shared" si="135"/>
        <v>B</v>
      </c>
      <c r="FZ90" s="97" t="str">
        <f t="shared" si="135"/>
        <v>B</v>
      </c>
      <c r="GA90" s="97" t="str">
        <f t="shared" si="135"/>
        <v>A</v>
      </c>
      <c r="GB90" s="97" t="str">
        <f t="shared" si="135"/>
        <v>A</v>
      </c>
      <c r="GC90" s="97" t="str">
        <f t="shared" si="135"/>
        <v>A</v>
      </c>
      <c r="GD90" s="97" t="str">
        <f t="shared" si="135"/>
        <v>A</v>
      </c>
      <c r="GE90" s="97" t="str">
        <f t="shared" si="135"/>
        <v>A</v>
      </c>
      <c r="GF90" s="97" t="str">
        <f t="shared" si="135"/>
        <v>A</v>
      </c>
      <c r="GG90" s="97" t="str">
        <f t="shared" si="135"/>
        <v>A</v>
      </c>
      <c r="GH90" s="97" t="str">
        <f t="shared" si="135"/>
        <v>B</v>
      </c>
      <c r="GI90" s="97" t="str">
        <f t="shared" si="135"/>
        <v>A</v>
      </c>
      <c r="GJ90" s="97" t="str">
        <f t="shared" si="135"/>
        <v>B</v>
      </c>
      <c r="GK90" s="97" t="str">
        <f t="shared" si="135"/>
        <v>A</v>
      </c>
      <c r="GL90" s="97" t="str">
        <f t="shared" si="135"/>
        <v>B</v>
      </c>
      <c r="GM90" s="97" t="str">
        <f t="shared" si="135"/>
        <v>A</v>
      </c>
      <c r="GN90" s="97" t="str">
        <f t="shared" si="135"/>
        <v>B</v>
      </c>
      <c r="GO90" s="97" t="str">
        <f t="shared" si="135"/>
        <v>B</v>
      </c>
      <c r="GP90" s="97" t="str">
        <f t="shared" si="135"/>
        <v>A</v>
      </c>
      <c r="GQ90" s="97" t="str">
        <f t="shared" si="135"/>
        <v>A</v>
      </c>
      <c r="GR90" s="97" t="str">
        <f t="shared" si="135"/>
        <v>A</v>
      </c>
      <c r="GS90" s="97" t="str">
        <f t="shared" si="135"/>
        <v>A</v>
      </c>
      <c r="GT90" s="97" t="str">
        <f t="shared" si="135"/>
        <v>A</v>
      </c>
      <c r="GU90" s="97" t="str">
        <f t="shared" si="135"/>
        <v>A</v>
      </c>
      <c r="GV90" s="97" t="str">
        <f t="shared" si="135"/>
        <v>A</v>
      </c>
      <c r="GW90" s="97" t="str">
        <f t="shared" si="135"/>
        <v>A</v>
      </c>
      <c r="GX90" s="97" t="str">
        <f t="shared" si="135"/>
        <v>A</v>
      </c>
      <c r="GY90" s="98"/>
      <c r="GZ90" s="97">
        <f t="shared" si="3"/>
        <v>56</v>
      </c>
      <c r="HA90" s="97">
        <f t="shared" si="4"/>
        <v>44</v>
      </c>
      <c r="HB90" s="90">
        <f t="shared" si="5"/>
        <v>100</v>
      </c>
      <c r="HC90" s="99"/>
      <c r="HD90" s="97">
        <f t="shared" si="6"/>
        <v>8</v>
      </c>
      <c r="HE90" s="97">
        <f t="shared" si="7"/>
        <v>6</v>
      </c>
      <c r="HF90" s="90">
        <f t="shared" si="8"/>
        <v>14</v>
      </c>
      <c r="HG90" s="99"/>
      <c r="HH90" s="97">
        <f t="shared" si="9"/>
        <v>7</v>
      </c>
      <c r="HI90" s="97">
        <f t="shared" si="10"/>
        <v>5</v>
      </c>
      <c r="HJ90" s="90">
        <f t="shared" si="11"/>
        <v>12</v>
      </c>
      <c r="HK90" s="99"/>
      <c r="HL90" s="97">
        <f t="shared" si="12"/>
        <v>7</v>
      </c>
      <c r="HM90" s="97">
        <f t="shared" si="13"/>
        <v>5</v>
      </c>
      <c r="HN90" s="90">
        <f t="shared" si="14"/>
        <v>12</v>
      </c>
      <c r="HO90" s="99"/>
      <c r="HP90" s="97">
        <f t="shared" si="15"/>
        <v>7</v>
      </c>
      <c r="HQ90" s="97">
        <f t="shared" si="16"/>
        <v>4</v>
      </c>
      <c r="HR90" s="90">
        <f t="shared" si="17"/>
        <v>11</v>
      </c>
      <c r="HS90" s="99"/>
      <c r="HT90" s="97">
        <f t="shared" si="18"/>
        <v>8</v>
      </c>
      <c r="HU90" s="97">
        <f t="shared" si="19"/>
        <v>3</v>
      </c>
      <c r="HV90" s="90">
        <f t="shared" si="20"/>
        <v>11</v>
      </c>
      <c r="HW90" s="99"/>
      <c r="HX90" s="97">
        <f t="shared" si="21"/>
        <v>3</v>
      </c>
      <c r="HY90" s="97">
        <f t="shared" si="22"/>
        <v>4</v>
      </c>
      <c r="HZ90" s="90">
        <f t="shared" si="23"/>
        <v>7</v>
      </c>
      <c r="IA90" s="99"/>
      <c r="IB90" s="97">
        <f t="shared" si="24"/>
        <v>4</v>
      </c>
      <c r="IC90" s="97">
        <f t="shared" si="25"/>
        <v>5</v>
      </c>
      <c r="ID90" s="90">
        <f t="shared" si="26"/>
        <v>9</v>
      </c>
      <c r="IE90" s="99"/>
      <c r="IF90" s="97">
        <f t="shared" si="27"/>
        <v>3</v>
      </c>
      <c r="IG90" s="97">
        <f t="shared" si="28"/>
        <v>6</v>
      </c>
      <c r="IH90" s="90">
        <f t="shared" si="29"/>
        <v>9</v>
      </c>
      <c r="II90" s="99"/>
      <c r="IJ90" s="97">
        <f t="shared" si="30"/>
        <v>3</v>
      </c>
      <c r="IK90" s="97">
        <f t="shared" si="31"/>
        <v>4</v>
      </c>
      <c r="IL90" s="90">
        <f t="shared" si="32"/>
        <v>7</v>
      </c>
      <c r="IM90" s="99"/>
      <c r="IN90" s="97">
        <f t="shared" si="33"/>
        <v>1</v>
      </c>
      <c r="IO90" s="97">
        <f t="shared" si="34"/>
        <v>1</v>
      </c>
      <c r="IP90" s="90">
        <f t="shared" si="35"/>
        <v>2</v>
      </c>
      <c r="IQ90" s="99"/>
      <c r="IR90" s="99"/>
      <c r="IS90" s="100">
        <f t="shared" si="36"/>
        <v>14</v>
      </c>
      <c r="IT90" s="100">
        <f t="shared" si="37"/>
        <v>12</v>
      </c>
      <c r="IU90" s="100">
        <f t="shared" si="38"/>
        <v>12</v>
      </c>
      <c r="IV90" s="100">
        <f t="shared" si="39"/>
        <v>11</v>
      </c>
      <c r="IW90" s="100">
        <f t="shared" si="40"/>
        <v>11</v>
      </c>
      <c r="IX90" s="100">
        <f t="shared" si="41"/>
        <v>7</v>
      </c>
      <c r="IY90" s="100">
        <f t="shared" si="42"/>
        <v>9</v>
      </c>
      <c r="IZ90" s="100">
        <f t="shared" si="43"/>
        <v>9</v>
      </c>
      <c r="JA90" s="100">
        <f t="shared" si="44"/>
        <v>7</v>
      </c>
      <c r="JB90" s="101">
        <f t="shared" si="45"/>
        <v>2</v>
      </c>
      <c r="JC90" s="102">
        <f t="shared" si="46"/>
        <v>94</v>
      </c>
      <c r="JD90" s="67">
        <f t="shared" si="50"/>
        <v>0</v>
      </c>
      <c r="JE90" s="67">
        <f t="shared" si="47"/>
        <v>0</v>
      </c>
      <c r="JF90" s="67">
        <f t="shared" si="48"/>
        <v>0</v>
      </c>
    </row>
    <row r="91">
      <c r="A91" s="103">
        <f>IFERROR(__xludf.DUMMYFUNCTION("""COMPUTED_VALUE"""),45941.66015351852)</f>
        <v>45941.66015</v>
      </c>
      <c r="B91" s="95" t="str">
        <f>IFERROR(__xludf.DUMMYFUNCTION("""COMPUTED_VALUE"""),"anastasya putri ")</f>
        <v>anastasya putri </v>
      </c>
      <c r="C91" s="96" t="str">
        <f>IFERROR(__xludf.DUMMYFUNCTION("""COMPUTED_VALUE"""),"D250012")</f>
        <v>D250012</v>
      </c>
      <c r="D91" s="96" t="str">
        <f>IFERROR(__xludf.DUMMYFUNCTION("""COMPUTED_VALUE"""),"MTs Putri")</f>
        <v>MTs Putri</v>
      </c>
      <c r="E91" s="96" t="str">
        <f>IFERROR(__xludf.DUMMYFUNCTION("""COMPUTED_VALUE"""),"Ya")</f>
        <v>Ya</v>
      </c>
      <c r="F91" s="95" t="str">
        <f>IFERROR(__xludf.DUMMYFUNCTION("""COMPUTED_VALUE"""),"B Saya ingin melakukan apa saja sebaik mungkin.")</f>
        <v>B Saya ingin melakukan apa saja sebaik mungkin.</v>
      </c>
      <c r="G91" s="95" t="str">
        <f>IFERROR(__xludf.DUMMYFUNCTION("""COMPUTED_VALUE"""),"A Saya ingin setiap tulisan saya teliti, rapi, dan tersusun dengan baik.")</f>
        <v>A Saya ingin setiap tulisan saya teliti, rapi, dan tersusun dengan baik.</v>
      </c>
      <c r="H91" s="95" t="str">
        <f>IFERROR(__xludf.DUMMYFUNCTION("""COMPUTED_VALUE"""),"B Saya ingin menjadi orang yang diakui dalam suatu pekerjaan atau bidang khusus.")</f>
        <v>B Saya ingin menjadi orang yang diakui dalam suatu pekerjaan atau bidang khusus.</v>
      </c>
      <c r="I91" s="95" t="str">
        <f>IFERROR(__xludf.DUMMYFUNCTION("""COMPUTED_VALUE"""),"B Saya ingin bisa melakukan dengan baik meskipun tugas yang sulit.")</f>
        <v>B Saya ingin bisa melakukan dengan baik meskipun tugas yang sulit.</v>
      </c>
      <c r="J91" s="95" t="str">
        <f>IFERROR(__xludf.DUMMYFUNCTION("""COMPUTED_VALUE"""),"A Saya suka membantu teman-teman saya apabila mereka mengalami kesulitan.")</f>
        <v>A Saya suka membantu teman-teman saya apabila mereka mengalami kesulitan.</v>
      </c>
      <c r="K91" s="95" t="str">
        <f>IFERROR(__xludf.DUMMYFUNCTION("""COMPUTED_VALUE"""),"B Saya ingin mengatakan telah melakukan dengan baik sesuatu tugas yang sulit.")</f>
        <v>B Saya ingin mengatakan telah melakukan dengan baik sesuatu tugas yang sulit.</v>
      </c>
      <c r="L91" s="95" t="str">
        <f>IFERROR(__xludf.DUMMYFUNCTION("""COMPUTED_VALUE"""),"B Saya ingin mengatakan telah melakukan dengan baik sesuatu tugas yang sulit")</f>
        <v>B Saya ingin mengatakan telah melakukan dengan baik sesuatu tugas yang sulit</v>
      </c>
      <c r="M91" s="95" t="str">
        <f>IFERROR(__xludf.DUMMYFUNCTION("""COMPUTED_VALUE"""),"A Saya suka berbicara tentang hal-hal yang telah berhasil saya lakukan.")</f>
        <v>A Saya suka berbicara tentang hal-hal yang telah berhasil saya lakukan.</v>
      </c>
      <c r="N91" s="95" t="str">
        <f>IFERROR(__xludf.DUMMYFUNCTION("""COMPUTED_VALUE"""),"A Saya suka pergi dengan pakaian rapi agar lebih menarik perhatian orang lain.")</f>
        <v>A Saya suka pergi dengan pakaian rapi agar lebih menarik perhatian orang lain.</v>
      </c>
      <c r="O91" s="95" t="str">
        <f>IFERROR(__xludf.DUMMYFUNCTION("""COMPUTED_VALUE"""),"A Saya marah saat ada teman memperolok-olok hal-hal yang saya anggap bodoh.")</f>
        <v>A Saya marah saat ada teman memperolok-olok hal-hal yang saya anggap bodoh.</v>
      </c>
      <c r="P91" s="95" t="str">
        <f>IFERROR(__xludf.DUMMYFUNCTION("""COMPUTED_VALUE"""),"A Saya suka bercerita tentang hal-hal yang menegangkan atau menantang.")</f>
        <v>A Saya suka bercerita tentang hal-hal yang menegangkan atau menantang.</v>
      </c>
      <c r="Q91" s="95" t="str">
        <f>IFERROR(__xludf.DUMMYFUNCTION("""COMPUTED_VALUE"""),"A Saya mulai suka dengan lawan jenis.")</f>
        <v>A Saya mulai suka dengan lawan jenis.</v>
      </c>
      <c r="R91" s="95" t="str">
        <f>IFERROR(__xludf.DUMMYFUNCTION("""COMPUTED_VALUE"""),"B Saya suka barang-barang saya tersusun rapi dan teratur.")</f>
        <v>B Saya suka barang-barang saya tersusun rapi dan teratur.</v>
      </c>
      <c r="S91" s="95" t="str">
        <f>IFERROR(__xludf.DUMMYFUNCTION("""COMPUTED_VALUE"""),"B Saya suka membuat perencanaan sebelum memulai tugas yang sulit.")</f>
        <v>B Saya suka membuat perencanaan sebelum memulai tugas yang sulit.</v>
      </c>
      <c r="T91" s="95" t="str">
        <f>IFERROR(__xludf.DUMMYFUNCTION("""COMPUTED_VALUE"""),"B Saya ingin agar hidup saya teratur sesuai cita-cita saya.")</f>
        <v>B Saya ingin agar hidup saya teratur sesuai cita-cita saya.</v>
      </c>
      <c r="U91" s="95" t="str">
        <f>IFERROR(__xludf.DUMMYFUNCTION("""COMPUTED_VALUE"""),"A Saya suka memberikan bantuan kepada teman-teman saya.")</f>
        <v>A Saya suka memberikan bantuan kepada teman-teman saya.</v>
      </c>
      <c r="V91" s="95" t="str">
        <f>IFERROR(__xludf.DUMMYFUNCTION("""COMPUTED_VALUE"""),"B Saya suka belajar saya teratur dan ada waktu-waktu tertentu untuk belajar.")</f>
        <v>B Saya suka belajar saya teratur dan ada waktu-waktu tertentu untuk belajar.</v>
      </c>
      <c r="W91" s="95" t="str">
        <f>IFERROR(__xludf.DUMMYFUNCTION("""COMPUTED_VALUE"""),"A Saya suka melakukan kegiatan sesuai kondisi yang saya inginkan.")</f>
        <v>A Saya suka melakukan kegiatan sesuai kondisi yang saya inginkan.</v>
      </c>
      <c r="X91" s="95" t="str">
        <f>IFERROR(__xludf.DUMMYFUNCTION("""COMPUTED_VALUE"""),"B Saya ingin agar hidup saya teratur sesuai cita-cita saya.")</f>
        <v>B Saya ingin agar hidup saya teratur sesuai cita-cita saya.</v>
      </c>
      <c r="Y91" s="95" t="str">
        <f>IFERROR(__xludf.DUMMYFUNCTION("""COMPUTED_VALUE"""),"A Saya suka menyelesaikan tugas-tugas yang membutuhkan ketrampilan dan usaha.")</f>
        <v>A Saya suka menyelesaikan tugas-tugas yang membutuhkan ketrampilan dan usaha.</v>
      </c>
      <c r="Z91" s="95" t="str">
        <f>IFERROR(__xludf.DUMMYFUNCTION("""COMPUTED_VALUE"""),"B Saya ingin merasa bebas untuk melakukan apa yang saya inginkan.")</f>
        <v>B Saya ingin merasa bebas untuk melakukan apa yang saya inginkan.</v>
      </c>
      <c r="AA91" s="95" t="str">
        <f>IFERROR(__xludf.DUMMYFUNCTION("""COMPUTED_VALUE"""),"B Saya tidak suka pada orang yang berbuat seenaknya sendiri.")</f>
        <v>B Saya tidak suka pada orang yang berbuat seenaknya sendiri.</v>
      </c>
      <c r="AB91" s="95" t="str">
        <f>IFERROR(__xludf.DUMMYFUNCTION("""COMPUTED_VALUE"""),"B Saya ingin menyelesaikan pekerjaan satu persatu sebelum memulai yang lain.")</f>
        <v>B Saya ingin menyelesaikan pekerjaan satu persatu sebelum memulai yang lain.</v>
      </c>
      <c r="AC91" s="95" t="str">
        <f>IFERROR(__xludf.DUMMYFUNCTION("""COMPUTED_VALUE"""),"B Saya suka melakukan kegiatan sesuai kondisi yang saya inginkan.")</f>
        <v>B Saya suka melakukan kegiatan sesuai kondisi yang saya inginkan.</v>
      </c>
      <c r="AD91" s="95" t="str">
        <f>IFERROR(__xludf.DUMMYFUNCTION("""COMPUTED_VALUE"""),"A Saya suka bermurah hati terhadap teman-teman saya.")</f>
        <v>A Saya suka bermurah hati terhadap teman-teman saya.</v>
      </c>
      <c r="AE91" s="95" t="str">
        <f>IFERROR(__xludf.DUMMYFUNCTION("""COMPUTED_VALUE"""),"B Saya suka melakukan hal-hal yang dianggap orang lain tidak sesuai.")</f>
        <v>B Saya suka melakukan hal-hal yang dianggap orang lain tidak sesuai.</v>
      </c>
      <c r="AF91" s="95" t="str">
        <f>IFERROR(__xludf.DUMMYFUNCTION("""COMPUTED_VALUE"""),"B Saya suka melakukan hal-hal dengan cara saya sendiri.")</f>
        <v>B Saya suka melakukan hal-hal dengan cara saya sendiri.</v>
      </c>
      <c r="AG91" s="95" t="str">
        <f>IFERROR(__xludf.DUMMYFUNCTION("""COMPUTED_VALUE"""),"B Saya ingin berhasil dengan tugas yang saya lakukan.")</f>
        <v>B Saya ingin berhasil dengan tugas yang saya lakukan.</v>
      </c>
      <c r="AH91" s="95" t="str">
        <f>IFERROR(__xludf.DUMMYFUNCTION("""COMPUTED_VALUE"""),"B Saya ingin merasa bebas untuk melakukan apa yang saya kehendaki.")</f>
        <v>B Saya ingin merasa bebas untuk melakukan apa yang saya kehendaki.</v>
      </c>
      <c r="AI91" s="95" t="str">
        <f>IFERROR(__xludf.DUMMYFUNCTION("""COMPUTED_VALUE"""),"B Saya suka melakukan kegiatan sesuai kondisi yang saya inginkan.")</f>
        <v>B Saya suka melakukan kegiatan sesuai kondisi yang saya inginkan.</v>
      </c>
      <c r="AJ91" s="95" t="str">
        <f>IFERROR(__xludf.DUMMYFUNCTION("""COMPUTED_VALUE"""),"B Saya suka bertahan menghadapi satu masalah meskipun belum tentu berhasil.")</f>
        <v>B Saya suka bertahan menghadapi satu masalah meskipun belum tentu berhasil.</v>
      </c>
      <c r="AK91" s="95" t="str">
        <f>IFERROR(__xludf.DUMMYFUNCTION("""COMPUTED_VALUE"""),"B Bila saya harus melakukan suatu tugas, saya ingin mengerjakan sampai selesai.")</f>
        <v>B Bila saya harus melakukan suatu tugas, saya ingin mengerjakan sampai selesai.</v>
      </c>
      <c r="AL91" s="95" t="str">
        <f>IFERROR(__xludf.DUMMYFUNCTION("""COMPUTED_VALUE"""),"A Saya suka berbicara tentang hal-hal yang telah saya capai.")</f>
        <v>A Saya suka berbicara tentang hal-hal yang telah saya capai.</v>
      </c>
      <c r="AM91" s="95" t="str">
        <f>IFERROR(__xludf.DUMMYFUNCTION("""COMPUTED_VALUE"""),"A Saya ingin teman-teman saya merasa kasihan pada saya apabila saya sakit.")</f>
        <v>A Saya ingin teman-teman saya merasa kasihan pada saya apabila saya sakit.</v>
      </c>
      <c r="AN91" s="95" t="str">
        <f>IFERROR(__xludf.DUMMYFUNCTION("""COMPUTED_VALUE"""),"B Saya ingin bekerja berjam-jam tanpa diganggu.")</f>
        <v>B Saya ingin bekerja berjam-jam tanpa diganggu.</v>
      </c>
      <c r="AO91" s="95" t="str">
        <f>IFERROR(__xludf.DUMMYFUNCTION("""COMPUTED_VALUE"""),"A Saya suka berlaku sangat ramah terhadap teman-teman saya.")</f>
        <v>A Saya suka berlaku sangat ramah terhadap teman-teman saya.</v>
      </c>
      <c r="AP91" s="95" t="str">
        <f>IFERROR(__xludf.DUMMYFUNCTION("""COMPUTED_VALUE"""),"B Saya suka bertahan menghadapi satu masalah meskipun belum tentu berhasil.")</f>
        <v>B Saya suka bertahan menghadapi satu masalah meskipun belum tentu berhasil.</v>
      </c>
      <c r="AQ91" s="95" t="str">
        <f>IFERROR(__xludf.DUMMYFUNCTION("""COMPUTED_VALUE"""),"A Saya ingin bisa mengerjakan segala sesuatu lebih baik daripada orang-orang lain.")</f>
        <v>A Saya ingin bisa mengerjakan segala sesuatu lebih baik daripada orang-orang lain.</v>
      </c>
      <c r="AR91" s="95" t="str">
        <f>IFERROR(__xludf.DUMMYFUNCTION("""COMPUTED_VALUE"""),"A Saya suka menyimpan catatan secara rapi.")</f>
        <v>A Saya suka menyimpan catatan secara rapi.</v>
      </c>
      <c r="AS91" s="95" t="str">
        <f>IFERROR(__xludf.DUMMYFUNCTION("""COMPUTED_VALUE"""),"A Saya ingin dapat menyelesaikan persoalan yang dianggap sukar bagi orang lain.")</f>
        <v>A Saya ingin dapat menyelesaikan persoalan yang dianggap sukar bagi orang lain.</v>
      </c>
      <c r="AT91" s="95" t="str">
        <f>IFERROR(__xludf.DUMMYFUNCTION("""COMPUTED_VALUE"""),"B Saya suka membantu orang lain yang menurut saya perlu dikasihani.")</f>
        <v>B Saya suka membantu orang lain yang menurut saya perlu dikasihani.</v>
      </c>
      <c r="AU91" s="95" t="str">
        <f>IFERROR(__xludf.DUMMYFUNCTION("""COMPUTED_VALUE"""),"A Saya ingin menyelesaikan pekerjaan satu persatu sebelum memulai yang lain.")</f>
        <v>A Saya ingin menyelesaikan pekerjaan satu persatu sebelum memulai yang lain.</v>
      </c>
      <c r="AV91" s="95" t="str">
        <f>IFERROR(__xludf.DUMMYFUNCTION("""COMPUTED_VALUE"""),"B Saya suka menolong teman-teman saya.")</f>
        <v>B Saya suka menolong teman-teman saya.</v>
      </c>
      <c r="AW91" s="95" t="str">
        <f>IFERROR(__xludf.DUMMYFUNCTION("""COMPUTED_VALUE"""),"B Saya ingin teman-teman saya percaya bahwa saya bisa menolong mereka.")</f>
        <v>B Saya ingin teman-teman saya percaya bahwa saya bisa menolong mereka.</v>
      </c>
      <c r="AX91" s="95" t="str">
        <f>IFERROR(__xludf.DUMMYFUNCTION("""COMPUTED_VALUE"""),"B Saya suka memaafkan teman-teman saya yang menyakiti hati saya.")</f>
        <v>B Saya suka memaafkan teman-teman saya yang menyakiti hati saya.</v>
      </c>
      <c r="AY91" s="95" t="str">
        <f>IFERROR(__xludf.DUMMYFUNCTION("""COMPUTED_VALUE"""),"B Saya suka menolong teman-teman saya apabila mereka dalam kesulitan.")</f>
        <v>B Saya suka menolong teman-teman saya apabila mereka dalam kesulitan.</v>
      </c>
      <c r="AZ91" s="95" t="str">
        <f>IFERROR(__xludf.DUMMYFUNCTION("""COMPUTED_VALUE"""),"B Saya suka menunjukkan simpati saya kepada teman-teman saya.")</f>
        <v>B Saya suka menunjukkan simpati saya kepada teman-teman saya.</v>
      </c>
      <c r="BA91" s="95" t="str">
        <f>IFERROR(__xludf.DUMMYFUNCTION("""COMPUTED_VALUE"""),"B Saya suka memperlakukan orang lain dengan baik dan ramah.")</f>
        <v>B Saya suka memperlakukan orang lain dengan baik dan ramah.</v>
      </c>
      <c r="BB91" s="95" t="str">
        <f>IFERROR(__xludf.DUMMYFUNCTION("""COMPUTED_VALUE"""),"A Saya berkeinginan untuk bersama orang yang menarik bagi saya.")</f>
        <v>A Saya berkeinginan untuk bersama orang yang menarik bagi saya.</v>
      </c>
      <c r="BC91" s="95" t="str">
        <f>IFERROR(__xludf.DUMMYFUNCTION("""COMPUTED_VALUE"""),"A Saya rasanya ingin mengecam seseorang bila orang itu menjengkelkan.")</f>
        <v>A Saya rasanya ingin mengecam seseorang bila orang itu menjengkelkan.</v>
      </c>
      <c r="BD91" s="95" t="str">
        <f>IFERROR(__xludf.DUMMYFUNCTION("""COMPUTED_VALUE"""),"A Saya rasanya ingin menyalahkan orang lain bila keadaan tidak baik bagi saya.")</f>
        <v>A Saya rasanya ingin menyalahkan orang lain bila keadaan tidak baik bagi saya.</v>
      </c>
      <c r="BE91" s="95" t="str">
        <f>IFERROR(__xludf.DUMMYFUNCTION("""COMPUTED_VALUE"""),"B Saya ingin orang lain melakukan apa yang saya kehendaki.")</f>
        <v>B Saya ingin orang lain melakukan apa yang saya kehendaki.</v>
      </c>
      <c r="BF91" s="95" t="str">
        <f>IFERROR(__xludf.DUMMYFUNCTION("""COMPUTED_VALUE"""),"A Saya ingin orang lain memperhatikan dan berkomentar tentang penampilan saya.")</f>
        <v>A Saya ingin orang lain memperhatikan dan berkomentar tentang penampilan saya.</v>
      </c>
      <c r="BG91" s="95" t="str">
        <f>IFERROR(__xludf.DUMMYFUNCTION("""COMPUTED_VALUE"""),"B Saya suka mengarahkan kepada orang lain apa yang harus dilakukan.")</f>
        <v>B Saya suka mengarahkan kepada orang lain apa yang harus dilakukan.</v>
      </c>
      <c r="BH91" s="95" t="str">
        <f>IFERROR(__xludf.DUMMYFUNCTION("""COMPUTED_VALUE"""),"B Apabila saya berkumpul dalam kelompok, saya ingin dihargai teman-teman.")</f>
        <v>B Apabila saya berkumpul dalam kelompok, saya ingin dihargai teman-teman.</v>
      </c>
      <c r="BI91" s="95" t="str">
        <f>IFERROR(__xludf.DUMMYFUNCTION("""COMPUTED_VALUE"""),"A Saya suka bermurah hati terhadap teman-teman saya.")</f>
        <v>A Saya suka bermurah hati terhadap teman-teman saya.</v>
      </c>
      <c r="BJ91" s="95" t="str">
        <f>IFERROR(__xludf.DUMMYFUNCTION("""COMPUTED_VALUE"""),"A Saya ingin mengerjakan tugas sampai selesai.")</f>
        <v>A Saya ingin mengerjakan tugas sampai selesai.</v>
      </c>
      <c r="BK91" s="95" t="str">
        <f>IFERROR(__xludf.DUMMYFUNCTION("""COMPUTED_VALUE"""),"A Saya ingin menyelesaikan pekerjaan satu persatu sebelum memulai yang lain.")</f>
        <v>A Saya ingin menyelesaikan pekerjaan satu persatu sebelum memulai yang lain.</v>
      </c>
      <c r="BL91" s="95" t="str">
        <f>IFERROR(__xludf.DUMMYFUNCTION("""COMPUTED_VALUE"""),"B Saya suka bersikukuh dengan pendirian saya.")</f>
        <v>B Saya suka bersikukuh dengan pendirian saya.</v>
      </c>
      <c r="BM91" s="95" t="str">
        <f>IFERROR(__xludf.DUMMYFUNCTION("""COMPUTED_VALUE"""),"B Saya ingin orang lain melakukan apa yang saya kehendaki.")</f>
        <v>B Saya ingin orang lain melakukan apa yang saya kehendaki.</v>
      </c>
      <c r="BN91" s="95" t="str">
        <f>IFERROR(__xludf.DUMMYFUNCTION("""COMPUTED_VALUE"""),"A Saya suka mengerjakan teka-teki atau memecahkan persoalan sampai selesai.")</f>
        <v>A Saya suka mengerjakan teka-teki atau memecahkan persoalan sampai selesai.</v>
      </c>
      <c r="BO91" s="95" t="str">
        <f>IFERROR(__xludf.DUMMYFUNCTION("""COMPUTED_VALUE"""),"A Saya suka membuat perencanaan sebelum memulai belajar yang sulit.")</f>
        <v>A Saya suka membuat perencanaan sebelum memulai belajar yang sulit.</v>
      </c>
      <c r="BP91" s="95" t="str">
        <f>IFERROR(__xludf.DUMMYFUNCTION("""COMPUTED_VALUE"""),"A Saya ingin menyelesaikan sesuatu yang sangat penting artinya.")</f>
        <v>A Saya ingin menyelesaikan sesuatu yang sangat penting artinya.</v>
      </c>
      <c r="BQ91" s="95" t="str">
        <f>IFERROR(__xludf.DUMMYFUNCTION("""COMPUTED_VALUE"""),"A Saya ingin mengerjakannya tugas sampai selesai.")</f>
        <v>A Saya ingin mengerjakannya tugas sampai selesai.</v>
      </c>
      <c r="BR91" s="95" t="str">
        <f>IFERROR(__xludf.DUMMYFUNCTION("""COMPUTED_VALUE"""),"A Saya suka memaafkan teman-teman saya yang menyakiti hati saya.")</f>
        <v>A Saya suka memaafkan teman-teman saya yang menyakiti hati saya.</v>
      </c>
      <c r="BS91" s="95" t="str">
        <f>IFERROR(__xludf.DUMMYFUNCTION("""COMPUTED_VALUE"""),"B Saya ingin teman-teman saya membantu saya bila saya mengalami kesulitan")</f>
        <v>B Saya ingin teman-teman saya membantu saya bila saya mengalami kesulitan</v>
      </c>
      <c r="BT91" s="95" t="str">
        <f>IFERROR(__xludf.DUMMYFUNCTION("""COMPUTED_VALUE"""),"B Saya ingin teman-teman banyak menunjukkan rasa sayang mereka terhadap saya.")</f>
        <v>B Saya ingin teman-teman banyak menunjukkan rasa sayang mereka terhadap saya.</v>
      </c>
      <c r="BU91" s="95" t="str">
        <f>IFERROR(__xludf.DUMMYFUNCTION("""COMPUTED_VALUE"""),"A Saya kadang-kadang suka melakukan hal-hal yang dapat dipuji oleh orang lain.")</f>
        <v>A Saya kadang-kadang suka melakukan hal-hal yang dapat dipuji oleh orang lain.</v>
      </c>
      <c r="BV91" s="95" t="str">
        <f>IFERROR(__xludf.DUMMYFUNCTION("""COMPUTED_VALUE"""),"A Saya ingin dianggap menarik oleh orang lain.")</f>
        <v>A Saya ingin dianggap menarik oleh orang lain.</v>
      </c>
      <c r="BW91" s="95" t="str">
        <f>IFERROR(__xludf.DUMMYFUNCTION("""COMPUTED_VALUE"""),"B Saya ingin diperlakukan dengan baik oleh teman-teman saya.")</f>
        <v>B Saya ingin diperlakukan dengan baik oleh teman-teman saya.</v>
      </c>
      <c r="BX91" s="95" t="str">
        <f>IFERROR(__xludf.DUMMYFUNCTION("""COMPUTED_VALUE"""),"B Saya kadang-kadang suka melakukan hal-hal yang dapat dipuji oleh orang lain.")</f>
        <v>B Saya kadang-kadang suka melakukan hal-hal yang dapat dipuji oleh orang lain.</v>
      </c>
      <c r="BY91" s="95" t="str">
        <f>IFERROR(__xludf.DUMMYFUNCTION("""COMPUTED_VALUE"""),"A Saya suka melamun atau membayangkan hal-hal yang tidak jelas.")</f>
        <v>A Saya suka melamun atau membayangkan hal-hal yang tidak jelas.</v>
      </c>
      <c r="BZ91" s="95" t="str">
        <f>IFERROR(__xludf.DUMMYFUNCTION("""COMPUTED_VALUE"""),"A Saya suka berkata yang artinya sulit dipahami oleh orang lain.")</f>
        <v>A Saya suka berkata yang artinya sulit dipahami oleh orang lain.</v>
      </c>
      <c r="CA91" s="95" t="str">
        <f>IFERROR(__xludf.DUMMYFUNCTION("""COMPUTED_VALUE"""),"B Saya suka mengajukan pertanyaan agar orang lain memperhatikan saya.")</f>
        <v>B Saya suka mengajukan pertanyaan agar orang lain memperhatikan saya.</v>
      </c>
      <c r="CB91" s="95" t="str">
        <f>IFERROR(__xludf.DUMMYFUNCTION("""COMPUTED_VALUE"""),"B Saya suka berbicara tentang hal-hal yang telah saya capai.")</f>
        <v>B Saya suka berbicara tentang hal-hal yang telah saya capai.</v>
      </c>
      <c r="CC91" s="95" t="str">
        <f>IFERROR(__xludf.DUMMYFUNCTION("""COMPUTED_VALUE"""),"B Saya suka menceritakan hal-hal lucu agar diperhatikan oleh orang lain.")</f>
        <v>B Saya suka menceritakan hal-hal lucu agar diperhatikan oleh orang lain.</v>
      </c>
      <c r="CD91" s="95" t="str">
        <f>IFERROR(__xludf.DUMMYFUNCTION("""COMPUTED_VALUE"""),"B Saya suka berkata yang artinya sulit dipahami oleh orang lain.")</f>
        <v>B Saya suka berkata yang artinya sulit dipahami oleh orang lain.</v>
      </c>
      <c r="CE91" s="95" t="str">
        <f>IFERROR(__xludf.DUMMYFUNCTION("""COMPUTED_VALUE"""),"A Saya suka menyelesaikan setiap tugas belajar yang telah saya mulai.")</f>
        <v>A Saya suka menyelesaikan setiap tugas belajar yang telah saya mulai.</v>
      </c>
      <c r="CF91" s="95" t="str">
        <f>IFERROR(__xludf.DUMMYFUNCTION("""COMPUTED_VALUE"""),"A Saya ingin agar hidup saya teratur sesuai cita-cita saya.")</f>
        <v>A Saya ingin agar hidup saya teratur sesuai cita-cita saya.</v>
      </c>
      <c r="CG91" s="95" t="str">
        <f>IFERROR(__xludf.DUMMYFUNCTION("""COMPUTED_VALUE"""),"A Saya ingin berhasil dalam apa yang saya lakukan.")</f>
        <v>A Saya ingin berhasil dalam apa yang saya lakukan.</v>
      </c>
      <c r="CH91" s="95" t="str">
        <f>IFERROR(__xludf.DUMMYFUNCTION("""COMPUTED_VALUE"""),"B Saya suka dengan orang yang berpenampilan menarik.")</f>
        <v>B Saya suka dengan orang yang berpenampilan menarik.</v>
      </c>
      <c r="CI91" s="95" t="str">
        <f>IFERROR(__xludf.DUMMYFUNCTION("""COMPUTED_VALUE"""),"B Saya ingin dianggap menarik oleh orang lain.")</f>
        <v>B Saya ingin dianggap menarik oleh orang lain.</v>
      </c>
      <c r="CJ91" s="95" t="str">
        <f>IFERROR(__xludf.DUMMYFUNCTION("""COMPUTED_VALUE"""),"A Saya ingin tidak tergantung dari orang lain terhadap apa yang akan saya lakukan.")</f>
        <v>A Saya ingin tidak tergantung dari orang lain terhadap apa yang akan saya lakukan.</v>
      </c>
      <c r="CK91" s="95" t="str">
        <f>IFERROR(__xludf.DUMMYFUNCTION("""COMPUTED_VALUE"""),"B Saya senang ikut beraktivitas bersama teman sebaya saya.")</f>
        <v>B Saya senang ikut beraktivitas bersama teman sebaya saya.</v>
      </c>
      <c r="CL91" s="95" t="str">
        <f>IFERROR(__xludf.DUMMYFUNCTION("""COMPUTED_VALUE"""),"B Saya berkeinginan untuk bersama teman yang menurut saya menarik.")</f>
        <v>B Saya berkeinginan untuk bersama teman yang menurut saya menarik.</v>
      </c>
      <c r="CM91" s="95" t="str">
        <f>IFERROR(__xludf.DUMMYFUNCTION("""COMPUTED_VALUE"""),"B Saya merasa kagum pada seseorang.")</f>
        <v>B Saya merasa kagum pada seseorang.</v>
      </c>
      <c r="CN91" s="95" t="str">
        <f>IFERROR(__xludf.DUMMYFUNCTION("""COMPUTED_VALUE"""),"A Saya ingin diperlakukan dengan baik oleh teman-teman saya.")</f>
        <v>A Saya ingin diperlakukan dengan baik oleh teman-teman saya.</v>
      </c>
      <c r="CO91" s="95" t="str">
        <f>IFERROR(__xludf.DUMMYFUNCTION("""COMPUTED_VALUE"""),"B Saya suka memuji orang yang saya kagumi.")</f>
        <v>B Saya suka memuji orang yang saya kagumi.</v>
      </c>
      <c r="CP91" s="95" t="str">
        <f>IFERROR(__xludf.DUMMYFUNCTION("""COMPUTED_VALUE"""),"B Saya ingin dianggap menarik oleh orang lain.")</f>
        <v>B Saya ingin dianggap menarik oleh orang lain.</v>
      </c>
      <c r="CQ91" s="95" t="str">
        <f>IFERROR(__xludf.DUMMYFUNCTION("""COMPUTED_VALUE"""),"B Saya merasa kagum pada seseorang.")</f>
        <v>B Saya merasa kagum pada seseorang.</v>
      </c>
      <c r="CR91" s="95" t="str">
        <f>IFERROR(__xludf.DUMMYFUNCTION("""COMPUTED_VALUE"""),"B Saya rasanya ingin mengecam seseorang bila orang itu menjengkelkan.")</f>
        <v>B Saya rasanya ingin mengecam seseorang bila orang itu menjengkelkan.</v>
      </c>
      <c r="CS91" s="95" t="str">
        <f>IFERROR(__xludf.DUMMYFUNCTION("""COMPUTED_VALUE"""),"B Saya rasanya ingin membalas dendam bila seseorang menghina saya.")</f>
        <v>B Saya rasanya ingin membalas dendam bila seseorang menghina saya.</v>
      </c>
      <c r="CT91" s="95" t="str">
        <f>IFERROR(__xludf.DUMMYFUNCTION("""COMPUTED_VALUE"""),"A Saya ingin orang-orang memperhatikan komentar mengenai penampilan saya.")</f>
        <v>A Saya ingin orang-orang memperhatikan komentar mengenai penampilan saya.</v>
      </c>
      <c r="CU91" s="95" t="str">
        <f>IFERROR(__xludf.DUMMYFUNCTION("""COMPUTED_VALUE"""),"A Saya ingin diperlakukan dengan ramah oleh teman-teman saya.")</f>
        <v>A Saya ingin diperlakukan dengan ramah oleh teman-teman saya.</v>
      </c>
      <c r="CV91" s="95" t="str">
        <f>IFERROR(__xludf.DUMMYFUNCTION("""COMPUTED_VALUE"""),"B Saya menyerang pendirian-pendirian yang bertentangan dengan pendirian saya.")</f>
        <v>B Saya menyerang pendirian-pendirian yang bertentangan dengan pendirian saya.</v>
      </c>
      <c r="CW91" s="95" t="str">
        <f>IFERROR(__xludf.DUMMYFUNCTION("""COMPUTED_VALUE"""),"A Saya suka menolong teman-teman saya, apabila mereka dalam kesulitan.")</f>
        <v>A Saya suka menolong teman-teman saya, apabila mereka dalam kesulitan.</v>
      </c>
      <c r="CX91" s="95" t="str">
        <f>IFERROR(__xludf.DUMMYFUNCTION("""COMPUTED_VALUE"""),"B Saya ingin memperolok-olok orang yang saya anggap melakukan tindakan bodoh.")</f>
        <v>B Saya ingin memperolok-olok orang yang saya anggap melakukan tindakan bodoh.</v>
      </c>
      <c r="CY91" s="95" t="str">
        <f>IFERROR(__xludf.DUMMYFUNCTION("""COMPUTED_VALUE"""),"B Saya rasanya ingin membalas dendam bila seseorang menghina saya.")</f>
        <v>B Saya rasanya ingin membalas dendam bila seseorang menghina saya.</v>
      </c>
      <c r="CZ91" s="95" t="str">
        <f>IFERROR(__xludf.DUMMYFUNCTION("""COMPUTED_VALUE"""),"A Saya suka merencanakan dan mengatur setiap pekerjaan yang harus saya lakukan.")</f>
        <v>A Saya suka merencanakan dan mengatur setiap pekerjaan yang harus saya lakukan.</v>
      </c>
      <c r="DA91" s="95" t="str">
        <f>IFERROR(__xludf.DUMMYFUNCTION("""COMPUTED_VALUE"""),"A Saya ingin melakukan apa saja sebaik mungkin.")</f>
        <v>A Saya ingin melakukan apa saja sebaik mungkin.</v>
      </c>
      <c r="DB91" s="89" t="s">
        <v>23</v>
      </c>
      <c r="DC91" s="97" t="str">
        <f t="shared" ref="DC91:GX91" si="136">LEFT(F91,1)</f>
        <v>B</v>
      </c>
      <c r="DD91" s="97" t="str">
        <f t="shared" si="136"/>
        <v>A</v>
      </c>
      <c r="DE91" s="97" t="str">
        <f t="shared" si="136"/>
        <v>B</v>
      </c>
      <c r="DF91" s="97" t="str">
        <f t="shared" si="136"/>
        <v>B</v>
      </c>
      <c r="DG91" s="97" t="str">
        <f t="shared" si="136"/>
        <v>A</v>
      </c>
      <c r="DH91" s="97" t="str">
        <f t="shared" si="136"/>
        <v>B</v>
      </c>
      <c r="DI91" s="97" t="str">
        <f t="shared" si="136"/>
        <v>B</v>
      </c>
      <c r="DJ91" s="97" t="str">
        <f t="shared" si="136"/>
        <v>A</v>
      </c>
      <c r="DK91" s="97" t="str">
        <f t="shared" si="136"/>
        <v>A</v>
      </c>
      <c r="DL91" s="97" t="str">
        <f t="shared" si="136"/>
        <v>A</v>
      </c>
      <c r="DM91" s="97" t="str">
        <f t="shared" si="136"/>
        <v>A</v>
      </c>
      <c r="DN91" s="97" t="str">
        <f t="shared" si="136"/>
        <v>A</v>
      </c>
      <c r="DO91" s="97" t="str">
        <f t="shared" si="136"/>
        <v>B</v>
      </c>
      <c r="DP91" s="97" t="str">
        <f t="shared" si="136"/>
        <v>B</v>
      </c>
      <c r="DQ91" s="97" t="str">
        <f t="shared" si="136"/>
        <v>B</v>
      </c>
      <c r="DR91" s="97" t="str">
        <f t="shared" si="136"/>
        <v>A</v>
      </c>
      <c r="DS91" s="97" t="str">
        <f t="shared" si="136"/>
        <v>B</v>
      </c>
      <c r="DT91" s="97" t="str">
        <f t="shared" si="136"/>
        <v>A</v>
      </c>
      <c r="DU91" s="97" t="str">
        <f t="shared" si="136"/>
        <v>B</v>
      </c>
      <c r="DV91" s="97" t="str">
        <f t="shared" si="136"/>
        <v>A</v>
      </c>
      <c r="DW91" s="97" t="str">
        <f t="shared" si="136"/>
        <v>B</v>
      </c>
      <c r="DX91" s="97" t="str">
        <f t="shared" si="136"/>
        <v>B</v>
      </c>
      <c r="DY91" s="97" t="str">
        <f t="shared" si="136"/>
        <v>B</v>
      </c>
      <c r="DZ91" s="97" t="str">
        <f t="shared" si="136"/>
        <v>B</v>
      </c>
      <c r="EA91" s="97" t="str">
        <f t="shared" si="136"/>
        <v>A</v>
      </c>
      <c r="EB91" s="97" t="str">
        <f t="shared" si="136"/>
        <v>B</v>
      </c>
      <c r="EC91" s="97" t="str">
        <f t="shared" si="136"/>
        <v>B</v>
      </c>
      <c r="ED91" s="97" t="str">
        <f t="shared" si="136"/>
        <v>B</v>
      </c>
      <c r="EE91" s="97" t="str">
        <f t="shared" si="136"/>
        <v>B</v>
      </c>
      <c r="EF91" s="97" t="str">
        <f t="shared" si="136"/>
        <v>B</v>
      </c>
      <c r="EG91" s="97" t="str">
        <f t="shared" si="136"/>
        <v>B</v>
      </c>
      <c r="EH91" s="97" t="str">
        <f t="shared" si="136"/>
        <v>B</v>
      </c>
      <c r="EI91" s="97" t="str">
        <f t="shared" si="136"/>
        <v>A</v>
      </c>
      <c r="EJ91" s="97" t="str">
        <f t="shared" si="136"/>
        <v>A</v>
      </c>
      <c r="EK91" s="97" t="str">
        <f t="shared" si="136"/>
        <v>B</v>
      </c>
      <c r="EL91" s="97" t="str">
        <f t="shared" si="136"/>
        <v>A</v>
      </c>
      <c r="EM91" s="97" t="str">
        <f t="shared" si="136"/>
        <v>B</v>
      </c>
      <c r="EN91" s="97" t="str">
        <f t="shared" si="136"/>
        <v>A</v>
      </c>
      <c r="EO91" s="97" t="str">
        <f t="shared" si="136"/>
        <v>A</v>
      </c>
      <c r="EP91" s="97" t="str">
        <f t="shared" si="136"/>
        <v>A</v>
      </c>
      <c r="EQ91" s="97" t="str">
        <f t="shared" si="136"/>
        <v>B</v>
      </c>
      <c r="ER91" s="97" t="str">
        <f t="shared" si="136"/>
        <v>A</v>
      </c>
      <c r="ES91" s="97" t="str">
        <f t="shared" si="136"/>
        <v>B</v>
      </c>
      <c r="ET91" s="97" t="str">
        <f t="shared" si="136"/>
        <v>B</v>
      </c>
      <c r="EU91" s="97" t="str">
        <f t="shared" si="136"/>
        <v>B</v>
      </c>
      <c r="EV91" s="97" t="str">
        <f t="shared" si="136"/>
        <v>B</v>
      </c>
      <c r="EW91" s="97" t="str">
        <f t="shared" si="136"/>
        <v>B</v>
      </c>
      <c r="EX91" s="97" t="str">
        <f t="shared" si="136"/>
        <v>B</v>
      </c>
      <c r="EY91" s="97" t="str">
        <f t="shared" si="136"/>
        <v>A</v>
      </c>
      <c r="EZ91" s="97" t="str">
        <f t="shared" si="136"/>
        <v>A</v>
      </c>
      <c r="FA91" s="97" t="str">
        <f t="shared" si="136"/>
        <v>A</v>
      </c>
      <c r="FB91" s="97" t="str">
        <f t="shared" si="136"/>
        <v>B</v>
      </c>
      <c r="FC91" s="97" t="str">
        <f t="shared" si="136"/>
        <v>A</v>
      </c>
      <c r="FD91" s="97" t="str">
        <f t="shared" si="136"/>
        <v>B</v>
      </c>
      <c r="FE91" s="97" t="str">
        <f t="shared" si="136"/>
        <v>B</v>
      </c>
      <c r="FF91" s="97" t="str">
        <f t="shared" si="136"/>
        <v>A</v>
      </c>
      <c r="FG91" s="97" t="str">
        <f t="shared" si="136"/>
        <v>A</v>
      </c>
      <c r="FH91" s="97" t="str">
        <f t="shared" si="136"/>
        <v>A</v>
      </c>
      <c r="FI91" s="97" t="str">
        <f t="shared" si="136"/>
        <v>B</v>
      </c>
      <c r="FJ91" s="97" t="str">
        <f t="shared" si="136"/>
        <v>B</v>
      </c>
      <c r="FK91" s="97" t="str">
        <f t="shared" si="136"/>
        <v>A</v>
      </c>
      <c r="FL91" s="97" t="str">
        <f t="shared" si="136"/>
        <v>A</v>
      </c>
      <c r="FM91" s="97" t="str">
        <f t="shared" si="136"/>
        <v>A</v>
      </c>
      <c r="FN91" s="97" t="str">
        <f t="shared" si="136"/>
        <v>A</v>
      </c>
      <c r="FO91" s="97" t="str">
        <f t="shared" si="136"/>
        <v>A</v>
      </c>
      <c r="FP91" s="97" t="str">
        <f t="shared" si="136"/>
        <v>B</v>
      </c>
      <c r="FQ91" s="97" t="str">
        <f t="shared" si="136"/>
        <v>B</v>
      </c>
      <c r="FR91" s="97" t="str">
        <f t="shared" si="136"/>
        <v>A</v>
      </c>
      <c r="FS91" s="97" t="str">
        <f t="shared" si="136"/>
        <v>A</v>
      </c>
      <c r="FT91" s="97" t="str">
        <f t="shared" si="136"/>
        <v>B</v>
      </c>
      <c r="FU91" s="97" t="str">
        <f t="shared" si="136"/>
        <v>B</v>
      </c>
      <c r="FV91" s="97" t="str">
        <f t="shared" si="136"/>
        <v>A</v>
      </c>
      <c r="FW91" s="97" t="str">
        <f t="shared" si="136"/>
        <v>A</v>
      </c>
      <c r="FX91" s="97" t="str">
        <f t="shared" si="136"/>
        <v>B</v>
      </c>
      <c r="FY91" s="97" t="str">
        <f t="shared" si="136"/>
        <v>B</v>
      </c>
      <c r="FZ91" s="97" t="str">
        <f t="shared" si="136"/>
        <v>B</v>
      </c>
      <c r="GA91" s="97" t="str">
        <f t="shared" si="136"/>
        <v>B</v>
      </c>
      <c r="GB91" s="97" t="str">
        <f t="shared" si="136"/>
        <v>A</v>
      </c>
      <c r="GC91" s="97" t="str">
        <f t="shared" si="136"/>
        <v>A</v>
      </c>
      <c r="GD91" s="97" t="str">
        <f t="shared" si="136"/>
        <v>A</v>
      </c>
      <c r="GE91" s="97" t="str">
        <f t="shared" si="136"/>
        <v>B</v>
      </c>
      <c r="GF91" s="97" t="str">
        <f t="shared" si="136"/>
        <v>B</v>
      </c>
      <c r="GG91" s="97" t="str">
        <f t="shared" si="136"/>
        <v>A</v>
      </c>
      <c r="GH91" s="97" t="str">
        <f t="shared" si="136"/>
        <v>B</v>
      </c>
      <c r="GI91" s="97" t="str">
        <f t="shared" si="136"/>
        <v>B</v>
      </c>
      <c r="GJ91" s="97" t="str">
        <f t="shared" si="136"/>
        <v>B</v>
      </c>
      <c r="GK91" s="97" t="str">
        <f t="shared" si="136"/>
        <v>A</v>
      </c>
      <c r="GL91" s="97" t="str">
        <f t="shared" si="136"/>
        <v>B</v>
      </c>
      <c r="GM91" s="97" t="str">
        <f t="shared" si="136"/>
        <v>B</v>
      </c>
      <c r="GN91" s="97" t="str">
        <f t="shared" si="136"/>
        <v>B</v>
      </c>
      <c r="GO91" s="97" t="str">
        <f t="shared" si="136"/>
        <v>B</v>
      </c>
      <c r="GP91" s="97" t="str">
        <f t="shared" si="136"/>
        <v>B</v>
      </c>
      <c r="GQ91" s="97" t="str">
        <f t="shared" si="136"/>
        <v>A</v>
      </c>
      <c r="GR91" s="97" t="str">
        <f t="shared" si="136"/>
        <v>A</v>
      </c>
      <c r="GS91" s="97" t="str">
        <f t="shared" si="136"/>
        <v>B</v>
      </c>
      <c r="GT91" s="97" t="str">
        <f t="shared" si="136"/>
        <v>A</v>
      </c>
      <c r="GU91" s="97" t="str">
        <f t="shared" si="136"/>
        <v>B</v>
      </c>
      <c r="GV91" s="97" t="str">
        <f t="shared" si="136"/>
        <v>B</v>
      </c>
      <c r="GW91" s="97" t="str">
        <f t="shared" si="136"/>
        <v>A</v>
      </c>
      <c r="GX91" s="97" t="str">
        <f t="shared" si="136"/>
        <v>A</v>
      </c>
      <c r="GY91" s="98"/>
      <c r="GZ91" s="97">
        <f t="shared" si="3"/>
        <v>44</v>
      </c>
      <c r="HA91" s="97">
        <f t="shared" si="4"/>
        <v>56</v>
      </c>
      <c r="HB91" s="90">
        <f t="shared" si="5"/>
        <v>100</v>
      </c>
      <c r="HC91" s="99"/>
      <c r="HD91" s="97">
        <f t="shared" si="6"/>
        <v>5</v>
      </c>
      <c r="HE91" s="97">
        <f t="shared" si="7"/>
        <v>4</v>
      </c>
      <c r="HF91" s="90">
        <f t="shared" si="8"/>
        <v>9</v>
      </c>
      <c r="HG91" s="99"/>
      <c r="HH91" s="97">
        <f t="shared" si="9"/>
        <v>6</v>
      </c>
      <c r="HI91" s="97">
        <f t="shared" si="10"/>
        <v>5</v>
      </c>
      <c r="HJ91" s="90">
        <f t="shared" si="11"/>
        <v>11</v>
      </c>
      <c r="HK91" s="99"/>
      <c r="HL91" s="97">
        <f t="shared" si="12"/>
        <v>6</v>
      </c>
      <c r="HM91" s="97">
        <f t="shared" si="13"/>
        <v>9</v>
      </c>
      <c r="HN91" s="90">
        <f t="shared" si="14"/>
        <v>15</v>
      </c>
      <c r="HO91" s="99"/>
      <c r="HP91" s="97">
        <f t="shared" si="15"/>
        <v>2</v>
      </c>
      <c r="HQ91" s="97">
        <f t="shared" si="16"/>
        <v>4</v>
      </c>
      <c r="HR91" s="90">
        <f t="shared" si="17"/>
        <v>6</v>
      </c>
      <c r="HS91" s="99"/>
      <c r="HT91" s="97">
        <f t="shared" si="18"/>
        <v>7</v>
      </c>
      <c r="HU91" s="97">
        <f t="shared" si="19"/>
        <v>7</v>
      </c>
      <c r="HV91" s="90">
        <f t="shared" si="20"/>
        <v>14</v>
      </c>
      <c r="HW91" s="99"/>
      <c r="HX91" s="97">
        <f t="shared" si="21"/>
        <v>0</v>
      </c>
      <c r="HY91" s="97">
        <f t="shared" si="22"/>
        <v>5</v>
      </c>
      <c r="HZ91" s="90">
        <f t="shared" si="23"/>
        <v>5</v>
      </c>
      <c r="IA91" s="99"/>
      <c r="IB91" s="97">
        <f t="shared" si="24"/>
        <v>3</v>
      </c>
      <c r="IC91" s="97">
        <f t="shared" si="25"/>
        <v>3</v>
      </c>
      <c r="ID91" s="90">
        <f t="shared" si="26"/>
        <v>6</v>
      </c>
      <c r="IE91" s="99"/>
      <c r="IF91" s="97">
        <f t="shared" si="27"/>
        <v>5</v>
      </c>
      <c r="IG91" s="97">
        <f t="shared" si="28"/>
        <v>5</v>
      </c>
      <c r="IH91" s="90">
        <f t="shared" si="29"/>
        <v>10</v>
      </c>
      <c r="II91" s="99"/>
      <c r="IJ91" s="97">
        <f t="shared" si="30"/>
        <v>5</v>
      </c>
      <c r="IK91" s="97">
        <f t="shared" si="31"/>
        <v>8</v>
      </c>
      <c r="IL91" s="90">
        <f t="shared" si="32"/>
        <v>13</v>
      </c>
      <c r="IM91" s="99"/>
      <c r="IN91" s="97">
        <f t="shared" si="33"/>
        <v>4</v>
      </c>
      <c r="IO91" s="97">
        <f t="shared" si="34"/>
        <v>5</v>
      </c>
      <c r="IP91" s="90">
        <f t="shared" si="35"/>
        <v>9</v>
      </c>
      <c r="IQ91" s="99"/>
      <c r="IR91" s="99"/>
      <c r="IS91" s="100">
        <f t="shared" si="36"/>
        <v>9</v>
      </c>
      <c r="IT91" s="100">
        <f t="shared" si="37"/>
        <v>11</v>
      </c>
      <c r="IU91" s="100">
        <f t="shared" si="38"/>
        <v>15</v>
      </c>
      <c r="IV91" s="100">
        <f t="shared" si="39"/>
        <v>6</v>
      </c>
      <c r="IW91" s="100">
        <f t="shared" si="40"/>
        <v>14</v>
      </c>
      <c r="IX91" s="100">
        <f t="shared" si="41"/>
        <v>5</v>
      </c>
      <c r="IY91" s="100">
        <f t="shared" si="42"/>
        <v>6</v>
      </c>
      <c r="IZ91" s="100">
        <f t="shared" si="43"/>
        <v>10</v>
      </c>
      <c r="JA91" s="100">
        <f t="shared" si="44"/>
        <v>13</v>
      </c>
      <c r="JB91" s="101">
        <f t="shared" si="45"/>
        <v>9</v>
      </c>
      <c r="JC91" s="102">
        <f t="shared" si="46"/>
        <v>98</v>
      </c>
      <c r="JD91" s="67">
        <f t="shared" si="50"/>
        <v>0</v>
      </c>
      <c r="JE91" s="67">
        <f t="shared" si="47"/>
        <v>2</v>
      </c>
      <c r="JF91" s="67">
        <f t="shared" si="48"/>
        <v>2</v>
      </c>
    </row>
    <row r="92">
      <c r="A92" s="103">
        <f>IFERROR(__xludf.DUMMYFUNCTION("""COMPUTED_VALUE"""),45941.741799270836)</f>
        <v>45941.7418</v>
      </c>
      <c r="B92" s="95" t="str">
        <f>IFERROR(__xludf.DUMMYFUNCTION("""COMPUTED_VALUE"""),"NISRINA QURROTA AINI ")</f>
        <v>NISRINA QURROTA AINI </v>
      </c>
      <c r="C92" s="96" t="str">
        <f>IFERROR(__xludf.DUMMYFUNCTION("""COMPUTED_VALUE"""),"E250003")</f>
        <v>E250003</v>
      </c>
      <c r="D92" s="96" t="str">
        <f>IFERROR(__xludf.DUMMYFUNCTION("""COMPUTED_VALUE"""),"IL Putri")</f>
        <v>IL Putri</v>
      </c>
      <c r="E92" s="96" t="str">
        <f>IFERROR(__xludf.DUMMYFUNCTION("""COMPUTED_VALUE"""),"Ya")</f>
        <v>Ya</v>
      </c>
      <c r="F92" s="95" t="str">
        <f>IFERROR(__xludf.DUMMYFUNCTION("""COMPUTED_VALUE"""),"B Saya ingin melakukan apa saja sebaik mungkin.")</f>
        <v>B Saya ingin melakukan apa saja sebaik mungkin.</v>
      </c>
      <c r="G92" s="95" t="str">
        <f>IFERROR(__xludf.DUMMYFUNCTION("""COMPUTED_VALUE"""),"A Saya ingin setiap tulisan saya teliti, rapi, dan tersusun dengan baik.")</f>
        <v>A Saya ingin setiap tulisan saya teliti, rapi, dan tersusun dengan baik.</v>
      </c>
      <c r="H92" s="95" t="str">
        <f>IFERROR(__xludf.DUMMYFUNCTION("""COMPUTED_VALUE"""),"B Saya ingin menjadi orang yang diakui dalam suatu pekerjaan atau bidang khusus.")</f>
        <v>B Saya ingin menjadi orang yang diakui dalam suatu pekerjaan atau bidang khusus.</v>
      </c>
      <c r="I92" s="95" t="str">
        <f>IFERROR(__xludf.DUMMYFUNCTION("""COMPUTED_VALUE"""),"B Saya ingin bisa melakukan dengan baik meskipun tugas yang sulit.")</f>
        <v>B Saya ingin bisa melakukan dengan baik meskipun tugas yang sulit.</v>
      </c>
      <c r="J92" s="95" t="str">
        <f>IFERROR(__xludf.DUMMYFUNCTION("""COMPUTED_VALUE"""),"A Saya suka membantu teman-teman saya apabila mereka mengalami kesulitan.")</f>
        <v>A Saya suka membantu teman-teman saya apabila mereka mengalami kesulitan.</v>
      </c>
      <c r="K92" s="95" t="str">
        <f>IFERROR(__xludf.DUMMYFUNCTION("""COMPUTED_VALUE"""),"B Saya ingin mengatakan telah melakukan dengan baik sesuatu tugas yang sulit.")</f>
        <v>B Saya ingin mengatakan telah melakukan dengan baik sesuatu tugas yang sulit.</v>
      </c>
      <c r="L92" s="95" t="str">
        <f>IFERROR(__xludf.DUMMYFUNCTION("""COMPUTED_VALUE"""),"B Saya ingin mengatakan telah melakukan dengan baik sesuatu tugas yang sulit")</f>
        <v>B Saya ingin mengatakan telah melakukan dengan baik sesuatu tugas yang sulit</v>
      </c>
      <c r="M92" s="95" t="str">
        <f>IFERROR(__xludf.DUMMYFUNCTION("""COMPUTED_VALUE"""),"A Saya suka berbicara tentang hal-hal yang telah berhasil saya lakukan.")</f>
        <v>A Saya suka berbicara tentang hal-hal yang telah berhasil saya lakukan.</v>
      </c>
      <c r="N92" s="95" t="str">
        <f>IFERROR(__xludf.DUMMYFUNCTION("""COMPUTED_VALUE"""),"B Saya suka memecahkan persoalan yang sukar bagi orang lain.")</f>
        <v>B Saya suka memecahkan persoalan yang sukar bagi orang lain.</v>
      </c>
      <c r="O92" s="95" t="str">
        <f>IFERROR(__xludf.DUMMYFUNCTION("""COMPUTED_VALUE"""),"B Saya suka melakukan tugas sebaik mungkin.")</f>
        <v>B Saya suka melakukan tugas sebaik mungkin.</v>
      </c>
      <c r="P92" s="95" t="str">
        <f>IFERROR(__xludf.DUMMYFUNCTION("""COMPUTED_VALUE"""),"B Saya ingin setiap belajar itu teratur dan direncanakan.")</f>
        <v>B Saya ingin setiap belajar itu teratur dan direncanakan.</v>
      </c>
      <c r="Q92" s="95" t="str">
        <f>IFERROR(__xludf.DUMMYFUNCTION("""COMPUTED_VALUE"""),"B Saya merencanakan keperluan yang dibutuhkan sebelum bepergian.")</f>
        <v>B Saya merencanakan keperluan yang dibutuhkan sebelum bepergian.</v>
      </c>
      <c r="R92" s="95" t="str">
        <f>IFERROR(__xludf.DUMMYFUNCTION("""COMPUTED_VALUE"""),"B Saya suka barang-barang saya tersusun rapi dan teratur.")</f>
        <v>B Saya suka barang-barang saya tersusun rapi dan teratur.</v>
      </c>
      <c r="S92" s="95" t="str">
        <f>IFERROR(__xludf.DUMMYFUNCTION("""COMPUTED_VALUE"""),"A Saya ingin agar teman-teman pengertian bila saya mengalami kesukaran.")</f>
        <v>A Saya ingin agar teman-teman pengertian bila saya mengalami kesukaran.</v>
      </c>
      <c r="T92" s="95" t="str">
        <f>IFERROR(__xludf.DUMMYFUNCTION("""COMPUTED_VALUE"""),"B Saya ingin agar hidup saya teratur sesuai cita-cita saya.")</f>
        <v>B Saya ingin agar hidup saya teratur sesuai cita-cita saya.</v>
      </c>
      <c r="U92" s="95" t="str">
        <f>IFERROR(__xludf.DUMMYFUNCTION("""COMPUTED_VALUE"""),"B Saya suka menyimpan catatan secara rapi.")</f>
        <v>B Saya suka menyimpan catatan secara rapi.</v>
      </c>
      <c r="V92" s="95" t="str">
        <f>IFERROR(__xludf.DUMMYFUNCTION("""COMPUTED_VALUE"""),"B Saya suka belajar saya teratur dan ada waktu-waktu tertentu untuk belajar.")</f>
        <v>B Saya suka belajar saya teratur dan ada waktu-waktu tertentu untuk belajar.</v>
      </c>
      <c r="W92" s="95" t="str">
        <f>IFERROR(__xludf.DUMMYFUNCTION("""COMPUTED_VALUE"""),"B Saya ingin kegiatan itu teratur dan direncanakan.")</f>
        <v>B Saya ingin kegiatan itu teratur dan direncanakan.</v>
      </c>
      <c r="X92" s="95" t="str">
        <f>IFERROR(__xludf.DUMMYFUNCTION("""COMPUTED_VALUE"""),"B Saya ingin agar hidup saya teratur sesuai cita-cita saya.")</f>
        <v>B Saya ingin agar hidup saya teratur sesuai cita-cita saya.</v>
      </c>
      <c r="Y92" s="95" t="str">
        <f>IFERROR(__xludf.DUMMYFUNCTION("""COMPUTED_VALUE"""),"A Saya suka menyelesaikan tugas-tugas yang membutuhkan ketrampilan dan usaha.")</f>
        <v>A Saya suka menyelesaikan tugas-tugas yang membutuhkan ketrampilan dan usaha.</v>
      </c>
      <c r="Z92" s="95" t="str">
        <f>IFERROR(__xludf.DUMMYFUNCTION("""COMPUTED_VALUE"""),"A Saya ingin berhasil dengan belajar yang saya lakukan.")</f>
        <v>A Saya ingin berhasil dengan belajar yang saya lakukan.</v>
      </c>
      <c r="AA92" s="95" t="str">
        <f>IFERROR(__xludf.DUMMYFUNCTION("""COMPUTED_VALUE"""),"A Saya suka menyelesaikan tugas yang telah saya rencanakan.")</f>
        <v>A Saya suka menyelesaikan tugas yang telah saya rencanakan.</v>
      </c>
      <c r="AB92" s="95" t="str">
        <f>IFERROR(__xludf.DUMMYFUNCTION("""COMPUTED_VALUE"""),"B Saya ingin menyelesaikan pekerjaan satu persatu sebelum memulai yang lain.")</f>
        <v>B Saya ingin menyelesaikan pekerjaan satu persatu sebelum memulai yang lain.</v>
      </c>
      <c r="AC92" s="95" t="str">
        <f>IFERROR(__xludf.DUMMYFUNCTION("""COMPUTED_VALUE"""),"A Saya suka menyelesaikan setiap tugas meskipun membutuhkan waktu lama.")</f>
        <v>A Saya suka menyelesaikan setiap tugas meskipun membutuhkan waktu lama.</v>
      </c>
      <c r="AD92" s="95" t="str">
        <f>IFERROR(__xludf.DUMMYFUNCTION("""COMPUTED_VALUE"""),"A Saya suka bermurah hati terhadap teman-teman saya.")</f>
        <v>A Saya suka bermurah hati terhadap teman-teman saya.</v>
      </c>
      <c r="AE92" s="95" t="str">
        <f>IFERROR(__xludf.DUMMYFUNCTION("""COMPUTED_VALUE"""),"A Saya ingin dianggap sebagai pemimpin oleh teman di kelompok.")</f>
        <v>A Saya ingin dianggap sebagai pemimpin oleh teman di kelompok.</v>
      </c>
      <c r="AF92" s="95" t="str">
        <f>IFERROR(__xludf.DUMMYFUNCTION("""COMPUTED_VALUE"""),"A Saya ingin agar teman-teman mengerti bila saya mengalami kesukaran.")</f>
        <v>A Saya ingin agar teman-teman mengerti bila saya mengalami kesukaran.</v>
      </c>
      <c r="AG92" s="95" t="str">
        <f>IFERROR(__xludf.DUMMYFUNCTION("""COMPUTED_VALUE"""),"B Saya ingin berhasil dengan tugas yang saya lakukan.")</f>
        <v>B Saya ingin berhasil dengan tugas yang saya lakukan.</v>
      </c>
      <c r="AH92" s="95" t="str">
        <f>IFERROR(__xludf.DUMMYFUNCTION("""COMPUTED_VALUE"""),"A Saya suka membaca buku-buku tentang pergaulan remaja.")</f>
        <v>A Saya suka membaca buku-buku tentang pergaulan remaja.</v>
      </c>
      <c r="AI92" s="95" t="str">
        <f>IFERROR(__xludf.DUMMYFUNCTION("""COMPUTED_VALUE"""),"A Saya ingin menghardik orang lain bila saya berbeda pendapat dengan mereka.")</f>
        <v>A Saya ingin menghardik orang lain bila saya berbeda pendapat dengan mereka.</v>
      </c>
      <c r="AJ92" s="95" t="str">
        <f>IFERROR(__xludf.DUMMYFUNCTION("""COMPUTED_VALUE"""),"B Saya suka bertahan menghadapi satu masalah meskipun belum tentu berhasil.")</f>
        <v>B Saya suka bertahan menghadapi satu masalah meskipun belum tentu berhasil.</v>
      </c>
      <c r="AK92" s="95" t="str">
        <f>IFERROR(__xludf.DUMMYFUNCTION("""COMPUTED_VALUE"""),"B Bila saya harus melakukan suatu tugas, saya ingin mengerjakan sampai selesai.")</f>
        <v>B Bila saya harus melakukan suatu tugas, saya ingin mengerjakan sampai selesai.</v>
      </c>
      <c r="AL92" s="95" t="str">
        <f>IFERROR(__xludf.DUMMYFUNCTION("""COMPUTED_VALUE"""),"B Saya ingin menghindarkan gangguan bila saya sedang belajar.")</f>
        <v>B Saya ingin menghindarkan gangguan bila saya sedang belajar.</v>
      </c>
      <c r="AM92" s="95" t="str">
        <f>IFERROR(__xludf.DUMMYFUNCTION("""COMPUTED_VALUE"""),"A Saya ingin teman-teman saya merasa kasihan pada saya apabila saya sakit.")</f>
        <v>A Saya ingin teman-teman saya merasa kasihan pada saya apabila saya sakit.</v>
      </c>
      <c r="AN92" s="95" t="str">
        <f>IFERROR(__xludf.DUMMYFUNCTION("""COMPUTED_VALUE"""),"B Saya ingin bekerja berjam-jam tanpa diganggu.")</f>
        <v>B Saya ingin bekerja berjam-jam tanpa diganggu.</v>
      </c>
      <c r="AO92" s="95" t="str">
        <f>IFERROR(__xludf.DUMMYFUNCTION("""COMPUTED_VALUE"""),"A Saya suka berlaku sangat ramah terhadap teman-teman saya.")</f>
        <v>A Saya suka berlaku sangat ramah terhadap teman-teman saya.</v>
      </c>
      <c r="AP92" s="95" t="str">
        <f>IFERROR(__xludf.DUMMYFUNCTION("""COMPUTED_VALUE"""),"A Saya ingin mengerjakannya tugas sampai selesai.")</f>
        <v>A Saya ingin mengerjakannya tugas sampai selesai.</v>
      </c>
      <c r="AQ92" s="95" t="str">
        <f>IFERROR(__xludf.DUMMYFUNCTION("""COMPUTED_VALUE"""),"B Bila saya harus melakukan suatu tugas, saya ingin mengerjakan sampai selesai.")</f>
        <v>B Bila saya harus melakukan suatu tugas, saya ingin mengerjakan sampai selesai.</v>
      </c>
      <c r="AR92" s="95" t="str">
        <f>IFERROR(__xludf.DUMMYFUNCTION("""COMPUTED_VALUE"""),"B Saya suka belajar keras pada tiap pelajaran yang saya hadapi.")</f>
        <v>B Saya suka belajar keras pada tiap pelajaran yang saya hadapi.</v>
      </c>
      <c r="AS92" s="95" t="str">
        <f>IFERROR(__xludf.DUMMYFUNCTION("""COMPUTED_VALUE"""),"A Saya ingin dapat menyelesaikan persoalan yang dianggap sukar bagi orang lain.")</f>
        <v>A Saya ingin dapat menyelesaikan persoalan yang dianggap sukar bagi orang lain.</v>
      </c>
      <c r="AT92" s="95" t="str">
        <f>IFERROR(__xludf.DUMMYFUNCTION("""COMPUTED_VALUE"""),"A Saya ingin bisa melakukan dengan baik sesuatu pekerjaan sulit.")</f>
        <v>A Saya ingin bisa melakukan dengan baik sesuatu pekerjaan sulit.</v>
      </c>
      <c r="AU92" s="95" t="str">
        <f>IFERROR(__xludf.DUMMYFUNCTION("""COMPUTED_VALUE"""),"B Saya suka bermurah hati terhadap teman-teman saya.")</f>
        <v>B Saya suka bermurah hati terhadap teman-teman saya.</v>
      </c>
      <c r="AV92" s="95" t="str">
        <f>IFERROR(__xludf.DUMMYFUNCTION("""COMPUTED_VALUE"""),"B Saya suka menolong teman-teman saya.")</f>
        <v>B Saya suka menolong teman-teman saya.</v>
      </c>
      <c r="AW92" s="95" t="str">
        <f>IFERROR(__xludf.DUMMYFUNCTION("""COMPUTED_VALUE"""),"B Saya ingin teman-teman saya percaya bahwa saya bisa menolong mereka.")</f>
        <v>B Saya ingin teman-teman saya percaya bahwa saya bisa menolong mereka.</v>
      </c>
      <c r="AX92" s="95" t="str">
        <f>IFERROR(__xludf.DUMMYFUNCTION("""COMPUTED_VALUE"""),"B Saya suka memaafkan teman-teman saya yang menyakiti hati saya.")</f>
        <v>B Saya suka memaafkan teman-teman saya yang menyakiti hati saya.</v>
      </c>
      <c r="AY92" s="95" t="str">
        <f>IFERROR(__xludf.DUMMYFUNCTION("""COMPUTED_VALUE"""),"B Saya suka menolong teman-teman saya apabila mereka dalam kesulitan.")</f>
        <v>B Saya suka menolong teman-teman saya apabila mereka dalam kesulitan.</v>
      </c>
      <c r="AZ92" s="95" t="str">
        <f>IFERROR(__xludf.DUMMYFUNCTION("""COMPUTED_VALUE"""),"B Saya suka menunjukkan simpati saya kepada teman-teman saya.")</f>
        <v>B Saya suka menunjukkan simpati saya kepada teman-teman saya.</v>
      </c>
      <c r="BA92" s="95" t="str">
        <f>IFERROR(__xludf.DUMMYFUNCTION("""COMPUTED_VALUE"""),"B Saya suka memperlakukan orang lain dengan baik dan ramah.")</f>
        <v>B Saya suka memperlakukan orang lain dengan baik dan ramah.</v>
      </c>
      <c r="BB92" s="95" t="str">
        <f>IFERROR(__xludf.DUMMYFUNCTION("""COMPUTED_VALUE"""),"B Saya suka bermurah hati terhadap teman-teman saya.")</f>
        <v>B Saya suka bermurah hati terhadap teman-teman saya.</v>
      </c>
      <c r="BC92" s="95" t="str">
        <f>IFERROR(__xludf.DUMMYFUNCTION("""COMPUTED_VALUE"""),"B Saya suka membantu orang lain yang menurut saya perlu dikasihani.")</f>
        <v>B Saya suka membantu orang lain yang menurut saya perlu dikasihani.</v>
      </c>
      <c r="BD92" s="95" t="str">
        <f>IFERROR(__xludf.DUMMYFUNCTION("""COMPUTED_VALUE"""),"B Saya suka bersikukuh dengan pendirian saya.")</f>
        <v>B Saya suka bersikukuh dengan pendirian saya.</v>
      </c>
      <c r="BE92" s="95" t="str">
        <f>IFERROR(__xludf.DUMMYFUNCTION("""COMPUTED_VALUE"""),"A Saya suka mendengarkan atau menceritakan hal-hal yang sebaiknya tidak diceritakan.")</f>
        <v>A Saya suka mendengarkan atau menceritakan hal-hal yang sebaiknya tidak diceritakan.</v>
      </c>
      <c r="BF92" s="95" t="str">
        <f>IFERROR(__xludf.DUMMYFUNCTION("""COMPUTED_VALUE"""),"B Bila saya dalam kelompok, saya ingin menentukan apa yang akan kita lakukan.")</f>
        <v>B Bila saya dalam kelompok, saya ingin menentukan apa yang akan kita lakukan.</v>
      </c>
      <c r="BG92" s="95" t="str">
        <f>IFERROR(__xludf.DUMMYFUNCTION("""COMPUTED_VALUE"""),"A Saya ingin teman-teman banyak menunjukkan rasa sayang mereka terhadap saya.")</f>
        <v>A Saya ingin teman-teman banyak menunjukkan rasa sayang mereka terhadap saya.</v>
      </c>
      <c r="BH92" s="95" t="str">
        <f>IFERROR(__xludf.DUMMYFUNCTION("""COMPUTED_VALUE"""),"B Apabila saya berkumpul dalam kelompok, saya ingin dihargai teman-teman.")</f>
        <v>B Apabila saya berkumpul dalam kelompok, saya ingin dihargai teman-teman.</v>
      </c>
      <c r="BI92" s="95" t="str">
        <f>IFERROR(__xludf.DUMMYFUNCTION("""COMPUTED_VALUE"""),"A Saya suka bermurah hati terhadap teman-teman saya.")</f>
        <v>A Saya suka bermurah hati terhadap teman-teman saya.</v>
      </c>
      <c r="BJ92" s="95" t="str">
        <f>IFERROR(__xludf.DUMMYFUNCTION("""COMPUTED_VALUE"""),"A Saya ingin mengerjakan tugas sampai selesai.")</f>
        <v>A Saya ingin mengerjakan tugas sampai selesai.</v>
      </c>
      <c r="BK92" s="95" t="str">
        <f>IFERROR(__xludf.DUMMYFUNCTION("""COMPUTED_VALUE"""),"A Saya ingin menyelesaikan pekerjaan satu persatu sebelum memulai yang lain.")</f>
        <v>A Saya ingin menyelesaikan pekerjaan satu persatu sebelum memulai yang lain.</v>
      </c>
      <c r="BL92" s="95" t="str">
        <f>IFERROR(__xludf.DUMMYFUNCTION("""COMPUTED_VALUE"""),"A Saya suka belajar saya teratur dan ada waktu-waktu tertentu untuk belajar.")</f>
        <v>A Saya suka belajar saya teratur dan ada waktu-waktu tertentu untuk belajar.</v>
      </c>
      <c r="BM92" s="95" t="str">
        <f>IFERROR(__xludf.DUMMYFUNCTION("""COMPUTED_VALUE"""),"A Saya suka melakukan pekerjaan sebaik mungkin.")</f>
        <v>A Saya suka melakukan pekerjaan sebaik mungkin.</v>
      </c>
      <c r="BN92" s="95" t="str">
        <f>IFERROR(__xludf.DUMMYFUNCTION("""COMPUTED_VALUE"""),"B Saya ingin teman-teman memberi dorongan bila saya menghadapi kegagalan.")</f>
        <v>B Saya ingin teman-teman memberi dorongan bila saya menghadapi kegagalan.</v>
      </c>
      <c r="BO92" s="95" t="str">
        <f>IFERROR(__xludf.DUMMYFUNCTION("""COMPUTED_VALUE"""),"B Saya ingin diperlakukan dengan baik oleh teman-teman saya.")</f>
        <v>B Saya ingin diperlakukan dengan baik oleh teman-teman saya.</v>
      </c>
      <c r="BP92" s="95" t="str">
        <f>IFERROR(__xludf.DUMMYFUNCTION("""COMPUTED_VALUE"""),"A Saya ingin menyelesaikan sesuatu yang sangat penting artinya.")</f>
        <v>A Saya ingin menyelesaikan sesuatu yang sangat penting artinya.</v>
      </c>
      <c r="BQ92" s="95" t="str">
        <f>IFERROR(__xludf.DUMMYFUNCTION("""COMPUTED_VALUE"""),"B Saya ingin agar teman-teman menceritakan diri saya apabila saya sakit.")</f>
        <v>B Saya ingin agar teman-teman menceritakan diri saya apabila saya sakit.</v>
      </c>
      <c r="BR92" s="95" t="str">
        <f>IFERROR(__xludf.DUMMYFUNCTION("""COMPUTED_VALUE"""),"B Saya ingin agar teman-teman saya bersimpati dan menghibur saya bila saya sedih.")</f>
        <v>B Saya ingin agar teman-teman saya bersimpati dan menghibur saya bila saya sedih.</v>
      </c>
      <c r="BS92" s="95" t="str">
        <f>IFERROR(__xludf.DUMMYFUNCTION("""COMPUTED_VALUE"""),"B Saya ingin teman-teman saya membantu saya bila saya mengalami kesulitan")</f>
        <v>B Saya ingin teman-teman saya membantu saya bila saya mengalami kesulitan</v>
      </c>
      <c r="BT92" s="95" t="str">
        <f>IFERROR(__xludf.DUMMYFUNCTION("""COMPUTED_VALUE"""),"B Saya ingin teman-teman banyak menunjukkan rasa sayang mereka terhadap saya.")</f>
        <v>B Saya ingin teman-teman banyak menunjukkan rasa sayang mereka terhadap saya.</v>
      </c>
      <c r="BU92" s="95" t="str">
        <f>IFERROR(__xludf.DUMMYFUNCTION("""COMPUTED_VALUE"""),"B Saya ingin agar teman-teman saya merasa kasihan pada saya apabila saya sakit.")</f>
        <v>B Saya ingin agar teman-teman saya merasa kasihan pada saya apabila saya sakit.</v>
      </c>
      <c r="BV92" s="95" t="str">
        <f>IFERROR(__xludf.DUMMYFUNCTION("""COMPUTED_VALUE"""),"B Saya ingin teman-teman dengan gembira memberikan pertolongan kepada saya.")</f>
        <v>B Saya ingin teman-teman dengan gembira memberikan pertolongan kepada saya.</v>
      </c>
      <c r="BW92" s="95" t="str">
        <f>IFERROR(__xludf.DUMMYFUNCTION("""COMPUTED_VALUE"""),"B Saya ingin diperlakukan dengan baik oleh teman-teman saya.")</f>
        <v>B Saya ingin diperlakukan dengan baik oleh teman-teman saya.</v>
      </c>
      <c r="BX92" s="95" t="str">
        <f>IFERROR(__xludf.DUMMYFUNCTION("""COMPUTED_VALUE"""),"A Saya ingin memperolok-olok orang yang saya anggap melakukan tindakan bodoh.")</f>
        <v>A Saya ingin memperolok-olok orang yang saya anggap melakukan tindakan bodoh.</v>
      </c>
      <c r="BY92" s="95" t="str">
        <f>IFERROR(__xludf.DUMMYFUNCTION("""COMPUTED_VALUE"""),"B Saya ingin orang lain memperhatikan dan berkomentar tentang penampilan saya.")</f>
        <v>B Saya ingin orang lain memperhatikan dan berkomentar tentang penampilan saya.</v>
      </c>
      <c r="BZ92" s="95" t="str">
        <f>IFERROR(__xludf.DUMMYFUNCTION("""COMPUTED_VALUE"""),"A Saya suka berkata yang artinya sulit dipahami oleh orang lain.")</f>
        <v>A Saya suka berkata yang artinya sulit dipahami oleh orang lain.</v>
      </c>
      <c r="CA92" s="95" t="str">
        <f>IFERROR(__xludf.DUMMYFUNCTION("""COMPUTED_VALUE"""),"A Saya ingin teman-teman dengan gembira memberikan pertolongan kepada saya.")</f>
        <v>A Saya ingin teman-teman dengan gembira memberikan pertolongan kepada saya.</v>
      </c>
      <c r="CB92" s="95" t="str">
        <f>IFERROR(__xludf.DUMMYFUNCTION("""COMPUTED_VALUE"""),"B Saya suka berbicara tentang hal-hal yang telah saya capai.")</f>
        <v>B Saya suka berbicara tentang hal-hal yang telah saya capai.</v>
      </c>
      <c r="CC92" s="95" t="str">
        <f>IFERROR(__xludf.DUMMYFUNCTION("""COMPUTED_VALUE"""),"B Saya suka menceritakan hal-hal lucu agar diperhatikan oleh orang lain.")</f>
        <v>B Saya suka menceritakan hal-hal lucu agar diperhatikan oleh orang lain.</v>
      </c>
      <c r="CD92" s="95" t="str">
        <f>IFERROR(__xludf.DUMMYFUNCTION("""COMPUTED_VALUE"""),"A Saya suka menyelesaikan setiap tugas meskipun membutuhkan waktu lama.")</f>
        <v>A Saya suka menyelesaikan setiap tugas meskipun membutuhkan waktu lama.</v>
      </c>
      <c r="CE92" s="95" t="str">
        <f>IFERROR(__xludf.DUMMYFUNCTION("""COMPUTED_VALUE"""),"A Saya suka menyelesaikan setiap tugas belajar yang telah saya mulai.")</f>
        <v>A Saya suka menyelesaikan setiap tugas belajar yang telah saya mulai.</v>
      </c>
      <c r="CF92" s="95" t="str">
        <f>IFERROR(__xludf.DUMMYFUNCTION("""COMPUTED_VALUE"""),"A Saya ingin agar hidup saya teratur sesuai cita-cita saya.")</f>
        <v>A Saya ingin agar hidup saya teratur sesuai cita-cita saya.</v>
      </c>
      <c r="CG92" s="95" t="str">
        <f>IFERROR(__xludf.DUMMYFUNCTION("""COMPUTED_VALUE"""),"A Saya ingin berhasil dalam apa yang saya lakukan.")</f>
        <v>A Saya ingin berhasil dalam apa yang saya lakukan.</v>
      </c>
      <c r="CH92" s="95" t="str">
        <f>IFERROR(__xludf.DUMMYFUNCTION("""COMPUTED_VALUE"""),"A Saya ingin bisa melakukan dengan baik sesuatu pekerjaan sulit.")</f>
        <v>A Saya ingin bisa melakukan dengan baik sesuatu pekerjaan sulit.</v>
      </c>
      <c r="CI92" s="95" t="str">
        <f>IFERROR(__xludf.DUMMYFUNCTION("""COMPUTED_VALUE"""),"B Saya ingin dianggap menarik oleh orang lain.")</f>
        <v>B Saya ingin dianggap menarik oleh orang lain.</v>
      </c>
      <c r="CJ92" s="95" t="str">
        <f>IFERROR(__xludf.DUMMYFUNCTION("""COMPUTED_VALUE"""),"A Saya ingin tidak tergantung dari orang lain terhadap apa yang akan saya lakukan.")</f>
        <v>A Saya ingin tidak tergantung dari orang lain terhadap apa yang akan saya lakukan.</v>
      </c>
      <c r="CK92" s="95" t="str">
        <f>IFERROR(__xludf.DUMMYFUNCTION("""COMPUTED_VALUE"""),"A Saya suka bertahan menghadapi satu masalah, meskipun belum tentu berhasil.")</f>
        <v>A Saya suka bertahan menghadapi satu masalah, meskipun belum tentu berhasil.</v>
      </c>
      <c r="CL92" s="95" t="str">
        <f>IFERROR(__xludf.DUMMYFUNCTION("""COMPUTED_VALUE"""),"A Saya suka menolong teman-teman saya, apabila mereka dalam kesulitan.")</f>
        <v>A Saya suka menolong teman-teman saya, apabila mereka dalam kesulitan.</v>
      </c>
      <c r="CM92" s="95" t="str">
        <f>IFERROR(__xludf.DUMMYFUNCTION("""COMPUTED_VALUE"""),"B Saya merasa kagum pada seseorang.")</f>
        <v>B Saya merasa kagum pada seseorang.</v>
      </c>
      <c r="CN92" s="95" t="str">
        <f>IFERROR(__xludf.DUMMYFUNCTION("""COMPUTED_VALUE"""),"A Saya ingin diperlakukan dengan baik oleh teman-teman saya.")</f>
        <v>A Saya ingin diperlakukan dengan baik oleh teman-teman saya.</v>
      </c>
      <c r="CO92" s="95" t="str">
        <f>IFERROR(__xludf.DUMMYFUNCTION("""COMPUTED_VALUE"""),"B Saya suka memuji orang yang saya kagumi.")</f>
        <v>B Saya suka memuji orang yang saya kagumi.</v>
      </c>
      <c r="CP92" s="95" t="str">
        <f>IFERROR(__xludf.DUMMYFUNCTION("""COMPUTED_VALUE"""),"B Saya ingin dianggap menarik oleh orang lain.")</f>
        <v>B Saya ingin dianggap menarik oleh orang lain.</v>
      </c>
      <c r="CQ92" s="95" t="str">
        <f>IFERROR(__xludf.DUMMYFUNCTION("""COMPUTED_VALUE"""),"A Saya ingin menggertak orang bila saya berbeda pendapat dengan mereka.")</f>
        <v>A Saya ingin menggertak orang bila saya berbeda pendapat dengan mereka.</v>
      </c>
      <c r="CR92" s="95" t="str">
        <f>IFERROR(__xludf.DUMMYFUNCTION("""COMPUTED_VALUE"""),"A Saya ingin memperolok-olok orang yang saya anggap melakukan tindakan bodoh.")</f>
        <v>A Saya ingin memperolok-olok orang yang saya anggap melakukan tindakan bodoh.</v>
      </c>
      <c r="CS92" s="95" t="str">
        <f>IFERROR(__xludf.DUMMYFUNCTION("""COMPUTED_VALUE"""),"A Saya ingin terlihat menarik di depan teman-teman saya.")</f>
        <v>A Saya ingin terlihat menarik di depan teman-teman saya.</v>
      </c>
      <c r="CT92" s="95" t="str">
        <f>IFERROR(__xludf.DUMMYFUNCTION("""COMPUTED_VALUE"""),"A Saya ingin orang-orang memperhatikan komentar mengenai penampilan saya.")</f>
        <v>A Saya ingin orang-orang memperhatikan komentar mengenai penampilan saya.</v>
      </c>
      <c r="CU92" s="95" t="str">
        <f>IFERROR(__xludf.DUMMYFUNCTION("""COMPUTED_VALUE"""),"A Saya ingin diperlakukan dengan ramah oleh teman-teman saya.")</f>
        <v>A Saya ingin diperlakukan dengan ramah oleh teman-teman saya.</v>
      </c>
      <c r="CV92" s="95" t="str">
        <f>IFERROR(__xludf.DUMMYFUNCTION("""COMPUTED_VALUE"""),"B Saya menyerang pendirian-pendirian yang bertentangan dengan pendirian saya.")</f>
        <v>B Saya menyerang pendirian-pendirian yang bertentangan dengan pendirian saya.</v>
      </c>
      <c r="CW92" s="95" t="str">
        <f>IFERROR(__xludf.DUMMYFUNCTION("""COMPUTED_VALUE"""),"A Saya suka menolong teman-teman saya, apabila mereka dalam kesulitan.")</f>
        <v>A Saya suka menolong teman-teman saya, apabila mereka dalam kesulitan.</v>
      </c>
      <c r="CX92" s="95" t="str">
        <f>IFERROR(__xludf.DUMMYFUNCTION("""COMPUTED_VALUE"""),"A Saya suka belajar sampai malam untuk menyelesaikan suatu tugas.")</f>
        <v>A Saya suka belajar sampai malam untuk menyelesaikan suatu tugas.</v>
      </c>
      <c r="CY92" s="95" t="str">
        <f>IFERROR(__xludf.DUMMYFUNCTION("""COMPUTED_VALUE"""),"A Saya ingin tidak tergantung dari orang lain terhadap apa yang akan saya lakukan.")</f>
        <v>A Saya ingin tidak tergantung dari orang lain terhadap apa yang akan saya lakukan.</v>
      </c>
      <c r="CZ92" s="95" t="str">
        <f>IFERROR(__xludf.DUMMYFUNCTION("""COMPUTED_VALUE"""),"A Saya suka merencanakan dan mengatur setiap pekerjaan yang harus saya lakukan.")</f>
        <v>A Saya suka merencanakan dan mengatur setiap pekerjaan yang harus saya lakukan.</v>
      </c>
      <c r="DA92" s="95" t="str">
        <f>IFERROR(__xludf.DUMMYFUNCTION("""COMPUTED_VALUE"""),"A Saya ingin melakukan apa saja sebaik mungkin.")</f>
        <v>A Saya ingin melakukan apa saja sebaik mungkin.</v>
      </c>
      <c r="DB92" s="89" t="s">
        <v>23</v>
      </c>
      <c r="DC92" s="97" t="str">
        <f t="shared" ref="DC92:GX92" si="137">LEFT(F92,1)</f>
        <v>B</v>
      </c>
      <c r="DD92" s="97" t="str">
        <f t="shared" si="137"/>
        <v>A</v>
      </c>
      <c r="DE92" s="97" t="str">
        <f t="shared" si="137"/>
        <v>B</v>
      </c>
      <c r="DF92" s="97" t="str">
        <f t="shared" si="137"/>
        <v>B</v>
      </c>
      <c r="DG92" s="97" t="str">
        <f t="shared" si="137"/>
        <v>A</v>
      </c>
      <c r="DH92" s="97" t="str">
        <f t="shared" si="137"/>
        <v>B</v>
      </c>
      <c r="DI92" s="97" t="str">
        <f t="shared" si="137"/>
        <v>B</v>
      </c>
      <c r="DJ92" s="97" t="str">
        <f t="shared" si="137"/>
        <v>A</v>
      </c>
      <c r="DK92" s="97" t="str">
        <f t="shared" si="137"/>
        <v>B</v>
      </c>
      <c r="DL92" s="97" t="str">
        <f t="shared" si="137"/>
        <v>B</v>
      </c>
      <c r="DM92" s="97" t="str">
        <f t="shared" si="137"/>
        <v>B</v>
      </c>
      <c r="DN92" s="97" t="str">
        <f t="shared" si="137"/>
        <v>B</v>
      </c>
      <c r="DO92" s="97" t="str">
        <f t="shared" si="137"/>
        <v>B</v>
      </c>
      <c r="DP92" s="97" t="str">
        <f t="shared" si="137"/>
        <v>A</v>
      </c>
      <c r="DQ92" s="97" t="str">
        <f t="shared" si="137"/>
        <v>B</v>
      </c>
      <c r="DR92" s="97" t="str">
        <f t="shared" si="137"/>
        <v>B</v>
      </c>
      <c r="DS92" s="97" t="str">
        <f t="shared" si="137"/>
        <v>B</v>
      </c>
      <c r="DT92" s="97" t="str">
        <f t="shared" si="137"/>
        <v>B</v>
      </c>
      <c r="DU92" s="97" t="str">
        <f t="shared" si="137"/>
        <v>B</v>
      </c>
      <c r="DV92" s="97" t="str">
        <f t="shared" si="137"/>
        <v>A</v>
      </c>
      <c r="DW92" s="97" t="str">
        <f t="shared" si="137"/>
        <v>A</v>
      </c>
      <c r="DX92" s="97" t="str">
        <f t="shared" si="137"/>
        <v>A</v>
      </c>
      <c r="DY92" s="97" t="str">
        <f t="shared" si="137"/>
        <v>B</v>
      </c>
      <c r="DZ92" s="97" t="str">
        <f t="shared" si="137"/>
        <v>A</v>
      </c>
      <c r="EA92" s="97" t="str">
        <f t="shared" si="137"/>
        <v>A</v>
      </c>
      <c r="EB92" s="97" t="str">
        <f t="shared" si="137"/>
        <v>A</v>
      </c>
      <c r="EC92" s="97" t="str">
        <f t="shared" si="137"/>
        <v>A</v>
      </c>
      <c r="ED92" s="97" t="str">
        <f t="shared" si="137"/>
        <v>B</v>
      </c>
      <c r="EE92" s="97" t="str">
        <f t="shared" si="137"/>
        <v>A</v>
      </c>
      <c r="EF92" s="97" t="str">
        <f t="shared" si="137"/>
        <v>A</v>
      </c>
      <c r="EG92" s="97" t="str">
        <f t="shared" si="137"/>
        <v>B</v>
      </c>
      <c r="EH92" s="97" t="str">
        <f t="shared" si="137"/>
        <v>B</v>
      </c>
      <c r="EI92" s="97" t="str">
        <f t="shared" si="137"/>
        <v>B</v>
      </c>
      <c r="EJ92" s="97" t="str">
        <f t="shared" si="137"/>
        <v>A</v>
      </c>
      <c r="EK92" s="97" t="str">
        <f t="shared" si="137"/>
        <v>B</v>
      </c>
      <c r="EL92" s="97" t="str">
        <f t="shared" si="137"/>
        <v>A</v>
      </c>
      <c r="EM92" s="97" t="str">
        <f t="shared" si="137"/>
        <v>A</v>
      </c>
      <c r="EN92" s="97" t="str">
        <f t="shared" si="137"/>
        <v>B</v>
      </c>
      <c r="EO92" s="97" t="str">
        <f t="shared" si="137"/>
        <v>B</v>
      </c>
      <c r="EP92" s="97" t="str">
        <f t="shared" si="137"/>
        <v>A</v>
      </c>
      <c r="EQ92" s="97" t="str">
        <f t="shared" si="137"/>
        <v>A</v>
      </c>
      <c r="ER92" s="97" t="str">
        <f t="shared" si="137"/>
        <v>B</v>
      </c>
      <c r="ES92" s="97" t="str">
        <f t="shared" si="137"/>
        <v>B</v>
      </c>
      <c r="ET92" s="97" t="str">
        <f t="shared" si="137"/>
        <v>B</v>
      </c>
      <c r="EU92" s="97" t="str">
        <f t="shared" si="137"/>
        <v>B</v>
      </c>
      <c r="EV92" s="97" t="str">
        <f t="shared" si="137"/>
        <v>B</v>
      </c>
      <c r="EW92" s="97" t="str">
        <f t="shared" si="137"/>
        <v>B</v>
      </c>
      <c r="EX92" s="97" t="str">
        <f t="shared" si="137"/>
        <v>B</v>
      </c>
      <c r="EY92" s="97" t="str">
        <f t="shared" si="137"/>
        <v>B</v>
      </c>
      <c r="EZ92" s="97" t="str">
        <f t="shared" si="137"/>
        <v>B</v>
      </c>
      <c r="FA92" s="97" t="str">
        <f t="shared" si="137"/>
        <v>B</v>
      </c>
      <c r="FB92" s="97" t="str">
        <f t="shared" si="137"/>
        <v>A</v>
      </c>
      <c r="FC92" s="97" t="str">
        <f t="shared" si="137"/>
        <v>B</v>
      </c>
      <c r="FD92" s="97" t="str">
        <f t="shared" si="137"/>
        <v>A</v>
      </c>
      <c r="FE92" s="97" t="str">
        <f t="shared" si="137"/>
        <v>B</v>
      </c>
      <c r="FF92" s="97" t="str">
        <f t="shared" si="137"/>
        <v>A</v>
      </c>
      <c r="FG92" s="97" t="str">
        <f t="shared" si="137"/>
        <v>A</v>
      </c>
      <c r="FH92" s="97" t="str">
        <f t="shared" si="137"/>
        <v>A</v>
      </c>
      <c r="FI92" s="97" t="str">
        <f t="shared" si="137"/>
        <v>A</v>
      </c>
      <c r="FJ92" s="97" t="str">
        <f t="shared" si="137"/>
        <v>A</v>
      </c>
      <c r="FK92" s="97" t="str">
        <f t="shared" si="137"/>
        <v>B</v>
      </c>
      <c r="FL92" s="97" t="str">
        <f t="shared" si="137"/>
        <v>B</v>
      </c>
      <c r="FM92" s="97" t="str">
        <f t="shared" si="137"/>
        <v>A</v>
      </c>
      <c r="FN92" s="97" t="str">
        <f t="shared" si="137"/>
        <v>B</v>
      </c>
      <c r="FO92" s="97" t="str">
        <f t="shared" si="137"/>
        <v>B</v>
      </c>
      <c r="FP92" s="97" t="str">
        <f t="shared" si="137"/>
        <v>B</v>
      </c>
      <c r="FQ92" s="97" t="str">
        <f t="shared" si="137"/>
        <v>B</v>
      </c>
      <c r="FR92" s="97" t="str">
        <f t="shared" si="137"/>
        <v>B</v>
      </c>
      <c r="FS92" s="97" t="str">
        <f t="shared" si="137"/>
        <v>B</v>
      </c>
      <c r="FT92" s="97" t="str">
        <f t="shared" si="137"/>
        <v>B</v>
      </c>
      <c r="FU92" s="97" t="str">
        <f t="shared" si="137"/>
        <v>A</v>
      </c>
      <c r="FV92" s="97" t="str">
        <f t="shared" si="137"/>
        <v>B</v>
      </c>
      <c r="FW92" s="97" t="str">
        <f t="shared" si="137"/>
        <v>A</v>
      </c>
      <c r="FX92" s="97" t="str">
        <f t="shared" si="137"/>
        <v>A</v>
      </c>
      <c r="FY92" s="97" t="str">
        <f t="shared" si="137"/>
        <v>B</v>
      </c>
      <c r="FZ92" s="97" t="str">
        <f t="shared" si="137"/>
        <v>B</v>
      </c>
      <c r="GA92" s="97" t="str">
        <f t="shared" si="137"/>
        <v>A</v>
      </c>
      <c r="GB92" s="97" t="str">
        <f t="shared" si="137"/>
        <v>A</v>
      </c>
      <c r="GC92" s="97" t="str">
        <f t="shared" si="137"/>
        <v>A</v>
      </c>
      <c r="GD92" s="97" t="str">
        <f t="shared" si="137"/>
        <v>A</v>
      </c>
      <c r="GE92" s="97" t="str">
        <f t="shared" si="137"/>
        <v>A</v>
      </c>
      <c r="GF92" s="97" t="str">
        <f t="shared" si="137"/>
        <v>B</v>
      </c>
      <c r="GG92" s="97" t="str">
        <f t="shared" si="137"/>
        <v>A</v>
      </c>
      <c r="GH92" s="97" t="str">
        <f t="shared" si="137"/>
        <v>A</v>
      </c>
      <c r="GI92" s="97" t="str">
        <f t="shared" si="137"/>
        <v>A</v>
      </c>
      <c r="GJ92" s="97" t="str">
        <f t="shared" si="137"/>
        <v>B</v>
      </c>
      <c r="GK92" s="97" t="str">
        <f t="shared" si="137"/>
        <v>A</v>
      </c>
      <c r="GL92" s="97" t="str">
        <f t="shared" si="137"/>
        <v>B</v>
      </c>
      <c r="GM92" s="97" t="str">
        <f t="shared" si="137"/>
        <v>B</v>
      </c>
      <c r="GN92" s="97" t="str">
        <f t="shared" si="137"/>
        <v>A</v>
      </c>
      <c r="GO92" s="97" t="str">
        <f t="shared" si="137"/>
        <v>A</v>
      </c>
      <c r="GP92" s="97" t="str">
        <f t="shared" si="137"/>
        <v>A</v>
      </c>
      <c r="GQ92" s="97" t="str">
        <f t="shared" si="137"/>
        <v>A</v>
      </c>
      <c r="GR92" s="97" t="str">
        <f t="shared" si="137"/>
        <v>A</v>
      </c>
      <c r="GS92" s="97" t="str">
        <f t="shared" si="137"/>
        <v>B</v>
      </c>
      <c r="GT92" s="97" t="str">
        <f t="shared" si="137"/>
        <v>A</v>
      </c>
      <c r="GU92" s="97" t="str">
        <f t="shared" si="137"/>
        <v>A</v>
      </c>
      <c r="GV92" s="97" t="str">
        <f t="shared" si="137"/>
        <v>A</v>
      </c>
      <c r="GW92" s="97" t="str">
        <f t="shared" si="137"/>
        <v>A</v>
      </c>
      <c r="GX92" s="97" t="str">
        <f t="shared" si="137"/>
        <v>A</v>
      </c>
      <c r="GY92" s="98"/>
      <c r="GZ92" s="97">
        <f t="shared" si="3"/>
        <v>48</v>
      </c>
      <c r="HA92" s="97">
        <f t="shared" si="4"/>
        <v>52</v>
      </c>
      <c r="HB92" s="90">
        <f t="shared" si="5"/>
        <v>100</v>
      </c>
      <c r="HC92" s="99"/>
      <c r="HD92" s="97">
        <f t="shared" si="6"/>
        <v>8</v>
      </c>
      <c r="HE92" s="97">
        <f t="shared" si="7"/>
        <v>6</v>
      </c>
      <c r="HF92" s="90">
        <f t="shared" si="8"/>
        <v>14</v>
      </c>
      <c r="HG92" s="99"/>
      <c r="HH92" s="97">
        <f t="shared" si="9"/>
        <v>5</v>
      </c>
      <c r="HI92" s="97">
        <f t="shared" si="10"/>
        <v>8</v>
      </c>
      <c r="HJ92" s="90">
        <f t="shared" si="11"/>
        <v>13</v>
      </c>
      <c r="HK92" s="99"/>
      <c r="HL92" s="97">
        <f t="shared" si="12"/>
        <v>5</v>
      </c>
      <c r="HM92" s="97">
        <f t="shared" si="13"/>
        <v>2</v>
      </c>
      <c r="HN92" s="90">
        <f t="shared" si="14"/>
        <v>7</v>
      </c>
      <c r="HO92" s="99"/>
      <c r="HP92" s="97">
        <f t="shared" si="15"/>
        <v>5</v>
      </c>
      <c r="HQ92" s="97">
        <f t="shared" si="16"/>
        <v>6</v>
      </c>
      <c r="HR92" s="90">
        <f t="shared" si="17"/>
        <v>11</v>
      </c>
      <c r="HS92" s="99"/>
      <c r="HT92" s="97">
        <f t="shared" si="18"/>
        <v>6</v>
      </c>
      <c r="HU92" s="97">
        <f t="shared" si="19"/>
        <v>9</v>
      </c>
      <c r="HV92" s="90">
        <f t="shared" si="20"/>
        <v>15</v>
      </c>
      <c r="HW92" s="99"/>
      <c r="HX92" s="97">
        <f t="shared" si="21"/>
        <v>1</v>
      </c>
      <c r="HY92" s="97">
        <f t="shared" si="22"/>
        <v>3</v>
      </c>
      <c r="HZ92" s="90">
        <f t="shared" si="23"/>
        <v>4</v>
      </c>
      <c r="IA92" s="99"/>
      <c r="IB92" s="97">
        <f t="shared" si="24"/>
        <v>7</v>
      </c>
      <c r="IC92" s="97">
        <f t="shared" si="25"/>
        <v>9</v>
      </c>
      <c r="ID92" s="90">
        <f t="shared" si="26"/>
        <v>16</v>
      </c>
      <c r="IE92" s="99"/>
      <c r="IF92" s="97">
        <f t="shared" si="27"/>
        <v>2</v>
      </c>
      <c r="IG92" s="97">
        <f t="shared" si="28"/>
        <v>3</v>
      </c>
      <c r="IH92" s="90">
        <f t="shared" si="29"/>
        <v>5</v>
      </c>
      <c r="II92" s="99"/>
      <c r="IJ92" s="97">
        <f t="shared" si="30"/>
        <v>3</v>
      </c>
      <c r="IK92" s="97">
        <f t="shared" si="31"/>
        <v>4</v>
      </c>
      <c r="IL92" s="90">
        <f t="shared" si="32"/>
        <v>7</v>
      </c>
      <c r="IM92" s="99"/>
      <c r="IN92" s="97">
        <f t="shared" si="33"/>
        <v>3</v>
      </c>
      <c r="IO92" s="97">
        <f t="shared" si="34"/>
        <v>1</v>
      </c>
      <c r="IP92" s="90">
        <f t="shared" si="35"/>
        <v>4</v>
      </c>
      <c r="IQ92" s="99"/>
      <c r="IR92" s="99"/>
      <c r="IS92" s="100">
        <f t="shared" si="36"/>
        <v>14</v>
      </c>
      <c r="IT92" s="100">
        <f t="shared" si="37"/>
        <v>13</v>
      </c>
      <c r="IU92" s="100">
        <f t="shared" si="38"/>
        <v>7</v>
      </c>
      <c r="IV92" s="100">
        <f t="shared" si="39"/>
        <v>11</v>
      </c>
      <c r="IW92" s="100">
        <f t="shared" si="40"/>
        <v>15</v>
      </c>
      <c r="IX92" s="100">
        <f t="shared" si="41"/>
        <v>4</v>
      </c>
      <c r="IY92" s="100">
        <f t="shared" si="42"/>
        <v>16</v>
      </c>
      <c r="IZ92" s="100">
        <f t="shared" si="43"/>
        <v>5</v>
      </c>
      <c r="JA92" s="100">
        <f t="shared" si="44"/>
        <v>7</v>
      </c>
      <c r="JB92" s="101">
        <f t="shared" si="45"/>
        <v>4</v>
      </c>
      <c r="JC92" s="102">
        <f t="shared" si="46"/>
        <v>96</v>
      </c>
      <c r="JD92" s="67">
        <f t="shared" si="50"/>
        <v>0</v>
      </c>
      <c r="JE92" s="67">
        <f t="shared" si="47"/>
        <v>1</v>
      </c>
      <c r="JF92" s="67">
        <f t="shared" si="48"/>
        <v>1</v>
      </c>
    </row>
    <row r="93">
      <c r="A93" s="103">
        <f>IFERROR(__xludf.DUMMYFUNCTION("""COMPUTED_VALUE"""),45942.40414857639)</f>
        <v>45942.40415</v>
      </c>
      <c r="B93" s="95" t="str">
        <f>IFERROR(__xludf.DUMMYFUNCTION("""COMPUTED_VALUE"""),"Abdurrahman hafizh ayyasi")</f>
        <v>Abdurrahman hafizh ayyasi</v>
      </c>
      <c r="C93" s="96" t="str">
        <f>IFERROR(__xludf.DUMMYFUNCTION("""COMPUTED_VALUE"""),"B250013")</f>
        <v>B250013</v>
      </c>
      <c r="D93" s="96" t="str">
        <f>IFERROR(__xludf.DUMMYFUNCTION("""COMPUTED_VALUE"""),"IL Putra")</f>
        <v>IL Putra</v>
      </c>
      <c r="E93" s="96" t="str">
        <f>IFERROR(__xludf.DUMMYFUNCTION("""COMPUTED_VALUE"""),"Ya")</f>
        <v>Ya</v>
      </c>
      <c r="F93" s="95" t="str">
        <f>IFERROR(__xludf.DUMMYFUNCTION("""COMPUTED_VALUE"""),"A Saya ingin mengerjakan segala tugas lebih baik daripada orang lain.")</f>
        <v>A Saya ingin mengerjakan segala tugas lebih baik daripada orang lain.</v>
      </c>
      <c r="G93" s="95" t="str">
        <f>IFERROR(__xludf.DUMMYFUNCTION("""COMPUTED_VALUE"""),"A Saya ingin setiap tulisan saya teliti, rapi, dan tersusun dengan baik.")</f>
        <v>A Saya ingin setiap tulisan saya teliti, rapi, dan tersusun dengan baik.</v>
      </c>
      <c r="H93" s="95" t="str">
        <f>IFERROR(__xludf.DUMMYFUNCTION("""COMPUTED_VALUE"""),"B Saya ingin menjadi orang yang diakui dalam suatu pekerjaan atau bidang khusus.")</f>
        <v>B Saya ingin menjadi orang yang diakui dalam suatu pekerjaan atau bidang khusus.</v>
      </c>
      <c r="I93" s="95" t="str">
        <f>IFERROR(__xludf.DUMMYFUNCTION("""COMPUTED_VALUE"""),"A Saya suka belajar keras pada tiap pelajaran yang saya hadapi.")</f>
        <v>A Saya suka belajar keras pada tiap pelajaran yang saya hadapi.</v>
      </c>
      <c r="J93" s="95" t="str">
        <f>IFERROR(__xludf.DUMMYFUNCTION("""COMPUTED_VALUE"""),"A Saya suka membantu teman-teman saya apabila mereka mengalami kesulitan.")</f>
        <v>A Saya suka membantu teman-teman saya apabila mereka mengalami kesulitan.</v>
      </c>
      <c r="K93" s="95" t="str">
        <f>IFERROR(__xludf.DUMMYFUNCTION("""COMPUTED_VALUE"""),"A Saya ingin menjadi pemimpin dalam suatu kelompok.")</f>
        <v>A Saya ingin menjadi pemimpin dalam suatu kelompok.</v>
      </c>
      <c r="L93" s="95" t="str">
        <f>IFERROR(__xludf.DUMMYFUNCTION("""COMPUTED_VALUE"""),"A Saya ingin menjadi pemimpin dalam suatu kelompok")</f>
        <v>A Saya ingin menjadi pemimpin dalam suatu kelompok</v>
      </c>
      <c r="M93" s="95" t="str">
        <f>IFERROR(__xludf.DUMMYFUNCTION("""COMPUTED_VALUE"""),"B Saya ingin mengerjakan segala tugas lebih baik daripada orang lain.")</f>
        <v>B Saya ingin mengerjakan segala tugas lebih baik daripada orang lain.</v>
      </c>
      <c r="N93" s="95" t="str">
        <f>IFERROR(__xludf.DUMMYFUNCTION("""COMPUTED_VALUE"""),"B Saya suka memecahkan persoalan yang sukar bagi orang lain.")</f>
        <v>B Saya suka memecahkan persoalan yang sukar bagi orang lain.</v>
      </c>
      <c r="O93" s="95" t="str">
        <f>IFERROR(__xludf.DUMMYFUNCTION("""COMPUTED_VALUE"""),"B Saya suka melakukan tugas sebaik mungkin.")</f>
        <v>B Saya suka melakukan tugas sebaik mungkin.</v>
      </c>
      <c r="P93" s="95" t="str">
        <f>IFERROR(__xludf.DUMMYFUNCTION("""COMPUTED_VALUE"""),"A Saya suka bercerita tentang hal-hal yang menegangkan atau menantang.")</f>
        <v>A Saya suka bercerita tentang hal-hal yang menegangkan atau menantang.</v>
      </c>
      <c r="Q93" s="95" t="str">
        <f>IFERROR(__xludf.DUMMYFUNCTION("""COMPUTED_VALUE"""),"B Saya merencanakan keperluan yang dibutuhkan sebelum bepergian.")</f>
        <v>B Saya merencanakan keperluan yang dibutuhkan sebelum bepergian.</v>
      </c>
      <c r="R93" s="95" t="str">
        <f>IFERROR(__xludf.DUMMYFUNCTION("""COMPUTED_VALUE"""),"A Saya ingin orang-orang memperhatikan penampilan saya.")</f>
        <v>A Saya ingin orang-orang memperhatikan penampilan saya.</v>
      </c>
      <c r="S93" s="95" t="str">
        <f>IFERROR(__xludf.DUMMYFUNCTION("""COMPUTED_VALUE"""),"B Saya suka membuat perencanaan sebelum memulai tugas yang sulit.")</f>
        <v>B Saya suka membuat perencanaan sebelum memulai tugas yang sulit.</v>
      </c>
      <c r="T93" s="95" t="str">
        <f>IFERROR(__xludf.DUMMYFUNCTION("""COMPUTED_VALUE"""),"A Saya ingin menjadi salah seorang pemimpin dalam kelompok yang saya kenal.")</f>
        <v>A Saya ingin menjadi salah seorang pemimpin dalam kelompok yang saya kenal.</v>
      </c>
      <c r="U93" s="95" t="str">
        <f>IFERROR(__xludf.DUMMYFUNCTION("""COMPUTED_VALUE"""),"A Saya suka memberikan bantuan kepada teman-teman saya.")</f>
        <v>A Saya suka memberikan bantuan kepada teman-teman saya.</v>
      </c>
      <c r="V93" s="95" t="str">
        <f>IFERROR(__xludf.DUMMYFUNCTION("""COMPUTED_VALUE"""),"A Saya suka belajar sampai malam untuk menyelesaikan suatu tugas.")</f>
        <v>A Saya suka belajar sampai malam untuk menyelesaikan suatu tugas.</v>
      </c>
      <c r="W93" s="95" t="str">
        <f>IFERROR(__xludf.DUMMYFUNCTION("""COMPUTED_VALUE"""),"B Saya ingin kegiatan itu teratur dan direncanakan.")</f>
        <v>B Saya ingin kegiatan itu teratur dan direncanakan.</v>
      </c>
      <c r="X93" s="95" t="str">
        <f>IFERROR(__xludf.DUMMYFUNCTION("""COMPUTED_VALUE"""),"A Saya suka merencanakan dan mengatur setiap apa yang harus saya lakukan.")</f>
        <v>A Saya suka merencanakan dan mengatur setiap apa yang harus saya lakukan.</v>
      </c>
      <c r="Y93" s="95" t="str">
        <f>IFERROR(__xludf.DUMMYFUNCTION("""COMPUTED_VALUE"""),"B Saya senang merencanakan untuk masa depan.")</f>
        <v>B Saya senang merencanakan untuk masa depan.</v>
      </c>
      <c r="Z93" s="95" t="str">
        <f>IFERROR(__xludf.DUMMYFUNCTION("""COMPUTED_VALUE"""),"A Saya ingin berhasil dengan belajar yang saya lakukan.")</f>
        <v>A Saya ingin berhasil dengan belajar yang saya lakukan.</v>
      </c>
      <c r="AA93" s="95" t="str">
        <f>IFERROR(__xludf.DUMMYFUNCTION("""COMPUTED_VALUE"""),"A Saya suka menyelesaikan tugas yang telah saya rencanakan.")</f>
        <v>A Saya suka menyelesaikan tugas yang telah saya rencanakan.</v>
      </c>
      <c r="AB93" s="95" t="str">
        <f>IFERROR(__xludf.DUMMYFUNCTION("""COMPUTED_VALUE"""),"A Saya ingin tidak tergantung dari orang lain terhadap apa yang akan saya lakukan.")</f>
        <v>A Saya ingin tidak tergantung dari orang lain terhadap apa yang akan saya lakukan.</v>
      </c>
      <c r="AC93" s="95" t="str">
        <f>IFERROR(__xludf.DUMMYFUNCTION("""COMPUTED_VALUE"""),"A Saya suka menyelesaikan setiap tugas meskipun membutuhkan waktu lama.")</f>
        <v>A Saya suka menyelesaikan setiap tugas meskipun membutuhkan waktu lama.</v>
      </c>
      <c r="AD93" s="95" t="str">
        <f>IFERROR(__xludf.DUMMYFUNCTION("""COMPUTED_VALUE"""),"A Saya suka bermurah hati terhadap teman-teman saya.")</f>
        <v>A Saya suka bermurah hati terhadap teman-teman saya.</v>
      </c>
      <c r="AE93" s="95" t="str">
        <f>IFERROR(__xludf.DUMMYFUNCTION("""COMPUTED_VALUE"""),"A Saya ingin dianggap sebagai pemimpin oleh teman di kelompok.")</f>
        <v>A Saya ingin dianggap sebagai pemimpin oleh teman di kelompok.</v>
      </c>
      <c r="AF93" s="95" t="str">
        <f>IFERROR(__xludf.DUMMYFUNCTION("""COMPUTED_VALUE"""),"B Saya suka melakukan hal-hal dengan cara saya sendiri.")</f>
        <v>B Saya suka melakukan hal-hal dengan cara saya sendiri.</v>
      </c>
      <c r="AG93" s="95" t="str">
        <f>IFERROR(__xludf.DUMMYFUNCTION("""COMPUTED_VALUE"""),"A Saya mengajari orang lain bagaimana mereka harus melakukan pekerjaan mereka.")</f>
        <v>A Saya mengajari orang lain bagaimana mereka harus melakukan pekerjaan mereka.</v>
      </c>
      <c r="AH93" s="95" t="str">
        <f>IFERROR(__xludf.DUMMYFUNCTION("""COMPUTED_VALUE"""),"B Saya ingin merasa bebas untuk melakukan apa yang saya kehendaki.")</f>
        <v>B Saya ingin merasa bebas untuk melakukan apa yang saya kehendaki.</v>
      </c>
      <c r="AI93" s="95" t="str">
        <f>IFERROR(__xludf.DUMMYFUNCTION("""COMPUTED_VALUE"""),"B Saya suka melakukan kegiatan sesuai kondisi yang saya inginkan.")</f>
        <v>B Saya suka melakukan kegiatan sesuai kondisi yang saya inginkan.</v>
      </c>
      <c r="AJ93" s="95" t="str">
        <f>IFERROR(__xludf.DUMMYFUNCTION("""COMPUTED_VALUE"""),"B Saya suka bertahan menghadapi satu masalah meskipun belum tentu berhasil.")</f>
        <v>B Saya suka bertahan menghadapi satu masalah meskipun belum tentu berhasil.</v>
      </c>
      <c r="AK93" s="95" t="str">
        <f>IFERROR(__xludf.DUMMYFUNCTION("""COMPUTED_VALUE"""),"B Bila saya harus melakukan suatu tugas, saya ingin mengerjakan sampai selesai.")</f>
        <v>B Bila saya harus melakukan suatu tugas, saya ingin mengerjakan sampai selesai.</v>
      </c>
      <c r="AL93" s="95" t="str">
        <f>IFERROR(__xludf.DUMMYFUNCTION("""COMPUTED_VALUE"""),"B Saya ingin menghindarkan gangguan bila saya sedang belajar.")</f>
        <v>B Saya ingin menghindarkan gangguan bila saya sedang belajar.</v>
      </c>
      <c r="AM93" s="95" t="str">
        <f>IFERROR(__xludf.DUMMYFUNCTION("""COMPUTED_VALUE"""),"B Saya suka belajar sampai malam untuk menyelesaikan suatu tugas.")</f>
        <v>B Saya suka belajar sampai malam untuk menyelesaikan suatu tugas.</v>
      </c>
      <c r="AN93" s="95" t="str">
        <f>IFERROR(__xludf.DUMMYFUNCTION("""COMPUTED_VALUE"""),"B Saya ingin bekerja berjam-jam tanpa diganggu.")</f>
        <v>B Saya ingin bekerja berjam-jam tanpa diganggu.</v>
      </c>
      <c r="AO93" s="95" t="str">
        <f>IFERROR(__xludf.DUMMYFUNCTION("""COMPUTED_VALUE"""),"B Saya suka menyelesaikan setiap tugas meskipun membutuhkan waktu lama.")</f>
        <v>B Saya suka menyelesaikan setiap tugas meskipun membutuhkan waktu lama.</v>
      </c>
      <c r="AP93" s="95" t="str">
        <f>IFERROR(__xludf.DUMMYFUNCTION("""COMPUTED_VALUE"""),"B Saya suka bertahan menghadapi satu masalah meskipun belum tentu berhasil.")</f>
        <v>B Saya suka bertahan menghadapi satu masalah meskipun belum tentu berhasil.</v>
      </c>
      <c r="AQ93" s="95" t="str">
        <f>IFERROR(__xludf.DUMMYFUNCTION("""COMPUTED_VALUE"""),"A Saya ingin bisa mengerjakan segala sesuatu lebih baik daripada orang-orang lain.")</f>
        <v>A Saya ingin bisa mengerjakan segala sesuatu lebih baik daripada orang-orang lain.</v>
      </c>
      <c r="AR93" s="95" t="str">
        <f>IFERROR(__xludf.DUMMYFUNCTION("""COMPUTED_VALUE"""),"B Saya suka belajar keras pada tiap pelajaran yang saya hadapi.")</f>
        <v>B Saya suka belajar keras pada tiap pelajaran yang saya hadapi.</v>
      </c>
      <c r="AS93" s="95" t="str">
        <f>IFERROR(__xludf.DUMMYFUNCTION("""COMPUTED_VALUE"""),"B Saya suka belajar sampai malam untuk menyelesaikan suatu tugas.")</f>
        <v>B Saya suka belajar sampai malam untuk menyelesaikan suatu tugas.</v>
      </c>
      <c r="AT93" s="95" t="str">
        <f>IFERROR(__xludf.DUMMYFUNCTION("""COMPUTED_VALUE"""),"A Saya ingin bisa melakukan dengan baik sesuatu pekerjaan sulit.")</f>
        <v>A Saya ingin bisa melakukan dengan baik sesuatu pekerjaan sulit.</v>
      </c>
      <c r="AU93" s="95" t="str">
        <f>IFERROR(__xludf.DUMMYFUNCTION("""COMPUTED_VALUE"""),"B Saya suka bermurah hati terhadap teman-teman saya.")</f>
        <v>B Saya suka bermurah hati terhadap teman-teman saya.</v>
      </c>
      <c r="AV93" s="95" t="str">
        <f>IFERROR(__xludf.DUMMYFUNCTION("""COMPUTED_VALUE"""),"B Saya suka menolong teman-teman saya.")</f>
        <v>B Saya suka menolong teman-teman saya.</v>
      </c>
      <c r="AW93" s="95" t="str">
        <f>IFERROR(__xludf.DUMMYFUNCTION("""COMPUTED_VALUE"""),"A Saya ingin mengerjakan tugas sampai selesai.")</f>
        <v>A Saya ingin mengerjakan tugas sampai selesai.</v>
      </c>
      <c r="AX93" s="95" t="str">
        <f>IFERROR(__xludf.DUMMYFUNCTION("""COMPUTED_VALUE"""),"A Saya suka menolong teman-teman saya apabila mereka dalam kesulitan.")</f>
        <v>A Saya suka menolong teman-teman saya apabila mereka dalam kesulitan.</v>
      </c>
      <c r="AY93" s="95" t="str">
        <f>IFERROR(__xludf.DUMMYFUNCTION("""COMPUTED_VALUE"""),"B Saya suka menolong teman-teman saya apabila mereka dalam kesulitan.")</f>
        <v>B Saya suka menolong teman-teman saya apabila mereka dalam kesulitan.</v>
      </c>
      <c r="AZ93" s="95" t="str">
        <f>IFERROR(__xludf.DUMMYFUNCTION("""COMPUTED_VALUE"""),"B Saya suka menunjukkan simpati saya kepada teman-teman saya.")</f>
        <v>B Saya suka menunjukkan simpati saya kepada teman-teman saya.</v>
      </c>
      <c r="BA93" s="95" t="str">
        <f>IFERROR(__xludf.DUMMYFUNCTION("""COMPUTED_VALUE"""),"B Saya suka memperlakukan orang lain dengan baik dan ramah.")</f>
        <v>B Saya suka memperlakukan orang lain dengan baik dan ramah.</v>
      </c>
      <c r="BB93" s="95" t="str">
        <f>IFERROR(__xludf.DUMMYFUNCTION("""COMPUTED_VALUE"""),"A Saya berkeinginan untuk bersama orang yang menarik bagi saya.")</f>
        <v>A Saya berkeinginan untuk bersama orang yang menarik bagi saya.</v>
      </c>
      <c r="BC93" s="95" t="str">
        <f>IFERROR(__xludf.DUMMYFUNCTION("""COMPUTED_VALUE"""),"B Saya suka membantu orang lain yang menurut saya perlu dikasihani.")</f>
        <v>B Saya suka membantu orang lain yang menurut saya perlu dikasihani.</v>
      </c>
      <c r="BD93" s="95" t="str">
        <f>IFERROR(__xludf.DUMMYFUNCTION("""COMPUTED_VALUE"""),"B Saya suka bersikukuh dengan pendirian saya.")</f>
        <v>B Saya suka bersikukuh dengan pendirian saya.</v>
      </c>
      <c r="BE93" s="95" t="str">
        <f>IFERROR(__xludf.DUMMYFUNCTION("""COMPUTED_VALUE"""),"A Saya suka mendengarkan atau menceritakan hal-hal yang sebaiknya tidak diceritakan.")</f>
        <v>A Saya suka mendengarkan atau menceritakan hal-hal yang sebaiknya tidak diceritakan.</v>
      </c>
      <c r="BF93" s="95" t="str">
        <f>IFERROR(__xludf.DUMMYFUNCTION("""COMPUTED_VALUE"""),"B Bila saya dalam kelompok, saya ingin menentukan apa yang akan kita lakukan.")</f>
        <v>B Bila saya dalam kelompok, saya ingin menentukan apa yang akan kita lakukan.</v>
      </c>
      <c r="BG93" s="95" t="str">
        <f>IFERROR(__xludf.DUMMYFUNCTION("""COMPUTED_VALUE"""),"B Saya suka mengarahkan kepada orang lain apa yang harus dilakukan.")</f>
        <v>B Saya suka mengarahkan kepada orang lain apa yang harus dilakukan.</v>
      </c>
      <c r="BH93" s="95" t="str">
        <f>IFERROR(__xludf.DUMMYFUNCTION("""COMPUTED_VALUE"""),"A Saya suka menghindar dari situasi yang tidak saya harapkan.")</f>
        <v>A Saya suka menghindar dari situasi yang tidak saya harapkan.</v>
      </c>
      <c r="BI93" s="95" t="str">
        <f>IFERROR(__xludf.DUMMYFUNCTION("""COMPUTED_VALUE"""),"A Saya suka bermurah hati terhadap teman-teman saya.")</f>
        <v>A Saya suka bermurah hati terhadap teman-teman saya.</v>
      </c>
      <c r="BJ93" s="95" t="str">
        <f>IFERROR(__xludf.DUMMYFUNCTION("""COMPUTED_VALUE"""),"B Saya ingin menjadi pemimpin dalam kelompok di mana saya ada di situ")</f>
        <v>B Saya ingin menjadi pemimpin dalam kelompok di mana saya ada di situ</v>
      </c>
      <c r="BK93" s="95" t="str">
        <f>IFERROR(__xludf.DUMMYFUNCTION("""COMPUTED_VALUE"""),"B Saya senang untuk diminta menyelesaikan pertentangan-pertentangan.")</f>
        <v>B Saya senang untuk diminta menyelesaikan pertentangan-pertentangan.</v>
      </c>
      <c r="BL93" s="95" t="str">
        <f>IFERROR(__xludf.DUMMYFUNCTION("""COMPUTED_VALUE"""),"B Saya suka bersikukuh dengan pendirian saya.")</f>
        <v>B Saya suka bersikukuh dengan pendirian saya.</v>
      </c>
      <c r="BM93" s="95" t="str">
        <f>IFERROR(__xludf.DUMMYFUNCTION("""COMPUTED_VALUE"""),"A Saya suka melakukan pekerjaan sebaik mungkin.")</f>
        <v>A Saya suka melakukan pekerjaan sebaik mungkin.</v>
      </c>
      <c r="BN93" s="95" t="str">
        <f>IFERROR(__xludf.DUMMYFUNCTION("""COMPUTED_VALUE"""),"A Saya suka mengerjakan teka-teki atau memecahkan persoalan sampai selesai.")</f>
        <v>A Saya suka mengerjakan teka-teki atau memecahkan persoalan sampai selesai.</v>
      </c>
      <c r="BO93" s="95" t="str">
        <f>IFERROR(__xludf.DUMMYFUNCTION("""COMPUTED_VALUE"""),"A Saya suka membuat perencanaan sebelum memulai belajar yang sulit.")</f>
        <v>A Saya suka membuat perencanaan sebelum memulai belajar yang sulit.</v>
      </c>
      <c r="BP93" s="95" t="str">
        <f>IFERROR(__xludf.DUMMYFUNCTION("""COMPUTED_VALUE"""),"A Saya ingin menyelesaikan sesuatu yang sangat penting artinya.")</f>
        <v>A Saya ingin menyelesaikan sesuatu yang sangat penting artinya.</v>
      </c>
      <c r="BQ93" s="95" t="str">
        <f>IFERROR(__xludf.DUMMYFUNCTION("""COMPUTED_VALUE"""),"A Saya ingin mengerjakannya tugas sampai selesai.")</f>
        <v>A Saya ingin mengerjakannya tugas sampai selesai.</v>
      </c>
      <c r="BR93" s="95" t="str">
        <f>IFERROR(__xludf.DUMMYFUNCTION("""COMPUTED_VALUE"""),"B Saya ingin agar teman-teman saya bersimpati dan menghibur saya bila saya sedih.")</f>
        <v>B Saya ingin agar teman-teman saya bersimpati dan menghibur saya bila saya sedih.</v>
      </c>
      <c r="BS93" s="95" t="str">
        <f>IFERROR(__xludf.DUMMYFUNCTION("""COMPUTED_VALUE"""),"B Saya ingin teman-teman saya membantu saya bila saya mengalami kesulitan")</f>
        <v>B Saya ingin teman-teman saya membantu saya bila saya mengalami kesulitan</v>
      </c>
      <c r="BT93" s="95" t="str">
        <f>IFERROR(__xludf.DUMMYFUNCTION("""COMPUTED_VALUE"""),"B Saya ingin teman-teman banyak menunjukkan rasa sayang mereka terhadap saya.")</f>
        <v>B Saya ingin teman-teman banyak menunjukkan rasa sayang mereka terhadap saya.</v>
      </c>
      <c r="BU93" s="95" t="str">
        <f>IFERROR(__xludf.DUMMYFUNCTION("""COMPUTED_VALUE"""),"B Saya ingin agar teman-teman saya merasa kasihan pada saya apabila saya sakit.")</f>
        <v>B Saya ingin agar teman-teman saya merasa kasihan pada saya apabila saya sakit.</v>
      </c>
      <c r="BV93" s="95" t="str">
        <f>IFERROR(__xludf.DUMMYFUNCTION("""COMPUTED_VALUE"""),"B Saya ingin teman-teman dengan gembira memberikan pertolongan kepada saya.")</f>
        <v>B Saya ingin teman-teman dengan gembira memberikan pertolongan kepada saya.</v>
      </c>
      <c r="BW93" s="95" t="str">
        <f>IFERROR(__xludf.DUMMYFUNCTION("""COMPUTED_VALUE"""),"B Saya ingin diperlakukan dengan baik oleh teman-teman saya.")</f>
        <v>B Saya ingin diperlakukan dengan baik oleh teman-teman saya.</v>
      </c>
      <c r="BX93" s="95" t="str">
        <f>IFERROR(__xludf.DUMMYFUNCTION("""COMPUTED_VALUE"""),"B Saya kadang-kadang suka melakukan hal-hal yang dapat dipuji oleh orang lain.")</f>
        <v>B Saya kadang-kadang suka melakukan hal-hal yang dapat dipuji oleh orang lain.</v>
      </c>
      <c r="BY93" s="95" t="str">
        <f>IFERROR(__xludf.DUMMYFUNCTION("""COMPUTED_VALUE"""),"B Saya ingin orang lain memperhatikan dan berkomentar tentang penampilan saya.")</f>
        <v>B Saya ingin orang lain memperhatikan dan berkomentar tentang penampilan saya.</v>
      </c>
      <c r="BZ93" s="95" t="str">
        <f>IFERROR(__xludf.DUMMYFUNCTION("""COMPUTED_VALUE"""),"B Saya suka diperhatikan, apabila saya ada di dalam suatu kelompok.")</f>
        <v>B Saya suka diperhatikan, apabila saya ada di dalam suatu kelompok.</v>
      </c>
      <c r="CA93" s="95" t="str">
        <f>IFERROR(__xludf.DUMMYFUNCTION("""COMPUTED_VALUE"""),"A Saya ingin teman-teman dengan gembira memberikan pertolongan kepada saya.")</f>
        <v>A Saya ingin teman-teman dengan gembira memberikan pertolongan kepada saya.</v>
      </c>
      <c r="CB93" s="95" t="str">
        <f>IFERROR(__xludf.DUMMYFUNCTION("""COMPUTED_VALUE"""),"B Saya suka berbicara tentang hal-hal yang telah saya capai.")</f>
        <v>B Saya suka berbicara tentang hal-hal yang telah saya capai.</v>
      </c>
      <c r="CC93" s="95" t="str">
        <f>IFERROR(__xludf.DUMMYFUNCTION("""COMPUTED_VALUE"""),"A Apabila saya berkumpul dalam kelompok, saya ingin dihargai teman-teman.")</f>
        <v>A Apabila saya berkumpul dalam kelompok, saya ingin dihargai teman-teman.</v>
      </c>
      <c r="CD93" s="95" t="str">
        <f>IFERROR(__xludf.DUMMYFUNCTION("""COMPUTED_VALUE"""),"A Saya suka menyelesaikan setiap tugas meskipun membutuhkan waktu lama.")</f>
        <v>A Saya suka menyelesaikan setiap tugas meskipun membutuhkan waktu lama.</v>
      </c>
      <c r="CE93" s="95" t="str">
        <f>IFERROR(__xludf.DUMMYFUNCTION("""COMPUTED_VALUE"""),"A Saya suka menyelesaikan setiap tugas belajar yang telah saya mulai.")</f>
        <v>A Saya suka menyelesaikan setiap tugas belajar yang telah saya mulai.</v>
      </c>
      <c r="CF93" s="95" t="str">
        <f>IFERROR(__xludf.DUMMYFUNCTION("""COMPUTED_VALUE"""),"A Saya ingin agar hidup saya teratur sesuai cita-cita saya.")</f>
        <v>A Saya ingin agar hidup saya teratur sesuai cita-cita saya.</v>
      </c>
      <c r="CG93" s="95" t="str">
        <f>IFERROR(__xludf.DUMMYFUNCTION("""COMPUTED_VALUE"""),"A Saya ingin berhasil dalam apa yang saya lakukan.")</f>
        <v>A Saya ingin berhasil dalam apa yang saya lakukan.</v>
      </c>
      <c r="CH93" s="95" t="str">
        <f>IFERROR(__xludf.DUMMYFUNCTION("""COMPUTED_VALUE"""),"A Saya ingin bisa melakukan dengan baik sesuatu pekerjaan sulit.")</f>
        <v>A Saya ingin bisa melakukan dengan baik sesuatu pekerjaan sulit.</v>
      </c>
      <c r="CI93" s="95" t="str">
        <f>IFERROR(__xludf.DUMMYFUNCTION("""COMPUTED_VALUE"""),"A Saya suka belajar saya teratur dan ada waktu-waktu tertentu untuk belajar.")</f>
        <v>A Saya suka belajar saya teratur dan ada waktu-waktu tertentu untuk belajar.</v>
      </c>
      <c r="CJ93" s="95" t="str">
        <f>IFERROR(__xludf.DUMMYFUNCTION("""COMPUTED_VALUE"""),"A Saya ingin tidak tergantung dari orang lain terhadap apa yang akan saya lakukan.")</f>
        <v>A Saya ingin tidak tergantung dari orang lain terhadap apa yang akan saya lakukan.</v>
      </c>
      <c r="CK93" s="95" t="str">
        <f>IFERROR(__xludf.DUMMYFUNCTION("""COMPUTED_VALUE"""),"A Saya suka bertahan menghadapi satu masalah, meskipun belum tentu berhasil.")</f>
        <v>A Saya suka bertahan menghadapi satu masalah, meskipun belum tentu berhasil.</v>
      </c>
      <c r="CL93" s="95" t="str">
        <f>IFERROR(__xludf.DUMMYFUNCTION("""COMPUTED_VALUE"""),"A Saya suka menolong teman-teman saya, apabila mereka dalam kesulitan.")</f>
        <v>A Saya suka menolong teman-teman saya, apabila mereka dalam kesulitan.</v>
      </c>
      <c r="CM93" s="95" t="str">
        <f>IFERROR(__xludf.DUMMYFUNCTION("""COMPUTED_VALUE"""),"A Saya ingin ditunjuk atau dipilih sebagai ketua dalam suatu kelompok.")</f>
        <v>A Saya ingin ditunjuk atau dipilih sebagai ketua dalam suatu kelompok.</v>
      </c>
      <c r="CN93" s="95" t="str">
        <f>IFERROR(__xludf.DUMMYFUNCTION("""COMPUTED_VALUE"""),"A Saya ingin diperlakukan dengan baik oleh teman-teman saya.")</f>
        <v>A Saya ingin diperlakukan dengan baik oleh teman-teman saya.</v>
      </c>
      <c r="CO93" s="95" t="str">
        <f>IFERROR(__xludf.DUMMYFUNCTION("""COMPUTED_VALUE"""),"B Saya suka memuji orang yang saya kagumi.")</f>
        <v>B Saya suka memuji orang yang saya kagumi.</v>
      </c>
      <c r="CP93" s="95" t="str">
        <f>IFERROR(__xludf.DUMMYFUNCTION("""COMPUTED_VALUE"""),"A Saya suka melamun atau membayangkan sesuatu sendirian.")</f>
        <v>A Saya suka melamun atau membayangkan sesuatu sendirian.</v>
      </c>
      <c r="CQ93" s="95" t="str">
        <f>IFERROR(__xludf.DUMMYFUNCTION("""COMPUTED_VALUE"""),"B Saya merasa kagum pada seseorang.")</f>
        <v>B Saya merasa kagum pada seseorang.</v>
      </c>
      <c r="CR93" s="95" t="str">
        <f>IFERROR(__xludf.DUMMYFUNCTION("""COMPUTED_VALUE"""),"B Saya rasanya ingin mengecam seseorang bila orang itu menjengkelkan.")</f>
        <v>B Saya rasanya ingin mengecam seseorang bila orang itu menjengkelkan.</v>
      </c>
      <c r="CS93" s="95" t="str">
        <f>IFERROR(__xludf.DUMMYFUNCTION("""COMPUTED_VALUE"""),"B Saya rasanya ingin membalas dendam bila seseorang menghina saya.")</f>
        <v>B Saya rasanya ingin membalas dendam bila seseorang menghina saya.</v>
      </c>
      <c r="CT93" s="95" t="str">
        <f>IFERROR(__xludf.DUMMYFUNCTION("""COMPUTED_VALUE"""),"A Saya ingin orang-orang memperhatikan komentar mengenai penampilan saya.")</f>
        <v>A Saya ingin orang-orang memperhatikan komentar mengenai penampilan saya.</v>
      </c>
      <c r="CU93" s="95" t="str">
        <f>IFERROR(__xludf.DUMMYFUNCTION("""COMPUTED_VALUE"""),"A Saya ingin diperlakukan dengan ramah oleh teman-teman saya.")</f>
        <v>A Saya ingin diperlakukan dengan ramah oleh teman-teman saya.</v>
      </c>
      <c r="CV93" s="95" t="str">
        <f>IFERROR(__xludf.DUMMYFUNCTION("""COMPUTED_VALUE"""),"A Saya ingin ditunjuk atau dipilih sebagai ketua dalam suatu kelompok.")</f>
        <v>A Saya ingin ditunjuk atau dipilih sebagai ketua dalam suatu kelompok.</v>
      </c>
      <c r="CW93" s="95" t="str">
        <f>IFERROR(__xludf.DUMMYFUNCTION("""COMPUTED_VALUE"""),"A Saya suka menolong teman-teman saya, apabila mereka dalam kesulitan.")</f>
        <v>A Saya suka menolong teman-teman saya, apabila mereka dalam kesulitan.</v>
      </c>
      <c r="CX93" s="95" t="str">
        <f>IFERROR(__xludf.DUMMYFUNCTION("""COMPUTED_VALUE"""),"A Saya suka belajar sampai malam untuk menyelesaikan suatu tugas.")</f>
        <v>A Saya suka belajar sampai malam untuk menyelesaikan suatu tugas.</v>
      </c>
      <c r="CY93" s="95" t="str">
        <f>IFERROR(__xludf.DUMMYFUNCTION("""COMPUTED_VALUE"""),"A Saya ingin tidak tergantung dari orang lain terhadap apa yang akan saya lakukan.")</f>
        <v>A Saya ingin tidak tergantung dari orang lain terhadap apa yang akan saya lakukan.</v>
      </c>
      <c r="CZ93" s="95" t="str">
        <f>IFERROR(__xludf.DUMMYFUNCTION("""COMPUTED_VALUE"""),"A Saya suka merencanakan dan mengatur setiap pekerjaan yang harus saya lakukan.")</f>
        <v>A Saya suka merencanakan dan mengatur setiap pekerjaan yang harus saya lakukan.</v>
      </c>
      <c r="DA93" s="95" t="str">
        <f>IFERROR(__xludf.DUMMYFUNCTION("""COMPUTED_VALUE"""),"A Saya ingin melakukan apa saja sebaik mungkin.")</f>
        <v>A Saya ingin melakukan apa saja sebaik mungkin.</v>
      </c>
      <c r="DB93" s="89" t="s">
        <v>23</v>
      </c>
      <c r="DC93" s="97" t="str">
        <f t="shared" ref="DC93:GX93" si="138">LEFT(F93,1)</f>
        <v>A</v>
      </c>
      <c r="DD93" s="97" t="str">
        <f t="shared" si="138"/>
        <v>A</v>
      </c>
      <c r="DE93" s="97" t="str">
        <f t="shared" si="138"/>
        <v>B</v>
      </c>
      <c r="DF93" s="97" t="str">
        <f t="shared" si="138"/>
        <v>A</v>
      </c>
      <c r="DG93" s="97" t="str">
        <f t="shared" si="138"/>
        <v>A</v>
      </c>
      <c r="DH93" s="97" t="str">
        <f t="shared" si="138"/>
        <v>A</v>
      </c>
      <c r="DI93" s="97" t="str">
        <f t="shared" si="138"/>
        <v>A</v>
      </c>
      <c r="DJ93" s="97" t="str">
        <f t="shared" si="138"/>
        <v>B</v>
      </c>
      <c r="DK93" s="97" t="str">
        <f t="shared" si="138"/>
        <v>B</v>
      </c>
      <c r="DL93" s="97" t="str">
        <f t="shared" si="138"/>
        <v>B</v>
      </c>
      <c r="DM93" s="97" t="str">
        <f t="shared" si="138"/>
        <v>A</v>
      </c>
      <c r="DN93" s="97" t="str">
        <f t="shared" si="138"/>
        <v>B</v>
      </c>
      <c r="DO93" s="97" t="str">
        <f t="shared" si="138"/>
        <v>A</v>
      </c>
      <c r="DP93" s="97" t="str">
        <f t="shared" si="138"/>
        <v>B</v>
      </c>
      <c r="DQ93" s="97" t="str">
        <f t="shared" si="138"/>
        <v>A</v>
      </c>
      <c r="DR93" s="97" t="str">
        <f t="shared" si="138"/>
        <v>A</v>
      </c>
      <c r="DS93" s="97" t="str">
        <f t="shared" si="138"/>
        <v>A</v>
      </c>
      <c r="DT93" s="97" t="str">
        <f t="shared" si="138"/>
        <v>B</v>
      </c>
      <c r="DU93" s="97" t="str">
        <f t="shared" si="138"/>
        <v>A</v>
      </c>
      <c r="DV93" s="97" t="str">
        <f t="shared" si="138"/>
        <v>B</v>
      </c>
      <c r="DW93" s="97" t="str">
        <f t="shared" si="138"/>
        <v>A</v>
      </c>
      <c r="DX93" s="97" t="str">
        <f t="shared" si="138"/>
        <v>A</v>
      </c>
      <c r="DY93" s="97" t="str">
        <f t="shared" si="138"/>
        <v>A</v>
      </c>
      <c r="DZ93" s="97" t="str">
        <f t="shared" si="138"/>
        <v>A</v>
      </c>
      <c r="EA93" s="97" t="str">
        <f t="shared" si="138"/>
        <v>A</v>
      </c>
      <c r="EB93" s="97" t="str">
        <f t="shared" si="138"/>
        <v>A</v>
      </c>
      <c r="EC93" s="97" t="str">
        <f t="shared" si="138"/>
        <v>B</v>
      </c>
      <c r="ED93" s="97" t="str">
        <f t="shared" si="138"/>
        <v>A</v>
      </c>
      <c r="EE93" s="97" t="str">
        <f t="shared" si="138"/>
        <v>B</v>
      </c>
      <c r="EF93" s="97" t="str">
        <f t="shared" si="138"/>
        <v>B</v>
      </c>
      <c r="EG93" s="97" t="str">
        <f t="shared" si="138"/>
        <v>B</v>
      </c>
      <c r="EH93" s="97" t="str">
        <f t="shared" si="138"/>
        <v>B</v>
      </c>
      <c r="EI93" s="97" t="str">
        <f t="shared" si="138"/>
        <v>B</v>
      </c>
      <c r="EJ93" s="97" t="str">
        <f t="shared" si="138"/>
        <v>B</v>
      </c>
      <c r="EK93" s="97" t="str">
        <f t="shared" si="138"/>
        <v>B</v>
      </c>
      <c r="EL93" s="97" t="str">
        <f t="shared" si="138"/>
        <v>B</v>
      </c>
      <c r="EM93" s="97" t="str">
        <f t="shared" si="138"/>
        <v>B</v>
      </c>
      <c r="EN93" s="97" t="str">
        <f t="shared" si="138"/>
        <v>A</v>
      </c>
      <c r="EO93" s="97" t="str">
        <f t="shared" si="138"/>
        <v>B</v>
      </c>
      <c r="EP93" s="97" t="str">
        <f t="shared" si="138"/>
        <v>B</v>
      </c>
      <c r="EQ93" s="97" t="str">
        <f t="shared" si="138"/>
        <v>A</v>
      </c>
      <c r="ER93" s="97" t="str">
        <f t="shared" si="138"/>
        <v>B</v>
      </c>
      <c r="ES93" s="97" t="str">
        <f t="shared" si="138"/>
        <v>B</v>
      </c>
      <c r="ET93" s="97" t="str">
        <f t="shared" si="138"/>
        <v>A</v>
      </c>
      <c r="EU93" s="97" t="str">
        <f t="shared" si="138"/>
        <v>A</v>
      </c>
      <c r="EV93" s="97" t="str">
        <f t="shared" si="138"/>
        <v>B</v>
      </c>
      <c r="EW93" s="97" t="str">
        <f t="shared" si="138"/>
        <v>B</v>
      </c>
      <c r="EX93" s="97" t="str">
        <f t="shared" si="138"/>
        <v>B</v>
      </c>
      <c r="EY93" s="97" t="str">
        <f t="shared" si="138"/>
        <v>A</v>
      </c>
      <c r="EZ93" s="97" t="str">
        <f t="shared" si="138"/>
        <v>B</v>
      </c>
      <c r="FA93" s="97" t="str">
        <f t="shared" si="138"/>
        <v>B</v>
      </c>
      <c r="FB93" s="97" t="str">
        <f t="shared" si="138"/>
        <v>A</v>
      </c>
      <c r="FC93" s="97" t="str">
        <f t="shared" si="138"/>
        <v>B</v>
      </c>
      <c r="FD93" s="97" t="str">
        <f t="shared" si="138"/>
        <v>B</v>
      </c>
      <c r="FE93" s="97" t="str">
        <f t="shared" si="138"/>
        <v>A</v>
      </c>
      <c r="FF93" s="97" t="str">
        <f t="shared" si="138"/>
        <v>A</v>
      </c>
      <c r="FG93" s="97" t="str">
        <f t="shared" si="138"/>
        <v>B</v>
      </c>
      <c r="FH93" s="97" t="str">
        <f t="shared" si="138"/>
        <v>B</v>
      </c>
      <c r="FI93" s="97" t="str">
        <f t="shared" si="138"/>
        <v>B</v>
      </c>
      <c r="FJ93" s="97" t="str">
        <f t="shared" si="138"/>
        <v>A</v>
      </c>
      <c r="FK93" s="97" t="str">
        <f t="shared" si="138"/>
        <v>A</v>
      </c>
      <c r="FL93" s="97" t="str">
        <f t="shared" si="138"/>
        <v>A</v>
      </c>
      <c r="FM93" s="97" t="str">
        <f t="shared" si="138"/>
        <v>A</v>
      </c>
      <c r="FN93" s="97" t="str">
        <f t="shared" si="138"/>
        <v>A</v>
      </c>
      <c r="FO93" s="97" t="str">
        <f t="shared" si="138"/>
        <v>B</v>
      </c>
      <c r="FP93" s="97" t="str">
        <f t="shared" si="138"/>
        <v>B</v>
      </c>
      <c r="FQ93" s="97" t="str">
        <f t="shared" si="138"/>
        <v>B</v>
      </c>
      <c r="FR93" s="97" t="str">
        <f t="shared" si="138"/>
        <v>B</v>
      </c>
      <c r="FS93" s="97" t="str">
        <f t="shared" si="138"/>
        <v>B</v>
      </c>
      <c r="FT93" s="97" t="str">
        <f t="shared" si="138"/>
        <v>B</v>
      </c>
      <c r="FU93" s="97" t="str">
        <f t="shared" si="138"/>
        <v>B</v>
      </c>
      <c r="FV93" s="97" t="str">
        <f t="shared" si="138"/>
        <v>B</v>
      </c>
      <c r="FW93" s="97" t="str">
        <f t="shared" si="138"/>
        <v>B</v>
      </c>
      <c r="FX93" s="97" t="str">
        <f t="shared" si="138"/>
        <v>A</v>
      </c>
      <c r="FY93" s="97" t="str">
        <f t="shared" si="138"/>
        <v>B</v>
      </c>
      <c r="FZ93" s="97" t="str">
        <f t="shared" si="138"/>
        <v>A</v>
      </c>
      <c r="GA93" s="97" t="str">
        <f t="shared" si="138"/>
        <v>A</v>
      </c>
      <c r="GB93" s="97" t="str">
        <f t="shared" si="138"/>
        <v>A</v>
      </c>
      <c r="GC93" s="97" t="str">
        <f t="shared" si="138"/>
        <v>A</v>
      </c>
      <c r="GD93" s="97" t="str">
        <f t="shared" si="138"/>
        <v>A</v>
      </c>
      <c r="GE93" s="97" t="str">
        <f t="shared" si="138"/>
        <v>A</v>
      </c>
      <c r="GF93" s="97" t="str">
        <f t="shared" si="138"/>
        <v>A</v>
      </c>
      <c r="GG93" s="97" t="str">
        <f t="shared" si="138"/>
        <v>A</v>
      </c>
      <c r="GH93" s="97" t="str">
        <f t="shared" si="138"/>
        <v>A</v>
      </c>
      <c r="GI93" s="97" t="str">
        <f t="shared" si="138"/>
        <v>A</v>
      </c>
      <c r="GJ93" s="97" t="str">
        <f t="shared" si="138"/>
        <v>A</v>
      </c>
      <c r="GK93" s="97" t="str">
        <f t="shared" si="138"/>
        <v>A</v>
      </c>
      <c r="GL93" s="97" t="str">
        <f t="shared" si="138"/>
        <v>B</v>
      </c>
      <c r="GM93" s="97" t="str">
        <f t="shared" si="138"/>
        <v>A</v>
      </c>
      <c r="GN93" s="97" t="str">
        <f t="shared" si="138"/>
        <v>B</v>
      </c>
      <c r="GO93" s="97" t="str">
        <f t="shared" si="138"/>
        <v>B</v>
      </c>
      <c r="GP93" s="97" t="str">
        <f t="shared" si="138"/>
        <v>B</v>
      </c>
      <c r="GQ93" s="97" t="str">
        <f t="shared" si="138"/>
        <v>A</v>
      </c>
      <c r="GR93" s="97" t="str">
        <f t="shared" si="138"/>
        <v>A</v>
      </c>
      <c r="GS93" s="97" t="str">
        <f t="shared" si="138"/>
        <v>A</v>
      </c>
      <c r="GT93" s="97" t="str">
        <f t="shared" si="138"/>
        <v>A</v>
      </c>
      <c r="GU93" s="97" t="str">
        <f t="shared" si="138"/>
        <v>A</v>
      </c>
      <c r="GV93" s="97" t="str">
        <f t="shared" si="138"/>
        <v>A</v>
      </c>
      <c r="GW93" s="97" t="str">
        <f t="shared" si="138"/>
        <v>A</v>
      </c>
      <c r="GX93" s="97" t="str">
        <f t="shared" si="138"/>
        <v>A</v>
      </c>
      <c r="GY93" s="98"/>
      <c r="GZ93" s="97">
        <f t="shared" si="3"/>
        <v>54</v>
      </c>
      <c r="HA93" s="97">
        <f t="shared" si="4"/>
        <v>46</v>
      </c>
      <c r="HB93" s="90">
        <f t="shared" si="5"/>
        <v>100</v>
      </c>
      <c r="HC93" s="99"/>
      <c r="HD93" s="97">
        <f t="shared" si="6"/>
        <v>7</v>
      </c>
      <c r="HE93" s="97">
        <f t="shared" si="7"/>
        <v>4</v>
      </c>
      <c r="HF93" s="90">
        <f t="shared" si="8"/>
        <v>11</v>
      </c>
      <c r="HG93" s="99"/>
      <c r="HH93" s="97">
        <f t="shared" si="9"/>
        <v>6</v>
      </c>
      <c r="HI93" s="97">
        <f t="shared" si="10"/>
        <v>4</v>
      </c>
      <c r="HJ93" s="90">
        <f t="shared" si="11"/>
        <v>10</v>
      </c>
      <c r="HK93" s="99"/>
      <c r="HL93" s="97">
        <f t="shared" si="12"/>
        <v>5</v>
      </c>
      <c r="HM93" s="97">
        <f t="shared" si="13"/>
        <v>3</v>
      </c>
      <c r="HN93" s="90">
        <f t="shared" si="14"/>
        <v>8</v>
      </c>
      <c r="HO93" s="99"/>
      <c r="HP93" s="97">
        <f t="shared" si="15"/>
        <v>8</v>
      </c>
      <c r="HQ93" s="97">
        <f t="shared" si="16"/>
        <v>9</v>
      </c>
      <c r="HR93" s="90">
        <f t="shared" si="17"/>
        <v>17</v>
      </c>
      <c r="HS93" s="99"/>
      <c r="HT93" s="97">
        <f t="shared" si="18"/>
        <v>7</v>
      </c>
      <c r="HU93" s="97">
        <f t="shared" si="19"/>
        <v>6</v>
      </c>
      <c r="HV93" s="90">
        <f t="shared" si="20"/>
        <v>13</v>
      </c>
      <c r="HW93" s="99"/>
      <c r="HX93" s="97">
        <f t="shared" si="21"/>
        <v>5</v>
      </c>
      <c r="HY93" s="97">
        <f t="shared" si="22"/>
        <v>6</v>
      </c>
      <c r="HZ93" s="90">
        <f t="shared" si="23"/>
        <v>11</v>
      </c>
      <c r="IA93" s="99"/>
      <c r="IB93" s="97">
        <f t="shared" si="24"/>
        <v>4</v>
      </c>
      <c r="IC93" s="97">
        <f t="shared" si="25"/>
        <v>6</v>
      </c>
      <c r="ID93" s="90">
        <f t="shared" si="26"/>
        <v>10</v>
      </c>
      <c r="IE93" s="99"/>
      <c r="IF93" s="97">
        <f t="shared" si="27"/>
        <v>3</v>
      </c>
      <c r="IG93" s="97">
        <f t="shared" si="28"/>
        <v>4</v>
      </c>
      <c r="IH93" s="90">
        <f t="shared" si="29"/>
        <v>7</v>
      </c>
      <c r="II93" s="99"/>
      <c r="IJ93" s="97">
        <f t="shared" si="30"/>
        <v>2</v>
      </c>
      <c r="IK93" s="97">
        <f t="shared" si="31"/>
        <v>2</v>
      </c>
      <c r="IL93" s="90">
        <f t="shared" si="32"/>
        <v>4</v>
      </c>
      <c r="IM93" s="99"/>
      <c r="IN93" s="97">
        <f t="shared" si="33"/>
        <v>1</v>
      </c>
      <c r="IO93" s="97">
        <f t="shared" si="34"/>
        <v>2</v>
      </c>
      <c r="IP93" s="90">
        <f t="shared" si="35"/>
        <v>3</v>
      </c>
      <c r="IQ93" s="99"/>
      <c r="IR93" s="99"/>
      <c r="IS93" s="100">
        <f t="shared" si="36"/>
        <v>11</v>
      </c>
      <c r="IT93" s="100">
        <f t="shared" si="37"/>
        <v>10</v>
      </c>
      <c r="IU93" s="100">
        <f t="shared" si="38"/>
        <v>8</v>
      </c>
      <c r="IV93" s="100">
        <f t="shared" si="39"/>
        <v>17</v>
      </c>
      <c r="IW93" s="100">
        <f t="shared" si="40"/>
        <v>13</v>
      </c>
      <c r="IX93" s="100">
        <f t="shared" si="41"/>
        <v>11</v>
      </c>
      <c r="IY93" s="100">
        <f t="shared" si="42"/>
        <v>10</v>
      </c>
      <c r="IZ93" s="100">
        <f t="shared" si="43"/>
        <v>7</v>
      </c>
      <c r="JA93" s="100">
        <f t="shared" si="44"/>
        <v>4</v>
      </c>
      <c r="JB93" s="101">
        <f t="shared" si="45"/>
        <v>3</v>
      </c>
      <c r="JC93" s="102">
        <f t="shared" si="46"/>
        <v>94</v>
      </c>
      <c r="JD93" s="67">
        <f t="shared" si="50"/>
        <v>0</v>
      </c>
      <c r="JE93" s="67">
        <f t="shared" si="47"/>
        <v>2</v>
      </c>
      <c r="JF93" s="67">
        <f t="shared" si="48"/>
        <v>2</v>
      </c>
    </row>
    <row r="94">
      <c r="A94" s="103">
        <f>IFERROR(__xludf.DUMMYFUNCTION("""COMPUTED_VALUE"""),45942.474444374995)</f>
        <v>45942.47444</v>
      </c>
      <c r="B94" s="95" t="str">
        <f>IFERROR(__xludf.DUMMYFUNCTION("""COMPUTED_VALUE"""),"Adhyasta widyadhana")</f>
        <v>Adhyasta widyadhana</v>
      </c>
      <c r="C94" s="96" t="str">
        <f>IFERROR(__xludf.DUMMYFUNCTION("""COMPUTED_VALUE"""),"C250014")</f>
        <v>C250014</v>
      </c>
      <c r="D94" s="96" t="str">
        <f>IFERROR(__xludf.DUMMYFUNCTION("""COMPUTED_VALUE"""),"SMA")</f>
        <v>SMA</v>
      </c>
      <c r="E94" s="96" t="str">
        <f>IFERROR(__xludf.DUMMYFUNCTION("""COMPUTED_VALUE"""),"Ya")</f>
        <v>Ya</v>
      </c>
      <c r="F94" s="95" t="str">
        <f>IFERROR(__xludf.DUMMYFUNCTION("""COMPUTED_VALUE"""),"A Saya ingin mengerjakan segala tugas lebih baik daripada orang lain.")</f>
        <v>A Saya ingin mengerjakan segala tugas lebih baik daripada orang lain.</v>
      </c>
      <c r="G94" s="95" t="str">
        <f>IFERROR(__xludf.DUMMYFUNCTION("""COMPUTED_VALUE"""),"A Saya ingin setiap tulisan saya teliti, rapi, dan tersusun dengan baik.")</f>
        <v>A Saya ingin setiap tulisan saya teliti, rapi, dan tersusun dengan baik.</v>
      </c>
      <c r="H94" s="95" t="str">
        <f>IFERROR(__xludf.DUMMYFUNCTION("""COMPUTED_VALUE"""),"B Saya ingin menjadi orang yang diakui dalam suatu pekerjaan atau bidang khusus.")</f>
        <v>B Saya ingin menjadi orang yang diakui dalam suatu pekerjaan atau bidang khusus.</v>
      </c>
      <c r="I94" s="95" t="str">
        <f>IFERROR(__xludf.DUMMYFUNCTION("""COMPUTED_VALUE"""),"B Saya ingin bisa melakukan dengan baik meskipun tugas yang sulit.")</f>
        <v>B Saya ingin bisa melakukan dengan baik meskipun tugas yang sulit.</v>
      </c>
      <c r="J94" s="95" t="str">
        <f>IFERROR(__xludf.DUMMYFUNCTION("""COMPUTED_VALUE"""),"A Saya suka membantu teman-teman saya apabila mereka mengalami kesulitan.")</f>
        <v>A Saya suka membantu teman-teman saya apabila mereka mengalami kesulitan.</v>
      </c>
      <c r="K94" s="95" t="str">
        <f>IFERROR(__xludf.DUMMYFUNCTION("""COMPUTED_VALUE"""),"B Saya ingin mengatakan telah melakukan dengan baik sesuatu tugas yang sulit.")</f>
        <v>B Saya ingin mengatakan telah melakukan dengan baik sesuatu tugas yang sulit.</v>
      </c>
      <c r="L94" s="95" t="str">
        <f>IFERROR(__xludf.DUMMYFUNCTION("""COMPUTED_VALUE"""),"B Saya ingin mengatakan telah melakukan dengan baik sesuatu tugas yang sulit")</f>
        <v>B Saya ingin mengatakan telah melakukan dengan baik sesuatu tugas yang sulit</v>
      </c>
      <c r="M94" s="95" t="str">
        <f>IFERROR(__xludf.DUMMYFUNCTION("""COMPUTED_VALUE"""),"A Saya suka berbicara tentang hal-hal yang telah berhasil saya lakukan.")</f>
        <v>A Saya suka berbicara tentang hal-hal yang telah berhasil saya lakukan.</v>
      </c>
      <c r="N94" s="95" t="str">
        <f>IFERROR(__xludf.DUMMYFUNCTION("""COMPUTED_VALUE"""),"B Saya suka memecahkan persoalan yang sukar bagi orang lain.")</f>
        <v>B Saya suka memecahkan persoalan yang sukar bagi orang lain.</v>
      </c>
      <c r="O94" s="95" t="str">
        <f>IFERROR(__xludf.DUMMYFUNCTION("""COMPUTED_VALUE"""),"B Saya suka melakukan tugas sebaik mungkin.")</f>
        <v>B Saya suka melakukan tugas sebaik mungkin.</v>
      </c>
      <c r="P94" s="95" t="str">
        <f>IFERROR(__xludf.DUMMYFUNCTION("""COMPUTED_VALUE"""),"B Saya ingin setiap belajar itu teratur dan direncanakan.")</f>
        <v>B Saya ingin setiap belajar itu teratur dan direncanakan.</v>
      </c>
      <c r="Q94" s="95" t="str">
        <f>IFERROR(__xludf.DUMMYFUNCTION("""COMPUTED_VALUE"""),"B Saya merencanakan keperluan yang dibutuhkan sebelum bepergian.")</f>
        <v>B Saya merencanakan keperluan yang dibutuhkan sebelum bepergian.</v>
      </c>
      <c r="R94" s="95" t="str">
        <f>IFERROR(__xludf.DUMMYFUNCTION("""COMPUTED_VALUE"""),"B Saya suka barang-barang saya tersusun rapi dan teratur.")</f>
        <v>B Saya suka barang-barang saya tersusun rapi dan teratur.</v>
      </c>
      <c r="S94" s="95" t="str">
        <f>IFERROR(__xludf.DUMMYFUNCTION("""COMPUTED_VALUE"""),"B Saya suka membuat perencanaan sebelum memulai tugas yang sulit.")</f>
        <v>B Saya suka membuat perencanaan sebelum memulai tugas yang sulit.</v>
      </c>
      <c r="T94" s="95" t="str">
        <f>IFERROR(__xludf.DUMMYFUNCTION("""COMPUTED_VALUE"""),"B Saya ingin agar hidup saya teratur sesuai cita-cita saya.")</f>
        <v>B Saya ingin agar hidup saya teratur sesuai cita-cita saya.</v>
      </c>
      <c r="U94" s="95" t="str">
        <f>IFERROR(__xludf.DUMMYFUNCTION("""COMPUTED_VALUE"""),"A Saya suka memberikan bantuan kepada teman-teman saya.")</f>
        <v>A Saya suka memberikan bantuan kepada teman-teman saya.</v>
      </c>
      <c r="V94" s="95" t="str">
        <f>IFERROR(__xludf.DUMMYFUNCTION("""COMPUTED_VALUE"""),"B Saya suka belajar saya teratur dan ada waktu-waktu tertentu untuk belajar.")</f>
        <v>B Saya suka belajar saya teratur dan ada waktu-waktu tertentu untuk belajar.</v>
      </c>
      <c r="W94" s="95" t="str">
        <f>IFERROR(__xludf.DUMMYFUNCTION("""COMPUTED_VALUE"""),"A Saya suka melakukan kegiatan sesuai kondisi yang saya inginkan.")</f>
        <v>A Saya suka melakukan kegiatan sesuai kondisi yang saya inginkan.</v>
      </c>
      <c r="X94" s="95" t="str">
        <f>IFERROR(__xludf.DUMMYFUNCTION("""COMPUTED_VALUE"""),"A Saya suka merencanakan dan mengatur setiap apa yang harus saya lakukan.")</f>
        <v>A Saya suka merencanakan dan mengatur setiap apa yang harus saya lakukan.</v>
      </c>
      <c r="Y94" s="95" t="str">
        <f>IFERROR(__xludf.DUMMYFUNCTION("""COMPUTED_VALUE"""),"B Saya senang merencanakan untuk masa depan.")</f>
        <v>B Saya senang merencanakan untuk masa depan.</v>
      </c>
      <c r="Z94" s="95" t="str">
        <f>IFERROR(__xludf.DUMMYFUNCTION("""COMPUTED_VALUE"""),"A Saya ingin berhasil dengan belajar yang saya lakukan.")</f>
        <v>A Saya ingin berhasil dengan belajar yang saya lakukan.</v>
      </c>
      <c r="AA94" s="95" t="str">
        <f>IFERROR(__xludf.DUMMYFUNCTION("""COMPUTED_VALUE"""),"B Saya tidak suka pada orang yang berbuat seenaknya sendiri.")</f>
        <v>B Saya tidak suka pada orang yang berbuat seenaknya sendiri.</v>
      </c>
      <c r="AB94" s="95" t="str">
        <f>IFERROR(__xludf.DUMMYFUNCTION("""COMPUTED_VALUE"""),"B Saya ingin menyelesaikan pekerjaan satu persatu sebelum memulai yang lain.")</f>
        <v>B Saya ingin menyelesaikan pekerjaan satu persatu sebelum memulai yang lain.</v>
      </c>
      <c r="AC94" s="95" t="str">
        <f>IFERROR(__xludf.DUMMYFUNCTION("""COMPUTED_VALUE"""),"A Saya suka menyelesaikan setiap tugas meskipun membutuhkan waktu lama.")</f>
        <v>A Saya suka menyelesaikan setiap tugas meskipun membutuhkan waktu lama.</v>
      </c>
      <c r="AD94" s="95" t="str">
        <f>IFERROR(__xludf.DUMMYFUNCTION("""COMPUTED_VALUE"""),"A Saya suka bermurah hati terhadap teman-teman saya.")</f>
        <v>A Saya suka bermurah hati terhadap teman-teman saya.</v>
      </c>
      <c r="AE94" s="95" t="str">
        <f>IFERROR(__xludf.DUMMYFUNCTION("""COMPUTED_VALUE"""),"A Saya ingin dianggap sebagai pemimpin oleh teman di kelompok.")</f>
        <v>A Saya ingin dianggap sebagai pemimpin oleh teman di kelompok.</v>
      </c>
      <c r="AF94" s="95" t="str">
        <f>IFERROR(__xludf.DUMMYFUNCTION("""COMPUTED_VALUE"""),"A Saya ingin agar teman-teman mengerti bila saya mengalami kesukaran.")</f>
        <v>A Saya ingin agar teman-teman mengerti bila saya mengalami kesukaran.</v>
      </c>
      <c r="AG94" s="95" t="str">
        <f>IFERROR(__xludf.DUMMYFUNCTION("""COMPUTED_VALUE"""),"A Saya mengajari orang lain bagaimana mereka harus melakukan pekerjaan mereka.")</f>
        <v>A Saya mengajari orang lain bagaimana mereka harus melakukan pekerjaan mereka.</v>
      </c>
      <c r="AH94" s="95" t="str">
        <f>IFERROR(__xludf.DUMMYFUNCTION("""COMPUTED_VALUE"""),"A Saya suka membaca buku-buku tentang pergaulan remaja.")</f>
        <v>A Saya suka membaca buku-buku tentang pergaulan remaja.</v>
      </c>
      <c r="AI94" s="95" t="str">
        <f>IFERROR(__xludf.DUMMYFUNCTION("""COMPUTED_VALUE"""),"B Saya suka melakukan kegiatan sesuai kondisi yang saya inginkan.")</f>
        <v>B Saya suka melakukan kegiatan sesuai kondisi yang saya inginkan.</v>
      </c>
      <c r="AJ94" s="95" t="str">
        <f>IFERROR(__xludf.DUMMYFUNCTION("""COMPUTED_VALUE"""),"B Saya suka bertahan menghadapi satu masalah meskipun belum tentu berhasil.")</f>
        <v>B Saya suka bertahan menghadapi satu masalah meskipun belum tentu berhasil.</v>
      </c>
      <c r="AK94" s="95" t="str">
        <f>IFERROR(__xludf.DUMMYFUNCTION("""COMPUTED_VALUE"""),"B Bila saya harus melakukan suatu tugas, saya ingin mengerjakan sampai selesai.")</f>
        <v>B Bila saya harus melakukan suatu tugas, saya ingin mengerjakan sampai selesai.</v>
      </c>
      <c r="AL94" s="95" t="str">
        <f>IFERROR(__xludf.DUMMYFUNCTION("""COMPUTED_VALUE"""),"B Saya ingin menghindarkan gangguan bila saya sedang belajar.")</f>
        <v>B Saya ingin menghindarkan gangguan bila saya sedang belajar.</v>
      </c>
      <c r="AM94" s="95" t="str">
        <f>IFERROR(__xludf.DUMMYFUNCTION("""COMPUTED_VALUE"""),"A Saya ingin teman-teman saya merasa kasihan pada saya apabila saya sakit.")</f>
        <v>A Saya ingin teman-teman saya merasa kasihan pada saya apabila saya sakit.</v>
      </c>
      <c r="AN94" s="95" t="str">
        <f>IFERROR(__xludf.DUMMYFUNCTION("""COMPUTED_VALUE"""),"A Saya tidak suka pada orang yang semena-mena.")</f>
        <v>A Saya tidak suka pada orang yang semena-mena.</v>
      </c>
      <c r="AO94" s="95" t="str">
        <f>IFERROR(__xludf.DUMMYFUNCTION("""COMPUTED_VALUE"""),"A Saya suka berlaku sangat ramah terhadap teman-teman saya.")</f>
        <v>A Saya suka berlaku sangat ramah terhadap teman-teman saya.</v>
      </c>
      <c r="AP94" s="95" t="str">
        <f>IFERROR(__xludf.DUMMYFUNCTION("""COMPUTED_VALUE"""),"A Saya ingin mengerjakannya tugas sampai selesai.")</f>
        <v>A Saya ingin mengerjakannya tugas sampai selesai.</v>
      </c>
      <c r="AQ94" s="95" t="str">
        <f>IFERROR(__xludf.DUMMYFUNCTION("""COMPUTED_VALUE"""),"A Saya ingin bisa mengerjakan segala sesuatu lebih baik daripada orang-orang lain.")</f>
        <v>A Saya ingin bisa mengerjakan segala sesuatu lebih baik daripada orang-orang lain.</v>
      </c>
      <c r="AR94" s="95" t="str">
        <f>IFERROR(__xludf.DUMMYFUNCTION("""COMPUTED_VALUE"""),"A Saya suka menyimpan catatan secara rapi.")</f>
        <v>A Saya suka menyimpan catatan secara rapi.</v>
      </c>
      <c r="AS94" s="95" t="str">
        <f>IFERROR(__xludf.DUMMYFUNCTION("""COMPUTED_VALUE"""),"A Saya ingin dapat menyelesaikan persoalan yang dianggap sukar bagi orang lain.")</f>
        <v>A Saya ingin dapat menyelesaikan persoalan yang dianggap sukar bagi orang lain.</v>
      </c>
      <c r="AT94" s="95" t="str">
        <f>IFERROR(__xludf.DUMMYFUNCTION("""COMPUTED_VALUE"""),"B Saya suka membantu orang lain yang menurut saya perlu dikasihani.")</f>
        <v>B Saya suka membantu orang lain yang menurut saya perlu dikasihani.</v>
      </c>
      <c r="AU94" s="95" t="str">
        <f>IFERROR(__xludf.DUMMYFUNCTION("""COMPUTED_VALUE"""),"A Saya ingin menyelesaikan pekerjaan satu persatu sebelum memulai yang lain.")</f>
        <v>A Saya ingin menyelesaikan pekerjaan satu persatu sebelum memulai yang lain.</v>
      </c>
      <c r="AV94" s="95" t="str">
        <f>IFERROR(__xludf.DUMMYFUNCTION("""COMPUTED_VALUE"""),"B Saya suka menolong teman-teman saya.")</f>
        <v>B Saya suka menolong teman-teman saya.</v>
      </c>
      <c r="AW94" s="95" t="str">
        <f>IFERROR(__xludf.DUMMYFUNCTION("""COMPUTED_VALUE"""),"B Saya ingin teman-teman saya percaya bahwa saya bisa menolong mereka.")</f>
        <v>B Saya ingin teman-teman saya percaya bahwa saya bisa menolong mereka.</v>
      </c>
      <c r="AX94" s="95" t="str">
        <f>IFERROR(__xludf.DUMMYFUNCTION("""COMPUTED_VALUE"""),"B Saya suka memaafkan teman-teman saya yang menyakiti hati saya.")</f>
        <v>B Saya suka memaafkan teman-teman saya yang menyakiti hati saya.</v>
      </c>
      <c r="AY94" s="95" t="str">
        <f>IFERROR(__xludf.DUMMYFUNCTION("""COMPUTED_VALUE"""),"B Saya suka menolong teman-teman saya apabila mereka dalam kesulitan.")</f>
        <v>B Saya suka menolong teman-teman saya apabila mereka dalam kesulitan.</v>
      </c>
      <c r="AZ94" s="95" t="str">
        <f>IFERROR(__xludf.DUMMYFUNCTION("""COMPUTED_VALUE"""),"B Saya suka menunjukkan simpati saya kepada teman-teman saya.")</f>
        <v>B Saya suka menunjukkan simpati saya kepada teman-teman saya.</v>
      </c>
      <c r="BA94" s="95" t="str">
        <f>IFERROR(__xludf.DUMMYFUNCTION("""COMPUTED_VALUE"""),"B Saya suka memperlakukan orang lain dengan baik dan ramah.")</f>
        <v>B Saya suka memperlakukan orang lain dengan baik dan ramah.</v>
      </c>
      <c r="BB94" s="95" t="str">
        <f>IFERROR(__xludf.DUMMYFUNCTION("""COMPUTED_VALUE"""),"B Saya suka bermurah hati terhadap teman-teman saya.")</f>
        <v>B Saya suka bermurah hati terhadap teman-teman saya.</v>
      </c>
      <c r="BC94" s="95" t="str">
        <f>IFERROR(__xludf.DUMMYFUNCTION("""COMPUTED_VALUE"""),"B Saya suka membantu orang lain yang menurut saya perlu dikasihani.")</f>
        <v>B Saya suka membantu orang lain yang menurut saya perlu dikasihani.</v>
      </c>
      <c r="BD94" s="95" t="str">
        <f>IFERROR(__xludf.DUMMYFUNCTION("""COMPUTED_VALUE"""),"A Saya rasanya ingin menyalahkan orang lain bila keadaan tidak baik bagi saya.")</f>
        <v>A Saya rasanya ingin menyalahkan orang lain bila keadaan tidak baik bagi saya.</v>
      </c>
      <c r="BE94" s="95" t="str">
        <f>IFERROR(__xludf.DUMMYFUNCTION("""COMPUTED_VALUE"""),"B Saya ingin orang lain melakukan apa yang saya kehendaki.")</f>
        <v>B Saya ingin orang lain melakukan apa yang saya kehendaki.</v>
      </c>
      <c r="BF94" s="95" t="str">
        <f>IFERROR(__xludf.DUMMYFUNCTION("""COMPUTED_VALUE"""),"A Saya ingin orang lain memperhatikan dan berkomentar tentang penampilan saya.")</f>
        <v>A Saya ingin orang lain memperhatikan dan berkomentar tentang penampilan saya.</v>
      </c>
      <c r="BG94" s="95" t="str">
        <f>IFERROR(__xludf.DUMMYFUNCTION("""COMPUTED_VALUE"""),"B Saya suka mengarahkan kepada orang lain apa yang harus dilakukan.")</f>
        <v>B Saya suka mengarahkan kepada orang lain apa yang harus dilakukan.</v>
      </c>
      <c r="BH94" s="95" t="str">
        <f>IFERROR(__xludf.DUMMYFUNCTION("""COMPUTED_VALUE"""),"B Apabila saya berkumpul dalam kelompok, saya ingin dihargai teman-teman.")</f>
        <v>B Apabila saya berkumpul dalam kelompok, saya ingin dihargai teman-teman.</v>
      </c>
      <c r="BI94" s="95" t="str">
        <f>IFERROR(__xludf.DUMMYFUNCTION("""COMPUTED_VALUE"""),"A Saya suka bermurah hati terhadap teman-teman saya.")</f>
        <v>A Saya suka bermurah hati terhadap teman-teman saya.</v>
      </c>
      <c r="BJ94" s="95" t="str">
        <f>IFERROR(__xludf.DUMMYFUNCTION("""COMPUTED_VALUE"""),"A Saya ingin mengerjakan tugas sampai selesai.")</f>
        <v>A Saya ingin mengerjakan tugas sampai selesai.</v>
      </c>
      <c r="BK94" s="95" t="str">
        <f>IFERROR(__xludf.DUMMYFUNCTION("""COMPUTED_VALUE"""),"B Saya senang untuk diminta menyelesaikan pertentangan-pertentangan.")</f>
        <v>B Saya senang untuk diminta menyelesaikan pertentangan-pertentangan.</v>
      </c>
      <c r="BL94" s="95" t="str">
        <f>IFERROR(__xludf.DUMMYFUNCTION("""COMPUTED_VALUE"""),"A Saya suka belajar saya teratur dan ada waktu-waktu tertentu untuk belajar.")</f>
        <v>A Saya suka belajar saya teratur dan ada waktu-waktu tertentu untuk belajar.</v>
      </c>
      <c r="BM94" s="95" t="str">
        <f>IFERROR(__xludf.DUMMYFUNCTION("""COMPUTED_VALUE"""),"A Saya suka melakukan pekerjaan sebaik mungkin.")</f>
        <v>A Saya suka melakukan pekerjaan sebaik mungkin.</v>
      </c>
      <c r="BN94" s="95" t="str">
        <f>IFERROR(__xludf.DUMMYFUNCTION("""COMPUTED_VALUE"""),"B Saya ingin teman-teman memberi dorongan bila saya menghadapi kegagalan.")</f>
        <v>B Saya ingin teman-teman memberi dorongan bila saya menghadapi kegagalan.</v>
      </c>
      <c r="BO94" s="95" t="str">
        <f>IFERROR(__xludf.DUMMYFUNCTION("""COMPUTED_VALUE"""),"A Saya suka membuat perencanaan sebelum memulai belajar yang sulit.")</f>
        <v>A Saya suka membuat perencanaan sebelum memulai belajar yang sulit.</v>
      </c>
      <c r="BP94" s="95" t="str">
        <f>IFERROR(__xludf.DUMMYFUNCTION("""COMPUTED_VALUE"""),"A Saya ingin menyelesaikan sesuatu yang sangat penting artinya.")</f>
        <v>A Saya ingin menyelesaikan sesuatu yang sangat penting artinya.</v>
      </c>
      <c r="BQ94" s="95" t="str">
        <f>IFERROR(__xludf.DUMMYFUNCTION("""COMPUTED_VALUE"""),"A Saya ingin mengerjakannya tugas sampai selesai.")</f>
        <v>A Saya ingin mengerjakannya tugas sampai selesai.</v>
      </c>
      <c r="BR94" s="95" t="str">
        <f>IFERROR(__xludf.DUMMYFUNCTION("""COMPUTED_VALUE"""),"A Saya suka memaafkan teman-teman saya yang menyakiti hati saya.")</f>
        <v>A Saya suka memaafkan teman-teman saya yang menyakiti hati saya.</v>
      </c>
      <c r="BS94" s="95" t="str">
        <f>IFERROR(__xludf.DUMMYFUNCTION("""COMPUTED_VALUE"""),"B Saya ingin teman-teman saya membantu saya bila saya mengalami kesulitan")</f>
        <v>B Saya ingin teman-teman saya membantu saya bila saya mengalami kesulitan</v>
      </c>
      <c r="BT94" s="95" t="str">
        <f>IFERROR(__xludf.DUMMYFUNCTION("""COMPUTED_VALUE"""),"B Saya ingin teman-teman banyak menunjukkan rasa sayang mereka terhadap saya.")</f>
        <v>B Saya ingin teman-teman banyak menunjukkan rasa sayang mereka terhadap saya.</v>
      </c>
      <c r="BU94" s="95" t="str">
        <f>IFERROR(__xludf.DUMMYFUNCTION("""COMPUTED_VALUE"""),"B Saya ingin agar teman-teman saya merasa kasihan pada saya apabila saya sakit.")</f>
        <v>B Saya ingin agar teman-teman saya merasa kasihan pada saya apabila saya sakit.</v>
      </c>
      <c r="BV94" s="95" t="str">
        <f>IFERROR(__xludf.DUMMYFUNCTION("""COMPUTED_VALUE"""),"B Saya ingin teman-teman dengan gembira memberikan pertolongan kepada saya.")</f>
        <v>B Saya ingin teman-teman dengan gembira memberikan pertolongan kepada saya.</v>
      </c>
      <c r="BW94" s="95" t="str">
        <f>IFERROR(__xludf.DUMMYFUNCTION("""COMPUTED_VALUE"""),"B Saya ingin diperlakukan dengan baik oleh teman-teman saya.")</f>
        <v>B Saya ingin diperlakukan dengan baik oleh teman-teman saya.</v>
      </c>
      <c r="BX94" s="95" t="str">
        <f>IFERROR(__xludf.DUMMYFUNCTION("""COMPUTED_VALUE"""),"B Saya kadang-kadang suka melakukan hal-hal yang dapat dipuji oleh orang lain.")</f>
        <v>B Saya kadang-kadang suka melakukan hal-hal yang dapat dipuji oleh orang lain.</v>
      </c>
      <c r="BY94" s="95" t="str">
        <f>IFERROR(__xludf.DUMMYFUNCTION("""COMPUTED_VALUE"""),"B Saya ingin orang lain memperhatikan dan berkomentar tentang penampilan saya.")</f>
        <v>B Saya ingin orang lain memperhatikan dan berkomentar tentang penampilan saya.</v>
      </c>
      <c r="BZ94" s="95" t="str">
        <f>IFERROR(__xludf.DUMMYFUNCTION("""COMPUTED_VALUE"""),"A Saya suka berkata yang artinya sulit dipahami oleh orang lain.")</f>
        <v>A Saya suka berkata yang artinya sulit dipahami oleh orang lain.</v>
      </c>
      <c r="CA94" s="95" t="str">
        <f>IFERROR(__xludf.DUMMYFUNCTION("""COMPUTED_VALUE"""),"A Saya ingin teman-teman dengan gembira memberikan pertolongan kepada saya.")</f>
        <v>A Saya ingin teman-teman dengan gembira memberikan pertolongan kepada saya.</v>
      </c>
      <c r="CB94" s="95" t="str">
        <f>IFERROR(__xludf.DUMMYFUNCTION("""COMPUTED_VALUE"""),"B Saya suka berbicara tentang hal-hal yang telah saya capai.")</f>
        <v>B Saya suka berbicara tentang hal-hal yang telah saya capai.</v>
      </c>
      <c r="CC94" s="95" t="str">
        <f>IFERROR(__xludf.DUMMYFUNCTION("""COMPUTED_VALUE"""),"A Apabila saya berkumpul dalam kelompok, saya ingin dihargai teman-teman.")</f>
        <v>A Apabila saya berkumpul dalam kelompok, saya ingin dihargai teman-teman.</v>
      </c>
      <c r="CD94" s="95" t="str">
        <f>IFERROR(__xludf.DUMMYFUNCTION("""COMPUTED_VALUE"""),"A Saya suka menyelesaikan setiap tugas meskipun membutuhkan waktu lama.")</f>
        <v>A Saya suka menyelesaikan setiap tugas meskipun membutuhkan waktu lama.</v>
      </c>
      <c r="CE94" s="95" t="str">
        <f>IFERROR(__xludf.DUMMYFUNCTION("""COMPUTED_VALUE"""),"A Saya suka menyelesaikan setiap tugas belajar yang telah saya mulai.")</f>
        <v>A Saya suka menyelesaikan setiap tugas belajar yang telah saya mulai.</v>
      </c>
      <c r="CF94" s="95" t="str">
        <f>IFERROR(__xludf.DUMMYFUNCTION("""COMPUTED_VALUE"""),"A Saya ingin agar hidup saya teratur sesuai cita-cita saya.")</f>
        <v>A Saya ingin agar hidup saya teratur sesuai cita-cita saya.</v>
      </c>
      <c r="CG94" s="95" t="str">
        <f>IFERROR(__xludf.DUMMYFUNCTION("""COMPUTED_VALUE"""),"A Saya ingin berhasil dalam apa yang saya lakukan.")</f>
        <v>A Saya ingin berhasil dalam apa yang saya lakukan.</v>
      </c>
      <c r="CH94" s="95" t="str">
        <f>IFERROR(__xludf.DUMMYFUNCTION("""COMPUTED_VALUE"""),"B Saya suka dengan orang yang berpenampilan menarik.")</f>
        <v>B Saya suka dengan orang yang berpenampilan menarik.</v>
      </c>
      <c r="CI94" s="95" t="str">
        <f>IFERROR(__xludf.DUMMYFUNCTION("""COMPUTED_VALUE"""),"A Saya suka belajar saya teratur dan ada waktu-waktu tertentu untuk belajar.")</f>
        <v>A Saya suka belajar saya teratur dan ada waktu-waktu tertentu untuk belajar.</v>
      </c>
      <c r="CJ94" s="95" t="str">
        <f>IFERROR(__xludf.DUMMYFUNCTION("""COMPUTED_VALUE"""),"A Saya ingin tidak tergantung dari orang lain terhadap apa yang akan saya lakukan.")</f>
        <v>A Saya ingin tidak tergantung dari orang lain terhadap apa yang akan saya lakukan.</v>
      </c>
      <c r="CK94" s="95" t="str">
        <f>IFERROR(__xludf.DUMMYFUNCTION("""COMPUTED_VALUE"""),"B Saya senang ikut beraktivitas bersama teman sebaya saya.")</f>
        <v>B Saya senang ikut beraktivitas bersama teman sebaya saya.</v>
      </c>
      <c r="CL94" s="95" t="str">
        <f>IFERROR(__xludf.DUMMYFUNCTION("""COMPUTED_VALUE"""),"A Saya suka menolong teman-teman saya, apabila mereka dalam kesulitan.")</f>
        <v>A Saya suka menolong teman-teman saya, apabila mereka dalam kesulitan.</v>
      </c>
      <c r="CM94" s="95" t="str">
        <f>IFERROR(__xludf.DUMMYFUNCTION("""COMPUTED_VALUE"""),"A Saya ingin ditunjuk atau dipilih sebagai ketua dalam suatu kelompok.")</f>
        <v>A Saya ingin ditunjuk atau dipilih sebagai ketua dalam suatu kelompok.</v>
      </c>
      <c r="CN94" s="95" t="str">
        <f>IFERROR(__xludf.DUMMYFUNCTION("""COMPUTED_VALUE"""),"A Saya ingin diperlakukan dengan baik oleh teman-teman saya.")</f>
        <v>A Saya ingin diperlakukan dengan baik oleh teman-teman saya.</v>
      </c>
      <c r="CO94" s="95" t="str">
        <f>IFERROR(__xludf.DUMMYFUNCTION("""COMPUTED_VALUE"""),"B Saya suka memuji orang yang saya kagumi.")</f>
        <v>B Saya suka memuji orang yang saya kagumi.</v>
      </c>
      <c r="CP94" s="95" t="str">
        <f>IFERROR(__xludf.DUMMYFUNCTION("""COMPUTED_VALUE"""),"A Saya suka melamun atau membayangkan sesuatu sendirian.")</f>
        <v>A Saya suka melamun atau membayangkan sesuatu sendirian.</v>
      </c>
      <c r="CQ94" s="95" t="str">
        <f>IFERROR(__xludf.DUMMYFUNCTION("""COMPUTED_VALUE"""),"B Saya merasa kagum pada seseorang.")</f>
        <v>B Saya merasa kagum pada seseorang.</v>
      </c>
      <c r="CR94" s="95" t="str">
        <f>IFERROR(__xludf.DUMMYFUNCTION("""COMPUTED_VALUE"""),"B Saya rasanya ingin mengecam seseorang bila orang itu menjengkelkan.")</f>
        <v>B Saya rasanya ingin mengecam seseorang bila orang itu menjengkelkan.</v>
      </c>
      <c r="CS94" s="95" t="str">
        <f>IFERROR(__xludf.DUMMYFUNCTION("""COMPUTED_VALUE"""),"B Saya rasanya ingin membalas dendam bila seseorang menghina saya.")</f>
        <v>B Saya rasanya ingin membalas dendam bila seseorang menghina saya.</v>
      </c>
      <c r="CT94" s="95" t="str">
        <f>IFERROR(__xludf.DUMMYFUNCTION("""COMPUTED_VALUE"""),"A Saya ingin orang-orang memperhatikan komentar mengenai penampilan saya.")</f>
        <v>A Saya ingin orang-orang memperhatikan komentar mengenai penampilan saya.</v>
      </c>
      <c r="CU94" s="95" t="str">
        <f>IFERROR(__xludf.DUMMYFUNCTION("""COMPUTED_VALUE"""),"A Saya ingin diperlakukan dengan ramah oleh teman-teman saya.")</f>
        <v>A Saya ingin diperlakukan dengan ramah oleh teman-teman saya.</v>
      </c>
      <c r="CV94" s="95" t="str">
        <f>IFERROR(__xludf.DUMMYFUNCTION("""COMPUTED_VALUE"""),"A Saya ingin ditunjuk atau dipilih sebagai ketua dalam suatu kelompok.")</f>
        <v>A Saya ingin ditunjuk atau dipilih sebagai ketua dalam suatu kelompok.</v>
      </c>
      <c r="CW94" s="95" t="str">
        <f>IFERROR(__xludf.DUMMYFUNCTION("""COMPUTED_VALUE"""),"A Saya suka menolong teman-teman saya, apabila mereka dalam kesulitan.")</f>
        <v>A Saya suka menolong teman-teman saya, apabila mereka dalam kesulitan.</v>
      </c>
      <c r="CX94" s="95" t="str">
        <f>IFERROR(__xludf.DUMMYFUNCTION("""COMPUTED_VALUE"""),"A Saya suka belajar sampai malam untuk menyelesaikan suatu tugas.")</f>
        <v>A Saya suka belajar sampai malam untuk menyelesaikan suatu tugas.</v>
      </c>
      <c r="CY94" s="95" t="str">
        <f>IFERROR(__xludf.DUMMYFUNCTION("""COMPUTED_VALUE"""),"A Saya ingin tidak tergantung dari orang lain terhadap apa yang akan saya lakukan.")</f>
        <v>A Saya ingin tidak tergantung dari orang lain terhadap apa yang akan saya lakukan.</v>
      </c>
      <c r="CZ94" s="95" t="str">
        <f>IFERROR(__xludf.DUMMYFUNCTION("""COMPUTED_VALUE"""),"A Saya suka merencanakan dan mengatur setiap pekerjaan yang harus saya lakukan.")</f>
        <v>A Saya suka merencanakan dan mengatur setiap pekerjaan yang harus saya lakukan.</v>
      </c>
      <c r="DA94" s="95" t="str">
        <f>IFERROR(__xludf.DUMMYFUNCTION("""COMPUTED_VALUE"""),"A Saya ingin melakukan apa saja sebaik mungkin.")</f>
        <v>A Saya ingin melakukan apa saja sebaik mungkin.</v>
      </c>
      <c r="DB94" s="89" t="s">
        <v>23</v>
      </c>
      <c r="DC94" s="97" t="str">
        <f t="shared" ref="DC94:GX94" si="139">LEFT(F94,1)</f>
        <v>A</v>
      </c>
      <c r="DD94" s="97" t="str">
        <f t="shared" si="139"/>
        <v>A</v>
      </c>
      <c r="DE94" s="97" t="str">
        <f t="shared" si="139"/>
        <v>B</v>
      </c>
      <c r="DF94" s="97" t="str">
        <f t="shared" si="139"/>
        <v>B</v>
      </c>
      <c r="DG94" s="97" t="str">
        <f t="shared" si="139"/>
        <v>A</v>
      </c>
      <c r="DH94" s="97" t="str">
        <f t="shared" si="139"/>
        <v>B</v>
      </c>
      <c r="DI94" s="97" t="str">
        <f t="shared" si="139"/>
        <v>B</v>
      </c>
      <c r="DJ94" s="97" t="str">
        <f t="shared" si="139"/>
        <v>A</v>
      </c>
      <c r="DK94" s="97" t="str">
        <f t="shared" si="139"/>
        <v>B</v>
      </c>
      <c r="DL94" s="97" t="str">
        <f t="shared" si="139"/>
        <v>B</v>
      </c>
      <c r="DM94" s="97" t="str">
        <f t="shared" si="139"/>
        <v>B</v>
      </c>
      <c r="DN94" s="97" t="str">
        <f t="shared" si="139"/>
        <v>B</v>
      </c>
      <c r="DO94" s="97" t="str">
        <f t="shared" si="139"/>
        <v>B</v>
      </c>
      <c r="DP94" s="97" t="str">
        <f t="shared" si="139"/>
        <v>B</v>
      </c>
      <c r="DQ94" s="97" t="str">
        <f t="shared" si="139"/>
        <v>B</v>
      </c>
      <c r="DR94" s="97" t="str">
        <f t="shared" si="139"/>
        <v>A</v>
      </c>
      <c r="DS94" s="97" t="str">
        <f t="shared" si="139"/>
        <v>B</v>
      </c>
      <c r="DT94" s="97" t="str">
        <f t="shared" si="139"/>
        <v>A</v>
      </c>
      <c r="DU94" s="97" t="str">
        <f t="shared" si="139"/>
        <v>A</v>
      </c>
      <c r="DV94" s="97" t="str">
        <f t="shared" si="139"/>
        <v>B</v>
      </c>
      <c r="DW94" s="97" t="str">
        <f t="shared" si="139"/>
        <v>A</v>
      </c>
      <c r="DX94" s="97" t="str">
        <f t="shared" si="139"/>
        <v>B</v>
      </c>
      <c r="DY94" s="97" t="str">
        <f t="shared" si="139"/>
        <v>B</v>
      </c>
      <c r="DZ94" s="97" t="str">
        <f t="shared" si="139"/>
        <v>A</v>
      </c>
      <c r="EA94" s="97" t="str">
        <f t="shared" si="139"/>
        <v>A</v>
      </c>
      <c r="EB94" s="97" t="str">
        <f t="shared" si="139"/>
        <v>A</v>
      </c>
      <c r="EC94" s="97" t="str">
        <f t="shared" si="139"/>
        <v>A</v>
      </c>
      <c r="ED94" s="97" t="str">
        <f t="shared" si="139"/>
        <v>A</v>
      </c>
      <c r="EE94" s="97" t="str">
        <f t="shared" si="139"/>
        <v>A</v>
      </c>
      <c r="EF94" s="97" t="str">
        <f t="shared" si="139"/>
        <v>B</v>
      </c>
      <c r="EG94" s="97" t="str">
        <f t="shared" si="139"/>
        <v>B</v>
      </c>
      <c r="EH94" s="97" t="str">
        <f t="shared" si="139"/>
        <v>B</v>
      </c>
      <c r="EI94" s="97" t="str">
        <f t="shared" si="139"/>
        <v>B</v>
      </c>
      <c r="EJ94" s="97" t="str">
        <f t="shared" si="139"/>
        <v>A</v>
      </c>
      <c r="EK94" s="97" t="str">
        <f t="shared" si="139"/>
        <v>A</v>
      </c>
      <c r="EL94" s="97" t="str">
        <f t="shared" si="139"/>
        <v>A</v>
      </c>
      <c r="EM94" s="97" t="str">
        <f t="shared" si="139"/>
        <v>A</v>
      </c>
      <c r="EN94" s="97" t="str">
        <f t="shared" si="139"/>
        <v>A</v>
      </c>
      <c r="EO94" s="97" t="str">
        <f t="shared" si="139"/>
        <v>A</v>
      </c>
      <c r="EP94" s="97" t="str">
        <f t="shared" si="139"/>
        <v>A</v>
      </c>
      <c r="EQ94" s="97" t="str">
        <f t="shared" si="139"/>
        <v>B</v>
      </c>
      <c r="ER94" s="97" t="str">
        <f t="shared" si="139"/>
        <v>A</v>
      </c>
      <c r="ES94" s="97" t="str">
        <f t="shared" si="139"/>
        <v>B</v>
      </c>
      <c r="ET94" s="97" t="str">
        <f t="shared" si="139"/>
        <v>B</v>
      </c>
      <c r="EU94" s="97" t="str">
        <f t="shared" si="139"/>
        <v>B</v>
      </c>
      <c r="EV94" s="97" t="str">
        <f t="shared" si="139"/>
        <v>B</v>
      </c>
      <c r="EW94" s="97" t="str">
        <f t="shared" si="139"/>
        <v>B</v>
      </c>
      <c r="EX94" s="97" t="str">
        <f t="shared" si="139"/>
        <v>B</v>
      </c>
      <c r="EY94" s="97" t="str">
        <f t="shared" si="139"/>
        <v>B</v>
      </c>
      <c r="EZ94" s="97" t="str">
        <f t="shared" si="139"/>
        <v>B</v>
      </c>
      <c r="FA94" s="97" t="str">
        <f t="shared" si="139"/>
        <v>A</v>
      </c>
      <c r="FB94" s="97" t="str">
        <f t="shared" si="139"/>
        <v>B</v>
      </c>
      <c r="FC94" s="97" t="str">
        <f t="shared" si="139"/>
        <v>A</v>
      </c>
      <c r="FD94" s="97" t="str">
        <f t="shared" si="139"/>
        <v>B</v>
      </c>
      <c r="FE94" s="97" t="str">
        <f t="shared" si="139"/>
        <v>B</v>
      </c>
      <c r="FF94" s="97" t="str">
        <f t="shared" si="139"/>
        <v>A</v>
      </c>
      <c r="FG94" s="97" t="str">
        <f t="shared" si="139"/>
        <v>A</v>
      </c>
      <c r="FH94" s="97" t="str">
        <f t="shared" si="139"/>
        <v>B</v>
      </c>
      <c r="FI94" s="97" t="str">
        <f t="shared" si="139"/>
        <v>A</v>
      </c>
      <c r="FJ94" s="97" t="str">
        <f t="shared" si="139"/>
        <v>A</v>
      </c>
      <c r="FK94" s="97" t="str">
        <f t="shared" si="139"/>
        <v>B</v>
      </c>
      <c r="FL94" s="97" t="str">
        <f t="shared" si="139"/>
        <v>A</v>
      </c>
      <c r="FM94" s="97" t="str">
        <f t="shared" si="139"/>
        <v>A</v>
      </c>
      <c r="FN94" s="97" t="str">
        <f t="shared" si="139"/>
        <v>A</v>
      </c>
      <c r="FO94" s="97" t="str">
        <f t="shared" si="139"/>
        <v>A</v>
      </c>
      <c r="FP94" s="97" t="str">
        <f t="shared" si="139"/>
        <v>B</v>
      </c>
      <c r="FQ94" s="97" t="str">
        <f t="shared" si="139"/>
        <v>B</v>
      </c>
      <c r="FR94" s="97" t="str">
        <f t="shared" si="139"/>
        <v>B</v>
      </c>
      <c r="FS94" s="97" t="str">
        <f t="shared" si="139"/>
        <v>B</v>
      </c>
      <c r="FT94" s="97" t="str">
        <f t="shared" si="139"/>
        <v>B</v>
      </c>
      <c r="FU94" s="97" t="str">
        <f t="shared" si="139"/>
        <v>B</v>
      </c>
      <c r="FV94" s="97" t="str">
        <f t="shared" si="139"/>
        <v>B</v>
      </c>
      <c r="FW94" s="97" t="str">
        <f t="shared" si="139"/>
        <v>A</v>
      </c>
      <c r="FX94" s="97" t="str">
        <f t="shared" si="139"/>
        <v>A</v>
      </c>
      <c r="FY94" s="97" t="str">
        <f t="shared" si="139"/>
        <v>B</v>
      </c>
      <c r="FZ94" s="97" t="str">
        <f t="shared" si="139"/>
        <v>A</v>
      </c>
      <c r="GA94" s="97" t="str">
        <f t="shared" si="139"/>
        <v>A</v>
      </c>
      <c r="GB94" s="97" t="str">
        <f t="shared" si="139"/>
        <v>A</v>
      </c>
      <c r="GC94" s="97" t="str">
        <f t="shared" si="139"/>
        <v>A</v>
      </c>
      <c r="GD94" s="97" t="str">
        <f t="shared" si="139"/>
        <v>A</v>
      </c>
      <c r="GE94" s="97" t="str">
        <f t="shared" si="139"/>
        <v>B</v>
      </c>
      <c r="GF94" s="97" t="str">
        <f t="shared" si="139"/>
        <v>A</v>
      </c>
      <c r="GG94" s="97" t="str">
        <f t="shared" si="139"/>
        <v>A</v>
      </c>
      <c r="GH94" s="97" t="str">
        <f t="shared" si="139"/>
        <v>B</v>
      </c>
      <c r="GI94" s="97" t="str">
        <f t="shared" si="139"/>
        <v>A</v>
      </c>
      <c r="GJ94" s="97" t="str">
        <f t="shared" si="139"/>
        <v>A</v>
      </c>
      <c r="GK94" s="97" t="str">
        <f t="shared" si="139"/>
        <v>A</v>
      </c>
      <c r="GL94" s="97" t="str">
        <f t="shared" si="139"/>
        <v>B</v>
      </c>
      <c r="GM94" s="97" t="str">
        <f t="shared" si="139"/>
        <v>A</v>
      </c>
      <c r="GN94" s="97" t="str">
        <f t="shared" si="139"/>
        <v>B</v>
      </c>
      <c r="GO94" s="97" t="str">
        <f t="shared" si="139"/>
        <v>B</v>
      </c>
      <c r="GP94" s="97" t="str">
        <f t="shared" si="139"/>
        <v>B</v>
      </c>
      <c r="GQ94" s="97" t="str">
        <f t="shared" si="139"/>
        <v>A</v>
      </c>
      <c r="GR94" s="97" t="str">
        <f t="shared" si="139"/>
        <v>A</v>
      </c>
      <c r="GS94" s="97" t="str">
        <f t="shared" si="139"/>
        <v>A</v>
      </c>
      <c r="GT94" s="97" t="str">
        <f t="shared" si="139"/>
        <v>A</v>
      </c>
      <c r="GU94" s="97" t="str">
        <f t="shared" si="139"/>
        <v>A</v>
      </c>
      <c r="GV94" s="97" t="str">
        <f t="shared" si="139"/>
        <v>A</v>
      </c>
      <c r="GW94" s="97" t="str">
        <f t="shared" si="139"/>
        <v>A</v>
      </c>
      <c r="GX94" s="97" t="str">
        <f t="shared" si="139"/>
        <v>A</v>
      </c>
      <c r="GY94" s="98"/>
      <c r="GZ94" s="97">
        <f t="shared" si="3"/>
        <v>53</v>
      </c>
      <c r="HA94" s="97">
        <f t="shared" si="4"/>
        <v>47</v>
      </c>
      <c r="HB94" s="90">
        <f t="shared" si="5"/>
        <v>100</v>
      </c>
      <c r="HC94" s="99"/>
      <c r="HD94" s="97">
        <f t="shared" si="6"/>
        <v>5</v>
      </c>
      <c r="HE94" s="97">
        <f t="shared" si="7"/>
        <v>6</v>
      </c>
      <c r="HF94" s="90">
        <f t="shared" si="8"/>
        <v>11</v>
      </c>
      <c r="HG94" s="99"/>
      <c r="HH94" s="97">
        <f t="shared" si="9"/>
        <v>8</v>
      </c>
      <c r="HI94" s="97">
        <f t="shared" si="10"/>
        <v>7</v>
      </c>
      <c r="HJ94" s="90">
        <f t="shared" si="11"/>
        <v>15</v>
      </c>
      <c r="HK94" s="99"/>
      <c r="HL94" s="97">
        <f t="shared" si="12"/>
        <v>6</v>
      </c>
      <c r="HM94" s="97">
        <f t="shared" si="13"/>
        <v>3</v>
      </c>
      <c r="HN94" s="90">
        <f t="shared" si="14"/>
        <v>9</v>
      </c>
      <c r="HO94" s="99"/>
      <c r="HP94" s="97">
        <f t="shared" si="15"/>
        <v>5</v>
      </c>
      <c r="HQ94" s="97">
        <f t="shared" si="16"/>
        <v>3</v>
      </c>
      <c r="HR94" s="90">
        <f t="shared" si="17"/>
        <v>8</v>
      </c>
      <c r="HS94" s="99"/>
      <c r="HT94" s="97">
        <f t="shared" si="18"/>
        <v>9</v>
      </c>
      <c r="HU94" s="97">
        <f t="shared" si="19"/>
        <v>9</v>
      </c>
      <c r="HV94" s="90">
        <f t="shared" si="20"/>
        <v>18</v>
      </c>
      <c r="HW94" s="99"/>
      <c r="HX94" s="97">
        <f t="shared" si="21"/>
        <v>4</v>
      </c>
      <c r="HY94" s="97">
        <f t="shared" si="22"/>
        <v>4</v>
      </c>
      <c r="HZ94" s="90">
        <f t="shared" si="23"/>
        <v>8</v>
      </c>
      <c r="IA94" s="99"/>
      <c r="IB94" s="97">
        <f t="shared" si="24"/>
        <v>5</v>
      </c>
      <c r="IC94" s="97">
        <f t="shared" si="25"/>
        <v>6</v>
      </c>
      <c r="ID94" s="90">
        <f t="shared" si="26"/>
        <v>11</v>
      </c>
      <c r="IE94" s="99"/>
      <c r="IF94" s="97">
        <f t="shared" si="27"/>
        <v>4</v>
      </c>
      <c r="IG94" s="97">
        <f t="shared" si="28"/>
        <v>3</v>
      </c>
      <c r="IH94" s="90">
        <f t="shared" si="29"/>
        <v>7</v>
      </c>
      <c r="II94" s="99"/>
      <c r="IJ94" s="97">
        <f t="shared" si="30"/>
        <v>1</v>
      </c>
      <c r="IK94" s="97">
        <f t="shared" si="31"/>
        <v>4</v>
      </c>
      <c r="IL94" s="90">
        <f t="shared" si="32"/>
        <v>5</v>
      </c>
      <c r="IM94" s="99"/>
      <c r="IN94" s="97">
        <f t="shared" si="33"/>
        <v>1</v>
      </c>
      <c r="IO94" s="97">
        <f t="shared" si="34"/>
        <v>2</v>
      </c>
      <c r="IP94" s="90">
        <f t="shared" si="35"/>
        <v>3</v>
      </c>
      <c r="IQ94" s="99"/>
      <c r="IR94" s="99"/>
      <c r="IS94" s="100">
        <f t="shared" si="36"/>
        <v>11</v>
      </c>
      <c r="IT94" s="100">
        <f t="shared" si="37"/>
        <v>15</v>
      </c>
      <c r="IU94" s="100">
        <f t="shared" si="38"/>
        <v>9</v>
      </c>
      <c r="IV94" s="100">
        <f t="shared" si="39"/>
        <v>8</v>
      </c>
      <c r="IW94" s="100">
        <f t="shared" si="40"/>
        <v>18</v>
      </c>
      <c r="IX94" s="100">
        <f t="shared" si="41"/>
        <v>8</v>
      </c>
      <c r="IY94" s="100">
        <f t="shared" si="42"/>
        <v>11</v>
      </c>
      <c r="IZ94" s="100">
        <f t="shared" si="43"/>
        <v>7</v>
      </c>
      <c r="JA94" s="100">
        <f t="shared" si="44"/>
        <v>5</v>
      </c>
      <c r="JB94" s="101">
        <f t="shared" si="45"/>
        <v>3</v>
      </c>
      <c r="JC94" s="102">
        <f t="shared" si="46"/>
        <v>95</v>
      </c>
      <c r="JD94" s="67">
        <f t="shared" si="50"/>
        <v>0</v>
      </c>
      <c r="JE94" s="67">
        <f t="shared" si="47"/>
        <v>1</v>
      </c>
      <c r="JF94" s="67">
        <f t="shared" si="48"/>
        <v>1</v>
      </c>
    </row>
    <row r="95">
      <c r="A95" s="103">
        <f>IFERROR(__xludf.DUMMYFUNCTION("""COMPUTED_VALUE"""),45942.55833488426)</f>
        <v>45942.55833</v>
      </c>
      <c r="B95" s="95" t="str">
        <f>IFERROR(__xludf.DUMMYFUNCTION("""COMPUTED_VALUE"""),"salman alfarizi alamsyah")</f>
        <v>salman alfarizi alamsyah</v>
      </c>
      <c r="C95" s="96" t="str">
        <f>IFERROR(__xludf.DUMMYFUNCTION("""COMPUTED_VALUE"""),"B250012")</f>
        <v>B250012</v>
      </c>
      <c r="D95" s="96" t="str">
        <f>IFERROR(__xludf.DUMMYFUNCTION("""COMPUTED_VALUE"""),"IL Putra")</f>
        <v>IL Putra</v>
      </c>
      <c r="E95" s="96" t="str">
        <f>IFERROR(__xludf.DUMMYFUNCTION("""COMPUTED_VALUE"""),"Ya")</f>
        <v>Ya</v>
      </c>
      <c r="F95" s="95" t="str">
        <f>IFERROR(__xludf.DUMMYFUNCTION("""COMPUTED_VALUE"""),"B Saya ingin melakukan apa saja sebaik mungkin.")</f>
        <v>B Saya ingin melakukan apa saja sebaik mungkin.</v>
      </c>
      <c r="G95" s="95" t="str">
        <f>IFERROR(__xludf.DUMMYFUNCTION("""COMPUTED_VALUE"""),"A Saya ingin setiap tulisan saya teliti, rapi, dan tersusun dengan baik.")</f>
        <v>A Saya ingin setiap tulisan saya teliti, rapi, dan tersusun dengan baik.</v>
      </c>
      <c r="H95" s="95" t="str">
        <f>IFERROR(__xludf.DUMMYFUNCTION("""COMPUTED_VALUE"""),"B Saya ingin menjadi orang yang diakui dalam suatu pekerjaan atau bidang khusus.")</f>
        <v>B Saya ingin menjadi orang yang diakui dalam suatu pekerjaan atau bidang khusus.</v>
      </c>
      <c r="I95" s="95" t="str">
        <f>IFERROR(__xludf.DUMMYFUNCTION("""COMPUTED_VALUE"""),"B Saya ingin bisa melakukan dengan baik meskipun tugas yang sulit.")</f>
        <v>B Saya ingin bisa melakukan dengan baik meskipun tugas yang sulit.</v>
      </c>
      <c r="J95" s="95" t="str">
        <f>IFERROR(__xludf.DUMMYFUNCTION("""COMPUTED_VALUE"""),"A Saya suka membantu teman-teman saya apabila mereka mengalami kesulitan.")</f>
        <v>A Saya suka membantu teman-teman saya apabila mereka mengalami kesulitan.</v>
      </c>
      <c r="K95" s="95" t="str">
        <f>IFERROR(__xludf.DUMMYFUNCTION("""COMPUTED_VALUE"""),"B Saya ingin mengatakan telah melakukan dengan baik sesuatu tugas yang sulit.")</f>
        <v>B Saya ingin mengatakan telah melakukan dengan baik sesuatu tugas yang sulit.</v>
      </c>
      <c r="L95" s="95" t="str">
        <f>IFERROR(__xludf.DUMMYFUNCTION("""COMPUTED_VALUE"""),"B Saya ingin mengatakan telah melakukan dengan baik sesuatu tugas yang sulit")</f>
        <v>B Saya ingin mengatakan telah melakukan dengan baik sesuatu tugas yang sulit</v>
      </c>
      <c r="M95" s="95" t="str">
        <f>IFERROR(__xludf.DUMMYFUNCTION("""COMPUTED_VALUE"""),"B Saya ingin mengerjakan segala tugas lebih baik daripada orang lain.")</f>
        <v>B Saya ingin mengerjakan segala tugas lebih baik daripada orang lain.</v>
      </c>
      <c r="N95" s="95" t="str">
        <f>IFERROR(__xludf.DUMMYFUNCTION("""COMPUTED_VALUE"""),"B Saya suka memecahkan persoalan yang sukar bagi orang lain.")</f>
        <v>B Saya suka memecahkan persoalan yang sukar bagi orang lain.</v>
      </c>
      <c r="O95" s="95" t="str">
        <f>IFERROR(__xludf.DUMMYFUNCTION("""COMPUTED_VALUE"""),"B Saya suka melakukan tugas sebaik mungkin.")</f>
        <v>B Saya suka melakukan tugas sebaik mungkin.</v>
      </c>
      <c r="P95" s="95" t="str">
        <f>IFERROR(__xludf.DUMMYFUNCTION("""COMPUTED_VALUE"""),"B Saya ingin setiap belajar itu teratur dan direncanakan.")</f>
        <v>B Saya ingin setiap belajar itu teratur dan direncanakan.</v>
      </c>
      <c r="Q95" s="95" t="str">
        <f>IFERROR(__xludf.DUMMYFUNCTION("""COMPUTED_VALUE"""),"B Saya merencanakan keperluan yang dibutuhkan sebelum bepergian.")</f>
        <v>B Saya merencanakan keperluan yang dibutuhkan sebelum bepergian.</v>
      </c>
      <c r="R95" s="95" t="str">
        <f>IFERROR(__xludf.DUMMYFUNCTION("""COMPUTED_VALUE"""),"B Saya suka barang-barang saya tersusun rapi dan teratur.")</f>
        <v>B Saya suka barang-barang saya tersusun rapi dan teratur.</v>
      </c>
      <c r="S95" s="95" t="str">
        <f>IFERROR(__xludf.DUMMYFUNCTION("""COMPUTED_VALUE"""),"B Saya suka membuat perencanaan sebelum memulai tugas yang sulit.")</f>
        <v>B Saya suka membuat perencanaan sebelum memulai tugas yang sulit.</v>
      </c>
      <c r="T95" s="95" t="str">
        <f>IFERROR(__xludf.DUMMYFUNCTION("""COMPUTED_VALUE"""),"B Saya ingin agar hidup saya teratur sesuai cita-cita saya.")</f>
        <v>B Saya ingin agar hidup saya teratur sesuai cita-cita saya.</v>
      </c>
      <c r="U95" s="95" t="str">
        <f>IFERROR(__xludf.DUMMYFUNCTION("""COMPUTED_VALUE"""),"A Saya suka memberikan bantuan kepada teman-teman saya.")</f>
        <v>A Saya suka memberikan bantuan kepada teman-teman saya.</v>
      </c>
      <c r="V95" s="95" t="str">
        <f>IFERROR(__xludf.DUMMYFUNCTION("""COMPUTED_VALUE"""),"B Saya suka belajar saya teratur dan ada waktu-waktu tertentu untuk belajar.")</f>
        <v>B Saya suka belajar saya teratur dan ada waktu-waktu tertentu untuk belajar.</v>
      </c>
      <c r="W95" s="95" t="str">
        <f>IFERROR(__xludf.DUMMYFUNCTION("""COMPUTED_VALUE"""),"B Saya ingin kegiatan itu teratur dan direncanakan.")</f>
        <v>B Saya ingin kegiatan itu teratur dan direncanakan.</v>
      </c>
      <c r="X95" s="95" t="str">
        <f>IFERROR(__xludf.DUMMYFUNCTION("""COMPUTED_VALUE"""),"B Saya ingin agar hidup saya teratur sesuai cita-cita saya.")</f>
        <v>B Saya ingin agar hidup saya teratur sesuai cita-cita saya.</v>
      </c>
      <c r="Y95" s="95" t="str">
        <f>IFERROR(__xludf.DUMMYFUNCTION("""COMPUTED_VALUE"""),"A Saya suka menyelesaikan tugas-tugas yang membutuhkan ketrampilan dan usaha.")</f>
        <v>A Saya suka menyelesaikan tugas-tugas yang membutuhkan ketrampilan dan usaha.</v>
      </c>
      <c r="Z95" s="95" t="str">
        <f>IFERROR(__xludf.DUMMYFUNCTION("""COMPUTED_VALUE"""),"A Saya ingin berhasil dengan belajar yang saya lakukan.")</f>
        <v>A Saya ingin berhasil dengan belajar yang saya lakukan.</v>
      </c>
      <c r="AA95" s="95" t="str">
        <f>IFERROR(__xludf.DUMMYFUNCTION("""COMPUTED_VALUE"""),"A Saya suka menyelesaikan tugas yang telah saya rencanakan.")</f>
        <v>A Saya suka menyelesaikan tugas yang telah saya rencanakan.</v>
      </c>
      <c r="AB95" s="95" t="str">
        <f>IFERROR(__xludf.DUMMYFUNCTION("""COMPUTED_VALUE"""),"A Saya ingin tidak tergantung dari orang lain terhadap apa yang akan saya lakukan.")</f>
        <v>A Saya ingin tidak tergantung dari orang lain terhadap apa yang akan saya lakukan.</v>
      </c>
      <c r="AC95" s="95" t="str">
        <f>IFERROR(__xludf.DUMMYFUNCTION("""COMPUTED_VALUE"""),"A Saya suka menyelesaikan setiap tugas meskipun membutuhkan waktu lama.")</f>
        <v>A Saya suka menyelesaikan setiap tugas meskipun membutuhkan waktu lama.</v>
      </c>
      <c r="AD95" s="95" t="str">
        <f>IFERROR(__xludf.DUMMYFUNCTION("""COMPUTED_VALUE"""),"A Saya suka bermurah hati terhadap teman-teman saya.")</f>
        <v>A Saya suka bermurah hati terhadap teman-teman saya.</v>
      </c>
      <c r="AE95" s="95" t="str">
        <f>IFERROR(__xludf.DUMMYFUNCTION("""COMPUTED_VALUE"""),"A Saya ingin dianggap sebagai pemimpin oleh teman di kelompok.")</f>
        <v>A Saya ingin dianggap sebagai pemimpin oleh teman di kelompok.</v>
      </c>
      <c r="AF95" s="95" t="str">
        <f>IFERROR(__xludf.DUMMYFUNCTION("""COMPUTED_VALUE"""),"A Saya ingin agar teman-teman mengerti bila saya mengalami kesukaran.")</f>
        <v>A Saya ingin agar teman-teman mengerti bila saya mengalami kesukaran.</v>
      </c>
      <c r="AG95" s="95" t="str">
        <f>IFERROR(__xludf.DUMMYFUNCTION("""COMPUTED_VALUE"""),"A Saya mengajari orang lain bagaimana mereka harus melakukan pekerjaan mereka.")</f>
        <v>A Saya mengajari orang lain bagaimana mereka harus melakukan pekerjaan mereka.</v>
      </c>
      <c r="AH95" s="95" t="str">
        <f>IFERROR(__xludf.DUMMYFUNCTION("""COMPUTED_VALUE"""),"A Saya suka membaca buku-buku tentang pergaulan remaja.")</f>
        <v>A Saya suka membaca buku-buku tentang pergaulan remaja.</v>
      </c>
      <c r="AI95" s="95" t="str">
        <f>IFERROR(__xludf.DUMMYFUNCTION("""COMPUTED_VALUE"""),"B Saya suka melakukan kegiatan sesuai kondisi yang saya inginkan.")</f>
        <v>B Saya suka melakukan kegiatan sesuai kondisi yang saya inginkan.</v>
      </c>
      <c r="AJ95" s="95" t="str">
        <f>IFERROR(__xludf.DUMMYFUNCTION("""COMPUTED_VALUE"""),"B Saya suka bertahan menghadapi satu masalah meskipun belum tentu berhasil.")</f>
        <v>B Saya suka bertahan menghadapi satu masalah meskipun belum tentu berhasil.</v>
      </c>
      <c r="AK95" s="95" t="str">
        <f>IFERROR(__xludf.DUMMYFUNCTION("""COMPUTED_VALUE"""),"B Bila saya harus melakukan suatu tugas, saya ingin mengerjakan sampai selesai.")</f>
        <v>B Bila saya harus melakukan suatu tugas, saya ingin mengerjakan sampai selesai.</v>
      </c>
      <c r="AL95" s="95" t="str">
        <f>IFERROR(__xludf.DUMMYFUNCTION("""COMPUTED_VALUE"""),"B Saya ingin menghindarkan gangguan bila saya sedang belajar.")</f>
        <v>B Saya ingin menghindarkan gangguan bila saya sedang belajar.</v>
      </c>
      <c r="AM95" s="95" t="str">
        <f>IFERROR(__xludf.DUMMYFUNCTION("""COMPUTED_VALUE"""),"B Saya suka belajar sampai malam untuk menyelesaikan suatu tugas.")</f>
        <v>B Saya suka belajar sampai malam untuk menyelesaikan suatu tugas.</v>
      </c>
      <c r="AN95" s="95" t="str">
        <f>IFERROR(__xludf.DUMMYFUNCTION("""COMPUTED_VALUE"""),"B Saya ingin bekerja berjam-jam tanpa diganggu.")</f>
        <v>B Saya ingin bekerja berjam-jam tanpa diganggu.</v>
      </c>
      <c r="AO95" s="95" t="str">
        <f>IFERROR(__xludf.DUMMYFUNCTION("""COMPUTED_VALUE"""),"A Saya suka berlaku sangat ramah terhadap teman-teman saya.")</f>
        <v>A Saya suka berlaku sangat ramah terhadap teman-teman saya.</v>
      </c>
      <c r="AP95" s="95" t="str">
        <f>IFERROR(__xludf.DUMMYFUNCTION("""COMPUTED_VALUE"""),"A Saya ingin mengerjakannya tugas sampai selesai.")</f>
        <v>A Saya ingin mengerjakannya tugas sampai selesai.</v>
      </c>
      <c r="AQ95" s="95" t="str">
        <f>IFERROR(__xludf.DUMMYFUNCTION("""COMPUTED_VALUE"""),"A Saya ingin bisa mengerjakan segala sesuatu lebih baik daripada orang-orang lain.")</f>
        <v>A Saya ingin bisa mengerjakan segala sesuatu lebih baik daripada orang-orang lain.</v>
      </c>
      <c r="AR95" s="95" t="str">
        <f>IFERROR(__xludf.DUMMYFUNCTION("""COMPUTED_VALUE"""),"A Saya suka menyimpan catatan secara rapi.")</f>
        <v>A Saya suka menyimpan catatan secara rapi.</v>
      </c>
      <c r="AS95" s="95" t="str">
        <f>IFERROR(__xludf.DUMMYFUNCTION("""COMPUTED_VALUE"""),"B Saya suka belajar sampai malam untuk menyelesaikan suatu tugas.")</f>
        <v>B Saya suka belajar sampai malam untuk menyelesaikan suatu tugas.</v>
      </c>
      <c r="AT95" s="95" t="str">
        <f>IFERROR(__xludf.DUMMYFUNCTION("""COMPUTED_VALUE"""),"A Saya ingin bisa melakukan dengan baik sesuatu pekerjaan sulit.")</f>
        <v>A Saya ingin bisa melakukan dengan baik sesuatu pekerjaan sulit.</v>
      </c>
      <c r="AU95" s="95" t="str">
        <f>IFERROR(__xludf.DUMMYFUNCTION("""COMPUTED_VALUE"""),"B Saya suka bermurah hati terhadap teman-teman saya.")</f>
        <v>B Saya suka bermurah hati terhadap teman-teman saya.</v>
      </c>
      <c r="AV95" s="95" t="str">
        <f>IFERROR(__xludf.DUMMYFUNCTION("""COMPUTED_VALUE"""),"B Saya suka menolong teman-teman saya.")</f>
        <v>B Saya suka menolong teman-teman saya.</v>
      </c>
      <c r="AW95" s="95" t="str">
        <f>IFERROR(__xludf.DUMMYFUNCTION("""COMPUTED_VALUE"""),"B Saya ingin teman-teman saya percaya bahwa saya bisa menolong mereka.")</f>
        <v>B Saya ingin teman-teman saya percaya bahwa saya bisa menolong mereka.</v>
      </c>
      <c r="AX95" s="95" t="str">
        <f>IFERROR(__xludf.DUMMYFUNCTION("""COMPUTED_VALUE"""),"A Saya suka menolong teman-teman saya apabila mereka dalam kesulitan.")</f>
        <v>A Saya suka menolong teman-teman saya apabila mereka dalam kesulitan.</v>
      </c>
      <c r="AY95" s="95" t="str">
        <f>IFERROR(__xludf.DUMMYFUNCTION("""COMPUTED_VALUE"""),"B Saya suka menolong teman-teman saya apabila mereka dalam kesulitan.")</f>
        <v>B Saya suka menolong teman-teman saya apabila mereka dalam kesulitan.</v>
      </c>
      <c r="AZ95" s="95" t="str">
        <f>IFERROR(__xludf.DUMMYFUNCTION("""COMPUTED_VALUE"""),"B Saya suka menunjukkan simpati saya kepada teman-teman saya.")</f>
        <v>B Saya suka menunjukkan simpati saya kepada teman-teman saya.</v>
      </c>
      <c r="BA95" s="95" t="str">
        <f>IFERROR(__xludf.DUMMYFUNCTION("""COMPUTED_VALUE"""),"B Saya suka memperlakukan orang lain dengan baik dan ramah.")</f>
        <v>B Saya suka memperlakukan orang lain dengan baik dan ramah.</v>
      </c>
      <c r="BB95" s="95" t="str">
        <f>IFERROR(__xludf.DUMMYFUNCTION("""COMPUTED_VALUE"""),"B Saya suka bermurah hati terhadap teman-teman saya.")</f>
        <v>B Saya suka bermurah hati terhadap teman-teman saya.</v>
      </c>
      <c r="BC95" s="95" t="str">
        <f>IFERROR(__xludf.DUMMYFUNCTION("""COMPUTED_VALUE"""),"B Saya suka membantu orang lain yang menurut saya perlu dikasihani.")</f>
        <v>B Saya suka membantu orang lain yang menurut saya perlu dikasihani.</v>
      </c>
      <c r="BD95" s="95" t="str">
        <f>IFERROR(__xludf.DUMMYFUNCTION("""COMPUTED_VALUE"""),"A Saya rasanya ingin menyalahkan orang lain bila keadaan tidak baik bagi saya.")</f>
        <v>A Saya rasanya ingin menyalahkan orang lain bila keadaan tidak baik bagi saya.</v>
      </c>
      <c r="BE95" s="95" t="str">
        <f>IFERROR(__xludf.DUMMYFUNCTION("""COMPUTED_VALUE"""),"B Saya ingin orang lain melakukan apa yang saya kehendaki.")</f>
        <v>B Saya ingin orang lain melakukan apa yang saya kehendaki.</v>
      </c>
      <c r="BF95" s="95" t="str">
        <f>IFERROR(__xludf.DUMMYFUNCTION("""COMPUTED_VALUE"""),"B Bila saya dalam kelompok, saya ingin menentukan apa yang akan kita lakukan.")</f>
        <v>B Bila saya dalam kelompok, saya ingin menentukan apa yang akan kita lakukan.</v>
      </c>
      <c r="BG95" s="95" t="str">
        <f>IFERROR(__xludf.DUMMYFUNCTION("""COMPUTED_VALUE"""),"B Saya suka mengarahkan kepada orang lain apa yang harus dilakukan.")</f>
        <v>B Saya suka mengarahkan kepada orang lain apa yang harus dilakukan.</v>
      </c>
      <c r="BH95" s="95" t="str">
        <f>IFERROR(__xludf.DUMMYFUNCTION("""COMPUTED_VALUE"""),"B Apabila saya berkumpul dalam kelompok, saya ingin dihargai teman-teman.")</f>
        <v>B Apabila saya berkumpul dalam kelompok, saya ingin dihargai teman-teman.</v>
      </c>
      <c r="BI95" s="95" t="str">
        <f>IFERROR(__xludf.DUMMYFUNCTION("""COMPUTED_VALUE"""),"A Saya suka bermurah hati terhadap teman-teman saya.")</f>
        <v>A Saya suka bermurah hati terhadap teman-teman saya.</v>
      </c>
      <c r="BJ95" s="95" t="str">
        <f>IFERROR(__xludf.DUMMYFUNCTION("""COMPUTED_VALUE"""),"A Saya ingin mengerjakan tugas sampai selesai.")</f>
        <v>A Saya ingin mengerjakan tugas sampai selesai.</v>
      </c>
      <c r="BK95" s="95" t="str">
        <f>IFERROR(__xludf.DUMMYFUNCTION("""COMPUTED_VALUE"""),"A Saya ingin menyelesaikan pekerjaan satu persatu sebelum memulai yang lain.")</f>
        <v>A Saya ingin menyelesaikan pekerjaan satu persatu sebelum memulai yang lain.</v>
      </c>
      <c r="BL95" s="95" t="str">
        <f>IFERROR(__xludf.DUMMYFUNCTION("""COMPUTED_VALUE"""),"A Saya suka belajar saya teratur dan ada waktu-waktu tertentu untuk belajar.")</f>
        <v>A Saya suka belajar saya teratur dan ada waktu-waktu tertentu untuk belajar.</v>
      </c>
      <c r="BM95" s="95" t="str">
        <f>IFERROR(__xludf.DUMMYFUNCTION("""COMPUTED_VALUE"""),"A Saya suka melakukan pekerjaan sebaik mungkin.")</f>
        <v>A Saya suka melakukan pekerjaan sebaik mungkin.</v>
      </c>
      <c r="BN95" s="95" t="str">
        <f>IFERROR(__xludf.DUMMYFUNCTION("""COMPUTED_VALUE"""),"B Saya ingin teman-teman memberi dorongan bila saya menghadapi kegagalan.")</f>
        <v>B Saya ingin teman-teman memberi dorongan bila saya menghadapi kegagalan.</v>
      </c>
      <c r="BO95" s="95" t="str">
        <f>IFERROR(__xludf.DUMMYFUNCTION("""COMPUTED_VALUE"""),"A Saya suka membuat perencanaan sebelum memulai belajar yang sulit.")</f>
        <v>A Saya suka membuat perencanaan sebelum memulai belajar yang sulit.</v>
      </c>
      <c r="BP95" s="95" t="str">
        <f>IFERROR(__xludf.DUMMYFUNCTION("""COMPUTED_VALUE"""),"A Saya ingin menyelesaikan sesuatu yang sangat penting artinya.")</f>
        <v>A Saya ingin menyelesaikan sesuatu yang sangat penting artinya.</v>
      </c>
      <c r="BQ95" s="95" t="str">
        <f>IFERROR(__xludf.DUMMYFUNCTION("""COMPUTED_VALUE"""),"A Saya ingin mengerjakannya tugas sampai selesai.")</f>
        <v>A Saya ingin mengerjakannya tugas sampai selesai.</v>
      </c>
      <c r="BR95" s="95" t="str">
        <f>IFERROR(__xludf.DUMMYFUNCTION("""COMPUTED_VALUE"""),"B Saya ingin agar teman-teman saya bersimpati dan menghibur saya bila saya sedih.")</f>
        <v>B Saya ingin agar teman-teman saya bersimpati dan menghibur saya bila saya sedih.</v>
      </c>
      <c r="BS95" s="95" t="str">
        <f>IFERROR(__xludf.DUMMYFUNCTION("""COMPUTED_VALUE"""),"B Saya ingin teman-teman saya membantu saya bila saya mengalami kesulitan")</f>
        <v>B Saya ingin teman-teman saya membantu saya bila saya mengalami kesulitan</v>
      </c>
      <c r="BT95" s="95" t="str">
        <f>IFERROR(__xludf.DUMMYFUNCTION("""COMPUTED_VALUE"""),"B Saya ingin teman-teman banyak menunjukkan rasa sayang mereka terhadap saya.")</f>
        <v>B Saya ingin teman-teman banyak menunjukkan rasa sayang mereka terhadap saya.</v>
      </c>
      <c r="BU95" s="95" t="str">
        <f>IFERROR(__xludf.DUMMYFUNCTION("""COMPUTED_VALUE"""),"B Saya ingin agar teman-teman saya merasa kasihan pada saya apabila saya sakit.")</f>
        <v>B Saya ingin agar teman-teman saya merasa kasihan pada saya apabila saya sakit.</v>
      </c>
      <c r="BV95" s="95" t="str">
        <f>IFERROR(__xludf.DUMMYFUNCTION("""COMPUTED_VALUE"""),"B Saya ingin teman-teman dengan gembira memberikan pertolongan kepada saya.")</f>
        <v>B Saya ingin teman-teman dengan gembira memberikan pertolongan kepada saya.</v>
      </c>
      <c r="BW95" s="95" t="str">
        <f>IFERROR(__xludf.DUMMYFUNCTION("""COMPUTED_VALUE"""),"B Saya ingin diperlakukan dengan baik oleh teman-teman saya.")</f>
        <v>B Saya ingin diperlakukan dengan baik oleh teman-teman saya.</v>
      </c>
      <c r="BX95" s="95" t="str">
        <f>IFERROR(__xludf.DUMMYFUNCTION("""COMPUTED_VALUE"""),"B Saya kadang-kadang suka melakukan hal-hal yang dapat dipuji oleh orang lain.")</f>
        <v>B Saya kadang-kadang suka melakukan hal-hal yang dapat dipuji oleh orang lain.</v>
      </c>
      <c r="BY95" s="95" t="str">
        <f>IFERROR(__xludf.DUMMYFUNCTION("""COMPUTED_VALUE"""),"B Saya ingin orang lain memperhatikan dan berkomentar tentang penampilan saya.")</f>
        <v>B Saya ingin orang lain memperhatikan dan berkomentar tentang penampilan saya.</v>
      </c>
      <c r="BZ95" s="95" t="str">
        <f>IFERROR(__xludf.DUMMYFUNCTION("""COMPUTED_VALUE"""),"B Saya suka diperhatikan, apabila saya ada di dalam suatu kelompok.")</f>
        <v>B Saya suka diperhatikan, apabila saya ada di dalam suatu kelompok.</v>
      </c>
      <c r="CA95" s="95" t="str">
        <f>IFERROR(__xludf.DUMMYFUNCTION("""COMPUTED_VALUE"""),"B Saya suka mengajukan pertanyaan agar orang lain memperhatikan saya.")</f>
        <v>B Saya suka mengajukan pertanyaan agar orang lain memperhatikan saya.</v>
      </c>
      <c r="CB95" s="95" t="str">
        <f>IFERROR(__xludf.DUMMYFUNCTION("""COMPUTED_VALUE"""),"B Saya suka berbicara tentang hal-hal yang telah saya capai.")</f>
        <v>B Saya suka berbicara tentang hal-hal yang telah saya capai.</v>
      </c>
      <c r="CC95" s="95" t="str">
        <f>IFERROR(__xludf.DUMMYFUNCTION("""COMPUTED_VALUE"""),"A Apabila saya berkumpul dalam kelompok, saya ingin dihargai teman-teman.")</f>
        <v>A Apabila saya berkumpul dalam kelompok, saya ingin dihargai teman-teman.</v>
      </c>
      <c r="CD95" s="95" t="str">
        <f>IFERROR(__xludf.DUMMYFUNCTION("""COMPUTED_VALUE"""),"A Saya suka menyelesaikan setiap tugas meskipun membutuhkan waktu lama.")</f>
        <v>A Saya suka menyelesaikan setiap tugas meskipun membutuhkan waktu lama.</v>
      </c>
      <c r="CE95" s="95" t="str">
        <f>IFERROR(__xludf.DUMMYFUNCTION("""COMPUTED_VALUE"""),"A Saya suka menyelesaikan setiap tugas belajar yang telah saya mulai.")</f>
        <v>A Saya suka menyelesaikan setiap tugas belajar yang telah saya mulai.</v>
      </c>
      <c r="CF95" s="95" t="str">
        <f>IFERROR(__xludf.DUMMYFUNCTION("""COMPUTED_VALUE"""),"A Saya ingin agar hidup saya teratur sesuai cita-cita saya.")</f>
        <v>A Saya ingin agar hidup saya teratur sesuai cita-cita saya.</v>
      </c>
      <c r="CG95" s="95" t="str">
        <f>IFERROR(__xludf.DUMMYFUNCTION("""COMPUTED_VALUE"""),"A Saya ingin berhasil dalam apa yang saya lakukan.")</f>
        <v>A Saya ingin berhasil dalam apa yang saya lakukan.</v>
      </c>
      <c r="CH95" s="95" t="str">
        <f>IFERROR(__xludf.DUMMYFUNCTION("""COMPUTED_VALUE"""),"A Saya ingin bisa melakukan dengan baik sesuatu pekerjaan sulit.")</f>
        <v>A Saya ingin bisa melakukan dengan baik sesuatu pekerjaan sulit.</v>
      </c>
      <c r="CI95" s="95" t="str">
        <f>IFERROR(__xludf.DUMMYFUNCTION("""COMPUTED_VALUE"""),"A Saya suka belajar saya teratur dan ada waktu-waktu tertentu untuk belajar.")</f>
        <v>A Saya suka belajar saya teratur dan ada waktu-waktu tertentu untuk belajar.</v>
      </c>
      <c r="CJ95" s="95" t="str">
        <f>IFERROR(__xludf.DUMMYFUNCTION("""COMPUTED_VALUE"""),"A Saya ingin tidak tergantung dari orang lain terhadap apa yang akan saya lakukan.")</f>
        <v>A Saya ingin tidak tergantung dari orang lain terhadap apa yang akan saya lakukan.</v>
      </c>
      <c r="CK95" s="95" t="str">
        <f>IFERROR(__xludf.DUMMYFUNCTION("""COMPUTED_VALUE"""),"A Saya suka bertahan menghadapi satu masalah, meskipun belum tentu berhasil.")</f>
        <v>A Saya suka bertahan menghadapi satu masalah, meskipun belum tentu berhasil.</v>
      </c>
      <c r="CL95" s="95" t="str">
        <f>IFERROR(__xludf.DUMMYFUNCTION("""COMPUTED_VALUE"""),"A Saya suka menolong teman-teman saya, apabila mereka dalam kesulitan.")</f>
        <v>A Saya suka menolong teman-teman saya, apabila mereka dalam kesulitan.</v>
      </c>
      <c r="CM95" s="95" t="str">
        <f>IFERROR(__xludf.DUMMYFUNCTION("""COMPUTED_VALUE"""),"B Saya merasa kagum pada seseorang.")</f>
        <v>B Saya merasa kagum pada seseorang.</v>
      </c>
      <c r="CN95" s="95" t="str">
        <f>IFERROR(__xludf.DUMMYFUNCTION("""COMPUTED_VALUE"""),"A Saya ingin diperlakukan dengan baik oleh teman-teman saya.")</f>
        <v>A Saya ingin diperlakukan dengan baik oleh teman-teman saya.</v>
      </c>
      <c r="CO95" s="95" t="str">
        <f>IFERROR(__xludf.DUMMYFUNCTION("""COMPUTED_VALUE"""),"A Saya suka menceritakan hal-hal lucu agar diperhatikan oleh orang lain.")</f>
        <v>A Saya suka menceritakan hal-hal lucu agar diperhatikan oleh orang lain.</v>
      </c>
      <c r="CP95" s="95" t="str">
        <f>IFERROR(__xludf.DUMMYFUNCTION("""COMPUTED_VALUE"""),"B Saya ingin dianggap menarik oleh orang lain.")</f>
        <v>B Saya ingin dianggap menarik oleh orang lain.</v>
      </c>
      <c r="CQ95" s="95" t="str">
        <f>IFERROR(__xludf.DUMMYFUNCTION("""COMPUTED_VALUE"""),"B Saya merasa kagum pada seseorang.")</f>
        <v>B Saya merasa kagum pada seseorang.</v>
      </c>
      <c r="CR95" s="95" t="str">
        <f>IFERROR(__xludf.DUMMYFUNCTION("""COMPUTED_VALUE"""),"B Saya rasanya ingin mengecam seseorang bila orang itu menjengkelkan.")</f>
        <v>B Saya rasanya ingin mengecam seseorang bila orang itu menjengkelkan.</v>
      </c>
      <c r="CS95" s="95" t="str">
        <f>IFERROR(__xludf.DUMMYFUNCTION("""COMPUTED_VALUE"""),"A Saya ingin terlihat menarik di depan teman-teman saya.")</f>
        <v>A Saya ingin terlihat menarik di depan teman-teman saya.</v>
      </c>
      <c r="CT95" s="95" t="str">
        <f>IFERROR(__xludf.DUMMYFUNCTION("""COMPUTED_VALUE"""),"A Saya ingin orang-orang memperhatikan komentar mengenai penampilan saya.")</f>
        <v>A Saya ingin orang-orang memperhatikan komentar mengenai penampilan saya.</v>
      </c>
      <c r="CU95" s="95" t="str">
        <f>IFERROR(__xludf.DUMMYFUNCTION("""COMPUTED_VALUE"""),"A Saya ingin diperlakukan dengan ramah oleh teman-teman saya.")</f>
        <v>A Saya ingin diperlakukan dengan ramah oleh teman-teman saya.</v>
      </c>
      <c r="CV95" s="95" t="str">
        <f>IFERROR(__xludf.DUMMYFUNCTION("""COMPUTED_VALUE"""),"B Saya menyerang pendirian-pendirian yang bertentangan dengan pendirian saya.")</f>
        <v>B Saya menyerang pendirian-pendirian yang bertentangan dengan pendirian saya.</v>
      </c>
      <c r="CW95" s="95" t="str">
        <f>IFERROR(__xludf.DUMMYFUNCTION("""COMPUTED_VALUE"""),"A Saya suka menolong teman-teman saya, apabila mereka dalam kesulitan.")</f>
        <v>A Saya suka menolong teman-teman saya, apabila mereka dalam kesulitan.</v>
      </c>
      <c r="CX95" s="95" t="str">
        <f>IFERROR(__xludf.DUMMYFUNCTION("""COMPUTED_VALUE"""),"A Saya suka belajar sampai malam untuk menyelesaikan suatu tugas.")</f>
        <v>A Saya suka belajar sampai malam untuk menyelesaikan suatu tugas.</v>
      </c>
      <c r="CY95" s="95" t="str">
        <f>IFERROR(__xludf.DUMMYFUNCTION("""COMPUTED_VALUE"""),"A Saya ingin tidak tergantung dari orang lain terhadap apa yang akan saya lakukan.")</f>
        <v>A Saya ingin tidak tergantung dari orang lain terhadap apa yang akan saya lakukan.</v>
      </c>
      <c r="CZ95" s="95" t="str">
        <f>IFERROR(__xludf.DUMMYFUNCTION("""COMPUTED_VALUE"""),"A Saya suka merencanakan dan mengatur setiap pekerjaan yang harus saya lakukan.")</f>
        <v>A Saya suka merencanakan dan mengatur setiap pekerjaan yang harus saya lakukan.</v>
      </c>
      <c r="DA95" s="95" t="str">
        <f>IFERROR(__xludf.DUMMYFUNCTION("""COMPUTED_VALUE"""),"A Saya ingin melakukan apa saja sebaik mungkin.")</f>
        <v>A Saya ingin melakukan apa saja sebaik mungkin.</v>
      </c>
      <c r="DB95" s="89" t="s">
        <v>23</v>
      </c>
      <c r="DC95" s="97" t="str">
        <f t="shared" ref="DC95:GX95" si="140">LEFT(F95,1)</f>
        <v>B</v>
      </c>
      <c r="DD95" s="97" t="str">
        <f t="shared" si="140"/>
        <v>A</v>
      </c>
      <c r="DE95" s="97" t="str">
        <f t="shared" si="140"/>
        <v>B</v>
      </c>
      <c r="DF95" s="97" t="str">
        <f t="shared" si="140"/>
        <v>B</v>
      </c>
      <c r="DG95" s="97" t="str">
        <f t="shared" si="140"/>
        <v>A</v>
      </c>
      <c r="DH95" s="97" t="str">
        <f t="shared" si="140"/>
        <v>B</v>
      </c>
      <c r="DI95" s="97" t="str">
        <f t="shared" si="140"/>
        <v>B</v>
      </c>
      <c r="DJ95" s="97" t="str">
        <f t="shared" si="140"/>
        <v>B</v>
      </c>
      <c r="DK95" s="97" t="str">
        <f t="shared" si="140"/>
        <v>B</v>
      </c>
      <c r="DL95" s="97" t="str">
        <f t="shared" si="140"/>
        <v>B</v>
      </c>
      <c r="DM95" s="97" t="str">
        <f t="shared" si="140"/>
        <v>B</v>
      </c>
      <c r="DN95" s="97" t="str">
        <f t="shared" si="140"/>
        <v>B</v>
      </c>
      <c r="DO95" s="97" t="str">
        <f t="shared" si="140"/>
        <v>B</v>
      </c>
      <c r="DP95" s="97" t="str">
        <f t="shared" si="140"/>
        <v>B</v>
      </c>
      <c r="DQ95" s="97" t="str">
        <f t="shared" si="140"/>
        <v>B</v>
      </c>
      <c r="DR95" s="97" t="str">
        <f t="shared" si="140"/>
        <v>A</v>
      </c>
      <c r="DS95" s="97" t="str">
        <f t="shared" si="140"/>
        <v>B</v>
      </c>
      <c r="DT95" s="97" t="str">
        <f t="shared" si="140"/>
        <v>B</v>
      </c>
      <c r="DU95" s="97" t="str">
        <f t="shared" si="140"/>
        <v>B</v>
      </c>
      <c r="DV95" s="97" t="str">
        <f t="shared" si="140"/>
        <v>A</v>
      </c>
      <c r="DW95" s="97" t="str">
        <f t="shared" si="140"/>
        <v>A</v>
      </c>
      <c r="DX95" s="97" t="str">
        <f t="shared" si="140"/>
        <v>A</v>
      </c>
      <c r="DY95" s="97" t="str">
        <f t="shared" si="140"/>
        <v>A</v>
      </c>
      <c r="DZ95" s="97" t="str">
        <f t="shared" si="140"/>
        <v>A</v>
      </c>
      <c r="EA95" s="97" t="str">
        <f t="shared" si="140"/>
        <v>A</v>
      </c>
      <c r="EB95" s="97" t="str">
        <f t="shared" si="140"/>
        <v>A</v>
      </c>
      <c r="EC95" s="97" t="str">
        <f t="shared" si="140"/>
        <v>A</v>
      </c>
      <c r="ED95" s="97" t="str">
        <f t="shared" si="140"/>
        <v>A</v>
      </c>
      <c r="EE95" s="97" t="str">
        <f t="shared" si="140"/>
        <v>A</v>
      </c>
      <c r="EF95" s="97" t="str">
        <f t="shared" si="140"/>
        <v>B</v>
      </c>
      <c r="EG95" s="97" t="str">
        <f t="shared" si="140"/>
        <v>B</v>
      </c>
      <c r="EH95" s="97" t="str">
        <f t="shared" si="140"/>
        <v>B</v>
      </c>
      <c r="EI95" s="97" t="str">
        <f t="shared" si="140"/>
        <v>B</v>
      </c>
      <c r="EJ95" s="97" t="str">
        <f t="shared" si="140"/>
        <v>B</v>
      </c>
      <c r="EK95" s="97" t="str">
        <f t="shared" si="140"/>
        <v>B</v>
      </c>
      <c r="EL95" s="97" t="str">
        <f t="shared" si="140"/>
        <v>A</v>
      </c>
      <c r="EM95" s="97" t="str">
        <f t="shared" si="140"/>
        <v>A</v>
      </c>
      <c r="EN95" s="97" t="str">
        <f t="shared" si="140"/>
        <v>A</v>
      </c>
      <c r="EO95" s="97" t="str">
        <f t="shared" si="140"/>
        <v>A</v>
      </c>
      <c r="EP95" s="97" t="str">
        <f t="shared" si="140"/>
        <v>B</v>
      </c>
      <c r="EQ95" s="97" t="str">
        <f t="shared" si="140"/>
        <v>A</v>
      </c>
      <c r="ER95" s="97" t="str">
        <f t="shared" si="140"/>
        <v>B</v>
      </c>
      <c r="ES95" s="97" t="str">
        <f t="shared" si="140"/>
        <v>B</v>
      </c>
      <c r="ET95" s="97" t="str">
        <f t="shared" si="140"/>
        <v>B</v>
      </c>
      <c r="EU95" s="97" t="str">
        <f t="shared" si="140"/>
        <v>A</v>
      </c>
      <c r="EV95" s="97" t="str">
        <f t="shared" si="140"/>
        <v>B</v>
      </c>
      <c r="EW95" s="97" t="str">
        <f t="shared" si="140"/>
        <v>B</v>
      </c>
      <c r="EX95" s="97" t="str">
        <f t="shared" si="140"/>
        <v>B</v>
      </c>
      <c r="EY95" s="97" t="str">
        <f t="shared" si="140"/>
        <v>B</v>
      </c>
      <c r="EZ95" s="97" t="str">
        <f t="shared" si="140"/>
        <v>B</v>
      </c>
      <c r="FA95" s="97" t="str">
        <f t="shared" si="140"/>
        <v>A</v>
      </c>
      <c r="FB95" s="97" t="str">
        <f t="shared" si="140"/>
        <v>B</v>
      </c>
      <c r="FC95" s="97" t="str">
        <f t="shared" si="140"/>
        <v>B</v>
      </c>
      <c r="FD95" s="97" t="str">
        <f t="shared" si="140"/>
        <v>B</v>
      </c>
      <c r="FE95" s="97" t="str">
        <f t="shared" si="140"/>
        <v>B</v>
      </c>
      <c r="FF95" s="97" t="str">
        <f t="shared" si="140"/>
        <v>A</v>
      </c>
      <c r="FG95" s="97" t="str">
        <f t="shared" si="140"/>
        <v>A</v>
      </c>
      <c r="FH95" s="97" t="str">
        <f t="shared" si="140"/>
        <v>A</v>
      </c>
      <c r="FI95" s="97" t="str">
        <f t="shared" si="140"/>
        <v>A</v>
      </c>
      <c r="FJ95" s="97" t="str">
        <f t="shared" si="140"/>
        <v>A</v>
      </c>
      <c r="FK95" s="97" t="str">
        <f t="shared" si="140"/>
        <v>B</v>
      </c>
      <c r="FL95" s="97" t="str">
        <f t="shared" si="140"/>
        <v>A</v>
      </c>
      <c r="FM95" s="97" t="str">
        <f t="shared" si="140"/>
        <v>A</v>
      </c>
      <c r="FN95" s="97" t="str">
        <f t="shared" si="140"/>
        <v>A</v>
      </c>
      <c r="FO95" s="97" t="str">
        <f t="shared" si="140"/>
        <v>B</v>
      </c>
      <c r="FP95" s="97" t="str">
        <f t="shared" si="140"/>
        <v>B</v>
      </c>
      <c r="FQ95" s="97" t="str">
        <f t="shared" si="140"/>
        <v>B</v>
      </c>
      <c r="FR95" s="97" t="str">
        <f t="shared" si="140"/>
        <v>B</v>
      </c>
      <c r="FS95" s="97" t="str">
        <f t="shared" si="140"/>
        <v>B</v>
      </c>
      <c r="FT95" s="97" t="str">
        <f t="shared" si="140"/>
        <v>B</v>
      </c>
      <c r="FU95" s="97" t="str">
        <f t="shared" si="140"/>
        <v>B</v>
      </c>
      <c r="FV95" s="97" t="str">
        <f t="shared" si="140"/>
        <v>B</v>
      </c>
      <c r="FW95" s="97" t="str">
        <f t="shared" si="140"/>
        <v>B</v>
      </c>
      <c r="FX95" s="97" t="str">
        <f t="shared" si="140"/>
        <v>B</v>
      </c>
      <c r="FY95" s="97" t="str">
        <f t="shared" si="140"/>
        <v>B</v>
      </c>
      <c r="FZ95" s="97" t="str">
        <f t="shared" si="140"/>
        <v>A</v>
      </c>
      <c r="GA95" s="97" t="str">
        <f t="shared" si="140"/>
        <v>A</v>
      </c>
      <c r="GB95" s="97" t="str">
        <f t="shared" si="140"/>
        <v>A</v>
      </c>
      <c r="GC95" s="97" t="str">
        <f t="shared" si="140"/>
        <v>A</v>
      </c>
      <c r="GD95" s="97" t="str">
        <f t="shared" si="140"/>
        <v>A</v>
      </c>
      <c r="GE95" s="97" t="str">
        <f t="shared" si="140"/>
        <v>A</v>
      </c>
      <c r="GF95" s="97" t="str">
        <f t="shared" si="140"/>
        <v>A</v>
      </c>
      <c r="GG95" s="97" t="str">
        <f t="shared" si="140"/>
        <v>A</v>
      </c>
      <c r="GH95" s="97" t="str">
        <f t="shared" si="140"/>
        <v>A</v>
      </c>
      <c r="GI95" s="97" t="str">
        <f t="shared" si="140"/>
        <v>A</v>
      </c>
      <c r="GJ95" s="97" t="str">
        <f t="shared" si="140"/>
        <v>B</v>
      </c>
      <c r="GK95" s="97" t="str">
        <f t="shared" si="140"/>
        <v>A</v>
      </c>
      <c r="GL95" s="97" t="str">
        <f t="shared" si="140"/>
        <v>A</v>
      </c>
      <c r="GM95" s="97" t="str">
        <f t="shared" si="140"/>
        <v>B</v>
      </c>
      <c r="GN95" s="97" t="str">
        <f t="shared" si="140"/>
        <v>B</v>
      </c>
      <c r="GO95" s="97" t="str">
        <f t="shared" si="140"/>
        <v>B</v>
      </c>
      <c r="GP95" s="97" t="str">
        <f t="shared" si="140"/>
        <v>A</v>
      </c>
      <c r="GQ95" s="97" t="str">
        <f t="shared" si="140"/>
        <v>A</v>
      </c>
      <c r="GR95" s="97" t="str">
        <f t="shared" si="140"/>
        <v>A</v>
      </c>
      <c r="GS95" s="97" t="str">
        <f t="shared" si="140"/>
        <v>B</v>
      </c>
      <c r="GT95" s="97" t="str">
        <f t="shared" si="140"/>
        <v>A</v>
      </c>
      <c r="GU95" s="97" t="str">
        <f t="shared" si="140"/>
        <v>A</v>
      </c>
      <c r="GV95" s="97" t="str">
        <f t="shared" si="140"/>
        <v>A</v>
      </c>
      <c r="GW95" s="97" t="str">
        <f t="shared" si="140"/>
        <v>A</v>
      </c>
      <c r="GX95" s="97" t="str">
        <f t="shared" si="140"/>
        <v>A</v>
      </c>
      <c r="GY95" s="98"/>
      <c r="GZ95" s="97">
        <f t="shared" si="3"/>
        <v>48</v>
      </c>
      <c r="HA95" s="97">
        <f t="shared" si="4"/>
        <v>52</v>
      </c>
      <c r="HB95" s="90">
        <f t="shared" si="5"/>
        <v>100</v>
      </c>
      <c r="HC95" s="99"/>
      <c r="HD95" s="97">
        <f t="shared" si="6"/>
        <v>7</v>
      </c>
      <c r="HE95" s="97">
        <f t="shared" si="7"/>
        <v>7</v>
      </c>
      <c r="HF95" s="90">
        <f t="shared" si="8"/>
        <v>14</v>
      </c>
      <c r="HG95" s="99"/>
      <c r="HH95" s="97">
        <f t="shared" si="9"/>
        <v>8</v>
      </c>
      <c r="HI95" s="97">
        <f t="shared" si="10"/>
        <v>8</v>
      </c>
      <c r="HJ95" s="90">
        <f t="shared" si="11"/>
        <v>16</v>
      </c>
      <c r="HK95" s="99"/>
      <c r="HL95" s="97">
        <f t="shared" si="12"/>
        <v>6</v>
      </c>
      <c r="HM95" s="97">
        <f t="shared" si="13"/>
        <v>1</v>
      </c>
      <c r="HN95" s="90">
        <f t="shared" si="14"/>
        <v>7</v>
      </c>
      <c r="HO95" s="99"/>
      <c r="HP95" s="97">
        <f t="shared" si="15"/>
        <v>6</v>
      </c>
      <c r="HQ95" s="97">
        <f t="shared" si="16"/>
        <v>6</v>
      </c>
      <c r="HR95" s="90">
        <f t="shared" si="17"/>
        <v>12</v>
      </c>
      <c r="HS95" s="99"/>
      <c r="HT95" s="97">
        <f t="shared" si="18"/>
        <v>8</v>
      </c>
      <c r="HU95" s="97">
        <f t="shared" si="19"/>
        <v>8</v>
      </c>
      <c r="HV95" s="90">
        <f t="shared" si="20"/>
        <v>16</v>
      </c>
      <c r="HW95" s="99"/>
      <c r="HX95" s="97">
        <f t="shared" si="21"/>
        <v>1</v>
      </c>
      <c r="HY95" s="97">
        <f t="shared" si="22"/>
        <v>4</v>
      </c>
      <c r="HZ95" s="90">
        <f t="shared" si="23"/>
        <v>5</v>
      </c>
      <c r="IA95" s="99"/>
      <c r="IB95" s="97">
        <f t="shared" si="24"/>
        <v>3</v>
      </c>
      <c r="IC95" s="97">
        <f t="shared" si="25"/>
        <v>7</v>
      </c>
      <c r="ID95" s="90">
        <f t="shared" si="26"/>
        <v>10</v>
      </c>
      <c r="IE95" s="99"/>
      <c r="IF95" s="97">
        <f t="shared" si="27"/>
        <v>3</v>
      </c>
      <c r="IG95" s="97">
        <f t="shared" si="28"/>
        <v>5</v>
      </c>
      <c r="IH95" s="90">
        <f t="shared" si="29"/>
        <v>8</v>
      </c>
      <c r="II95" s="99"/>
      <c r="IJ95" s="97">
        <f t="shared" si="30"/>
        <v>2</v>
      </c>
      <c r="IK95" s="97">
        <f t="shared" si="31"/>
        <v>3</v>
      </c>
      <c r="IL95" s="90">
        <f t="shared" si="32"/>
        <v>5</v>
      </c>
      <c r="IM95" s="99"/>
      <c r="IN95" s="97">
        <f t="shared" si="33"/>
        <v>1</v>
      </c>
      <c r="IO95" s="97">
        <f t="shared" si="34"/>
        <v>2</v>
      </c>
      <c r="IP95" s="90">
        <f t="shared" si="35"/>
        <v>3</v>
      </c>
      <c r="IQ95" s="99"/>
      <c r="IR95" s="99"/>
      <c r="IS95" s="100">
        <f t="shared" si="36"/>
        <v>14</v>
      </c>
      <c r="IT95" s="100">
        <f t="shared" si="37"/>
        <v>16</v>
      </c>
      <c r="IU95" s="100">
        <f t="shared" si="38"/>
        <v>7</v>
      </c>
      <c r="IV95" s="100">
        <f t="shared" si="39"/>
        <v>12</v>
      </c>
      <c r="IW95" s="100">
        <f t="shared" si="40"/>
        <v>16</v>
      </c>
      <c r="IX95" s="100">
        <f t="shared" si="41"/>
        <v>5</v>
      </c>
      <c r="IY95" s="100">
        <f t="shared" si="42"/>
        <v>10</v>
      </c>
      <c r="IZ95" s="100">
        <f t="shared" si="43"/>
        <v>8</v>
      </c>
      <c r="JA95" s="100">
        <f t="shared" si="44"/>
        <v>5</v>
      </c>
      <c r="JB95" s="101">
        <f t="shared" si="45"/>
        <v>3</v>
      </c>
      <c r="JC95" s="102">
        <f t="shared" si="46"/>
        <v>96</v>
      </c>
      <c r="JD95" s="67">
        <f t="shared" si="50"/>
        <v>0</v>
      </c>
      <c r="JE95" s="67">
        <f t="shared" si="47"/>
        <v>1</v>
      </c>
      <c r="JF95" s="67">
        <f t="shared" si="48"/>
        <v>1</v>
      </c>
    </row>
    <row r="96">
      <c r="A96" s="103">
        <f>IFERROR(__xludf.DUMMYFUNCTION("""COMPUTED_VALUE"""),45943.662133171296)</f>
        <v>45943.66213</v>
      </c>
      <c r="B96" s="95" t="str">
        <f>IFERROR(__xludf.DUMMYFUNCTION("""COMPUTED_VALUE"""),"Azkia Salsabila")</f>
        <v>Azkia Salsabila</v>
      </c>
      <c r="C96" s="96" t="str">
        <f>IFERROR(__xludf.DUMMYFUNCTION("""COMPUTED_VALUE"""),"E250006")</f>
        <v>E250006</v>
      </c>
      <c r="D96" s="96" t="str">
        <f>IFERROR(__xludf.DUMMYFUNCTION("""COMPUTED_VALUE"""),"IL Putri")</f>
        <v>IL Putri</v>
      </c>
      <c r="E96" s="96" t="str">
        <f>IFERROR(__xludf.DUMMYFUNCTION("""COMPUTED_VALUE"""),"Ya")</f>
        <v>Ya</v>
      </c>
      <c r="F96" s="95" t="str">
        <f>IFERROR(__xludf.DUMMYFUNCTION("""COMPUTED_VALUE"""),"B Saya ingin melakukan apa saja sebaik mungkin.")</f>
        <v>B Saya ingin melakukan apa saja sebaik mungkin.</v>
      </c>
      <c r="G96" s="95" t="str">
        <f>IFERROR(__xludf.DUMMYFUNCTION("""COMPUTED_VALUE"""),"A Saya ingin setiap tulisan saya teliti, rapi, dan tersusun dengan baik.")</f>
        <v>A Saya ingin setiap tulisan saya teliti, rapi, dan tersusun dengan baik.</v>
      </c>
      <c r="H96" s="95" t="str">
        <f>IFERROR(__xludf.DUMMYFUNCTION("""COMPUTED_VALUE"""),"B Saya ingin menjadi orang yang diakui dalam suatu pekerjaan atau bidang khusus.")</f>
        <v>B Saya ingin menjadi orang yang diakui dalam suatu pekerjaan atau bidang khusus.</v>
      </c>
      <c r="I96" s="95" t="str">
        <f>IFERROR(__xludf.DUMMYFUNCTION("""COMPUTED_VALUE"""),"B Saya ingin bisa melakukan dengan baik meskipun tugas yang sulit.")</f>
        <v>B Saya ingin bisa melakukan dengan baik meskipun tugas yang sulit.</v>
      </c>
      <c r="J96" s="95" t="str">
        <f>IFERROR(__xludf.DUMMYFUNCTION("""COMPUTED_VALUE"""),"B Saya ingin mengerjakan tugas sebaik mungkin.")</f>
        <v>B Saya ingin mengerjakan tugas sebaik mungkin.</v>
      </c>
      <c r="K96" s="95" t="str">
        <f>IFERROR(__xludf.DUMMYFUNCTION("""COMPUTED_VALUE"""),"B Saya ingin mengatakan telah melakukan dengan baik sesuatu tugas yang sulit.")</f>
        <v>B Saya ingin mengatakan telah melakukan dengan baik sesuatu tugas yang sulit.</v>
      </c>
      <c r="L96" s="95" t="str">
        <f>IFERROR(__xludf.DUMMYFUNCTION("""COMPUTED_VALUE"""),"B Saya ingin mengatakan telah melakukan dengan baik sesuatu tugas yang sulit")</f>
        <v>B Saya ingin mengatakan telah melakukan dengan baik sesuatu tugas yang sulit</v>
      </c>
      <c r="M96" s="95" t="str">
        <f>IFERROR(__xludf.DUMMYFUNCTION("""COMPUTED_VALUE"""),"A Saya suka berbicara tentang hal-hal yang telah berhasil saya lakukan.")</f>
        <v>A Saya suka berbicara tentang hal-hal yang telah berhasil saya lakukan.</v>
      </c>
      <c r="N96" s="95" t="str">
        <f>IFERROR(__xludf.DUMMYFUNCTION("""COMPUTED_VALUE"""),"B Saya suka memecahkan persoalan yang sukar bagi orang lain.")</f>
        <v>B Saya suka memecahkan persoalan yang sukar bagi orang lain.</v>
      </c>
      <c r="O96" s="95" t="str">
        <f>IFERROR(__xludf.DUMMYFUNCTION("""COMPUTED_VALUE"""),"B Saya suka melakukan tugas sebaik mungkin.")</f>
        <v>B Saya suka melakukan tugas sebaik mungkin.</v>
      </c>
      <c r="P96" s="95" t="str">
        <f>IFERROR(__xludf.DUMMYFUNCTION("""COMPUTED_VALUE"""),"B Saya ingin setiap belajar itu teratur dan direncanakan.")</f>
        <v>B Saya ingin setiap belajar itu teratur dan direncanakan.</v>
      </c>
      <c r="Q96" s="95" t="str">
        <f>IFERROR(__xludf.DUMMYFUNCTION("""COMPUTED_VALUE"""),"B Saya merencanakan keperluan yang dibutuhkan sebelum bepergian.")</f>
        <v>B Saya merencanakan keperluan yang dibutuhkan sebelum bepergian.</v>
      </c>
      <c r="R96" s="95" t="str">
        <f>IFERROR(__xludf.DUMMYFUNCTION("""COMPUTED_VALUE"""),"B Saya suka barang-barang saya tersusun rapi dan teratur.")</f>
        <v>B Saya suka barang-barang saya tersusun rapi dan teratur.</v>
      </c>
      <c r="S96" s="95" t="str">
        <f>IFERROR(__xludf.DUMMYFUNCTION("""COMPUTED_VALUE"""),"B Saya suka membuat perencanaan sebelum memulai tugas yang sulit.")</f>
        <v>B Saya suka membuat perencanaan sebelum memulai tugas yang sulit.</v>
      </c>
      <c r="T96" s="95" t="str">
        <f>IFERROR(__xludf.DUMMYFUNCTION("""COMPUTED_VALUE"""),"B Saya ingin agar hidup saya teratur sesuai cita-cita saya.")</f>
        <v>B Saya ingin agar hidup saya teratur sesuai cita-cita saya.</v>
      </c>
      <c r="U96" s="95" t="str">
        <f>IFERROR(__xludf.DUMMYFUNCTION("""COMPUTED_VALUE"""),"B Saya suka menyimpan catatan secara rapi.")</f>
        <v>B Saya suka menyimpan catatan secara rapi.</v>
      </c>
      <c r="V96" s="95" t="str">
        <f>IFERROR(__xludf.DUMMYFUNCTION("""COMPUTED_VALUE"""),"B Saya suka belajar saya teratur dan ada waktu-waktu tertentu untuk belajar.")</f>
        <v>B Saya suka belajar saya teratur dan ada waktu-waktu tertentu untuk belajar.</v>
      </c>
      <c r="W96" s="95" t="str">
        <f>IFERROR(__xludf.DUMMYFUNCTION("""COMPUTED_VALUE"""),"A Saya suka melakukan kegiatan sesuai kondisi yang saya inginkan.")</f>
        <v>A Saya suka melakukan kegiatan sesuai kondisi yang saya inginkan.</v>
      </c>
      <c r="X96" s="95" t="str">
        <f>IFERROR(__xludf.DUMMYFUNCTION("""COMPUTED_VALUE"""),"A Saya suka merencanakan dan mengatur setiap apa yang harus saya lakukan.")</f>
        <v>A Saya suka merencanakan dan mengatur setiap apa yang harus saya lakukan.</v>
      </c>
      <c r="Y96" s="95" t="str">
        <f>IFERROR(__xludf.DUMMYFUNCTION("""COMPUTED_VALUE"""),"B Saya senang merencanakan untuk masa depan.")</f>
        <v>B Saya senang merencanakan untuk masa depan.</v>
      </c>
      <c r="Z96" s="95" t="str">
        <f>IFERROR(__xludf.DUMMYFUNCTION("""COMPUTED_VALUE"""),"A Saya ingin berhasil dengan belajar yang saya lakukan.")</f>
        <v>A Saya ingin berhasil dengan belajar yang saya lakukan.</v>
      </c>
      <c r="AA96" s="95" t="str">
        <f>IFERROR(__xludf.DUMMYFUNCTION("""COMPUTED_VALUE"""),"B Saya tidak suka pada orang yang berbuat seenaknya sendiri.")</f>
        <v>B Saya tidak suka pada orang yang berbuat seenaknya sendiri.</v>
      </c>
      <c r="AB96" s="95" t="str">
        <f>IFERROR(__xludf.DUMMYFUNCTION("""COMPUTED_VALUE"""),"B Saya ingin menyelesaikan pekerjaan satu persatu sebelum memulai yang lain.")</f>
        <v>B Saya ingin menyelesaikan pekerjaan satu persatu sebelum memulai yang lain.</v>
      </c>
      <c r="AC96" s="95" t="str">
        <f>IFERROR(__xludf.DUMMYFUNCTION("""COMPUTED_VALUE"""),"A Saya suka menyelesaikan setiap tugas meskipun membutuhkan waktu lama.")</f>
        <v>A Saya suka menyelesaikan setiap tugas meskipun membutuhkan waktu lama.</v>
      </c>
      <c r="AD96" s="95" t="str">
        <f>IFERROR(__xludf.DUMMYFUNCTION("""COMPUTED_VALUE"""),"B Saya suka menyatakan pendapat saya tentang berbagai hal.")</f>
        <v>B Saya suka menyatakan pendapat saya tentang berbagai hal.</v>
      </c>
      <c r="AE96" s="95" t="str">
        <f>IFERROR(__xludf.DUMMYFUNCTION("""COMPUTED_VALUE"""),"A Saya ingin dianggap sebagai pemimpin oleh teman di kelompok.")</f>
        <v>A Saya ingin dianggap sebagai pemimpin oleh teman di kelompok.</v>
      </c>
      <c r="AF96" s="95" t="str">
        <f>IFERROR(__xludf.DUMMYFUNCTION("""COMPUTED_VALUE"""),"A Saya ingin agar teman-teman mengerti bila saya mengalami kesukaran.")</f>
        <v>A Saya ingin agar teman-teman mengerti bila saya mengalami kesukaran.</v>
      </c>
      <c r="AG96" s="95" t="str">
        <f>IFERROR(__xludf.DUMMYFUNCTION("""COMPUTED_VALUE"""),"B Saya ingin berhasil dengan tugas yang saya lakukan.")</f>
        <v>B Saya ingin berhasil dengan tugas yang saya lakukan.</v>
      </c>
      <c r="AH96" s="95" t="str">
        <f>IFERROR(__xludf.DUMMYFUNCTION("""COMPUTED_VALUE"""),"A Saya suka membaca buku-buku tentang pergaulan remaja.")</f>
        <v>A Saya suka membaca buku-buku tentang pergaulan remaja.</v>
      </c>
      <c r="AI96" s="95" t="str">
        <f>IFERROR(__xludf.DUMMYFUNCTION("""COMPUTED_VALUE"""),"B Saya suka melakukan kegiatan sesuai kondisi yang saya inginkan.")</f>
        <v>B Saya suka melakukan kegiatan sesuai kondisi yang saya inginkan.</v>
      </c>
      <c r="AJ96" s="95" t="str">
        <f>IFERROR(__xludf.DUMMYFUNCTION("""COMPUTED_VALUE"""),"B Saya suka bertahan menghadapi satu masalah meskipun belum tentu berhasil.")</f>
        <v>B Saya suka bertahan menghadapi satu masalah meskipun belum tentu berhasil.</v>
      </c>
      <c r="AK96" s="95" t="str">
        <f>IFERROR(__xludf.DUMMYFUNCTION("""COMPUTED_VALUE"""),"B Bila saya harus melakukan suatu tugas, saya ingin mengerjakan sampai selesai.")</f>
        <v>B Bila saya harus melakukan suatu tugas, saya ingin mengerjakan sampai selesai.</v>
      </c>
      <c r="AL96" s="95" t="str">
        <f>IFERROR(__xludf.DUMMYFUNCTION("""COMPUTED_VALUE"""),"B Saya ingin menghindarkan gangguan bila saya sedang belajar.")</f>
        <v>B Saya ingin menghindarkan gangguan bila saya sedang belajar.</v>
      </c>
      <c r="AM96" s="95" t="str">
        <f>IFERROR(__xludf.DUMMYFUNCTION("""COMPUTED_VALUE"""),"A Saya ingin teman-teman saya merasa kasihan pada saya apabila saya sakit.")</f>
        <v>A Saya ingin teman-teman saya merasa kasihan pada saya apabila saya sakit.</v>
      </c>
      <c r="AN96" s="95" t="str">
        <f>IFERROR(__xludf.DUMMYFUNCTION("""COMPUTED_VALUE"""),"A Saya tidak suka pada orang yang semena-mena.")</f>
        <v>A Saya tidak suka pada orang yang semena-mena.</v>
      </c>
      <c r="AO96" s="95" t="str">
        <f>IFERROR(__xludf.DUMMYFUNCTION("""COMPUTED_VALUE"""),"B Saya suka menyelesaikan setiap tugas meskipun membutuhkan waktu lama.")</f>
        <v>B Saya suka menyelesaikan setiap tugas meskipun membutuhkan waktu lama.</v>
      </c>
      <c r="AP96" s="95" t="str">
        <f>IFERROR(__xludf.DUMMYFUNCTION("""COMPUTED_VALUE"""),"A Saya ingin mengerjakannya tugas sampai selesai.")</f>
        <v>A Saya ingin mengerjakannya tugas sampai selesai.</v>
      </c>
      <c r="AQ96" s="95" t="str">
        <f>IFERROR(__xludf.DUMMYFUNCTION("""COMPUTED_VALUE"""),"B Bila saya harus melakukan suatu tugas, saya ingin mengerjakan sampai selesai.")</f>
        <v>B Bila saya harus melakukan suatu tugas, saya ingin mengerjakan sampai selesai.</v>
      </c>
      <c r="AR96" s="95" t="str">
        <f>IFERROR(__xludf.DUMMYFUNCTION("""COMPUTED_VALUE"""),"A Saya suka menyimpan catatan secara rapi.")</f>
        <v>A Saya suka menyimpan catatan secara rapi.</v>
      </c>
      <c r="AS96" s="95" t="str">
        <f>IFERROR(__xludf.DUMMYFUNCTION("""COMPUTED_VALUE"""),"A Saya ingin dapat menyelesaikan persoalan yang dianggap sukar bagi orang lain.")</f>
        <v>A Saya ingin dapat menyelesaikan persoalan yang dianggap sukar bagi orang lain.</v>
      </c>
      <c r="AT96" s="95" t="str">
        <f>IFERROR(__xludf.DUMMYFUNCTION("""COMPUTED_VALUE"""),"A Saya ingin bisa melakukan dengan baik sesuatu pekerjaan sulit.")</f>
        <v>A Saya ingin bisa melakukan dengan baik sesuatu pekerjaan sulit.</v>
      </c>
      <c r="AU96" s="95" t="str">
        <f>IFERROR(__xludf.DUMMYFUNCTION("""COMPUTED_VALUE"""),"B Saya suka bermurah hati terhadap teman-teman saya.")</f>
        <v>B Saya suka bermurah hati terhadap teman-teman saya.</v>
      </c>
      <c r="AV96" s="95" t="str">
        <f>IFERROR(__xludf.DUMMYFUNCTION("""COMPUTED_VALUE"""),"B Saya suka menolong teman-teman saya.")</f>
        <v>B Saya suka menolong teman-teman saya.</v>
      </c>
      <c r="AW96" s="95" t="str">
        <f>IFERROR(__xludf.DUMMYFUNCTION("""COMPUTED_VALUE"""),"B Saya ingin teman-teman saya percaya bahwa saya bisa menolong mereka.")</f>
        <v>B Saya ingin teman-teman saya percaya bahwa saya bisa menolong mereka.</v>
      </c>
      <c r="AX96" s="95" t="str">
        <f>IFERROR(__xludf.DUMMYFUNCTION("""COMPUTED_VALUE"""),"B Saya suka memaafkan teman-teman saya yang menyakiti hati saya.")</f>
        <v>B Saya suka memaafkan teman-teman saya yang menyakiti hati saya.</v>
      </c>
      <c r="AY96" s="95" t="str">
        <f>IFERROR(__xludf.DUMMYFUNCTION("""COMPUTED_VALUE"""),"A Saya rasanya ingin marah saat tidak sesuai dengan hati.")</f>
        <v>A Saya rasanya ingin marah saat tidak sesuai dengan hati.</v>
      </c>
      <c r="AZ96" s="95" t="str">
        <f>IFERROR(__xludf.DUMMYFUNCTION("""COMPUTED_VALUE"""),"A Saya ingin agar teman-teman saya bersimpati dan menghibur saya bila saya sedih.")</f>
        <v>A Saya ingin agar teman-teman saya bersimpati dan menghibur saya bila saya sedih.</v>
      </c>
      <c r="BA96" s="95" t="str">
        <f>IFERROR(__xludf.DUMMYFUNCTION("""COMPUTED_VALUE"""),"B Saya suka memperlakukan orang lain dengan baik dan ramah.")</f>
        <v>B Saya suka memperlakukan orang lain dengan baik dan ramah.</v>
      </c>
      <c r="BB96" s="95" t="str">
        <f>IFERROR(__xludf.DUMMYFUNCTION("""COMPUTED_VALUE"""),"A Saya berkeinginan untuk bersama orang yang menarik bagi saya.")</f>
        <v>A Saya berkeinginan untuk bersama orang yang menarik bagi saya.</v>
      </c>
      <c r="BC96" s="95" t="str">
        <f>IFERROR(__xludf.DUMMYFUNCTION("""COMPUTED_VALUE"""),"A Saya rasanya ingin mengecam seseorang bila orang itu menjengkelkan.")</f>
        <v>A Saya rasanya ingin mengecam seseorang bila orang itu menjengkelkan.</v>
      </c>
      <c r="BD96" s="95" t="str">
        <f>IFERROR(__xludf.DUMMYFUNCTION("""COMPUTED_VALUE"""),"B Saya suka bersikukuh dengan pendirian saya.")</f>
        <v>B Saya suka bersikukuh dengan pendirian saya.</v>
      </c>
      <c r="BE96" s="95" t="str">
        <f>IFERROR(__xludf.DUMMYFUNCTION("""COMPUTED_VALUE"""),"A Saya suka mendengarkan atau menceritakan hal-hal yang sebaiknya tidak diceritakan.")</f>
        <v>A Saya suka mendengarkan atau menceritakan hal-hal yang sebaiknya tidak diceritakan.</v>
      </c>
      <c r="BF96" s="95" t="str">
        <f>IFERROR(__xludf.DUMMYFUNCTION("""COMPUTED_VALUE"""),"A Saya ingin orang lain memperhatikan dan berkomentar tentang penampilan saya.")</f>
        <v>A Saya ingin orang lain memperhatikan dan berkomentar tentang penampilan saya.</v>
      </c>
      <c r="BG96" s="95" t="str">
        <f>IFERROR(__xludf.DUMMYFUNCTION("""COMPUTED_VALUE"""),"A Saya ingin teman-teman banyak menunjukkan rasa sayang mereka terhadap saya.")</f>
        <v>A Saya ingin teman-teman banyak menunjukkan rasa sayang mereka terhadap saya.</v>
      </c>
      <c r="BH96" s="95" t="str">
        <f>IFERROR(__xludf.DUMMYFUNCTION("""COMPUTED_VALUE"""),"A Saya suka menghindar dari situasi yang tidak saya harapkan.")</f>
        <v>A Saya suka menghindar dari situasi yang tidak saya harapkan.</v>
      </c>
      <c r="BI96" s="95" t="str">
        <f>IFERROR(__xludf.DUMMYFUNCTION("""COMPUTED_VALUE"""),"A Saya suka bermurah hati terhadap teman-teman saya.")</f>
        <v>A Saya suka bermurah hati terhadap teman-teman saya.</v>
      </c>
      <c r="BJ96" s="95" t="str">
        <f>IFERROR(__xludf.DUMMYFUNCTION("""COMPUTED_VALUE"""),"A Saya ingin mengerjakan tugas sampai selesai.")</f>
        <v>A Saya ingin mengerjakan tugas sampai selesai.</v>
      </c>
      <c r="BK96" s="95" t="str">
        <f>IFERROR(__xludf.DUMMYFUNCTION("""COMPUTED_VALUE"""),"A Saya ingin menyelesaikan pekerjaan satu persatu sebelum memulai yang lain.")</f>
        <v>A Saya ingin menyelesaikan pekerjaan satu persatu sebelum memulai yang lain.</v>
      </c>
      <c r="BL96" s="95" t="str">
        <f>IFERROR(__xludf.DUMMYFUNCTION("""COMPUTED_VALUE"""),"B Saya suka bersikukuh dengan pendirian saya.")</f>
        <v>B Saya suka bersikukuh dengan pendirian saya.</v>
      </c>
      <c r="BM96" s="95" t="str">
        <f>IFERROR(__xludf.DUMMYFUNCTION("""COMPUTED_VALUE"""),"A Saya suka melakukan pekerjaan sebaik mungkin.")</f>
        <v>A Saya suka melakukan pekerjaan sebaik mungkin.</v>
      </c>
      <c r="BN96" s="95" t="str">
        <f>IFERROR(__xludf.DUMMYFUNCTION("""COMPUTED_VALUE"""),"B Saya ingin teman-teman memberi dorongan bila saya menghadapi kegagalan.")</f>
        <v>B Saya ingin teman-teman memberi dorongan bila saya menghadapi kegagalan.</v>
      </c>
      <c r="BO96" s="95" t="str">
        <f>IFERROR(__xludf.DUMMYFUNCTION("""COMPUTED_VALUE"""),"B Saya ingin diperlakukan dengan baik oleh teman-teman saya.")</f>
        <v>B Saya ingin diperlakukan dengan baik oleh teman-teman saya.</v>
      </c>
      <c r="BP96" s="95" t="str">
        <f>IFERROR(__xludf.DUMMYFUNCTION("""COMPUTED_VALUE"""),"A Saya ingin menyelesaikan sesuatu yang sangat penting artinya.")</f>
        <v>A Saya ingin menyelesaikan sesuatu yang sangat penting artinya.</v>
      </c>
      <c r="BQ96" s="95" t="str">
        <f>IFERROR(__xludf.DUMMYFUNCTION("""COMPUTED_VALUE"""),"A Saya ingin mengerjakannya tugas sampai selesai.")</f>
        <v>A Saya ingin mengerjakannya tugas sampai selesai.</v>
      </c>
      <c r="BR96" s="95" t="str">
        <f>IFERROR(__xludf.DUMMYFUNCTION("""COMPUTED_VALUE"""),"A Saya suka memaafkan teman-teman saya yang menyakiti hati saya.")</f>
        <v>A Saya suka memaafkan teman-teman saya yang menyakiti hati saya.</v>
      </c>
      <c r="BS96" s="95" t="str">
        <f>IFERROR(__xludf.DUMMYFUNCTION("""COMPUTED_VALUE"""),"B Saya ingin teman-teman saya membantu saya bila saya mengalami kesulitan")</f>
        <v>B Saya ingin teman-teman saya membantu saya bila saya mengalami kesulitan</v>
      </c>
      <c r="BT96" s="95" t="str">
        <f>IFERROR(__xludf.DUMMYFUNCTION("""COMPUTED_VALUE"""),"B Saya ingin teman-teman banyak menunjukkan rasa sayang mereka terhadap saya.")</f>
        <v>B Saya ingin teman-teman banyak menunjukkan rasa sayang mereka terhadap saya.</v>
      </c>
      <c r="BU96" s="95" t="str">
        <f>IFERROR(__xludf.DUMMYFUNCTION("""COMPUTED_VALUE"""),"B Saya ingin agar teman-teman saya merasa kasihan pada saya apabila saya sakit.")</f>
        <v>B Saya ingin agar teman-teman saya merasa kasihan pada saya apabila saya sakit.</v>
      </c>
      <c r="BV96" s="95" t="str">
        <f>IFERROR(__xludf.DUMMYFUNCTION("""COMPUTED_VALUE"""),"B Saya ingin teman-teman dengan gembira memberikan pertolongan kepada saya.")</f>
        <v>B Saya ingin teman-teman dengan gembira memberikan pertolongan kepada saya.</v>
      </c>
      <c r="BW96" s="95" t="str">
        <f>IFERROR(__xludf.DUMMYFUNCTION("""COMPUTED_VALUE"""),"B Saya ingin diperlakukan dengan baik oleh teman-teman saya.")</f>
        <v>B Saya ingin diperlakukan dengan baik oleh teman-teman saya.</v>
      </c>
      <c r="BX96" s="95" t="str">
        <f>IFERROR(__xludf.DUMMYFUNCTION("""COMPUTED_VALUE"""),"B Saya kadang-kadang suka melakukan hal-hal yang dapat dipuji oleh orang lain.")</f>
        <v>B Saya kadang-kadang suka melakukan hal-hal yang dapat dipuji oleh orang lain.</v>
      </c>
      <c r="BY96" s="95" t="str">
        <f>IFERROR(__xludf.DUMMYFUNCTION("""COMPUTED_VALUE"""),"A Saya suka melamun atau membayangkan hal-hal yang tidak jelas.")</f>
        <v>A Saya suka melamun atau membayangkan hal-hal yang tidak jelas.</v>
      </c>
      <c r="BZ96" s="95" t="str">
        <f>IFERROR(__xludf.DUMMYFUNCTION("""COMPUTED_VALUE"""),"B Saya suka diperhatikan, apabila saya ada di dalam suatu kelompok.")</f>
        <v>B Saya suka diperhatikan, apabila saya ada di dalam suatu kelompok.</v>
      </c>
      <c r="CA96" s="95" t="str">
        <f>IFERROR(__xludf.DUMMYFUNCTION("""COMPUTED_VALUE"""),"A Saya ingin teman-teman dengan gembira memberikan pertolongan kepada saya.")</f>
        <v>A Saya ingin teman-teman dengan gembira memberikan pertolongan kepada saya.</v>
      </c>
      <c r="CB96" s="95" t="str">
        <f>IFERROR(__xludf.DUMMYFUNCTION("""COMPUTED_VALUE"""),"B Saya suka berbicara tentang hal-hal yang telah saya capai.")</f>
        <v>B Saya suka berbicara tentang hal-hal yang telah saya capai.</v>
      </c>
      <c r="CC96" s="95" t="str">
        <f>IFERROR(__xludf.DUMMYFUNCTION("""COMPUTED_VALUE"""),"A Apabila saya berkumpul dalam kelompok, saya ingin dihargai teman-teman.")</f>
        <v>A Apabila saya berkumpul dalam kelompok, saya ingin dihargai teman-teman.</v>
      </c>
      <c r="CD96" s="95" t="str">
        <f>IFERROR(__xludf.DUMMYFUNCTION("""COMPUTED_VALUE"""),"A Saya suka menyelesaikan setiap tugas meskipun membutuhkan waktu lama.")</f>
        <v>A Saya suka menyelesaikan setiap tugas meskipun membutuhkan waktu lama.</v>
      </c>
      <c r="CE96" s="95" t="str">
        <f>IFERROR(__xludf.DUMMYFUNCTION("""COMPUTED_VALUE"""),"A Saya suka menyelesaikan setiap tugas belajar yang telah saya mulai.")</f>
        <v>A Saya suka menyelesaikan setiap tugas belajar yang telah saya mulai.</v>
      </c>
      <c r="CF96" s="95" t="str">
        <f>IFERROR(__xludf.DUMMYFUNCTION("""COMPUTED_VALUE"""),"A Saya ingin agar hidup saya teratur sesuai cita-cita saya.")</f>
        <v>A Saya ingin agar hidup saya teratur sesuai cita-cita saya.</v>
      </c>
      <c r="CG96" s="95" t="str">
        <f>IFERROR(__xludf.DUMMYFUNCTION("""COMPUTED_VALUE"""),"A Saya ingin berhasil dalam apa yang saya lakukan.")</f>
        <v>A Saya ingin berhasil dalam apa yang saya lakukan.</v>
      </c>
      <c r="CH96" s="95" t="str">
        <f>IFERROR(__xludf.DUMMYFUNCTION("""COMPUTED_VALUE"""),"B Saya suka dengan orang yang berpenampilan menarik.")</f>
        <v>B Saya suka dengan orang yang berpenampilan menarik.</v>
      </c>
      <c r="CI96" s="95" t="str">
        <f>IFERROR(__xludf.DUMMYFUNCTION("""COMPUTED_VALUE"""),"A Saya suka belajar saya teratur dan ada waktu-waktu tertentu untuk belajar.")</f>
        <v>A Saya suka belajar saya teratur dan ada waktu-waktu tertentu untuk belajar.</v>
      </c>
      <c r="CJ96" s="95" t="str">
        <f>IFERROR(__xludf.DUMMYFUNCTION("""COMPUTED_VALUE"""),"A Saya ingin tidak tergantung dari orang lain terhadap apa yang akan saya lakukan.")</f>
        <v>A Saya ingin tidak tergantung dari orang lain terhadap apa yang akan saya lakukan.</v>
      </c>
      <c r="CK96" s="95" t="str">
        <f>IFERROR(__xludf.DUMMYFUNCTION("""COMPUTED_VALUE"""),"B Saya senang ikut beraktivitas bersama teman sebaya saya.")</f>
        <v>B Saya senang ikut beraktivitas bersama teman sebaya saya.</v>
      </c>
      <c r="CL96" s="95" t="str">
        <f>IFERROR(__xludf.DUMMYFUNCTION("""COMPUTED_VALUE"""),"A Saya suka menolong teman-teman saya, apabila mereka dalam kesulitan.")</f>
        <v>A Saya suka menolong teman-teman saya, apabila mereka dalam kesulitan.</v>
      </c>
      <c r="CM96" s="95" t="str">
        <f>IFERROR(__xludf.DUMMYFUNCTION("""COMPUTED_VALUE"""),"B Saya merasa kagum pada seseorang.")</f>
        <v>B Saya merasa kagum pada seseorang.</v>
      </c>
      <c r="CN96" s="95" t="str">
        <f>IFERROR(__xludf.DUMMYFUNCTION("""COMPUTED_VALUE"""),"A Saya ingin diperlakukan dengan baik oleh teman-teman saya.")</f>
        <v>A Saya ingin diperlakukan dengan baik oleh teman-teman saya.</v>
      </c>
      <c r="CO96" s="95" t="str">
        <f>IFERROR(__xludf.DUMMYFUNCTION("""COMPUTED_VALUE"""),"B Saya suka memuji orang yang saya kagumi.")</f>
        <v>B Saya suka memuji orang yang saya kagumi.</v>
      </c>
      <c r="CP96" s="95" t="str">
        <f>IFERROR(__xludf.DUMMYFUNCTION("""COMPUTED_VALUE"""),"A Saya suka melamun atau membayangkan sesuatu sendirian.")</f>
        <v>A Saya suka melamun atau membayangkan sesuatu sendirian.</v>
      </c>
      <c r="CQ96" s="95" t="str">
        <f>IFERROR(__xludf.DUMMYFUNCTION("""COMPUTED_VALUE"""),"B Saya merasa kagum pada seseorang.")</f>
        <v>B Saya merasa kagum pada seseorang.</v>
      </c>
      <c r="CR96" s="95" t="str">
        <f>IFERROR(__xludf.DUMMYFUNCTION("""COMPUTED_VALUE"""),"B Saya rasanya ingin mengecam seseorang bila orang itu menjengkelkan.")</f>
        <v>B Saya rasanya ingin mengecam seseorang bila orang itu menjengkelkan.</v>
      </c>
      <c r="CS96" s="95" t="str">
        <f>IFERROR(__xludf.DUMMYFUNCTION("""COMPUTED_VALUE"""),"A Saya ingin terlihat menarik di depan teman-teman saya.")</f>
        <v>A Saya ingin terlihat menarik di depan teman-teman saya.</v>
      </c>
      <c r="CT96" s="95" t="str">
        <f>IFERROR(__xludf.DUMMYFUNCTION("""COMPUTED_VALUE"""),"B Saya saat marah rasanya ingin melemparkan dan merusak barang-barang.")</f>
        <v>B Saya saat marah rasanya ingin melemparkan dan merusak barang-barang.</v>
      </c>
      <c r="CU96" s="95" t="str">
        <f>IFERROR(__xludf.DUMMYFUNCTION("""COMPUTED_VALUE"""),"A Saya ingin diperlakukan dengan ramah oleh teman-teman saya.")</f>
        <v>A Saya ingin diperlakukan dengan ramah oleh teman-teman saya.</v>
      </c>
      <c r="CV96" s="95" t="str">
        <f>IFERROR(__xludf.DUMMYFUNCTION("""COMPUTED_VALUE"""),"B Saya menyerang pendirian-pendirian yang bertentangan dengan pendirian saya.")</f>
        <v>B Saya menyerang pendirian-pendirian yang bertentangan dengan pendirian saya.</v>
      </c>
      <c r="CW96" s="95" t="str">
        <f>IFERROR(__xludf.DUMMYFUNCTION("""COMPUTED_VALUE"""),"A Saya suka menolong teman-teman saya, apabila mereka dalam kesulitan.")</f>
        <v>A Saya suka menolong teman-teman saya, apabila mereka dalam kesulitan.</v>
      </c>
      <c r="CX96" s="95" t="str">
        <f>IFERROR(__xludf.DUMMYFUNCTION("""COMPUTED_VALUE"""),"A Saya suka belajar sampai malam untuk menyelesaikan suatu tugas.")</f>
        <v>A Saya suka belajar sampai malam untuk menyelesaikan suatu tugas.</v>
      </c>
      <c r="CY96" s="95" t="str">
        <f>IFERROR(__xludf.DUMMYFUNCTION("""COMPUTED_VALUE"""),"A Saya ingin tidak tergantung dari orang lain terhadap apa yang akan saya lakukan.")</f>
        <v>A Saya ingin tidak tergantung dari orang lain terhadap apa yang akan saya lakukan.</v>
      </c>
      <c r="CZ96" s="95" t="str">
        <f>IFERROR(__xludf.DUMMYFUNCTION("""COMPUTED_VALUE"""),"A Saya suka merencanakan dan mengatur setiap pekerjaan yang harus saya lakukan.")</f>
        <v>A Saya suka merencanakan dan mengatur setiap pekerjaan yang harus saya lakukan.</v>
      </c>
      <c r="DA96" s="95" t="str">
        <f>IFERROR(__xludf.DUMMYFUNCTION("""COMPUTED_VALUE"""),"A Saya ingin melakukan apa saja sebaik mungkin.")</f>
        <v>A Saya ingin melakukan apa saja sebaik mungkin.</v>
      </c>
      <c r="DB96" s="89" t="s">
        <v>23</v>
      </c>
      <c r="DC96" s="97" t="str">
        <f t="shared" ref="DC96:GX96" si="141">LEFT(F96,1)</f>
        <v>B</v>
      </c>
      <c r="DD96" s="97" t="str">
        <f t="shared" si="141"/>
        <v>A</v>
      </c>
      <c r="DE96" s="97" t="str">
        <f t="shared" si="141"/>
        <v>B</v>
      </c>
      <c r="DF96" s="97" t="str">
        <f t="shared" si="141"/>
        <v>B</v>
      </c>
      <c r="DG96" s="97" t="str">
        <f t="shared" si="141"/>
        <v>B</v>
      </c>
      <c r="DH96" s="97" t="str">
        <f t="shared" si="141"/>
        <v>B</v>
      </c>
      <c r="DI96" s="97" t="str">
        <f t="shared" si="141"/>
        <v>B</v>
      </c>
      <c r="DJ96" s="97" t="str">
        <f t="shared" si="141"/>
        <v>A</v>
      </c>
      <c r="DK96" s="97" t="str">
        <f t="shared" si="141"/>
        <v>B</v>
      </c>
      <c r="DL96" s="97" t="str">
        <f t="shared" si="141"/>
        <v>B</v>
      </c>
      <c r="DM96" s="97" t="str">
        <f t="shared" si="141"/>
        <v>B</v>
      </c>
      <c r="DN96" s="97" t="str">
        <f t="shared" si="141"/>
        <v>B</v>
      </c>
      <c r="DO96" s="97" t="str">
        <f t="shared" si="141"/>
        <v>B</v>
      </c>
      <c r="DP96" s="97" t="str">
        <f t="shared" si="141"/>
        <v>B</v>
      </c>
      <c r="DQ96" s="97" t="str">
        <f t="shared" si="141"/>
        <v>B</v>
      </c>
      <c r="DR96" s="97" t="str">
        <f t="shared" si="141"/>
        <v>B</v>
      </c>
      <c r="DS96" s="97" t="str">
        <f t="shared" si="141"/>
        <v>B</v>
      </c>
      <c r="DT96" s="97" t="str">
        <f t="shared" si="141"/>
        <v>A</v>
      </c>
      <c r="DU96" s="97" t="str">
        <f t="shared" si="141"/>
        <v>A</v>
      </c>
      <c r="DV96" s="97" t="str">
        <f t="shared" si="141"/>
        <v>B</v>
      </c>
      <c r="DW96" s="97" t="str">
        <f t="shared" si="141"/>
        <v>A</v>
      </c>
      <c r="DX96" s="97" t="str">
        <f t="shared" si="141"/>
        <v>B</v>
      </c>
      <c r="DY96" s="97" t="str">
        <f t="shared" si="141"/>
        <v>B</v>
      </c>
      <c r="DZ96" s="97" t="str">
        <f t="shared" si="141"/>
        <v>A</v>
      </c>
      <c r="EA96" s="97" t="str">
        <f t="shared" si="141"/>
        <v>B</v>
      </c>
      <c r="EB96" s="97" t="str">
        <f t="shared" si="141"/>
        <v>A</v>
      </c>
      <c r="EC96" s="97" t="str">
        <f t="shared" si="141"/>
        <v>A</v>
      </c>
      <c r="ED96" s="97" t="str">
        <f t="shared" si="141"/>
        <v>B</v>
      </c>
      <c r="EE96" s="97" t="str">
        <f t="shared" si="141"/>
        <v>A</v>
      </c>
      <c r="EF96" s="97" t="str">
        <f t="shared" si="141"/>
        <v>B</v>
      </c>
      <c r="EG96" s="97" t="str">
        <f t="shared" si="141"/>
        <v>B</v>
      </c>
      <c r="EH96" s="97" t="str">
        <f t="shared" si="141"/>
        <v>B</v>
      </c>
      <c r="EI96" s="97" t="str">
        <f t="shared" si="141"/>
        <v>B</v>
      </c>
      <c r="EJ96" s="97" t="str">
        <f t="shared" si="141"/>
        <v>A</v>
      </c>
      <c r="EK96" s="97" t="str">
        <f t="shared" si="141"/>
        <v>A</v>
      </c>
      <c r="EL96" s="97" t="str">
        <f t="shared" si="141"/>
        <v>B</v>
      </c>
      <c r="EM96" s="97" t="str">
        <f t="shared" si="141"/>
        <v>A</v>
      </c>
      <c r="EN96" s="97" t="str">
        <f t="shared" si="141"/>
        <v>B</v>
      </c>
      <c r="EO96" s="97" t="str">
        <f t="shared" si="141"/>
        <v>A</v>
      </c>
      <c r="EP96" s="97" t="str">
        <f t="shared" si="141"/>
        <v>A</v>
      </c>
      <c r="EQ96" s="97" t="str">
        <f t="shared" si="141"/>
        <v>A</v>
      </c>
      <c r="ER96" s="97" t="str">
        <f t="shared" si="141"/>
        <v>B</v>
      </c>
      <c r="ES96" s="97" t="str">
        <f t="shared" si="141"/>
        <v>B</v>
      </c>
      <c r="ET96" s="97" t="str">
        <f t="shared" si="141"/>
        <v>B</v>
      </c>
      <c r="EU96" s="97" t="str">
        <f t="shared" si="141"/>
        <v>B</v>
      </c>
      <c r="EV96" s="97" t="str">
        <f t="shared" si="141"/>
        <v>A</v>
      </c>
      <c r="EW96" s="97" t="str">
        <f t="shared" si="141"/>
        <v>A</v>
      </c>
      <c r="EX96" s="97" t="str">
        <f t="shared" si="141"/>
        <v>B</v>
      </c>
      <c r="EY96" s="97" t="str">
        <f t="shared" si="141"/>
        <v>A</v>
      </c>
      <c r="EZ96" s="97" t="str">
        <f t="shared" si="141"/>
        <v>A</v>
      </c>
      <c r="FA96" s="97" t="str">
        <f t="shared" si="141"/>
        <v>B</v>
      </c>
      <c r="FB96" s="97" t="str">
        <f t="shared" si="141"/>
        <v>A</v>
      </c>
      <c r="FC96" s="97" t="str">
        <f t="shared" si="141"/>
        <v>A</v>
      </c>
      <c r="FD96" s="97" t="str">
        <f t="shared" si="141"/>
        <v>A</v>
      </c>
      <c r="FE96" s="97" t="str">
        <f t="shared" si="141"/>
        <v>A</v>
      </c>
      <c r="FF96" s="97" t="str">
        <f t="shared" si="141"/>
        <v>A</v>
      </c>
      <c r="FG96" s="97" t="str">
        <f t="shared" si="141"/>
        <v>A</v>
      </c>
      <c r="FH96" s="97" t="str">
        <f t="shared" si="141"/>
        <v>A</v>
      </c>
      <c r="FI96" s="97" t="str">
        <f t="shared" si="141"/>
        <v>B</v>
      </c>
      <c r="FJ96" s="97" t="str">
        <f t="shared" si="141"/>
        <v>A</v>
      </c>
      <c r="FK96" s="97" t="str">
        <f t="shared" si="141"/>
        <v>B</v>
      </c>
      <c r="FL96" s="97" t="str">
        <f t="shared" si="141"/>
        <v>B</v>
      </c>
      <c r="FM96" s="97" t="str">
        <f t="shared" si="141"/>
        <v>A</v>
      </c>
      <c r="FN96" s="97" t="str">
        <f t="shared" si="141"/>
        <v>A</v>
      </c>
      <c r="FO96" s="97" t="str">
        <f t="shared" si="141"/>
        <v>A</v>
      </c>
      <c r="FP96" s="97" t="str">
        <f t="shared" si="141"/>
        <v>B</v>
      </c>
      <c r="FQ96" s="97" t="str">
        <f t="shared" si="141"/>
        <v>B</v>
      </c>
      <c r="FR96" s="97" t="str">
        <f t="shared" si="141"/>
        <v>B</v>
      </c>
      <c r="FS96" s="97" t="str">
        <f t="shared" si="141"/>
        <v>B</v>
      </c>
      <c r="FT96" s="97" t="str">
        <f t="shared" si="141"/>
        <v>B</v>
      </c>
      <c r="FU96" s="97" t="str">
        <f t="shared" si="141"/>
        <v>B</v>
      </c>
      <c r="FV96" s="97" t="str">
        <f t="shared" si="141"/>
        <v>A</v>
      </c>
      <c r="FW96" s="97" t="str">
        <f t="shared" si="141"/>
        <v>B</v>
      </c>
      <c r="FX96" s="97" t="str">
        <f t="shared" si="141"/>
        <v>A</v>
      </c>
      <c r="FY96" s="97" t="str">
        <f t="shared" si="141"/>
        <v>B</v>
      </c>
      <c r="FZ96" s="97" t="str">
        <f t="shared" si="141"/>
        <v>A</v>
      </c>
      <c r="GA96" s="97" t="str">
        <f t="shared" si="141"/>
        <v>A</v>
      </c>
      <c r="GB96" s="97" t="str">
        <f t="shared" si="141"/>
        <v>A</v>
      </c>
      <c r="GC96" s="97" t="str">
        <f t="shared" si="141"/>
        <v>A</v>
      </c>
      <c r="GD96" s="97" t="str">
        <f t="shared" si="141"/>
        <v>A</v>
      </c>
      <c r="GE96" s="97" t="str">
        <f t="shared" si="141"/>
        <v>B</v>
      </c>
      <c r="GF96" s="97" t="str">
        <f t="shared" si="141"/>
        <v>A</v>
      </c>
      <c r="GG96" s="97" t="str">
        <f t="shared" si="141"/>
        <v>A</v>
      </c>
      <c r="GH96" s="97" t="str">
        <f t="shared" si="141"/>
        <v>B</v>
      </c>
      <c r="GI96" s="97" t="str">
        <f t="shared" si="141"/>
        <v>A</v>
      </c>
      <c r="GJ96" s="97" t="str">
        <f t="shared" si="141"/>
        <v>B</v>
      </c>
      <c r="GK96" s="97" t="str">
        <f t="shared" si="141"/>
        <v>A</v>
      </c>
      <c r="GL96" s="97" t="str">
        <f t="shared" si="141"/>
        <v>B</v>
      </c>
      <c r="GM96" s="97" t="str">
        <f t="shared" si="141"/>
        <v>A</v>
      </c>
      <c r="GN96" s="97" t="str">
        <f t="shared" si="141"/>
        <v>B</v>
      </c>
      <c r="GO96" s="97" t="str">
        <f t="shared" si="141"/>
        <v>B</v>
      </c>
      <c r="GP96" s="97" t="str">
        <f t="shared" si="141"/>
        <v>A</v>
      </c>
      <c r="GQ96" s="97" t="str">
        <f t="shared" si="141"/>
        <v>B</v>
      </c>
      <c r="GR96" s="97" t="str">
        <f t="shared" si="141"/>
        <v>A</v>
      </c>
      <c r="GS96" s="97" t="str">
        <f t="shared" si="141"/>
        <v>B</v>
      </c>
      <c r="GT96" s="97" t="str">
        <f t="shared" si="141"/>
        <v>A</v>
      </c>
      <c r="GU96" s="97" t="str">
        <f t="shared" si="141"/>
        <v>A</v>
      </c>
      <c r="GV96" s="97" t="str">
        <f t="shared" si="141"/>
        <v>A</v>
      </c>
      <c r="GW96" s="97" t="str">
        <f t="shared" si="141"/>
        <v>A</v>
      </c>
      <c r="GX96" s="97" t="str">
        <f t="shared" si="141"/>
        <v>A</v>
      </c>
      <c r="GY96" s="98"/>
      <c r="GZ96" s="97">
        <f t="shared" si="3"/>
        <v>49</v>
      </c>
      <c r="HA96" s="97">
        <f t="shared" si="4"/>
        <v>51</v>
      </c>
      <c r="HB96" s="90">
        <f t="shared" si="5"/>
        <v>100</v>
      </c>
      <c r="HC96" s="99"/>
      <c r="HD96" s="97">
        <f t="shared" si="6"/>
        <v>6</v>
      </c>
      <c r="HE96" s="97">
        <f t="shared" si="7"/>
        <v>7</v>
      </c>
      <c r="HF96" s="90">
        <f t="shared" si="8"/>
        <v>13</v>
      </c>
      <c r="HG96" s="99"/>
      <c r="HH96" s="97">
        <f t="shared" si="9"/>
        <v>5</v>
      </c>
      <c r="HI96" s="97">
        <f t="shared" si="10"/>
        <v>8</v>
      </c>
      <c r="HJ96" s="90">
        <f t="shared" si="11"/>
        <v>13</v>
      </c>
      <c r="HK96" s="99"/>
      <c r="HL96" s="97">
        <f t="shared" si="12"/>
        <v>6</v>
      </c>
      <c r="HM96" s="97">
        <f t="shared" si="13"/>
        <v>5</v>
      </c>
      <c r="HN96" s="90">
        <f t="shared" si="14"/>
        <v>11</v>
      </c>
      <c r="HO96" s="99"/>
      <c r="HP96" s="97">
        <f t="shared" si="15"/>
        <v>5</v>
      </c>
      <c r="HQ96" s="97">
        <f t="shared" si="16"/>
        <v>5</v>
      </c>
      <c r="HR96" s="90">
        <f t="shared" si="17"/>
        <v>10</v>
      </c>
      <c r="HS96" s="99"/>
      <c r="HT96" s="97">
        <f t="shared" si="18"/>
        <v>5</v>
      </c>
      <c r="HU96" s="97">
        <f t="shared" si="19"/>
        <v>5</v>
      </c>
      <c r="HV96" s="90">
        <f t="shared" si="20"/>
        <v>10</v>
      </c>
      <c r="HW96" s="99"/>
      <c r="HX96" s="97">
        <f t="shared" si="21"/>
        <v>3</v>
      </c>
      <c r="HY96" s="97">
        <f t="shared" si="22"/>
        <v>2</v>
      </c>
      <c r="HZ96" s="90">
        <f t="shared" si="23"/>
        <v>5</v>
      </c>
      <c r="IA96" s="99"/>
      <c r="IB96" s="97">
        <f t="shared" si="24"/>
        <v>7</v>
      </c>
      <c r="IC96" s="97">
        <f t="shared" si="25"/>
        <v>7</v>
      </c>
      <c r="ID96" s="90">
        <f t="shared" si="26"/>
        <v>14</v>
      </c>
      <c r="IE96" s="99"/>
      <c r="IF96" s="97">
        <f t="shared" si="27"/>
        <v>2</v>
      </c>
      <c r="IG96" s="97">
        <f t="shared" si="28"/>
        <v>3</v>
      </c>
      <c r="IH96" s="90">
        <f t="shared" si="29"/>
        <v>5</v>
      </c>
      <c r="II96" s="99"/>
      <c r="IJ96" s="97">
        <f t="shared" si="30"/>
        <v>5</v>
      </c>
      <c r="IK96" s="97">
        <f t="shared" si="31"/>
        <v>5</v>
      </c>
      <c r="IL96" s="90">
        <f t="shared" si="32"/>
        <v>10</v>
      </c>
      <c r="IM96" s="99"/>
      <c r="IN96" s="97">
        <f t="shared" si="33"/>
        <v>1</v>
      </c>
      <c r="IO96" s="97">
        <f t="shared" si="34"/>
        <v>3</v>
      </c>
      <c r="IP96" s="90">
        <f t="shared" si="35"/>
        <v>4</v>
      </c>
      <c r="IQ96" s="99"/>
      <c r="IR96" s="99"/>
      <c r="IS96" s="100">
        <f t="shared" si="36"/>
        <v>13</v>
      </c>
      <c r="IT96" s="100">
        <f t="shared" si="37"/>
        <v>13</v>
      </c>
      <c r="IU96" s="100">
        <f t="shared" si="38"/>
        <v>11</v>
      </c>
      <c r="IV96" s="100">
        <f t="shared" si="39"/>
        <v>10</v>
      </c>
      <c r="IW96" s="100">
        <f t="shared" si="40"/>
        <v>10</v>
      </c>
      <c r="IX96" s="100">
        <f t="shared" si="41"/>
        <v>5</v>
      </c>
      <c r="IY96" s="100">
        <f t="shared" si="42"/>
        <v>14</v>
      </c>
      <c r="IZ96" s="100">
        <f t="shared" si="43"/>
        <v>5</v>
      </c>
      <c r="JA96" s="100">
        <f t="shared" si="44"/>
        <v>10</v>
      </c>
      <c r="JB96" s="101">
        <f t="shared" si="45"/>
        <v>4</v>
      </c>
      <c r="JC96" s="102">
        <f t="shared" si="46"/>
        <v>95</v>
      </c>
      <c r="JD96" s="67">
        <f t="shared" si="50"/>
        <v>0</v>
      </c>
      <c r="JE96" s="67">
        <f t="shared" si="47"/>
        <v>2</v>
      </c>
      <c r="JF96" s="67">
        <f t="shared" si="48"/>
        <v>2</v>
      </c>
    </row>
    <row r="97">
      <c r="A97" s="103">
        <f>IFERROR(__xludf.DUMMYFUNCTION("""COMPUTED_VALUE"""),45946.666034375)</f>
        <v>45946.66603</v>
      </c>
      <c r="B97" s="95" t="str">
        <f>IFERROR(__xludf.DUMMYFUNCTION("""COMPUTED_VALUE"""),"Hamzah aqil")</f>
        <v>Hamzah aqil</v>
      </c>
      <c r="C97" s="96" t="str">
        <f>IFERROR(__xludf.DUMMYFUNCTION("""COMPUTED_VALUE"""),"A250057")</f>
        <v>A250057</v>
      </c>
      <c r="D97" s="96" t="str">
        <f>IFERROR(__xludf.DUMMYFUNCTION("""COMPUTED_VALUE"""),"MTs Putra")</f>
        <v>MTs Putra</v>
      </c>
      <c r="E97" s="96" t="str">
        <f>IFERROR(__xludf.DUMMYFUNCTION("""COMPUTED_VALUE"""),"Ya")</f>
        <v>Ya</v>
      </c>
      <c r="F97" s="95" t="str">
        <f>IFERROR(__xludf.DUMMYFUNCTION("""COMPUTED_VALUE"""),"B Saya ingin melakukan apa saja sebaik mungkin.")</f>
        <v>B Saya ingin melakukan apa saja sebaik mungkin.</v>
      </c>
      <c r="G97" s="95" t="str">
        <f>IFERROR(__xludf.DUMMYFUNCTION("""COMPUTED_VALUE"""),"B Saya ingin menyelesaikan tugas yang segera dikumpulkan.")</f>
        <v>B Saya ingin menyelesaikan tugas yang segera dikumpulkan.</v>
      </c>
      <c r="H97" s="95" t="str">
        <f>IFERROR(__xludf.DUMMYFUNCTION("""COMPUTED_VALUE"""),"A Saya ingin berbuat sesuai kata hati saya.")</f>
        <v>A Saya ingin berbuat sesuai kata hati saya.</v>
      </c>
      <c r="I97" s="95" t="str">
        <f>IFERROR(__xludf.DUMMYFUNCTION("""COMPUTED_VALUE"""),"B Saya ingin bisa melakukan dengan baik meskipun tugas yang sulit.")</f>
        <v>B Saya ingin bisa melakukan dengan baik meskipun tugas yang sulit.</v>
      </c>
      <c r="J97" s="95" t="str">
        <f>IFERROR(__xludf.DUMMYFUNCTION("""COMPUTED_VALUE"""),"B Saya ingin mengerjakan tugas sebaik mungkin.")</f>
        <v>B Saya ingin mengerjakan tugas sebaik mungkin.</v>
      </c>
      <c r="K97" s="95" t="str">
        <f>IFERROR(__xludf.DUMMYFUNCTION("""COMPUTED_VALUE"""),"B Saya ingin mengatakan telah melakukan dengan baik sesuatu tugas yang sulit.")</f>
        <v>B Saya ingin mengatakan telah melakukan dengan baik sesuatu tugas yang sulit.</v>
      </c>
      <c r="L97" s="95" t="str">
        <f>IFERROR(__xludf.DUMMYFUNCTION("""COMPUTED_VALUE"""),"B Saya ingin mengatakan telah melakukan dengan baik sesuatu tugas yang sulit")</f>
        <v>B Saya ingin mengatakan telah melakukan dengan baik sesuatu tugas yang sulit</v>
      </c>
      <c r="M97" s="95" t="str">
        <f>IFERROR(__xludf.DUMMYFUNCTION("""COMPUTED_VALUE"""),"B Saya ingin mengerjakan segala tugas lebih baik daripada orang lain.")</f>
        <v>B Saya ingin mengerjakan segala tugas lebih baik daripada orang lain.</v>
      </c>
      <c r="N97" s="95" t="str">
        <f>IFERROR(__xludf.DUMMYFUNCTION("""COMPUTED_VALUE"""),"A Saya suka pergi dengan pakaian rapi agar lebih menarik perhatian orang lain.")</f>
        <v>A Saya suka pergi dengan pakaian rapi agar lebih menarik perhatian orang lain.</v>
      </c>
      <c r="O97" s="95" t="str">
        <f>IFERROR(__xludf.DUMMYFUNCTION("""COMPUTED_VALUE"""),"B Saya suka melakukan tugas sebaik mungkin.")</f>
        <v>B Saya suka melakukan tugas sebaik mungkin.</v>
      </c>
      <c r="P97" s="95" t="str">
        <f>IFERROR(__xludf.DUMMYFUNCTION("""COMPUTED_VALUE"""),"B Saya ingin setiap belajar itu teratur dan direncanakan.")</f>
        <v>B Saya ingin setiap belajar itu teratur dan direncanakan.</v>
      </c>
      <c r="Q97" s="95" t="str">
        <f>IFERROR(__xludf.DUMMYFUNCTION("""COMPUTED_VALUE"""),"B Saya merencanakan keperluan yang dibutuhkan sebelum bepergian.")</f>
        <v>B Saya merencanakan keperluan yang dibutuhkan sebelum bepergian.</v>
      </c>
      <c r="R97" s="95" t="str">
        <f>IFERROR(__xludf.DUMMYFUNCTION("""COMPUTED_VALUE"""),"B Saya suka barang-barang saya tersusun rapi dan teratur.")</f>
        <v>B Saya suka barang-barang saya tersusun rapi dan teratur.</v>
      </c>
      <c r="S97" s="95" t="str">
        <f>IFERROR(__xludf.DUMMYFUNCTION("""COMPUTED_VALUE"""),"A Saya ingin agar teman-teman pengertian bila saya mengalami kesukaran.")</f>
        <v>A Saya ingin agar teman-teman pengertian bila saya mengalami kesukaran.</v>
      </c>
      <c r="T97" s="95" t="str">
        <f>IFERROR(__xludf.DUMMYFUNCTION("""COMPUTED_VALUE"""),"B Saya ingin agar hidup saya teratur sesuai cita-cita saya.")</f>
        <v>B Saya ingin agar hidup saya teratur sesuai cita-cita saya.</v>
      </c>
      <c r="U97" s="95" t="str">
        <f>IFERROR(__xludf.DUMMYFUNCTION("""COMPUTED_VALUE"""),"A Saya suka memberikan bantuan kepada teman-teman saya.")</f>
        <v>A Saya suka memberikan bantuan kepada teman-teman saya.</v>
      </c>
      <c r="V97" s="95" t="str">
        <f>IFERROR(__xludf.DUMMYFUNCTION("""COMPUTED_VALUE"""),"B Saya suka belajar saya teratur dan ada waktu-waktu tertentu untuk belajar.")</f>
        <v>B Saya suka belajar saya teratur dan ada waktu-waktu tertentu untuk belajar.</v>
      </c>
      <c r="W97" s="95" t="str">
        <f>IFERROR(__xludf.DUMMYFUNCTION("""COMPUTED_VALUE"""),"A Saya suka melakukan kegiatan sesuai kondisi yang saya inginkan.")</f>
        <v>A Saya suka melakukan kegiatan sesuai kondisi yang saya inginkan.</v>
      </c>
      <c r="X97" s="95" t="str">
        <f>IFERROR(__xludf.DUMMYFUNCTION("""COMPUTED_VALUE"""),"A Saya suka merencanakan dan mengatur setiap apa yang harus saya lakukan.")</f>
        <v>A Saya suka merencanakan dan mengatur setiap apa yang harus saya lakukan.</v>
      </c>
      <c r="Y97" s="95" t="str">
        <f>IFERROR(__xludf.DUMMYFUNCTION("""COMPUTED_VALUE"""),"B Saya senang merencanakan untuk masa depan.")</f>
        <v>B Saya senang merencanakan untuk masa depan.</v>
      </c>
      <c r="Z97" s="95" t="str">
        <f>IFERROR(__xludf.DUMMYFUNCTION("""COMPUTED_VALUE"""),"A Saya ingin berhasil dengan belajar yang saya lakukan.")</f>
        <v>A Saya ingin berhasil dengan belajar yang saya lakukan.</v>
      </c>
      <c r="AA97" s="95" t="str">
        <f>IFERROR(__xludf.DUMMYFUNCTION("""COMPUTED_VALUE"""),"A Saya suka menyelesaikan tugas yang telah saya rencanakan.")</f>
        <v>A Saya suka menyelesaikan tugas yang telah saya rencanakan.</v>
      </c>
      <c r="AB97" s="95" t="str">
        <f>IFERROR(__xludf.DUMMYFUNCTION("""COMPUTED_VALUE"""),"B Saya ingin menyelesaikan pekerjaan satu persatu sebelum memulai yang lain.")</f>
        <v>B Saya ingin menyelesaikan pekerjaan satu persatu sebelum memulai yang lain.</v>
      </c>
      <c r="AC97" s="95" t="str">
        <f>IFERROR(__xludf.DUMMYFUNCTION("""COMPUTED_VALUE"""),"A Saya suka menyelesaikan setiap tugas meskipun membutuhkan waktu lama.")</f>
        <v>A Saya suka menyelesaikan setiap tugas meskipun membutuhkan waktu lama.</v>
      </c>
      <c r="AD97" s="95" t="str">
        <f>IFERROR(__xludf.DUMMYFUNCTION("""COMPUTED_VALUE"""),"B Saya suka menyatakan pendapat saya tentang berbagai hal.")</f>
        <v>B Saya suka menyatakan pendapat saya tentang berbagai hal.</v>
      </c>
      <c r="AE97" s="95" t="str">
        <f>IFERROR(__xludf.DUMMYFUNCTION("""COMPUTED_VALUE"""),"B Saya suka melakukan hal-hal yang dianggap orang lain tidak sesuai.")</f>
        <v>B Saya suka melakukan hal-hal yang dianggap orang lain tidak sesuai.</v>
      </c>
      <c r="AF97" s="95" t="str">
        <f>IFERROR(__xludf.DUMMYFUNCTION("""COMPUTED_VALUE"""),"A Saya ingin agar teman-teman mengerti bila saya mengalami kesukaran.")</f>
        <v>A Saya ingin agar teman-teman mengerti bila saya mengalami kesukaran.</v>
      </c>
      <c r="AG97" s="95" t="str">
        <f>IFERROR(__xludf.DUMMYFUNCTION("""COMPUTED_VALUE"""),"B Saya ingin berhasil dengan tugas yang saya lakukan.")</f>
        <v>B Saya ingin berhasil dengan tugas yang saya lakukan.</v>
      </c>
      <c r="AH97" s="95" t="str">
        <f>IFERROR(__xludf.DUMMYFUNCTION("""COMPUTED_VALUE"""),"B Saya ingin merasa bebas untuk melakukan apa yang saya kehendaki.")</f>
        <v>B Saya ingin merasa bebas untuk melakukan apa yang saya kehendaki.</v>
      </c>
      <c r="AI97" s="95" t="str">
        <f>IFERROR(__xludf.DUMMYFUNCTION("""COMPUTED_VALUE"""),"B Saya suka melakukan kegiatan sesuai kondisi yang saya inginkan.")</f>
        <v>B Saya suka melakukan kegiatan sesuai kondisi yang saya inginkan.</v>
      </c>
      <c r="AJ97" s="95" t="str">
        <f>IFERROR(__xludf.DUMMYFUNCTION("""COMPUTED_VALUE"""),"B Saya suka bertahan menghadapi satu masalah meskipun belum tentu berhasil.")</f>
        <v>B Saya suka bertahan menghadapi satu masalah meskipun belum tentu berhasil.</v>
      </c>
      <c r="AK97" s="95" t="str">
        <f>IFERROR(__xludf.DUMMYFUNCTION("""COMPUTED_VALUE"""),"B Bila saya harus melakukan suatu tugas, saya ingin mengerjakan sampai selesai.")</f>
        <v>B Bila saya harus melakukan suatu tugas, saya ingin mengerjakan sampai selesai.</v>
      </c>
      <c r="AL97" s="95" t="str">
        <f>IFERROR(__xludf.DUMMYFUNCTION("""COMPUTED_VALUE"""),"B Saya ingin menghindarkan gangguan bila saya sedang belajar.")</f>
        <v>B Saya ingin menghindarkan gangguan bila saya sedang belajar.</v>
      </c>
      <c r="AM97" s="95" t="str">
        <f>IFERROR(__xludf.DUMMYFUNCTION("""COMPUTED_VALUE"""),"B Saya suka belajar sampai malam untuk menyelesaikan suatu tugas.")</f>
        <v>B Saya suka belajar sampai malam untuk menyelesaikan suatu tugas.</v>
      </c>
      <c r="AN97" s="95" t="str">
        <f>IFERROR(__xludf.DUMMYFUNCTION("""COMPUTED_VALUE"""),"A Saya tidak suka pada orang yang semena-mena.")</f>
        <v>A Saya tidak suka pada orang yang semena-mena.</v>
      </c>
      <c r="AO97" s="95" t="str">
        <f>IFERROR(__xludf.DUMMYFUNCTION("""COMPUTED_VALUE"""),"B Saya suka menyelesaikan setiap tugas meskipun membutuhkan waktu lama.")</f>
        <v>B Saya suka menyelesaikan setiap tugas meskipun membutuhkan waktu lama.</v>
      </c>
      <c r="AP97" s="95" t="str">
        <f>IFERROR(__xludf.DUMMYFUNCTION("""COMPUTED_VALUE"""),"B Saya suka bertahan menghadapi satu masalah meskipun belum tentu berhasil.")</f>
        <v>B Saya suka bertahan menghadapi satu masalah meskipun belum tentu berhasil.</v>
      </c>
      <c r="AQ97" s="95" t="str">
        <f>IFERROR(__xludf.DUMMYFUNCTION("""COMPUTED_VALUE"""),"B Bila saya harus melakukan suatu tugas, saya ingin mengerjakan sampai selesai.")</f>
        <v>B Bila saya harus melakukan suatu tugas, saya ingin mengerjakan sampai selesai.</v>
      </c>
      <c r="AR97" s="95" t="str">
        <f>IFERROR(__xludf.DUMMYFUNCTION("""COMPUTED_VALUE"""),"B Saya suka belajar keras pada tiap pelajaran yang saya hadapi.")</f>
        <v>B Saya suka belajar keras pada tiap pelajaran yang saya hadapi.</v>
      </c>
      <c r="AS97" s="95" t="str">
        <f>IFERROR(__xludf.DUMMYFUNCTION("""COMPUTED_VALUE"""),"B Saya suka belajar sampai malam untuk menyelesaikan suatu tugas.")</f>
        <v>B Saya suka belajar sampai malam untuk menyelesaikan suatu tugas.</v>
      </c>
      <c r="AT97" s="95" t="str">
        <f>IFERROR(__xludf.DUMMYFUNCTION("""COMPUTED_VALUE"""),"B Saya suka membantu orang lain yang menurut saya perlu dikasihani.")</f>
        <v>B Saya suka membantu orang lain yang menurut saya perlu dikasihani.</v>
      </c>
      <c r="AU97" s="95" t="str">
        <f>IFERROR(__xludf.DUMMYFUNCTION("""COMPUTED_VALUE"""),"B Saya suka bermurah hati terhadap teman-teman saya.")</f>
        <v>B Saya suka bermurah hati terhadap teman-teman saya.</v>
      </c>
      <c r="AV97" s="95" t="str">
        <f>IFERROR(__xludf.DUMMYFUNCTION("""COMPUTED_VALUE"""),"B Saya suka menolong teman-teman saya.")</f>
        <v>B Saya suka menolong teman-teman saya.</v>
      </c>
      <c r="AW97" s="95" t="str">
        <f>IFERROR(__xludf.DUMMYFUNCTION("""COMPUTED_VALUE"""),"A Saya ingin mengerjakan tugas sampai selesai.")</f>
        <v>A Saya ingin mengerjakan tugas sampai selesai.</v>
      </c>
      <c r="AX97" s="95" t="str">
        <f>IFERROR(__xludf.DUMMYFUNCTION("""COMPUTED_VALUE"""),"B Saya suka memaafkan teman-teman saya yang menyakiti hati saya.")</f>
        <v>B Saya suka memaafkan teman-teman saya yang menyakiti hati saya.</v>
      </c>
      <c r="AY97" s="95" t="str">
        <f>IFERROR(__xludf.DUMMYFUNCTION("""COMPUTED_VALUE"""),"B Saya suka menolong teman-teman saya apabila mereka dalam kesulitan.")</f>
        <v>B Saya suka menolong teman-teman saya apabila mereka dalam kesulitan.</v>
      </c>
      <c r="AZ97" s="95" t="str">
        <f>IFERROR(__xludf.DUMMYFUNCTION("""COMPUTED_VALUE"""),"A Saya ingin agar teman-teman saya bersimpati dan menghibur saya bila saya sedih.")</f>
        <v>A Saya ingin agar teman-teman saya bersimpati dan menghibur saya bila saya sedih.</v>
      </c>
      <c r="BA97" s="95" t="str">
        <f>IFERROR(__xludf.DUMMYFUNCTION("""COMPUTED_VALUE"""),"B Saya suka memperlakukan orang lain dengan baik dan ramah.")</f>
        <v>B Saya suka memperlakukan orang lain dengan baik dan ramah.</v>
      </c>
      <c r="BB97" s="95" t="str">
        <f>IFERROR(__xludf.DUMMYFUNCTION("""COMPUTED_VALUE"""),"B Saya suka bermurah hati terhadap teman-teman saya.")</f>
        <v>B Saya suka bermurah hati terhadap teman-teman saya.</v>
      </c>
      <c r="BC97" s="95" t="str">
        <f>IFERROR(__xludf.DUMMYFUNCTION("""COMPUTED_VALUE"""),"B Saya suka membantu orang lain yang menurut saya perlu dikasihani.")</f>
        <v>B Saya suka membantu orang lain yang menurut saya perlu dikasihani.</v>
      </c>
      <c r="BD97" s="95" t="str">
        <f>IFERROR(__xludf.DUMMYFUNCTION("""COMPUTED_VALUE"""),"B Saya suka bersikukuh dengan pendirian saya.")</f>
        <v>B Saya suka bersikukuh dengan pendirian saya.</v>
      </c>
      <c r="BE97" s="95" t="str">
        <f>IFERROR(__xludf.DUMMYFUNCTION("""COMPUTED_VALUE"""),"A Saya suka mendengarkan atau menceritakan hal-hal yang sebaiknya tidak diceritakan.")</f>
        <v>A Saya suka mendengarkan atau menceritakan hal-hal yang sebaiknya tidak diceritakan.</v>
      </c>
      <c r="BF97" s="95" t="str">
        <f>IFERROR(__xludf.DUMMYFUNCTION("""COMPUTED_VALUE"""),"B Bila saya dalam kelompok, saya ingin menentukan apa yang akan kita lakukan.")</f>
        <v>B Bila saya dalam kelompok, saya ingin menentukan apa yang akan kita lakukan.</v>
      </c>
      <c r="BG97" s="95" t="str">
        <f>IFERROR(__xludf.DUMMYFUNCTION("""COMPUTED_VALUE"""),"B Saya suka mengarahkan kepada orang lain apa yang harus dilakukan.")</f>
        <v>B Saya suka mengarahkan kepada orang lain apa yang harus dilakukan.</v>
      </c>
      <c r="BH97" s="95" t="str">
        <f>IFERROR(__xludf.DUMMYFUNCTION("""COMPUTED_VALUE"""),"A Saya suka menghindar dari situasi yang tidak saya harapkan.")</f>
        <v>A Saya suka menghindar dari situasi yang tidak saya harapkan.</v>
      </c>
      <c r="BI97" s="95" t="str">
        <f>IFERROR(__xludf.DUMMYFUNCTION("""COMPUTED_VALUE"""),"A Saya suka bermurah hati terhadap teman-teman saya.")</f>
        <v>A Saya suka bermurah hati terhadap teman-teman saya.</v>
      </c>
      <c r="BJ97" s="95" t="str">
        <f>IFERROR(__xludf.DUMMYFUNCTION("""COMPUTED_VALUE"""),"A Saya ingin mengerjakan tugas sampai selesai.")</f>
        <v>A Saya ingin mengerjakan tugas sampai selesai.</v>
      </c>
      <c r="BK97" s="95" t="str">
        <f>IFERROR(__xludf.DUMMYFUNCTION("""COMPUTED_VALUE"""),"A Saya ingin menyelesaikan pekerjaan satu persatu sebelum memulai yang lain.")</f>
        <v>A Saya ingin menyelesaikan pekerjaan satu persatu sebelum memulai yang lain.</v>
      </c>
      <c r="BL97" s="95" t="str">
        <f>IFERROR(__xludf.DUMMYFUNCTION("""COMPUTED_VALUE"""),"A Saya suka belajar saya teratur dan ada waktu-waktu tertentu untuk belajar.")</f>
        <v>A Saya suka belajar saya teratur dan ada waktu-waktu tertentu untuk belajar.</v>
      </c>
      <c r="BM97" s="95" t="str">
        <f>IFERROR(__xludf.DUMMYFUNCTION("""COMPUTED_VALUE"""),"A Saya suka melakukan pekerjaan sebaik mungkin.")</f>
        <v>A Saya suka melakukan pekerjaan sebaik mungkin.</v>
      </c>
      <c r="BN97" s="95" t="str">
        <f>IFERROR(__xludf.DUMMYFUNCTION("""COMPUTED_VALUE"""),"B Saya ingin teman-teman memberi dorongan bila saya menghadapi kegagalan.")</f>
        <v>B Saya ingin teman-teman memberi dorongan bila saya menghadapi kegagalan.</v>
      </c>
      <c r="BO97" s="95" t="str">
        <f>IFERROR(__xludf.DUMMYFUNCTION("""COMPUTED_VALUE"""),"B Saya ingin diperlakukan dengan baik oleh teman-teman saya.")</f>
        <v>B Saya ingin diperlakukan dengan baik oleh teman-teman saya.</v>
      </c>
      <c r="BP97" s="95" t="str">
        <f>IFERROR(__xludf.DUMMYFUNCTION("""COMPUTED_VALUE"""),"A Saya ingin menyelesaikan sesuatu yang sangat penting artinya.")</f>
        <v>A Saya ingin menyelesaikan sesuatu yang sangat penting artinya.</v>
      </c>
      <c r="BQ97" s="95" t="str">
        <f>IFERROR(__xludf.DUMMYFUNCTION("""COMPUTED_VALUE"""),"A Saya ingin mengerjakannya tugas sampai selesai.")</f>
        <v>A Saya ingin mengerjakannya tugas sampai selesai.</v>
      </c>
      <c r="BR97" s="95" t="str">
        <f>IFERROR(__xludf.DUMMYFUNCTION("""COMPUTED_VALUE"""),"A Saya suka memaafkan teman-teman saya yang menyakiti hati saya.")</f>
        <v>A Saya suka memaafkan teman-teman saya yang menyakiti hati saya.</v>
      </c>
      <c r="BS97" s="95" t="str">
        <f>IFERROR(__xludf.DUMMYFUNCTION("""COMPUTED_VALUE"""),"B Saya ingin teman-teman saya membantu saya bila saya mengalami kesulitan")</f>
        <v>B Saya ingin teman-teman saya membantu saya bila saya mengalami kesulitan</v>
      </c>
      <c r="BT97" s="95" t="str">
        <f>IFERROR(__xludf.DUMMYFUNCTION("""COMPUTED_VALUE"""),"B Saya ingin teman-teman banyak menunjukkan rasa sayang mereka terhadap saya.")</f>
        <v>B Saya ingin teman-teman banyak menunjukkan rasa sayang mereka terhadap saya.</v>
      </c>
      <c r="BU97" s="95" t="str">
        <f>IFERROR(__xludf.DUMMYFUNCTION("""COMPUTED_VALUE"""),"A Saya kadang-kadang suka melakukan hal-hal yang dapat dipuji oleh orang lain.")</f>
        <v>A Saya kadang-kadang suka melakukan hal-hal yang dapat dipuji oleh orang lain.</v>
      </c>
      <c r="BV97" s="95" t="str">
        <f>IFERROR(__xludf.DUMMYFUNCTION("""COMPUTED_VALUE"""),"A Saya ingin dianggap menarik oleh orang lain.")</f>
        <v>A Saya ingin dianggap menarik oleh orang lain.</v>
      </c>
      <c r="BW97" s="95" t="str">
        <f>IFERROR(__xludf.DUMMYFUNCTION("""COMPUTED_VALUE"""),"B Saya ingin diperlakukan dengan baik oleh teman-teman saya.")</f>
        <v>B Saya ingin diperlakukan dengan baik oleh teman-teman saya.</v>
      </c>
      <c r="BX97" s="95" t="str">
        <f>IFERROR(__xludf.DUMMYFUNCTION("""COMPUTED_VALUE"""),"B Saya kadang-kadang suka melakukan hal-hal yang dapat dipuji oleh orang lain.")</f>
        <v>B Saya kadang-kadang suka melakukan hal-hal yang dapat dipuji oleh orang lain.</v>
      </c>
      <c r="BY97" s="95" t="str">
        <f>IFERROR(__xludf.DUMMYFUNCTION("""COMPUTED_VALUE"""),"B Saya ingin orang lain memperhatikan dan berkomentar tentang penampilan saya.")</f>
        <v>B Saya ingin orang lain memperhatikan dan berkomentar tentang penampilan saya.</v>
      </c>
      <c r="BZ97" s="95" t="str">
        <f>IFERROR(__xludf.DUMMYFUNCTION("""COMPUTED_VALUE"""),"A Saya suka berkata yang artinya sulit dipahami oleh orang lain.")</f>
        <v>A Saya suka berkata yang artinya sulit dipahami oleh orang lain.</v>
      </c>
      <c r="CA97" s="95" t="str">
        <f>IFERROR(__xludf.DUMMYFUNCTION("""COMPUTED_VALUE"""),"A Saya ingin teman-teman dengan gembira memberikan pertolongan kepada saya.")</f>
        <v>A Saya ingin teman-teman dengan gembira memberikan pertolongan kepada saya.</v>
      </c>
      <c r="CB97" s="95" t="str">
        <f>IFERROR(__xludf.DUMMYFUNCTION("""COMPUTED_VALUE"""),"B Saya suka berbicara tentang hal-hal yang telah saya capai.")</f>
        <v>B Saya suka berbicara tentang hal-hal yang telah saya capai.</v>
      </c>
      <c r="CC97" s="95" t="str">
        <f>IFERROR(__xludf.DUMMYFUNCTION("""COMPUTED_VALUE"""),"A Apabila saya berkumpul dalam kelompok, saya ingin dihargai teman-teman.")</f>
        <v>A Apabila saya berkumpul dalam kelompok, saya ingin dihargai teman-teman.</v>
      </c>
      <c r="CD97" s="95" t="str">
        <f>IFERROR(__xludf.DUMMYFUNCTION("""COMPUTED_VALUE"""),"A Saya suka menyelesaikan setiap tugas meskipun membutuhkan waktu lama.")</f>
        <v>A Saya suka menyelesaikan setiap tugas meskipun membutuhkan waktu lama.</v>
      </c>
      <c r="CE97" s="95" t="str">
        <f>IFERROR(__xludf.DUMMYFUNCTION("""COMPUTED_VALUE"""),"A Saya suka menyelesaikan setiap tugas belajar yang telah saya mulai.")</f>
        <v>A Saya suka menyelesaikan setiap tugas belajar yang telah saya mulai.</v>
      </c>
      <c r="CF97" s="95" t="str">
        <f>IFERROR(__xludf.DUMMYFUNCTION("""COMPUTED_VALUE"""),"B Saya ingin orang lain memperhatikan dan berkomentar tentang penampilan saya.")</f>
        <v>B Saya ingin orang lain memperhatikan dan berkomentar tentang penampilan saya.</v>
      </c>
      <c r="CG97" s="95" t="str">
        <f>IFERROR(__xludf.DUMMYFUNCTION("""COMPUTED_VALUE"""),"A Saya ingin berhasil dalam apa yang saya lakukan.")</f>
        <v>A Saya ingin berhasil dalam apa yang saya lakukan.</v>
      </c>
      <c r="CH97" s="95" t="str">
        <f>IFERROR(__xludf.DUMMYFUNCTION("""COMPUTED_VALUE"""),"A Saya ingin bisa melakukan dengan baik sesuatu pekerjaan sulit.")</f>
        <v>A Saya ingin bisa melakukan dengan baik sesuatu pekerjaan sulit.</v>
      </c>
      <c r="CI97" s="95" t="str">
        <f>IFERROR(__xludf.DUMMYFUNCTION("""COMPUTED_VALUE"""),"A Saya suka belajar saya teratur dan ada waktu-waktu tertentu untuk belajar.")</f>
        <v>A Saya suka belajar saya teratur dan ada waktu-waktu tertentu untuk belajar.</v>
      </c>
      <c r="CJ97" s="95" t="str">
        <f>IFERROR(__xludf.DUMMYFUNCTION("""COMPUTED_VALUE"""),"A Saya ingin tidak tergantung dari orang lain terhadap apa yang akan saya lakukan.")</f>
        <v>A Saya ingin tidak tergantung dari orang lain terhadap apa yang akan saya lakukan.</v>
      </c>
      <c r="CK97" s="95" t="str">
        <f>IFERROR(__xludf.DUMMYFUNCTION("""COMPUTED_VALUE"""),"B Saya senang ikut beraktivitas bersama teman sebaya saya.")</f>
        <v>B Saya senang ikut beraktivitas bersama teman sebaya saya.</v>
      </c>
      <c r="CL97" s="95" t="str">
        <f>IFERROR(__xludf.DUMMYFUNCTION("""COMPUTED_VALUE"""),"A Saya suka menolong teman-teman saya, apabila mereka dalam kesulitan.")</f>
        <v>A Saya suka menolong teman-teman saya, apabila mereka dalam kesulitan.</v>
      </c>
      <c r="CM97" s="95" t="str">
        <f>IFERROR(__xludf.DUMMYFUNCTION("""COMPUTED_VALUE"""),"B Saya merasa kagum pada seseorang.")</f>
        <v>B Saya merasa kagum pada seseorang.</v>
      </c>
      <c r="CN97" s="95" t="str">
        <f>IFERROR(__xludf.DUMMYFUNCTION("""COMPUTED_VALUE"""),"A Saya ingin diperlakukan dengan baik oleh teman-teman saya.")</f>
        <v>A Saya ingin diperlakukan dengan baik oleh teman-teman saya.</v>
      </c>
      <c r="CO97" s="95" t="str">
        <f>IFERROR(__xludf.DUMMYFUNCTION("""COMPUTED_VALUE"""),"B Saya suka memuji orang yang saya kagumi.")</f>
        <v>B Saya suka memuji orang yang saya kagumi.</v>
      </c>
      <c r="CP97" s="95" t="str">
        <f>IFERROR(__xludf.DUMMYFUNCTION("""COMPUTED_VALUE"""),"B Saya ingin dianggap menarik oleh orang lain.")</f>
        <v>B Saya ingin dianggap menarik oleh orang lain.</v>
      </c>
      <c r="CQ97" s="95" t="str">
        <f>IFERROR(__xludf.DUMMYFUNCTION("""COMPUTED_VALUE"""),"B Saya merasa kagum pada seseorang.")</f>
        <v>B Saya merasa kagum pada seseorang.</v>
      </c>
      <c r="CR97" s="95" t="str">
        <f>IFERROR(__xludf.DUMMYFUNCTION("""COMPUTED_VALUE"""),"B Saya rasanya ingin mengecam seseorang bila orang itu menjengkelkan.")</f>
        <v>B Saya rasanya ingin mengecam seseorang bila orang itu menjengkelkan.</v>
      </c>
      <c r="CS97" s="95" t="str">
        <f>IFERROR(__xludf.DUMMYFUNCTION("""COMPUTED_VALUE"""),"A Saya ingin terlihat menarik di depan teman-teman saya.")</f>
        <v>A Saya ingin terlihat menarik di depan teman-teman saya.</v>
      </c>
      <c r="CT97" s="95" t="str">
        <f>IFERROR(__xludf.DUMMYFUNCTION("""COMPUTED_VALUE"""),"A Saya ingin orang-orang memperhatikan komentar mengenai penampilan saya.")</f>
        <v>A Saya ingin orang-orang memperhatikan komentar mengenai penampilan saya.</v>
      </c>
      <c r="CU97" s="95" t="str">
        <f>IFERROR(__xludf.DUMMYFUNCTION("""COMPUTED_VALUE"""),"A Saya ingin diperlakukan dengan ramah oleh teman-teman saya.")</f>
        <v>A Saya ingin diperlakukan dengan ramah oleh teman-teman saya.</v>
      </c>
      <c r="CV97" s="95" t="str">
        <f>IFERROR(__xludf.DUMMYFUNCTION("""COMPUTED_VALUE"""),"A Saya ingin ditunjuk atau dipilih sebagai ketua dalam suatu kelompok.")</f>
        <v>A Saya ingin ditunjuk atau dipilih sebagai ketua dalam suatu kelompok.</v>
      </c>
      <c r="CW97" s="95" t="str">
        <f>IFERROR(__xludf.DUMMYFUNCTION("""COMPUTED_VALUE"""),"A Saya suka menolong teman-teman saya, apabila mereka dalam kesulitan.")</f>
        <v>A Saya suka menolong teman-teman saya, apabila mereka dalam kesulitan.</v>
      </c>
      <c r="CX97" s="95" t="str">
        <f>IFERROR(__xludf.DUMMYFUNCTION("""COMPUTED_VALUE"""),"A Saya suka belajar sampai malam untuk menyelesaikan suatu tugas.")</f>
        <v>A Saya suka belajar sampai malam untuk menyelesaikan suatu tugas.</v>
      </c>
      <c r="CY97" s="95" t="str">
        <f>IFERROR(__xludf.DUMMYFUNCTION("""COMPUTED_VALUE"""),"A Saya ingin tidak tergantung dari orang lain terhadap apa yang akan saya lakukan.")</f>
        <v>A Saya ingin tidak tergantung dari orang lain terhadap apa yang akan saya lakukan.</v>
      </c>
      <c r="CZ97" s="95" t="str">
        <f>IFERROR(__xludf.DUMMYFUNCTION("""COMPUTED_VALUE"""),"A Saya suka merencanakan dan mengatur setiap pekerjaan yang harus saya lakukan.")</f>
        <v>A Saya suka merencanakan dan mengatur setiap pekerjaan yang harus saya lakukan.</v>
      </c>
      <c r="DA97" s="95" t="str">
        <f>IFERROR(__xludf.DUMMYFUNCTION("""COMPUTED_VALUE"""),"A Saya ingin melakukan apa saja sebaik mungkin.")</f>
        <v>A Saya ingin melakukan apa saja sebaik mungkin.</v>
      </c>
      <c r="DB97" s="89" t="s">
        <v>23</v>
      </c>
      <c r="DC97" s="97" t="str">
        <f t="shared" ref="DC97:GX97" si="142">LEFT(F97,1)</f>
        <v>B</v>
      </c>
      <c r="DD97" s="97" t="str">
        <f t="shared" si="142"/>
        <v>B</v>
      </c>
      <c r="DE97" s="97" t="str">
        <f t="shared" si="142"/>
        <v>A</v>
      </c>
      <c r="DF97" s="97" t="str">
        <f t="shared" si="142"/>
        <v>B</v>
      </c>
      <c r="DG97" s="97" t="str">
        <f t="shared" si="142"/>
        <v>B</v>
      </c>
      <c r="DH97" s="97" t="str">
        <f t="shared" si="142"/>
        <v>B</v>
      </c>
      <c r="DI97" s="97" t="str">
        <f t="shared" si="142"/>
        <v>B</v>
      </c>
      <c r="DJ97" s="97" t="str">
        <f t="shared" si="142"/>
        <v>B</v>
      </c>
      <c r="DK97" s="97" t="str">
        <f t="shared" si="142"/>
        <v>A</v>
      </c>
      <c r="DL97" s="97" t="str">
        <f t="shared" si="142"/>
        <v>B</v>
      </c>
      <c r="DM97" s="97" t="str">
        <f t="shared" si="142"/>
        <v>B</v>
      </c>
      <c r="DN97" s="97" t="str">
        <f t="shared" si="142"/>
        <v>B</v>
      </c>
      <c r="DO97" s="97" t="str">
        <f t="shared" si="142"/>
        <v>B</v>
      </c>
      <c r="DP97" s="97" t="str">
        <f t="shared" si="142"/>
        <v>A</v>
      </c>
      <c r="DQ97" s="97" t="str">
        <f t="shared" si="142"/>
        <v>B</v>
      </c>
      <c r="DR97" s="97" t="str">
        <f t="shared" si="142"/>
        <v>A</v>
      </c>
      <c r="DS97" s="97" t="str">
        <f t="shared" si="142"/>
        <v>B</v>
      </c>
      <c r="DT97" s="97" t="str">
        <f t="shared" si="142"/>
        <v>A</v>
      </c>
      <c r="DU97" s="97" t="str">
        <f t="shared" si="142"/>
        <v>A</v>
      </c>
      <c r="DV97" s="97" t="str">
        <f t="shared" si="142"/>
        <v>B</v>
      </c>
      <c r="DW97" s="97" t="str">
        <f t="shared" si="142"/>
        <v>A</v>
      </c>
      <c r="DX97" s="97" t="str">
        <f t="shared" si="142"/>
        <v>A</v>
      </c>
      <c r="DY97" s="97" t="str">
        <f t="shared" si="142"/>
        <v>B</v>
      </c>
      <c r="DZ97" s="97" t="str">
        <f t="shared" si="142"/>
        <v>A</v>
      </c>
      <c r="EA97" s="97" t="str">
        <f t="shared" si="142"/>
        <v>B</v>
      </c>
      <c r="EB97" s="97" t="str">
        <f t="shared" si="142"/>
        <v>B</v>
      </c>
      <c r="EC97" s="97" t="str">
        <f t="shared" si="142"/>
        <v>A</v>
      </c>
      <c r="ED97" s="97" t="str">
        <f t="shared" si="142"/>
        <v>B</v>
      </c>
      <c r="EE97" s="97" t="str">
        <f t="shared" si="142"/>
        <v>B</v>
      </c>
      <c r="EF97" s="97" t="str">
        <f t="shared" si="142"/>
        <v>B</v>
      </c>
      <c r="EG97" s="97" t="str">
        <f t="shared" si="142"/>
        <v>B</v>
      </c>
      <c r="EH97" s="97" t="str">
        <f t="shared" si="142"/>
        <v>B</v>
      </c>
      <c r="EI97" s="97" t="str">
        <f t="shared" si="142"/>
        <v>B</v>
      </c>
      <c r="EJ97" s="97" t="str">
        <f t="shared" si="142"/>
        <v>B</v>
      </c>
      <c r="EK97" s="97" t="str">
        <f t="shared" si="142"/>
        <v>A</v>
      </c>
      <c r="EL97" s="97" t="str">
        <f t="shared" si="142"/>
        <v>B</v>
      </c>
      <c r="EM97" s="97" t="str">
        <f t="shared" si="142"/>
        <v>B</v>
      </c>
      <c r="EN97" s="97" t="str">
        <f t="shared" si="142"/>
        <v>B</v>
      </c>
      <c r="EO97" s="97" t="str">
        <f t="shared" si="142"/>
        <v>B</v>
      </c>
      <c r="EP97" s="97" t="str">
        <f t="shared" si="142"/>
        <v>B</v>
      </c>
      <c r="EQ97" s="97" t="str">
        <f t="shared" si="142"/>
        <v>B</v>
      </c>
      <c r="ER97" s="97" t="str">
        <f t="shared" si="142"/>
        <v>B</v>
      </c>
      <c r="ES97" s="97" t="str">
        <f t="shared" si="142"/>
        <v>B</v>
      </c>
      <c r="ET97" s="97" t="str">
        <f t="shared" si="142"/>
        <v>A</v>
      </c>
      <c r="EU97" s="97" t="str">
        <f t="shared" si="142"/>
        <v>B</v>
      </c>
      <c r="EV97" s="97" t="str">
        <f t="shared" si="142"/>
        <v>B</v>
      </c>
      <c r="EW97" s="97" t="str">
        <f t="shared" si="142"/>
        <v>A</v>
      </c>
      <c r="EX97" s="97" t="str">
        <f t="shared" si="142"/>
        <v>B</v>
      </c>
      <c r="EY97" s="97" t="str">
        <f t="shared" si="142"/>
        <v>B</v>
      </c>
      <c r="EZ97" s="97" t="str">
        <f t="shared" si="142"/>
        <v>B</v>
      </c>
      <c r="FA97" s="97" t="str">
        <f t="shared" si="142"/>
        <v>B</v>
      </c>
      <c r="FB97" s="97" t="str">
        <f t="shared" si="142"/>
        <v>A</v>
      </c>
      <c r="FC97" s="97" t="str">
        <f t="shared" si="142"/>
        <v>B</v>
      </c>
      <c r="FD97" s="97" t="str">
        <f t="shared" si="142"/>
        <v>B</v>
      </c>
      <c r="FE97" s="97" t="str">
        <f t="shared" si="142"/>
        <v>A</v>
      </c>
      <c r="FF97" s="97" t="str">
        <f t="shared" si="142"/>
        <v>A</v>
      </c>
      <c r="FG97" s="97" t="str">
        <f t="shared" si="142"/>
        <v>A</v>
      </c>
      <c r="FH97" s="97" t="str">
        <f t="shared" si="142"/>
        <v>A</v>
      </c>
      <c r="FI97" s="97" t="str">
        <f t="shared" si="142"/>
        <v>A</v>
      </c>
      <c r="FJ97" s="97" t="str">
        <f t="shared" si="142"/>
        <v>A</v>
      </c>
      <c r="FK97" s="97" t="str">
        <f t="shared" si="142"/>
        <v>B</v>
      </c>
      <c r="FL97" s="97" t="str">
        <f t="shared" si="142"/>
        <v>B</v>
      </c>
      <c r="FM97" s="97" t="str">
        <f t="shared" si="142"/>
        <v>A</v>
      </c>
      <c r="FN97" s="97" t="str">
        <f t="shared" si="142"/>
        <v>A</v>
      </c>
      <c r="FO97" s="97" t="str">
        <f t="shared" si="142"/>
        <v>A</v>
      </c>
      <c r="FP97" s="97" t="str">
        <f t="shared" si="142"/>
        <v>B</v>
      </c>
      <c r="FQ97" s="97" t="str">
        <f t="shared" si="142"/>
        <v>B</v>
      </c>
      <c r="FR97" s="97" t="str">
        <f t="shared" si="142"/>
        <v>A</v>
      </c>
      <c r="FS97" s="97" t="str">
        <f t="shared" si="142"/>
        <v>A</v>
      </c>
      <c r="FT97" s="97" t="str">
        <f t="shared" si="142"/>
        <v>B</v>
      </c>
      <c r="FU97" s="97" t="str">
        <f t="shared" si="142"/>
        <v>B</v>
      </c>
      <c r="FV97" s="97" t="str">
        <f t="shared" si="142"/>
        <v>B</v>
      </c>
      <c r="FW97" s="97" t="str">
        <f t="shared" si="142"/>
        <v>A</v>
      </c>
      <c r="FX97" s="97" t="str">
        <f t="shared" si="142"/>
        <v>A</v>
      </c>
      <c r="FY97" s="97" t="str">
        <f t="shared" si="142"/>
        <v>B</v>
      </c>
      <c r="FZ97" s="97" t="str">
        <f t="shared" si="142"/>
        <v>A</v>
      </c>
      <c r="GA97" s="97" t="str">
        <f t="shared" si="142"/>
        <v>A</v>
      </c>
      <c r="GB97" s="97" t="str">
        <f t="shared" si="142"/>
        <v>A</v>
      </c>
      <c r="GC97" s="97" t="str">
        <f t="shared" si="142"/>
        <v>B</v>
      </c>
      <c r="GD97" s="97" t="str">
        <f t="shared" si="142"/>
        <v>A</v>
      </c>
      <c r="GE97" s="97" t="str">
        <f t="shared" si="142"/>
        <v>A</v>
      </c>
      <c r="GF97" s="97" t="str">
        <f t="shared" si="142"/>
        <v>A</v>
      </c>
      <c r="GG97" s="97" t="str">
        <f t="shared" si="142"/>
        <v>A</v>
      </c>
      <c r="GH97" s="97" t="str">
        <f t="shared" si="142"/>
        <v>B</v>
      </c>
      <c r="GI97" s="97" t="str">
        <f t="shared" si="142"/>
        <v>A</v>
      </c>
      <c r="GJ97" s="97" t="str">
        <f t="shared" si="142"/>
        <v>B</v>
      </c>
      <c r="GK97" s="97" t="str">
        <f t="shared" si="142"/>
        <v>A</v>
      </c>
      <c r="GL97" s="97" t="str">
        <f t="shared" si="142"/>
        <v>B</v>
      </c>
      <c r="GM97" s="97" t="str">
        <f t="shared" si="142"/>
        <v>B</v>
      </c>
      <c r="GN97" s="97" t="str">
        <f t="shared" si="142"/>
        <v>B</v>
      </c>
      <c r="GO97" s="97" t="str">
        <f t="shared" si="142"/>
        <v>B</v>
      </c>
      <c r="GP97" s="97" t="str">
        <f t="shared" si="142"/>
        <v>A</v>
      </c>
      <c r="GQ97" s="97" t="str">
        <f t="shared" si="142"/>
        <v>A</v>
      </c>
      <c r="GR97" s="97" t="str">
        <f t="shared" si="142"/>
        <v>A</v>
      </c>
      <c r="GS97" s="97" t="str">
        <f t="shared" si="142"/>
        <v>A</v>
      </c>
      <c r="GT97" s="97" t="str">
        <f t="shared" si="142"/>
        <v>A</v>
      </c>
      <c r="GU97" s="97" t="str">
        <f t="shared" si="142"/>
        <v>A</v>
      </c>
      <c r="GV97" s="97" t="str">
        <f t="shared" si="142"/>
        <v>A</v>
      </c>
      <c r="GW97" s="97" t="str">
        <f t="shared" si="142"/>
        <v>A</v>
      </c>
      <c r="GX97" s="97" t="str">
        <f t="shared" si="142"/>
        <v>A</v>
      </c>
      <c r="GY97" s="98"/>
      <c r="GZ97" s="97">
        <f t="shared" si="3"/>
        <v>45</v>
      </c>
      <c r="HA97" s="97">
        <f t="shared" si="4"/>
        <v>55</v>
      </c>
      <c r="HB97" s="90">
        <f t="shared" si="5"/>
        <v>100</v>
      </c>
      <c r="HC97" s="99"/>
      <c r="HD97" s="97">
        <f t="shared" si="6"/>
        <v>5</v>
      </c>
      <c r="HE97" s="97">
        <f t="shared" si="7"/>
        <v>7</v>
      </c>
      <c r="HF97" s="90">
        <f t="shared" si="8"/>
        <v>12</v>
      </c>
      <c r="HG97" s="99"/>
      <c r="HH97" s="97">
        <f t="shared" si="9"/>
        <v>4</v>
      </c>
      <c r="HI97" s="97">
        <f t="shared" si="10"/>
        <v>6</v>
      </c>
      <c r="HJ97" s="90">
        <f t="shared" si="11"/>
        <v>10</v>
      </c>
      <c r="HK97" s="99"/>
      <c r="HL97" s="97">
        <f t="shared" si="12"/>
        <v>7</v>
      </c>
      <c r="HM97" s="97">
        <f t="shared" si="13"/>
        <v>6</v>
      </c>
      <c r="HN97" s="90">
        <f t="shared" si="14"/>
        <v>13</v>
      </c>
      <c r="HO97" s="99"/>
      <c r="HP97" s="97">
        <f t="shared" si="15"/>
        <v>6</v>
      </c>
      <c r="HQ97" s="97">
        <f t="shared" si="16"/>
        <v>9</v>
      </c>
      <c r="HR97" s="90">
        <f t="shared" si="17"/>
        <v>15</v>
      </c>
      <c r="HS97" s="99"/>
      <c r="HT97" s="97">
        <f t="shared" si="18"/>
        <v>6</v>
      </c>
      <c r="HU97" s="97">
        <f t="shared" si="19"/>
        <v>8</v>
      </c>
      <c r="HV97" s="90">
        <f t="shared" si="20"/>
        <v>14</v>
      </c>
      <c r="HW97" s="99"/>
      <c r="HX97" s="97">
        <f t="shared" si="21"/>
        <v>2</v>
      </c>
      <c r="HY97" s="97">
        <f t="shared" si="22"/>
        <v>3</v>
      </c>
      <c r="HZ97" s="90">
        <f t="shared" si="23"/>
        <v>5</v>
      </c>
      <c r="IA97" s="99"/>
      <c r="IB97" s="97">
        <f t="shared" si="24"/>
        <v>6</v>
      </c>
      <c r="IC97" s="97">
        <f t="shared" si="25"/>
        <v>5</v>
      </c>
      <c r="ID97" s="90">
        <f t="shared" si="26"/>
        <v>11</v>
      </c>
      <c r="IE97" s="99"/>
      <c r="IF97" s="97">
        <f t="shared" si="27"/>
        <v>2</v>
      </c>
      <c r="IG97" s="97">
        <f t="shared" si="28"/>
        <v>4</v>
      </c>
      <c r="IH97" s="90">
        <f t="shared" si="29"/>
        <v>6</v>
      </c>
      <c r="II97" s="99"/>
      <c r="IJ97" s="97">
        <f t="shared" si="30"/>
        <v>4</v>
      </c>
      <c r="IK97" s="97">
        <f t="shared" si="31"/>
        <v>5</v>
      </c>
      <c r="IL97" s="90">
        <f t="shared" si="32"/>
        <v>9</v>
      </c>
      <c r="IM97" s="99"/>
      <c r="IN97" s="97">
        <f t="shared" si="33"/>
        <v>0</v>
      </c>
      <c r="IO97" s="97">
        <f t="shared" si="34"/>
        <v>1</v>
      </c>
      <c r="IP97" s="90">
        <f t="shared" si="35"/>
        <v>1</v>
      </c>
      <c r="IQ97" s="99"/>
      <c r="IR97" s="99"/>
      <c r="IS97" s="100">
        <f t="shared" si="36"/>
        <v>12</v>
      </c>
      <c r="IT97" s="100">
        <f t="shared" si="37"/>
        <v>10</v>
      </c>
      <c r="IU97" s="100">
        <f t="shared" si="38"/>
        <v>13</v>
      </c>
      <c r="IV97" s="100">
        <f t="shared" si="39"/>
        <v>15</v>
      </c>
      <c r="IW97" s="100">
        <f t="shared" si="40"/>
        <v>14</v>
      </c>
      <c r="IX97" s="100">
        <f t="shared" si="41"/>
        <v>5</v>
      </c>
      <c r="IY97" s="100">
        <f t="shared" si="42"/>
        <v>11</v>
      </c>
      <c r="IZ97" s="100">
        <f t="shared" si="43"/>
        <v>6</v>
      </c>
      <c r="JA97" s="100">
        <f t="shared" si="44"/>
        <v>9</v>
      </c>
      <c r="JB97" s="101">
        <f t="shared" si="45"/>
        <v>1</v>
      </c>
      <c r="JC97" s="102">
        <f t="shared" si="46"/>
        <v>96</v>
      </c>
      <c r="JD97" s="67">
        <f t="shared" si="50"/>
        <v>0</v>
      </c>
      <c r="JE97" s="67">
        <f t="shared" si="47"/>
        <v>1</v>
      </c>
      <c r="JF97" s="67">
        <f t="shared" si="48"/>
        <v>1</v>
      </c>
    </row>
    <row r="98">
      <c r="A98" s="103">
        <f>IFERROR(__xludf.DUMMYFUNCTION("""COMPUTED_VALUE"""),45947.350681909724)</f>
        <v>45947.35068</v>
      </c>
      <c r="B98" s="95" t="str">
        <f>IFERROR(__xludf.DUMMYFUNCTION("""COMPUTED_VALUE"""),"Ahadan Nazka Harits")</f>
        <v>Ahadan Nazka Harits</v>
      </c>
      <c r="C98" s="96" t="str">
        <f>IFERROR(__xludf.DUMMYFUNCTION("""COMPUTED_VALUE"""),"B250024")</f>
        <v>B250024</v>
      </c>
      <c r="D98" s="96" t="str">
        <f>IFERROR(__xludf.DUMMYFUNCTION("""COMPUTED_VALUE"""),"IL Putra")</f>
        <v>IL Putra</v>
      </c>
      <c r="E98" s="96" t="str">
        <f>IFERROR(__xludf.DUMMYFUNCTION("""COMPUTED_VALUE"""),"Ya")</f>
        <v>Ya</v>
      </c>
      <c r="F98" s="95" t="str">
        <f>IFERROR(__xludf.DUMMYFUNCTION("""COMPUTED_VALUE"""),"B Saya ingin melakukan apa saja sebaik mungkin.")</f>
        <v>B Saya ingin melakukan apa saja sebaik mungkin.</v>
      </c>
      <c r="G98" s="95" t="str">
        <f>IFERROR(__xludf.DUMMYFUNCTION("""COMPUTED_VALUE"""),"A Saya ingin setiap tulisan saya teliti, rapi, dan tersusun dengan baik.")</f>
        <v>A Saya ingin setiap tulisan saya teliti, rapi, dan tersusun dengan baik.</v>
      </c>
      <c r="H98" s="95" t="str">
        <f>IFERROR(__xludf.DUMMYFUNCTION("""COMPUTED_VALUE"""),"B Saya ingin menjadi orang yang diakui dalam suatu pekerjaan atau bidang khusus.")</f>
        <v>B Saya ingin menjadi orang yang diakui dalam suatu pekerjaan atau bidang khusus.</v>
      </c>
      <c r="I98" s="95" t="str">
        <f>IFERROR(__xludf.DUMMYFUNCTION("""COMPUTED_VALUE"""),"B Saya ingin bisa melakukan dengan baik meskipun tugas yang sulit.")</f>
        <v>B Saya ingin bisa melakukan dengan baik meskipun tugas yang sulit.</v>
      </c>
      <c r="J98" s="95" t="str">
        <f>IFERROR(__xludf.DUMMYFUNCTION("""COMPUTED_VALUE"""),"A Saya suka membantu teman-teman saya apabila mereka mengalami kesulitan.")</f>
        <v>A Saya suka membantu teman-teman saya apabila mereka mengalami kesulitan.</v>
      </c>
      <c r="K98" s="95" t="str">
        <f>IFERROR(__xludf.DUMMYFUNCTION("""COMPUTED_VALUE"""),"B Saya ingin mengatakan telah melakukan dengan baik sesuatu tugas yang sulit.")</f>
        <v>B Saya ingin mengatakan telah melakukan dengan baik sesuatu tugas yang sulit.</v>
      </c>
      <c r="L98" s="95" t="str">
        <f>IFERROR(__xludf.DUMMYFUNCTION("""COMPUTED_VALUE"""),"B Saya ingin mengatakan telah melakukan dengan baik sesuatu tugas yang sulit")</f>
        <v>B Saya ingin mengatakan telah melakukan dengan baik sesuatu tugas yang sulit</v>
      </c>
      <c r="M98" s="95" t="str">
        <f>IFERROR(__xludf.DUMMYFUNCTION("""COMPUTED_VALUE"""),"A Saya suka berbicara tentang hal-hal yang telah berhasil saya lakukan.")</f>
        <v>A Saya suka berbicara tentang hal-hal yang telah berhasil saya lakukan.</v>
      </c>
      <c r="N98" s="95" t="str">
        <f>IFERROR(__xludf.DUMMYFUNCTION("""COMPUTED_VALUE"""),"A Saya suka pergi dengan pakaian rapi agar lebih menarik perhatian orang lain.")</f>
        <v>A Saya suka pergi dengan pakaian rapi agar lebih menarik perhatian orang lain.</v>
      </c>
      <c r="O98" s="95" t="str">
        <f>IFERROR(__xludf.DUMMYFUNCTION("""COMPUTED_VALUE"""),"A Saya marah saat ada teman memperolok-olok hal-hal yang saya anggap bodoh.")</f>
        <v>A Saya marah saat ada teman memperolok-olok hal-hal yang saya anggap bodoh.</v>
      </c>
      <c r="P98" s="95" t="str">
        <f>IFERROR(__xludf.DUMMYFUNCTION("""COMPUTED_VALUE"""),"A Saya suka bercerita tentang hal-hal yang menegangkan atau menantang.")</f>
        <v>A Saya suka bercerita tentang hal-hal yang menegangkan atau menantang.</v>
      </c>
      <c r="Q98" s="95" t="str">
        <f>IFERROR(__xludf.DUMMYFUNCTION("""COMPUTED_VALUE"""),"A Saya mulai suka dengan lawan jenis.")</f>
        <v>A Saya mulai suka dengan lawan jenis.</v>
      </c>
      <c r="R98" s="95" t="str">
        <f>IFERROR(__xludf.DUMMYFUNCTION("""COMPUTED_VALUE"""),"B Saya suka barang-barang saya tersusun rapi dan teratur.")</f>
        <v>B Saya suka barang-barang saya tersusun rapi dan teratur.</v>
      </c>
      <c r="S98" s="95" t="str">
        <f>IFERROR(__xludf.DUMMYFUNCTION("""COMPUTED_VALUE"""),"B Saya suka membuat perencanaan sebelum memulai tugas yang sulit.")</f>
        <v>B Saya suka membuat perencanaan sebelum memulai tugas yang sulit.</v>
      </c>
      <c r="T98" s="95" t="str">
        <f>IFERROR(__xludf.DUMMYFUNCTION("""COMPUTED_VALUE"""),"B Saya ingin agar hidup saya teratur sesuai cita-cita saya.")</f>
        <v>B Saya ingin agar hidup saya teratur sesuai cita-cita saya.</v>
      </c>
      <c r="U98" s="95" t="str">
        <f>IFERROR(__xludf.DUMMYFUNCTION("""COMPUTED_VALUE"""),"A Saya suka memberikan bantuan kepada teman-teman saya.")</f>
        <v>A Saya suka memberikan bantuan kepada teman-teman saya.</v>
      </c>
      <c r="V98" s="95" t="str">
        <f>IFERROR(__xludf.DUMMYFUNCTION("""COMPUTED_VALUE"""),"B Saya suka belajar saya teratur dan ada waktu-waktu tertentu untuk belajar.")</f>
        <v>B Saya suka belajar saya teratur dan ada waktu-waktu tertentu untuk belajar.</v>
      </c>
      <c r="W98" s="95" t="str">
        <f>IFERROR(__xludf.DUMMYFUNCTION("""COMPUTED_VALUE"""),"A Saya suka melakukan kegiatan sesuai kondisi yang saya inginkan.")</f>
        <v>A Saya suka melakukan kegiatan sesuai kondisi yang saya inginkan.</v>
      </c>
      <c r="X98" s="95" t="str">
        <f>IFERROR(__xludf.DUMMYFUNCTION("""COMPUTED_VALUE"""),"B Saya ingin agar hidup saya teratur sesuai cita-cita saya.")</f>
        <v>B Saya ingin agar hidup saya teratur sesuai cita-cita saya.</v>
      </c>
      <c r="Y98" s="95" t="str">
        <f>IFERROR(__xludf.DUMMYFUNCTION("""COMPUTED_VALUE"""),"A Saya suka menyelesaikan tugas-tugas yang membutuhkan ketrampilan dan usaha.")</f>
        <v>A Saya suka menyelesaikan tugas-tugas yang membutuhkan ketrampilan dan usaha.</v>
      </c>
      <c r="Z98" s="95" t="str">
        <f>IFERROR(__xludf.DUMMYFUNCTION("""COMPUTED_VALUE"""),"A Saya ingin berhasil dengan belajar yang saya lakukan.")</f>
        <v>A Saya ingin berhasil dengan belajar yang saya lakukan.</v>
      </c>
      <c r="AA98" s="95" t="str">
        <f>IFERROR(__xludf.DUMMYFUNCTION("""COMPUTED_VALUE"""),"A Saya suka menyelesaikan tugas yang telah saya rencanakan.")</f>
        <v>A Saya suka menyelesaikan tugas yang telah saya rencanakan.</v>
      </c>
      <c r="AB98" s="95" t="str">
        <f>IFERROR(__xludf.DUMMYFUNCTION("""COMPUTED_VALUE"""),"B Saya ingin menyelesaikan pekerjaan satu persatu sebelum memulai yang lain.")</f>
        <v>B Saya ingin menyelesaikan pekerjaan satu persatu sebelum memulai yang lain.</v>
      </c>
      <c r="AC98" s="95" t="str">
        <f>IFERROR(__xludf.DUMMYFUNCTION("""COMPUTED_VALUE"""),"A Saya suka menyelesaikan setiap tugas meskipun membutuhkan waktu lama.")</f>
        <v>A Saya suka menyelesaikan setiap tugas meskipun membutuhkan waktu lama.</v>
      </c>
      <c r="AD98" s="95" t="str">
        <f>IFERROR(__xludf.DUMMYFUNCTION("""COMPUTED_VALUE"""),"B Saya suka menyatakan pendapat saya tentang berbagai hal.")</f>
        <v>B Saya suka menyatakan pendapat saya tentang berbagai hal.</v>
      </c>
      <c r="AE98" s="95" t="str">
        <f>IFERROR(__xludf.DUMMYFUNCTION("""COMPUTED_VALUE"""),"B Saya suka melakukan hal-hal yang dianggap orang lain tidak sesuai.")</f>
        <v>B Saya suka melakukan hal-hal yang dianggap orang lain tidak sesuai.</v>
      </c>
      <c r="AF98" s="95" t="str">
        <f>IFERROR(__xludf.DUMMYFUNCTION("""COMPUTED_VALUE"""),"B Saya suka melakukan hal-hal dengan cara saya sendiri.")</f>
        <v>B Saya suka melakukan hal-hal dengan cara saya sendiri.</v>
      </c>
      <c r="AG98" s="95" t="str">
        <f>IFERROR(__xludf.DUMMYFUNCTION("""COMPUTED_VALUE"""),"A Saya mengajari orang lain bagaimana mereka harus melakukan pekerjaan mereka.")</f>
        <v>A Saya mengajari orang lain bagaimana mereka harus melakukan pekerjaan mereka.</v>
      </c>
      <c r="AH98" s="95" t="str">
        <f>IFERROR(__xludf.DUMMYFUNCTION("""COMPUTED_VALUE"""),"A Saya suka membaca buku-buku tentang pergaulan remaja.")</f>
        <v>A Saya suka membaca buku-buku tentang pergaulan remaja.</v>
      </c>
      <c r="AI98" s="95" t="str">
        <f>IFERROR(__xludf.DUMMYFUNCTION("""COMPUTED_VALUE"""),"B Saya suka melakukan kegiatan sesuai kondisi yang saya inginkan.")</f>
        <v>B Saya suka melakukan kegiatan sesuai kondisi yang saya inginkan.</v>
      </c>
      <c r="AJ98" s="95" t="str">
        <f>IFERROR(__xludf.DUMMYFUNCTION("""COMPUTED_VALUE"""),"B Saya suka bertahan menghadapi satu masalah meskipun belum tentu berhasil.")</f>
        <v>B Saya suka bertahan menghadapi satu masalah meskipun belum tentu berhasil.</v>
      </c>
      <c r="AK98" s="95" t="str">
        <f>IFERROR(__xludf.DUMMYFUNCTION("""COMPUTED_VALUE"""),"A Saya suka bercerita tentang hal-hal pribadi yang seharusnya tidak perlu diketahui orang lain.")</f>
        <v>A Saya suka bercerita tentang hal-hal pribadi yang seharusnya tidak perlu diketahui orang lain.</v>
      </c>
      <c r="AL98" s="95" t="str">
        <f>IFERROR(__xludf.DUMMYFUNCTION("""COMPUTED_VALUE"""),"A Saya suka berbicara tentang hal-hal yang telah saya capai.")</f>
        <v>A Saya suka berbicara tentang hal-hal yang telah saya capai.</v>
      </c>
      <c r="AM98" s="95" t="str">
        <f>IFERROR(__xludf.DUMMYFUNCTION("""COMPUTED_VALUE"""),"B Saya suka belajar sampai malam untuk menyelesaikan suatu tugas.")</f>
        <v>B Saya suka belajar sampai malam untuk menyelesaikan suatu tugas.</v>
      </c>
      <c r="AN98" s="95" t="str">
        <f>IFERROR(__xludf.DUMMYFUNCTION("""COMPUTED_VALUE"""),"A Saya tidak suka pada orang yang semena-mena.")</f>
        <v>A Saya tidak suka pada orang yang semena-mena.</v>
      </c>
      <c r="AO98" s="95" t="str">
        <f>IFERROR(__xludf.DUMMYFUNCTION("""COMPUTED_VALUE"""),"A Saya suka berlaku sangat ramah terhadap teman-teman saya.")</f>
        <v>A Saya suka berlaku sangat ramah terhadap teman-teman saya.</v>
      </c>
      <c r="AP98" s="95" t="str">
        <f>IFERROR(__xludf.DUMMYFUNCTION("""COMPUTED_VALUE"""),"B Saya suka bertahan menghadapi satu masalah meskipun belum tentu berhasil.")</f>
        <v>B Saya suka bertahan menghadapi satu masalah meskipun belum tentu berhasil.</v>
      </c>
      <c r="AQ98" s="95" t="str">
        <f>IFERROR(__xludf.DUMMYFUNCTION("""COMPUTED_VALUE"""),"B Bila saya harus melakukan suatu tugas, saya ingin mengerjakan sampai selesai.")</f>
        <v>B Bila saya harus melakukan suatu tugas, saya ingin mengerjakan sampai selesai.</v>
      </c>
      <c r="AR98" s="95" t="str">
        <f>IFERROR(__xludf.DUMMYFUNCTION("""COMPUTED_VALUE"""),"A Saya suka menyimpan catatan secara rapi.")</f>
        <v>A Saya suka menyimpan catatan secara rapi.</v>
      </c>
      <c r="AS98" s="95" t="str">
        <f>IFERROR(__xludf.DUMMYFUNCTION("""COMPUTED_VALUE"""),"A Saya ingin dapat menyelesaikan persoalan yang dianggap sukar bagi orang lain.")</f>
        <v>A Saya ingin dapat menyelesaikan persoalan yang dianggap sukar bagi orang lain.</v>
      </c>
      <c r="AT98" s="95" t="str">
        <f>IFERROR(__xludf.DUMMYFUNCTION("""COMPUTED_VALUE"""),"B Saya suka membantu orang lain yang menurut saya perlu dikasihani.")</f>
        <v>B Saya suka membantu orang lain yang menurut saya perlu dikasihani.</v>
      </c>
      <c r="AU98" s="95" t="str">
        <f>IFERROR(__xludf.DUMMYFUNCTION("""COMPUTED_VALUE"""),"A Saya ingin menyelesaikan pekerjaan satu persatu sebelum memulai yang lain.")</f>
        <v>A Saya ingin menyelesaikan pekerjaan satu persatu sebelum memulai yang lain.</v>
      </c>
      <c r="AV98" s="95" t="str">
        <f>IFERROR(__xludf.DUMMYFUNCTION("""COMPUTED_VALUE"""),"B Saya suka menolong teman-teman saya.")</f>
        <v>B Saya suka menolong teman-teman saya.</v>
      </c>
      <c r="AW98" s="95" t="str">
        <f>IFERROR(__xludf.DUMMYFUNCTION("""COMPUTED_VALUE"""),"B Saya ingin teman-teman saya percaya bahwa saya bisa menolong mereka.")</f>
        <v>B Saya ingin teman-teman saya percaya bahwa saya bisa menolong mereka.</v>
      </c>
      <c r="AX98" s="95" t="str">
        <f>IFERROR(__xludf.DUMMYFUNCTION("""COMPUTED_VALUE"""),"B Saya suka memaafkan teman-teman saya yang menyakiti hati saya.")</f>
        <v>B Saya suka memaafkan teman-teman saya yang menyakiti hati saya.</v>
      </c>
      <c r="AY98" s="95" t="str">
        <f>IFERROR(__xludf.DUMMYFUNCTION("""COMPUTED_VALUE"""),"A Saya rasanya ingin marah saat tidak sesuai dengan hati.")</f>
        <v>A Saya rasanya ingin marah saat tidak sesuai dengan hati.</v>
      </c>
      <c r="AZ98" s="95" t="str">
        <f>IFERROR(__xludf.DUMMYFUNCTION("""COMPUTED_VALUE"""),"B Saya suka menunjukkan simpati saya kepada teman-teman saya.")</f>
        <v>B Saya suka menunjukkan simpati saya kepada teman-teman saya.</v>
      </c>
      <c r="BA98" s="95" t="str">
        <f>IFERROR(__xludf.DUMMYFUNCTION("""COMPUTED_VALUE"""),"A Saya suka menyatakan pendapat saya tentang berbagai hal.")</f>
        <v>A Saya suka menyatakan pendapat saya tentang berbagai hal.</v>
      </c>
      <c r="BB98" s="95" t="str">
        <f>IFERROR(__xludf.DUMMYFUNCTION("""COMPUTED_VALUE"""),"A Saya berkeinginan untuk bersama orang yang menarik bagi saya.")</f>
        <v>A Saya berkeinginan untuk bersama orang yang menarik bagi saya.</v>
      </c>
      <c r="BC98" s="95" t="str">
        <f>IFERROR(__xludf.DUMMYFUNCTION("""COMPUTED_VALUE"""),"B Saya suka membantu orang lain yang menurut saya perlu dikasihani.")</f>
        <v>B Saya suka membantu orang lain yang menurut saya perlu dikasihani.</v>
      </c>
      <c r="BD98" s="95" t="str">
        <f>IFERROR(__xludf.DUMMYFUNCTION("""COMPUTED_VALUE"""),"A Saya rasanya ingin menyalahkan orang lain bila keadaan tidak baik bagi saya.")</f>
        <v>A Saya rasanya ingin menyalahkan orang lain bila keadaan tidak baik bagi saya.</v>
      </c>
      <c r="BE98" s="95" t="str">
        <f>IFERROR(__xludf.DUMMYFUNCTION("""COMPUTED_VALUE"""),"A Saya suka mendengarkan atau menceritakan hal-hal yang sebaiknya tidak diceritakan.")</f>
        <v>A Saya suka mendengarkan atau menceritakan hal-hal yang sebaiknya tidak diceritakan.</v>
      </c>
      <c r="BF98" s="95" t="str">
        <f>IFERROR(__xludf.DUMMYFUNCTION("""COMPUTED_VALUE"""),"B Bila saya dalam kelompok, saya ingin menentukan apa yang akan kita lakukan.")</f>
        <v>B Bila saya dalam kelompok, saya ingin menentukan apa yang akan kita lakukan.</v>
      </c>
      <c r="BG98" s="95" t="str">
        <f>IFERROR(__xludf.DUMMYFUNCTION("""COMPUTED_VALUE"""),"B Saya suka mengarahkan kepada orang lain apa yang harus dilakukan.")</f>
        <v>B Saya suka mengarahkan kepada orang lain apa yang harus dilakukan.</v>
      </c>
      <c r="BH98" s="95" t="str">
        <f>IFERROR(__xludf.DUMMYFUNCTION("""COMPUTED_VALUE"""),"A Saya suka menghindar dari situasi yang tidak saya harapkan.")</f>
        <v>A Saya suka menghindar dari situasi yang tidak saya harapkan.</v>
      </c>
      <c r="BI98" s="95" t="str">
        <f>IFERROR(__xludf.DUMMYFUNCTION("""COMPUTED_VALUE"""),"A Saya suka bermurah hati terhadap teman-teman saya.")</f>
        <v>A Saya suka bermurah hati terhadap teman-teman saya.</v>
      </c>
      <c r="BJ98" s="95" t="str">
        <f>IFERROR(__xludf.DUMMYFUNCTION("""COMPUTED_VALUE"""),"A Saya ingin mengerjakan tugas sampai selesai.")</f>
        <v>A Saya ingin mengerjakan tugas sampai selesai.</v>
      </c>
      <c r="BK98" s="95" t="str">
        <f>IFERROR(__xludf.DUMMYFUNCTION("""COMPUTED_VALUE"""),"A Saya ingin menyelesaikan pekerjaan satu persatu sebelum memulai yang lain.")</f>
        <v>A Saya ingin menyelesaikan pekerjaan satu persatu sebelum memulai yang lain.</v>
      </c>
      <c r="BL98" s="95" t="str">
        <f>IFERROR(__xludf.DUMMYFUNCTION("""COMPUTED_VALUE"""),"A Saya suka belajar saya teratur dan ada waktu-waktu tertentu untuk belajar.")</f>
        <v>A Saya suka belajar saya teratur dan ada waktu-waktu tertentu untuk belajar.</v>
      </c>
      <c r="BM98" s="95" t="str">
        <f>IFERROR(__xludf.DUMMYFUNCTION("""COMPUTED_VALUE"""),"A Saya suka melakukan pekerjaan sebaik mungkin.")</f>
        <v>A Saya suka melakukan pekerjaan sebaik mungkin.</v>
      </c>
      <c r="BN98" s="95" t="str">
        <f>IFERROR(__xludf.DUMMYFUNCTION("""COMPUTED_VALUE"""),"A Saya suka mengerjakan teka-teki atau memecahkan persoalan sampai selesai.")</f>
        <v>A Saya suka mengerjakan teka-teki atau memecahkan persoalan sampai selesai.</v>
      </c>
      <c r="BO98" s="95" t="str">
        <f>IFERROR(__xludf.DUMMYFUNCTION("""COMPUTED_VALUE"""),"A Saya suka membuat perencanaan sebelum memulai belajar yang sulit.")</f>
        <v>A Saya suka membuat perencanaan sebelum memulai belajar yang sulit.</v>
      </c>
      <c r="BP98" s="95" t="str">
        <f>IFERROR(__xludf.DUMMYFUNCTION("""COMPUTED_VALUE"""),"A Saya ingin menyelesaikan sesuatu yang sangat penting artinya.")</f>
        <v>A Saya ingin menyelesaikan sesuatu yang sangat penting artinya.</v>
      </c>
      <c r="BQ98" s="95" t="str">
        <f>IFERROR(__xludf.DUMMYFUNCTION("""COMPUTED_VALUE"""),"A Saya ingin mengerjakannya tugas sampai selesai.")</f>
        <v>A Saya ingin mengerjakannya tugas sampai selesai.</v>
      </c>
      <c r="BR98" s="95" t="str">
        <f>IFERROR(__xludf.DUMMYFUNCTION("""COMPUTED_VALUE"""),"A Saya suka memaafkan teman-teman saya yang menyakiti hati saya.")</f>
        <v>A Saya suka memaafkan teman-teman saya yang menyakiti hati saya.</v>
      </c>
      <c r="BS98" s="95" t="str">
        <f>IFERROR(__xludf.DUMMYFUNCTION("""COMPUTED_VALUE"""),"B Saya ingin teman-teman saya membantu saya bila saya mengalami kesulitan")</f>
        <v>B Saya ingin teman-teman saya membantu saya bila saya mengalami kesulitan</v>
      </c>
      <c r="BT98" s="95" t="str">
        <f>IFERROR(__xludf.DUMMYFUNCTION("""COMPUTED_VALUE"""),"B Saya ingin teman-teman banyak menunjukkan rasa sayang mereka terhadap saya.")</f>
        <v>B Saya ingin teman-teman banyak menunjukkan rasa sayang mereka terhadap saya.</v>
      </c>
      <c r="BU98" s="95" t="str">
        <f>IFERROR(__xludf.DUMMYFUNCTION("""COMPUTED_VALUE"""),"A Saya kadang-kadang suka melakukan hal-hal yang dapat dipuji oleh orang lain.")</f>
        <v>A Saya kadang-kadang suka melakukan hal-hal yang dapat dipuji oleh orang lain.</v>
      </c>
      <c r="BV98" s="95" t="str">
        <f>IFERROR(__xludf.DUMMYFUNCTION("""COMPUTED_VALUE"""),"A Saya ingin dianggap menarik oleh orang lain.")</f>
        <v>A Saya ingin dianggap menarik oleh orang lain.</v>
      </c>
      <c r="BW98" s="95" t="str">
        <f>IFERROR(__xludf.DUMMYFUNCTION("""COMPUTED_VALUE"""),"A Saya akan menyerang pendapat yang bertentangan dengan pendirian saya.")</f>
        <v>A Saya akan menyerang pendapat yang bertentangan dengan pendirian saya.</v>
      </c>
      <c r="BX98" s="95" t="str">
        <f>IFERROR(__xludf.DUMMYFUNCTION("""COMPUTED_VALUE"""),"A Saya ingin memperolok-olok orang yang saya anggap melakukan tindakan bodoh.")</f>
        <v>A Saya ingin memperolok-olok orang yang saya anggap melakukan tindakan bodoh.</v>
      </c>
      <c r="BY98" s="95" t="str">
        <f>IFERROR(__xludf.DUMMYFUNCTION("""COMPUTED_VALUE"""),"A Saya suka melamun atau membayangkan hal-hal yang tidak jelas.")</f>
        <v>A Saya suka melamun atau membayangkan hal-hal yang tidak jelas.</v>
      </c>
      <c r="BZ98" s="95" t="str">
        <f>IFERROR(__xludf.DUMMYFUNCTION("""COMPUTED_VALUE"""),"A Saya suka berkata yang artinya sulit dipahami oleh orang lain.")</f>
        <v>A Saya suka berkata yang artinya sulit dipahami oleh orang lain.</v>
      </c>
      <c r="CA98" s="95" t="str">
        <f>IFERROR(__xludf.DUMMYFUNCTION("""COMPUTED_VALUE"""),"B Saya suka mengajukan pertanyaan agar orang lain memperhatikan saya.")</f>
        <v>B Saya suka mengajukan pertanyaan agar orang lain memperhatikan saya.</v>
      </c>
      <c r="CB98" s="95" t="str">
        <f>IFERROR(__xludf.DUMMYFUNCTION("""COMPUTED_VALUE"""),"B Saya suka berbicara tentang hal-hal yang telah saya capai.")</f>
        <v>B Saya suka berbicara tentang hal-hal yang telah saya capai.</v>
      </c>
      <c r="CC98" s="95" t="str">
        <f>IFERROR(__xludf.DUMMYFUNCTION("""COMPUTED_VALUE"""),"B Saya suka menceritakan hal-hal lucu agar diperhatikan oleh orang lain.")</f>
        <v>B Saya suka menceritakan hal-hal lucu agar diperhatikan oleh orang lain.</v>
      </c>
      <c r="CD98" s="95" t="str">
        <f>IFERROR(__xludf.DUMMYFUNCTION("""COMPUTED_VALUE"""),"A Saya suka menyelesaikan setiap tugas meskipun membutuhkan waktu lama.")</f>
        <v>A Saya suka menyelesaikan setiap tugas meskipun membutuhkan waktu lama.</v>
      </c>
      <c r="CE98" s="95" t="str">
        <f>IFERROR(__xludf.DUMMYFUNCTION("""COMPUTED_VALUE"""),"A Saya suka menyelesaikan setiap tugas belajar yang telah saya mulai.")</f>
        <v>A Saya suka menyelesaikan setiap tugas belajar yang telah saya mulai.</v>
      </c>
      <c r="CF98" s="95" t="str">
        <f>IFERROR(__xludf.DUMMYFUNCTION("""COMPUTED_VALUE"""),"A Saya ingin agar hidup saya teratur sesuai cita-cita saya.")</f>
        <v>A Saya ingin agar hidup saya teratur sesuai cita-cita saya.</v>
      </c>
      <c r="CG98" s="95" t="str">
        <f>IFERROR(__xludf.DUMMYFUNCTION("""COMPUTED_VALUE"""),"A Saya ingin berhasil dalam apa yang saya lakukan.")</f>
        <v>A Saya ingin berhasil dalam apa yang saya lakukan.</v>
      </c>
      <c r="CH98" s="95" t="str">
        <f>IFERROR(__xludf.DUMMYFUNCTION("""COMPUTED_VALUE"""),"A Saya ingin bisa melakukan dengan baik sesuatu pekerjaan sulit.")</f>
        <v>A Saya ingin bisa melakukan dengan baik sesuatu pekerjaan sulit.</v>
      </c>
      <c r="CI98" s="95" t="str">
        <f>IFERROR(__xludf.DUMMYFUNCTION("""COMPUTED_VALUE"""),"A Saya suka belajar saya teratur dan ada waktu-waktu tertentu untuk belajar.")</f>
        <v>A Saya suka belajar saya teratur dan ada waktu-waktu tertentu untuk belajar.</v>
      </c>
      <c r="CJ98" s="95" t="str">
        <f>IFERROR(__xludf.DUMMYFUNCTION("""COMPUTED_VALUE"""),"B Saya suka kalau bercerita tentang hal-hal pribadi yang seharusnya tidak perlu diketahui orang lain.")</f>
        <v>B Saya suka kalau bercerita tentang hal-hal pribadi yang seharusnya tidak perlu diketahui orang lain.</v>
      </c>
      <c r="CK98" s="95" t="str">
        <f>IFERROR(__xludf.DUMMYFUNCTION("""COMPUTED_VALUE"""),"A Saya suka bertahan menghadapi satu masalah, meskipun belum tentu berhasil.")</f>
        <v>A Saya suka bertahan menghadapi satu masalah, meskipun belum tentu berhasil.</v>
      </c>
      <c r="CL98" s="95" t="str">
        <f>IFERROR(__xludf.DUMMYFUNCTION("""COMPUTED_VALUE"""),"A Saya suka menolong teman-teman saya, apabila mereka dalam kesulitan.")</f>
        <v>A Saya suka menolong teman-teman saya, apabila mereka dalam kesulitan.</v>
      </c>
      <c r="CM98" s="95" t="str">
        <f>IFERROR(__xludf.DUMMYFUNCTION("""COMPUTED_VALUE"""),"B Saya merasa kagum pada seseorang.")</f>
        <v>B Saya merasa kagum pada seseorang.</v>
      </c>
      <c r="CN98" s="95" t="str">
        <f>IFERROR(__xludf.DUMMYFUNCTION("""COMPUTED_VALUE"""),"A Saya ingin diperlakukan dengan baik oleh teman-teman saya.")</f>
        <v>A Saya ingin diperlakukan dengan baik oleh teman-teman saya.</v>
      </c>
      <c r="CO98" s="95" t="str">
        <f>IFERROR(__xludf.DUMMYFUNCTION("""COMPUTED_VALUE"""),"A Saya suka menceritakan hal-hal lucu agar diperhatikan oleh orang lain.")</f>
        <v>A Saya suka menceritakan hal-hal lucu agar diperhatikan oleh orang lain.</v>
      </c>
      <c r="CP98" s="95" t="str">
        <f>IFERROR(__xludf.DUMMYFUNCTION("""COMPUTED_VALUE"""),"A Saya suka melamun atau membayangkan sesuatu sendirian.")</f>
        <v>A Saya suka melamun atau membayangkan sesuatu sendirian.</v>
      </c>
      <c r="CQ98" s="95" t="str">
        <f>IFERROR(__xludf.DUMMYFUNCTION("""COMPUTED_VALUE"""),"B Saya merasa kagum pada seseorang.")</f>
        <v>B Saya merasa kagum pada seseorang.</v>
      </c>
      <c r="CR98" s="95" t="str">
        <f>IFERROR(__xludf.DUMMYFUNCTION("""COMPUTED_VALUE"""),"A Saya ingin memperolok-olok orang yang saya anggap melakukan tindakan bodoh.")</f>
        <v>A Saya ingin memperolok-olok orang yang saya anggap melakukan tindakan bodoh.</v>
      </c>
      <c r="CS98" s="95" t="str">
        <f>IFERROR(__xludf.DUMMYFUNCTION("""COMPUTED_VALUE"""),"A Saya ingin terlihat menarik di depan teman-teman saya.")</f>
        <v>A Saya ingin terlihat menarik di depan teman-teman saya.</v>
      </c>
      <c r="CT98" s="95" t="str">
        <f>IFERROR(__xludf.DUMMYFUNCTION("""COMPUTED_VALUE"""),"B Saya saat marah rasanya ingin melemparkan dan merusak barang-barang.")</f>
        <v>B Saya saat marah rasanya ingin melemparkan dan merusak barang-barang.</v>
      </c>
      <c r="CU98" s="95" t="str">
        <f>IFERROR(__xludf.DUMMYFUNCTION("""COMPUTED_VALUE"""),"A Saya ingin diperlakukan dengan ramah oleh teman-teman saya.")</f>
        <v>A Saya ingin diperlakukan dengan ramah oleh teman-teman saya.</v>
      </c>
      <c r="CV98" s="95" t="str">
        <f>IFERROR(__xludf.DUMMYFUNCTION("""COMPUTED_VALUE"""),"B Saya menyerang pendirian-pendirian yang bertentangan dengan pendirian saya.")</f>
        <v>B Saya menyerang pendirian-pendirian yang bertentangan dengan pendirian saya.</v>
      </c>
      <c r="CW98" s="95" t="str">
        <f>IFERROR(__xludf.DUMMYFUNCTION("""COMPUTED_VALUE"""),"A Saya suka menolong teman-teman saya, apabila mereka dalam kesulitan.")</f>
        <v>A Saya suka menolong teman-teman saya, apabila mereka dalam kesulitan.</v>
      </c>
      <c r="CX98" s="95" t="str">
        <f>IFERROR(__xludf.DUMMYFUNCTION("""COMPUTED_VALUE"""),"A Saya suka belajar sampai malam untuk menyelesaikan suatu tugas.")</f>
        <v>A Saya suka belajar sampai malam untuk menyelesaikan suatu tugas.</v>
      </c>
      <c r="CY98" s="95" t="str">
        <f>IFERROR(__xludf.DUMMYFUNCTION("""COMPUTED_VALUE"""),"A Saya ingin tidak tergantung dari orang lain terhadap apa yang akan saya lakukan.")</f>
        <v>A Saya ingin tidak tergantung dari orang lain terhadap apa yang akan saya lakukan.</v>
      </c>
      <c r="CZ98" s="95" t="str">
        <f>IFERROR(__xludf.DUMMYFUNCTION("""COMPUTED_VALUE"""),"A Saya suka merencanakan dan mengatur setiap pekerjaan yang harus saya lakukan.")</f>
        <v>A Saya suka merencanakan dan mengatur setiap pekerjaan yang harus saya lakukan.</v>
      </c>
      <c r="DA98" s="95" t="str">
        <f>IFERROR(__xludf.DUMMYFUNCTION("""COMPUTED_VALUE"""),"A Saya ingin melakukan apa saja sebaik mungkin.")</f>
        <v>A Saya ingin melakukan apa saja sebaik mungkin.</v>
      </c>
      <c r="DB98" s="89" t="s">
        <v>23</v>
      </c>
      <c r="DC98" s="97" t="str">
        <f t="shared" ref="DC98:GX98" si="143">LEFT(F98,1)</f>
        <v>B</v>
      </c>
      <c r="DD98" s="97" t="str">
        <f t="shared" si="143"/>
        <v>A</v>
      </c>
      <c r="DE98" s="97" t="str">
        <f t="shared" si="143"/>
        <v>B</v>
      </c>
      <c r="DF98" s="97" t="str">
        <f t="shared" si="143"/>
        <v>B</v>
      </c>
      <c r="DG98" s="97" t="str">
        <f t="shared" si="143"/>
        <v>A</v>
      </c>
      <c r="DH98" s="97" t="str">
        <f t="shared" si="143"/>
        <v>B</v>
      </c>
      <c r="DI98" s="97" t="str">
        <f t="shared" si="143"/>
        <v>B</v>
      </c>
      <c r="DJ98" s="97" t="str">
        <f t="shared" si="143"/>
        <v>A</v>
      </c>
      <c r="DK98" s="97" t="str">
        <f t="shared" si="143"/>
        <v>A</v>
      </c>
      <c r="DL98" s="97" t="str">
        <f t="shared" si="143"/>
        <v>A</v>
      </c>
      <c r="DM98" s="97" t="str">
        <f t="shared" si="143"/>
        <v>A</v>
      </c>
      <c r="DN98" s="97" t="str">
        <f t="shared" si="143"/>
        <v>A</v>
      </c>
      <c r="DO98" s="97" t="str">
        <f t="shared" si="143"/>
        <v>B</v>
      </c>
      <c r="DP98" s="97" t="str">
        <f t="shared" si="143"/>
        <v>B</v>
      </c>
      <c r="DQ98" s="97" t="str">
        <f t="shared" si="143"/>
        <v>B</v>
      </c>
      <c r="DR98" s="97" t="str">
        <f t="shared" si="143"/>
        <v>A</v>
      </c>
      <c r="DS98" s="97" t="str">
        <f t="shared" si="143"/>
        <v>B</v>
      </c>
      <c r="DT98" s="97" t="str">
        <f t="shared" si="143"/>
        <v>A</v>
      </c>
      <c r="DU98" s="97" t="str">
        <f t="shared" si="143"/>
        <v>B</v>
      </c>
      <c r="DV98" s="97" t="str">
        <f t="shared" si="143"/>
        <v>A</v>
      </c>
      <c r="DW98" s="97" t="str">
        <f t="shared" si="143"/>
        <v>A</v>
      </c>
      <c r="DX98" s="97" t="str">
        <f t="shared" si="143"/>
        <v>A</v>
      </c>
      <c r="DY98" s="97" t="str">
        <f t="shared" si="143"/>
        <v>B</v>
      </c>
      <c r="DZ98" s="97" t="str">
        <f t="shared" si="143"/>
        <v>A</v>
      </c>
      <c r="EA98" s="97" t="str">
        <f t="shared" si="143"/>
        <v>B</v>
      </c>
      <c r="EB98" s="97" t="str">
        <f t="shared" si="143"/>
        <v>B</v>
      </c>
      <c r="EC98" s="97" t="str">
        <f t="shared" si="143"/>
        <v>B</v>
      </c>
      <c r="ED98" s="97" t="str">
        <f t="shared" si="143"/>
        <v>A</v>
      </c>
      <c r="EE98" s="97" t="str">
        <f t="shared" si="143"/>
        <v>A</v>
      </c>
      <c r="EF98" s="97" t="str">
        <f t="shared" si="143"/>
        <v>B</v>
      </c>
      <c r="EG98" s="97" t="str">
        <f t="shared" si="143"/>
        <v>B</v>
      </c>
      <c r="EH98" s="97" t="str">
        <f t="shared" si="143"/>
        <v>A</v>
      </c>
      <c r="EI98" s="97" t="str">
        <f t="shared" si="143"/>
        <v>A</v>
      </c>
      <c r="EJ98" s="97" t="str">
        <f t="shared" si="143"/>
        <v>B</v>
      </c>
      <c r="EK98" s="97" t="str">
        <f t="shared" si="143"/>
        <v>A</v>
      </c>
      <c r="EL98" s="97" t="str">
        <f t="shared" si="143"/>
        <v>A</v>
      </c>
      <c r="EM98" s="97" t="str">
        <f t="shared" si="143"/>
        <v>B</v>
      </c>
      <c r="EN98" s="97" t="str">
        <f t="shared" si="143"/>
        <v>B</v>
      </c>
      <c r="EO98" s="97" t="str">
        <f t="shared" si="143"/>
        <v>A</v>
      </c>
      <c r="EP98" s="97" t="str">
        <f t="shared" si="143"/>
        <v>A</v>
      </c>
      <c r="EQ98" s="97" t="str">
        <f t="shared" si="143"/>
        <v>B</v>
      </c>
      <c r="ER98" s="97" t="str">
        <f t="shared" si="143"/>
        <v>A</v>
      </c>
      <c r="ES98" s="97" t="str">
        <f t="shared" si="143"/>
        <v>B</v>
      </c>
      <c r="ET98" s="97" t="str">
        <f t="shared" si="143"/>
        <v>B</v>
      </c>
      <c r="EU98" s="97" t="str">
        <f t="shared" si="143"/>
        <v>B</v>
      </c>
      <c r="EV98" s="97" t="str">
        <f t="shared" si="143"/>
        <v>A</v>
      </c>
      <c r="EW98" s="97" t="str">
        <f t="shared" si="143"/>
        <v>B</v>
      </c>
      <c r="EX98" s="97" t="str">
        <f t="shared" si="143"/>
        <v>A</v>
      </c>
      <c r="EY98" s="97" t="str">
        <f t="shared" si="143"/>
        <v>A</v>
      </c>
      <c r="EZ98" s="97" t="str">
        <f t="shared" si="143"/>
        <v>B</v>
      </c>
      <c r="FA98" s="97" t="str">
        <f t="shared" si="143"/>
        <v>A</v>
      </c>
      <c r="FB98" s="97" t="str">
        <f t="shared" si="143"/>
        <v>A</v>
      </c>
      <c r="FC98" s="97" t="str">
        <f t="shared" si="143"/>
        <v>B</v>
      </c>
      <c r="FD98" s="97" t="str">
        <f t="shared" si="143"/>
        <v>B</v>
      </c>
      <c r="FE98" s="97" t="str">
        <f t="shared" si="143"/>
        <v>A</v>
      </c>
      <c r="FF98" s="97" t="str">
        <f t="shared" si="143"/>
        <v>A</v>
      </c>
      <c r="FG98" s="97" t="str">
        <f t="shared" si="143"/>
        <v>A</v>
      </c>
      <c r="FH98" s="97" t="str">
        <f t="shared" si="143"/>
        <v>A</v>
      </c>
      <c r="FI98" s="97" t="str">
        <f t="shared" si="143"/>
        <v>A</v>
      </c>
      <c r="FJ98" s="97" t="str">
        <f t="shared" si="143"/>
        <v>A</v>
      </c>
      <c r="FK98" s="97" t="str">
        <f t="shared" si="143"/>
        <v>A</v>
      </c>
      <c r="FL98" s="97" t="str">
        <f t="shared" si="143"/>
        <v>A</v>
      </c>
      <c r="FM98" s="97" t="str">
        <f t="shared" si="143"/>
        <v>A</v>
      </c>
      <c r="FN98" s="97" t="str">
        <f t="shared" si="143"/>
        <v>A</v>
      </c>
      <c r="FO98" s="97" t="str">
        <f t="shared" si="143"/>
        <v>A</v>
      </c>
      <c r="FP98" s="97" t="str">
        <f t="shared" si="143"/>
        <v>B</v>
      </c>
      <c r="FQ98" s="97" t="str">
        <f t="shared" si="143"/>
        <v>B</v>
      </c>
      <c r="FR98" s="97" t="str">
        <f t="shared" si="143"/>
        <v>A</v>
      </c>
      <c r="FS98" s="97" t="str">
        <f t="shared" si="143"/>
        <v>A</v>
      </c>
      <c r="FT98" s="97" t="str">
        <f t="shared" si="143"/>
        <v>A</v>
      </c>
      <c r="FU98" s="97" t="str">
        <f t="shared" si="143"/>
        <v>A</v>
      </c>
      <c r="FV98" s="97" t="str">
        <f t="shared" si="143"/>
        <v>A</v>
      </c>
      <c r="FW98" s="97" t="str">
        <f t="shared" si="143"/>
        <v>A</v>
      </c>
      <c r="FX98" s="97" t="str">
        <f t="shared" si="143"/>
        <v>B</v>
      </c>
      <c r="FY98" s="97" t="str">
        <f t="shared" si="143"/>
        <v>B</v>
      </c>
      <c r="FZ98" s="97" t="str">
        <f t="shared" si="143"/>
        <v>B</v>
      </c>
      <c r="GA98" s="97" t="str">
        <f t="shared" si="143"/>
        <v>A</v>
      </c>
      <c r="GB98" s="97" t="str">
        <f t="shared" si="143"/>
        <v>A</v>
      </c>
      <c r="GC98" s="97" t="str">
        <f t="shared" si="143"/>
        <v>A</v>
      </c>
      <c r="GD98" s="97" t="str">
        <f t="shared" si="143"/>
        <v>A</v>
      </c>
      <c r="GE98" s="97" t="str">
        <f t="shared" si="143"/>
        <v>A</v>
      </c>
      <c r="GF98" s="97" t="str">
        <f t="shared" si="143"/>
        <v>A</v>
      </c>
      <c r="GG98" s="97" t="str">
        <f t="shared" si="143"/>
        <v>B</v>
      </c>
      <c r="GH98" s="97" t="str">
        <f t="shared" si="143"/>
        <v>A</v>
      </c>
      <c r="GI98" s="97" t="str">
        <f t="shared" si="143"/>
        <v>A</v>
      </c>
      <c r="GJ98" s="97" t="str">
        <f t="shared" si="143"/>
        <v>B</v>
      </c>
      <c r="GK98" s="97" t="str">
        <f t="shared" si="143"/>
        <v>A</v>
      </c>
      <c r="GL98" s="97" t="str">
        <f t="shared" si="143"/>
        <v>A</v>
      </c>
      <c r="GM98" s="97" t="str">
        <f t="shared" si="143"/>
        <v>A</v>
      </c>
      <c r="GN98" s="97" t="str">
        <f t="shared" si="143"/>
        <v>B</v>
      </c>
      <c r="GO98" s="97" t="str">
        <f t="shared" si="143"/>
        <v>A</v>
      </c>
      <c r="GP98" s="97" t="str">
        <f t="shared" si="143"/>
        <v>A</v>
      </c>
      <c r="GQ98" s="97" t="str">
        <f t="shared" si="143"/>
        <v>B</v>
      </c>
      <c r="GR98" s="97" t="str">
        <f t="shared" si="143"/>
        <v>A</v>
      </c>
      <c r="GS98" s="97" t="str">
        <f t="shared" si="143"/>
        <v>B</v>
      </c>
      <c r="GT98" s="97" t="str">
        <f t="shared" si="143"/>
        <v>A</v>
      </c>
      <c r="GU98" s="97" t="str">
        <f t="shared" si="143"/>
        <v>A</v>
      </c>
      <c r="GV98" s="97" t="str">
        <f t="shared" si="143"/>
        <v>A</v>
      </c>
      <c r="GW98" s="97" t="str">
        <f t="shared" si="143"/>
        <v>A</v>
      </c>
      <c r="GX98" s="97" t="str">
        <f t="shared" si="143"/>
        <v>A</v>
      </c>
      <c r="GY98" s="98"/>
      <c r="GZ98" s="97">
        <f t="shared" si="3"/>
        <v>63</v>
      </c>
      <c r="HA98" s="97">
        <f t="shared" si="4"/>
        <v>37</v>
      </c>
      <c r="HB98" s="90">
        <f t="shared" si="5"/>
        <v>100</v>
      </c>
      <c r="HC98" s="99"/>
      <c r="HD98" s="97">
        <f t="shared" si="6"/>
        <v>8</v>
      </c>
      <c r="HE98" s="97">
        <f t="shared" si="7"/>
        <v>4</v>
      </c>
      <c r="HF98" s="90">
        <f t="shared" si="8"/>
        <v>12</v>
      </c>
      <c r="HG98" s="99"/>
      <c r="HH98" s="97">
        <f t="shared" si="9"/>
        <v>9</v>
      </c>
      <c r="HI98" s="97">
        <f t="shared" si="10"/>
        <v>5</v>
      </c>
      <c r="HJ98" s="90">
        <f t="shared" si="11"/>
        <v>14</v>
      </c>
      <c r="HK98" s="99"/>
      <c r="HL98" s="97">
        <f t="shared" si="12"/>
        <v>5</v>
      </c>
      <c r="HM98" s="97">
        <f t="shared" si="13"/>
        <v>5</v>
      </c>
      <c r="HN98" s="90">
        <f t="shared" si="14"/>
        <v>10</v>
      </c>
      <c r="HO98" s="99"/>
      <c r="HP98" s="97">
        <f t="shared" si="15"/>
        <v>6</v>
      </c>
      <c r="HQ98" s="97">
        <f t="shared" si="16"/>
        <v>4</v>
      </c>
      <c r="HR98" s="90">
        <f t="shared" si="17"/>
        <v>10</v>
      </c>
      <c r="HS98" s="99"/>
      <c r="HT98" s="97">
        <f t="shared" si="18"/>
        <v>7</v>
      </c>
      <c r="HU98" s="97">
        <f t="shared" si="19"/>
        <v>6</v>
      </c>
      <c r="HV98" s="90">
        <f t="shared" si="20"/>
        <v>13</v>
      </c>
      <c r="HW98" s="99"/>
      <c r="HX98" s="97">
        <f t="shared" si="21"/>
        <v>2</v>
      </c>
      <c r="HY98" s="97">
        <f t="shared" si="22"/>
        <v>2</v>
      </c>
      <c r="HZ98" s="90">
        <f t="shared" si="23"/>
        <v>4</v>
      </c>
      <c r="IA98" s="99"/>
      <c r="IB98" s="97">
        <f t="shared" si="24"/>
        <v>2</v>
      </c>
      <c r="IC98" s="97">
        <f t="shared" si="25"/>
        <v>2</v>
      </c>
      <c r="ID98" s="90">
        <f t="shared" si="26"/>
        <v>4</v>
      </c>
      <c r="IE98" s="99"/>
      <c r="IF98" s="97">
        <f t="shared" si="27"/>
        <v>6</v>
      </c>
      <c r="IG98" s="97">
        <f t="shared" si="28"/>
        <v>3</v>
      </c>
      <c r="IH98" s="90">
        <f t="shared" si="29"/>
        <v>9</v>
      </c>
      <c r="II98" s="99"/>
      <c r="IJ98" s="97">
        <f t="shared" si="30"/>
        <v>9</v>
      </c>
      <c r="IK98" s="97">
        <f t="shared" si="31"/>
        <v>3</v>
      </c>
      <c r="IL98" s="90">
        <f t="shared" si="32"/>
        <v>12</v>
      </c>
      <c r="IM98" s="99"/>
      <c r="IN98" s="97">
        <f t="shared" si="33"/>
        <v>5</v>
      </c>
      <c r="IO98" s="97">
        <f t="shared" si="34"/>
        <v>2</v>
      </c>
      <c r="IP98" s="90">
        <f t="shared" si="35"/>
        <v>7</v>
      </c>
      <c r="IQ98" s="99"/>
      <c r="IR98" s="99"/>
      <c r="IS98" s="100">
        <f t="shared" si="36"/>
        <v>12</v>
      </c>
      <c r="IT98" s="100">
        <f t="shared" si="37"/>
        <v>14</v>
      </c>
      <c r="IU98" s="100">
        <f t="shared" si="38"/>
        <v>10</v>
      </c>
      <c r="IV98" s="100">
        <f t="shared" si="39"/>
        <v>10</v>
      </c>
      <c r="IW98" s="100">
        <f t="shared" si="40"/>
        <v>13</v>
      </c>
      <c r="IX98" s="100">
        <f t="shared" si="41"/>
        <v>4</v>
      </c>
      <c r="IY98" s="100">
        <f t="shared" si="42"/>
        <v>4</v>
      </c>
      <c r="IZ98" s="100">
        <f t="shared" si="43"/>
        <v>9</v>
      </c>
      <c r="JA98" s="100">
        <f t="shared" si="44"/>
        <v>12</v>
      </c>
      <c r="JB98" s="101">
        <f t="shared" si="45"/>
        <v>7</v>
      </c>
      <c r="JC98" s="102">
        <f t="shared" si="46"/>
        <v>95</v>
      </c>
      <c r="JD98" s="67">
        <f t="shared" si="50"/>
        <v>0</v>
      </c>
      <c r="JE98" s="67">
        <f t="shared" si="47"/>
        <v>1</v>
      </c>
      <c r="JF98" s="67">
        <f t="shared" si="48"/>
        <v>1</v>
      </c>
    </row>
    <row r="99">
      <c r="A99" s="103">
        <f>IFERROR(__xludf.DUMMYFUNCTION("""COMPUTED_VALUE"""),45947.68615734954)</f>
        <v>45947.68616</v>
      </c>
      <c r="B99" s="95" t="str">
        <f>IFERROR(__xludf.DUMMYFUNCTION("""COMPUTED_VALUE"""),"Ali Barqi As-Saif")</f>
        <v>Ali Barqi As-Saif</v>
      </c>
      <c r="C99" s="96" t="str">
        <f>IFERROR(__xludf.DUMMYFUNCTION("""COMPUTED_VALUE"""),"B250007")</f>
        <v>B250007</v>
      </c>
      <c r="D99" s="96" t="str">
        <f>IFERROR(__xludf.DUMMYFUNCTION("""COMPUTED_VALUE"""),"SMA")</f>
        <v>SMA</v>
      </c>
      <c r="E99" s="96" t="str">
        <f>IFERROR(__xludf.DUMMYFUNCTION("""COMPUTED_VALUE"""),"Ya")</f>
        <v>Ya</v>
      </c>
      <c r="F99" s="95" t="str">
        <f>IFERROR(__xludf.DUMMYFUNCTION("""COMPUTED_VALUE"""),"A Saya ingin mengerjakan segala tugas lebih baik daripada orang lain.")</f>
        <v>A Saya ingin mengerjakan segala tugas lebih baik daripada orang lain.</v>
      </c>
      <c r="G99" s="95" t="str">
        <f>IFERROR(__xludf.DUMMYFUNCTION("""COMPUTED_VALUE"""),"A Saya ingin setiap tulisan saya teliti, rapi, dan tersusun dengan baik.")</f>
        <v>A Saya ingin setiap tulisan saya teliti, rapi, dan tersusun dengan baik.</v>
      </c>
      <c r="H99" s="95" t="str">
        <f>IFERROR(__xludf.DUMMYFUNCTION("""COMPUTED_VALUE"""),"B Saya ingin menjadi orang yang diakui dalam suatu pekerjaan atau bidang khusus.")</f>
        <v>B Saya ingin menjadi orang yang diakui dalam suatu pekerjaan atau bidang khusus.</v>
      </c>
      <c r="I99" s="95" t="str">
        <f>IFERROR(__xludf.DUMMYFUNCTION("""COMPUTED_VALUE"""),"B Saya ingin bisa melakukan dengan baik meskipun tugas yang sulit.")</f>
        <v>B Saya ingin bisa melakukan dengan baik meskipun tugas yang sulit.</v>
      </c>
      <c r="J99" s="95" t="str">
        <f>IFERROR(__xludf.DUMMYFUNCTION("""COMPUTED_VALUE"""),"A Saya suka membantu teman-teman saya apabila mereka mengalami kesulitan.")</f>
        <v>A Saya suka membantu teman-teman saya apabila mereka mengalami kesulitan.</v>
      </c>
      <c r="K99" s="95" t="str">
        <f>IFERROR(__xludf.DUMMYFUNCTION("""COMPUTED_VALUE"""),"A Saya ingin menjadi pemimpin dalam suatu kelompok.")</f>
        <v>A Saya ingin menjadi pemimpin dalam suatu kelompok.</v>
      </c>
      <c r="L99" s="95" t="str">
        <f>IFERROR(__xludf.DUMMYFUNCTION("""COMPUTED_VALUE"""),"A Saya ingin menjadi pemimpin dalam suatu kelompok")</f>
        <v>A Saya ingin menjadi pemimpin dalam suatu kelompok</v>
      </c>
      <c r="M99" s="95" t="str">
        <f>IFERROR(__xludf.DUMMYFUNCTION("""COMPUTED_VALUE"""),"B Saya ingin mengerjakan segala tugas lebih baik daripada orang lain.")</f>
        <v>B Saya ingin mengerjakan segala tugas lebih baik daripada orang lain.</v>
      </c>
      <c r="N99" s="95" t="str">
        <f>IFERROR(__xludf.DUMMYFUNCTION("""COMPUTED_VALUE"""),"B Saya suka memecahkan persoalan yang sukar bagi orang lain.")</f>
        <v>B Saya suka memecahkan persoalan yang sukar bagi orang lain.</v>
      </c>
      <c r="O99" s="95" t="str">
        <f>IFERROR(__xludf.DUMMYFUNCTION("""COMPUTED_VALUE"""),"A Saya marah saat ada teman memperolok-olok hal-hal yang saya anggap bodoh.")</f>
        <v>A Saya marah saat ada teman memperolok-olok hal-hal yang saya anggap bodoh.</v>
      </c>
      <c r="P99" s="95" t="str">
        <f>IFERROR(__xludf.DUMMYFUNCTION("""COMPUTED_VALUE"""),"A Saya suka bercerita tentang hal-hal yang menegangkan atau menantang.")</f>
        <v>A Saya suka bercerita tentang hal-hal yang menegangkan atau menantang.</v>
      </c>
      <c r="Q99" s="95" t="str">
        <f>IFERROR(__xludf.DUMMYFUNCTION("""COMPUTED_VALUE"""),"B Saya merencanakan keperluan yang dibutuhkan sebelum bepergian.")</f>
        <v>B Saya merencanakan keperluan yang dibutuhkan sebelum bepergian.</v>
      </c>
      <c r="R99" s="95" t="str">
        <f>IFERROR(__xludf.DUMMYFUNCTION("""COMPUTED_VALUE"""),"B Saya suka barang-barang saya tersusun rapi dan teratur.")</f>
        <v>B Saya suka barang-barang saya tersusun rapi dan teratur.</v>
      </c>
      <c r="S99" s="95" t="str">
        <f>IFERROR(__xludf.DUMMYFUNCTION("""COMPUTED_VALUE"""),"B Saya suka membuat perencanaan sebelum memulai tugas yang sulit.")</f>
        <v>B Saya suka membuat perencanaan sebelum memulai tugas yang sulit.</v>
      </c>
      <c r="T99" s="95" t="str">
        <f>IFERROR(__xludf.DUMMYFUNCTION("""COMPUTED_VALUE"""),"B Saya ingin agar hidup saya teratur sesuai cita-cita saya.")</f>
        <v>B Saya ingin agar hidup saya teratur sesuai cita-cita saya.</v>
      </c>
      <c r="U99" s="95" t="str">
        <f>IFERROR(__xludf.DUMMYFUNCTION("""COMPUTED_VALUE"""),"A Saya suka memberikan bantuan kepada teman-teman saya.")</f>
        <v>A Saya suka memberikan bantuan kepada teman-teman saya.</v>
      </c>
      <c r="V99" s="95" t="str">
        <f>IFERROR(__xludf.DUMMYFUNCTION("""COMPUTED_VALUE"""),"B Saya suka belajar saya teratur dan ada waktu-waktu tertentu untuk belajar.")</f>
        <v>B Saya suka belajar saya teratur dan ada waktu-waktu tertentu untuk belajar.</v>
      </c>
      <c r="W99" s="95" t="str">
        <f>IFERROR(__xludf.DUMMYFUNCTION("""COMPUTED_VALUE"""),"B Saya ingin kegiatan itu teratur dan direncanakan.")</f>
        <v>B Saya ingin kegiatan itu teratur dan direncanakan.</v>
      </c>
      <c r="X99" s="95" t="str">
        <f>IFERROR(__xludf.DUMMYFUNCTION("""COMPUTED_VALUE"""),"B Saya ingin agar hidup saya teratur sesuai cita-cita saya.")</f>
        <v>B Saya ingin agar hidup saya teratur sesuai cita-cita saya.</v>
      </c>
      <c r="Y99" s="95" t="str">
        <f>IFERROR(__xludf.DUMMYFUNCTION("""COMPUTED_VALUE"""),"B Saya senang merencanakan untuk masa depan.")</f>
        <v>B Saya senang merencanakan untuk masa depan.</v>
      </c>
      <c r="Z99" s="95" t="str">
        <f>IFERROR(__xludf.DUMMYFUNCTION("""COMPUTED_VALUE"""),"A Saya ingin berhasil dengan belajar yang saya lakukan.")</f>
        <v>A Saya ingin berhasil dengan belajar yang saya lakukan.</v>
      </c>
      <c r="AA99" s="95" t="str">
        <f>IFERROR(__xludf.DUMMYFUNCTION("""COMPUTED_VALUE"""),"A Saya suka menyelesaikan tugas yang telah saya rencanakan.")</f>
        <v>A Saya suka menyelesaikan tugas yang telah saya rencanakan.</v>
      </c>
      <c r="AB99" s="95" t="str">
        <f>IFERROR(__xludf.DUMMYFUNCTION("""COMPUTED_VALUE"""),"A Saya ingin tidak tergantung dari orang lain terhadap apa yang akan saya lakukan.")</f>
        <v>A Saya ingin tidak tergantung dari orang lain terhadap apa yang akan saya lakukan.</v>
      </c>
      <c r="AC99" s="95" t="str">
        <f>IFERROR(__xludf.DUMMYFUNCTION("""COMPUTED_VALUE"""),"B Saya suka melakukan kegiatan sesuai kondisi yang saya inginkan.")</f>
        <v>B Saya suka melakukan kegiatan sesuai kondisi yang saya inginkan.</v>
      </c>
      <c r="AD99" s="95" t="str">
        <f>IFERROR(__xludf.DUMMYFUNCTION("""COMPUTED_VALUE"""),"A Saya suka bermurah hati terhadap teman-teman saya.")</f>
        <v>A Saya suka bermurah hati terhadap teman-teman saya.</v>
      </c>
      <c r="AE99" s="95" t="str">
        <f>IFERROR(__xludf.DUMMYFUNCTION("""COMPUTED_VALUE"""),"A Saya ingin dianggap sebagai pemimpin oleh teman di kelompok.")</f>
        <v>A Saya ingin dianggap sebagai pemimpin oleh teman di kelompok.</v>
      </c>
      <c r="AF99" s="95" t="str">
        <f>IFERROR(__xludf.DUMMYFUNCTION("""COMPUTED_VALUE"""),"B Saya suka melakukan hal-hal dengan cara saya sendiri.")</f>
        <v>B Saya suka melakukan hal-hal dengan cara saya sendiri.</v>
      </c>
      <c r="AG99" s="95" t="str">
        <f>IFERROR(__xludf.DUMMYFUNCTION("""COMPUTED_VALUE"""),"A Saya mengajari orang lain bagaimana mereka harus melakukan pekerjaan mereka.")</f>
        <v>A Saya mengajari orang lain bagaimana mereka harus melakukan pekerjaan mereka.</v>
      </c>
      <c r="AH99" s="95" t="str">
        <f>IFERROR(__xludf.DUMMYFUNCTION("""COMPUTED_VALUE"""),"A Saya suka membaca buku-buku tentang pergaulan remaja.")</f>
        <v>A Saya suka membaca buku-buku tentang pergaulan remaja.</v>
      </c>
      <c r="AI99" s="95" t="str">
        <f>IFERROR(__xludf.DUMMYFUNCTION("""COMPUTED_VALUE"""),"B Saya suka melakukan kegiatan sesuai kondisi yang saya inginkan.")</f>
        <v>B Saya suka melakukan kegiatan sesuai kondisi yang saya inginkan.</v>
      </c>
      <c r="AJ99" s="95" t="str">
        <f>IFERROR(__xludf.DUMMYFUNCTION("""COMPUTED_VALUE"""),"B Saya suka bertahan menghadapi satu masalah meskipun belum tentu berhasil.")</f>
        <v>B Saya suka bertahan menghadapi satu masalah meskipun belum tentu berhasil.</v>
      </c>
      <c r="AK99" s="95" t="str">
        <f>IFERROR(__xludf.DUMMYFUNCTION("""COMPUTED_VALUE"""),"B Bila saya harus melakukan suatu tugas, saya ingin mengerjakan sampai selesai.")</f>
        <v>B Bila saya harus melakukan suatu tugas, saya ingin mengerjakan sampai selesai.</v>
      </c>
      <c r="AL99" s="95" t="str">
        <f>IFERROR(__xludf.DUMMYFUNCTION("""COMPUTED_VALUE"""),"B Saya ingin menghindarkan gangguan bila saya sedang belajar.")</f>
        <v>B Saya ingin menghindarkan gangguan bila saya sedang belajar.</v>
      </c>
      <c r="AM99" s="95" t="str">
        <f>IFERROR(__xludf.DUMMYFUNCTION("""COMPUTED_VALUE"""),"A Saya ingin teman-teman saya merasa kasihan pada saya apabila saya sakit.")</f>
        <v>A Saya ingin teman-teman saya merasa kasihan pada saya apabila saya sakit.</v>
      </c>
      <c r="AN99" s="95" t="str">
        <f>IFERROR(__xludf.DUMMYFUNCTION("""COMPUTED_VALUE"""),"A Saya tidak suka pada orang yang semena-mena.")</f>
        <v>A Saya tidak suka pada orang yang semena-mena.</v>
      </c>
      <c r="AO99" s="95" t="str">
        <f>IFERROR(__xludf.DUMMYFUNCTION("""COMPUTED_VALUE"""),"A Saya suka berlaku sangat ramah terhadap teman-teman saya.")</f>
        <v>A Saya suka berlaku sangat ramah terhadap teman-teman saya.</v>
      </c>
      <c r="AP99" s="95" t="str">
        <f>IFERROR(__xludf.DUMMYFUNCTION("""COMPUTED_VALUE"""),"A Saya ingin mengerjakannya tugas sampai selesai.")</f>
        <v>A Saya ingin mengerjakannya tugas sampai selesai.</v>
      </c>
      <c r="AQ99" s="95" t="str">
        <f>IFERROR(__xludf.DUMMYFUNCTION("""COMPUTED_VALUE"""),"B Bila saya harus melakukan suatu tugas, saya ingin mengerjakan sampai selesai.")</f>
        <v>B Bila saya harus melakukan suatu tugas, saya ingin mengerjakan sampai selesai.</v>
      </c>
      <c r="AR99" s="95" t="str">
        <f>IFERROR(__xludf.DUMMYFUNCTION("""COMPUTED_VALUE"""),"A Saya suka menyimpan catatan secara rapi.")</f>
        <v>A Saya suka menyimpan catatan secara rapi.</v>
      </c>
      <c r="AS99" s="95" t="str">
        <f>IFERROR(__xludf.DUMMYFUNCTION("""COMPUTED_VALUE"""),"A Saya ingin dapat menyelesaikan persoalan yang dianggap sukar bagi orang lain.")</f>
        <v>A Saya ingin dapat menyelesaikan persoalan yang dianggap sukar bagi orang lain.</v>
      </c>
      <c r="AT99" s="95" t="str">
        <f>IFERROR(__xludf.DUMMYFUNCTION("""COMPUTED_VALUE"""),"B Saya suka membantu orang lain yang menurut saya perlu dikasihani.")</f>
        <v>B Saya suka membantu orang lain yang menurut saya perlu dikasihani.</v>
      </c>
      <c r="AU99" s="95" t="str">
        <f>IFERROR(__xludf.DUMMYFUNCTION("""COMPUTED_VALUE"""),"B Saya suka bermurah hati terhadap teman-teman saya.")</f>
        <v>B Saya suka bermurah hati terhadap teman-teman saya.</v>
      </c>
      <c r="AV99" s="95" t="str">
        <f>IFERROR(__xludf.DUMMYFUNCTION("""COMPUTED_VALUE"""),"B Saya suka menolong teman-teman saya.")</f>
        <v>B Saya suka menolong teman-teman saya.</v>
      </c>
      <c r="AW99" s="95" t="str">
        <f>IFERROR(__xludf.DUMMYFUNCTION("""COMPUTED_VALUE"""),"B Saya ingin teman-teman saya percaya bahwa saya bisa menolong mereka.")</f>
        <v>B Saya ingin teman-teman saya percaya bahwa saya bisa menolong mereka.</v>
      </c>
      <c r="AX99" s="95" t="str">
        <f>IFERROR(__xludf.DUMMYFUNCTION("""COMPUTED_VALUE"""),"A Saya suka menolong teman-teman saya apabila mereka dalam kesulitan.")</f>
        <v>A Saya suka menolong teman-teman saya apabila mereka dalam kesulitan.</v>
      </c>
      <c r="AY99" s="95" t="str">
        <f>IFERROR(__xludf.DUMMYFUNCTION("""COMPUTED_VALUE"""),"B Saya suka menolong teman-teman saya apabila mereka dalam kesulitan.")</f>
        <v>B Saya suka menolong teman-teman saya apabila mereka dalam kesulitan.</v>
      </c>
      <c r="AZ99" s="95" t="str">
        <f>IFERROR(__xludf.DUMMYFUNCTION("""COMPUTED_VALUE"""),"B Saya suka menunjukkan simpati saya kepada teman-teman saya.")</f>
        <v>B Saya suka menunjukkan simpati saya kepada teman-teman saya.</v>
      </c>
      <c r="BA99" s="95" t="str">
        <f>IFERROR(__xludf.DUMMYFUNCTION("""COMPUTED_VALUE"""),"A Saya suka menyatakan pendapat saya tentang berbagai hal.")</f>
        <v>A Saya suka menyatakan pendapat saya tentang berbagai hal.</v>
      </c>
      <c r="BB99" s="95" t="str">
        <f>IFERROR(__xludf.DUMMYFUNCTION("""COMPUTED_VALUE"""),"A Saya berkeinginan untuk bersama orang yang menarik bagi saya.")</f>
        <v>A Saya berkeinginan untuk bersama orang yang menarik bagi saya.</v>
      </c>
      <c r="BC99" s="95" t="str">
        <f>IFERROR(__xludf.DUMMYFUNCTION("""COMPUTED_VALUE"""),"A Saya rasanya ingin mengecam seseorang bila orang itu menjengkelkan.")</f>
        <v>A Saya rasanya ingin mengecam seseorang bila orang itu menjengkelkan.</v>
      </c>
      <c r="BD99" s="95" t="str">
        <f>IFERROR(__xludf.DUMMYFUNCTION("""COMPUTED_VALUE"""),"A Saya rasanya ingin menyalahkan orang lain bila keadaan tidak baik bagi saya.")</f>
        <v>A Saya rasanya ingin menyalahkan orang lain bila keadaan tidak baik bagi saya.</v>
      </c>
      <c r="BE99" s="95" t="str">
        <f>IFERROR(__xludf.DUMMYFUNCTION("""COMPUTED_VALUE"""),"A Saya suka mendengarkan atau menceritakan hal-hal yang sebaiknya tidak diceritakan.")</f>
        <v>A Saya suka mendengarkan atau menceritakan hal-hal yang sebaiknya tidak diceritakan.</v>
      </c>
      <c r="BF99" s="95" t="str">
        <f>IFERROR(__xludf.DUMMYFUNCTION("""COMPUTED_VALUE"""),"B Bila saya dalam kelompok, saya ingin menentukan apa yang akan kita lakukan.")</f>
        <v>B Bila saya dalam kelompok, saya ingin menentukan apa yang akan kita lakukan.</v>
      </c>
      <c r="BG99" s="95" t="str">
        <f>IFERROR(__xludf.DUMMYFUNCTION("""COMPUTED_VALUE"""),"B Saya suka mengarahkan kepada orang lain apa yang harus dilakukan.")</f>
        <v>B Saya suka mengarahkan kepada orang lain apa yang harus dilakukan.</v>
      </c>
      <c r="BH99" s="95" t="str">
        <f>IFERROR(__xludf.DUMMYFUNCTION("""COMPUTED_VALUE"""),"B Apabila saya berkumpul dalam kelompok, saya ingin dihargai teman-teman.")</f>
        <v>B Apabila saya berkumpul dalam kelompok, saya ingin dihargai teman-teman.</v>
      </c>
      <c r="BI99" s="95" t="str">
        <f>IFERROR(__xludf.DUMMYFUNCTION("""COMPUTED_VALUE"""),"A Saya suka bermurah hati terhadap teman-teman saya.")</f>
        <v>A Saya suka bermurah hati terhadap teman-teman saya.</v>
      </c>
      <c r="BJ99" s="95" t="str">
        <f>IFERROR(__xludf.DUMMYFUNCTION("""COMPUTED_VALUE"""),"B Saya ingin menjadi pemimpin dalam kelompok di mana saya ada di situ")</f>
        <v>B Saya ingin menjadi pemimpin dalam kelompok di mana saya ada di situ</v>
      </c>
      <c r="BK99" s="95" t="str">
        <f>IFERROR(__xludf.DUMMYFUNCTION("""COMPUTED_VALUE"""),"B Saya senang untuk diminta menyelesaikan pertentangan-pertentangan.")</f>
        <v>B Saya senang untuk diminta menyelesaikan pertentangan-pertentangan.</v>
      </c>
      <c r="BL99" s="95" t="str">
        <f>IFERROR(__xludf.DUMMYFUNCTION("""COMPUTED_VALUE"""),"A Saya suka belajar saya teratur dan ada waktu-waktu tertentu untuk belajar.")</f>
        <v>A Saya suka belajar saya teratur dan ada waktu-waktu tertentu untuk belajar.</v>
      </c>
      <c r="BM99" s="95" t="str">
        <f>IFERROR(__xludf.DUMMYFUNCTION("""COMPUTED_VALUE"""),"A Saya suka melakukan pekerjaan sebaik mungkin.")</f>
        <v>A Saya suka melakukan pekerjaan sebaik mungkin.</v>
      </c>
      <c r="BN99" s="95" t="str">
        <f>IFERROR(__xludf.DUMMYFUNCTION("""COMPUTED_VALUE"""),"A Saya suka mengerjakan teka-teki atau memecahkan persoalan sampai selesai.")</f>
        <v>A Saya suka mengerjakan teka-teki atau memecahkan persoalan sampai selesai.</v>
      </c>
      <c r="BO99" s="95" t="str">
        <f>IFERROR(__xludf.DUMMYFUNCTION("""COMPUTED_VALUE"""),"A Saya suka membuat perencanaan sebelum memulai belajar yang sulit.")</f>
        <v>A Saya suka membuat perencanaan sebelum memulai belajar yang sulit.</v>
      </c>
      <c r="BP99" s="95" t="str">
        <f>IFERROR(__xludf.DUMMYFUNCTION("""COMPUTED_VALUE"""),"B Saya ingin teman-teman saya merasa kasihan pada saya apabila saya sakit.")</f>
        <v>B Saya ingin teman-teman saya merasa kasihan pada saya apabila saya sakit.</v>
      </c>
      <c r="BQ99" s="95" t="str">
        <f>IFERROR(__xludf.DUMMYFUNCTION("""COMPUTED_VALUE"""),"B Saya ingin agar teman-teman menceritakan diri saya apabila saya sakit.")</f>
        <v>B Saya ingin agar teman-teman menceritakan diri saya apabila saya sakit.</v>
      </c>
      <c r="BR99" s="95" t="str">
        <f>IFERROR(__xludf.DUMMYFUNCTION("""COMPUTED_VALUE"""),"B Saya ingin agar teman-teman saya bersimpati dan menghibur saya bila saya sedih.")</f>
        <v>B Saya ingin agar teman-teman saya bersimpati dan menghibur saya bila saya sedih.</v>
      </c>
      <c r="BS99" s="95" t="str">
        <f>IFERROR(__xludf.DUMMYFUNCTION("""COMPUTED_VALUE"""),"B Saya ingin teman-teman saya membantu saya bila saya mengalami kesulitan")</f>
        <v>B Saya ingin teman-teman saya membantu saya bila saya mengalami kesulitan</v>
      </c>
      <c r="BT99" s="95" t="str">
        <f>IFERROR(__xludf.DUMMYFUNCTION("""COMPUTED_VALUE"""),"B Saya ingin teman-teman banyak menunjukkan rasa sayang mereka terhadap saya.")</f>
        <v>B Saya ingin teman-teman banyak menunjukkan rasa sayang mereka terhadap saya.</v>
      </c>
      <c r="BU99" s="95" t="str">
        <f>IFERROR(__xludf.DUMMYFUNCTION("""COMPUTED_VALUE"""),"A Saya kadang-kadang suka melakukan hal-hal yang dapat dipuji oleh orang lain.")</f>
        <v>A Saya kadang-kadang suka melakukan hal-hal yang dapat dipuji oleh orang lain.</v>
      </c>
      <c r="BV99" s="95" t="str">
        <f>IFERROR(__xludf.DUMMYFUNCTION("""COMPUTED_VALUE"""),"B Saya ingin teman-teman dengan gembira memberikan pertolongan kepada saya.")</f>
        <v>B Saya ingin teman-teman dengan gembira memberikan pertolongan kepada saya.</v>
      </c>
      <c r="BW99" s="95" t="str">
        <f>IFERROR(__xludf.DUMMYFUNCTION("""COMPUTED_VALUE"""),"B Saya ingin diperlakukan dengan baik oleh teman-teman saya.")</f>
        <v>B Saya ingin diperlakukan dengan baik oleh teman-teman saya.</v>
      </c>
      <c r="BX99" s="95" t="str">
        <f>IFERROR(__xludf.DUMMYFUNCTION("""COMPUTED_VALUE"""),"B Saya kadang-kadang suka melakukan hal-hal yang dapat dipuji oleh orang lain.")</f>
        <v>B Saya kadang-kadang suka melakukan hal-hal yang dapat dipuji oleh orang lain.</v>
      </c>
      <c r="BY99" s="95" t="str">
        <f>IFERROR(__xludf.DUMMYFUNCTION("""COMPUTED_VALUE"""),"B Saya ingin orang lain memperhatikan dan berkomentar tentang penampilan saya.")</f>
        <v>B Saya ingin orang lain memperhatikan dan berkomentar tentang penampilan saya.</v>
      </c>
      <c r="BZ99" s="95" t="str">
        <f>IFERROR(__xludf.DUMMYFUNCTION("""COMPUTED_VALUE"""),"B Saya suka diperhatikan, apabila saya ada di dalam suatu kelompok.")</f>
        <v>B Saya suka diperhatikan, apabila saya ada di dalam suatu kelompok.</v>
      </c>
      <c r="CA99" s="95" t="str">
        <f>IFERROR(__xludf.DUMMYFUNCTION("""COMPUTED_VALUE"""),"A Saya ingin teman-teman dengan gembira memberikan pertolongan kepada saya.")</f>
        <v>A Saya ingin teman-teman dengan gembira memberikan pertolongan kepada saya.</v>
      </c>
      <c r="CB99" s="95" t="str">
        <f>IFERROR(__xludf.DUMMYFUNCTION("""COMPUTED_VALUE"""),"B Saya suka berbicara tentang hal-hal yang telah saya capai.")</f>
        <v>B Saya suka berbicara tentang hal-hal yang telah saya capai.</v>
      </c>
      <c r="CC99" s="95" t="str">
        <f>IFERROR(__xludf.DUMMYFUNCTION("""COMPUTED_VALUE"""),"B Saya suka menceritakan hal-hal lucu agar diperhatikan oleh orang lain.")</f>
        <v>B Saya suka menceritakan hal-hal lucu agar diperhatikan oleh orang lain.</v>
      </c>
      <c r="CD99" s="95" t="str">
        <f>IFERROR(__xludf.DUMMYFUNCTION("""COMPUTED_VALUE"""),"A Saya suka menyelesaikan setiap tugas meskipun membutuhkan waktu lama.")</f>
        <v>A Saya suka menyelesaikan setiap tugas meskipun membutuhkan waktu lama.</v>
      </c>
      <c r="CE99" s="95" t="str">
        <f>IFERROR(__xludf.DUMMYFUNCTION("""COMPUTED_VALUE"""),"B Saya kadang-kadang suka melakukan hal-hal yang dapat dipuji oleh orang lain.")</f>
        <v>B Saya kadang-kadang suka melakukan hal-hal yang dapat dipuji oleh orang lain.</v>
      </c>
      <c r="CF99" s="95" t="str">
        <f>IFERROR(__xludf.DUMMYFUNCTION("""COMPUTED_VALUE"""),"A Saya ingin agar hidup saya teratur sesuai cita-cita saya.")</f>
        <v>A Saya ingin agar hidup saya teratur sesuai cita-cita saya.</v>
      </c>
      <c r="CG99" s="95" t="str">
        <f>IFERROR(__xludf.DUMMYFUNCTION("""COMPUTED_VALUE"""),"B Saya suka berbicara tentang hal-hal yang telah saya capai.")</f>
        <v>B Saya suka berbicara tentang hal-hal yang telah saya capai.</v>
      </c>
      <c r="CH99" s="95" t="str">
        <f>IFERROR(__xludf.DUMMYFUNCTION("""COMPUTED_VALUE"""),"A Saya ingin bisa melakukan dengan baik sesuatu pekerjaan sulit.")</f>
        <v>A Saya ingin bisa melakukan dengan baik sesuatu pekerjaan sulit.</v>
      </c>
      <c r="CI99" s="95" t="str">
        <f>IFERROR(__xludf.DUMMYFUNCTION("""COMPUTED_VALUE"""),"A Saya suka belajar saya teratur dan ada waktu-waktu tertentu untuk belajar.")</f>
        <v>A Saya suka belajar saya teratur dan ada waktu-waktu tertentu untuk belajar.</v>
      </c>
      <c r="CJ99" s="95" t="str">
        <f>IFERROR(__xludf.DUMMYFUNCTION("""COMPUTED_VALUE"""),"A Saya ingin tidak tergantung dari orang lain terhadap apa yang akan saya lakukan.")</f>
        <v>A Saya ingin tidak tergantung dari orang lain terhadap apa yang akan saya lakukan.</v>
      </c>
      <c r="CK99" s="95" t="str">
        <f>IFERROR(__xludf.DUMMYFUNCTION("""COMPUTED_VALUE"""),"B Saya senang ikut beraktivitas bersama teman sebaya saya.")</f>
        <v>B Saya senang ikut beraktivitas bersama teman sebaya saya.</v>
      </c>
      <c r="CL99" s="95" t="str">
        <f>IFERROR(__xludf.DUMMYFUNCTION("""COMPUTED_VALUE"""),"A Saya suka menolong teman-teman saya, apabila mereka dalam kesulitan.")</f>
        <v>A Saya suka menolong teman-teman saya, apabila mereka dalam kesulitan.</v>
      </c>
      <c r="CM99" s="95" t="str">
        <f>IFERROR(__xludf.DUMMYFUNCTION("""COMPUTED_VALUE"""),"A Saya ingin ditunjuk atau dipilih sebagai ketua dalam suatu kelompok.")</f>
        <v>A Saya ingin ditunjuk atau dipilih sebagai ketua dalam suatu kelompok.</v>
      </c>
      <c r="CN99" s="95" t="str">
        <f>IFERROR(__xludf.DUMMYFUNCTION("""COMPUTED_VALUE"""),"A Saya ingin diperlakukan dengan baik oleh teman-teman saya.")</f>
        <v>A Saya ingin diperlakukan dengan baik oleh teman-teman saya.</v>
      </c>
      <c r="CO99" s="95" t="str">
        <f>IFERROR(__xludf.DUMMYFUNCTION("""COMPUTED_VALUE"""),"A Saya suka menceritakan hal-hal lucu agar diperhatikan oleh orang lain.")</f>
        <v>A Saya suka menceritakan hal-hal lucu agar diperhatikan oleh orang lain.</v>
      </c>
      <c r="CP99" s="95" t="str">
        <f>IFERROR(__xludf.DUMMYFUNCTION("""COMPUTED_VALUE"""),"A Saya suka melamun atau membayangkan sesuatu sendirian.")</f>
        <v>A Saya suka melamun atau membayangkan sesuatu sendirian.</v>
      </c>
      <c r="CQ99" s="95" t="str">
        <f>IFERROR(__xludf.DUMMYFUNCTION("""COMPUTED_VALUE"""),"A Saya ingin menggertak orang bila saya berbeda pendapat dengan mereka.")</f>
        <v>A Saya ingin menggertak orang bila saya berbeda pendapat dengan mereka.</v>
      </c>
      <c r="CR99" s="95" t="str">
        <f>IFERROR(__xludf.DUMMYFUNCTION("""COMPUTED_VALUE"""),"B Saya rasanya ingin mengecam seseorang bila orang itu menjengkelkan.")</f>
        <v>B Saya rasanya ingin mengecam seseorang bila orang itu menjengkelkan.</v>
      </c>
      <c r="CS99" s="95" t="str">
        <f>IFERROR(__xludf.DUMMYFUNCTION("""COMPUTED_VALUE"""),"B Saya rasanya ingin membalas dendam bila seseorang menghina saya.")</f>
        <v>B Saya rasanya ingin membalas dendam bila seseorang menghina saya.</v>
      </c>
      <c r="CT99" s="95" t="str">
        <f>IFERROR(__xludf.DUMMYFUNCTION("""COMPUTED_VALUE"""),"A Saya ingin orang-orang memperhatikan komentar mengenai penampilan saya.")</f>
        <v>A Saya ingin orang-orang memperhatikan komentar mengenai penampilan saya.</v>
      </c>
      <c r="CU99" s="95" t="str">
        <f>IFERROR(__xludf.DUMMYFUNCTION("""COMPUTED_VALUE"""),"B Saya ingin menyalahkan orang lain bila keadaan tidak baik bagi saya.")</f>
        <v>B Saya ingin menyalahkan orang lain bila keadaan tidak baik bagi saya.</v>
      </c>
      <c r="CV99" s="95" t="str">
        <f>IFERROR(__xludf.DUMMYFUNCTION("""COMPUTED_VALUE"""),"A Saya ingin ditunjuk atau dipilih sebagai ketua dalam suatu kelompok.")</f>
        <v>A Saya ingin ditunjuk atau dipilih sebagai ketua dalam suatu kelompok.</v>
      </c>
      <c r="CW99" s="95" t="str">
        <f>IFERROR(__xludf.DUMMYFUNCTION("""COMPUTED_VALUE"""),"A Saya suka menolong teman-teman saya, apabila mereka dalam kesulitan.")</f>
        <v>A Saya suka menolong teman-teman saya, apabila mereka dalam kesulitan.</v>
      </c>
      <c r="CX99" s="95" t="str">
        <f>IFERROR(__xludf.DUMMYFUNCTION("""COMPUTED_VALUE"""),"A Saya suka belajar sampai malam untuk menyelesaikan suatu tugas.")</f>
        <v>A Saya suka belajar sampai malam untuk menyelesaikan suatu tugas.</v>
      </c>
      <c r="CY99" s="95" t="str">
        <f>IFERROR(__xludf.DUMMYFUNCTION("""COMPUTED_VALUE"""),"B Saya rasanya ingin membalas dendam bila seseorang menghina saya.")</f>
        <v>B Saya rasanya ingin membalas dendam bila seseorang menghina saya.</v>
      </c>
      <c r="CZ99" s="95" t="str">
        <f>IFERROR(__xludf.DUMMYFUNCTION("""COMPUTED_VALUE"""),"A Saya suka merencanakan dan mengatur setiap pekerjaan yang harus saya lakukan.")</f>
        <v>A Saya suka merencanakan dan mengatur setiap pekerjaan yang harus saya lakukan.</v>
      </c>
      <c r="DA99" s="95" t="str">
        <f>IFERROR(__xludf.DUMMYFUNCTION("""COMPUTED_VALUE"""),"B Saya rasanya ingin mengecam seseorang bila orang itu menjengkelkan.")</f>
        <v>B Saya rasanya ingin mengecam seseorang bila orang itu menjengkelkan.</v>
      </c>
      <c r="DB99" s="89" t="s">
        <v>23</v>
      </c>
      <c r="DC99" s="97" t="str">
        <f t="shared" ref="DC99:GX99" si="144">LEFT(F99,1)</f>
        <v>A</v>
      </c>
      <c r="DD99" s="97" t="str">
        <f t="shared" si="144"/>
        <v>A</v>
      </c>
      <c r="DE99" s="97" t="str">
        <f t="shared" si="144"/>
        <v>B</v>
      </c>
      <c r="DF99" s="97" t="str">
        <f t="shared" si="144"/>
        <v>B</v>
      </c>
      <c r="DG99" s="97" t="str">
        <f t="shared" si="144"/>
        <v>A</v>
      </c>
      <c r="DH99" s="97" t="str">
        <f t="shared" si="144"/>
        <v>A</v>
      </c>
      <c r="DI99" s="97" t="str">
        <f t="shared" si="144"/>
        <v>A</v>
      </c>
      <c r="DJ99" s="97" t="str">
        <f t="shared" si="144"/>
        <v>B</v>
      </c>
      <c r="DK99" s="97" t="str">
        <f t="shared" si="144"/>
        <v>B</v>
      </c>
      <c r="DL99" s="97" t="str">
        <f t="shared" si="144"/>
        <v>A</v>
      </c>
      <c r="DM99" s="97" t="str">
        <f t="shared" si="144"/>
        <v>A</v>
      </c>
      <c r="DN99" s="97" t="str">
        <f t="shared" si="144"/>
        <v>B</v>
      </c>
      <c r="DO99" s="97" t="str">
        <f t="shared" si="144"/>
        <v>B</v>
      </c>
      <c r="DP99" s="97" t="str">
        <f t="shared" si="144"/>
        <v>B</v>
      </c>
      <c r="DQ99" s="97" t="str">
        <f t="shared" si="144"/>
        <v>B</v>
      </c>
      <c r="DR99" s="97" t="str">
        <f t="shared" si="144"/>
        <v>A</v>
      </c>
      <c r="DS99" s="97" t="str">
        <f t="shared" si="144"/>
        <v>B</v>
      </c>
      <c r="DT99" s="97" t="str">
        <f t="shared" si="144"/>
        <v>B</v>
      </c>
      <c r="DU99" s="97" t="str">
        <f t="shared" si="144"/>
        <v>B</v>
      </c>
      <c r="DV99" s="97" t="str">
        <f t="shared" si="144"/>
        <v>B</v>
      </c>
      <c r="DW99" s="97" t="str">
        <f t="shared" si="144"/>
        <v>A</v>
      </c>
      <c r="DX99" s="97" t="str">
        <f t="shared" si="144"/>
        <v>A</v>
      </c>
      <c r="DY99" s="97" t="str">
        <f t="shared" si="144"/>
        <v>A</v>
      </c>
      <c r="DZ99" s="97" t="str">
        <f t="shared" si="144"/>
        <v>B</v>
      </c>
      <c r="EA99" s="97" t="str">
        <f t="shared" si="144"/>
        <v>A</v>
      </c>
      <c r="EB99" s="97" t="str">
        <f t="shared" si="144"/>
        <v>A</v>
      </c>
      <c r="EC99" s="97" t="str">
        <f t="shared" si="144"/>
        <v>B</v>
      </c>
      <c r="ED99" s="97" t="str">
        <f t="shared" si="144"/>
        <v>A</v>
      </c>
      <c r="EE99" s="97" t="str">
        <f t="shared" si="144"/>
        <v>A</v>
      </c>
      <c r="EF99" s="97" t="str">
        <f t="shared" si="144"/>
        <v>B</v>
      </c>
      <c r="EG99" s="97" t="str">
        <f t="shared" si="144"/>
        <v>B</v>
      </c>
      <c r="EH99" s="97" t="str">
        <f t="shared" si="144"/>
        <v>B</v>
      </c>
      <c r="EI99" s="97" t="str">
        <f t="shared" si="144"/>
        <v>B</v>
      </c>
      <c r="EJ99" s="97" t="str">
        <f t="shared" si="144"/>
        <v>A</v>
      </c>
      <c r="EK99" s="97" t="str">
        <f t="shared" si="144"/>
        <v>A</v>
      </c>
      <c r="EL99" s="97" t="str">
        <f t="shared" si="144"/>
        <v>A</v>
      </c>
      <c r="EM99" s="97" t="str">
        <f t="shared" si="144"/>
        <v>A</v>
      </c>
      <c r="EN99" s="97" t="str">
        <f t="shared" si="144"/>
        <v>B</v>
      </c>
      <c r="EO99" s="97" t="str">
        <f t="shared" si="144"/>
        <v>A</v>
      </c>
      <c r="EP99" s="97" t="str">
        <f t="shared" si="144"/>
        <v>A</v>
      </c>
      <c r="EQ99" s="97" t="str">
        <f t="shared" si="144"/>
        <v>B</v>
      </c>
      <c r="ER99" s="97" t="str">
        <f t="shared" si="144"/>
        <v>B</v>
      </c>
      <c r="ES99" s="97" t="str">
        <f t="shared" si="144"/>
        <v>B</v>
      </c>
      <c r="ET99" s="97" t="str">
        <f t="shared" si="144"/>
        <v>B</v>
      </c>
      <c r="EU99" s="97" t="str">
        <f t="shared" si="144"/>
        <v>A</v>
      </c>
      <c r="EV99" s="97" t="str">
        <f t="shared" si="144"/>
        <v>B</v>
      </c>
      <c r="EW99" s="97" t="str">
        <f t="shared" si="144"/>
        <v>B</v>
      </c>
      <c r="EX99" s="97" t="str">
        <f t="shared" si="144"/>
        <v>A</v>
      </c>
      <c r="EY99" s="97" t="str">
        <f t="shared" si="144"/>
        <v>A</v>
      </c>
      <c r="EZ99" s="97" t="str">
        <f t="shared" si="144"/>
        <v>A</v>
      </c>
      <c r="FA99" s="97" t="str">
        <f t="shared" si="144"/>
        <v>A</v>
      </c>
      <c r="FB99" s="97" t="str">
        <f t="shared" si="144"/>
        <v>A</v>
      </c>
      <c r="FC99" s="97" t="str">
        <f t="shared" si="144"/>
        <v>B</v>
      </c>
      <c r="FD99" s="97" t="str">
        <f t="shared" si="144"/>
        <v>B</v>
      </c>
      <c r="FE99" s="97" t="str">
        <f t="shared" si="144"/>
        <v>B</v>
      </c>
      <c r="FF99" s="97" t="str">
        <f t="shared" si="144"/>
        <v>A</v>
      </c>
      <c r="FG99" s="97" t="str">
        <f t="shared" si="144"/>
        <v>B</v>
      </c>
      <c r="FH99" s="97" t="str">
        <f t="shared" si="144"/>
        <v>B</v>
      </c>
      <c r="FI99" s="97" t="str">
        <f t="shared" si="144"/>
        <v>A</v>
      </c>
      <c r="FJ99" s="97" t="str">
        <f t="shared" si="144"/>
        <v>A</v>
      </c>
      <c r="FK99" s="97" t="str">
        <f t="shared" si="144"/>
        <v>A</v>
      </c>
      <c r="FL99" s="97" t="str">
        <f t="shared" si="144"/>
        <v>A</v>
      </c>
      <c r="FM99" s="97" t="str">
        <f t="shared" si="144"/>
        <v>B</v>
      </c>
      <c r="FN99" s="97" t="str">
        <f t="shared" si="144"/>
        <v>B</v>
      </c>
      <c r="FO99" s="97" t="str">
        <f t="shared" si="144"/>
        <v>B</v>
      </c>
      <c r="FP99" s="97" t="str">
        <f t="shared" si="144"/>
        <v>B</v>
      </c>
      <c r="FQ99" s="97" t="str">
        <f t="shared" si="144"/>
        <v>B</v>
      </c>
      <c r="FR99" s="97" t="str">
        <f t="shared" si="144"/>
        <v>A</v>
      </c>
      <c r="FS99" s="97" t="str">
        <f t="shared" si="144"/>
        <v>B</v>
      </c>
      <c r="FT99" s="97" t="str">
        <f t="shared" si="144"/>
        <v>B</v>
      </c>
      <c r="FU99" s="97" t="str">
        <f t="shared" si="144"/>
        <v>B</v>
      </c>
      <c r="FV99" s="97" t="str">
        <f t="shared" si="144"/>
        <v>B</v>
      </c>
      <c r="FW99" s="97" t="str">
        <f t="shared" si="144"/>
        <v>B</v>
      </c>
      <c r="FX99" s="97" t="str">
        <f t="shared" si="144"/>
        <v>A</v>
      </c>
      <c r="FY99" s="97" t="str">
        <f t="shared" si="144"/>
        <v>B</v>
      </c>
      <c r="FZ99" s="97" t="str">
        <f t="shared" si="144"/>
        <v>B</v>
      </c>
      <c r="GA99" s="97" t="str">
        <f t="shared" si="144"/>
        <v>A</v>
      </c>
      <c r="GB99" s="97" t="str">
        <f t="shared" si="144"/>
        <v>B</v>
      </c>
      <c r="GC99" s="97" t="str">
        <f t="shared" si="144"/>
        <v>A</v>
      </c>
      <c r="GD99" s="97" t="str">
        <f t="shared" si="144"/>
        <v>B</v>
      </c>
      <c r="GE99" s="97" t="str">
        <f t="shared" si="144"/>
        <v>A</v>
      </c>
      <c r="GF99" s="97" t="str">
        <f t="shared" si="144"/>
        <v>A</v>
      </c>
      <c r="GG99" s="97" t="str">
        <f t="shared" si="144"/>
        <v>A</v>
      </c>
      <c r="GH99" s="97" t="str">
        <f t="shared" si="144"/>
        <v>B</v>
      </c>
      <c r="GI99" s="97" t="str">
        <f t="shared" si="144"/>
        <v>A</v>
      </c>
      <c r="GJ99" s="97" t="str">
        <f t="shared" si="144"/>
        <v>A</v>
      </c>
      <c r="GK99" s="97" t="str">
        <f t="shared" si="144"/>
        <v>A</v>
      </c>
      <c r="GL99" s="97" t="str">
        <f t="shared" si="144"/>
        <v>A</v>
      </c>
      <c r="GM99" s="97" t="str">
        <f t="shared" si="144"/>
        <v>A</v>
      </c>
      <c r="GN99" s="97" t="str">
        <f t="shared" si="144"/>
        <v>A</v>
      </c>
      <c r="GO99" s="97" t="str">
        <f t="shared" si="144"/>
        <v>B</v>
      </c>
      <c r="GP99" s="97" t="str">
        <f t="shared" si="144"/>
        <v>B</v>
      </c>
      <c r="GQ99" s="97" t="str">
        <f t="shared" si="144"/>
        <v>A</v>
      </c>
      <c r="GR99" s="97" t="str">
        <f t="shared" si="144"/>
        <v>B</v>
      </c>
      <c r="GS99" s="97" t="str">
        <f t="shared" si="144"/>
        <v>A</v>
      </c>
      <c r="GT99" s="97" t="str">
        <f t="shared" si="144"/>
        <v>A</v>
      </c>
      <c r="GU99" s="97" t="str">
        <f t="shared" si="144"/>
        <v>A</v>
      </c>
      <c r="GV99" s="97" t="str">
        <f t="shared" si="144"/>
        <v>B</v>
      </c>
      <c r="GW99" s="97" t="str">
        <f t="shared" si="144"/>
        <v>A</v>
      </c>
      <c r="GX99" s="97" t="str">
        <f t="shared" si="144"/>
        <v>B</v>
      </c>
      <c r="GY99" s="98"/>
      <c r="GZ99" s="97">
        <f t="shared" si="3"/>
        <v>50</v>
      </c>
      <c r="HA99" s="97">
        <f t="shared" si="4"/>
        <v>50</v>
      </c>
      <c r="HB99" s="90">
        <f t="shared" si="5"/>
        <v>100</v>
      </c>
      <c r="HC99" s="99"/>
      <c r="HD99" s="97">
        <f t="shared" si="6"/>
        <v>5</v>
      </c>
      <c r="HE99" s="97">
        <f t="shared" si="7"/>
        <v>4</v>
      </c>
      <c r="HF99" s="90">
        <f t="shared" si="8"/>
        <v>9</v>
      </c>
      <c r="HG99" s="99"/>
      <c r="HH99" s="97">
        <f t="shared" si="9"/>
        <v>8</v>
      </c>
      <c r="HI99" s="97">
        <f t="shared" si="10"/>
        <v>8</v>
      </c>
      <c r="HJ99" s="90">
        <f t="shared" si="11"/>
        <v>16</v>
      </c>
      <c r="HK99" s="99"/>
      <c r="HL99" s="97">
        <f t="shared" si="12"/>
        <v>1</v>
      </c>
      <c r="HM99" s="97">
        <f t="shared" si="13"/>
        <v>3</v>
      </c>
      <c r="HN99" s="90">
        <f t="shared" si="14"/>
        <v>4</v>
      </c>
      <c r="HO99" s="99"/>
      <c r="HP99" s="97">
        <f t="shared" si="15"/>
        <v>2</v>
      </c>
      <c r="HQ99" s="97">
        <f t="shared" si="16"/>
        <v>4</v>
      </c>
      <c r="HR99" s="90">
        <f t="shared" si="17"/>
        <v>6</v>
      </c>
      <c r="HS99" s="99"/>
      <c r="HT99" s="97">
        <f t="shared" si="18"/>
        <v>7</v>
      </c>
      <c r="HU99" s="97">
        <f t="shared" si="19"/>
        <v>6</v>
      </c>
      <c r="HV99" s="90">
        <f t="shared" si="20"/>
        <v>13</v>
      </c>
      <c r="HW99" s="99"/>
      <c r="HX99" s="97">
        <f t="shared" si="21"/>
        <v>5</v>
      </c>
      <c r="HY99" s="97">
        <f t="shared" si="22"/>
        <v>5</v>
      </c>
      <c r="HZ99" s="90">
        <f t="shared" si="23"/>
        <v>10</v>
      </c>
      <c r="IA99" s="99"/>
      <c r="IB99" s="97">
        <f t="shared" si="24"/>
        <v>4</v>
      </c>
      <c r="IC99" s="97">
        <f t="shared" si="25"/>
        <v>7</v>
      </c>
      <c r="ID99" s="90">
        <f t="shared" si="26"/>
        <v>11</v>
      </c>
      <c r="IE99" s="99"/>
      <c r="IF99" s="97">
        <f t="shared" si="27"/>
        <v>5</v>
      </c>
      <c r="IG99" s="97">
        <f t="shared" si="28"/>
        <v>7</v>
      </c>
      <c r="IH99" s="90">
        <f t="shared" si="29"/>
        <v>12</v>
      </c>
      <c r="II99" s="99"/>
      <c r="IJ99" s="97">
        <f t="shared" si="30"/>
        <v>3</v>
      </c>
      <c r="IK99" s="97">
        <f t="shared" si="31"/>
        <v>1</v>
      </c>
      <c r="IL99" s="90">
        <f t="shared" si="32"/>
        <v>4</v>
      </c>
      <c r="IM99" s="99"/>
      <c r="IN99" s="97">
        <f t="shared" si="33"/>
        <v>5</v>
      </c>
      <c r="IO99" s="97">
        <f t="shared" si="34"/>
        <v>5</v>
      </c>
      <c r="IP99" s="90">
        <f t="shared" si="35"/>
        <v>10</v>
      </c>
      <c r="IQ99" s="99"/>
      <c r="IR99" s="99"/>
      <c r="IS99" s="100">
        <f t="shared" si="36"/>
        <v>9</v>
      </c>
      <c r="IT99" s="100">
        <f t="shared" si="37"/>
        <v>16</v>
      </c>
      <c r="IU99" s="100">
        <f t="shared" si="38"/>
        <v>4</v>
      </c>
      <c r="IV99" s="100">
        <f t="shared" si="39"/>
        <v>6</v>
      </c>
      <c r="IW99" s="100">
        <f t="shared" si="40"/>
        <v>13</v>
      </c>
      <c r="IX99" s="100">
        <f t="shared" si="41"/>
        <v>10</v>
      </c>
      <c r="IY99" s="100">
        <f t="shared" si="42"/>
        <v>11</v>
      </c>
      <c r="IZ99" s="100">
        <f t="shared" si="43"/>
        <v>12</v>
      </c>
      <c r="JA99" s="100">
        <f t="shared" si="44"/>
        <v>4</v>
      </c>
      <c r="JB99" s="101">
        <f t="shared" si="45"/>
        <v>10</v>
      </c>
      <c r="JC99" s="102">
        <f t="shared" si="46"/>
        <v>95</v>
      </c>
      <c r="JD99" s="67">
        <f t="shared" si="50"/>
        <v>1</v>
      </c>
      <c r="JE99" s="67">
        <f t="shared" si="47"/>
        <v>4</v>
      </c>
      <c r="JF99" s="67">
        <f t="shared" si="48"/>
        <v>5</v>
      </c>
    </row>
    <row r="100">
      <c r="A100" s="103">
        <f>IFERROR(__xludf.DUMMYFUNCTION("""COMPUTED_VALUE"""),45948.50216233796)</f>
        <v>45948.50216</v>
      </c>
      <c r="B100" s="95" t="str">
        <f>IFERROR(__xludf.DUMMYFUNCTION("""COMPUTED_VALUE"""),"Abbas Raihan")</f>
        <v>Abbas Raihan</v>
      </c>
      <c r="C100" s="96" t="str">
        <f>IFERROR(__xludf.DUMMYFUNCTION("""COMPUTED_VALUE"""),"B250019")</f>
        <v>B250019</v>
      </c>
      <c r="D100" s="96" t="str">
        <f>IFERROR(__xludf.DUMMYFUNCTION("""COMPUTED_VALUE"""),"IL Putra")</f>
        <v>IL Putra</v>
      </c>
      <c r="E100" s="96" t="str">
        <f>IFERROR(__xludf.DUMMYFUNCTION("""COMPUTED_VALUE"""),"Ya")</f>
        <v>Ya</v>
      </c>
      <c r="F100" s="95" t="str">
        <f>IFERROR(__xludf.DUMMYFUNCTION("""COMPUTED_VALUE"""),"B Saya ingin melakukan apa saja sebaik mungkin.")</f>
        <v>B Saya ingin melakukan apa saja sebaik mungkin.</v>
      </c>
      <c r="G100" s="95" t="str">
        <f>IFERROR(__xludf.DUMMYFUNCTION("""COMPUTED_VALUE"""),"A Saya ingin setiap tulisan saya teliti, rapi, dan tersusun dengan baik.")</f>
        <v>A Saya ingin setiap tulisan saya teliti, rapi, dan tersusun dengan baik.</v>
      </c>
      <c r="H100" s="95" t="str">
        <f>IFERROR(__xludf.DUMMYFUNCTION("""COMPUTED_VALUE"""),"A Saya ingin berbuat sesuai kata hati saya.")</f>
        <v>A Saya ingin berbuat sesuai kata hati saya.</v>
      </c>
      <c r="I100" s="95" t="str">
        <f>IFERROR(__xludf.DUMMYFUNCTION("""COMPUTED_VALUE"""),"A Saya suka belajar keras pada tiap pelajaran yang saya hadapi.")</f>
        <v>A Saya suka belajar keras pada tiap pelajaran yang saya hadapi.</v>
      </c>
      <c r="J100" s="95" t="str">
        <f>IFERROR(__xludf.DUMMYFUNCTION("""COMPUTED_VALUE"""),"A Saya suka membantu teman-teman saya apabila mereka mengalami kesulitan.")</f>
        <v>A Saya suka membantu teman-teman saya apabila mereka mengalami kesulitan.</v>
      </c>
      <c r="K100" s="95" t="str">
        <f>IFERROR(__xludf.DUMMYFUNCTION("""COMPUTED_VALUE"""),"B Saya ingin mengatakan telah melakukan dengan baik sesuatu tugas yang sulit.")</f>
        <v>B Saya ingin mengatakan telah melakukan dengan baik sesuatu tugas yang sulit.</v>
      </c>
      <c r="L100" s="95" t="str">
        <f>IFERROR(__xludf.DUMMYFUNCTION("""COMPUTED_VALUE"""),"B Saya ingin mengatakan telah melakukan dengan baik sesuatu tugas yang sulit")</f>
        <v>B Saya ingin mengatakan telah melakukan dengan baik sesuatu tugas yang sulit</v>
      </c>
      <c r="M100" s="95" t="str">
        <f>IFERROR(__xludf.DUMMYFUNCTION("""COMPUTED_VALUE"""),"A Saya suka berbicara tentang hal-hal yang telah berhasil saya lakukan.")</f>
        <v>A Saya suka berbicara tentang hal-hal yang telah berhasil saya lakukan.</v>
      </c>
      <c r="N100" s="95" t="str">
        <f>IFERROR(__xludf.DUMMYFUNCTION("""COMPUTED_VALUE"""),"B Saya suka memecahkan persoalan yang sukar bagi orang lain.")</f>
        <v>B Saya suka memecahkan persoalan yang sukar bagi orang lain.</v>
      </c>
      <c r="O100" s="95" t="str">
        <f>IFERROR(__xludf.DUMMYFUNCTION("""COMPUTED_VALUE"""),"B Saya suka melakukan tugas sebaik mungkin.")</f>
        <v>B Saya suka melakukan tugas sebaik mungkin.</v>
      </c>
      <c r="P100" s="95" t="str">
        <f>IFERROR(__xludf.DUMMYFUNCTION("""COMPUTED_VALUE"""),"A Saya suka bercerita tentang hal-hal yang menegangkan atau menantang.")</f>
        <v>A Saya suka bercerita tentang hal-hal yang menegangkan atau menantang.</v>
      </c>
      <c r="Q100" s="95" t="str">
        <f>IFERROR(__xludf.DUMMYFUNCTION("""COMPUTED_VALUE"""),"A Saya mulai suka dengan lawan jenis.")</f>
        <v>A Saya mulai suka dengan lawan jenis.</v>
      </c>
      <c r="R100" s="95" t="str">
        <f>IFERROR(__xludf.DUMMYFUNCTION("""COMPUTED_VALUE"""),"B Saya suka barang-barang saya tersusun rapi dan teratur.")</f>
        <v>B Saya suka barang-barang saya tersusun rapi dan teratur.</v>
      </c>
      <c r="S100" s="95" t="str">
        <f>IFERROR(__xludf.DUMMYFUNCTION("""COMPUTED_VALUE"""),"B Saya suka membuat perencanaan sebelum memulai tugas yang sulit.")</f>
        <v>B Saya suka membuat perencanaan sebelum memulai tugas yang sulit.</v>
      </c>
      <c r="T100" s="95" t="str">
        <f>IFERROR(__xludf.DUMMYFUNCTION("""COMPUTED_VALUE"""),"B Saya ingin agar hidup saya teratur sesuai cita-cita saya.")</f>
        <v>B Saya ingin agar hidup saya teratur sesuai cita-cita saya.</v>
      </c>
      <c r="U100" s="95" t="str">
        <f>IFERROR(__xludf.DUMMYFUNCTION("""COMPUTED_VALUE"""),"B Saya suka menyimpan catatan secara rapi.")</f>
        <v>B Saya suka menyimpan catatan secara rapi.</v>
      </c>
      <c r="V100" s="95" t="str">
        <f>IFERROR(__xludf.DUMMYFUNCTION("""COMPUTED_VALUE"""),"A Saya suka belajar sampai malam untuk menyelesaikan suatu tugas.")</f>
        <v>A Saya suka belajar sampai malam untuk menyelesaikan suatu tugas.</v>
      </c>
      <c r="W100" s="95" t="str">
        <f>IFERROR(__xludf.DUMMYFUNCTION("""COMPUTED_VALUE"""),"A Saya suka melakukan kegiatan sesuai kondisi yang saya inginkan.")</f>
        <v>A Saya suka melakukan kegiatan sesuai kondisi yang saya inginkan.</v>
      </c>
      <c r="X100" s="95" t="str">
        <f>IFERROR(__xludf.DUMMYFUNCTION("""COMPUTED_VALUE"""),"A Saya suka merencanakan dan mengatur setiap apa yang harus saya lakukan.")</f>
        <v>A Saya suka merencanakan dan mengatur setiap apa yang harus saya lakukan.</v>
      </c>
      <c r="Y100" s="95" t="str">
        <f>IFERROR(__xludf.DUMMYFUNCTION("""COMPUTED_VALUE"""),"B Saya senang merencanakan untuk masa depan.")</f>
        <v>B Saya senang merencanakan untuk masa depan.</v>
      </c>
      <c r="Z100" s="95" t="str">
        <f>IFERROR(__xludf.DUMMYFUNCTION("""COMPUTED_VALUE"""),"B Saya ingin merasa bebas untuk melakukan apa yang saya inginkan.")</f>
        <v>B Saya ingin merasa bebas untuk melakukan apa yang saya inginkan.</v>
      </c>
      <c r="AA100" s="95" t="str">
        <f>IFERROR(__xludf.DUMMYFUNCTION("""COMPUTED_VALUE"""),"B Saya tidak suka pada orang yang berbuat seenaknya sendiri.")</f>
        <v>B Saya tidak suka pada orang yang berbuat seenaknya sendiri.</v>
      </c>
      <c r="AB100" s="95" t="str">
        <f>IFERROR(__xludf.DUMMYFUNCTION("""COMPUTED_VALUE"""),"A Saya ingin tidak tergantung dari orang lain terhadap apa yang akan saya lakukan.")</f>
        <v>A Saya ingin tidak tergantung dari orang lain terhadap apa yang akan saya lakukan.</v>
      </c>
      <c r="AC100" s="95" t="str">
        <f>IFERROR(__xludf.DUMMYFUNCTION("""COMPUTED_VALUE"""),"B Saya suka melakukan kegiatan sesuai kondisi yang saya inginkan.")</f>
        <v>B Saya suka melakukan kegiatan sesuai kondisi yang saya inginkan.</v>
      </c>
      <c r="AD100" s="95" t="str">
        <f>IFERROR(__xludf.DUMMYFUNCTION("""COMPUTED_VALUE"""),"A Saya suka bermurah hati terhadap teman-teman saya.")</f>
        <v>A Saya suka bermurah hati terhadap teman-teman saya.</v>
      </c>
      <c r="AE100" s="95" t="str">
        <f>IFERROR(__xludf.DUMMYFUNCTION("""COMPUTED_VALUE"""),"B Saya suka melakukan hal-hal yang dianggap orang lain tidak sesuai.")</f>
        <v>B Saya suka melakukan hal-hal yang dianggap orang lain tidak sesuai.</v>
      </c>
      <c r="AF100" s="95" t="str">
        <f>IFERROR(__xludf.DUMMYFUNCTION("""COMPUTED_VALUE"""),"B Saya suka melakukan hal-hal dengan cara saya sendiri.")</f>
        <v>B Saya suka melakukan hal-hal dengan cara saya sendiri.</v>
      </c>
      <c r="AG100" s="95" t="str">
        <f>IFERROR(__xludf.DUMMYFUNCTION("""COMPUTED_VALUE"""),"B Saya ingin berhasil dengan tugas yang saya lakukan.")</f>
        <v>B Saya ingin berhasil dengan tugas yang saya lakukan.</v>
      </c>
      <c r="AH100" s="95" t="str">
        <f>IFERROR(__xludf.DUMMYFUNCTION("""COMPUTED_VALUE"""),"B Saya ingin merasa bebas untuk melakukan apa yang saya kehendaki.")</f>
        <v>B Saya ingin merasa bebas untuk melakukan apa yang saya kehendaki.</v>
      </c>
      <c r="AI100" s="95" t="str">
        <f>IFERROR(__xludf.DUMMYFUNCTION("""COMPUTED_VALUE"""),"B Saya suka melakukan kegiatan sesuai kondisi yang saya inginkan.")</f>
        <v>B Saya suka melakukan kegiatan sesuai kondisi yang saya inginkan.</v>
      </c>
      <c r="AJ100" s="95" t="str">
        <f>IFERROR(__xludf.DUMMYFUNCTION("""COMPUTED_VALUE"""),"B Saya suka bertahan menghadapi satu masalah meskipun belum tentu berhasil.")</f>
        <v>B Saya suka bertahan menghadapi satu masalah meskipun belum tentu berhasil.</v>
      </c>
      <c r="AK100" s="95" t="str">
        <f>IFERROR(__xludf.DUMMYFUNCTION("""COMPUTED_VALUE"""),"B Bila saya harus melakukan suatu tugas, saya ingin mengerjakan sampai selesai.")</f>
        <v>B Bila saya harus melakukan suatu tugas, saya ingin mengerjakan sampai selesai.</v>
      </c>
      <c r="AL100" s="95" t="str">
        <f>IFERROR(__xludf.DUMMYFUNCTION("""COMPUTED_VALUE"""),"B Saya ingin menghindarkan gangguan bila saya sedang belajar.")</f>
        <v>B Saya ingin menghindarkan gangguan bila saya sedang belajar.</v>
      </c>
      <c r="AM100" s="95" t="str">
        <f>IFERROR(__xludf.DUMMYFUNCTION("""COMPUTED_VALUE"""),"B Saya suka belajar sampai malam untuk menyelesaikan suatu tugas.")</f>
        <v>B Saya suka belajar sampai malam untuk menyelesaikan suatu tugas.</v>
      </c>
      <c r="AN100" s="95" t="str">
        <f>IFERROR(__xludf.DUMMYFUNCTION("""COMPUTED_VALUE"""),"A Saya tidak suka pada orang yang semena-mena.")</f>
        <v>A Saya tidak suka pada orang yang semena-mena.</v>
      </c>
      <c r="AO100" s="95" t="str">
        <f>IFERROR(__xludf.DUMMYFUNCTION("""COMPUTED_VALUE"""),"A Saya suka berlaku sangat ramah terhadap teman-teman saya.")</f>
        <v>A Saya suka berlaku sangat ramah terhadap teman-teman saya.</v>
      </c>
      <c r="AP100" s="95" t="str">
        <f>IFERROR(__xludf.DUMMYFUNCTION("""COMPUTED_VALUE"""),"B Saya suka bertahan menghadapi satu masalah meskipun belum tentu berhasil.")</f>
        <v>B Saya suka bertahan menghadapi satu masalah meskipun belum tentu berhasil.</v>
      </c>
      <c r="AQ100" s="95" t="str">
        <f>IFERROR(__xludf.DUMMYFUNCTION("""COMPUTED_VALUE"""),"B Bila saya harus melakukan suatu tugas, saya ingin mengerjakan sampai selesai.")</f>
        <v>B Bila saya harus melakukan suatu tugas, saya ingin mengerjakan sampai selesai.</v>
      </c>
      <c r="AR100" s="95" t="str">
        <f>IFERROR(__xludf.DUMMYFUNCTION("""COMPUTED_VALUE"""),"A Saya suka menyimpan catatan secara rapi.")</f>
        <v>A Saya suka menyimpan catatan secara rapi.</v>
      </c>
      <c r="AS100" s="95" t="str">
        <f>IFERROR(__xludf.DUMMYFUNCTION("""COMPUTED_VALUE"""),"A Saya ingin dapat menyelesaikan persoalan yang dianggap sukar bagi orang lain.")</f>
        <v>A Saya ingin dapat menyelesaikan persoalan yang dianggap sukar bagi orang lain.</v>
      </c>
      <c r="AT100" s="95" t="str">
        <f>IFERROR(__xludf.DUMMYFUNCTION("""COMPUTED_VALUE"""),"B Saya suka membantu orang lain yang menurut saya perlu dikasihani.")</f>
        <v>B Saya suka membantu orang lain yang menurut saya perlu dikasihani.</v>
      </c>
      <c r="AU100" s="95" t="str">
        <f>IFERROR(__xludf.DUMMYFUNCTION("""COMPUTED_VALUE"""),"A Saya ingin menyelesaikan pekerjaan satu persatu sebelum memulai yang lain.")</f>
        <v>A Saya ingin menyelesaikan pekerjaan satu persatu sebelum memulai yang lain.</v>
      </c>
      <c r="AV100" s="95" t="str">
        <f>IFERROR(__xludf.DUMMYFUNCTION("""COMPUTED_VALUE"""),"A Saya ingin merasa bebas untuk melakukan apa yang saya kehendaki.")</f>
        <v>A Saya ingin merasa bebas untuk melakukan apa yang saya kehendaki.</v>
      </c>
      <c r="AW100" s="95" t="str">
        <f>IFERROR(__xludf.DUMMYFUNCTION("""COMPUTED_VALUE"""),"A Saya ingin mengerjakan tugas sampai selesai.")</f>
        <v>A Saya ingin mengerjakan tugas sampai selesai.</v>
      </c>
      <c r="AX100" s="95" t="str">
        <f>IFERROR(__xludf.DUMMYFUNCTION("""COMPUTED_VALUE"""),"B Saya suka memaafkan teman-teman saya yang menyakiti hati saya.")</f>
        <v>B Saya suka memaafkan teman-teman saya yang menyakiti hati saya.</v>
      </c>
      <c r="AY100" s="95" t="str">
        <f>IFERROR(__xludf.DUMMYFUNCTION("""COMPUTED_VALUE"""),"A Saya rasanya ingin marah saat tidak sesuai dengan hati.")</f>
        <v>A Saya rasanya ingin marah saat tidak sesuai dengan hati.</v>
      </c>
      <c r="AZ100" s="95" t="str">
        <f>IFERROR(__xludf.DUMMYFUNCTION("""COMPUTED_VALUE"""),"B Saya suka menunjukkan simpati saya kepada teman-teman saya.")</f>
        <v>B Saya suka menunjukkan simpati saya kepada teman-teman saya.</v>
      </c>
      <c r="BA100" s="95" t="str">
        <f>IFERROR(__xludf.DUMMYFUNCTION("""COMPUTED_VALUE"""),"B Saya suka memperlakukan orang lain dengan baik dan ramah.")</f>
        <v>B Saya suka memperlakukan orang lain dengan baik dan ramah.</v>
      </c>
      <c r="BB100" s="95" t="str">
        <f>IFERROR(__xludf.DUMMYFUNCTION("""COMPUTED_VALUE"""),"A Saya berkeinginan untuk bersama orang yang menarik bagi saya.")</f>
        <v>A Saya berkeinginan untuk bersama orang yang menarik bagi saya.</v>
      </c>
      <c r="BC100" s="95" t="str">
        <f>IFERROR(__xludf.DUMMYFUNCTION("""COMPUTED_VALUE"""),"B Saya suka membantu orang lain yang menurut saya perlu dikasihani.")</f>
        <v>B Saya suka membantu orang lain yang menurut saya perlu dikasihani.</v>
      </c>
      <c r="BD100" s="95" t="str">
        <f>IFERROR(__xludf.DUMMYFUNCTION("""COMPUTED_VALUE"""),"B Saya suka bersikukuh dengan pendirian saya.")</f>
        <v>B Saya suka bersikukuh dengan pendirian saya.</v>
      </c>
      <c r="BE100" s="95" t="str">
        <f>IFERROR(__xludf.DUMMYFUNCTION("""COMPUTED_VALUE"""),"B Saya ingin orang lain melakukan apa yang saya kehendaki.")</f>
        <v>B Saya ingin orang lain melakukan apa yang saya kehendaki.</v>
      </c>
      <c r="BF100" s="95" t="str">
        <f>IFERROR(__xludf.DUMMYFUNCTION("""COMPUTED_VALUE"""),"A Saya ingin orang lain memperhatikan dan berkomentar tentang penampilan saya.")</f>
        <v>A Saya ingin orang lain memperhatikan dan berkomentar tentang penampilan saya.</v>
      </c>
      <c r="BG100" s="95" t="str">
        <f>IFERROR(__xludf.DUMMYFUNCTION("""COMPUTED_VALUE"""),"A Saya ingin teman-teman banyak menunjukkan rasa sayang mereka terhadap saya.")</f>
        <v>A Saya ingin teman-teman banyak menunjukkan rasa sayang mereka terhadap saya.</v>
      </c>
      <c r="BH100" s="95" t="str">
        <f>IFERROR(__xludf.DUMMYFUNCTION("""COMPUTED_VALUE"""),"A Saya suka menghindar dari situasi yang tidak saya harapkan.")</f>
        <v>A Saya suka menghindar dari situasi yang tidak saya harapkan.</v>
      </c>
      <c r="BI100" s="95" t="str">
        <f>IFERROR(__xludf.DUMMYFUNCTION("""COMPUTED_VALUE"""),"B Saya ingin orang lain melakukan apa yang saya kehendaki.")</f>
        <v>B Saya ingin orang lain melakukan apa yang saya kehendaki.</v>
      </c>
      <c r="BJ100" s="95" t="str">
        <f>IFERROR(__xludf.DUMMYFUNCTION("""COMPUTED_VALUE"""),"A Saya ingin mengerjakan tugas sampai selesai.")</f>
        <v>A Saya ingin mengerjakan tugas sampai selesai.</v>
      </c>
      <c r="BK100" s="95" t="str">
        <f>IFERROR(__xludf.DUMMYFUNCTION("""COMPUTED_VALUE"""),"B Saya senang untuk diminta menyelesaikan pertentangan-pertentangan.")</f>
        <v>B Saya senang untuk diminta menyelesaikan pertentangan-pertentangan.</v>
      </c>
      <c r="BL100" s="95" t="str">
        <f>IFERROR(__xludf.DUMMYFUNCTION("""COMPUTED_VALUE"""),"B Saya suka bersikukuh dengan pendirian saya.")</f>
        <v>B Saya suka bersikukuh dengan pendirian saya.</v>
      </c>
      <c r="BM100" s="95" t="str">
        <f>IFERROR(__xludf.DUMMYFUNCTION("""COMPUTED_VALUE"""),"B Saya ingin orang lain melakukan apa yang saya kehendaki.")</f>
        <v>B Saya ingin orang lain melakukan apa yang saya kehendaki.</v>
      </c>
      <c r="BN100" s="95" t="str">
        <f>IFERROR(__xludf.DUMMYFUNCTION("""COMPUTED_VALUE"""),"A Saya suka mengerjakan teka-teki atau memecahkan persoalan sampai selesai.")</f>
        <v>A Saya suka mengerjakan teka-teki atau memecahkan persoalan sampai selesai.</v>
      </c>
      <c r="BO100" s="95" t="str">
        <f>IFERROR(__xludf.DUMMYFUNCTION("""COMPUTED_VALUE"""),"A Saya suka membuat perencanaan sebelum memulai belajar yang sulit.")</f>
        <v>A Saya suka membuat perencanaan sebelum memulai belajar yang sulit.</v>
      </c>
      <c r="BP100" s="95" t="str">
        <f>IFERROR(__xludf.DUMMYFUNCTION("""COMPUTED_VALUE"""),"A Saya ingin menyelesaikan sesuatu yang sangat penting artinya.")</f>
        <v>A Saya ingin menyelesaikan sesuatu yang sangat penting artinya.</v>
      </c>
      <c r="BQ100" s="95" t="str">
        <f>IFERROR(__xludf.DUMMYFUNCTION("""COMPUTED_VALUE"""),"A Saya ingin mengerjakannya tugas sampai selesai.")</f>
        <v>A Saya ingin mengerjakannya tugas sampai selesai.</v>
      </c>
      <c r="BR100" s="95" t="str">
        <f>IFERROR(__xludf.DUMMYFUNCTION("""COMPUTED_VALUE"""),"A Saya suka memaafkan teman-teman saya yang menyakiti hati saya.")</f>
        <v>A Saya suka memaafkan teman-teman saya yang menyakiti hati saya.</v>
      </c>
      <c r="BS100" s="95" t="str">
        <f>IFERROR(__xludf.DUMMYFUNCTION("""COMPUTED_VALUE"""),"A Saya suka menghindar dari tanggung jawab yang tidak saya inginkan.")</f>
        <v>A Saya suka menghindar dari tanggung jawab yang tidak saya inginkan.</v>
      </c>
      <c r="BT100" s="95" t="str">
        <f>IFERROR(__xludf.DUMMYFUNCTION("""COMPUTED_VALUE"""),"B Saya ingin teman-teman banyak menunjukkan rasa sayang mereka terhadap saya.")</f>
        <v>B Saya ingin teman-teman banyak menunjukkan rasa sayang mereka terhadap saya.</v>
      </c>
      <c r="BU100" s="95" t="str">
        <f>IFERROR(__xludf.DUMMYFUNCTION("""COMPUTED_VALUE"""),"A Saya kadang-kadang suka melakukan hal-hal yang dapat dipuji oleh orang lain.")</f>
        <v>A Saya kadang-kadang suka melakukan hal-hal yang dapat dipuji oleh orang lain.</v>
      </c>
      <c r="BV100" s="95" t="str">
        <f>IFERROR(__xludf.DUMMYFUNCTION("""COMPUTED_VALUE"""),"B Saya ingin teman-teman dengan gembira memberikan pertolongan kepada saya.")</f>
        <v>B Saya ingin teman-teman dengan gembira memberikan pertolongan kepada saya.</v>
      </c>
      <c r="BW100" s="95" t="str">
        <f>IFERROR(__xludf.DUMMYFUNCTION("""COMPUTED_VALUE"""),"A Saya akan menyerang pendapat yang bertentangan dengan pendirian saya.")</f>
        <v>A Saya akan menyerang pendapat yang bertentangan dengan pendirian saya.</v>
      </c>
      <c r="BX100" s="95" t="str">
        <f>IFERROR(__xludf.DUMMYFUNCTION("""COMPUTED_VALUE"""),"A Saya ingin memperolok-olok orang yang saya anggap melakukan tindakan bodoh.")</f>
        <v>A Saya ingin memperolok-olok orang yang saya anggap melakukan tindakan bodoh.</v>
      </c>
      <c r="BY100" s="95" t="str">
        <f>IFERROR(__xludf.DUMMYFUNCTION("""COMPUTED_VALUE"""),"A Saya suka melamun atau membayangkan hal-hal yang tidak jelas.")</f>
        <v>A Saya suka melamun atau membayangkan hal-hal yang tidak jelas.</v>
      </c>
      <c r="BZ100" s="95" t="str">
        <f>IFERROR(__xludf.DUMMYFUNCTION("""COMPUTED_VALUE"""),"A Saya suka berkata yang artinya sulit dipahami oleh orang lain.")</f>
        <v>A Saya suka berkata yang artinya sulit dipahami oleh orang lain.</v>
      </c>
      <c r="CA100" s="95" t="str">
        <f>IFERROR(__xludf.DUMMYFUNCTION("""COMPUTED_VALUE"""),"A Saya ingin teman-teman dengan gembira memberikan pertolongan kepada saya.")</f>
        <v>A Saya ingin teman-teman dengan gembira memberikan pertolongan kepada saya.</v>
      </c>
      <c r="CB100" s="95" t="str">
        <f>IFERROR(__xludf.DUMMYFUNCTION("""COMPUTED_VALUE"""),"A Saya suka menghindar dari tanggung jawab yang tidak saya inginkan.")</f>
        <v>A Saya suka menghindar dari tanggung jawab yang tidak saya inginkan.</v>
      </c>
      <c r="CC100" s="95" t="str">
        <f>IFERROR(__xludf.DUMMYFUNCTION("""COMPUTED_VALUE"""),"B Saya suka menceritakan hal-hal lucu agar diperhatikan oleh orang lain.")</f>
        <v>B Saya suka menceritakan hal-hal lucu agar diperhatikan oleh orang lain.</v>
      </c>
      <c r="CD100" s="95" t="str">
        <f>IFERROR(__xludf.DUMMYFUNCTION("""COMPUTED_VALUE"""),"B Saya suka berkata yang artinya sulit dipahami oleh orang lain.")</f>
        <v>B Saya suka berkata yang artinya sulit dipahami oleh orang lain.</v>
      </c>
      <c r="CE100" s="95" t="str">
        <f>IFERROR(__xludf.DUMMYFUNCTION("""COMPUTED_VALUE"""),"A Saya suka menyelesaikan setiap tugas belajar yang telah saya mulai.")</f>
        <v>A Saya suka menyelesaikan setiap tugas belajar yang telah saya mulai.</v>
      </c>
      <c r="CF100" s="95" t="str">
        <f>IFERROR(__xludf.DUMMYFUNCTION("""COMPUTED_VALUE"""),"A Saya ingin agar hidup saya teratur sesuai cita-cita saya.")</f>
        <v>A Saya ingin agar hidup saya teratur sesuai cita-cita saya.</v>
      </c>
      <c r="CG100" s="95" t="str">
        <f>IFERROR(__xludf.DUMMYFUNCTION("""COMPUTED_VALUE"""),"A Saya ingin berhasil dalam apa yang saya lakukan.")</f>
        <v>A Saya ingin berhasil dalam apa yang saya lakukan.</v>
      </c>
      <c r="CH100" s="95" t="str">
        <f>IFERROR(__xludf.DUMMYFUNCTION("""COMPUTED_VALUE"""),"A Saya ingin bisa melakukan dengan baik sesuatu pekerjaan sulit.")</f>
        <v>A Saya ingin bisa melakukan dengan baik sesuatu pekerjaan sulit.</v>
      </c>
      <c r="CI100" s="95" t="str">
        <f>IFERROR(__xludf.DUMMYFUNCTION("""COMPUTED_VALUE"""),"A Saya suka belajar saya teratur dan ada waktu-waktu tertentu untuk belajar.")</f>
        <v>A Saya suka belajar saya teratur dan ada waktu-waktu tertentu untuk belajar.</v>
      </c>
      <c r="CJ100" s="95" t="str">
        <f>IFERROR(__xludf.DUMMYFUNCTION("""COMPUTED_VALUE"""),"A Saya ingin tidak tergantung dari orang lain terhadap apa yang akan saya lakukan.")</f>
        <v>A Saya ingin tidak tergantung dari orang lain terhadap apa yang akan saya lakukan.</v>
      </c>
      <c r="CK100" s="95" t="str">
        <f>IFERROR(__xludf.DUMMYFUNCTION("""COMPUTED_VALUE"""),"A Saya suka bertahan menghadapi satu masalah, meskipun belum tentu berhasil.")</f>
        <v>A Saya suka bertahan menghadapi satu masalah, meskipun belum tentu berhasil.</v>
      </c>
      <c r="CL100" s="95" t="str">
        <f>IFERROR(__xludf.DUMMYFUNCTION("""COMPUTED_VALUE"""),"B Saya berkeinginan untuk bersama teman yang menurut saya menarik.")</f>
        <v>B Saya berkeinginan untuk bersama teman yang menurut saya menarik.</v>
      </c>
      <c r="CM100" s="95" t="str">
        <f>IFERROR(__xludf.DUMMYFUNCTION("""COMPUTED_VALUE"""),"B Saya merasa kagum pada seseorang.")</f>
        <v>B Saya merasa kagum pada seseorang.</v>
      </c>
      <c r="CN100" s="95" t="str">
        <f>IFERROR(__xludf.DUMMYFUNCTION("""COMPUTED_VALUE"""),"B Saya suka mendengarkan atau menceritakan hal-hal yang tidak pantas.")</f>
        <v>B Saya suka mendengarkan atau menceritakan hal-hal yang tidak pantas.</v>
      </c>
      <c r="CO100" s="95" t="str">
        <f>IFERROR(__xludf.DUMMYFUNCTION("""COMPUTED_VALUE"""),"B Saya suka memuji orang yang saya kagumi.")</f>
        <v>B Saya suka memuji orang yang saya kagumi.</v>
      </c>
      <c r="CP100" s="95" t="str">
        <f>IFERROR(__xludf.DUMMYFUNCTION("""COMPUTED_VALUE"""),"A Saya suka melamun atau membayangkan sesuatu sendirian.")</f>
        <v>A Saya suka melamun atau membayangkan sesuatu sendirian.</v>
      </c>
      <c r="CQ100" s="95" t="str">
        <f>IFERROR(__xludf.DUMMYFUNCTION("""COMPUTED_VALUE"""),"B Saya merasa kagum pada seseorang.")</f>
        <v>B Saya merasa kagum pada seseorang.</v>
      </c>
      <c r="CR100" s="95" t="str">
        <f>IFERROR(__xludf.DUMMYFUNCTION("""COMPUTED_VALUE"""),"A Saya ingin memperolok-olok orang yang saya anggap melakukan tindakan bodoh.")</f>
        <v>A Saya ingin memperolok-olok orang yang saya anggap melakukan tindakan bodoh.</v>
      </c>
      <c r="CS100" s="95" t="str">
        <f>IFERROR(__xludf.DUMMYFUNCTION("""COMPUTED_VALUE"""),"B Saya rasanya ingin membalas dendam bila seseorang menghina saya.")</f>
        <v>B Saya rasanya ingin membalas dendam bila seseorang menghina saya.</v>
      </c>
      <c r="CT100" s="95" t="str">
        <f>IFERROR(__xludf.DUMMYFUNCTION("""COMPUTED_VALUE"""),"B Saya saat marah rasanya ingin melemparkan dan merusak barang-barang.")</f>
        <v>B Saya saat marah rasanya ingin melemparkan dan merusak barang-barang.</v>
      </c>
      <c r="CU100" s="95" t="str">
        <f>IFERROR(__xludf.DUMMYFUNCTION("""COMPUTED_VALUE"""),"B Saya ingin menyalahkan orang lain bila keadaan tidak baik bagi saya.")</f>
        <v>B Saya ingin menyalahkan orang lain bila keadaan tidak baik bagi saya.</v>
      </c>
      <c r="CV100" s="95" t="str">
        <f>IFERROR(__xludf.DUMMYFUNCTION("""COMPUTED_VALUE"""),"B Saya menyerang pendirian-pendirian yang bertentangan dengan pendirian saya.")</f>
        <v>B Saya menyerang pendirian-pendirian yang bertentangan dengan pendirian saya.</v>
      </c>
      <c r="CW100" s="95" t="str">
        <f>IFERROR(__xludf.DUMMYFUNCTION("""COMPUTED_VALUE"""),"A Saya suka menolong teman-teman saya, apabila mereka dalam kesulitan.")</f>
        <v>A Saya suka menolong teman-teman saya, apabila mereka dalam kesulitan.</v>
      </c>
      <c r="CX100" s="95" t="str">
        <f>IFERROR(__xludf.DUMMYFUNCTION("""COMPUTED_VALUE"""),"B Saya ingin memperolok-olok orang yang saya anggap melakukan tindakan bodoh.")</f>
        <v>B Saya ingin memperolok-olok orang yang saya anggap melakukan tindakan bodoh.</v>
      </c>
      <c r="CY100" s="95" t="str">
        <f>IFERROR(__xludf.DUMMYFUNCTION("""COMPUTED_VALUE"""),"A Saya ingin tidak tergantung dari orang lain terhadap apa yang akan saya lakukan.")</f>
        <v>A Saya ingin tidak tergantung dari orang lain terhadap apa yang akan saya lakukan.</v>
      </c>
      <c r="CZ100" s="95" t="str">
        <f>IFERROR(__xludf.DUMMYFUNCTION("""COMPUTED_VALUE"""),"A Saya suka merencanakan dan mengatur setiap pekerjaan yang harus saya lakukan.")</f>
        <v>A Saya suka merencanakan dan mengatur setiap pekerjaan yang harus saya lakukan.</v>
      </c>
      <c r="DA100" s="95" t="str">
        <f>IFERROR(__xludf.DUMMYFUNCTION("""COMPUTED_VALUE"""),"B Saya rasanya ingin mengecam seseorang bila orang itu menjengkelkan.")</f>
        <v>B Saya rasanya ingin mengecam seseorang bila orang itu menjengkelkan.</v>
      </c>
      <c r="DB100" s="89" t="s">
        <v>23</v>
      </c>
      <c r="DC100" s="97" t="str">
        <f t="shared" ref="DC100:GX100" si="145">LEFT(F100,1)</f>
        <v>B</v>
      </c>
      <c r="DD100" s="97" t="str">
        <f t="shared" si="145"/>
        <v>A</v>
      </c>
      <c r="DE100" s="97" t="str">
        <f t="shared" si="145"/>
        <v>A</v>
      </c>
      <c r="DF100" s="97" t="str">
        <f t="shared" si="145"/>
        <v>A</v>
      </c>
      <c r="DG100" s="97" t="str">
        <f t="shared" si="145"/>
        <v>A</v>
      </c>
      <c r="DH100" s="97" t="str">
        <f t="shared" si="145"/>
        <v>B</v>
      </c>
      <c r="DI100" s="97" t="str">
        <f t="shared" si="145"/>
        <v>B</v>
      </c>
      <c r="DJ100" s="97" t="str">
        <f t="shared" si="145"/>
        <v>A</v>
      </c>
      <c r="DK100" s="97" t="str">
        <f t="shared" si="145"/>
        <v>B</v>
      </c>
      <c r="DL100" s="97" t="str">
        <f t="shared" si="145"/>
        <v>B</v>
      </c>
      <c r="DM100" s="97" t="str">
        <f t="shared" si="145"/>
        <v>A</v>
      </c>
      <c r="DN100" s="97" t="str">
        <f t="shared" si="145"/>
        <v>A</v>
      </c>
      <c r="DO100" s="97" t="str">
        <f t="shared" si="145"/>
        <v>B</v>
      </c>
      <c r="DP100" s="97" t="str">
        <f t="shared" si="145"/>
        <v>B</v>
      </c>
      <c r="DQ100" s="97" t="str">
        <f t="shared" si="145"/>
        <v>B</v>
      </c>
      <c r="DR100" s="97" t="str">
        <f t="shared" si="145"/>
        <v>B</v>
      </c>
      <c r="DS100" s="97" t="str">
        <f t="shared" si="145"/>
        <v>A</v>
      </c>
      <c r="DT100" s="97" t="str">
        <f t="shared" si="145"/>
        <v>A</v>
      </c>
      <c r="DU100" s="97" t="str">
        <f t="shared" si="145"/>
        <v>A</v>
      </c>
      <c r="DV100" s="97" t="str">
        <f t="shared" si="145"/>
        <v>B</v>
      </c>
      <c r="DW100" s="97" t="str">
        <f t="shared" si="145"/>
        <v>B</v>
      </c>
      <c r="DX100" s="97" t="str">
        <f t="shared" si="145"/>
        <v>B</v>
      </c>
      <c r="DY100" s="97" t="str">
        <f t="shared" si="145"/>
        <v>A</v>
      </c>
      <c r="DZ100" s="97" t="str">
        <f t="shared" si="145"/>
        <v>B</v>
      </c>
      <c r="EA100" s="97" t="str">
        <f t="shared" si="145"/>
        <v>A</v>
      </c>
      <c r="EB100" s="97" t="str">
        <f t="shared" si="145"/>
        <v>B</v>
      </c>
      <c r="EC100" s="97" t="str">
        <f t="shared" si="145"/>
        <v>B</v>
      </c>
      <c r="ED100" s="97" t="str">
        <f t="shared" si="145"/>
        <v>B</v>
      </c>
      <c r="EE100" s="97" t="str">
        <f t="shared" si="145"/>
        <v>B</v>
      </c>
      <c r="EF100" s="97" t="str">
        <f t="shared" si="145"/>
        <v>B</v>
      </c>
      <c r="EG100" s="97" t="str">
        <f t="shared" si="145"/>
        <v>B</v>
      </c>
      <c r="EH100" s="97" t="str">
        <f t="shared" si="145"/>
        <v>B</v>
      </c>
      <c r="EI100" s="97" t="str">
        <f t="shared" si="145"/>
        <v>B</v>
      </c>
      <c r="EJ100" s="97" t="str">
        <f t="shared" si="145"/>
        <v>B</v>
      </c>
      <c r="EK100" s="97" t="str">
        <f t="shared" si="145"/>
        <v>A</v>
      </c>
      <c r="EL100" s="97" t="str">
        <f t="shared" si="145"/>
        <v>A</v>
      </c>
      <c r="EM100" s="97" t="str">
        <f t="shared" si="145"/>
        <v>B</v>
      </c>
      <c r="EN100" s="97" t="str">
        <f t="shared" si="145"/>
        <v>B</v>
      </c>
      <c r="EO100" s="97" t="str">
        <f t="shared" si="145"/>
        <v>A</v>
      </c>
      <c r="EP100" s="97" t="str">
        <f t="shared" si="145"/>
        <v>A</v>
      </c>
      <c r="EQ100" s="97" t="str">
        <f t="shared" si="145"/>
        <v>B</v>
      </c>
      <c r="ER100" s="97" t="str">
        <f t="shared" si="145"/>
        <v>A</v>
      </c>
      <c r="ES100" s="97" t="str">
        <f t="shared" si="145"/>
        <v>A</v>
      </c>
      <c r="ET100" s="97" t="str">
        <f t="shared" si="145"/>
        <v>A</v>
      </c>
      <c r="EU100" s="97" t="str">
        <f t="shared" si="145"/>
        <v>B</v>
      </c>
      <c r="EV100" s="97" t="str">
        <f t="shared" si="145"/>
        <v>A</v>
      </c>
      <c r="EW100" s="97" t="str">
        <f t="shared" si="145"/>
        <v>B</v>
      </c>
      <c r="EX100" s="97" t="str">
        <f t="shared" si="145"/>
        <v>B</v>
      </c>
      <c r="EY100" s="97" t="str">
        <f t="shared" si="145"/>
        <v>A</v>
      </c>
      <c r="EZ100" s="97" t="str">
        <f t="shared" si="145"/>
        <v>B</v>
      </c>
      <c r="FA100" s="97" t="str">
        <f t="shared" si="145"/>
        <v>B</v>
      </c>
      <c r="FB100" s="97" t="str">
        <f t="shared" si="145"/>
        <v>B</v>
      </c>
      <c r="FC100" s="97" t="str">
        <f t="shared" si="145"/>
        <v>A</v>
      </c>
      <c r="FD100" s="97" t="str">
        <f t="shared" si="145"/>
        <v>A</v>
      </c>
      <c r="FE100" s="97" t="str">
        <f t="shared" si="145"/>
        <v>A</v>
      </c>
      <c r="FF100" s="97" t="str">
        <f t="shared" si="145"/>
        <v>B</v>
      </c>
      <c r="FG100" s="97" t="str">
        <f t="shared" si="145"/>
        <v>A</v>
      </c>
      <c r="FH100" s="97" t="str">
        <f t="shared" si="145"/>
        <v>B</v>
      </c>
      <c r="FI100" s="97" t="str">
        <f t="shared" si="145"/>
        <v>B</v>
      </c>
      <c r="FJ100" s="97" t="str">
        <f t="shared" si="145"/>
        <v>B</v>
      </c>
      <c r="FK100" s="97" t="str">
        <f t="shared" si="145"/>
        <v>A</v>
      </c>
      <c r="FL100" s="97" t="str">
        <f t="shared" si="145"/>
        <v>A</v>
      </c>
      <c r="FM100" s="97" t="str">
        <f t="shared" si="145"/>
        <v>A</v>
      </c>
      <c r="FN100" s="97" t="str">
        <f t="shared" si="145"/>
        <v>A</v>
      </c>
      <c r="FO100" s="97" t="str">
        <f t="shared" si="145"/>
        <v>A</v>
      </c>
      <c r="FP100" s="97" t="str">
        <f t="shared" si="145"/>
        <v>A</v>
      </c>
      <c r="FQ100" s="97" t="str">
        <f t="shared" si="145"/>
        <v>B</v>
      </c>
      <c r="FR100" s="97" t="str">
        <f t="shared" si="145"/>
        <v>A</v>
      </c>
      <c r="FS100" s="97" t="str">
        <f t="shared" si="145"/>
        <v>B</v>
      </c>
      <c r="FT100" s="97" t="str">
        <f t="shared" si="145"/>
        <v>A</v>
      </c>
      <c r="FU100" s="97" t="str">
        <f t="shared" si="145"/>
        <v>A</v>
      </c>
      <c r="FV100" s="97" t="str">
        <f t="shared" si="145"/>
        <v>A</v>
      </c>
      <c r="FW100" s="97" t="str">
        <f t="shared" si="145"/>
        <v>A</v>
      </c>
      <c r="FX100" s="97" t="str">
        <f t="shared" si="145"/>
        <v>A</v>
      </c>
      <c r="FY100" s="97" t="str">
        <f t="shared" si="145"/>
        <v>A</v>
      </c>
      <c r="FZ100" s="97" t="str">
        <f t="shared" si="145"/>
        <v>B</v>
      </c>
      <c r="GA100" s="97" t="str">
        <f t="shared" si="145"/>
        <v>B</v>
      </c>
      <c r="GB100" s="97" t="str">
        <f t="shared" si="145"/>
        <v>A</v>
      </c>
      <c r="GC100" s="97" t="str">
        <f t="shared" si="145"/>
        <v>A</v>
      </c>
      <c r="GD100" s="97" t="str">
        <f t="shared" si="145"/>
        <v>A</v>
      </c>
      <c r="GE100" s="97" t="str">
        <f t="shared" si="145"/>
        <v>A</v>
      </c>
      <c r="GF100" s="97" t="str">
        <f t="shared" si="145"/>
        <v>A</v>
      </c>
      <c r="GG100" s="97" t="str">
        <f t="shared" si="145"/>
        <v>A</v>
      </c>
      <c r="GH100" s="97" t="str">
        <f t="shared" si="145"/>
        <v>A</v>
      </c>
      <c r="GI100" s="97" t="str">
        <f t="shared" si="145"/>
        <v>B</v>
      </c>
      <c r="GJ100" s="97" t="str">
        <f t="shared" si="145"/>
        <v>B</v>
      </c>
      <c r="GK100" s="97" t="str">
        <f t="shared" si="145"/>
        <v>B</v>
      </c>
      <c r="GL100" s="97" t="str">
        <f t="shared" si="145"/>
        <v>B</v>
      </c>
      <c r="GM100" s="97" t="str">
        <f t="shared" si="145"/>
        <v>A</v>
      </c>
      <c r="GN100" s="97" t="str">
        <f t="shared" si="145"/>
        <v>B</v>
      </c>
      <c r="GO100" s="97" t="str">
        <f t="shared" si="145"/>
        <v>A</v>
      </c>
      <c r="GP100" s="97" t="str">
        <f t="shared" si="145"/>
        <v>B</v>
      </c>
      <c r="GQ100" s="97" t="str">
        <f t="shared" si="145"/>
        <v>B</v>
      </c>
      <c r="GR100" s="97" t="str">
        <f t="shared" si="145"/>
        <v>B</v>
      </c>
      <c r="GS100" s="97" t="str">
        <f t="shared" si="145"/>
        <v>B</v>
      </c>
      <c r="GT100" s="97" t="str">
        <f t="shared" si="145"/>
        <v>A</v>
      </c>
      <c r="GU100" s="97" t="str">
        <f t="shared" si="145"/>
        <v>B</v>
      </c>
      <c r="GV100" s="97" t="str">
        <f t="shared" si="145"/>
        <v>A</v>
      </c>
      <c r="GW100" s="97" t="str">
        <f t="shared" si="145"/>
        <v>A</v>
      </c>
      <c r="GX100" s="97" t="str">
        <f t="shared" si="145"/>
        <v>B</v>
      </c>
      <c r="GY100" s="98"/>
      <c r="GZ100" s="97">
        <f t="shared" si="3"/>
        <v>50</v>
      </c>
      <c r="HA100" s="97">
        <f t="shared" si="4"/>
        <v>50</v>
      </c>
      <c r="HB100" s="90">
        <f t="shared" si="5"/>
        <v>100</v>
      </c>
      <c r="HC100" s="99"/>
      <c r="HD100" s="97">
        <f t="shared" si="6"/>
        <v>4</v>
      </c>
      <c r="HE100" s="97">
        <f t="shared" si="7"/>
        <v>4</v>
      </c>
      <c r="HF100" s="90">
        <f t="shared" si="8"/>
        <v>8</v>
      </c>
      <c r="HG100" s="99"/>
      <c r="HH100" s="97">
        <f t="shared" si="9"/>
        <v>7</v>
      </c>
      <c r="HI100" s="97">
        <f t="shared" si="10"/>
        <v>5</v>
      </c>
      <c r="HJ100" s="90">
        <f t="shared" si="11"/>
        <v>12</v>
      </c>
      <c r="HK100" s="99"/>
      <c r="HL100" s="97">
        <f t="shared" si="12"/>
        <v>7</v>
      </c>
      <c r="HM100" s="97">
        <f t="shared" si="13"/>
        <v>8</v>
      </c>
      <c r="HN100" s="90">
        <f t="shared" si="14"/>
        <v>15</v>
      </c>
      <c r="HO100" s="99"/>
      <c r="HP100" s="97">
        <f t="shared" si="15"/>
        <v>6</v>
      </c>
      <c r="HQ100" s="97">
        <f t="shared" si="16"/>
        <v>6</v>
      </c>
      <c r="HR100" s="90">
        <f t="shared" si="17"/>
        <v>12</v>
      </c>
      <c r="HS100" s="99"/>
      <c r="HT100" s="97">
        <f t="shared" si="18"/>
        <v>5</v>
      </c>
      <c r="HU100" s="97">
        <f t="shared" si="19"/>
        <v>5</v>
      </c>
      <c r="HV100" s="90">
        <f t="shared" si="20"/>
        <v>10</v>
      </c>
      <c r="HW100" s="99"/>
      <c r="HX100" s="97">
        <f t="shared" si="21"/>
        <v>4</v>
      </c>
      <c r="HY100" s="97">
        <f t="shared" si="22"/>
        <v>6</v>
      </c>
      <c r="HZ100" s="90">
        <f t="shared" si="23"/>
        <v>10</v>
      </c>
      <c r="IA100" s="99"/>
      <c r="IB100" s="97">
        <f t="shared" si="24"/>
        <v>2</v>
      </c>
      <c r="IC100" s="97">
        <f t="shared" si="25"/>
        <v>2</v>
      </c>
      <c r="ID100" s="90">
        <f t="shared" si="26"/>
        <v>4</v>
      </c>
      <c r="IE100" s="99"/>
      <c r="IF100" s="97">
        <f t="shared" si="27"/>
        <v>3</v>
      </c>
      <c r="IG100" s="97">
        <f t="shared" si="28"/>
        <v>2</v>
      </c>
      <c r="IH100" s="90">
        <f t="shared" si="29"/>
        <v>5</v>
      </c>
      <c r="II100" s="99"/>
      <c r="IJ100" s="97">
        <f t="shared" si="30"/>
        <v>3</v>
      </c>
      <c r="IK100" s="97">
        <f t="shared" si="31"/>
        <v>5</v>
      </c>
      <c r="IL100" s="90">
        <f t="shared" si="32"/>
        <v>8</v>
      </c>
      <c r="IM100" s="99"/>
      <c r="IN100" s="97">
        <f t="shared" si="33"/>
        <v>3</v>
      </c>
      <c r="IO100" s="97">
        <f t="shared" si="34"/>
        <v>6</v>
      </c>
      <c r="IP100" s="90">
        <f t="shared" si="35"/>
        <v>9</v>
      </c>
      <c r="IQ100" s="99"/>
      <c r="IR100" s="99"/>
      <c r="IS100" s="100">
        <f t="shared" si="36"/>
        <v>8</v>
      </c>
      <c r="IT100" s="100">
        <f t="shared" si="37"/>
        <v>12</v>
      </c>
      <c r="IU100" s="100">
        <f t="shared" si="38"/>
        <v>15</v>
      </c>
      <c r="IV100" s="100">
        <f t="shared" si="39"/>
        <v>12</v>
      </c>
      <c r="IW100" s="100">
        <f t="shared" si="40"/>
        <v>10</v>
      </c>
      <c r="IX100" s="100">
        <f t="shared" si="41"/>
        <v>10</v>
      </c>
      <c r="IY100" s="100">
        <f t="shared" si="42"/>
        <v>4</v>
      </c>
      <c r="IZ100" s="100">
        <f t="shared" si="43"/>
        <v>5</v>
      </c>
      <c r="JA100" s="100">
        <f t="shared" si="44"/>
        <v>8</v>
      </c>
      <c r="JB100" s="101">
        <f t="shared" si="45"/>
        <v>9</v>
      </c>
      <c r="JC100" s="102">
        <f t="shared" si="46"/>
        <v>93</v>
      </c>
      <c r="JD100" s="67">
        <f t="shared" si="50"/>
        <v>0</v>
      </c>
      <c r="JE100" s="67">
        <f t="shared" si="47"/>
        <v>1</v>
      </c>
      <c r="JF100" s="67">
        <f t="shared" si="48"/>
        <v>1</v>
      </c>
    </row>
    <row r="101">
      <c r="A101" s="103">
        <f>IFERROR(__xludf.DUMMYFUNCTION("""COMPUTED_VALUE"""),45948.56380596065)</f>
        <v>45948.56381</v>
      </c>
      <c r="B101" s="95" t="str">
        <f>IFERROR(__xludf.DUMMYFUNCTION("""COMPUTED_VALUE"""),"Khalid Muhammad Affiq")</f>
        <v>Khalid Muhammad Affiq</v>
      </c>
      <c r="C101" s="96" t="str">
        <f>IFERROR(__xludf.DUMMYFUNCTION("""COMPUTED_VALUE"""),"A250051")</f>
        <v>A250051</v>
      </c>
      <c r="D101" s="96" t="str">
        <f>IFERROR(__xludf.DUMMYFUNCTION("""COMPUTED_VALUE"""),"MTs Putra")</f>
        <v>MTs Putra</v>
      </c>
      <c r="E101" s="96" t="str">
        <f>IFERROR(__xludf.DUMMYFUNCTION("""COMPUTED_VALUE"""),"Ya")</f>
        <v>Ya</v>
      </c>
      <c r="F101" s="95" t="str">
        <f>IFERROR(__xludf.DUMMYFUNCTION("""COMPUTED_VALUE"""),"B Saya ingin melakukan apa saja sebaik mungkin.")</f>
        <v>B Saya ingin melakukan apa saja sebaik mungkin.</v>
      </c>
      <c r="G101" s="95" t="str">
        <f>IFERROR(__xludf.DUMMYFUNCTION("""COMPUTED_VALUE"""),"B Saya ingin menyelesaikan tugas yang segera dikumpulkan.")</f>
        <v>B Saya ingin menyelesaikan tugas yang segera dikumpulkan.</v>
      </c>
      <c r="H101" s="95" t="str">
        <f>IFERROR(__xludf.DUMMYFUNCTION("""COMPUTED_VALUE"""),"A Saya ingin berbuat sesuai kata hati saya.")</f>
        <v>A Saya ingin berbuat sesuai kata hati saya.</v>
      </c>
      <c r="I101" s="95" t="str">
        <f>IFERROR(__xludf.DUMMYFUNCTION("""COMPUTED_VALUE"""),"B Saya ingin bisa melakukan dengan baik meskipun tugas yang sulit.")</f>
        <v>B Saya ingin bisa melakukan dengan baik meskipun tugas yang sulit.</v>
      </c>
      <c r="J101" s="95" t="str">
        <f>IFERROR(__xludf.DUMMYFUNCTION("""COMPUTED_VALUE"""),"A Saya suka membantu teman-teman saya apabila mereka mengalami kesulitan.")</f>
        <v>A Saya suka membantu teman-teman saya apabila mereka mengalami kesulitan.</v>
      </c>
      <c r="K101" s="95" t="str">
        <f>IFERROR(__xludf.DUMMYFUNCTION("""COMPUTED_VALUE"""),"B Saya ingin mengatakan telah melakukan dengan baik sesuatu tugas yang sulit.")</f>
        <v>B Saya ingin mengatakan telah melakukan dengan baik sesuatu tugas yang sulit.</v>
      </c>
      <c r="L101" s="95" t="str">
        <f>IFERROR(__xludf.DUMMYFUNCTION("""COMPUTED_VALUE"""),"B Saya ingin mengatakan telah melakukan dengan baik sesuatu tugas yang sulit")</f>
        <v>B Saya ingin mengatakan telah melakukan dengan baik sesuatu tugas yang sulit</v>
      </c>
      <c r="M101" s="95" t="str">
        <f>IFERROR(__xludf.DUMMYFUNCTION("""COMPUTED_VALUE"""),"A Saya suka berbicara tentang hal-hal yang telah berhasil saya lakukan.")</f>
        <v>A Saya suka berbicara tentang hal-hal yang telah berhasil saya lakukan.</v>
      </c>
      <c r="N101" s="95" t="str">
        <f>IFERROR(__xludf.DUMMYFUNCTION("""COMPUTED_VALUE"""),"B Saya suka memecahkan persoalan yang sukar bagi orang lain.")</f>
        <v>B Saya suka memecahkan persoalan yang sukar bagi orang lain.</v>
      </c>
      <c r="O101" s="95" t="str">
        <f>IFERROR(__xludf.DUMMYFUNCTION("""COMPUTED_VALUE"""),"B Saya suka melakukan tugas sebaik mungkin.")</f>
        <v>B Saya suka melakukan tugas sebaik mungkin.</v>
      </c>
      <c r="P101" s="95" t="str">
        <f>IFERROR(__xludf.DUMMYFUNCTION("""COMPUTED_VALUE"""),"B Saya ingin setiap belajar itu teratur dan direncanakan.")</f>
        <v>B Saya ingin setiap belajar itu teratur dan direncanakan.</v>
      </c>
      <c r="Q101" s="95" t="str">
        <f>IFERROR(__xludf.DUMMYFUNCTION("""COMPUTED_VALUE"""),"B Saya merencanakan keperluan yang dibutuhkan sebelum bepergian.")</f>
        <v>B Saya merencanakan keperluan yang dibutuhkan sebelum bepergian.</v>
      </c>
      <c r="R101" s="95" t="str">
        <f>IFERROR(__xludf.DUMMYFUNCTION("""COMPUTED_VALUE"""),"B Saya suka barang-barang saya tersusun rapi dan teratur.")</f>
        <v>B Saya suka barang-barang saya tersusun rapi dan teratur.</v>
      </c>
      <c r="S101" s="95" t="str">
        <f>IFERROR(__xludf.DUMMYFUNCTION("""COMPUTED_VALUE"""),"A Saya ingin agar teman-teman pengertian bila saya mengalami kesukaran.")</f>
        <v>A Saya ingin agar teman-teman pengertian bila saya mengalami kesukaran.</v>
      </c>
      <c r="T101" s="95" t="str">
        <f>IFERROR(__xludf.DUMMYFUNCTION("""COMPUTED_VALUE"""),"B Saya ingin agar hidup saya teratur sesuai cita-cita saya.")</f>
        <v>B Saya ingin agar hidup saya teratur sesuai cita-cita saya.</v>
      </c>
      <c r="U101" s="95" t="str">
        <f>IFERROR(__xludf.DUMMYFUNCTION("""COMPUTED_VALUE"""),"A Saya suka memberikan bantuan kepada teman-teman saya.")</f>
        <v>A Saya suka memberikan bantuan kepada teman-teman saya.</v>
      </c>
      <c r="V101" s="95" t="str">
        <f>IFERROR(__xludf.DUMMYFUNCTION("""COMPUTED_VALUE"""),"B Saya suka belajar saya teratur dan ada waktu-waktu tertentu untuk belajar.")</f>
        <v>B Saya suka belajar saya teratur dan ada waktu-waktu tertentu untuk belajar.</v>
      </c>
      <c r="W101" s="95" t="str">
        <f>IFERROR(__xludf.DUMMYFUNCTION("""COMPUTED_VALUE"""),"B Saya ingin kegiatan itu teratur dan direncanakan.")</f>
        <v>B Saya ingin kegiatan itu teratur dan direncanakan.</v>
      </c>
      <c r="X101" s="95" t="str">
        <f>IFERROR(__xludf.DUMMYFUNCTION("""COMPUTED_VALUE"""),"B Saya ingin agar hidup saya teratur sesuai cita-cita saya.")</f>
        <v>B Saya ingin agar hidup saya teratur sesuai cita-cita saya.</v>
      </c>
      <c r="Y101" s="95" t="str">
        <f>IFERROR(__xludf.DUMMYFUNCTION("""COMPUTED_VALUE"""),"A Saya suka menyelesaikan tugas-tugas yang membutuhkan ketrampilan dan usaha.")</f>
        <v>A Saya suka menyelesaikan tugas-tugas yang membutuhkan ketrampilan dan usaha.</v>
      </c>
      <c r="Z101" s="95" t="str">
        <f>IFERROR(__xludf.DUMMYFUNCTION("""COMPUTED_VALUE"""),"A Saya ingin berhasil dengan belajar yang saya lakukan.")</f>
        <v>A Saya ingin berhasil dengan belajar yang saya lakukan.</v>
      </c>
      <c r="AA101" s="95" t="str">
        <f>IFERROR(__xludf.DUMMYFUNCTION("""COMPUTED_VALUE"""),"A Saya suka menyelesaikan tugas yang telah saya rencanakan.")</f>
        <v>A Saya suka menyelesaikan tugas yang telah saya rencanakan.</v>
      </c>
      <c r="AB101" s="95" t="str">
        <f>IFERROR(__xludf.DUMMYFUNCTION("""COMPUTED_VALUE"""),"B Saya ingin menyelesaikan pekerjaan satu persatu sebelum memulai yang lain.")</f>
        <v>B Saya ingin menyelesaikan pekerjaan satu persatu sebelum memulai yang lain.</v>
      </c>
      <c r="AC101" s="95" t="str">
        <f>IFERROR(__xludf.DUMMYFUNCTION("""COMPUTED_VALUE"""),"A Saya suka menyelesaikan setiap tugas meskipun membutuhkan waktu lama.")</f>
        <v>A Saya suka menyelesaikan setiap tugas meskipun membutuhkan waktu lama.</v>
      </c>
      <c r="AD101" s="95" t="str">
        <f>IFERROR(__xludf.DUMMYFUNCTION("""COMPUTED_VALUE"""),"B Saya suka menyatakan pendapat saya tentang berbagai hal.")</f>
        <v>B Saya suka menyatakan pendapat saya tentang berbagai hal.</v>
      </c>
      <c r="AE101" s="95" t="str">
        <f>IFERROR(__xludf.DUMMYFUNCTION("""COMPUTED_VALUE"""),"B Saya suka melakukan hal-hal yang dianggap orang lain tidak sesuai.")</f>
        <v>B Saya suka melakukan hal-hal yang dianggap orang lain tidak sesuai.</v>
      </c>
      <c r="AF101" s="95" t="str">
        <f>IFERROR(__xludf.DUMMYFUNCTION("""COMPUTED_VALUE"""),"A Saya ingin agar teman-teman mengerti bila saya mengalami kesukaran.")</f>
        <v>A Saya ingin agar teman-teman mengerti bila saya mengalami kesukaran.</v>
      </c>
      <c r="AG101" s="95" t="str">
        <f>IFERROR(__xludf.DUMMYFUNCTION("""COMPUTED_VALUE"""),"B Saya ingin berhasil dengan tugas yang saya lakukan.")</f>
        <v>B Saya ingin berhasil dengan tugas yang saya lakukan.</v>
      </c>
      <c r="AH101" s="95" t="str">
        <f>IFERROR(__xludf.DUMMYFUNCTION("""COMPUTED_VALUE"""),"B Saya ingin merasa bebas untuk melakukan apa yang saya kehendaki.")</f>
        <v>B Saya ingin merasa bebas untuk melakukan apa yang saya kehendaki.</v>
      </c>
      <c r="AI101" s="95" t="str">
        <f>IFERROR(__xludf.DUMMYFUNCTION("""COMPUTED_VALUE"""),"B Saya suka melakukan kegiatan sesuai kondisi yang saya inginkan.")</f>
        <v>B Saya suka melakukan kegiatan sesuai kondisi yang saya inginkan.</v>
      </c>
      <c r="AJ101" s="95" t="str">
        <f>IFERROR(__xludf.DUMMYFUNCTION("""COMPUTED_VALUE"""),"B Saya suka bertahan menghadapi satu masalah meskipun belum tentu berhasil.")</f>
        <v>B Saya suka bertahan menghadapi satu masalah meskipun belum tentu berhasil.</v>
      </c>
      <c r="AK101" s="95" t="str">
        <f>IFERROR(__xludf.DUMMYFUNCTION("""COMPUTED_VALUE"""),"B Bila saya harus melakukan suatu tugas, saya ingin mengerjakan sampai selesai.")</f>
        <v>B Bila saya harus melakukan suatu tugas, saya ingin mengerjakan sampai selesai.</v>
      </c>
      <c r="AL101" s="95" t="str">
        <f>IFERROR(__xludf.DUMMYFUNCTION("""COMPUTED_VALUE"""),"A Saya suka berbicara tentang hal-hal yang telah saya capai.")</f>
        <v>A Saya suka berbicara tentang hal-hal yang telah saya capai.</v>
      </c>
      <c r="AM101" s="95" t="str">
        <f>IFERROR(__xludf.DUMMYFUNCTION("""COMPUTED_VALUE"""),"A Saya ingin teman-teman saya merasa kasihan pada saya apabila saya sakit.")</f>
        <v>A Saya ingin teman-teman saya merasa kasihan pada saya apabila saya sakit.</v>
      </c>
      <c r="AN101" s="95" t="str">
        <f>IFERROR(__xludf.DUMMYFUNCTION("""COMPUTED_VALUE"""),"A Saya tidak suka pada orang yang semena-mena.")</f>
        <v>A Saya tidak suka pada orang yang semena-mena.</v>
      </c>
      <c r="AO101" s="95" t="str">
        <f>IFERROR(__xludf.DUMMYFUNCTION("""COMPUTED_VALUE"""),"B Saya suka menyelesaikan setiap tugas meskipun membutuhkan waktu lama.")</f>
        <v>B Saya suka menyelesaikan setiap tugas meskipun membutuhkan waktu lama.</v>
      </c>
      <c r="AP101" s="95" t="str">
        <f>IFERROR(__xludf.DUMMYFUNCTION("""COMPUTED_VALUE"""),"A Saya ingin mengerjakannya tugas sampai selesai.")</f>
        <v>A Saya ingin mengerjakannya tugas sampai selesai.</v>
      </c>
      <c r="AQ101" s="95" t="str">
        <f>IFERROR(__xludf.DUMMYFUNCTION("""COMPUTED_VALUE"""),"B Bila saya harus melakukan suatu tugas, saya ingin mengerjakan sampai selesai.")</f>
        <v>B Bila saya harus melakukan suatu tugas, saya ingin mengerjakan sampai selesai.</v>
      </c>
      <c r="AR101" s="95" t="str">
        <f>IFERROR(__xludf.DUMMYFUNCTION("""COMPUTED_VALUE"""),"A Saya suka menyimpan catatan secara rapi.")</f>
        <v>A Saya suka menyimpan catatan secara rapi.</v>
      </c>
      <c r="AS101" s="95" t="str">
        <f>IFERROR(__xludf.DUMMYFUNCTION("""COMPUTED_VALUE"""),"A Saya ingin dapat menyelesaikan persoalan yang dianggap sukar bagi orang lain.")</f>
        <v>A Saya ingin dapat menyelesaikan persoalan yang dianggap sukar bagi orang lain.</v>
      </c>
      <c r="AT101" s="95" t="str">
        <f>IFERROR(__xludf.DUMMYFUNCTION("""COMPUTED_VALUE"""),"A Saya ingin bisa melakukan dengan baik sesuatu pekerjaan sulit.")</f>
        <v>A Saya ingin bisa melakukan dengan baik sesuatu pekerjaan sulit.</v>
      </c>
      <c r="AU101" s="95" t="str">
        <f>IFERROR(__xludf.DUMMYFUNCTION("""COMPUTED_VALUE"""),"A Saya ingin menyelesaikan pekerjaan satu persatu sebelum memulai yang lain.")</f>
        <v>A Saya ingin menyelesaikan pekerjaan satu persatu sebelum memulai yang lain.</v>
      </c>
      <c r="AV101" s="95" t="str">
        <f>IFERROR(__xludf.DUMMYFUNCTION("""COMPUTED_VALUE"""),"A Saya ingin merasa bebas untuk melakukan apa yang saya kehendaki.")</f>
        <v>A Saya ingin merasa bebas untuk melakukan apa yang saya kehendaki.</v>
      </c>
      <c r="AW101" s="95" t="str">
        <f>IFERROR(__xludf.DUMMYFUNCTION("""COMPUTED_VALUE"""),"B Saya ingin teman-teman saya percaya bahwa saya bisa menolong mereka.")</f>
        <v>B Saya ingin teman-teman saya percaya bahwa saya bisa menolong mereka.</v>
      </c>
      <c r="AX101" s="95" t="str">
        <f>IFERROR(__xludf.DUMMYFUNCTION("""COMPUTED_VALUE"""),"B Saya suka memaafkan teman-teman saya yang menyakiti hati saya.")</f>
        <v>B Saya suka memaafkan teman-teman saya yang menyakiti hati saya.</v>
      </c>
      <c r="AY101" s="95" t="str">
        <f>IFERROR(__xludf.DUMMYFUNCTION("""COMPUTED_VALUE"""),"B Saya suka menolong teman-teman saya apabila mereka dalam kesulitan.")</f>
        <v>B Saya suka menolong teman-teman saya apabila mereka dalam kesulitan.</v>
      </c>
      <c r="AZ101" s="95" t="str">
        <f>IFERROR(__xludf.DUMMYFUNCTION("""COMPUTED_VALUE"""),"A Saya ingin agar teman-teman saya bersimpati dan menghibur saya bila saya sedih.")</f>
        <v>A Saya ingin agar teman-teman saya bersimpati dan menghibur saya bila saya sedih.</v>
      </c>
      <c r="BA101" s="95" t="str">
        <f>IFERROR(__xludf.DUMMYFUNCTION("""COMPUTED_VALUE"""),"B Saya suka memperlakukan orang lain dengan baik dan ramah.")</f>
        <v>B Saya suka memperlakukan orang lain dengan baik dan ramah.</v>
      </c>
      <c r="BB101" s="95" t="str">
        <f>IFERROR(__xludf.DUMMYFUNCTION("""COMPUTED_VALUE"""),"B Saya suka bermurah hati terhadap teman-teman saya.")</f>
        <v>B Saya suka bermurah hati terhadap teman-teman saya.</v>
      </c>
      <c r="BC101" s="95" t="str">
        <f>IFERROR(__xludf.DUMMYFUNCTION("""COMPUTED_VALUE"""),"B Saya suka membantu orang lain yang menurut saya perlu dikasihani.")</f>
        <v>B Saya suka membantu orang lain yang menurut saya perlu dikasihani.</v>
      </c>
      <c r="BD101" s="95" t="str">
        <f>IFERROR(__xludf.DUMMYFUNCTION("""COMPUTED_VALUE"""),"A Saya rasanya ingin menyalahkan orang lain bila keadaan tidak baik bagi saya.")</f>
        <v>A Saya rasanya ingin menyalahkan orang lain bila keadaan tidak baik bagi saya.</v>
      </c>
      <c r="BE101" s="95" t="str">
        <f>IFERROR(__xludf.DUMMYFUNCTION("""COMPUTED_VALUE"""),"B Saya ingin orang lain melakukan apa yang saya kehendaki.")</f>
        <v>B Saya ingin orang lain melakukan apa yang saya kehendaki.</v>
      </c>
      <c r="BF101" s="95" t="str">
        <f>IFERROR(__xludf.DUMMYFUNCTION("""COMPUTED_VALUE"""),"B Bila saya dalam kelompok, saya ingin menentukan apa yang akan kita lakukan.")</f>
        <v>B Bila saya dalam kelompok, saya ingin menentukan apa yang akan kita lakukan.</v>
      </c>
      <c r="BG101" s="95" t="str">
        <f>IFERROR(__xludf.DUMMYFUNCTION("""COMPUTED_VALUE"""),"A Saya ingin teman-teman banyak menunjukkan rasa sayang mereka terhadap saya.")</f>
        <v>A Saya ingin teman-teman banyak menunjukkan rasa sayang mereka terhadap saya.</v>
      </c>
      <c r="BH101" s="95" t="str">
        <f>IFERROR(__xludf.DUMMYFUNCTION("""COMPUTED_VALUE"""),"B Apabila saya berkumpul dalam kelompok, saya ingin dihargai teman-teman.")</f>
        <v>B Apabila saya berkumpul dalam kelompok, saya ingin dihargai teman-teman.</v>
      </c>
      <c r="BI101" s="95" t="str">
        <f>IFERROR(__xludf.DUMMYFUNCTION("""COMPUTED_VALUE"""),"A Saya suka bermurah hati terhadap teman-teman saya.")</f>
        <v>A Saya suka bermurah hati terhadap teman-teman saya.</v>
      </c>
      <c r="BJ101" s="95" t="str">
        <f>IFERROR(__xludf.DUMMYFUNCTION("""COMPUTED_VALUE"""),"A Saya ingin mengerjakan tugas sampai selesai.")</f>
        <v>A Saya ingin mengerjakan tugas sampai selesai.</v>
      </c>
      <c r="BK101" s="95" t="str">
        <f>IFERROR(__xludf.DUMMYFUNCTION("""COMPUTED_VALUE"""),"A Saya ingin menyelesaikan pekerjaan satu persatu sebelum memulai yang lain.")</f>
        <v>A Saya ingin menyelesaikan pekerjaan satu persatu sebelum memulai yang lain.</v>
      </c>
      <c r="BL101" s="95" t="str">
        <f>IFERROR(__xludf.DUMMYFUNCTION("""COMPUTED_VALUE"""),"A Saya suka belajar saya teratur dan ada waktu-waktu tertentu untuk belajar.")</f>
        <v>A Saya suka belajar saya teratur dan ada waktu-waktu tertentu untuk belajar.</v>
      </c>
      <c r="BM101" s="95" t="str">
        <f>IFERROR(__xludf.DUMMYFUNCTION("""COMPUTED_VALUE"""),"A Saya suka melakukan pekerjaan sebaik mungkin.")</f>
        <v>A Saya suka melakukan pekerjaan sebaik mungkin.</v>
      </c>
      <c r="BN101" s="95" t="str">
        <f>IFERROR(__xludf.DUMMYFUNCTION("""COMPUTED_VALUE"""),"B Saya ingin teman-teman memberi dorongan bila saya menghadapi kegagalan.")</f>
        <v>B Saya ingin teman-teman memberi dorongan bila saya menghadapi kegagalan.</v>
      </c>
      <c r="BO101" s="95" t="str">
        <f>IFERROR(__xludf.DUMMYFUNCTION("""COMPUTED_VALUE"""),"B Saya ingin diperlakukan dengan baik oleh teman-teman saya.")</f>
        <v>B Saya ingin diperlakukan dengan baik oleh teman-teman saya.</v>
      </c>
      <c r="BP101" s="95" t="str">
        <f>IFERROR(__xludf.DUMMYFUNCTION("""COMPUTED_VALUE"""),"A Saya ingin menyelesaikan sesuatu yang sangat penting artinya.")</f>
        <v>A Saya ingin menyelesaikan sesuatu yang sangat penting artinya.</v>
      </c>
      <c r="BQ101" s="95" t="str">
        <f>IFERROR(__xludf.DUMMYFUNCTION("""COMPUTED_VALUE"""),"A Saya ingin mengerjakannya tugas sampai selesai.")</f>
        <v>A Saya ingin mengerjakannya tugas sampai selesai.</v>
      </c>
      <c r="BR101" s="95" t="str">
        <f>IFERROR(__xludf.DUMMYFUNCTION("""COMPUTED_VALUE"""),"B Saya ingin agar teman-teman saya bersimpati dan menghibur saya bila saya sedih.")</f>
        <v>B Saya ingin agar teman-teman saya bersimpati dan menghibur saya bila saya sedih.</v>
      </c>
      <c r="BS101" s="95" t="str">
        <f>IFERROR(__xludf.DUMMYFUNCTION("""COMPUTED_VALUE"""),"B Saya ingin teman-teman saya membantu saya bila saya mengalami kesulitan")</f>
        <v>B Saya ingin teman-teman saya membantu saya bila saya mengalami kesulitan</v>
      </c>
      <c r="BT101" s="95" t="str">
        <f>IFERROR(__xludf.DUMMYFUNCTION("""COMPUTED_VALUE"""),"B Saya ingin teman-teman banyak menunjukkan rasa sayang mereka terhadap saya.")</f>
        <v>B Saya ingin teman-teman banyak menunjukkan rasa sayang mereka terhadap saya.</v>
      </c>
      <c r="BU101" s="95" t="str">
        <f>IFERROR(__xludf.DUMMYFUNCTION("""COMPUTED_VALUE"""),"B Saya ingin agar teman-teman saya merasa kasihan pada saya apabila saya sakit.")</f>
        <v>B Saya ingin agar teman-teman saya merasa kasihan pada saya apabila saya sakit.</v>
      </c>
      <c r="BV101" s="95" t="str">
        <f>IFERROR(__xludf.DUMMYFUNCTION("""COMPUTED_VALUE"""),"B Saya ingin teman-teman dengan gembira memberikan pertolongan kepada saya.")</f>
        <v>B Saya ingin teman-teman dengan gembira memberikan pertolongan kepada saya.</v>
      </c>
      <c r="BW101" s="95" t="str">
        <f>IFERROR(__xludf.DUMMYFUNCTION("""COMPUTED_VALUE"""),"B Saya ingin diperlakukan dengan baik oleh teman-teman saya.")</f>
        <v>B Saya ingin diperlakukan dengan baik oleh teman-teman saya.</v>
      </c>
      <c r="BX101" s="95" t="str">
        <f>IFERROR(__xludf.DUMMYFUNCTION("""COMPUTED_VALUE"""),"B Saya kadang-kadang suka melakukan hal-hal yang dapat dipuji oleh orang lain.")</f>
        <v>B Saya kadang-kadang suka melakukan hal-hal yang dapat dipuji oleh orang lain.</v>
      </c>
      <c r="BY101" s="95" t="str">
        <f>IFERROR(__xludf.DUMMYFUNCTION("""COMPUTED_VALUE"""),"B Saya ingin orang lain memperhatikan dan berkomentar tentang penampilan saya.")</f>
        <v>B Saya ingin orang lain memperhatikan dan berkomentar tentang penampilan saya.</v>
      </c>
      <c r="BZ101" s="95" t="str">
        <f>IFERROR(__xludf.DUMMYFUNCTION("""COMPUTED_VALUE"""),"A Saya suka berkata yang artinya sulit dipahami oleh orang lain.")</f>
        <v>A Saya suka berkata yang artinya sulit dipahami oleh orang lain.</v>
      </c>
      <c r="CA101" s="95" t="str">
        <f>IFERROR(__xludf.DUMMYFUNCTION("""COMPUTED_VALUE"""),"A Saya ingin teman-teman dengan gembira memberikan pertolongan kepada saya.")</f>
        <v>A Saya ingin teman-teman dengan gembira memberikan pertolongan kepada saya.</v>
      </c>
      <c r="CB101" s="95" t="str">
        <f>IFERROR(__xludf.DUMMYFUNCTION("""COMPUTED_VALUE"""),"B Saya suka berbicara tentang hal-hal yang telah saya capai.")</f>
        <v>B Saya suka berbicara tentang hal-hal yang telah saya capai.</v>
      </c>
      <c r="CC101" s="95" t="str">
        <f>IFERROR(__xludf.DUMMYFUNCTION("""COMPUTED_VALUE"""),"A Apabila saya berkumpul dalam kelompok, saya ingin dihargai teman-teman.")</f>
        <v>A Apabila saya berkumpul dalam kelompok, saya ingin dihargai teman-teman.</v>
      </c>
      <c r="CD101" s="95" t="str">
        <f>IFERROR(__xludf.DUMMYFUNCTION("""COMPUTED_VALUE"""),"A Saya suka menyelesaikan setiap tugas meskipun membutuhkan waktu lama.")</f>
        <v>A Saya suka menyelesaikan setiap tugas meskipun membutuhkan waktu lama.</v>
      </c>
      <c r="CE101" s="95" t="str">
        <f>IFERROR(__xludf.DUMMYFUNCTION("""COMPUTED_VALUE"""),"A Saya suka menyelesaikan setiap tugas belajar yang telah saya mulai.")</f>
        <v>A Saya suka menyelesaikan setiap tugas belajar yang telah saya mulai.</v>
      </c>
      <c r="CF101" s="95" t="str">
        <f>IFERROR(__xludf.DUMMYFUNCTION("""COMPUTED_VALUE"""),"A Saya ingin agar hidup saya teratur sesuai cita-cita saya.")</f>
        <v>A Saya ingin agar hidup saya teratur sesuai cita-cita saya.</v>
      </c>
      <c r="CG101" s="95" t="str">
        <f>IFERROR(__xludf.DUMMYFUNCTION("""COMPUTED_VALUE"""),"A Saya ingin berhasil dalam apa yang saya lakukan.")</f>
        <v>A Saya ingin berhasil dalam apa yang saya lakukan.</v>
      </c>
      <c r="CH101" s="95" t="str">
        <f>IFERROR(__xludf.DUMMYFUNCTION("""COMPUTED_VALUE"""),"A Saya ingin bisa melakukan dengan baik sesuatu pekerjaan sulit.")</f>
        <v>A Saya ingin bisa melakukan dengan baik sesuatu pekerjaan sulit.</v>
      </c>
      <c r="CI101" s="95" t="str">
        <f>IFERROR(__xludf.DUMMYFUNCTION("""COMPUTED_VALUE"""),"A Saya suka belajar saya teratur dan ada waktu-waktu tertentu untuk belajar.")</f>
        <v>A Saya suka belajar saya teratur dan ada waktu-waktu tertentu untuk belajar.</v>
      </c>
      <c r="CJ101" s="95" t="str">
        <f>IFERROR(__xludf.DUMMYFUNCTION("""COMPUTED_VALUE"""),"A Saya ingin tidak tergantung dari orang lain terhadap apa yang akan saya lakukan.")</f>
        <v>A Saya ingin tidak tergantung dari orang lain terhadap apa yang akan saya lakukan.</v>
      </c>
      <c r="CK101" s="95" t="str">
        <f>IFERROR(__xludf.DUMMYFUNCTION("""COMPUTED_VALUE"""),"B Saya senang ikut beraktivitas bersama teman sebaya saya.")</f>
        <v>B Saya senang ikut beraktivitas bersama teman sebaya saya.</v>
      </c>
      <c r="CL101" s="95" t="str">
        <f>IFERROR(__xludf.DUMMYFUNCTION("""COMPUTED_VALUE"""),"A Saya suka menolong teman-teman saya, apabila mereka dalam kesulitan.")</f>
        <v>A Saya suka menolong teman-teman saya, apabila mereka dalam kesulitan.</v>
      </c>
      <c r="CM101" s="95" t="str">
        <f>IFERROR(__xludf.DUMMYFUNCTION("""COMPUTED_VALUE"""),"B Saya merasa kagum pada seseorang.")</f>
        <v>B Saya merasa kagum pada seseorang.</v>
      </c>
      <c r="CN101" s="95" t="str">
        <f>IFERROR(__xludf.DUMMYFUNCTION("""COMPUTED_VALUE"""),"A Saya ingin diperlakukan dengan baik oleh teman-teman saya.")</f>
        <v>A Saya ingin diperlakukan dengan baik oleh teman-teman saya.</v>
      </c>
      <c r="CO101" s="95" t="str">
        <f>IFERROR(__xludf.DUMMYFUNCTION("""COMPUTED_VALUE"""),"B Saya suka memuji orang yang saya kagumi.")</f>
        <v>B Saya suka memuji orang yang saya kagumi.</v>
      </c>
      <c r="CP101" s="95" t="str">
        <f>IFERROR(__xludf.DUMMYFUNCTION("""COMPUTED_VALUE"""),"B Saya ingin dianggap menarik oleh orang lain.")</f>
        <v>B Saya ingin dianggap menarik oleh orang lain.</v>
      </c>
      <c r="CQ101" s="95" t="str">
        <f>IFERROR(__xludf.DUMMYFUNCTION("""COMPUTED_VALUE"""),"B Saya merasa kagum pada seseorang.")</f>
        <v>B Saya merasa kagum pada seseorang.</v>
      </c>
      <c r="CR101" s="95" t="str">
        <f>IFERROR(__xludf.DUMMYFUNCTION("""COMPUTED_VALUE"""),"B Saya rasanya ingin mengecam seseorang bila orang itu menjengkelkan.")</f>
        <v>B Saya rasanya ingin mengecam seseorang bila orang itu menjengkelkan.</v>
      </c>
      <c r="CS101" s="95" t="str">
        <f>IFERROR(__xludf.DUMMYFUNCTION("""COMPUTED_VALUE"""),"A Saya ingin terlihat menarik di depan teman-teman saya.")</f>
        <v>A Saya ingin terlihat menarik di depan teman-teman saya.</v>
      </c>
      <c r="CT101" s="95" t="str">
        <f>IFERROR(__xludf.DUMMYFUNCTION("""COMPUTED_VALUE"""),"A Saya ingin orang-orang memperhatikan komentar mengenai penampilan saya.")</f>
        <v>A Saya ingin orang-orang memperhatikan komentar mengenai penampilan saya.</v>
      </c>
      <c r="CU101" s="95" t="str">
        <f>IFERROR(__xludf.DUMMYFUNCTION("""COMPUTED_VALUE"""),"A Saya ingin diperlakukan dengan ramah oleh teman-teman saya.")</f>
        <v>A Saya ingin diperlakukan dengan ramah oleh teman-teman saya.</v>
      </c>
      <c r="CV101" s="95" t="str">
        <f>IFERROR(__xludf.DUMMYFUNCTION("""COMPUTED_VALUE"""),"A Saya ingin ditunjuk atau dipilih sebagai ketua dalam suatu kelompok.")</f>
        <v>A Saya ingin ditunjuk atau dipilih sebagai ketua dalam suatu kelompok.</v>
      </c>
      <c r="CW101" s="95" t="str">
        <f>IFERROR(__xludf.DUMMYFUNCTION("""COMPUTED_VALUE"""),"A Saya suka menolong teman-teman saya, apabila mereka dalam kesulitan.")</f>
        <v>A Saya suka menolong teman-teman saya, apabila mereka dalam kesulitan.</v>
      </c>
      <c r="CX101" s="95" t="str">
        <f>IFERROR(__xludf.DUMMYFUNCTION("""COMPUTED_VALUE"""),"A Saya suka belajar sampai malam untuk menyelesaikan suatu tugas.")</f>
        <v>A Saya suka belajar sampai malam untuk menyelesaikan suatu tugas.</v>
      </c>
      <c r="CY101" s="95" t="str">
        <f>IFERROR(__xludf.DUMMYFUNCTION("""COMPUTED_VALUE"""),"A Saya ingin tidak tergantung dari orang lain terhadap apa yang akan saya lakukan.")</f>
        <v>A Saya ingin tidak tergantung dari orang lain terhadap apa yang akan saya lakukan.</v>
      </c>
      <c r="CZ101" s="95" t="str">
        <f>IFERROR(__xludf.DUMMYFUNCTION("""COMPUTED_VALUE"""),"A Saya suka merencanakan dan mengatur setiap pekerjaan yang harus saya lakukan.")</f>
        <v>A Saya suka merencanakan dan mengatur setiap pekerjaan yang harus saya lakukan.</v>
      </c>
      <c r="DA101" s="95" t="str">
        <f>IFERROR(__xludf.DUMMYFUNCTION("""COMPUTED_VALUE"""),"A Saya ingin melakukan apa saja sebaik mungkin.")</f>
        <v>A Saya ingin melakukan apa saja sebaik mungkin.</v>
      </c>
      <c r="DB101" s="89" t="s">
        <v>23</v>
      </c>
      <c r="DC101" s="97" t="str">
        <f t="shared" ref="DC101:GX101" si="146">LEFT(F101,1)</f>
        <v>B</v>
      </c>
      <c r="DD101" s="97" t="str">
        <f t="shared" si="146"/>
        <v>B</v>
      </c>
      <c r="DE101" s="97" t="str">
        <f t="shared" si="146"/>
        <v>A</v>
      </c>
      <c r="DF101" s="97" t="str">
        <f t="shared" si="146"/>
        <v>B</v>
      </c>
      <c r="DG101" s="97" t="str">
        <f t="shared" si="146"/>
        <v>A</v>
      </c>
      <c r="DH101" s="97" t="str">
        <f t="shared" si="146"/>
        <v>B</v>
      </c>
      <c r="DI101" s="97" t="str">
        <f t="shared" si="146"/>
        <v>B</v>
      </c>
      <c r="DJ101" s="97" t="str">
        <f t="shared" si="146"/>
        <v>A</v>
      </c>
      <c r="DK101" s="97" t="str">
        <f t="shared" si="146"/>
        <v>B</v>
      </c>
      <c r="DL101" s="97" t="str">
        <f t="shared" si="146"/>
        <v>B</v>
      </c>
      <c r="DM101" s="97" t="str">
        <f t="shared" si="146"/>
        <v>B</v>
      </c>
      <c r="DN101" s="97" t="str">
        <f t="shared" si="146"/>
        <v>B</v>
      </c>
      <c r="DO101" s="97" t="str">
        <f t="shared" si="146"/>
        <v>B</v>
      </c>
      <c r="DP101" s="97" t="str">
        <f t="shared" si="146"/>
        <v>A</v>
      </c>
      <c r="DQ101" s="97" t="str">
        <f t="shared" si="146"/>
        <v>B</v>
      </c>
      <c r="DR101" s="97" t="str">
        <f t="shared" si="146"/>
        <v>A</v>
      </c>
      <c r="DS101" s="97" t="str">
        <f t="shared" si="146"/>
        <v>B</v>
      </c>
      <c r="DT101" s="97" t="str">
        <f t="shared" si="146"/>
        <v>B</v>
      </c>
      <c r="DU101" s="97" t="str">
        <f t="shared" si="146"/>
        <v>B</v>
      </c>
      <c r="DV101" s="97" t="str">
        <f t="shared" si="146"/>
        <v>A</v>
      </c>
      <c r="DW101" s="97" t="str">
        <f t="shared" si="146"/>
        <v>A</v>
      </c>
      <c r="DX101" s="97" t="str">
        <f t="shared" si="146"/>
        <v>A</v>
      </c>
      <c r="DY101" s="97" t="str">
        <f t="shared" si="146"/>
        <v>B</v>
      </c>
      <c r="DZ101" s="97" t="str">
        <f t="shared" si="146"/>
        <v>A</v>
      </c>
      <c r="EA101" s="97" t="str">
        <f t="shared" si="146"/>
        <v>B</v>
      </c>
      <c r="EB101" s="97" t="str">
        <f t="shared" si="146"/>
        <v>B</v>
      </c>
      <c r="EC101" s="97" t="str">
        <f t="shared" si="146"/>
        <v>A</v>
      </c>
      <c r="ED101" s="97" t="str">
        <f t="shared" si="146"/>
        <v>B</v>
      </c>
      <c r="EE101" s="97" t="str">
        <f t="shared" si="146"/>
        <v>B</v>
      </c>
      <c r="EF101" s="97" t="str">
        <f t="shared" si="146"/>
        <v>B</v>
      </c>
      <c r="EG101" s="97" t="str">
        <f t="shared" si="146"/>
        <v>B</v>
      </c>
      <c r="EH101" s="97" t="str">
        <f t="shared" si="146"/>
        <v>B</v>
      </c>
      <c r="EI101" s="97" t="str">
        <f t="shared" si="146"/>
        <v>A</v>
      </c>
      <c r="EJ101" s="97" t="str">
        <f t="shared" si="146"/>
        <v>A</v>
      </c>
      <c r="EK101" s="97" t="str">
        <f t="shared" si="146"/>
        <v>A</v>
      </c>
      <c r="EL101" s="97" t="str">
        <f t="shared" si="146"/>
        <v>B</v>
      </c>
      <c r="EM101" s="97" t="str">
        <f t="shared" si="146"/>
        <v>A</v>
      </c>
      <c r="EN101" s="97" t="str">
        <f t="shared" si="146"/>
        <v>B</v>
      </c>
      <c r="EO101" s="97" t="str">
        <f t="shared" si="146"/>
        <v>A</v>
      </c>
      <c r="EP101" s="97" t="str">
        <f t="shared" si="146"/>
        <v>A</v>
      </c>
      <c r="EQ101" s="97" t="str">
        <f t="shared" si="146"/>
        <v>A</v>
      </c>
      <c r="ER101" s="97" t="str">
        <f t="shared" si="146"/>
        <v>A</v>
      </c>
      <c r="ES101" s="97" t="str">
        <f t="shared" si="146"/>
        <v>A</v>
      </c>
      <c r="ET101" s="97" t="str">
        <f t="shared" si="146"/>
        <v>B</v>
      </c>
      <c r="EU101" s="97" t="str">
        <f t="shared" si="146"/>
        <v>B</v>
      </c>
      <c r="EV101" s="97" t="str">
        <f t="shared" si="146"/>
        <v>B</v>
      </c>
      <c r="EW101" s="97" t="str">
        <f t="shared" si="146"/>
        <v>A</v>
      </c>
      <c r="EX101" s="97" t="str">
        <f t="shared" si="146"/>
        <v>B</v>
      </c>
      <c r="EY101" s="97" t="str">
        <f t="shared" si="146"/>
        <v>B</v>
      </c>
      <c r="EZ101" s="97" t="str">
        <f t="shared" si="146"/>
        <v>B</v>
      </c>
      <c r="FA101" s="97" t="str">
        <f t="shared" si="146"/>
        <v>A</v>
      </c>
      <c r="FB101" s="97" t="str">
        <f t="shared" si="146"/>
        <v>B</v>
      </c>
      <c r="FC101" s="97" t="str">
        <f t="shared" si="146"/>
        <v>B</v>
      </c>
      <c r="FD101" s="97" t="str">
        <f t="shared" si="146"/>
        <v>A</v>
      </c>
      <c r="FE101" s="97" t="str">
        <f t="shared" si="146"/>
        <v>B</v>
      </c>
      <c r="FF101" s="97" t="str">
        <f t="shared" si="146"/>
        <v>A</v>
      </c>
      <c r="FG101" s="97" t="str">
        <f t="shared" si="146"/>
        <v>A</v>
      </c>
      <c r="FH101" s="97" t="str">
        <f t="shared" si="146"/>
        <v>A</v>
      </c>
      <c r="FI101" s="97" t="str">
        <f t="shared" si="146"/>
        <v>A</v>
      </c>
      <c r="FJ101" s="97" t="str">
        <f t="shared" si="146"/>
        <v>A</v>
      </c>
      <c r="FK101" s="97" t="str">
        <f t="shared" si="146"/>
        <v>B</v>
      </c>
      <c r="FL101" s="97" t="str">
        <f t="shared" si="146"/>
        <v>B</v>
      </c>
      <c r="FM101" s="97" t="str">
        <f t="shared" si="146"/>
        <v>A</v>
      </c>
      <c r="FN101" s="97" t="str">
        <f t="shared" si="146"/>
        <v>A</v>
      </c>
      <c r="FO101" s="97" t="str">
        <f t="shared" si="146"/>
        <v>B</v>
      </c>
      <c r="FP101" s="97" t="str">
        <f t="shared" si="146"/>
        <v>B</v>
      </c>
      <c r="FQ101" s="97" t="str">
        <f t="shared" si="146"/>
        <v>B</v>
      </c>
      <c r="FR101" s="97" t="str">
        <f t="shared" si="146"/>
        <v>B</v>
      </c>
      <c r="FS101" s="97" t="str">
        <f t="shared" si="146"/>
        <v>B</v>
      </c>
      <c r="FT101" s="97" t="str">
        <f t="shared" si="146"/>
        <v>B</v>
      </c>
      <c r="FU101" s="97" t="str">
        <f t="shared" si="146"/>
        <v>B</v>
      </c>
      <c r="FV101" s="97" t="str">
        <f t="shared" si="146"/>
        <v>B</v>
      </c>
      <c r="FW101" s="97" t="str">
        <f t="shared" si="146"/>
        <v>A</v>
      </c>
      <c r="FX101" s="97" t="str">
        <f t="shared" si="146"/>
        <v>A</v>
      </c>
      <c r="FY101" s="97" t="str">
        <f t="shared" si="146"/>
        <v>B</v>
      </c>
      <c r="FZ101" s="97" t="str">
        <f t="shared" si="146"/>
        <v>A</v>
      </c>
      <c r="GA101" s="97" t="str">
        <f t="shared" si="146"/>
        <v>A</v>
      </c>
      <c r="GB101" s="97" t="str">
        <f t="shared" si="146"/>
        <v>A</v>
      </c>
      <c r="GC101" s="97" t="str">
        <f t="shared" si="146"/>
        <v>A</v>
      </c>
      <c r="GD101" s="97" t="str">
        <f t="shared" si="146"/>
        <v>A</v>
      </c>
      <c r="GE101" s="97" t="str">
        <f t="shared" si="146"/>
        <v>A</v>
      </c>
      <c r="GF101" s="97" t="str">
        <f t="shared" si="146"/>
        <v>A</v>
      </c>
      <c r="GG101" s="97" t="str">
        <f t="shared" si="146"/>
        <v>A</v>
      </c>
      <c r="GH101" s="97" t="str">
        <f t="shared" si="146"/>
        <v>B</v>
      </c>
      <c r="GI101" s="97" t="str">
        <f t="shared" si="146"/>
        <v>A</v>
      </c>
      <c r="GJ101" s="97" t="str">
        <f t="shared" si="146"/>
        <v>B</v>
      </c>
      <c r="GK101" s="97" t="str">
        <f t="shared" si="146"/>
        <v>A</v>
      </c>
      <c r="GL101" s="97" t="str">
        <f t="shared" si="146"/>
        <v>B</v>
      </c>
      <c r="GM101" s="97" t="str">
        <f t="shared" si="146"/>
        <v>B</v>
      </c>
      <c r="GN101" s="97" t="str">
        <f t="shared" si="146"/>
        <v>B</v>
      </c>
      <c r="GO101" s="97" t="str">
        <f t="shared" si="146"/>
        <v>B</v>
      </c>
      <c r="GP101" s="97" t="str">
        <f t="shared" si="146"/>
        <v>A</v>
      </c>
      <c r="GQ101" s="97" t="str">
        <f t="shared" si="146"/>
        <v>A</v>
      </c>
      <c r="GR101" s="97" t="str">
        <f t="shared" si="146"/>
        <v>A</v>
      </c>
      <c r="GS101" s="97" t="str">
        <f t="shared" si="146"/>
        <v>A</v>
      </c>
      <c r="GT101" s="97" t="str">
        <f t="shared" si="146"/>
        <v>A</v>
      </c>
      <c r="GU101" s="97" t="str">
        <f t="shared" si="146"/>
        <v>A</v>
      </c>
      <c r="GV101" s="97" t="str">
        <f t="shared" si="146"/>
        <v>A</v>
      </c>
      <c r="GW101" s="97" t="str">
        <f t="shared" si="146"/>
        <v>A</v>
      </c>
      <c r="GX101" s="97" t="str">
        <f t="shared" si="146"/>
        <v>A</v>
      </c>
      <c r="GY101" s="98"/>
      <c r="GZ101" s="97">
        <f t="shared" si="3"/>
        <v>50</v>
      </c>
      <c r="HA101" s="97">
        <f t="shared" si="4"/>
        <v>50</v>
      </c>
      <c r="HB101" s="90">
        <f t="shared" si="5"/>
        <v>100</v>
      </c>
      <c r="HC101" s="99"/>
      <c r="HD101" s="97">
        <f t="shared" si="6"/>
        <v>8</v>
      </c>
      <c r="HE101" s="97">
        <f t="shared" si="7"/>
        <v>6</v>
      </c>
      <c r="HF101" s="90">
        <f t="shared" si="8"/>
        <v>14</v>
      </c>
      <c r="HG101" s="99"/>
      <c r="HH101" s="97">
        <f t="shared" si="9"/>
        <v>7</v>
      </c>
      <c r="HI101" s="97">
        <f t="shared" si="10"/>
        <v>7</v>
      </c>
      <c r="HJ101" s="90">
        <f t="shared" si="11"/>
        <v>14</v>
      </c>
      <c r="HK101" s="99"/>
      <c r="HL101" s="97">
        <f t="shared" si="12"/>
        <v>7</v>
      </c>
      <c r="HM101" s="97">
        <f t="shared" si="13"/>
        <v>6</v>
      </c>
      <c r="HN101" s="90">
        <f t="shared" si="14"/>
        <v>13</v>
      </c>
      <c r="HO101" s="99"/>
      <c r="HP101" s="97">
        <f t="shared" si="15"/>
        <v>5</v>
      </c>
      <c r="HQ101" s="97">
        <f t="shared" si="16"/>
        <v>4</v>
      </c>
      <c r="HR101" s="90">
        <f t="shared" si="17"/>
        <v>9</v>
      </c>
      <c r="HS101" s="99"/>
      <c r="HT101" s="97">
        <f t="shared" si="18"/>
        <v>6</v>
      </c>
      <c r="HU101" s="97">
        <f t="shared" si="19"/>
        <v>6</v>
      </c>
      <c r="HV101" s="90">
        <f t="shared" si="20"/>
        <v>12</v>
      </c>
      <c r="HW101" s="99"/>
      <c r="HX101" s="97">
        <f t="shared" si="21"/>
        <v>2</v>
      </c>
      <c r="HY101" s="97">
        <f t="shared" si="22"/>
        <v>3</v>
      </c>
      <c r="HZ101" s="90">
        <f t="shared" si="23"/>
        <v>5</v>
      </c>
      <c r="IA101" s="99"/>
      <c r="IB101" s="97">
        <f t="shared" si="24"/>
        <v>8</v>
      </c>
      <c r="IC101" s="97">
        <f t="shared" si="25"/>
        <v>8</v>
      </c>
      <c r="ID101" s="90">
        <f t="shared" si="26"/>
        <v>16</v>
      </c>
      <c r="IE101" s="99"/>
      <c r="IF101" s="97">
        <f t="shared" si="27"/>
        <v>3</v>
      </c>
      <c r="IG101" s="97">
        <f t="shared" si="28"/>
        <v>3</v>
      </c>
      <c r="IH101" s="90">
        <f t="shared" si="29"/>
        <v>6</v>
      </c>
      <c r="II101" s="99"/>
      <c r="IJ101" s="97">
        <f t="shared" si="30"/>
        <v>1</v>
      </c>
      <c r="IK101" s="97">
        <f t="shared" si="31"/>
        <v>5</v>
      </c>
      <c r="IL101" s="90">
        <f t="shared" si="32"/>
        <v>6</v>
      </c>
      <c r="IM101" s="99"/>
      <c r="IN101" s="97">
        <f t="shared" si="33"/>
        <v>1</v>
      </c>
      <c r="IO101" s="97">
        <f t="shared" si="34"/>
        <v>1</v>
      </c>
      <c r="IP101" s="90">
        <f t="shared" si="35"/>
        <v>2</v>
      </c>
      <c r="IQ101" s="99"/>
      <c r="IR101" s="99"/>
      <c r="IS101" s="100">
        <f t="shared" si="36"/>
        <v>14</v>
      </c>
      <c r="IT101" s="100">
        <f t="shared" si="37"/>
        <v>14</v>
      </c>
      <c r="IU101" s="100">
        <f t="shared" si="38"/>
        <v>13</v>
      </c>
      <c r="IV101" s="100">
        <f t="shared" si="39"/>
        <v>9</v>
      </c>
      <c r="IW101" s="100">
        <f t="shared" si="40"/>
        <v>12</v>
      </c>
      <c r="IX101" s="100">
        <f t="shared" si="41"/>
        <v>5</v>
      </c>
      <c r="IY101" s="100">
        <f t="shared" si="42"/>
        <v>16</v>
      </c>
      <c r="IZ101" s="100">
        <f t="shared" si="43"/>
        <v>6</v>
      </c>
      <c r="JA101" s="100">
        <f t="shared" si="44"/>
        <v>6</v>
      </c>
      <c r="JB101" s="101">
        <f t="shared" si="45"/>
        <v>2</v>
      </c>
      <c r="JC101" s="102">
        <f t="shared" si="46"/>
        <v>97</v>
      </c>
      <c r="JD101" s="67">
        <f t="shared" si="50"/>
        <v>0</v>
      </c>
      <c r="JE101" s="67">
        <f t="shared" si="47"/>
        <v>1</v>
      </c>
      <c r="JF101" s="67">
        <f t="shared" si="48"/>
        <v>1</v>
      </c>
    </row>
    <row r="102">
      <c r="A102" s="103">
        <f>IFERROR(__xludf.DUMMYFUNCTION("""COMPUTED_VALUE"""),45948.85261412037)</f>
        <v>45948.85261</v>
      </c>
      <c r="B102" s="95" t="str">
        <f>IFERROR(__xludf.DUMMYFUNCTION("""COMPUTED_VALUE"""),"Rizkia Aulia Az zahra ")</f>
        <v>Rizkia Aulia Az zahra </v>
      </c>
      <c r="C102" s="96" t="str">
        <f>IFERROR(__xludf.DUMMYFUNCTION("""COMPUTED_VALUE"""),"D250013")</f>
        <v>D250013</v>
      </c>
      <c r="D102" s="96" t="str">
        <f>IFERROR(__xludf.DUMMYFUNCTION("""COMPUTED_VALUE"""),"MTs Putri")</f>
        <v>MTs Putri</v>
      </c>
      <c r="E102" s="96" t="str">
        <f>IFERROR(__xludf.DUMMYFUNCTION("""COMPUTED_VALUE"""),"Ya")</f>
        <v>Ya</v>
      </c>
      <c r="F102" s="95" t="str">
        <f>IFERROR(__xludf.DUMMYFUNCTION("""COMPUTED_VALUE"""),"B Saya ingin melakukan apa saja sebaik mungkin.")</f>
        <v>B Saya ingin melakukan apa saja sebaik mungkin.</v>
      </c>
      <c r="G102" s="95" t="str">
        <f>IFERROR(__xludf.DUMMYFUNCTION("""COMPUTED_VALUE"""),"A Saya ingin setiap tulisan saya teliti, rapi, dan tersusun dengan baik.")</f>
        <v>A Saya ingin setiap tulisan saya teliti, rapi, dan tersusun dengan baik.</v>
      </c>
      <c r="H102" s="95" t="str">
        <f>IFERROR(__xludf.DUMMYFUNCTION("""COMPUTED_VALUE"""),"A Saya ingin berbuat sesuai kata hati saya.")</f>
        <v>A Saya ingin berbuat sesuai kata hati saya.</v>
      </c>
      <c r="I102" s="95" t="str">
        <f>IFERROR(__xludf.DUMMYFUNCTION("""COMPUTED_VALUE"""),"B Saya ingin bisa melakukan dengan baik meskipun tugas yang sulit.")</f>
        <v>B Saya ingin bisa melakukan dengan baik meskipun tugas yang sulit.</v>
      </c>
      <c r="J102" s="95" t="str">
        <f>IFERROR(__xludf.DUMMYFUNCTION("""COMPUTED_VALUE"""),"A Saya suka membantu teman-teman saya apabila mereka mengalami kesulitan.")</f>
        <v>A Saya suka membantu teman-teman saya apabila mereka mengalami kesulitan.</v>
      </c>
      <c r="K102" s="95" t="str">
        <f>IFERROR(__xludf.DUMMYFUNCTION("""COMPUTED_VALUE"""),"B Saya ingin mengatakan telah melakukan dengan baik sesuatu tugas yang sulit.")</f>
        <v>B Saya ingin mengatakan telah melakukan dengan baik sesuatu tugas yang sulit.</v>
      </c>
      <c r="L102" s="95" t="str">
        <f>IFERROR(__xludf.DUMMYFUNCTION("""COMPUTED_VALUE"""),"A Saya ingin menjadi pemimpin dalam suatu kelompok")</f>
        <v>A Saya ingin menjadi pemimpin dalam suatu kelompok</v>
      </c>
      <c r="M102" s="95" t="str">
        <f>IFERROR(__xludf.DUMMYFUNCTION("""COMPUTED_VALUE"""),"A Saya suka berbicara tentang hal-hal yang telah berhasil saya lakukan.")</f>
        <v>A Saya suka berbicara tentang hal-hal yang telah berhasil saya lakukan.</v>
      </c>
      <c r="N102" s="95" t="str">
        <f>IFERROR(__xludf.DUMMYFUNCTION("""COMPUTED_VALUE"""),"B Saya suka memecahkan persoalan yang sukar bagi orang lain.")</f>
        <v>B Saya suka memecahkan persoalan yang sukar bagi orang lain.</v>
      </c>
      <c r="O102" s="95" t="str">
        <f>IFERROR(__xludf.DUMMYFUNCTION("""COMPUTED_VALUE"""),"B Saya suka melakukan tugas sebaik mungkin.")</f>
        <v>B Saya suka melakukan tugas sebaik mungkin.</v>
      </c>
      <c r="P102" s="95" t="str">
        <f>IFERROR(__xludf.DUMMYFUNCTION("""COMPUTED_VALUE"""),"B Saya ingin setiap belajar itu teratur dan direncanakan.")</f>
        <v>B Saya ingin setiap belajar itu teratur dan direncanakan.</v>
      </c>
      <c r="Q102" s="95" t="str">
        <f>IFERROR(__xludf.DUMMYFUNCTION("""COMPUTED_VALUE"""),"B Saya merencanakan keperluan yang dibutuhkan sebelum bepergian.")</f>
        <v>B Saya merencanakan keperluan yang dibutuhkan sebelum bepergian.</v>
      </c>
      <c r="R102" s="95" t="str">
        <f>IFERROR(__xludf.DUMMYFUNCTION("""COMPUTED_VALUE"""),"B Saya suka barang-barang saya tersusun rapi dan teratur.")</f>
        <v>B Saya suka barang-barang saya tersusun rapi dan teratur.</v>
      </c>
      <c r="S102" s="95" t="str">
        <f>IFERROR(__xludf.DUMMYFUNCTION("""COMPUTED_VALUE"""),"B Saya suka membuat perencanaan sebelum memulai tugas yang sulit.")</f>
        <v>B Saya suka membuat perencanaan sebelum memulai tugas yang sulit.</v>
      </c>
      <c r="T102" s="95" t="str">
        <f>IFERROR(__xludf.DUMMYFUNCTION("""COMPUTED_VALUE"""),"A Saya ingin menjadi salah seorang pemimpin dalam kelompok yang saya kenal.")</f>
        <v>A Saya ingin menjadi salah seorang pemimpin dalam kelompok yang saya kenal.</v>
      </c>
      <c r="U102" s="95" t="str">
        <f>IFERROR(__xludf.DUMMYFUNCTION("""COMPUTED_VALUE"""),"A Saya suka memberikan bantuan kepada teman-teman saya.")</f>
        <v>A Saya suka memberikan bantuan kepada teman-teman saya.</v>
      </c>
      <c r="V102" s="95" t="str">
        <f>IFERROR(__xludf.DUMMYFUNCTION("""COMPUTED_VALUE"""),"B Saya suka belajar saya teratur dan ada waktu-waktu tertentu untuk belajar.")</f>
        <v>B Saya suka belajar saya teratur dan ada waktu-waktu tertentu untuk belajar.</v>
      </c>
      <c r="W102" s="95" t="str">
        <f>IFERROR(__xludf.DUMMYFUNCTION("""COMPUTED_VALUE"""),"B Saya ingin kegiatan itu teratur dan direncanakan.")</f>
        <v>B Saya ingin kegiatan itu teratur dan direncanakan.</v>
      </c>
      <c r="X102" s="95" t="str">
        <f>IFERROR(__xludf.DUMMYFUNCTION("""COMPUTED_VALUE"""),"A Saya suka merencanakan dan mengatur setiap apa yang harus saya lakukan.")</f>
        <v>A Saya suka merencanakan dan mengatur setiap apa yang harus saya lakukan.</v>
      </c>
      <c r="Y102" s="95" t="str">
        <f>IFERROR(__xludf.DUMMYFUNCTION("""COMPUTED_VALUE"""),"B Saya senang merencanakan untuk masa depan.")</f>
        <v>B Saya senang merencanakan untuk masa depan.</v>
      </c>
      <c r="Z102" s="95" t="str">
        <f>IFERROR(__xludf.DUMMYFUNCTION("""COMPUTED_VALUE"""),"B Saya ingin merasa bebas untuk melakukan apa yang saya inginkan.")</f>
        <v>B Saya ingin merasa bebas untuk melakukan apa yang saya inginkan.</v>
      </c>
      <c r="AA102" s="95" t="str">
        <f>IFERROR(__xludf.DUMMYFUNCTION("""COMPUTED_VALUE"""),"B Saya tidak suka pada orang yang berbuat seenaknya sendiri.")</f>
        <v>B Saya tidak suka pada orang yang berbuat seenaknya sendiri.</v>
      </c>
      <c r="AB102" s="95" t="str">
        <f>IFERROR(__xludf.DUMMYFUNCTION("""COMPUTED_VALUE"""),"B Saya ingin menyelesaikan pekerjaan satu persatu sebelum memulai yang lain.")</f>
        <v>B Saya ingin menyelesaikan pekerjaan satu persatu sebelum memulai yang lain.</v>
      </c>
      <c r="AC102" s="95" t="str">
        <f>IFERROR(__xludf.DUMMYFUNCTION("""COMPUTED_VALUE"""),"A Saya suka menyelesaikan setiap tugas meskipun membutuhkan waktu lama.")</f>
        <v>A Saya suka menyelesaikan setiap tugas meskipun membutuhkan waktu lama.</v>
      </c>
      <c r="AD102" s="95" t="str">
        <f>IFERROR(__xludf.DUMMYFUNCTION("""COMPUTED_VALUE"""),"A Saya suka bermurah hati terhadap teman-teman saya.")</f>
        <v>A Saya suka bermurah hati terhadap teman-teman saya.</v>
      </c>
      <c r="AE102" s="95" t="str">
        <f>IFERROR(__xludf.DUMMYFUNCTION("""COMPUTED_VALUE"""),"A Saya ingin dianggap sebagai pemimpin oleh teman di kelompok.")</f>
        <v>A Saya ingin dianggap sebagai pemimpin oleh teman di kelompok.</v>
      </c>
      <c r="AF102" s="95" t="str">
        <f>IFERROR(__xludf.DUMMYFUNCTION("""COMPUTED_VALUE"""),"B Saya suka melakukan hal-hal dengan cara saya sendiri.")</f>
        <v>B Saya suka melakukan hal-hal dengan cara saya sendiri.</v>
      </c>
      <c r="AG102" s="95" t="str">
        <f>IFERROR(__xludf.DUMMYFUNCTION("""COMPUTED_VALUE"""),"B Saya ingin berhasil dengan tugas yang saya lakukan.")</f>
        <v>B Saya ingin berhasil dengan tugas yang saya lakukan.</v>
      </c>
      <c r="AH102" s="95" t="str">
        <f>IFERROR(__xludf.DUMMYFUNCTION("""COMPUTED_VALUE"""),"A Saya suka membaca buku-buku tentang pergaulan remaja.")</f>
        <v>A Saya suka membaca buku-buku tentang pergaulan remaja.</v>
      </c>
      <c r="AI102" s="95" t="str">
        <f>IFERROR(__xludf.DUMMYFUNCTION("""COMPUTED_VALUE"""),"B Saya suka melakukan kegiatan sesuai kondisi yang saya inginkan.")</f>
        <v>B Saya suka melakukan kegiatan sesuai kondisi yang saya inginkan.</v>
      </c>
      <c r="AJ102" s="95" t="str">
        <f>IFERROR(__xludf.DUMMYFUNCTION("""COMPUTED_VALUE"""),"B Saya suka bertahan menghadapi satu masalah meskipun belum tentu berhasil.")</f>
        <v>B Saya suka bertahan menghadapi satu masalah meskipun belum tentu berhasil.</v>
      </c>
      <c r="AK102" s="95" t="str">
        <f>IFERROR(__xludf.DUMMYFUNCTION("""COMPUTED_VALUE"""),"B Bila saya harus melakukan suatu tugas, saya ingin mengerjakan sampai selesai.")</f>
        <v>B Bila saya harus melakukan suatu tugas, saya ingin mengerjakan sampai selesai.</v>
      </c>
      <c r="AL102" s="95" t="str">
        <f>IFERROR(__xludf.DUMMYFUNCTION("""COMPUTED_VALUE"""),"B Saya ingin menghindarkan gangguan bila saya sedang belajar.")</f>
        <v>B Saya ingin menghindarkan gangguan bila saya sedang belajar.</v>
      </c>
      <c r="AM102" s="95" t="str">
        <f>IFERROR(__xludf.DUMMYFUNCTION("""COMPUTED_VALUE"""),"B Saya suka belajar sampai malam untuk menyelesaikan suatu tugas.")</f>
        <v>B Saya suka belajar sampai malam untuk menyelesaikan suatu tugas.</v>
      </c>
      <c r="AN102" s="95" t="str">
        <f>IFERROR(__xludf.DUMMYFUNCTION("""COMPUTED_VALUE"""),"A Saya tidak suka pada orang yang semena-mena.")</f>
        <v>A Saya tidak suka pada orang yang semena-mena.</v>
      </c>
      <c r="AO102" s="95" t="str">
        <f>IFERROR(__xludf.DUMMYFUNCTION("""COMPUTED_VALUE"""),"A Saya suka berlaku sangat ramah terhadap teman-teman saya.")</f>
        <v>A Saya suka berlaku sangat ramah terhadap teman-teman saya.</v>
      </c>
      <c r="AP102" s="95" t="str">
        <f>IFERROR(__xludf.DUMMYFUNCTION("""COMPUTED_VALUE"""),"B Saya suka bertahan menghadapi satu masalah meskipun belum tentu berhasil.")</f>
        <v>B Saya suka bertahan menghadapi satu masalah meskipun belum tentu berhasil.</v>
      </c>
      <c r="AQ102" s="95" t="str">
        <f>IFERROR(__xludf.DUMMYFUNCTION("""COMPUTED_VALUE"""),"B Bila saya harus melakukan suatu tugas, saya ingin mengerjakan sampai selesai.")</f>
        <v>B Bila saya harus melakukan suatu tugas, saya ingin mengerjakan sampai selesai.</v>
      </c>
      <c r="AR102" s="95" t="str">
        <f>IFERROR(__xludf.DUMMYFUNCTION("""COMPUTED_VALUE"""),"A Saya suka menyimpan catatan secara rapi.")</f>
        <v>A Saya suka menyimpan catatan secara rapi.</v>
      </c>
      <c r="AS102" s="95" t="str">
        <f>IFERROR(__xludf.DUMMYFUNCTION("""COMPUTED_VALUE"""),"A Saya ingin dapat menyelesaikan persoalan yang dianggap sukar bagi orang lain.")</f>
        <v>A Saya ingin dapat menyelesaikan persoalan yang dianggap sukar bagi orang lain.</v>
      </c>
      <c r="AT102" s="95" t="str">
        <f>IFERROR(__xludf.DUMMYFUNCTION("""COMPUTED_VALUE"""),"B Saya suka membantu orang lain yang menurut saya perlu dikasihani.")</f>
        <v>B Saya suka membantu orang lain yang menurut saya perlu dikasihani.</v>
      </c>
      <c r="AU102" s="95" t="str">
        <f>IFERROR(__xludf.DUMMYFUNCTION("""COMPUTED_VALUE"""),"B Saya suka bermurah hati terhadap teman-teman saya.")</f>
        <v>B Saya suka bermurah hati terhadap teman-teman saya.</v>
      </c>
      <c r="AV102" s="95" t="str">
        <f>IFERROR(__xludf.DUMMYFUNCTION("""COMPUTED_VALUE"""),"B Saya suka menolong teman-teman saya.")</f>
        <v>B Saya suka menolong teman-teman saya.</v>
      </c>
      <c r="AW102" s="95" t="str">
        <f>IFERROR(__xludf.DUMMYFUNCTION("""COMPUTED_VALUE"""),"B Saya ingin teman-teman saya percaya bahwa saya bisa menolong mereka.")</f>
        <v>B Saya ingin teman-teman saya percaya bahwa saya bisa menolong mereka.</v>
      </c>
      <c r="AX102" s="95" t="str">
        <f>IFERROR(__xludf.DUMMYFUNCTION("""COMPUTED_VALUE"""),"B Saya suka memaafkan teman-teman saya yang menyakiti hati saya.")</f>
        <v>B Saya suka memaafkan teman-teman saya yang menyakiti hati saya.</v>
      </c>
      <c r="AY102" s="95" t="str">
        <f>IFERROR(__xludf.DUMMYFUNCTION("""COMPUTED_VALUE"""),"B Saya suka menolong teman-teman saya apabila mereka dalam kesulitan.")</f>
        <v>B Saya suka menolong teman-teman saya apabila mereka dalam kesulitan.</v>
      </c>
      <c r="AZ102" s="95" t="str">
        <f>IFERROR(__xludf.DUMMYFUNCTION("""COMPUTED_VALUE"""),"B Saya suka menunjukkan simpati saya kepada teman-teman saya.")</f>
        <v>B Saya suka menunjukkan simpati saya kepada teman-teman saya.</v>
      </c>
      <c r="BA102" s="95" t="str">
        <f>IFERROR(__xludf.DUMMYFUNCTION("""COMPUTED_VALUE"""),"B Saya suka memperlakukan orang lain dengan baik dan ramah.")</f>
        <v>B Saya suka memperlakukan orang lain dengan baik dan ramah.</v>
      </c>
      <c r="BB102" s="95" t="str">
        <f>IFERROR(__xludf.DUMMYFUNCTION("""COMPUTED_VALUE"""),"A Saya berkeinginan untuk bersama orang yang menarik bagi saya.")</f>
        <v>A Saya berkeinginan untuk bersama orang yang menarik bagi saya.</v>
      </c>
      <c r="BC102" s="95" t="str">
        <f>IFERROR(__xludf.DUMMYFUNCTION("""COMPUTED_VALUE"""),"B Saya suka membantu orang lain yang menurut saya perlu dikasihani.")</f>
        <v>B Saya suka membantu orang lain yang menurut saya perlu dikasihani.</v>
      </c>
      <c r="BD102" s="95" t="str">
        <f>IFERROR(__xludf.DUMMYFUNCTION("""COMPUTED_VALUE"""),"B Saya suka bersikukuh dengan pendirian saya.")</f>
        <v>B Saya suka bersikukuh dengan pendirian saya.</v>
      </c>
      <c r="BE102" s="95" t="str">
        <f>IFERROR(__xludf.DUMMYFUNCTION("""COMPUTED_VALUE"""),"A Saya suka mendengarkan atau menceritakan hal-hal yang sebaiknya tidak diceritakan.")</f>
        <v>A Saya suka mendengarkan atau menceritakan hal-hal yang sebaiknya tidak diceritakan.</v>
      </c>
      <c r="BF102" s="95" t="str">
        <f>IFERROR(__xludf.DUMMYFUNCTION("""COMPUTED_VALUE"""),"A Saya ingin orang lain memperhatikan dan berkomentar tentang penampilan saya.")</f>
        <v>A Saya ingin orang lain memperhatikan dan berkomentar tentang penampilan saya.</v>
      </c>
      <c r="BG102" s="95" t="str">
        <f>IFERROR(__xludf.DUMMYFUNCTION("""COMPUTED_VALUE"""),"A Saya ingin teman-teman banyak menunjukkan rasa sayang mereka terhadap saya.")</f>
        <v>A Saya ingin teman-teman banyak menunjukkan rasa sayang mereka terhadap saya.</v>
      </c>
      <c r="BH102" s="95" t="str">
        <f>IFERROR(__xludf.DUMMYFUNCTION("""COMPUTED_VALUE"""),"B Apabila saya berkumpul dalam kelompok, saya ingin dihargai teman-teman.")</f>
        <v>B Apabila saya berkumpul dalam kelompok, saya ingin dihargai teman-teman.</v>
      </c>
      <c r="BI102" s="95" t="str">
        <f>IFERROR(__xludf.DUMMYFUNCTION("""COMPUTED_VALUE"""),"A Saya suka bermurah hati terhadap teman-teman saya.")</f>
        <v>A Saya suka bermurah hati terhadap teman-teman saya.</v>
      </c>
      <c r="BJ102" s="95" t="str">
        <f>IFERROR(__xludf.DUMMYFUNCTION("""COMPUTED_VALUE"""),"A Saya ingin mengerjakan tugas sampai selesai.")</f>
        <v>A Saya ingin mengerjakan tugas sampai selesai.</v>
      </c>
      <c r="BK102" s="95" t="str">
        <f>IFERROR(__xludf.DUMMYFUNCTION("""COMPUTED_VALUE"""),"A Saya ingin menyelesaikan pekerjaan satu persatu sebelum memulai yang lain.")</f>
        <v>A Saya ingin menyelesaikan pekerjaan satu persatu sebelum memulai yang lain.</v>
      </c>
      <c r="BL102" s="95" t="str">
        <f>IFERROR(__xludf.DUMMYFUNCTION("""COMPUTED_VALUE"""),"A Saya suka belajar saya teratur dan ada waktu-waktu tertentu untuk belajar.")</f>
        <v>A Saya suka belajar saya teratur dan ada waktu-waktu tertentu untuk belajar.</v>
      </c>
      <c r="BM102" s="95" t="str">
        <f>IFERROR(__xludf.DUMMYFUNCTION("""COMPUTED_VALUE"""),"A Saya suka melakukan pekerjaan sebaik mungkin.")</f>
        <v>A Saya suka melakukan pekerjaan sebaik mungkin.</v>
      </c>
      <c r="BN102" s="95" t="str">
        <f>IFERROR(__xludf.DUMMYFUNCTION("""COMPUTED_VALUE"""),"B Saya ingin teman-teman memberi dorongan bila saya menghadapi kegagalan.")</f>
        <v>B Saya ingin teman-teman memberi dorongan bila saya menghadapi kegagalan.</v>
      </c>
      <c r="BO102" s="95" t="str">
        <f>IFERROR(__xludf.DUMMYFUNCTION("""COMPUTED_VALUE"""),"B Saya ingin diperlakukan dengan baik oleh teman-teman saya.")</f>
        <v>B Saya ingin diperlakukan dengan baik oleh teman-teman saya.</v>
      </c>
      <c r="BP102" s="95" t="str">
        <f>IFERROR(__xludf.DUMMYFUNCTION("""COMPUTED_VALUE"""),"A Saya ingin menyelesaikan sesuatu yang sangat penting artinya.")</f>
        <v>A Saya ingin menyelesaikan sesuatu yang sangat penting artinya.</v>
      </c>
      <c r="BQ102" s="95" t="str">
        <f>IFERROR(__xludf.DUMMYFUNCTION("""COMPUTED_VALUE"""),"A Saya ingin mengerjakannya tugas sampai selesai.")</f>
        <v>A Saya ingin mengerjakannya tugas sampai selesai.</v>
      </c>
      <c r="BR102" s="95" t="str">
        <f>IFERROR(__xludf.DUMMYFUNCTION("""COMPUTED_VALUE"""),"A Saya suka memaafkan teman-teman saya yang menyakiti hati saya.")</f>
        <v>A Saya suka memaafkan teman-teman saya yang menyakiti hati saya.</v>
      </c>
      <c r="BS102" s="95" t="str">
        <f>IFERROR(__xludf.DUMMYFUNCTION("""COMPUTED_VALUE"""),"B Saya ingin teman-teman saya membantu saya bila saya mengalami kesulitan")</f>
        <v>B Saya ingin teman-teman saya membantu saya bila saya mengalami kesulitan</v>
      </c>
      <c r="BT102" s="95" t="str">
        <f>IFERROR(__xludf.DUMMYFUNCTION("""COMPUTED_VALUE"""),"B Saya ingin teman-teman banyak menunjukkan rasa sayang mereka terhadap saya.")</f>
        <v>B Saya ingin teman-teman banyak menunjukkan rasa sayang mereka terhadap saya.</v>
      </c>
      <c r="BU102" s="95" t="str">
        <f>IFERROR(__xludf.DUMMYFUNCTION("""COMPUTED_VALUE"""),"A Saya kadang-kadang suka melakukan hal-hal yang dapat dipuji oleh orang lain.")</f>
        <v>A Saya kadang-kadang suka melakukan hal-hal yang dapat dipuji oleh orang lain.</v>
      </c>
      <c r="BV102" s="95" t="str">
        <f>IFERROR(__xludf.DUMMYFUNCTION("""COMPUTED_VALUE"""),"B Saya ingin teman-teman dengan gembira memberikan pertolongan kepada saya.")</f>
        <v>B Saya ingin teman-teman dengan gembira memberikan pertolongan kepada saya.</v>
      </c>
      <c r="BW102" s="95" t="str">
        <f>IFERROR(__xludf.DUMMYFUNCTION("""COMPUTED_VALUE"""),"B Saya ingin diperlakukan dengan baik oleh teman-teman saya.")</f>
        <v>B Saya ingin diperlakukan dengan baik oleh teman-teman saya.</v>
      </c>
      <c r="BX102" s="95" t="str">
        <f>IFERROR(__xludf.DUMMYFUNCTION("""COMPUTED_VALUE"""),"B Saya kadang-kadang suka melakukan hal-hal yang dapat dipuji oleh orang lain.")</f>
        <v>B Saya kadang-kadang suka melakukan hal-hal yang dapat dipuji oleh orang lain.</v>
      </c>
      <c r="BY102" s="95" t="str">
        <f>IFERROR(__xludf.DUMMYFUNCTION("""COMPUTED_VALUE"""),"B Saya ingin orang lain memperhatikan dan berkomentar tentang penampilan saya.")</f>
        <v>B Saya ingin orang lain memperhatikan dan berkomentar tentang penampilan saya.</v>
      </c>
      <c r="BZ102" s="95" t="str">
        <f>IFERROR(__xludf.DUMMYFUNCTION("""COMPUTED_VALUE"""),"B Saya suka diperhatikan, apabila saya ada di dalam suatu kelompok.")</f>
        <v>B Saya suka diperhatikan, apabila saya ada di dalam suatu kelompok.</v>
      </c>
      <c r="CA102" s="95" t="str">
        <f>IFERROR(__xludf.DUMMYFUNCTION("""COMPUTED_VALUE"""),"A Saya ingin teman-teman dengan gembira memberikan pertolongan kepada saya.")</f>
        <v>A Saya ingin teman-teman dengan gembira memberikan pertolongan kepada saya.</v>
      </c>
      <c r="CB102" s="95" t="str">
        <f>IFERROR(__xludf.DUMMYFUNCTION("""COMPUTED_VALUE"""),"B Saya suka berbicara tentang hal-hal yang telah saya capai.")</f>
        <v>B Saya suka berbicara tentang hal-hal yang telah saya capai.</v>
      </c>
      <c r="CC102" s="95" t="str">
        <f>IFERROR(__xludf.DUMMYFUNCTION("""COMPUTED_VALUE"""),"A Apabila saya berkumpul dalam kelompok, saya ingin dihargai teman-teman.")</f>
        <v>A Apabila saya berkumpul dalam kelompok, saya ingin dihargai teman-teman.</v>
      </c>
      <c r="CD102" s="95" t="str">
        <f>IFERROR(__xludf.DUMMYFUNCTION("""COMPUTED_VALUE"""),"A Saya suka menyelesaikan setiap tugas meskipun membutuhkan waktu lama.")</f>
        <v>A Saya suka menyelesaikan setiap tugas meskipun membutuhkan waktu lama.</v>
      </c>
      <c r="CE102" s="95" t="str">
        <f>IFERROR(__xludf.DUMMYFUNCTION("""COMPUTED_VALUE"""),"A Saya suka menyelesaikan setiap tugas belajar yang telah saya mulai.")</f>
        <v>A Saya suka menyelesaikan setiap tugas belajar yang telah saya mulai.</v>
      </c>
      <c r="CF102" s="95" t="str">
        <f>IFERROR(__xludf.DUMMYFUNCTION("""COMPUTED_VALUE"""),"A Saya ingin agar hidup saya teratur sesuai cita-cita saya.")</f>
        <v>A Saya ingin agar hidup saya teratur sesuai cita-cita saya.</v>
      </c>
      <c r="CG102" s="95" t="str">
        <f>IFERROR(__xludf.DUMMYFUNCTION("""COMPUTED_VALUE"""),"A Saya ingin berhasil dalam apa yang saya lakukan.")</f>
        <v>A Saya ingin berhasil dalam apa yang saya lakukan.</v>
      </c>
      <c r="CH102" s="95" t="str">
        <f>IFERROR(__xludf.DUMMYFUNCTION("""COMPUTED_VALUE"""),"A Saya ingin bisa melakukan dengan baik sesuatu pekerjaan sulit.")</f>
        <v>A Saya ingin bisa melakukan dengan baik sesuatu pekerjaan sulit.</v>
      </c>
      <c r="CI102" s="95" t="str">
        <f>IFERROR(__xludf.DUMMYFUNCTION("""COMPUTED_VALUE"""),"A Saya suka belajar saya teratur dan ada waktu-waktu tertentu untuk belajar.")</f>
        <v>A Saya suka belajar saya teratur dan ada waktu-waktu tertentu untuk belajar.</v>
      </c>
      <c r="CJ102" s="95" t="str">
        <f>IFERROR(__xludf.DUMMYFUNCTION("""COMPUTED_VALUE"""),"A Saya ingin tidak tergantung dari orang lain terhadap apa yang akan saya lakukan.")</f>
        <v>A Saya ingin tidak tergantung dari orang lain terhadap apa yang akan saya lakukan.</v>
      </c>
      <c r="CK102" s="95" t="str">
        <f>IFERROR(__xludf.DUMMYFUNCTION("""COMPUTED_VALUE"""),"B Saya senang ikut beraktivitas bersama teman sebaya saya.")</f>
        <v>B Saya senang ikut beraktivitas bersama teman sebaya saya.</v>
      </c>
      <c r="CL102" s="95" t="str">
        <f>IFERROR(__xludf.DUMMYFUNCTION("""COMPUTED_VALUE"""),"B Saya berkeinginan untuk bersama teman yang menurut saya menarik.")</f>
        <v>B Saya berkeinginan untuk bersama teman yang menurut saya menarik.</v>
      </c>
      <c r="CM102" s="95" t="str">
        <f>IFERROR(__xludf.DUMMYFUNCTION("""COMPUTED_VALUE"""),"B Saya merasa kagum pada seseorang.")</f>
        <v>B Saya merasa kagum pada seseorang.</v>
      </c>
      <c r="CN102" s="95" t="str">
        <f>IFERROR(__xludf.DUMMYFUNCTION("""COMPUTED_VALUE"""),"A Saya ingin diperlakukan dengan baik oleh teman-teman saya.")</f>
        <v>A Saya ingin diperlakukan dengan baik oleh teman-teman saya.</v>
      </c>
      <c r="CO102" s="95" t="str">
        <f>IFERROR(__xludf.DUMMYFUNCTION("""COMPUTED_VALUE"""),"B Saya suka memuji orang yang saya kagumi.")</f>
        <v>B Saya suka memuji orang yang saya kagumi.</v>
      </c>
      <c r="CP102" s="95" t="str">
        <f>IFERROR(__xludf.DUMMYFUNCTION("""COMPUTED_VALUE"""),"B Saya ingin dianggap menarik oleh orang lain.")</f>
        <v>B Saya ingin dianggap menarik oleh orang lain.</v>
      </c>
      <c r="CQ102" s="95" t="str">
        <f>IFERROR(__xludf.DUMMYFUNCTION("""COMPUTED_VALUE"""),"B Saya merasa kagum pada seseorang.")</f>
        <v>B Saya merasa kagum pada seseorang.</v>
      </c>
      <c r="CR102" s="95" t="str">
        <f>IFERROR(__xludf.DUMMYFUNCTION("""COMPUTED_VALUE"""),"B Saya rasanya ingin mengecam seseorang bila orang itu menjengkelkan.")</f>
        <v>B Saya rasanya ingin mengecam seseorang bila orang itu menjengkelkan.</v>
      </c>
      <c r="CS102" s="95" t="str">
        <f>IFERROR(__xludf.DUMMYFUNCTION("""COMPUTED_VALUE"""),"A Saya ingin terlihat menarik di depan teman-teman saya.")</f>
        <v>A Saya ingin terlihat menarik di depan teman-teman saya.</v>
      </c>
      <c r="CT102" s="95" t="str">
        <f>IFERROR(__xludf.DUMMYFUNCTION("""COMPUTED_VALUE"""),"A Saya ingin orang-orang memperhatikan komentar mengenai penampilan saya.")</f>
        <v>A Saya ingin orang-orang memperhatikan komentar mengenai penampilan saya.</v>
      </c>
      <c r="CU102" s="95" t="str">
        <f>IFERROR(__xludf.DUMMYFUNCTION("""COMPUTED_VALUE"""),"A Saya ingin diperlakukan dengan ramah oleh teman-teman saya.")</f>
        <v>A Saya ingin diperlakukan dengan ramah oleh teman-teman saya.</v>
      </c>
      <c r="CV102" s="95" t="str">
        <f>IFERROR(__xludf.DUMMYFUNCTION("""COMPUTED_VALUE"""),"A Saya ingin ditunjuk atau dipilih sebagai ketua dalam suatu kelompok.")</f>
        <v>A Saya ingin ditunjuk atau dipilih sebagai ketua dalam suatu kelompok.</v>
      </c>
      <c r="CW102" s="95" t="str">
        <f>IFERROR(__xludf.DUMMYFUNCTION("""COMPUTED_VALUE"""),"A Saya suka menolong teman-teman saya, apabila mereka dalam kesulitan.")</f>
        <v>A Saya suka menolong teman-teman saya, apabila mereka dalam kesulitan.</v>
      </c>
      <c r="CX102" s="95" t="str">
        <f>IFERROR(__xludf.DUMMYFUNCTION("""COMPUTED_VALUE"""),"A Saya suka belajar sampai malam untuk menyelesaikan suatu tugas.")</f>
        <v>A Saya suka belajar sampai malam untuk menyelesaikan suatu tugas.</v>
      </c>
      <c r="CY102" s="95" t="str">
        <f>IFERROR(__xludf.DUMMYFUNCTION("""COMPUTED_VALUE"""),"A Saya ingin tidak tergantung dari orang lain terhadap apa yang akan saya lakukan.")</f>
        <v>A Saya ingin tidak tergantung dari orang lain terhadap apa yang akan saya lakukan.</v>
      </c>
      <c r="CZ102" s="95" t="str">
        <f>IFERROR(__xludf.DUMMYFUNCTION("""COMPUTED_VALUE"""),"A Saya suka merencanakan dan mengatur setiap pekerjaan yang harus saya lakukan.")</f>
        <v>A Saya suka merencanakan dan mengatur setiap pekerjaan yang harus saya lakukan.</v>
      </c>
      <c r="DA102" s="95" t="str">
        <f>IFERROR(__xludf.DUMMYFUNCTION("""COMPUTED_VALUE"""),"A Saya ingin melakukan apa saja sebaik mungkin.")</f>
        <v>A Saya ingin melakukan apa saja sebaik mungkin.</v>
      </c>
      <c r="DB102" s="89" t="s">
        <v>23</v>
      </c>
      <c r="DC102" s="97" t="str">
        <f t="shared" ref="DC102:GX102" si="147">LEFT(F102,1)</f>
        <v>B</v>
      </c>
      <c r="DD102" s="97" t="str">
        <f t="shared" si="147"/>
        <v>A</v>
      </c>
      <c r="DE102" s="97" t="str">
        <f t="shared" si="147"/>
        <v>A</v>
      </c>
      <c r="DF102" s="97" t="str">
        <f t="shared" si="147"/>
        <v>B</v>
      </c>
      <c r="DG102" s="97" t="str">
        <f t="shared" si="147"/>
        <v>A</v>
      </c>
      <c r="DH102" s="97" t="str">
        <f t="shared" si="147"/>
        <v>B</v>
      </c>
      <c r="DI102" s="97" t="str">
        <f t="shared" si="147"/>
        <v>A</v>
      </c>
      <c r="DJ102" s="97" t="str">
        <f t="shared" si="147"/>
        <v>A</v>
      </c>
      <c r="DK102" s="97" t="str">
        <f t="shared" si="147"/>
        <v>B</v>
      </c>
      <c r="DL102" s="97" t="str">
        <f t="shared" si="147"/>
        <v>B</v>
      </c>
      <c r="DM102" s="97" t="str">
        <f t="shared" si="147"/>
        <v>B</v>
      </c>
      <c r="DN102" s="97" t="str">
        <f t="shared" si="147"/>
        <v>B</v>
      </c>
      <c r="DO102" s="97" t="str">
        <f t="shared" si="147"/>
        <v>B</v>
      </c>
      <c r="DP102" s="97" t="str">
        <f t="shared" si="147"/>
        <v>B</v>
      </c>
      <c r="DQ102" s="97" t="str">
        <f t="shared" si="147"/>
        <v>A</v>
      </c>
      <c r="DR102" s="97" t="str">
        <f t="shared" si="147"/>
        <v>A</v>
      </c>
      <c r="DS102" s="97" t="str">
        <f t="shared" si="147"/>
        <v>B</v>
      </c>
      <c r="DT102" s="97" t="str">
        <f t="shared" si="147"/>
        <v>B</v>
      </c>
      <c r="DU102" s="97" t="str">
        <f t="shared" si="147"/>
        <v>A</v>
      </c>
      <c r="DV102" s="97" t="str">
        <f t="shared" si="147"/>
        <v>B</v>
      </c>
      <c r="DW102" s="97" t="str">
        <f t="shared" si="147"/>
        <v>B</v>
      </c>
      <c r="DX102" s="97" t="str">
        <f t="shared" si="147"/>
        <v>B</v>
      </c>
      <c r="DY102" s="97" t="str">
        <f t="shared" si="147"/>
        <v>B</v>
      </c>
      <c r="DZ102" s="97" t="str">
        <f t="shared" si="147"/>
        <v>A</v>
      </c>
      <c r="EA102" s="97" t="str">
        <f t="shared" si="147"/>
        <v>A</v>
      </c>
      <c r="EB102" s="97" t="str">
        <f t="shared" si="147"/>
        <v>A</v>
      </c>
      <c r="EC102" s="97" t="str">
        <f t="shared" si="147"/>
        <v>B</v>
      </c>
      <c r="ED102" s="97" t="str">
        <f t="shared" si="147"/>
        <v>B</v>
      </c>
      <c r="EE102" s="97" t="str">
        <f t="shared" si="147"/>
        <v>A</v>
      </c>
      <c r="EF102" s="97" t="str">
        <f t="shared" si="147"/>
        <v>B</v>
      </c>
      <c r="EG102" s="97" t="str">
        <f t="shared" si="147"/>
        <v>B</v>
      </c>
      <c r="EH102" s="97" t="str">
        <f t="shared" si="147"/>
        <v>B</v>
      </c>
      <c r="EI102" s="97" t="str">
        <f t="shared" si="147"/>
        <v>B</v>
      </c>
      <c r="EJ102" s="97" t="str">
        <f t="shared" si="147"/>
        <v>B</v>
      </c>
      <c r="EK102" s="97" t="str">
        <f t="shared" si="147"/>
        <v>A</v>
      </c>
      <c r="EL102" s="97" t="str">
        <f t="shared" si="147"/>
        <v>A</v>
      </c>
      <c r="EM102" s="97" t="str">
        <f t="shared" si="147"/>
        <v>B</v>
      </c>
      <c r="EN102" s="97" t="str">
        <f t="shared" si="147"/>
        <v>B</v>
      </c>
      <c r="EO102" s="97" t="str">
        <f t="shared" si="147"/>
        <v>A</v>
      </c>
      <c r="EP102" s="97" t="str">
        <f t="shared" si="147"/>
        <v>A</v>
      </c>
      <c r="EQ102" s="97" t="str">
        <f t="shared" si="147"/>
        <v>B</v>
      </c>
      <c r="ER102" s="97" t="str">
        <f t="shared" si="147"/>
        <v>B</v>
      </c>
      <c r="ES102" s="97" t="str">
        <f t="shared" si="147"/>
        <v>B</v>
      </c>
      <c r="ET102" s="97" t="str">
        <f t="shared" si="147"/>
        <v>B</v>
      </c>
      <c r="EU102" s="97" t="str">
        <f t="shared" si="147"/>
        <v>B</v>
      </c>
      <c r="EV102" s="97" t="str">
        <f t="shared" si="147"/>
        <v>B</v>
      </c>
      <c r="EW102" s="97" t="str">
        <f t="shared" si="147"/>
        <v>B</v>
      </c>
      <c r="EX102" s="97" t="str">
        <f t="shared" si="147"/>
        <v>B</v>
      </c>
      <c r="EY102" s="97" t="str">
        <f t="shared" si="147"/>
        <v>A</v>
      </c>
      <c r="EZ102" s="97" t="str">
        <f t="shared" si="147"/>
        <v>B</v>
      </c>
      <c r="FA102" s="97" t="str">
        <f t="shared" si="147"/>
        <v>B</v>
      </c>
      <c r="FB102" s="97" t="str">
        <f t="shared" si="147"/>
        <v>A</v>
      </c>
      <c r="FC102" s="97" t="str">
        <f t="shared" si="147"/>
        <v>A</v>
      </c>
      <c r="FD102" s="97" t="str">
        <f t="shared" si="147"/>
        <v>A</v>
      </c>
      <c r="FE102" s="97" t="str">
        <f t="shared" si="147"/>
        <v>B</v>
      </c>
      <c r="FF102" s="97" t="str">
        <f t="shared" si="147"/>
        <v>A</v>
      </c>
      <c r="FG102" s="97" t="str">
        <f t="shared" si="147"/>
        <v>A</v>
      </c>
      <c r="FH102" s="97" t="str">
        <f t="shared" si="147"/>
        <v>A</v>
      </c>
      <c r="FI102" s="97" t="str">
        <f t="shared" si="147"/>
        <v>A</v>
      </c>
      <c r="FJ102" s="97" t="str">
        <f t="shared" si="147"/>
        <v>A</v>
      </c>
      <c r="FK102" s="97" t="str">
        <f t="shared" si="147"/>
        <v>B</v>
      </c>
      <c r="FL102" s="97" t="str">
        <f t="shared" si="147"/>
        <v>B</v>
      </c>
      <c r="FM102" s="97" t="str">
        <f t="shared" si="147"/>
        <v>A</v>
      </c>
      <c r="FN102" s="97" t="str">
        <f t="shared" si="147"/>
        <v>A</v>
      </c>
      <c r="FO102" s="97" t="str">
        <f t="shared" si="147"/>
        <v>A</v>
      </c>
      <c r="FP102" s="97" t="str">
        <f t="shared" si="147"/>
        <v>B</v>
      </c>
      <c r="FQ102" s="97" t="str">
        <f t="shared" si="147"/>
        <v>B</v>
      </c>
      <c r="FR102" s="97" t="str">
        <f t="shared" si="147"/>
        <v>A</v>
      </c>
      <c r="FS102" s="97" t="str">
        <f t="shared" si="147"/>
        <v>B</v>
      </c>
      <c r="FT102" s="97" t="str">
        <f t="shared" si="147"/>
        <v>B</v>
      </c>
      <c r="FU102" s="97" t="str">
        <f t="shared" si="147"/>
        <v>B</v>
      </c>
      <c r="FV102" s="97" t="str">
        <f t="shared" si="147"/>
        <v>B</v>
      </c>
      <c r="FW102" s="97" t="str">
        <f t="shared" si="147"/>
        <v>B</v>
      </c>
      <c r="FX102" s="97" t="str">
        <f t="shared" si="147"/>
        <v>A</v>
      </c>
      <c r="FY102" s="97" t="str">
        <f t="shared" si="147"/>
        <v>B</v>
      </c>
      <c r="FZ102" s="97" t="str">
        <f t="shared" si="147"/>
        <v>A</v>
      </c>
      <c r="GA102" s="97" t="str">
        <f t="shared" si="147"/>
        <v>A</v>
      </c>
      <c r="GB102" s="97" t="str">
        <f t="shared" si="147"/>
        <v>A</v>
      </c>
      <c r="GC102" s="97" t="str">
        <f t="shared" si="147"/>
        <v>A</v>
      </c>
      <c r="GD102" s="97" t="str">
        <f t="shared" si="147"/>
        <v>A</v>
      </c>
      <c r="GE102" s="97" t="str">
        <f t="shared" si="147"/>
        <v>A</v>
      </c>
      <c r="GF102" s="97" t="str">
        <f t="shared" si="147"/>
        <v>A</v>
      </c>
      <c r="GG102" s="97" t="str">
        <f t="shared" si="147"/>
        <v>A</v>
      </c>
      <c r="GH102" s="97" t="str">
        <f t="shared" si="147"/>
        <v>B</v>
      </c>
      <c r="GI102" s="97" t="str">
        <f t="shared" si="147"/>
        <v>B</v>
      </c>
      <c r="GJ102" s="97" t="str">
        <f t="shared" si="147"/>
        <v>B</v>
      </c>
      <c r="GK102" s="97" t="str">
        <f t="shared" si="147"/>
        <v>A</v>
      </c>
      <c r="GL102" s="97" t="str">
        <f t="shared" si="147"/>
        <v>B</v>
      </c>
      <c r="GM102" s="97" t="str">
        <f t="shared" si="147"/>
        <v>B</v>
      </c>
      <c r="GN102" s="97" t="str">
        <f t="shared" si="147"/>
        <v>B</v>
      </c>
      <c r="GO102" s="97" t="str">
        <f t="shared" si="147"/>
        <v>B</v>
      </c>
      <c r="GP102" s="97" t="str">
        <f t="shared" si="147"/>
        <v>A</v>
      </c>
      <c r="GQ102" s="97" t="str">
        <f t="shared" si="147"/>
        <v>A</v>
      </c>
      <c r="GR102" s="97" t="str">
        <f t="shared" si="147"/>
        <v>A</v>
      </c>
      <c r="GS102" s="97" t="str">
        <f t="shared" si="147"/>
        <v>A</v>
      </c>
      <c r="GT102" s="97" t="str">
        <f t="shared" si="147"/>
        <v>A</v>
      </c>
      <c r="GU102" s="97" t="str">
        <f t="shared" si="147"/>
        <v>A</v>
      </c>
      <c r="GV102" s="97" t="str">
        <f t="shared" si="147"/>
        <v>A</v>
      </c>
      <c r="GW102" s="97" t="str">
        <f t="shared" si="147"/>
        <v>A</v>
      </c>
      <c r="GX102" s="97" t="str">
        <f t="shared" si="147"/>
        <v>A</v>
      </c>
      <c r="GY102" s="98"/>
      <c r="GZ102" s="97">
        <f t="shared" si="3"/>
        <v>48</v>
      </c>
      <c r="HA102" s="97">
        <f t="shared" si="4"/>
        <v>52</v>
      </c>
      <c r="HB102" s="90">
        <f t="shared" si="5"/>
        <v>100</v>
      </c>
      <c r="HC102" s="99"/>
      <c r="HD102" s="97">
        <f t="shared" si="6"/>
        <v>5</v>
      </c>
      <c r="HE102" s="97">
        <f t="shared" si="7"/>
        <v>4</v>
      </c>
      <c r="HF102" s="90">
        <f t="shared" si="8"/>
        <v>9</v>
      </c>
      <c r="HG102" s="99"/>
      <c r="HH102" s="97">
        <f t="shared" si="9"/>
        <v>6</v>
      </c>
      <c r="HI102" s="97">
        <f t="shared" si="10"/>
        <v>7</v>
      </c>
      <c r="HJ102" s="90">
        <f t="shared" si="11"/>
        <v>13</v>
      </c>
      <c r="HK102" s="99"/>
      <c r="HL102" s="97">
        <f t="shared" si="12"/>
        <v>6</v>
      </c>
      <c r="HM102" s="97">
        <f t="shared" si="13"/>
        <v>6</v>
      </c>
      <c r="HN102" s="90">
        <f t="shared" si="14"/>
        <v>12</v>
      </c>
      <c r="HO102" s="99"/>
      <c r="HP102" s="97">
        <f t="shared" si="15"/>
        <v>5</v>
      </c>
      <c r="HQ102" s="97">
        <f t="shared" si="16"/>
        <v>6</v>
      </c>
      <c r="HR102" s="90">
        <f t="shared" si="17"/>
        <v>11</v>
      </c>
      <c r="HS102" s="99"/>
      <c r="HT102" s="97">
        <f t="shared" si="18"/>
        <v>8</v>
      </c>
      <c r="HU102" s="97">
        <f t="shared" si="19"/>
        <v>9</v>
      </c>
      <c r="HV102" s="90">
        <f t="shared" si="20"/>
        <v>17</v>
      </c>
      <c r="HW102" s="99"/>
      <c r="HX102" s="97">
        <f t="shared" si="21"/>
        <v>4</v>
      </c>
      <c r="HY102" s="97">
        <f t="shared" si="22"/>
        <v>2</v>
      </c>
      <c r="HZ102" s="90">
        <f t="shared" si="23"/>
        <v>6</v>
      </c>
      <c r="IA102" s="99"/>
      <c r="IB102" s="97">
        <f t="shared" si="24"/>
        <v>5</v>
      </c>
      <c r="IC102" s="97">
        <f t="shared" si="25"/>
        <v>6</v>
      </c>
      <c r="ID102" s="90">
        <f t="shared" si="26"/>
        <v>11</v>
      </c>
      <c r="IE102" s="99"/>
      <c r="IF102" s="97">
        <f t="shared" si="27"/>
        <v>4</v>
      </c>
      <c r="IG102" s="97">
        <f t="shared" si="28"/>
        <v>4</v>
      </c>
      <c r="IH102" s="90">
        <f t="shared" si="29"/>
        <v>8</v>
      </c>
      <c r="II102" s="99"/>
      <c r="IJ102" s="97">
        <f t="shared" si="30"/>
        <v>4</v>
      </c>
      <c r="IK102" s="97">
        <f t="shared" si="31"/>
        <v>6</v>
      </c>
      <c r="IL102" s="90">
        <f t="shared" si="32"/>
        <v>10</v>
      </c>
      <c r="IM102" s="99"/>
      <c r="IN102" s="97">
        <f t="shared" si="33"/>
        <v>0</v>
      </c>
      <c r="IO102" s="97">
        <f t="shared" si="34"/>
        <v>1</v>
      </c>
      <c r="IP102" s="90">
        <f t="shared" si="35"/>
        <v>1</v>
      </c>
      <c r="IQ102" s="99"/>
      <c r="IR102" s="99"/>
      <c r="IS102" s="100">
        <f t="shared" si="36"/>
        <v>9</v>
      </c>
      <c r="IT102" s="100">
        <f t="shared" si="37"/>
        <v>13</v>
      </c>
      <c r="IU102" s="100">
        <f t="shared" si="38"/>
        <v>12</v>
      </c>
      <c r="IV102" s="100">
        <f t="shared" si="39"/>
        <v>11</v>
      </c>
      <c r="IW102" s="100">
        <f t="shared" si="40"/>
        <v>17</v>
      </c>
      <c r="IX102" s="100">
        <f t="shared" si="41"/>
        <v>6</v>
      </c>
      <c r="IY102" s="100">
        <f t="shared" si="42"/>
        <v>11</v>
      </c>
      <c r="IZ102" s="100">
        <f t="shared" si="43"/>
        <v>8</v>
      </c>
      <c r="JA102" s="100">
        <f t="shared" si="44"/>
        <v>10</v>
      </c>
      <c r="JB102" s="101">
        <f t="shared" si="45"/>
        <v>1</v>
      </c>
      <c r="JC102" s="102">
        <f t="shared" si="46"/>
        <v>98</v>
      </c>
      <c r="JD102" s="67">
        <f t="shared" si="50"/>
        <v>0</v>
      </c>
      <c r="JE102" s="67">
        <f t="shared" si="47"/>
        <v>2</v>
      </c>
      <c r="JF102" s="67">
        <f t="shared" si="48"/>
        <v>2</v>
      </c>
    </row>
    <row r="103">
      <c r="A103" s="104">
        <f>IFERROR(__xludf.DUMMYFUNCTION("""COMPUTED_VALUE"""),45949.39945846065)</f>
        <v>45949.39946</v>
      </c>
      <c r="B103" s="105" t="str">
        <f>IFERROR(__xludf.DUMMYFUNCTION("""COMPUTED_VALUE"""),"umar syahid")</f>
        <v>umar syahid</v>
      </c>
      <c r="C103" s="7" t="str">
        <f>IFERROR(__xludf.DUMMYFUNCTION("""COMPUTED_VALUE"""),"A250078")</f>
        <v>A250078</v>
      </c>
      <c r="D103" s="7" t="str">
        <f>IFERROR(__xludf.DUMMYFUNCTION("""COMPUTED_VALUE"""),"MTs Putra")</f>
        <v>MTs Putra</v>
      </c>
      <c r="E103" s="7" t="str">
        <f>IFERROR(__xludf.DUMMYFUNCTION("""COMPUTED_VALUE"""),"Ya")</f>
        <v>Ya</v>
      </c>
      <c r="F103" s="7" t="str">
        <f>IFERROR(__xludf.DUMMYFUNCTION("""COMPUTED_VALUE"""),"B Saya ingin melakukan apa saja sebaik mungkin.")</f>
        <v>B Saya ingin melakukan apa saja sebaik mungkin.</v>
      </c>
      <c r="G103" s="7" t="str">
        <f>IFERROR(__xludf.DUMMYFUNCTION("""COMPUTED_VALUE"""),"A Saya ingin setiap tulisan saya teliti, rapi, dan tersusun dengan baik.")</f>
        <v>A Saya ingin setiap tulisan saya teliti, rapi, dan tersusun dengan baik.</v>
      </c>
      <c r="H103" s="7" t="str">
        <f>IFERROR(__xludf.DUMMYFUNCTION("""COMPUTED_VALUE"""),"B Saya ingin menjadi orang yang diakui dalam suatu pekerjaan atau bidang khusus.")</f>
        <v>B Saya ingin menjadi orang yang diakui dalam suatu pekerjaan atau bidang khusus.</v>
      </c>
      <c r="I103" s="7" t="str">
        <f>IFERROR(__xludf.DUMMYFUNCTION("""COMPUTED_VALUE"""),"B Saya ingin bisa melakukan dengan baik meskipun tugas yang sulit.")</f>
        <v>B Saya ingin bisa melakukan dengan baik meskipun tugas yang sulit.</v>
      </c>
      <c r="J103" s="7" t="str">
        <f>IFERROR(__xludf.DUMMYFUNCTION("""COMPUTED_VALUE"""),"B Saya ingin mengerjakan tugas sebaik mungkin.")</f>
        <v>B Saya ingin mengerjakan tugas sebaik mungkin.</v>
      </c>
      <c r="K103" s="7" t="str">
        <f>IFERROR(__xludf.DUMMYFUNCTION("""COMPUTED_VALUE"""),"B Saya ingin mengatakan telah melakukan dengan baik sesuatu tugas yang sulit.")</f>
        <v>B Saya ingin mengatakan telah melakukan dengan baik sesuatu tugas yang sulit.</v>
      </c>
      <c r="L103" s="7" t="str">
        <f>IFERROR(__xludf.DUMMYFUNCTION("""COMPUTED_VALUE"""),"B Saya ingin mengatakan telah melakukan dengan baik sesuatu tugas yang sulit")</f>
        <v>B Saya ingin mengatakan telah melakukan dengan baik sesuatu tugas yang sulit</v>
      </c>
      <c r="M103" s="7" t="str">
        <f>IFERROR(__xludf.DUMMYFUNCTION("""COMPUTED_VALUE"""),"A Saya suka berbicara tentang hal-hal yang telah berhasil saya lakukan.")</f>
        <v>A Saya suka berbicara tentang hal-hal yang telah berhasil saya lakukan.</v>
      </c>
      <c r="N103" s="7" t="str">
        <f>IFERROR(__xludf.DUMMYFUNCTION("""COMPUTED_VALUE"""),"A Saya suka pergi dengan pakaian rapi agar lebih menarik perhatian orang lain.")</f>
        <v>A Saya suka pergi dengan pakaian rapi agar lebih menarik perhatian orang lain.</v>
      </c>
      <c r="O103" s="7" t="str">
        <f>IFERROR(__xludf.DUMMYFUNCTION("""COMPUTED_VALUE"""),"A Saya marah saat ada teman memperolok-olok hal-hal yang saya anggap bodoh.")</f>
        <v>A Saya marah saat ada teman memperolok-olok hal-hal yang saya anggap bodoh.</v>
      </c>
      <c r="P103" s="7" t="str">
        <f>IFERROR(__xludf.DUMMYFUNCTION("""COMPUTED_VALUE"""),"A Saya suka bercerita tentang hal-hal yang menegangkan atau menantang.")</f>
        <v>A Saya suka bercerita tentang hal-hal yang menegangkan atau menantang.</v>
      </c>
      <c r="Q103" s="7" t="str">
        <f>IFERROR(__xludf.DUMMYFUNCTION("""COMPUTED_VALUE"""),"A Saya mulai suka dengan lawan jenis.")</f>
        <v>A Saya mulai suka dengan lawan jenis.</v>
      </c>
      <c r="R103" s="7" t="str">
        <f>IFERROR(__xludf.DUMMYFUNCTION("""COMPUTED_VALUE"""),"B Saya suka barang-barang saya tersusun rapi dan teratur.")</f>
        <v>B Saya suka barang-barang saya tersusun rapi dan teratur.</v>
      </c>
      <c r="S103" s="7" t="str">
        <f>IFERROR(__xludf.DUMMYFUNCTION("""COMPUTED_VALUE"""),"A Saya ingin agar teman-teman pengertian bila saya mengalami kesukaran.")</f>
        <v>A Saya ingin agar teman-teman pengertian bila saya mengalami kesukaran.</v>
      </c>
      <c r="T103" s="7" t="str">
        <f>IFERROR(__xludf.DUMMYFUNCTION("""COMPUTED_VALUE"""),"B Saya ingin agar hidup saya teratur sesuai cita-cita saya.")</f>
        <v>B Saya ingin agar hidup saya teratur sesuai cita-cita saya.</v>
      </c>
      <c r="U103" s="7" t="str">
        <f>IFERROR(__xludf.DUMMYFUNCTION("""COMPUTED_VALUE"""),"A Saya suka memberikan bantuan kepada teman-teman saya.")</f>
        <v>A Saya suka memberikan bantuan kepada teman-teman saya.</v>
      </c>
      <c r="V103" s="7" t="str">
        <f>IFERROR(__xludf.DUMMYFUNCTION("""COMPUTED_VALUE"""),"A Saya suka belajar sampai malam untuk menyelesaikan suatu tugas.")</f>
        <v>A Saya suka belajar sampai malam untuk menyelesaikan suatu tugas.</v>
      </c>
      <c r="W103" s="7" t="str">
        <f>IFERROR(__xludf.DUMMYFUNCTION("""COMPUTED_VALUE"""),"A Saya suka melakukan kegiatan sesuai kondisi yang saya inginkan.")</f>
        <v>A Saya suka melakukan kegiatan sesuai kondisi yang saya inginkan.</v>
      </c>
      <c r="X103" s="7" t="str">
        <f>IFERROR(__xludf.DUMMYFUNCTION("""COMPUTED_VALUE"""),"B Saya ingin agar hidup saya teratur sesuai cita-cita saya.")</f>
        <v>B Saya ingin agar hidup saya teratur sesuai cita-cita saya.</v>
      </c>
      <c r="Y103" s="7" t="str">
        <f>IFERROR(__xludf.DUMMYFUNCTION("""COMPUTED_VALUE"""),"B Saya senang merencanakan untuk masa depan.")</f>
        <v>B Saya senang merencanakan untuk masa depan.</v>
      </c>
      <c r="Z103" s="7" t="str">
        <f>IFERROR(__xludf.DUMMYFUNCTION("""COMPUTED_VALUE"""),"A Saya ingin berhasil dengan belajar yang saya lakukan.")</f>
        <v>A Saya ingin berhasil dengan belajar yang saya lakukan.</v>
      </c>
      <c r="AA103" s="7" t="str">
        <f>IFERROR(__xludf.DUMMYFUNCTION("""COMPUTED_VALUE"""),"B Saya tidak suka pada orang yang berbuat seenaknya sendiri.")</f>
        <v>B Saya tidak suka pada orang yang berbuat seenaknya sendiri.</v>
      </c>
      <c r="AB103" s="7" t="str">
        <f>IFERROR(__xludf.DUMMYFUNCTION("""COMPUTED_VALUE"""),"A Saya ingin tidak tergantung dari orang lain terhadap apa yang akan saya lakukan.")</f>
        <v>A Saya ingin tidak tergantung dari orang lain terhadap apa yang akan saya lakukan.</v>
      </c>
      <c r="AC103" s="7" t="str">
        <f>IFERROR(__xludf.DUMMYFUNCTION("""COMPUTED_VALUE"""),"B Saya suka melakukan kegiatan sesuai kondisi yang saya inginkan.")</f>
        <v>B Saya suka melakukan kegiatan sesuai kondisi yang saya inginkan.</v>
      </c>
      <c r="AD103" s="7" t="str">
        <f>IFERROR(__xludf.DUMMYFUNCTION("""COMPUTED_VALUE"""),"B Saya suka menyatakan pendapat saya tentang berbagai hal.")</f>
        <v>B Saya suka menyatakan pendapat saya tentang berbagai hal.</v>
      </c>
      <c r="AE103" s="7" t="str">
        <f>IFERROR(__xludf.DUMMYFUNCTION("""COMPUTED_VALUE"""),"B Saya suka melakukan hal-hal yang dianggap orang lain tidak sesuai.")</f>
        <v>B Saya suka melakukan hal-hal yang dianggap orang lain tidak sesuai.</v>
      </c>
      <c r="AF103" s="7" t="str">
        <f>IFERROR(__xludf.DUMMYFUNCTION("""COMPUTED_VALUE"""),"A Saya ingin agar teman-teman mengerti bila saya mengalami kesukaran.")</f>
        <v>A Saya ingin agar teman-teman mengerti bila saya mengalami kesukaran.</v>
      </c>
      <c r="AG103" s="7" t="str">
        <f>IFERROR(__xludf.DUMMYFUNCTION("""COMPUTED_VALUE"""),"B Saya ingin berhasil dengan tugas yang saya lakukan.")</f>
        <v>B Saya ingin berhasil dengan tugas yang saya lakukan.</v>
      </c>
      <c r="AH103" s="7" t="str">
        <f>IFERROR(__xludf.DUMMYFUNCTION("""COMPUTED_VALUE"""),"B Saya ingin merasa bebas untuk melakukan apa yang saya kehendaki.")</f>
        <v>B Saya ingin merasa bebas untuk melakukan apa yang saya kehendaki.</v>
      </c>
      <c r="AI103" s="7" t="str">
        <f>IFERROR(__xludf.DUMMYFUNCTION("""COMPUTED_VALUE"""),"B Saya suka melakukan kegiatan sesuai kondisi yang saya inginkan.")</f>
        <v>B Saya suka melakukan kegiatan sesuai kondisi yang saya inginkan.</v>
      </c>
      <c r="AJ103" s="7" t="str">
        <f>IFERROR(__xludf.DUMMYFUNCTION("""COMPUTED_VALUE"""),"A Saya rasanya ingin membalas dendam bila seseorang menghina saya.")</f>
        <v>A Saya rasanya ingin membalas dendam bila seseorang menghina saya.</v>
      </c>
      <c r="AK103" s="7" t="str">
        <f>IFERROR(__xludf.DUMMYFUNCTION("""COMPUTED_VALUE"""),"A Saya suka bercerita tentang hal-hal pribadi yang seharusnya tidak perlu diketahui orang lain.")</f>
        <v>A Saya suka bercerita tentang hal-hal pribadi yang seharusnya tidak perlu diketahui orang lain.</v>
      </c>
      <c r="AL103" s="7" t="str">
        <f>IFERROR(__xludf.DUMMYFUNCTION("""COMPUTED_VALUE"""),"B Saya ingin menghindarkan gangguan bila saya sedang belajar.")</f>
        <v>B Saya ingin menghindarkan gangguan bila saya sedang belajar.</v>
      </c>
      <c r="AM103" s="7" t="str">
        <f>IFERROR(__xludf.DUMMYFUNCTION("""COMPUTED_VALUE"""),"A Saya ingin teman-teman saya merasa kasihan pada saya apabila saya sakit.")</f>
        <v>A Saya ingin teman-teman saya merasa kasihan pada saya apabila saya sakit.</v>
      </c>
      <c r="AN103" s="7" t="str">
        <f>IFERROR(__xludf.DUMMYFUNCTION("""COMPUTED_VALUE"""),"A Saya tidak suka pada orang yang semena-mena.")</f>
        <v>A Saya tidak suka pada orang yang semena-mena.</v>
      </c>
      <c r="AO103" s="7" t="str">
        <f>IFERROR(__xludf.DUMMYFUNCTION("""COMPUTED_VALUE"""),"A Saya suka berlaku sangat ramah terhadap teman-teman saya.")</f>
        <v>A Saya suka berlaku sangat ramah terhadap teman-teman saya.</v>
      </c>
      <c r="AP103" s="7" t="str">
        <f>IFERROR(__xludf.DUMMYFUNCTION("""COMPUTED_VALUE"""),"B Saya suka bertahan menghadapi satu masalah meskipun belum tentu berhasil.")</f>
        <v>B Saya suka bertahan menghadapi satu masalah meskipun belum tentu berhasil.</v>
      </c>
      <c r="AQ103" s="7" t="str">
        <f>IFERROR(__xludf.DUMMYFUNCTION("""COMPUTED_VALUE"""),"A Saya ingin bisa mengerjakan segala sesuatu lebih baik daripada orang-orang lain.")</f>
        <v>A Saya ingin bisa mengerjakan segala sesuatu lebih baik daripada orang-orang lain.</v>
      </c>
      <c r="AR103" s="7" t="str">
        <f>IFERROR(__xludf.DUMMYFUNCTION("""COMPUTED_VALUE"""),"B Saya suka belajar keras pada tiap pelajaran yang saya hadapi.")</f>
        <v>B Saya suka belajar keras pada tiap pelajaran yang saya hadapi.</v>
      </c>
      <c r="AS103" s="7" t="str">
        <f>IFERROR(__xludf.DUMMYFUNCTION("""COMPUTED_VALUE"""),"B Saya suka belajar sampai malam untuk menyelesaikan suatu tugas.")</f>
        <v>B Saya suka belajar sampai malam untuk menyelesaikan suatu tugas.</v>
      </c>
      <c r="AT103" s="7" t="str">
        <f>IFERROR(__xludf.DUMMYFUNCTION("""COMPUTED_VALUE"""),"B Saya suka membantu orang lain yang menurut saya perlu dikasihani.")</f>
        <v>B Saya suka membantu orang lain yang menurut saya perlu dikasihani.</v>
      </c>
      <c r="AU103" s="7" t="str">
        <f>IFERROR(__xludf.DUMMYFUNCTION("""COMPUTED_VALUE"""),"B Saya suka bermurah hati terhadap teman-teman saya.")</f>
        <v>B Saya suka bermurah hati terhadap teman-teman saya.</v>
      </c>
      <c r="AV103" s="7" t="str">
        <f>IFERROR(__xludf.DUMMYFUNCTION("""COMPUTED_VALUE"""),"B Saya suka menolong teman-teman saya.")</f>
        <v>B Saya suka menolong teman-teman saya.</v>
      </c>
      <c r="AW103" s="7" t="str">
        <f>IFERROR(__xludf.DUMMYFUNCTION("""COMPUTED_VALUE"""),"B Saya ingin teman-teman saya percaya bahwa saya bisa menolong mereka.")</f>
        <v>B Saya ingin teman-teman saya percaya bahwa saya bisa menolong mereka.</v>
      </c>
      <c r="AX103" s="7" t="str">
        <f>IFERROR(__xludf.DUMMYFUNCTION("""COMPUTED_VALUE"""),"A Saya suka menolong teman-teman saya apabila mereka dalam kesulitan.")</f>
        <v>A Saya suka menolong teman-teman saya apabila mereka dalam kesulitan.</v>
      </c>
      <c r="AY103" s="7" t="str">
        <f>IFERROR(__xludf.DUMMYFUNCTION("""COMPUTED_VALUE"""),"B Saya suka menolong teman-teman saya apabila mereka dalam kesulitan.")</f>
        <v>B Saya suka menolong teman-teman saya apabila mereka dalam kesulitan.</v>
      </c>
      <c r="AZ103" s="7" t="str">
        <f>IFERROR(__xludf.DUMMYFUNCTION("""COMPUTED_VALUE"""),"A Saya ingin agar teman-teman saya bersimpati dan menghibur saya bila saya sedih.")</f>
        <v>A Saya ingin agar teman-teman saya bersimpati dan menghibur saya bila saya sedih.</v>
      </c>
      <c r="BA103" s="7" t="str">
        <f>IFERROR(__xludf.DUMMYFUNCTION("""COMPUTED_VALUE"""),"B Saya suka memperlakukan orang lain dengan baik dan ramah.")</f>
        <v>B Saya suka memperlakukan orang lain dengan baik dan ramah.</v>
      </c>
      <c r="BB103" s="7" t="str">
        <f>IFERROR(__xludf.DUMMYFUNCTION("""COMPUTED_VALUE"""),"A Saya berkeinginan untuk bersama orang yang menarik bagi saya.")</f>
        <v>A Saya berkeinginan untuk bersama orang yang menarik bagi saya.</v>
      </c>
      <c r="BC103" s="7" t="str">
        <f>IFERROR(__xludf.DUMMYFUNCTION("""COMPUTED_VALUE"""),"B Saya suka membantu orang lain yang menurut saya perlu dikasihani.")</f>
        <v>B Saya suka membantu orang lain yang menurut saya perlu dikasihani.</v>
      </c>
      <c r="BD103" s="7" t="str">
        <f>IFERROR(__xludf.DUMMYFUNCTION("""COMPUTED_VALUE"""),"A Saya rasanya ingin menyalahkan orang lain bila keadaan tidak baik bagi saya.")</f>
        <v>A Saya rasanya ingin menyalahkan orang lain bila keadaan tidak baik bagi saya.</v>
      </c>
      <c r="BE103" s="7" t="str">
        <f>IFERROR(__xludf.DUMMYFUNCTION("""COMPUTED_VALUE"""),"A Saya suka mendengarkan atau menceritakan hal-hal yang sebaiknya tidak diceritakan.")</f>
        <v>A Saya suka mendengarkan atau menceritakan hal-hal yang sebaiknya tidak diceritakan.</v>
      </c>
      <c r="BF103" s="7" t="str">
        <f>IFERROR(__xludf.DUMMYFUNCTION("""COMPUTED_VALUE"""),"A Saya ingin orang lain memperhatikan dan berkomentar tentang penampilan saya.")</f>
        <v>A Saya ingin orang lain memperhatikan dan berkomentar tentang penampilan saya.</v>
      </c>
      <c r="BG103" s="7" t="str">
        <f>IFERROR(__xludf.DUMMYFUNCTION("""COMPUTED_VALUE"""),"A Saya ingin teman-teman banyak menunjukkan rasa sayang mereka terhadap saya.")</f>
        <v>A Saya ingin teman-teman banyak menunjukkan rasa sayang mereka terhadap saya.</v>
      </c>
      <c r="BH103" s="7" t="str">
        <f>IFERROR(__xludf.DUMMYFUNCTION("""COMPUTED_VALUE"""),"B Apabila saya berkumpul dalam kelompok, saya ingin dihargai teman-teman.")</f>
        <v>B Apabila saya berkumpul dalam kelompok, saya ingin dihargai teman-teman.</v>
      </c>
      <c r="BI103" s="7" t="str">
        <f>IFERROR(__xludf.DUMMYFUNCTION("""COMPUTED_VALUE"""),"A Saya suka bermurah hati terhadap teman-teman saya.")</f>
        <v>A Saya suka bermurah hati terhadap teman-teman saya.</v>
      </c>
      <c r="BJ103" s="7" t="str">
        <f>IFERROR(__xludf.DUMMYFUNCTION("""COMPUTED_VALUE"""),"A Saya ingin mengerjakan tugas sampai selesai.")</f>
        <v>A Saya ingin mengerjakan tugas sampai selesai.</v>
      </c>
      <c r="BK103" s="7" t="str">
        <f>IFERROR(__xludf.DUMMYFUNCTION("""COMPUTED_VALUE"""),"B Saya senang untuk diminta menyelesaikan pertentangan-pertentangan.")</f>
        <v>B Saya senang untuk diminta menyelesaikan pertentangan-pertentangan.</v>
      </c>
      <c r="BL103" s="7" t="str">
        <f>IFERROR(__xludf.DUMMYFUNCTION("""COMPUTED_VALUE"""),"B Saya suka bersikukuh dengan pendirian saya.")</f>
        <v>B Saya suka bersikukuh dengan pendirian saya.</v>
      </c>
      <c r="BM103" s="7" t="str">
        <f>IFERROR(__xludf.DUMMYFUNCTION("""COMPUTED_VALUE"""),"A Saya suka melakukan pekerjaan sebaik mungkin.")</f>
        <v>A Saya suka melakukan pekerjaan sebaik mungkin.</v>
      </c>
      <c r="BN103" s="7" t="str">
        <f>IFERROR(__xludf.DUMMYFUNCTION("""COMPUTED_VALUE"""),"B Saya ingin teman-teman memberi dorongan bila saya menghadapi kegagalan.")</f>
        <v>B Saya ingin teman-teman memberi dorongan bila saya menghadapi kegagalan.</v>
      </c>
      <c r="BO103" s="7" t="str">
        <f>IFERROR(__xludf.DUMMYFUNCTION("""COMPUTED_VALUE"""),"B Saya ingin diperlakukan dengan baik oleh teman-teman saya.")</f>
        <v>B Saya ingin diperlakukan dengan baik oleh teman-teman saya.</v>
      </c>
      <c r="BP103" s="7" t="str">
        <f>IFERROR(__xludf.DUMMYFUNCTION("""COMPUTED_VALUE"""),"B Saya ingin teman-teman saya merasa kasihan pada saya apabila saya sakit.")</f>
        <v>B Saya ingin teman-teman saya merasa kasihan pada saya apabila saya sakit.</v>
      </c>
      <c r="BQ103" s="7" t="str">
        <f>IFERROR(__xludf.DUMMYFUNCTION("""COMPUTED_VALUE"""),"A Saya ingin mengerjakannya tugas sampai selesai.")</f>
        <v>A Saya ingin mengerjakannya tugas sampai selesai.</v>
      </c>
      <c r="BR103" s="7" t="str">
        <f>IFERROR(__xludf.DUMMYFUNCTION("""COMPUTED_VALUE"""),"B Saya ingin agar teman-teman saya bersimpati dan menghibur saya bila saya sedih.")</f>
        <v>B Saya ingin agar teman-teman saya bersimpati dan menghibur saya bila saya sedih.</v>
      </c>
      <c r="BS103" s="7" t="str">
        <f>IFERROR(__xludf.DUMMYFUNCTION("""COMPUTED_VALUE"""),"B Saya ingin teman-teman saya membantu saya bila saya mengalami kesulitan")</f>
        <v>B Saya ingin teman-teman saya membantu saya bila saya mengalami kesulitan</v>
      </c>
      <c r="BT103" s="7" t="str">
        <f>IFERROR(__xludf.DUMMYFUNCTION("""COMPUTED_VALUE"""),"A Saya ingin teman-teman saya merasa kasihan pada saya apabila saya sakit.")</f>
        <v>A Saya ingin teman-teman saya merasa kasihan pada saya apabila saya sakit.</v>
      </c>
      <c r="BU103" s="7" t="str">
        <f>IFERROR(__xludf.DUMMYFUNCTION("""COMPUTED_VALUE"""),"B Saya ingin agar teman-teman saya merasa kasihan pada saya apabila saya sakit.")</f>
        <v>B Saya ingin agar teman-teman saya merasa kasihan pada saya apabila saya sakit.</v>
      </c>
      <c r="BV103" s="7" t="str">
        <f>IFERROR(__xludf.DUMMYFUNCTION("""COMPUTED_VALUE"""),"B Saya ingin teman-teman dengan gembira memberikan pertolongan kepada saya.")</f>
        <v>B Saya ingin teman-teman dengan gembira memberikan pertolongan kepada saya.</v>
      </c>
      <c r="BW103" s="7" t="str">
        <f>IFERROR(__xludf.DUMMYFUNCTION("""COMPUTED_VALUE"""),"B Saya ingin diperlakukan dengan baik oleh teman-teman saya.")</f>
        <v>B Saya ingin diperlakukan dengan baik oleh teman-teman saya.</v>
      </c>
      <c r="BX103" s="7" t="str">
        <f>IFERROR(__xludf.DUMMYFUNCTION("""COMPUTED_VALUE"""),"B Saya kadang-kadang suka melakukan hal-hal yang dapat dipuji oleh orang lain.")</f>
        <v>B Saya kadang-kadang suka melakukan hal-hal yang dapat dipuji oleh orang lain.</v>
      </c>
      <c r="BY103" s="7" t="str">
        <f>IFERROR(__xludf.DUMMYFUNCTION("""COMPUTED_VALUE"""),"A Saya suka melamun atau membayangkan hal-hal yang tidak jelas.")</f>
        <v>A Saya suka melamun atau membayangkan hal-hal yang tidak jelas.</v>
      </c>
      <c r="BZ103" s="7" t="str">
        <f>IFERROR(__xludf.DUMMYFUNCTION("""COMPUTED_VALUE"""),"A Saya suka berkata yang artinya sulit dipahami oleh orang lain.")</f>
        <v>A Saya suka berkata yang artinya sulit dipahami oleh orang lain.</v>
      </c>
      <c r="CA103" s="7" t="str">
        <f>IFERROR(__xludf.DUMMYFUNCTION("""COMPUTED_VALUE"""),"A Saya ingin teman-teman dengan gembira memberikan pertolongan kepada saya.")</f>
        <v>A Saya ingin teman-teman dengan gembira memberikan pertolongan kepada saya.</v>
      </c>
      <c r="CB103" s="7" t="str">
        <f>IFERROR(__xludf.DUMMYFUNCTION("""COMPUTED_VALUE"""),"B Saya suka berbicara tentang hal-hal yang telah saya capai.")</f>
        <v>B Saya suka berbicara tentang hal-hal yang telah saya capai.</v>
      </c>
      <c r="CC103" s="7" t="str">
        <f>IFERROR(__xludf.DUMMYFUNCTION("""COMPUTED_VALUE"""),"B Saya suka menceritakan hal-hal lucu agar diperhatikan oleh orang lain.")</f>
        <v>B Saya suka menceritakan hal-hal lucu agar diperhatikan oleh orang lain.</v>
      </c>
      <c r="CD103" s="7" t="str">
        <f>IFERROR(__xludf.DUMMYFUNCTION("""COMPUTED_VALUE"""),"B Saya suka berkata yang artinya sulit dipahami oleh orang lain.")</f>
        <v>B Saya suka berkata yang artinya sulit dipahami oleh orang lain.</v>
      </c>
      <c r="CE103" s="7" t="str">
        <f>IFERROR(__xludf.DUMMYFUNCTION("""COMPUTED_VALUE"""),"B Saya kadang-kadang suka melakukan hal-hal yang dapat dipuji oleh orang lain.")</f>
        <v>B Saya kadang-kadang suka melakukan hal-hal yang dapat dipuji oleh orang lain.</v>
      </c>
      <c r="CF103" s="7" t="str">
        <f>IFERROR(__xludf.DUMMYFUNCTION("""COMPUTED_VALUE"""),"A Saya ingin agar hidup saya teratur sesuai cita-cita saya.")</f>
        <v>A Saya ingin agar hidup saya teratur sesuai cita-cita saya.</v>
      </c>
      <c r="CG103" s="7" t="str">
        <f>IFERROR(__xludf.DUMMYFUNCTION("""COMPUTED_VALUE"""),"A Saya ingin berhasil dalam apa yang saya lakukan.")</f>
        <v>A Saya ingin berhasil dalam apa yang saya lakukan.</v>
      </c>
      <c r="CH103" s="7" t="str">
        <f>IFERROR(__xludf.DUMMYFUNCTION("""COMPUTED_VALUE"""),"B Saya suka dengan orang yang berpenampilan menarik.")</f>
        <v>B Saya suka dengan orang yang berpenampilan menarik.</v>
      </c>
      <c r="CI103" s="7" t="str">
        <f>IFERROR(__xludf.DUMMYFUNCTION("""COMPUTED_VALUE"""),"B Saya ingin dianggap menarik oleh orang lain.")</f>
        <v>B Saya ingin dianggap menarik oleh orang lain.</v>
      </c>
      <c r="CJ103" s="7" t="str">
        <f>IFERROR(__xludf.DUMMYFUNCTION("""COMPUTED_VALUE"""),"B Saya suka kalau bercerita tentang hal-hal pribadi yang seharusnya tidak perlu diketahui orang lain.")</f>
        <v>B Saya suka kalau bercerita tentang hal-hal pribadi yang seharusnya tidak perlu diketahui orang lain.</v>
      </c>
      <c r="CK103" s="7" t="str">
        <f>IFERROR(__xludf.DUMMYFUNCTION("""COMPUTED_VALUE"""),"B Saya senang ikut beraktivitas bersama teman sebaya saya.")</f>
        <v>B Saya senang ikut beraktivitas bersama teman sebaya saya.</v>
      </c>
      <c r="CL103" s="7" t="str">
        <f>IFERROR(__xludf.DUMMYFUNCTION("""COMPUTED_VALUE"""),"B Saya berkeinginan untuk bersama teman yang menurut saya menarik.")</f>
        <v>B Saya berkeinginan untuk bersama teman yang menurut saya menarik.</v>
      </c>
      <c r="CM103" s="7" t="str">
        <f>IFERROR(__xludf.DUMMYFUNCTION("""COMPUTED_VALUE"""),"B Saya merasa kagum pada seseorang.")</f>
        <v>B Saya merasa kagum pada seseorang.</v>
      </c>
      <c r="CN103" s="7" t="str">
        <f>IFERROR(__xludf.DUMMYFUNCTION("""COMPUTED_VALUE"""),"A Saya ingin diperlakukan dengan baik oleh teman-teman saya.")</f>
        <v>A Saya ingin diperlakukan dengan baik oleh teman-teman saya.</v>
      </c>
      <c r="CO103" s="7" t="str">
        <f>IFERROR(__xludf.DUMMYFUNCTION("""COMPUTED_VALUE"""),"A Saya suka menceritakan hal-hal lucu agar diperhatikan oleh orang lain.")</f>
        <v>A Saya suka menceritakan hal-hal lucu agar diperhatikan oleh orang lain.</v>
      </c>
      <c r="CP103" s="7" t="str">
        <f>IFERROR(__xludf.DUMMYFUNCTION("""COMPUTED_VALUE"""),"A Saya suka melamun atau membayangkan sesuatu sendirian.")</f>
        <v>A Saya suka melamun atau membayangkan sesuatu sendirian.</v>
      </c>
      <c r="CQ103" s="7" t="str">
        <f>IFERROR(__xludf.DUMMYFUNCTION("""COMPUTED_VALUE"""),"B Saya merasa kagum pada seseorang.")</f>
        <v>B Saya merasa kagum pada seseorang.</v>
      </c>
      <c r="CR103" s="7" t="str">
        <f>IFERROR(__xludf.DUMMYFUNCTION("""COMPUTED_VALUE"""),"B Saya rasanya ingin mengecam seseorang bila orang itu menjengkelkan.")</f>
        <v>B Saya rasanya ingin mengecam seseorang bila orang itu menjengkelkan.</v>
      </c>
      <c r="CS103" s="7" t="str">
        <f>IFERROR(__xludf.DUMMYFUNCTION("""COMPUTED_VALUE"""),"B Saya rasanya ingin membalas dendam bila seseorang menghina saya.")</f>
        <v>B Saya rasanya ingin membalas dendam bila seseorang menghina saya.</v>
      </c>
      <c r="CT103" s="7" t="str">
        <f>IFERROR(__xludf.DUMMYFUNCTION("""COMPUTED_VALUE"""),"A Saya ingin orang-orang memperhatikan komentar mengenai penampilan saya.")</f>
        <v>A Saya ingin orang-orang memperhatikan komentar mengenai penampilan saya.</v>
      </c>
      <c r="CU103" s="7" t="str">
        <f>IFERROR(__xludf.DUMMYFUNCTION("""COMPUTED_VALUE"""),"A Saya ingin diperlakukan dengan ramah oleh teman-teman saya.")</f>
        <v>A Saya ingin diperlakukan dengan ramah oleh teman-teman saya.</v>
      </c>
      <c r="CV103" s="7" t="str">
        <f>IFERROR(__xludf.DUMMYFUNCTION("""COMPUTED_VALUE"""),"B Saya menyerang pendirian-pendirian yang bertentangan dengan pendirian saya.")</f>
        <v>B Saya menyerang pendirian-pendirian yang bertentangan dengan pendirian saya.</v>
      </c>
      <c r="CW103" s="7" t="str">
        <f>IFERROR(__xludf.DUMMYFUNCTION("""COMPUTED_VALUE"""),"B Saya mengatakan kepada orang lain bagaimana pendapat saya terhadap mereka.")</f>
        <v>B Saya mengatakan kepada orang lain bagaimana pendapat saya terhadap mereka.</v>
      </c>
      <c r="CX103" s="7" t="str">
        <f>IFERROR(__xludf.DUMMYFUNCTION("""COMPUTED_VALUE"""),"A Saya suka belajar sampai malam untuk menyelesaikan suatu tugas.")</f>
        <v>A Saya suka belajar sampai malam untuk menyelesaikan suatu tugas.</v>
      </c>
      <c r="CY103" s="7" t="str">
        <f>IFERROR(__xludf.DUMMYFUNCTION("""COMPUTED_VALUE"""),"B Saya rasanya ingin membalas dendam bila seseorang menghina saya.")</f>
        <v>B Saya rasanya ingin membalas dendam bila seseorang menghina saya.</v>
      </c>
      <c r="CZ103" s="7" t="str">
        <f>IFERROR(__xludf.DUMMYFUNCTION("""COMPUTED_VALUE"""),"B Saya rasanya ingin menggertak orang bila saya berbeda pendapat dengan mereka.")</f>
        <v>B Saya rasanya ingin menggertak orang bila saya berbeda pendapat dengan mereka.</v>
      </c>
      <c r="DA103" s="7" t="str">
        <f>IFERROR(__xludf.DUMMYFUNCTION("""COMPUTED_VALUE"""),"A Saya ingin melakukan apa saja sebaik mungkin.")</f>
        <v>A Saya ingin melakukan apa saja sebaik mungkin.</v>
      </c>
      <c r="DB103" s="89" t="s">
        <v>23</v>
      </c>
      <c r="DC103" s="97" t="str">
        <f t="shared" ref="DC103:GX103" si="148">LEFT(F103,1)</f>
        <v>B</v>
      </c>
      <c r="DD103" s="97" t="str">
        <f t="shared" si="148"/>
        <v>A</v>
      </c>
      <c r="DE103" s="97" t="str">
        <f t="shared" si="148"/>
        <v>B</v>
      </c>
      <c r="DF103" s="97" t="str">
        <f t="shared" si="148"/>
        <v>B</v>
      </c>
      <c r="DG103" s="97" t="str">
        <f t="shared" si="148"/>
        <v>B</v>
      </c>
      <c r="DH103" s="97" t="str">
        <f t="shared" si="148"/>
        <v>B</v>
      </c>
      <c r="DI103" s="97" t="str">
        <f t="shared" si="148"/>
        <v>B</v>
      </c>
      <c r="DJ103" s="97" t="str">
        <f t="shared" si="148"/>
        <v>A</v>
      </c>
      <c r="DK103" s="97" t="str">
        <f t="shared" si="148"/>
        <v>A</v>
      </c>
      <c r="DL103" s="97" t="str">
        <f t="shared" si="148"/>
        <v>A</v>
      </c>
      <c r="DM103" s="97" t="str">
        <f t="shared" si="148"/>
        <v>A</v>
      </c>
      <c r="DN103" s="97" t="str">
        <f t="shared" si="148"/>
        <v>A</v>
      </c>
      <c r="DO103" s="97" t="str">
        <f t="shared" si="148"/>
        <v>B</v>
      </c>
      <c r="DP103" s="97" t="str">
        <f t="shared" si="148"/>
        <v>A</v>
      </c>
      <c r="DQ103" s="97" t="str">
        <f t="shared" si="148"/>
        <v>B</v>
      </c>
      <c r="DR103" s="97" t="str">
        <f t="shared" si="148"/>
        <v>A</v>
      </c>
      <c r="DS103" s="97" t="str">
        <f t="shared" si="148"/>
        <v>A</v>
      </c>
      <c r="DT103" s="97" t="str">
        <f t="shared" si="148"/>
        <v>A</v>
      </c>
      <c r="DU103" s="97" t="str">
        <f t="shared" si="148"/>
        <v>B</v>
      </c>
      <c r="DV103" s="97" t="str">
        <f t="shared" si="148"/>
        <v>B</v>
      </c>
      <c r="DW103" s="97" t="str">
        <f t="shared" si="148"/>
        <v>A</v>
      </c>
      <c r="DX103" s="97" t="str">
        <f t="shared" si="148"/>
        <v>B</v>
      </c>
      <c r="DY103" s="97" t="str">
        <f t="shared" si="148"/>
        <v>A</v>
      </c>
      <c r="DZ103" s="97" t="str">
        <f t="shared" si="148"/>
        <v>B</v>
      </c>
      <c r="EA103" s="97" t="str">
        <f t="shared" si="148"/>
        <v>B</v>
      </c>
      <c r="EB103" s="97" t="str">
        <f t="shared" si="148"/>
        <v>B</v>
      </c>
      <c r="EC103" s="97" t="str">
        <f t="shared" si="148"/>
        <v>A</v>
      </c>
      <c r="ED103" s="97" t="str">
        <f t="shared" si="148"/>
        <v>B</v>
      </c>
      <c r="EE103" s="97" t="str">
        <f t="shared" si="148"/>
        <v>B</v>
      </c>
      <c r="EF103" s="97" t="str">
        <f t="shared" si="148"/>
        <v>B</v>
      </c>
      <c r="EG103" s="97" t="str">
        <f t="shared" si="148"/>
        <v>A</v>
      </c>
      <c r="EH103" s="97" t="str">
        <f t="shared" si="148"/>
        <v>A</v>
      </c>
      <c r="EI103" s="97" t="str">
        <f t="shared" si="148"/>
        <v>B</v>
      </c>
      <c r="EJ103" s="97" t="str">
        <f t="shared" si="148"/>
        <v>A</v>
      </c>
      <c r="EK103" s="97" t="str">
        <f t="shared" si="148"/>
        <v>A</v>
      </c>
      <c r="EL103" s="97" t="str">
        <f t="shared" si="148"/>
        <v>A</v>
      </c>
      <c r="EM103" s="97" t="str">
        <f t="shared" si="148"/>
        <v>B</v>
      </c>
      <c r="EN103" s="97" t="str">
        <f t="shared" si="148"/>
        <v>A</v>
      </c>
      <c r="EO103" s="97" t="str">
        <f t="shared" si="148"/>
        <v>B</v>
      </c>
      <c r="EP103" s="97" t="str">
        <f t="shared" si="148"/>
        <v>B</v>
      </c>
      <c r="EQ103" s="97" t="str">
        <f t="shared" si="148"/>
        <v>B</v>
      </c>
      <c r="ER103" s="97" t="str">
        <f t="shared" si="148"/>
        <v>B</v>
      </c>
      <c r="ES103" s="97" t="str">
        <f t="shared" si="148"/>
        <v>B</v>
      </c>
      <c r="ET103" s="97" t="str">
        <f t="shared" si="148"/>
        <v>B</v>
      </c>
      <c r="EU103" s="97" t="str">
        <f t="shared" si="148"/>
        <v>A</v>
      </c>
      <c r="EV103" s="97" t="str">
        <f t="shared" si="148"/>
        <v>B</v>
      </c>
      <c r="EW103" s="97" t="str">
        <f t="shared" si="148"/>
        <v>A</v>
      </c>
      <c r="EX103" s="97" t="str">
        <f t="shared" si="148"/>
        <v>B</v>
      </c>
      <c r="EY103" s="97" t="str">
        <f t="shared" si="148"/>
        <v>A</v>
      </c>
      <c r="EZ103" s="97" t="str">
        <f t="shared" si="148"/>
        <v>B</v>
      </c>
      <c r="FA103" s="97" t="str">
        <f t="shared" si="148"/>
        <v>A</v>
      </c>
      <c r="FB103" s="97" t="str">
        <f t="shared" si="148"/>
        <v>A</v>
      </c>
      <c r="FC103" s="97" t="str">
        <f t="shared" si="148"/>
        <v>A</v>
      </c>
      <c r="FD103" s="97" t="str">
        <f t="shared" si="148"/>
        <v>A</v>
      </c>
      <c r="FE103" s="97" t="str">
        <f t="shared" si="148"/>
        <v>B</v>
      </c>
      <c r="FF103" s="97" t="str">
        <f t="shared" si="148"/>
        <v>A</v>
      </c>
      <c r="FG103" s="97" t="str">
        <f t="shared" si="148"/>
        <v>A</v>
      </c>
      <c r="FH103" s="97" t="str">
        <f t="shared" si="148"/>
        <v>B</v>
      </c>
      <c r="FI103" s="97" t="str">
        <f t="shared" si="148"/>
        <v>B</v>
      </c>
      <c r="FJ103" s="97" t="str">
        <f t="shared" si="148"/>
        <v>A</v>
      </c>
      <c r="FK103" s="97" t="str">
        <f t="shared" si="148"/>
        <v>B</v>
      </c>
      <c r="FL103" s="97" t="str">
        <f t="shared" si="148"/>
        <v>B</v>
      </c>
      <c r="FM103" s="97" t="str">
        <f t="shared" si="148"/>
        <v>B</v>
      </c>
      <c r="FN103" s="97" t="str">
        <f t="shared" si="148"/>
        <v>A</v>
      </c>
      <c r="FO103" s="97" t="str">
        <f t="shared" si="148"/>
        <v>B</v>
      </c>
      <c r="FP103" s="97" t="str">
        <f t="shared" si="148"/>
        <v>B</v>
      </c>
      <c r="FQ103" s="97" t="str">
        <f t="shared" si="148"/>
        <v>A</v>
      </c>
      <c r="FR103" s="97" t="str">
        <f t="shared" si="148"/>
        <v>B</v>
      </c>
      <c r="FS103" s="97" t="str">
        <f t="shared" si="148"/>
        <v>B</v>
      </c>
      <c r="FT103" s="97" t="str">
        <f t="shared" si="148"/>
        <v>B</v>
      </c>
      <c r="FU103" s="97" t="str">
        <f t="shared" si="148"/>
        <v>B</v>
      </c>
      <c r="FV103" s="97" t="str">
        <f t="shared" si="148"/>
        <v>A</v>
      </c>
      <c r="FW103" s="97" t="str">
        <f t="shared" si="148"/>
        <v>A</v>
      </c>
      <c r="FX103" s="97" t="str">
        <f t="shared" si="148"/>
        <v>A</v>
      </c>
      <c r="FY103" s="97" t="str">
        <f t="shared" si="148"/>
        <v>B</v>
      </c>
      <c r="FZ103" s="97" t="str">
        <f t="shared" si="148"/>
        <v>B</v>
      </c>
      <c r="GA103" s="97" t="str">
        <f t="shared" si="148"/>
        <v>B</v>
      </c>
      <c r="GB103" s="97" t="str">
        <f t="shared" si="148"/>
        <v>B</v>
      </c>
      <c r="GC103" s="97" t="str">
        <f t="shared" si="148"/>
        <v>A</v>
      </c>
      <c r="GD103" s="97" t="str">
        <f t="shared" si="148"/>
        <v>A</v>
      </c>
      <c r="GE103" s="97" t="str">
        <f t="shared" si="148"/>
        <v>B</v>
      </c>
      <c r="GF103" s="97" t="str">
        <f t="shared" si="148"/>
        <v>B</v>
      </c>
      <c r="GG103" s="97" t="str">
        <f t="shared" si="148"/>
        <v>B</v>
      </c>
      <c r="GH103" s="97" t="str">
        <f t="shared" si="148"/>
        <v>B</v>
      </c>
      <c r="GI103" s="97" t="str">
        <f t="shared" si="148"/>
        <v>B</v>
      </c>
      <c r="GJ103" s="97" t="str">
        <f t="shared" si="148"/>
        <v>B</v>
      </c>
      <c r="GK103" s="97" t="str">
        <f t="shared" si="148"/>
        <v>A</v>
      </c>
      <c r="GL103" s="97" t="str">
        <f t="shared" si="148"/>
        <v>A</v>
      </c>
      <c r="GM103" s="97" t="str">
        <f t="shared" si="148"/>
        <v>A</v>
      </c>
      <c r="GN103" s="97" t="str">
        <f t="shared" si="148"/>
        <v>B</v>
      </c>
      <c r="GO103" s="97" t="str">
        <f t="shared" si="148"/>
        <v>B</v>
      </c>
      <c r="GP103" s="97" t="str">
        <f t="shared" si="148"/>
        <v>B</v>
      </c>
      <c r="GQ103" s="97" t="str">
        <f t="shared" si="148"/>
        <v>A</v>
      </c>
      <c r="GR103" s="97" t="str">
        <f t="shared" si="148"/>
        <v>A</v>
      </c>
      <c r="GS103" s="97" t="str">
        <f t="shared" si="148"/>
        <v>B</v>
      </c>
      <c r="GT103" s="97" t="str">
        <f t="shared" si="148"/>
        <v>B</v>
      </c>
      <c r="GU103" s="97" t="str">
        <f t="shared" si="148"/>
        <v>A</v>
      </c>
      <c r="GV103" s="97" t="str">
        <f t="shared" si="148"/>
        <v>B</v>
      </c>
      <c r="GW103" s="97" t="str">
        <f t="shared" si="148"/>
        <v>B</v>
      </c>
      <c r="GX103" s="97" t="str">
        <f t="shared" si="148"/>
        <v>A</v>
      </c>
      <c r="GY103" s="98"/>
      <c r="GZ103" s="97">
        <f t="shared" si="3"/>
        <v>43</v>
      </c>
      <c r="HA103" s="97">
        <f t="shared" si="4"/>
        <v>57</v>
      </c>
      <c r="HB103" s="90">
        <f t="shared" si="5"/>
        <v>100</v>
      </c>
      <c r="HC103" s="99"/>
      <c r="HD103" s="97">
        <f t="shared" si="6"/>
        <v>4</v>
      </c>
      <c r="HE103" s="97">
        <f t="shared" si="7"/>
        <v>5</v>
      </c>
      <c r="HF103" s="90">
        <f t="shared" si="8"/>
        <v>9</v>
      </c>
      <c r="HG103" s="99"/>
      <c r="HH103" s="97">
        <f t="shared" si="9"/>
        <v>2</v>
      </c>
      <c r="HI103" s="97">
        <f t="shared" si="10"/>
        <v>4</v>
      </c>
      <c r="HJ103" s="90">
        <f t="shared" si="11"/>
        <v>6</v>
      </c>
      <c r="HK103" s="99"/>
      <c r="HL103" s="97">
        <f t="shared" si="12"/>
        <v>2</v>
      </c>
      <c r="HM103" s="97">
        <f t="shared" si="13"/>
        <v>7</v>
      </c>
      <c r="HN103" s="90">
        <f t="shared" si="14"/>
        <v>9</v>
      </c>
      <c r="HO103" s="99"/>
      <c r="HP103" s="97">
        <f t="shared" si="15"/>
        <v>4</v>
      </c>
      <c r="HQ103" s="97">
        <f t="shared" si="16"/>
        <v>4</v>
      </c>
      <c r="HR103" s="90">
        <f t="shared" si="17"/>
        <v>8</v>
      </c>
      <c r="HS103" s="99"/>
      <c r="HT103" s="97">
        <f t="shared" si="18"/>
        <v>3</v>
      </c>
      <c r="HU103" s="97">
        <f t="shared" si="19"/>
        <v>7</v>
      </c>
      <c r="HV103" s="90">
        <f t="shared" si="20"/>
        <v>10</v>
      </c>
      <c r="HW103" s="99"/>
      <c r="HX103" s="97">
        <f t="shared" si="21"/>
        <v>1</v>
      </c>
      <c r="HY103" s="97">
        <f t="shared" si="22"/>
        <v>3</v>
      </c>
      <c r="HZ103" s="90">
        <f t="shared" si="23"/>
        <v>4</v>
      </c>
      <c r="IA103" s="99"/>
      <c r="IB103" s="97">
        <f t="shared" si="24"/>
        <v>8</v>
      </c>
      <c r="IC103" s="97">
        <f t="shared" si="25"/>
        <v>8</v>
      </c>
      <c r="ID103" s="90">
        <f t="shared" si="26"/>
        <v>16</v>
      </c>
      <c r="IE103" s="99"/>
      <c r="IF103" s="97">
        <f t="shared" si="27"/>
        <v>4</v>
      </c>
      <c r="IG103" s="97">
        <f t="shared" si="28"/>
        <v>5</v>
      </c>
      <c r="IH103" s="90">
        <f t="shared" si="29"/>
        <v>9</v>
      </c>
      <c r="II103" s="99"/>
      <c r="IJ103" s="97">
        <f t="shared" si="30"/>
        <v>6</v>
      </c>
      <c r="IK103" s="97">
        <f t="shared" si="31"/>
        <v>7</v>
      </c>
      <c r="IL103" s="90">
        <f t="shared" si="32"/>
        <v>13</v>
      </c>
      <c r="IM103" s="99"/>
      <c r="IN103" s="97">
        <f t="shared" si="33"/>
        <v>4</v>
      </c>
      <c r="IO103" s="97">
        <f t="shared" si="34"/>
        <v>6</v>
      </c>
      <c r="IP103" s="90">
        <f t="shared" si="35"/>
        <v>10</v>
      </c>
      <c r="IS103" s="100">
        <f t="shared" si="36"/>
        <v>9</v>
      </c>
      <c r="IT103" s="100">
        <f t="shared" si="37"/>
        <v>6</v>
      </c>
      <c r="IU103" s="100">
        <f t="shared" si="38"/>
        <v>9</v>
      </c>
      <c r="IV103" s="100">
        <f t="shared" si="39"/>
        <v>8</v>
      </c>
      <c r="IW103" s="100">
        <f t="shared" si="40"/>
        <v>10</v>
      </c>
      <c r="IX103" s="100">
        <f t="shared" si="41"/>
        <v>4</v>
      </c>
      <c r="IY103" s="100">
        <f t="shared" si="42"/>
        <v>16</v>
      </c>
      <c r="IZ103" s="100">
        <f t="shared" si="43"/>
        <v>9</v>
      </c>
      <c r="JA103" s="100">
        <f t="shared" si="44"/>
        <v>13</v>
      </c>
      <c r="JB103" s="101">
        <f t="shared" si="45"/>
        <v>10</v>
      </c>
      <c r="JC103" s="102">
        <f t="shared" si="46"/>
        <v>94</v>
      </c>
      <c r="JD103" s="67">
        <f t="shared" si="50"/>
        <v>0</v>
      </c>
      <c r="JE103" s="67">
        <f t="shared" si="47"/>
        <v>3</v>
      </c>
      <c r="JF103" s="67">
        <f t="shared" si="48"/>
        <v>3</v>
      </c>
    </row>
    <row r="104">
      <c r="A104" s="104">
        <f>IFERROR(__xludf.DUMMYFUNCTION("""COMPUTED_VALUE"""),45949.42795806713)</f>
        <v>45949.42796</v>
      </c>
      <c r="B104" s="105" t="str">
        <f>IFERROR(__xludf.DUMMYFUNCTION("""COMPUTED_VALUE"""),"FATHAN SYAHRIL SUSENO")</f>
        <v>FATHAN SYAHRIL SUSENO</v>
      </c>
      <c r="C104" s="7" t="str">
        <f>IFERROR(__xludf.DUMMYFUNCTION("""COMPUTED_VALUE"""),"C250016")</f>
        <v>C250016</v>
      </c>
      <c r="D104" s="7" t="str">
        <f>IFERROR(__xludf.DUMMYFUNCTION("""COMPUTED_VALUE"""),"SMA")</f>
        <v>SMA</v>
      </c>
      <c r="E104" s="7" t="str">
        <f>IFERROR(__xludf.DUMMYFUNCTION("""COMPUTED_VALUE"""),"Ya")</f>
        <v>Ya</v>
      </c>
      <c r="F104" s="105" t="str">
        <f>IFERROR(__xludf.DUMMYFUNCTION("""COMPUTED_VALUE"""),"B Saya ingin melakukan apa saja sebaik mungkin.")</f>
        <v>B Saya ingin melakukan apa saja sebaik mungkin.</v>
      </c>
      <c r="G104" s="105" t="str">
        <f>IFERROR(__xludf.DUMMYFUNCTION("""COMPUTED_VALUE"""),"A Saya ingin setiap tulisan saya teliti, rapi, dan tersusun dengan baik.")</f>
        <v>A Saya ingin setiap tulisan saya teliti, rapi, dan tersusun dengan baik.</v>
      </c>
      <c r="H104" s="105" t="str">
        <f>IFERROR(__xludf.DUMMYFUNCTION("""COMPUTED_VALUE"""),"B Saya ingin menjadi orang yang diakui dalam suatu pekerjaan atau bidang khusus.")</f>
        <v>B Saya ingin menjadi orang yang diakui dalam suatu pekerjaan atau bidang khusus.</v>
      </c>
      <c r="I104" s="105" t="str">
        <f>IFERROR(__xludf.DUMMYFUNCTION("""COMPUTED_VALUE"""),"B Saya ingin bisa melakukan dengan baik meskipun tugas yang sulit.")</f>
        <v>B Saya ingin bisa melakukan dengan baik meskipun tugas yang sulit.</v>
      </c>
      <c r="J104" s="105" t="str">
        <f>IFERROR(__xludf.DUMMYFUNCTION("""COMPUTED_VALUE"""),"A Saya suka membantu teman-teman saya apabila mereka mengalami kesulitan.")</f>
        <v>A Saya suka membantu teman-teman saya apabila mereka mengalami kesulitan.</v>
      </c>
      <c r="K104" s="105" t="str">
        <f>IFERROR(__xludf.DUMMYFUNCTION("""COMPUTED_VALUE"""),"B Saya ingin mengatakan telah melakukan dengan baik sesuatu tugas yang sulit.")</f>
        <v>B Saya ingin mengatakan telah melakukan dengan baik sesuatu tugas yang sulit.</v>
      </c>
      <c r="L104" s="105" t="str">
        <f>IFERROR(__xludf.DUMMYFUNCTION("""COMPUTED_VALUE"""),"A Saya ingin menjadi pemimpin dalam suatu kelompok")</f>
        <v>A Saya ingin menjadi pemimpin dalam suatu kelompok</v>
      </c>
      <c r="M104" s="105" t="str">
        <f>IFERROR(__xludf.DUMMYFUNCTION("""COMPUTED_VALUE"""),"B Saya ingin mengerjakan segala tugas lebih baik daripada orang lain.")</f>
        <v>B Saya ingin mengerjakan segala tugas lebih baik daripada orang lain.</v>
      </c>
      <c r="N104" s="105" t="str">
        <f>IFERROR(__xludf.DUMMYFUNCTION("""COMPUTED_VALUE"""),"B Saya suka memecahkan persoalan yang sukar bagi orang lain.")</f>
        <v>B Saya suka memecahkan persoalan yang sukar bagi orang lain.</v>
      </c>
      <c r="O104" s="105" t="str">
        <f>IFERROR(__xludf.DUMMYFUNCTION("""COMPUTED_VALUE"""),"B Saya suka melakukan tugas sebaik mungkin.")</f>
        <v>B Saya suka melakukan tugas sebaik mungkin.</v>
      </c>
      <c r="P104" s="105" t="str">
        <f>IFERROR(__xludf.DUMMYFUNCTION("""COMPUTED_VALUE"""),"A Saya suka bercerita tentang hal-hal yang menegangkan atau menantang.")</f>
        <v>A Saya suka bercerita tentang hal-hal yang menegangkan atau menantang.</v>
      </c>
      <c r="Q104" s="105" t="str">
        <f>IFERROR(__xludf.DUMMYFUNCTION("""COMPUTED_VALUE"""),"B Saya merencanakan keperluan yang dibutuhkan sebelum bepergian.")</f>
        <v>B Saya merencanakan keperluan yang dibutuhkan sebelum bepergian.</v>
      </c>
      <c r="R104" s="105" t="str">
        <f>IFERROR(__xludf.DUMMYFUNCTION("""COMPUTED_VALUE"""),"B Saya suka barang-barang saya tersusun rapi dan teratur.")</f>
        <v>B Saya suka barang-barang saya tersusun rapi dan teratur.</v>
      </c>
      <c r="S104" s="105" t="str">
        <f>IFERROR(__xludf.DUMMYFUNCTION("""COMPUTED_VALUE"""),"A Saya ingin agar teman-teman pengertian bila saya mengalami kesukaran.")</f>
        <v>A Saya ingin agar teman-teman pengertian bila saya mengalami kesukaran.</v>
      </c>
      <c r="T104" s="105" t="str">
        <f>IFERROR(__xludf.DUMMYFUNCTION("""COMPUTED_VALUE"""),"B Saya ingin agar hidup saya teratur sesuai cita-cita saya.")</f>
        <v>B Saya ingin agar hidup saya teratur sesuai cita-cita saya.</v>
      </c>
      <c r="U104" s="105" t="str">
        <f>IFERROR(__xludf.DUMMYFUNCTION("""COMPUTED_VALUE"""),"A Saya suka memberikan bantuan kepada teman-teman saya.")</f>
        <v>A Saya suka memberikan bantuan kepada teman-teman saya.</v>
      </c>
      <c r="V104" s="105" t="str">
        <f>IFERROR(__xludf.DUMMYFUNCTION("""COMPUTED_VALUE"""),"B Saya suka belajar saya teratur dan ada waktu-waktu tertentu untuk belajar.")</f>
        <v>B Saya suka belajar saya teratur dan ada waktu-waktu tertentu untuk belajar.</v>
      </c>
      <c r="W104" s="105" t="str">
        <f>IFERROR(__xludf.DUMMYFUNCTION("""COMPUTED_VALUE"""),"A Saya suka melakukan kegiatan sesuai kondisi yang saya inginkan.")</f>
        <v>A Saya suka melakukan kegiatan sesuai kondisi yang saya inginkan.</v>
      </c>
      <c r="X104" s="105" t="str">
        <f>IFERROR(__xludf.DUMMYFUNCTION("""COMPUTED_VALUE"""),"A Saya suka merencanakan dan mengatur setiap apa yang harus saya lakukan.")</f>
        <v>A Saya suka merencanakan dan mengatur setiap apa yang harus saya lakukan.</v>
      </c>
      <c r="Y104" s="105" t="str">
        <f>IFERROR(__xludf.DUMMYFUNCTION("""COMPUTED_VALUE"""),"A Saya suka menyelesaikan tugas-tugas yang membutuhkan ketrampilan dan usaha.")</f>
        <v>A Saya suka menyelesaikan tugas-tugas yang membutuhkan ketrampilan dan usaha.</v>
      </c>
      <c r="Z104" s="105" t="str">
        <f>IFERROR(__xludf.DUMMYFUNCTION("""COMPUTED_VALUE"""),"A Saya ingin berhasil dengan belajar yang saya lakukan.")</f>
        <v>A Saya ingin berhasil dengan belajar yang saya lakukan.</v>
      </c>
      <c r="AA104" s="105" t="str">
        <f>IFERROR(__xludf.DUMMYFUNCTION("""COMPUTED_VALUE"""),"B Saya tidak suka pada orang yang berbuat seenaknya sendiri.")</f>
        <v>B Saya tidak suka pada orang yang berbuat seenaknya sendiri.</v>
      </c>
      <c r="AB104" s="105" t="str">
        <f>IFERROR(__xludf.DUMMYFUNCTION("""COMPUTED_VALUE"""),"A Saya ingin tidak tergantung dari orang lain terhadap apa yang akan saya lakukan.")</f>
        <v>A Saya ingin tidak tergantung dari orang lain terhadap apa yang akan saya lakukan.</v>
      </c>
      <c r="AC104" s="105" t="str">
        <f>IFERROR(__xludf.DUMMYFUNCTION("""COMPUTED_VALUE"""),"A Saya suka menyelesaikan setiap tugas meskipun membutuhkan waktu lama.")</f>
        <v>A Saya suka menyelesaikan setiap tugas meskipun membutuhkan waktu lama.</v>
      </c>
      <c r="AD104" s="105" t="str">
        <f>IFERROR(__xludf.DUMMYFUNCTION("""COMPUTED_VALUE"""),"A Saya suka bermurah hati terhadap teman-teman saya.")</f>
        <v>A Saya suka bermurah hati terhadap teman-teman saya.</v>
      </c>
      <c r="AE104" s="105" t="str">
        <f>IFERROR(__xludf.DUMMYFUNCTION("""COMPUTED_VALUE"""),"A Saya ingin dianggap sebagai pemimpin oleh teman di kelompok.")</f>
        <v>A Saya ingin dianggap sebagai pemimpin oleh teman di kelompok.</v>
      </c>
      <c r="AF104" s="105" t="str">
        <f>IFERROR(__xludf.DUMMYFUNCTION("""COMPUTED_VALUE"""),"B Saya suka melakukan hal-hal dengan cara saya sendiri.")</f>
        <v>B Saya suka melakukan hal-hal dengan cara saya sendiri.</v>
      </c>
      <c r="AG104" s="105" t="str">
        <f>IFERROR(__xludf.DUMMYFUNCTION("""COMPUTED_VALUE"""),"A Saya mengajari orang lain bagaimana mereka harus melakukan pekerjaan mereka.")</f>
        <v>A Saya mengajari orang lain bagaimana mereka harus melakukan pekerjaan mereka.</v>
      </c>
      <c r="AH104" s="105" t="str">
        <f>IFERROR(__xludf.DUMMYFUNCTION("""COMPUTED_VALUE"""),"A Saya suka membaca buku-buku tentang pergaulan remaja.")</f>
        <v>A Saya suka membaca buku-buku tentang pergaulan remaja.</v>
      </c>
      <c r="AI104" s="105" t="str">
        <f>IFERROR(__xludf.DUMMYFUNCTION("""COMPUTED_VALUE"""),"B Saya suka melakukan kegiatan sesuai kondisi yang saya inginkan.")</f>
        <v>B Saya suka melakukan kegiatan sesuai kondisi yang saya inginkan.</v>
      </c>
      <c r="AJ104" s="105" t="str">
        <f>IFERROR(__xludf.DUMMYFUNCTION("""COMPUTED_VALUE"""),"B Saya suka bertahan menghadapi satu masalah meskipun belum tentu berhasil.")</f>
        <v>B Saya suka bertahan menghadapi satu masalah meskipun belum tentu berhasil.</v>
      </c>
      <c r="AK104" s="105" t="str">
        <f>IFERROR(__xludf.DUMMYFUNCTION("""COMPUTED_VALUE"""),"B Bila saya harus melakukan suatu tugas, saya ingin mengerjakan sampai selesai.")</f>
        <v>B Bila saya harus melakukan suatu tugas, saya ingin mengerjakan sampai selesai.</v>
      </c>
      <c r="AL104" s="105" t="str">
        <f>IFERROR(__xludf.DUMMYFUNCTION("""COMPUTED_VALUE"""),"B Saya ingin menghindarkan gangguan bila saya sedang belajar.")</f>
        <v>B Saya ingin menghindarkan gangguan bila saya sedang belajar.</v>
      </c>
      <c r="AM104" s="105" t="str">
        <f>IFERROR(__xludf.DUMMYFUNCTION("""COMPUTED_VALUE"""),"B Saya suka belajar sampai malam untuk menyelesaikan suatu tugas.")</f>
        <v>B Saya suka belajar sampai malam untuk menyelesaikan suatu tugas.</v>
      </c>
      <c r="AN104" s="105" t="str">
        <f>IFERROR(__xludf.DUMMYFUNCTION("""COMPUTED_VALUE"""),"A Saya tidak suka pada orang yang semena-mena.")</f>
        <v>A Saya tidak suka pada orang yang semena-mena.</v>
      </c>
      <c r="AO104" s="105" t="str">
        <f>IFERROR(__xludf.DUMMYFUNCTION("""COMPUTED_VALUE"""),"A Saya suka berlaku sangat ramah terhadap teman-teman saya.")</f>
        <v>A Saya suka berlaku sangat ramah terhadap teman-teman saya.</v>
      </c>
      <c r="AP104" s="105" t="str">
        <f>IFERROR(__xludf.DUMMYFUNCTION("""COMPUTED_VALUE"""),"B Saya suka bertahan menghadapi satu masalah meskipun belum tentu berhasil.")</f>
        <v>B Saya suka bertahan menghadapi satu masalah meskipun belum tentu berhasil.</v>
      </c>
      <c r="AQ104" s="105" t="str">
        <f>IFERROR(__xludf.DUMMYFUNCTION("""COMPUTED_VALUE"""),"A Saya ingin bisa mengerjakan segala sesuatu lebih baik daripada orang-orang lain.")</f>
        <v>A Saya ingin bisa mengerjakan segala sesuatu lebih baik daripada orang-orang lain.</v>
      </c>
      <c r="AR104" s="105" t="str">
        <f>IFERROR(__xludf.DUMMYFUNCTION("""COMPUTED_VALUE"""),"A Saya suka menyimpan catatan secara rapi.")</f>
        <v>A Saya suka menyimpan catatan secara rapi.</v>
      </c>
      <c r="AS104" s="105" t="str">
        <f>IFERROR(__xludf.DUMMYFUNCTION("""COMPUTED_VALUE"""),"A Saya ingin dapat menyelesaikan persoalan yang dianggap sukar bagi orang lain.")</f>
        <v>A Saya ingin dapat menyelesaikan persoalan yang dianggap sukar bagi orang lain.</v>
      </c>
      <c r="AT104" s="105" t="str">
        <f>IFERROR(__xludf.DUMMYFUNCTION("""COMPUTED_VALUE"""),"A Saya ingin bisa melakukan dengan baik sesuatu pekerjaan sulit.")</f>
        <v>A Saya ingin bisa melakukan dengan baik sesuatu pekerjaan sulit.</v>
      </c>
      <c r="AU104" s="105" t="str">
        <f>IFERROR(__xludf.DUMMYFUNCTION("""COMPUTED_VALUE"""),"A Saya ingin menyelesaikan pekerjaan satu persatu sebelum memulai yang lain.")</f>
        <v>A Saya ingin menyelesaikan pekerjaan satu persatu sebelum memulai yang lain.</v>
      </c>
      <c r="AV104" s="105" t="str">
        <f>IFERROR(__xludf.DUMMYFUNCTION("""COMPUTED_VALUE"""),"B Saya suka menolong teman-teman saya.")</f>
        <v>B Saya suka menolong teman-teman saya.</v>
      </c>
      <c r="AW104" s="105" t="str">
        <f>IFERROR(__xludf.DUMMYFUNCTION("""COMPUTED_VALUE"""),"B Saya ingin teman-teman saya percaya bahwa saya bisa menolong mereka.")</f>
        <v>B Saya ingin teman-teman saya percaya bahwa saya bisa menolong mereka.</v>
      </c>
      <c r="AX104" s="105" t="str">
        <f>IFERROR(__xludf.DUMMYFUNCTION("""COMPUTED_VALUE"""),"A Saya suka menolong teman-teman saya apabila mereka dalam kesulitan.")</f>
        <v>A Saya suka menolong teman-teman saya apabila mereka dalam kesulitan.</v>
      </c>
      <c r="AY104" s="105" t="str">
        <f>IFERROR(__xludf.DUMMYFUNCTION("""COMPUTED_VALUE"""),"A Saya rasanya ingin marah saat tidak sesuai dengan hati.")</f>
        <v>A Saya rasanya ingin marah saat tidak sesuai dengan hati.</v>
      </c>
      <c r="AZ104" s="105" t="str">
        <f>IFERROR(__xludf.DUMMYFUNCTION("""COMPUTED_VALUE"""),"B Saya suka menunjukkan simpati saya kepada teman-teman saya.")</f>
        <v>B Saya suka menunjukkan simpati saya kepada teman-teman saya.</v>
      </c>
      <c r="BA104" s="105" t="str">
        <f>IFERROR(__xludf.DUMMYFUNCTION("""COMPUTED_VALUE"""),"B Saya suka memperlakukan orang lain dengan baik dan ramah.")</f>
        <v>B Saya suka memperlakukan orang lain dengan baik dan ramah.</v>
      </c>
      <c r="BB104" s="105" t="str">
        <f>IFERROR(__xludf.DUMMYFUNCTION("""COMPUTED_VALUE"""),"B Saya suka bermurah hati terhadap teman-teman saya.")</f>
        <v>B Saya suka bermurah hati terhadap teman-teman saya.</v>
      </c>
      <c r="BC104" s="105" t="str">
        <f>IFERROR(__xludf.DUMMYFUNCTION("""COMPUTED_VALUE"""),"A Saya rasanya ingin mengecam seseorang bila orang itu menjengkelkan.")</f>
        <v>A Saya rasanya ingin mengecam seseorang bila orang itu menjengkelkan.</v>
      </c>
      <c r="BD104" s="105" t="str">
        <f>IFERROR(__xludf.DUMMYFUNCTION("""COMPUTED_VALUE"""),"B Saya suka bersikukuh dengan pendirian saya.")</f>
        <v>B Saya suka bersikukuh dengan pendirian saya.</v>
      </c>
      <c r="BE104" s="105" t="str">
        <f>IFERROR(__xludf.DUMMYFUNCTION("""COMPUTED_VALUE"""),"A Saya suka mendengarkan atau menceritakan hal-hal yang sebaiknya tidak diceritakan.")</f>
        <v>A Saya suka mendengarkan atau menceritakan hal-hal yang sebaiknya tidak diceritakan.</v>
      </c>
      <c r="BF104" s="105" t="str">
        <f>IFERROR(__xludf.DUMMYFUNCTION("""COMPUTED_VALUE"""),"B Bila saya dalam kelompok, saya ingin menentukan apa yang akan kita lakukan.")</f>
        <v>B Bila saya dalam kelompok, saya ingin menentukan apa yang akan kita lakukan.</v>
      </c>
      <c r="BG104" s="105" t="str">
        <f>IFERROR(__xludf.DUMMYFUNCTION("""COMPUTED_VALUE"""),"B Saya suka mengarahkan kepada orang lain apa yang harus dilakukan.")</f>
        <v>B Saya suka mengarahkan kepada orang lain apa yang harus dilakukan.</v>
      </c>
      <c r="BH104" s="105" t="str">
        <f>IFERROR(__xludf.DUMMYFUNCTION("""COMPUTED_VALUE"""),"A Saya suka menghindar dari situasi yang tidak saya harapkan.")</f>
        <v>A Saya suka menghindar dari situasi yang tidak saya harapkan.</v>
      </c>
      <c r="BI104" s="105" t="str">
        <f>IFERROR(__xludf.DUMMYFUNCTION("""COMPUTED_VALUE"""),"A Saya suka bermurah hati terhadap teman-teman saya.")</f>
        <v>A Saya suka bermurah hati terhadap teman-teman saya.</v>
      </c>
      <c r="BJ104" s="105" t="str">
        <f>IFERROR(__xludf.DUMMYFUNCTION("""COMPUTED_VALUE"""),"A Saya ingin mengerjakan tugas sampai selesai.")</f>
        <v>A Saya ingin mengerjakan tugas sampai selesai.</v>
      </c>
      <c r="BK104" s="105" t="str">
        <f>IFERROR(__xludf.DUMMYFUNCTION("""COMPUTED_VALUE"""),"A Saya ingin menyelesaikan pekerjaan satu persatu sebelum memulai yang lain.")</f>
        <v>A Saya ingin menyelesaikan pekerjaan satu persatu sebelum memulai yang lain.</v>
      </c>
      <c r="BL104" s="105" t="str">
        <f>IFERROR(__xludf.DUMMYFUNCTION("""COMPUTED_VALUE"""),"A Saya suka belajar saya teratur dan ada waktu-waktu tertentu untuk belajar.")</f>
        <v>A Saya suka belajar saya teratur dan ada waktu-waktu tertentu untuk belajar.</v>
      </c>
      <c r="BM104" s="105" t="str">
        <f>IFERROR(__xludf.DUMMYFUNCTION("""COMPUTED_VALUE"""),"A Saya suka melakukan pekerjaan sebaik mungkin.")</f>
        <v>A Saya suka melakukan pekerjaan sebaik mungkin.</v>
      </c>
      <c r="BN104" s="105" t="str">
        <f>IFERROR(__xludf.DUMMYFUNCTION("""COMPUTED_VALUE"""),"B Saya ingin teman-teman memberi dorongan bila saya menghadapi kegagalan.")</f>
        <v>B Saya ingin teman-teman memberi dorongan bila saya menghadapi kegagalan.</v>
      </c>
      <c r="BO104" s="105" t="str">
        <f>IFERROR(__xludf.DUMMYFUNCTION("""COMPUTED_VALUE"""),"A Saya suka membuat perencanaan sebelum memulai belajar yang sulit.")</f>
        <v>A Saya suka membuat perencanaan sebelum memulai belajar yang sulit.</v>
      </c>
      <c r="BP104" s="105" t="str">
        <f>IFERROR(__xludf.DUMMYFUNCTION("""COMPUTED_VALUE"""),"A Saya ingin menyelesaikan sesuatu yang sangat penting artinya.")</f>
        <v>A Saya ingin menyelesaikan sesuatu yang sangat penting artinya.</v>
      </c>
      <c r="BQ104" s="105" t="str">
        <f>IFERROR(__xludf.DUMMYFUNCTION("""COMPUTED_VALUE"""),"A Saya ingin mengerjakannya tugas sampai selesai.")</f>
        <v>A Saya ingin mengerjakannya tugas sampai selesai.</v>
      </c>
      <c r="BR104" s="105" t="str">
        <f>IFERROR(__xludf.DUMMYFUNCTION("""COMPUTED_VALUE"""),"A Saya suka memaafkan teman-teman saya yang menyakiti hati saya.")</f>
        <v>A Saya suka memaafkan teman-teman saya yang menyakiti hati saya.</v>
      </c>
      <c r="BS104" s="105" t="str">
        <f>IFERROR(__xludf.DUMMYFUNCTION("""COMPUTED_VALUE"""),"A Saya suka menghindar dari tanggung jawab yang tidak saya inginkan.")</f>
        <v>A Saya suka menghindar dari tanggung jawab yang tidak saya inginkan.</v>
      </c>
      <c r="BT104" s="105" t="str">
        <f>IFERROR(__xludf.DUMMYFUNCTION("""COMPUTED_VALUE"""),"B Saya ingin teman-teman banyak menunjukkan rasa sayang mereka terhadap saya.")</f>
        <v>B Saya ingin teman-teman banyak menunjukkan rasa sayang mereka terhadap saya.</v>
      </c>
      <c r="BU104" s="105" t="str">
        <f>IFERROR(__xludf.DUMMYFUNCTION("""COMPUTED_VALUE"""),"A Saya kadang-kadang suka melakukan hal-hal yang dapat dipuji oleh orang lain.")</f>
        <v>A Saya kadang-kadang suka melakukan hal-hal yang dapat dipuji oleh orang lain.</v>
      </c>
      <c r="BV104" s="105" t="str">
        <f>IFERROR(__xludf.DUMMYFUNCTION("""COMPUTED_VALUE"""),"B Saya ingin teman-teman dengan gembira memberikan pertolongan kepada saya.")</f>
        <v>B Saya ingin teman-teman dengan gembira memberikan pertolongan kepada saya.</v>
      </c>
      <c r="BW104" s="105" t="str">
        <f>IFERROR(__xludf.DUMMYFUNCTION("""COMPUTED_VALUE"""),"B Saya ingin diperlakukan dengan baik oleh teman-teman saya.")</f>
        <v>B Saya ingin diperlakukan dengan baik oleh teman-teman saya.</v>
      </c>
      <c r="BX104" s="105" t="str">
        <f>IFERROR(__xludf.DUMMYFUNCTION("""COMPUTED_VALUE"""),"B Saya kadang-kadang suka melakukan hal-hal yang dapat dipuji oleh orang lain.")</f>
        <v>B Saya kadang-kadang suka melakukan hal-hal yang dapat dipuji oleh orang lain.</v>
      </c>
      <c r="BY104" s="105" t="str">
        <f>IFERROR(__xludf.DUMMYFUNCTION("""COMPUTED_VALUE"""),"A Saya suka melamun atau membayangkan hal-hal yang tidak jelas.")</f>
        <v>A Saya suka melamun atau membayangkan hal-hal yang tidak jelas.</v>
      </c>
      <c r="BZ104" s="105" t="str">
        <f>IFERROR(__xludf.DUMMYFUNCTION("""COMPUTED_VALUE"""),"B Saya suka diperhatikan, apabila saya ada di dalam suatu kelompok.")</f>
        <v>B Saya suka diperhatikan, apabila saya ada di dalam suatu kelompok.</v>
      </c>
      <c r="CA104" s="105" t="str">
        <f>IFERROR(__xludf.DUMMYFUNCTION("""COMPUTED_VALUE"""),"A Saya ingin teman-teman dengan gembira memberikan pertolongan kepada saya.")</f>
        <v>A Saya ingin teman-teman dengan gembira memberikan pertolongan kepada saya.</v>
      </c>
      <c r="CB104" s="105" t="str">
        <f>IFERROR(__xludf.DUMMYFUNCTION("""COMPUTED_VALUE"""),"A Saya suka menghindar dari tanggung jawab yang tidak saya inginkan.")</f>
        <v>A Saya suka menghindar dari tanggung jawab yang tidak saya inginkan.</v>
      </c>
      <c r="CC104" s="105" t="str">
        <f>IFERROR(__xludf.DUMMYFUNCTION("""COMPUTED_VALUE"""),"A Apabila saya berkumpul dalam kelompok, saya ingin dihargai teman-teman.")</f>
        <v>A Apabila saya berkumpul dalam kelompok, saya ingin dihargai teman-teman.</v>
      </c>
      <c r="CD104" s="105" t="str">
        <f>IFERROR(__xludf.DUMMYFUNCTION("""COMPUTED_VALUE"""),"A Saya suka menyelesaikan setiap tugas meskipun membutuhkan waktu lama.")</f>
        <v>A Saya suka menyelesaikan setiap tugas meskipun membutuhkan waktu lama.</v>
      </c>
      <c r="CE104" s="105" t="str">
        <f>IFERROR(__xludf.DUMMYFUNCTION("""COMPUTED_VALUE"""),"A Saya suka menyelesaikan setiap tugas belajar yang telah saya mulai.")</f>
        <v>A Saya suka menyelesaikan setiap tugas belajar yang telah saya mulai.</v>
      </c>
      <c r="CF104" s="105" t="str">
        <f>IFERROR(__xludf.DUMMYFUNCTION("""COMPUTED_VALUE"""),"A Saya ingin agar hidup saya teratur sesuai cita-cita saya.")</f>
        <v>A Saya ingin agar hidup saya teratur sesuai cita-cita saya.</v>
      </c>
      <c r="CG104" s="105" t="str">
        <f>IFERROR(__xludf.DUMMYFUNCTION("""COMPUTED_VALUE"""),"A Saya ingin berhasil dalam apa yang saya lakukan.")</f>
        <v>A Saya ingin berhasil dalam apa yang saya lakukan.</v>
      </c>
      <c r="CH104" s="105" t="str">
        <f>IFERROR(__xludf.DUMMYFUNCTION("""COMPUTED_VALUE"""),"A Saya ingin bisa melakukan dengan baik sesuatu pekerjaan sulit.")</f>
        <v>A Saya ingin bisa melakukan dengan baik sesuatu pekerjaan sulit.</v>
      </c>
      <c r="CI104" s="105" t="str">
        <f>IFERROR(__xludf.DUMMYFUNCTION("""COMPUTED_VALUE"""),"A Saya suka belajar saya teratur dan ada waktu-waktu tertentu untuk belajar.")</f>
        <v>A Saya suka belajar saya teratur dan ada waktu-waktu tertentu untuk belajar.</v>
      </c>
      <c r="CJ104" s="105" t="str">
        <f>IFERROR(__xludf.DUMMYFUNCTION("""COMPUTED_VALUE"""),"A Saya ingin tidak tergantung dari orang lain terhadap apa yang akan saya lakukan.")</f>
        <v>A Saya ingin tidak tergantung dari orang lain terhadap apa yang akan saya lakukan.</v>
      </c>
      <c r="CK104" s="105" t="str">
        <f>IFERROR(__xludf.DUMMYFUNCTION("""COMPUTED_VALUE"""),"B Saya senang ikut beraktivitas bersama teman sebaya saya.")</f>
        <v>B Saya senang ikut beraktivitas bersama teman sebaya saya.</v>
      </c>
      <c r="CL104" s="105" t="str">
        <f>IFERROR(__xludf.DUMMYFUNCTION("""COMPUTED_VALUE"""),"A Saya suka menolong teman-teman saya, apabila mereka dalam kesulitan.")</f>
        <v>A Saya suka menolong teman-teman saya, apabila mereka dalam kesulitan.</v>
      </c>
      <c r="CM104" s="105" t="str">
        <f>IFERROR(__xludf.DUMMYFUNCTION("""COMPUTED_VALUE"""),"B Saya merasa kagum pada seseorang.")</f>
        <v>B Saya merasa kagum pada seseorang.</v>
      </c>
      <c r="CN104" s="105" t="str">
        <f>IFERROR(__xludf.DUMMYFUNCTION("""COMPUTED_VALUE"""),"A Saya ingin diperlakukan dengan baik oleh teman-teman saya.")</f>
        <v>A Saya ingin diperlakukan dengan baik oleh teman-teman saya.</v>
      </c>
      <c r="CO104" s="105" t="str">
        <f>IFERROR(__xludf.DUMMYFUNCTION("""COMPUTED_VALUE"""),"A Saya suka menceritakan hal-hal lucu agar diperhatikan oleh orang lain.")</f>
        <v>A Saya suka menceritakan hal-hal lucu agar diperhatikan oleh orang lain.</v>
      </c>
      <c r="CP104" s="105" t="str">
        <f>IFERROR(__xludf.DUMMYFUNCTION("""COMPUTED_VALUE"""),"A Saya suka melamun atau membayangkan sesuatu sendirian.")</f>
        <v>A Saya suka melamun atau membayangkan sesuatu sendirian.</v>
      </c>
      <c r="CQ104" s="105" t="str">
        <f>IFERROR(__xludf.DUMMYFUNCTION("""COMPUTED_VALUE"""),"B Saya merasa kagum pada seseorang.")</f>
        <v>B Saya merasa kagum pada seseorang.</v>
      </c>
      <c r="CR104" s="105" t="str">
        <f>IFERROR(__xludf.DUMMYFUNCTION("""COMPUTED_VALUE"""),"B Saya rasanya ingin mengecam seseorang bila orang itu menjengkelkan.")</f>
        <v>B Saya rasanya ingin mengecam seseorang bila orang itu menjengkelkan.</v>
      </c>
      <c r="CS104" s="105" t="str">
        <f>IFERROR(__xludf.DUMMYFUNCTION("""COMPUTED_VALUE"""),"A Saya ingin terlihat menarik di depan teman-teman saya.")</f>
        <v>A Saya ingin terlihat menarik di depan teman-teman saya.</v>
      </c>
      <c r="CT104" s="105" t="str">
        <f>IFERROR(__xludf.DUMMYFUNCTION("""COMPUTED_VALUE"""),"A Saya ingin orang-orang memperhatikan komentar mengenai penampilan saya.")</f>
        <v>A Saya ingin orang-orang memperhatikan komentar mengenai penampilan saya.</v>
      </c>
      <c r="CU104" s="105" t="str">
        <f>IFERROR(__xludf.DUMMYFUNCTION("""COMPUTED_VALUE"""),"A Saya ingin diperlakukan dengan ramah oleh teman-teman saya.")</f>
        <v>A Saya ingin diperlakukan dengan ramah oleh teman-teman saya.</v>
      </c>
      <c r="CV104" s="105" t="str">
        <f>IFERROR(__xludf.DUMMYFUNCTION("""COMPUTED_VALUE"""),"A Saya ingin ditunjuk atau dipilih sebagai ketua dalam suatu kelompok.")</f>
        <v>A Saya ingin ditunjuk atau dipilih sebagai ketua dalam suatu kelompok.</v>
      </c>
      <c r="CW104" s="105" t="str">
        <f>IFERROR(__xludf.DUMMYFUNCTION("""COMPUTED_VALUE"""),"A Saya suka menolong teman-teman saya, apabila mereka dalam kesulitan.")</f>
        <v>A Saya suka menolong teman-teman saya, apabila mereka dalam kesulitan.</v>
      </c>
      <c r="CX104" s="105" t="str">
        <f>IFERROR(__xludf.DUMMYFUNCTION("""COMPUTED_VALUE"""),"A Saya suka belajar sampai malam untuk menyelesaikan suatu tugas.")</f>
        <v>A Saya suka belajar sampai malam untuk menyelesaikan suatu tugas.</v>
      </c>
      <c r="CY104" s="105" t="str">
        <f>IFERROR(__xludf.DUMMYFUNCTION("""COMPUTED_VALUE"""),"A Saya ingin tidak tergantung dari orang lain terhadap apa yang akan saya lakukan.")</f>
        <v>A Saya ingin tidak tergantung dari orang lain terhadap apa yang akan saya lakukan.</v>
      </c>
      <c r="CZ104" s="105" t="str">
        <f>IFERROR(__xludf.DUMMYFUNCTION("""COMPUTED_VALUE"""),"A Saya suka merencanakan dan mengatur setiap pekerjaan yang harus saya lakukan.")</f>
        <v>A Saya suka merencanakan dan mengatur setiap pekerjaan yang harus saya lakukan.</v>
      </c>
      <c r="DA104" s="105" t="str">
        <f>IFERROR(__xludf.DUMMYFUNCTION("""COMPUTED_VALUE"""),"A Saya ingin melakukan apa saja sebaik mungkin.")</f>
        <v>A Saya ingin melakukan apa saja sebaik mungkin.</v>
      </c>
      <c r="DB104" s="89" t="s">
        <v>23</v>
      </c>
      <c r="DC104" s="97" t="str">
        <f t="shared" ref="DC104:GX104" si="149">LEFT(F104,1)</f>
        <v>B</v>
      </c>
      <c r="DD104" s="97" t="str">
        <f t="shared" si="149"/>
        <v>A</v>
      </c>
      <c r="DE104" s="97" t="str">
        <f t="shared" si="149"/>
        <v>B</v>
      </c>
      <c r="DF104" s="97" t="str">
        <f t="shared" si="149"/>
        <v>B</v>
      </c>
      <c r="DG104" s="97" t="str">
        <f t="shared" si="149"/>
        <v>A</v>
      </c>
      <c r="DH104" s="97" t="str">
        <f t="shared" si="149"/>
        <v>B</v>
      </c>
      <c r="DI104" s="97" t="str">
        <f t="shared" si="149"/>
        <v>A</v>
      </c>
      <c r="DJ104" s="97" t="str">
        <f t="shared" si="149"/>
        <v>B</v>
      </c>
      <c r="DK104" s="97" t="str">
        <f t="shared" si="149"/>
        <v>B</v>
      </c>
      <c r="DL104" s="97" t="str">
        <f t="shared" si="149"/>
        <v>B</v>
      </c>
      <c r="DM104" s="97" t="str">
        <f t="shared" si="149"/>
        <v>A</v>
      </c>
      <c r="DN104" s="97" t="str">
        <f t="shared" si="149"/>
        <v>B</v>
      </c>
      <c r="DO104" s="97" t="str">
        <f t="shared" si="149"/>
        <v>B</v>
      </c>
      <c r="DP104" s="97" t="str">
        <f t="shared" si="149"/>
        <v>A</v>
      </c>
      <c r="DQ104" s="97" t="str">
        <f t="shared" si="149"/>
        <v>B</v>
      </c>
      <c r="DR104" s="97" t="str">
        <f t="shared" si="149"/>
        <v>A</v>
      </c>
      <c r="DS104" s="97" t="str">
        <f t="shared" si="149"/>
        <v>B</v>
      </c>
      <c r="DT104" s="97" t="str">
        <f t="shared" si="149"/>
        <v>A</v>
      </c>
      <c r="DU104" s="97" t="str">
        <f t="shared" si="149"/>
        <v>A</v>
      </c>
      <c r="DV104" s="97" t="str">
        <f t="shared" si="149"/>
        <v>A</v>
      </c>
      <c r="DW104" s="97" t="str">
        <f t="shared" si="149"/>
        <v>A</v>
      </c>
      <c r="DX104" s="97" t="str">
        <f t="shared" si="149"/>
        <v>B</v>
      </c>
      <c r="DY104" s="97" t="str">
        <f t="shared" si="149"/>
        <v>A</v>
      </c>
      <c r="DZ104" s="97" t="str">
        <f t="shared" si="149"/>
        <v>A</v>
      </c>
      <c r="EA104" s="97" t="str">
        <f t="shared" si="149"/>
        <v>A</v>
      </c>
      <c r="EB104" s="97" t="str">
        <f t="shared" si="149"/>
        <v>A</v>
      </c>
      <c r="EC104" s="97" t="str">
        <f t="shared" si="149"/>
        <v>B</v>
      </c>
      <c r="ED104" s="97" t="str">
        <f t="shared" si="149"/>
        <v>A</v>
      </c>
      <c r="EE104" s="97" t="str">
        <f t="shared" si="149"/>
        <v>A</v>
      </c>
      <c r="EF104" s="97" t="str">
        <f t="shared" si="149"/>
        <v>B</v>
      </c>
      <c r="EG104" s="97" t="str">
        <f t="shared" si="149"/>
        <v>B</v>
      </c>
      <c r="EH104" s="97" t="str">
        <f t="shared" si="149"/>
        <v>B</v>
      </c>
      <c r="EI104" s="97" t="str">
        <f t="shared" si="149"/>
        <v>B</v>
      </c>
      <c r="EJ104" s="97" t="str">
        <f t="shared" si="149"/>
        <v>B</v>
      </c>
      <c r="EK104" s="97" t="str">
        <f t="shared" si="149"/>
        <v>A</v>
      </c>
      <c r="EL104" s="97" t="str">
        <f t="shared" si="149"/>
        <v>A</v>
      </c>
      <c r="EM104" s="97" t="str">
        <f t="shared" si="149"/>
        <v>B</v>
      </c>
      <c r="EN104" s="97" t="str">
        <f t="shared" si="149"/>
        <v>A</v>
      </c>
      <c r="EO104" s="97" t="str">
        <f t="shared" si="149"/>
        <v>A</v>
      </c>
      <c r="EP104" s="97" t="str">
        <f t="shared" si="149"/>
        <v>A</v>
      </c>
      <c r="EQ104" s="97" t="str">
        <f t="shared" si="149"/>
        <v>A</v>
      </c>
      <c r="ER104" s="97" t="str">
        <f t="shared" si="149"/>
        <v>A</v>
      </c>
      <c r="ES104" s="97" t="str">
        <f t="shared" si="149"/>
        <v>B</v>
      </c>
      <c r="ET104" s="97" t="str">
        <f t="shared" si="149"/>
        <v>B</v>
      </c>
      <c r="EU104" s="97" t="str">
        <f t="shared" si="149"/>
        <v>A</v>
      </c>
      <c r="EV104" s="97" t="str">
        <f t="shared" si="149"/>
        <v>A</v>
      </c>
      <c r="EW104" s="97" t="str">
        <f t="shared" si="149"/>
        <v>B</v>
      </c>
      <c r="EX104" s="97" t="str">
        <f t="shared" si="149"/>
        <v>B</v>
      </c>
      <c r="EY104" s="97" t="str">
        <f t="shared" si="149"/>
        <v>B</v>
      </c>
      <c r="EZ104" s="97" t="str">
        <f t="shared" si="149"/>
        <v>A</v>
      </c>
      <c r="FA104" s="97" t="str">
        <f t="shared" si="149"/>
        <v>B</v>
      </c>
      <c r="FB104" s="97" t="str">
        <f t="shared" si="149"/>
        <v>A</v>
      </c>
      <c r="FC104" s="97" t="str">
        <f t="shared" si="149"/>
        <v>B</v>
      </c>
      <c r="FD104" s="97" t="str">
        <f t="shared" si="149"/>
        <v>B</v>
      </c>
      <c r="FE104" s="97" t="str">
        <f t="shared" si="149"/>
        <v>A</v>
      </c>
      <c r="FF104" s="97" t="str">
        <f t="shared" si="149"/>
        <v>A</v>
      </c>
      <c r="FG104" s="97" t="str">
        <f t="shared" si="149"/>
        <v>A</v>
      </c>
      <c r="FH104" s="97" t="str">
        <f t="shared" si="149"/>
        <v>A</v>
      </c>
      <c r="FI104" s="97" t="str">
        <f t="shared" si="149"/>
        <v>A</v>
      </c>
      <c r="FJ104" s="97" t="str">
        <f t="shared" si="149"/>
        <v>A</v>
      </c>
      <c r="FK104" s="97" t="str">
        <f t="shared" si="149"/>
        <v>B</v>
      </c>
      <c r="FL104" s="97" t="str">
        <f t="shared" si="149"/>
        <v>A</v>
      </c>
      <c r="FM104" s="97" t="str">
        <f t="shared" si="149"/>
        <v>A</v>
      </c>
      <c r="FN104" s="97" t="str">
        <f t="shared" si="149"/>
        <v>A</v>
      </c>
      <c r="FO104" s="97" t="str">
        <f t="shared" si="149"/>
        <v>A</v>
      </c>
      <c r="FP104" s="97" t="str">
        <f t="shared" si="149"/>
        <v>A</v>
      </c>
      <c r="FQ104" s="97" t="str">
        <f t="shared" si="149"/>
        <v>B</v>
      </c>
      <c r="FR104" s="97" t="str">
        <f t="shared" si="149"/>
        <v>A</v>
      </c>
      <c r="FS104" s="97" t="str">
        <f t="shared" si="149"/>
        <v>B</v>
      </c>
      <c r="FT104" s="97" t="str">
        <f t="shared" si="149"/>
        <v>B</v>
      </c>
      <c r="FU104" s="97" t="str">
        <f t="shared" si="149"/>
        <v>B</v>
      </c>
      <c r="FV104" s="97" t="str">
        <f t="shared" si="149"/>
        <v>A</v>
      </c>
      <c r="FW104" s="97" t="str">
        <f t="shared" si="149"/>
        <v>B</v>
      </c>
      <c r="FX104" s="97" t="str">
        <f t="shared" si="149"/>
        <v>A</v>
      </c>
      <c r="FY104" s="97" t="str">
        <f t="shared" si="149"/>
        <v>A</v>
      </c>
      <c r="FZ104" s="97" t="str">
        <f t="shared" si="149"/>
        <v>A</v>
      </c>
      <c r="GA104" s="97" t="str">
        <f t="shared" si="149"/>
        <v>A</v>
      </c>
      <c r="GB104" s="97" t="str">
        <f t="shared" si="149"/>
        <v>A</v>
      </c>
      <c r="GC104" s="97" t="str">
        <f t="shared" si="149"/>
        <v>A</v>
      </c>
      <c r="GD104" s="97" t="str">
        <f t="shared" si="149"/>
        <v>A</v>
      </c>
      <c r="GE104" s="97" t="str">
        <f t="shared" si="149"/>
        <v>A</v>
      </c>
      <c r="GF104" s="97" t="str">
        <f t="shared" si="149"/>
        <v>A</v>
      </c>
      <c r="GG104" s="97" t="str">
        <f t="shared" si="149"/>
        <v>A</v>
      </c>
      <c r="GH104" s="97" t="str">
        <f t="shared" si="149"/>
        <v>B</v>
      </c>
      <c r="GI104" s="97" t="str">
        <f t="shared" si="149"/>
        <v>A</v>
      </c>
      <c r="GJ104" s="97" t="str">
        <f t="shared" si="149"/>
        <v>B</v>
      </c>
      <c r="GK104" s="97" t="str">
        <f t="shared" si="149"/>
        <v>A</v>
      </c>
      <c r="GL104" s="97" t="str">
        <f t="shared" si="149"/>
        <v>A</v>
      </c>
      <c r="GM104" s="97" t="str">
        <f t="shared" si="149"/>
        <v>A</v>
      </c>
      <c r="GN104" s="97" t="str">
        <f t="shared" si="149"/>
        <v>B</v>
      </c>
      <c r="GO104" s="97" t="str">
        <f t="shared" si="149"/>
        <v>B</v>
      </c>
      <c r="GP104" s="97" t="str">
        <f t="shared" si="149"/>
        <v>A</v>
      </c>
      <c r="GQ104" s="97" t="str">
        <f t="shared" si="149"/>
        <v>A</v>
      </c>
      <c r="GR104" s="97" t="str">
        <f t="shared" si="149"/>
        <v>A</v>
      </c>
      <c r="GS104" s="97" t="str">
        <f t="shared" si="149"/>
        <v>A</v>
      </c>
      <c r="GT104" s="97" t="str">
        <f t="shared" si="149"/>
        <v>A</v>
      </c>
      <c r="GU104" s="97" t="str">
        <f t="shared" si="149"/>
        <v>A</v>
      </c>
      <c r="GV104" s="97" t="str">
        <f t="shared" si="149"/>
        <v>A</v>
      </c>
      <c r="GW104" s="97" t="str">
        <f t="shared" si="149"/>
        <v>A</v>
      </c>
      <c r="GX104" s="97" t="str">
        <f t="shared" si="149"/>
        <v>A</v>
      </c>
      <c r="GY104" s="98"/>
      <c r="GZ104" s="97">
        <f t="shared" si="3"/>
        <v>63</v>
      </c>
      <c r="HA104" s="97">
        <f t="shared" si="4"/>
        <v>37</v>
      </c>
      <c r="HB104" s="90">
        <f t="shared" si="5"/>
        <v>100</v>
      </c>
      <c r="HC104" s="99"/>
      <c r="HD104" s="97">
        <f t="shared" si="6"/>
        <v>8</v>
      </c>
      <c r="HE104" s="97">
        <f t="shared" si="7"/>
        <v>6</v>
      </c>
      <c r="HF104" s="90">
        <f t="shared" si="8"/>
        <v>14</v>
      </c>
      <c r="HG104" s="99"/>
      <c r="HH104" s="97">
        <f t="shared" si="9"/>
        <v>8</v>
      </c>
      <c r="HI104" s="97">
        <f t="shared" si="10"/>
        <v>4</v>
      </c>
      <c r="HJ104" s="90">
        <f t="shared" si="11"/>
        <v>12</v>
      </c>
      <c r="HK104" s="99"/>
      <c r="HL104" s="97">
        <f t="shared" si="12"/>
        <v>7</v>
      </c>
      <c r="HM104" s="97">
        <f t="shared" si="13"/>
        <v>3</v>
      </c>
      <c r="HN104" s="90">
        <f t="shared" si="14"/>
        <v>10</v>
      </c>
      <c r="HO104" s="99"/>
      <c r="HP104" s="97">
        <f t="shared" si="15"/>
        <v>5</v>
      </c>
      <c r="HQ104" s="97">
        <f t="shared" si="16"/>
        <v>5</v>
      </c>
      <c r="HR104" s="90">
        <f t="shared" si="17"/>
        <v>10</v>
      </c>
      <c r="HS104" s="99"/>
      <c r="HT104" s="97">
        <f t="shared" si="18"/>
        <v>9</v>
      </c>
      <c r="HU104" s="97">
        <f t="shared" si="19"/>
        <v>5</v>
      </c>
      <c r="HV104" s="90">
        <f t="shared" si="20"/>
        <v>14</v>
      </c>
      <c r="HW104" s="99"/>
      <c r="HX104" s="97">
        <f t="shared" si="21"/>
        <v>6</v>
      </c>
      <c r="HY104" s="97">
        <f t="shared" si="22"/>
        <v>3</v>
      </c>
      <c r="HZ104" s="90">
        <f t="shared" si="23"/>
        <v>9</v>
      </c>
      <c r="IA104" s="99"/>
      <c r="IB104" s="97">
        <f t="shared" si="24"/>
        <v>5</v>
      </c>
      <c r="IC104" s="97">
        <f t="shared" si="25"/>
        <v>4</v>
      </c>
      <c r="ID104" s="90">
        <f t="shared" si="26"/>
        <v>9</v>
      </c>
      <c r="IE104" s="99"/>
      <c r="IF104" s="97">
        <f t="shared" si="27"/>
        <v>4</v>
      </c>
      <c r="IG104" s="97">
        <f t="shared" si="28"/>
        <v>2</v>
      </c>
      <c r="IH104" s="90">
        <f t="shared" si="29"/>
        <v>6</v>
      </c>
      <c r="II104" s="99"/>
      <c r="IJ104" s="97">
        <f t="shared" si="30"/>
        <v>4</v>
      </c>
      <c r="IK104" s="97">
        <f t="shared" si="31"/>
        <v>3</v>
      </c>
      <c r="IL104" s="90">
        <f t="shared" si="32"/>
        <v>7</v>
      </c>
      <c r="IM104" s="99"/>
      <c r="IN104" s="97">
        <f t="shared" si="33"/>
        <v>2</v>
      </c>
      <c r="IO104" s="97">
        <f t="shared" si="34"/>
        <v>1</v>
      </c>
      <c r="IP104" s="90">
        <f t="shared" si="35"/>
        <v>3</v>
      </c>
      <c r="IS104" s="100">
        <f t="shared" si="36"/>
        <v>14</v>
      </c>
      <c r="IT104" s="100">
        <f t="shared" si="37"/>
        <v>12</v>
      </c>
      <c r="IU104" s="100">
        <f t="shared" si="38"/>
        <v>10</v>
      </c>
      <c r="IV104" s="100">
        <f t="shared" si="39"/>
        <v>10</v>
      </c>
      <c r="IW104" s="100">
        <f t="shared" si="40"/>
        <v>14</v>
      </c>
      <c r="IX104" s="100">
        <f t="shared" si="41"/>
        <v>9</v>
      </c>
      <c r="IY104" s="100">
        <f t="shared" si="42"/>
        <v>9</v>
      </c>
      <c r="IZ104" s="100">
        <f t="shared" si="43"/>
        <v>6</v>
      </c>
      <c r="JA104" s="100">
        <f t="shared" si="44"/>
        <v>7</v>
      </c>
      <c r="JB104" s="101">
        <f t="shared" si="45"/>
        <v>3</v>
      </c>
      <c r="JC104" s="102">
        <f t="shared" si="46"/>
        <v>94</v>
      </c>
      <c r="JD104" s="67">
        <f t="shared" si="50"/>
        <v>0</v>
      </c>
      <c r="JE104" s="67">
        <f t="shared" si="47"/>
        <v>0</v>
      </c>
      <c r="JF104" s="67">
        <f t="shared" si="48"/>
        <v>0</v>
      </c>
    </row>
    <row r="105">
      <c r="A105" s="104">
        <f>IFERROR(__xludf.DUMMYFUNCTION("""COMPUTED_VALUE"""),45950.374541770834)</f>
        <v>45950.37454</v>
      </c>
      <c r="B105" s="105" t="str">
        <f>IFERROR(__xludf.DUMMYFUNCTION("""COMPUTED_VALUE"""),"Muhammad Dafa Athallah")</f>
        <v>Muhammad Dafa Athallah</v>
      </c>
      <c r="C105" s="7" t="str">
        <f>IFERROR(__xludf.DUMMYFUNCTION("""COMPUTED_VALUE"""),"B250023")</f>
        <v>B250023</v>
      </c>
      <c r="D105" s="7" t="str">
        <f>IFERROR(__xludf.DUMMYFUNCTION("""COMPUTED_VALUE"""),"IL Putra")</f>
        <v>IL Putra</v>
      </c>
      <c r="E105" s="7" t="str">
        <f>IFERROR(__xludf.DUMMYFUNCTION("""COMPUTED_VALUE"""),"Ya")</f>
        <v>Ya</v>
      </c>
      <c r="F105" s="105" t="str">
        <f>IFERROR(__xludf.DUMMYFUNCTION("""COMPUTED_VALUE"""),"B Saya ingin melakukan apa saja sebaik mungkin.")</f>
        <v>B Saya ingin melakukan apa saja sebaik mungkin.</v>
      </c>
      <c r="G105" s="105" t="str">
        <f>IFERROR(__xludf.DUMMYFUNCTION("""COMPUTED_VALUE"""),"B Saya ingin menyelesaikan tugas yang segera dikumpulkan.")</f>
        <v>B Saya ingin menyelesaikan tugas yang segera dikumpulkan.</v>
      </c>
      <c r="H105" s="105" t="str">
        <f>IFERROR(__xludf.DUMMYFUNCTION("""COMPUTED_VALUE"""),"A Saya ingin berbuat sesuai kata hati saya.")</f>
        <v>A Saya ingin berbuat sesuai kata hati saya.</v>
      </c>
      <c r="I105" s="105" t="str">
        <f>IFERROR(__xludf.DUMMYFUNCTION("""COMPUTED_VALUE"""),"B Saya ingin bisa melakukan dengan baik meskipun tugas yang sulit.")</f>
        <v>B Saya ingin bisa melakukan dengan baik meskipun tugas yang sulit.</v>
      </c>
      <c r="J105" s="105" t="str">
        <f>IFERROR(__xludf.DUMMYFUNCTION("""COMPUTED_VALUE"""),"A Saya suka membantu teman-teman saya apabila mereka mengalami kesulitan.")</f>
        <v>A Saya suka membantu teman-teman saya apabila mereka mengalami kesulitan.</v>
      </c>
      <c r="K105" s="105" t="str">
        <f>IFERROR(__xludf.DUMMYFUNCTION("""COMPUTED_VALUE"""),"B Saya ingin mengatakan telah melakukan dengan baik sesuatu tugas yang sulit.")</f>
        <v>B Saya ingin mengatakan telah melakukan dengan baik sesuatu tugas yang sulit.</v>
      </c>
      <c r="L105" s="105" t="str">
        <f>IFERROR(__xludf.DUMMYFUNCTION("""COMPUTED_VALUE"""),"B Saya ingin mengatakan telah melakukan dengan baik sesuatu tugas yang sulit")</f>
        <v>B Saya ingin mengatakan telah melakukan dengan baik sesuatu tugas yang sulit</v>
      </c>
      <c r="M105" s="105" t="str">
        <f>IFERROR(__xludf.DUMMYFUNCTION("""COMPUTED_VALUE"""),"B Saya ingin mengerjakan segala tugas lebih baik daripada orang lain.")</f>
        <v>B Saya ingin mengerjakan segala tugas lebih baik daripada orang lain.</v>
      </c>
      <c r="N105" s="105" t="str">
        <f>IFERROR(__xludf.DUMMYFUNCTION("""COMPUTED_VALUE"""),"A Saya suka pergi dengan pakaian rapi agar lebih menarik perhatian orang lain.")</f>
        <v>A Saya suka pergi dengan pakaian rapi agar lebih menarik perhatian orang lain.</v>
      </c>
      <c r="O105" s="105" t="str">
        <f>IFERROR(__xludf.DUMMYFUNCTION("""COMPUTED_VALUE"""),"A Saya marah saat ada teman memperolok-olok hal-hal yang saya anggap bodoh.")</f>
        <v>A Saya marah saat ada teman memperolok-olok hal-hal yang saya anggap bodoh.</v>
      </c>
      <c r="P105" s="105" t="str">
        <f>IFERROR(__xludf.DUMMYFUNCTION("""COMPUTED_VALUE"""),"A Saya suka bercerita tentang hal-hal yang menegangkan atau menantang.")</f>
        <v>A Saya suka bercerita tentang hal-hal yang menegangkan atau menantang.</v>
      </c>
      <c r="Q105" s="105" t="str">
        <f>IFERROR(__xludf.DUMMYFUNCTION("""COMPUTED_VALUE"""),"B Saya merencanakan keperluan yang dibutuhkan sebelum bepergian.")</f>
        <v>B Saya merencanakan keperluan yang dibutuhkan sebelum bepergian.</v>
      </c>
      <c r="R105" s="105" t="str">
        <f>IFERROR(__xludf.DUMMYFUNCTION("""COMPUTED_VALUE"""),"B Saya suka barang-barang saya tersusun rapi dan teratur.")</f>
        <v>B Saya suka barang-barang saya tersusun rapi dan teratur.</v>
      </c>
      <c r="S105" s="105" t="str">
        <f>IFERROR(__xludf.DUMMYFUNCTION("""COMPUTED_VALUE"""),"B Saya suka membuat perencanaan sebelum memulai tugas yang sulit.")</f>
        <v>B Saya suka membuat perencanaan sebelum memulai tugas yang sulit.</v>
      </c>
      <c r="T105" s="105" t="str">
        <f>IFERROR(__xludf.DUMMYFUNCTION("""COMPUTED_VALUE"""),"B Saya ingin agar hidup saya teratur sesuai cita-cita saya.")</f>
        <v>B Saya ingin agar hidup saya teratur sesuai cita-cita saya.</v>
      </c>
      <c r="U105" s="105" t="str">
        <f>IFERROR(__xludf.DUMMYFUNCTION("""COMPUTED_VALUE"""),"A Saya suka memberikan bantuan kepada teman-teman saya.")</f>
        <v>A Saya suka memberikan bantuan kepada teman-teman saya.</v>
      </c>
      <c r="V105" s="105" t="str">
        <f>IFERROR(__xludf.DUMMYFUNCTION("""COMPUTED_VALUE"""),"B Saya suka belajar saya teratur dan ada waktu-waktu tertentu untuk belajar.")</f>
        <v>B Saya suka belajar saya teratur dan ada waktu-waktu tertentu untuk belajar.</v>
      </c>
      <c r="W105" s="105" t="str">
        <f>IFERROR(__xludf.DUMMYFUNCTION("""COMPUTED_VALUE"""),"B Saya ingin kegiatan itu teratur dan direncanakan.")</f>
        <v>B Saya ingin kegiatan itu teratur dan direncanakan.</v>
      </c>
      <c r="X105" s="105" t="str">
        <f>IFERROR(__xludf.DUMMYFUNCTION("""COMPUTED_VALUE"""),"A Saya suka merencanakan dan mengatur setiap apa yang harus saya lakukan.")</f>
        <v>A Saya suka merencanakan dan mengatur setiap apa yang harus saya lakukan.</v>
      </c>
      <c r="Y105" s="105" t="str">
        <f>IFERROR(__xludf.DUMMYFUNCTION("""COMPUTED_VALUE"""),"A Saya suka menyelesaikan tugas-tugas yang membutuhkan ketrampilan dan usaha.")</f>
        <v>A Saya suka menyelesaikan tugas-tugas yang membutuhkan ketrampilan dan usaha.</v>
      </c>
      <c r="Z105" s="105" t="str">
        <f>IFERROR(__xludf.DUMMYFUNCTION("""COMPUTED_VALUE"""),"A Saya ingin berhasil dengan belajar yang saya lakukan.")</f>
        <v>A Saya ingin berhasil dengan belajar yang saya lakukan.</v>
      </c>
      <c r="AA105" s="105" t="str">
        <f>IFERROR(__xludf.DUMMYFUNCTION("""COMPUTED_VALUE"""),"B Saya tidak suka pada orang yang berbuat seenaknya sendiri.")</f>
        <v>B Saya tidak suka pada orang yang berbuat seenaknya sendiri.</v>
      </c>
      <c r="AB105" s="105" t="str">
        <f>IFERROR(__xludf.DUMMYFUNCTION("""COMPUTED_VALUE"""),"B Saya ingin menyelesaikan pekerjaan satu persatu sebelum memulai yang lain.")</f>
        <v>B Saya ingin menyelesaikan pekerjaan satu persatu sebelum memulai yang lain.</v>
      </c>
      <c r="AC105" s="105" t="str">
        <f>IFERROR(__xludf.DUMMYFUNCTION("""COMPUTED_VALUE"""),"B Saya suka melakukan kegiatan sesuai kondisi yang saya inginkan.")</f>
        <v>B Saya suka melakukan kegiatan sesuai kondisi yang saya inginkan.</v>
      </c>
      <c r="AD105" s="105" t="str">
        <f>IFERROR(__xludf.DUMMYFUNCTION("""COMPUTED_VALUE"""),"B Saya suka menyatakan pendapat saya tentang berbagai hal.")</f>
        <v>B Saya suka menyatakan pendapat saya tentang berbagai hal.</v>
      </c>
      <c r="AE105" s="105" t="str">
        <f>IFERROR(__xludf.DUMMYFUNCTION("""COMPUTED_VALUE"""),"A Saya ingin dianggap sebagai pemimpin oleh teman di kelompok.")</f>
        <v>A Saya ingin dianggap sebagai pemimpin oleh teman di kelompok.</v>
      </c>
      <c r="AF105" s="105" t="str">
        <f>IFERROR(__xludf.DUMMYFUNCTION("""COMPUTED_VALUE"""),"B Saya suka melakukan hal-hal dengan cara saya sendiri.")</f>
        <v>B Saya suka melakukan hal-hal dengan cara saya sendiri.</v>
      </c>
      <c r="AG105" s="105" t="str">
        <f>IFERROR(__xludf.DUMMYFUNCTION("""COMPUTED_VALUE"""),"B Saya ingin berhasil dengan tugas yang saya lakukan.")</f>
        <v>B Saya ingin berhasil dengan tugas yang saya lakukan.</v>
      </c>
      <c r="AH105" s="105" t="str">
        <f>IFERROR(__xludf.DUMMYFUNCTION("""COMPUTED_VALUE"""),"A Saya suka membaca buku-buku tentang pergaulan remaja.")</f>
        <v>A Saya suka membaca buku-buku tentang pergaulan remaja.</v>
      </c>
      <c r="AI105" s="105" t="str">
        <f>IFERROR(__xludf.DUMMYFUNCTION("""COMPUTED_VALUE"""),"B Saya suka melakukan kegiatan sesuai kondisi yang saya inginkan.")</f>
        <v>B Saya suka melakukan kegiatan sesuai kondisi yang saya inginkan.</v>
      </c>
      <c r="AJ105" s="105" t="str">
        <f>IFERROR(__xludf.DUMMYFUNCTION("""COMPUTED_VALUE"""),"B Saya suka bertahan menghadapi satu masalah meskipun belum tentu berhasil.")</f>
        <v>B Saya suka bertahan menghadapi satu masalah meskipun belum tentu berhasil.</v>
      </c>
      <c r="AK105" s="105" t="str">
        <f>IFERROR(__xludf.DUMMYFUNCTION("""COMPUTED_VALUE"""),"B Bila saya harus melakukan suatu tugas, saya ingin mengerjakan sampai selesai.")</f>
        <v>B Bila saya harus melakukan suatu tugas, saya ingin mengerjakan sampai selesai.</v>
      </c>
      <c r="AL105" s="105" t="str">
        <f>IFERROR(__xludf.DUMMYFUNCTION("""COMPUTED_VALUE"""),"B Saya ingin menghindarkan gangguan bila saya sedang belajar.")</f>
        <v>B Saya ingin menghindarkan gangguan bila saya sedang belajar.</v>
      </c>
      <c r="AM105" s="105" t="str">
        <f>IFERROR(__xludf.DUMMYFUNCTION("""COMPUTED_VALUE"""),"B Saya suka belajar sampai malam untuk menyelesaikan suatu tugas.")</f>
        <v>B Saya suka belajar sampai malam untuk menyelesaikan suatu tugas.</v>
      </c>
      <c r="AN105" s="105" t="str">
        <f>IFERROR(__xludf.DUMMYFUNCTION("""COMPUTED_VALUE"""),"A Saya tidak suka pada orang yang semena-mena.")</f>
        <v>A Saya tidak suka pada orang yang semena-mena.</v>
      </c>
      <c r="AO105" s="105" t="str">
        <f>IFERROR(__xludf.DUMMYFUNCTION("""COMPUTED_VALUE"""),"A Saya suka berlaku sangat ramah terhadap teman-teman saya.")</f>
        <v>A Saya suka berlaku sangat ramah terhadap teman-teman saya.</v>
      </c>
      <c r="AP105" s="105" t="str">
        <f>IFERROR(__xludf.DUMMYFUNCTION("""COMPUTED_VALUE"""),"B Saya suka bertahan menghadapi satu masalah meskipun belum tentu berhasil.")</f>
        <v>B Saya suka bertahan menghadapi satu masalah meskipun belum tentu berhasil.</v>
      </c>
      <c r="AQ105" s="105" t="str">
        <f>IFERROR(__xludf.DUMMYFUNCTION("""COMPUTED_VALUE"""),"B Bila saya harus melakukan suatu tugas, saya ingin mengerjakan sampai selesai.")</f>
        <v>B Bila saya harus melakukan suatu tugas, saya ingin mengerjakan sampai selesai.</v>
      </c>
      <c r="AR105" s="105" t="str">
        <f>IFERROR(__xludf.DUMMYFUNCTION("""COMPUTED_VALUE"""),"A Saya suka menyimpan catatan secara rapi.")</f>
        <v>A Saya suka menyimpan catatan secara rapi.</v>
      </c>
      <c r="AS105" s="105" t="str">
        <f>IFERROR(__xludf.DUMMYFUNCTION("""COMPUTED_VALUE"""),"B Saya suka belajar sampai malam untuk menyelesaikan suatu tugas.")</f>
        <v>B Saya suka belajar sampai malam untuk menyelesaikan suatu tugas.</v>
      </c>
      <c r="AT105" s="105" t="str">
        <f>IFERROR(__xludf.DUMMYFUNCTION("""COMPUTED_VALUE"""),"A Saya ingin bisa melakukan dengan baik sesuatu pekerjaan sulit.")</f>
        <v>A Saya ingin bisa melakukan dengan baik sesuatu pekerjaan sulit.</v>
      </c>
      <c r="AU105" s="105" t="str">
        <f>IFERROR(__xludf.DUMMYFUNCTION("""COMPUTED_VALUE"""),"B Saya suka bermurah hati terhadap teman-teman saya.")</f>
        <v>B Saya suka bermurah hati terhadap teman-teman saya.</v>
      </c>
      <c r="AV105" s="105" t="str">
        <f>IFERROR(__xludf.DUMMYFUNCTION("""COMPUTED_VALUE"""),"B Saya suka menolong teman-teman saya.")</f>
        <v>B Saya suka menolong teman-teman saya.</v>
      </c>
      <c r="AW105" s="105" t="str">
        <f>IFERROR(__xludf.DUMMYFUNCTION("""COMPUTED_VALUE"""),"A Saya ingin mengerjakan tugas sampai selesai.")</f>
        <v>A Saya ingin mengerjakan tugas sampai selesai.</v>
      </c>
      <c r="AX105" s="105" t="str">
        <f>IFERROR(__xludf.DUMMYFUNCTION("""COMPUTED_VALUE"""),"B Saya suka memaafkan teman-teman saya yang menyakiti hati saya.")</f>
        <v>B Saya suka memaafkan teman-teman saya yang menyakiti hati saya.</v>
      </c>
      <c r="AY105" s="105" t="str">
        <f>IFERROR(__xludf.DUMMYFUNCTION("""COMPUTED_VALUE"""),"A Saya rasanya ingin marah saat tidak sesuai dengan hati.")</f>
        <v>A Saya rasanya ingin marah saat tidak sesuai dengan hati.</v>
      </c>
      <c r="AZ105" s="105" t="str">
        <f>IFERROR(__xludf.DUMMYFUNCTION("""COMPUTED_VALUE"""),"A Saya ingin agar teman-teman saya bersimpati dan menghibur saya bila saya sedih.")</f>
        <v>A Saya ingin agar teman-teman saya bersimpati dan menghibur saya bila saya sedih.</v>
      </c>
      <c r="BA105" s="105" t="str">
        <f>IFERROR(__xludf.DUMMYFUNCTION("""COMPUTED_VALUE"""),"A Saya suka menyatakan pendapat saya tentang berbagai hal.")</f>
        <v>A Saya suka menyatakan pendapat saya tentang berbagai hal.</v>
      </c>
      <c r="BB105" s="105" t="str">
        <f>IFERROR(__xludf.DUMMYFUNCTION("""COMPUTED_VALUE"""),"B Saya suka bermurah hati terhadap teman-teman saya.")</f>
        <v>B Saya suka bermurah hati terhadap teman-teman saya.</v>
      </c>
      <c r="BC105" s="105" t="str">
        <f>IFERROR(__xludf.DUMMYFUNCTION("""COMPUTED_VALUE"""),"B Saya suka membantu orang lain yang menurut saya perlu dikasihani.")</f>
        <v>B Saya suka membantu orang lain yang menurut saya perlu dikasihani.</v>
      </c>
      <c r="BD105" s="105" t="str">
        <f>IFERROR(__xludf.DUMMYFUNCTION("""COMPUTED_VALUE"""),"B Saya suka bersikukuh dengan pendirian saya.")</f>
        <v>B Saya suka bersikukuh dengan pendirian saya.</v>
      </c>
      <c r="BE105" s="105" t="str">
        <f>IFERROR(__xludf.DUMMYFUNCTION("""COMPUTED_VALUE"""),"B Saya ingin orang lain melakukan apa yang saya kehendaki.")</f>
        <v>B Saya ingin orang lain melakukan apa yang saya kehendaki.</v>
      </c>
      <c r="BF105" s="105" t="str">
        <f>IFERROR(__xludf.DUMMYFUNCTION("""COMPUTED_VALUE"""),"B Bila saya dalam kelompok, saya ingin menentukan apa yang akan kita lakukan.")</f>
        <v>B Bila saya dalam kelompok, saya ingin menentukan apa yang akan kita lakukan.</v>
      </c>
      <c r="BG105" s="105" t="str">
        <f>IFERROR(__xludf.DUMMYFUNCTION("""COMPUTED_VALUE"""),"B Saya suka mengarahkan kepada orang lain apa yang harus dilakukan.")</f>
        <v>B Saya suka mengarahkan kepada orang lain apa yang harus dilakukan.</v>
      </c>
      <c r="BH105" s="105" t="str">
        <f>IFERROR(__xludf.DUMMYFUNCTION("""COMPUTED_VALUE"""),"B Apabila saya berkumpul dalam kelompok, saya ingin dihargai teman-teman.")</f>
        <v>B Apabila saya berkumpul dalam kelompok, saya ingin dihargai teman-teman.</v>
      </c>
      <c r="BI105" s="105" t="str">
        <f>IFERROR(__xludf.DUMMYFUNCTION("""COMPUTED_VALUE"""),"A Saya suka bermurah hati terhadap teman-teman saya.")</f>
        <v>A Saya suka bermurah hati terhadap teman-teman saya.</v>
      </c>
      <c r="BJ105" s="105" t="str">
        <f>IFERROR(__xludf.DUMMYFUNCTION("""COMPUTED_VALUE"""),"A Saya ingin mengerjakan tugas sampai selesai.")</f>
        <v>A Saya ingin mengerjakan tugas sampai selesai.</v>
      </c>
      <c r="BK105" s="105" t="str">
        <f>IFERROR(__xludf.DUMMYFUNCTION("""COMPUTED_VALUE"""),"A Saya ingin menyelesaikan pekerjaan satu persatu sebelum memulai yang lain.")</f>
        <v>A Saya ingin menyelesaikan pekerjaan satu persatu sebelum memulai yang lain.</v>
      </c>
      <c r="BL105" s="105" t="str">
        <f>IFERROR(__xludf.DUMMYFUNCTION("""COMPUTED_VALUE"""),"A Saya suka belajar saya teratur dan ada waktu-waktu tertentu untuk belajar.")</f>
        <v>A Saya suka belajar saya teratur dan ada waktu-waktu tertentu untuk belajar.</v>
      </c>
      <c r="BM105" s="105" t="str">
        <f>IFERROR(__xludf.DUMMYFUNCTION("""COMPUTED_VALUE"""),"A Saya suka melakukan pekerjaan sebaik mungkin.")</f>
        <v>A Saya suka melakukan pekerjaan sebaik mungkin.</v>
      </c>
      <c r="BN105" s="105" t="str">
        <f>IFERROR(__xludf.DUMMYFUNCTION("""COMPUTED_VALUE"""),"B Saya ingin teman-teman memberi dorongan bila saya menghadapi kegagalan.")</f>
        <v>B Saya ingin teman-teman memberi dorongan bila saya menghadapi kegagalan.</v>
      </c>
      <c r="BO105" s="105" t="str">
        <f>IFERROR(__xludf.DUMMYFUNCTION("""COMPUTED_VALUE"""),"B Saya ingin diperlakukan dengan baik oleh teman-teman saya.")</f>
        <v>B Saya ingin diperlakukan dengan baik oleh teman-teman saya.</v>
      </c>
      <c r="BP105" s="105" t="str">
        <f>IFERROR(__xludf.DUMMYFUNCTION("""COMPUTED_VALUE"""),"A Saya ingin menyelesaikan sesuatu yang sangat penting artinya.")</f>
        <v>A Saya ingin menyelesaikan sesuatu yang sangat penting artinya.</v>
      </c>
      <c r="BQ105" s="105" t="str">
        <f>IFERROR(__xludf.DUMMYFUNCTION("""COMPUTED_VALUE"""),"A Saya ingin mengerjakannya tugas sampai selesai.")</f>
        <v>A Saya ingin mengerjakannya tugas sampai selesai.</v>
      </c>
      <c r="BR105" s="105" t="str">
        <f>IFERROR(__xludf.DUMMYFUNCTION("""COMPUTED_VALUE"""),"A Saya suka memaafkan teman-teman saya yang menyakiti hati saya.")</f>
        <v>A Saya suka memaafkan teman-teman saya yang menyakiti hati saya.</v>
      </c>
      <c r="BS105" s="105" t="str">
        <f>IFERROR(__xludf.DUMMYFUNCTION("""COMPUTED_VALUE"""),"B Saya ingin teman-teman saya membantu saya bila saya mengalami kesulitan")</f>
        <v>B Saya ingin teman-teman saya membantu saya bila saya mengalami kesulitan</v>
      </c>
      <c r="BT105" s="105" t="str">
        <f>IFERROR(__xludf.DUMMYFUNCTION("""COMPUTED_VALUE"""),"A Saya ingin teman-teman saya merasa kasihan pada saya apabila saya sakit.")</f>
        <v>A Saya ingin teman-teman saya merasa kasihan pada saya apabila saya sakit.</v>
      </c>
      <c r="BU105" s="105" t="str">
        <f>IFERROR(__xludf.DUMMYFUNCTION("""COMPUTED_VALUE"""),"B Saya ingin agar teman-teman saya merasa kasihan pada saya apabila saya sakit.")</f>
        <v>B Saya ingin agar teman-teman saya merasa kasihan pada saya apabila saya sakit.</v>
      </c>
      <c r="BV105" s="105" t="str">
        <f>IFERROR(__xludf.DUMMYFUNCTION("""COMPUTED_VALUE"""),"B Saya ingin teman-teman dengan gembira memberikan pertolongan kepada saya.")</f>
        <v>B Saya ingin teman-teman dengan gembira memberikan pertolongan kepada saya.</v>
      </c>
      <c r="BW105" s="105" t="str">
        <f>IFERROR(__xludf.DUMMYFUNCTION("""COMPUTED_VALUE"""),"B Saya ingin diperlakukan dengan baik oleh teman-teman saya.")</f>
        <v>B Saya ingin diperlakukan dengan baik oleh teman-teman saya.</v>
      </c>
      <c r="BX105" s="105" t="str">
        <f>IFERROR(__xludf.DUMMYFUNCTION("""COMPUTED_VALUE"""),"B Saya kadang-kadang suka melakukan hal-hal yang dapat dipuji oleh orang lain.")</f>
        <v>B Saya kadang-kadang suka melakukan hal-hal yang dapat dipuji oleh orang lain.</v>
      </c>
      <c r="BY105" s="105" t="str">
        <f>IFERROR(__xludf.DUMMYFUNCTION("""COMPUTED_VALUE"""),"B Saya ingin orang lain memperhatikan dan berkomentar tentang penampilan saya.")</f>
        <v>B Saya ingin orang lain memperhatikan dan berkomentar tentang penampilan saya.</v>
      </c>
      <c r="BZ105" s="105" t="str">
        <f>IFERROR(__xludf.DUMMYFUNCTION("""COMPUTED_VALUE"""),"A Saya suka berkata yang artinya sulit dipahami oleh orang lain.")</f>
        <v>A Saya suka berkata yang artinya sulit dipahami oleh orang lain.</v>
      </c>
      <c r="CA105" s="105" t="str">
        <f>IFERROR(__xludf.DUMMYFUNCTION("""COMPUTED_VALUE"""),"A Saya ingin teman-teman dengan gembira memberikan pertolongan kepada saya.")</f>
        <v>A Saya ingin teman-teman dengan gembira memberikan pertolongan kepada saya.</v>
      </c>
      <c r="CB105" s="105" t="str">
        <f>IFERROR(__xludf.DUMMYFUNCTION("""COMPUTED_VALUE"""),"B Saya suka berbicara tentang hal-hal yang telah saya capai.")</f>
        <v>B Saya suka berbicara tentang hal-hal yang telah saya capai.</v>
      </c>
      <c r="CC105" s="105" t="str">
        <f>IFERROR(__xludf.DUMMYFUNCTION("""COMPUTED_VALUE"""),"B Saya suka menceritakan hal-hal lucu agar diperhatikan oleh orang lain.")</f>
        <v>B Saya suka menceritakan hal-hal lucu agar diperhatikan oleh orang lain.</v>
      </c>
      <c r="CD105" s="105" t="str">
        <f>IFERROR(__xludf.DUMMYFUNCTION("""COMPUTED_VALUE"""),"A Saya suka menyelesaikan setiap tugas meskipun membutuhkan waktu lama.")</f>
        <v>A Saya suka menyelesaikan setiap tugas meskipun membutuhkan waktu lama.</v>
      </c>
      <c r="CE105" s="105" t="str">
        <f>IFERROR(__xludf.DUMMYFUNCTION("""COMPUTED_VALUE"""),"A Saya suka menyelesaikan setiap tugas belajar yang telah saya mulai.")</f>
        <v>A Saya suka menyelesaikan setiap tugas belajar yang telah saya mulai.</v>
      </c>
      <c r="CF105" s="105" t="str">
        <f>IFERROR(__xludf.DUMMYFUNCTION("""COMPUTED_VALUE"""),"A Saya ingin agar hidup saya teratur sesuai cita-cita saya.")</f>
        <v>A Saya ingin agar hidup saya teratur sesuai cita-cita saya.</v>
      </c>
      <c r="CG105" s="105" t="str">
        <f>IFERROR(__xludf.DUMMYFUNCTION("""COMPUTED_VALUE"""),"A Saya ingin berhasil dalam apa yang saya lakukan.")</f>
        <v>A Saya ingin berhasil dalam apa yang saya lakukan.</v>
      </c>
      <c r="CH105" s="105" t="str">
        <f>IFERROR(__xludf.DUMMYFUNCTION("""COMPUTED_VALUE"""),"B Saya suka dengan orang yang berpenampilan menarik.")</f>
        <v>B Saya suka dengan orang yang berpenampilan menarik.</v>
      </c>
      <c r="CI105" s="105" t="str">
        <f>IFERROR(__xludf.DUMMYFUNCTION("""COMPUTED_VALUE"""),"A Saya suka belajar saya teratur dan ada waktu-waktu tertentu untuk belajar.")</f>
        <v>A Saya suka belajar saya teratur dan ada waktu-waktu tertentu untuk belajar.</v>
      </c>
      <c r="CJ105" s="105" t="str">
        <f>IFERROR(__xludf.DUMMYFUNCTION("""COMPUTED_VALUE"""),"A Saya ingin tidak tergantung dari orang lain terhadap apa yang akan saya lakukan.")</f>
        <v>A Saya ingin tidak tergantung dari orang lain terhadap apa yang akan saya lakukan.</v>
      </c>
      <c r="CK105" s="105" t="str">
        <f>IFERROR(__xludf.DUMMYFUNCTION("""COMPUTED_VALUE"""),"B Saya senang ikut beraktivitas bersama teman sebaya saya.")</f>
        <v>B Saya senang ikut beraktivitas bersama teman sebaya saya.</v>
      </c>
      <c r="CL105" s="105" t="str">
        <f>IFERROR(__xludf.DUMMYFUNCTION("""COMPUTED_VALUE"""),"A Saya suka menolong teman-teman saya, apabila mereka dalam kesulitan.")</f>
        <v>A Saya suka menolong teman-teman saya, apabila mereka dalam kesulitan.</v>
      </c>
      <c r="CM105" s="105" t="str">
        <f>IFERROR(__xludf.DUMMYFUNCTION("""COMPUTED_VALUE"""),"B Saya merasa kagum pada seseorang.")</f>
        <v>B Saya merasa kagum pada seseorang.</v>
      </c>
      <c r="CN105" s="105" t="str">
        <f>IFERROR(__xludf.DUMMYFUNCTION("""COMPUTED_VALUE"""),"A Saya ingin diperlakukan dengan baik oleh teman-teman saya.")</f>
        <v>A Saya ingin diperlakukan dengan baik oleh teman-teman saya.</v>
      </c>
      <c r="CO105" s="105" t="str">
        <f>IFERROR(__xludf.DUMMYFUNCTION("""COMPUTED_VALUE"""),"B Saya suka memuji orang yang saya kagumi.")</f>
        <v>B Saya suka memuji orang yang saya kagumi.</v>
      </c>
      <c r="CP105" s="105" t="str">
        <f>IFERROR(__xludf.DUMMYFUNCTION("""COMPUTED_VALUE"""),"B Saya ingin dianggap menarik oleh orang lain.")</f>
        <v>B Saya ingin dianggap menarik oleh orang lain.</v>
      </c>
      <c r="CQ105" s="105" t="str">
        <f>IFERROR(__xludf.DUMMYFUNCTION("""COMPUTED_VALUE"""),"B Saya merasa kagum pada seseorang.")</f>
        <v>B Saya merasa kagum pada seseorang.</v>
      </c>
      <c r="CR105" s="105" t="str">
        <f>IFERROR(__xludf.DUMMYFUNCTION("""COMPUTED_VALUE"""),"B Saya rasanya ingin mengecam seseorang bila orang itu menjengkelkan.")</f>
        <v>B Saya rasanya ingin mengecam seseorang bila orang itu menjengkelkan.</v>
      </c>
      <c r="CS105" s="105" t="str">
        <f>IFERROR(__xludf.DUMMYFUNCTION("""COMPUTED_VALUE"""),"A Saya ingin terlihat menarik di depan teman-teman saya.")</f>
        <v>A Saya ingin terlihat menarik di depan teman-teman saya.</v>
      </c>
      <c r="CT105" s="105" t="str">
        <f>IFERROR(__xludf.DUMMYFUNCTION("""COMPUTED_VALUE"""),"A Saya ingin orang-orang memperhatikan komentar mengenai penampilan saya.")</f>
        <v>A Saya ingin orang-orang memperhatikan komentar mengenai penampilan saya.</v>
      </c>
      <c r="CU105" s="105" t="str">
        <f>IFERROR(__xludf.DUMMYFUNCTION("""COMPUTED_VALUE"""),"A Saya ingin diperlakukan dengan ramah oleh teman-teman saya.")</f>
        <v>A Saya ingin diperlakukan dengan ramah oleh teman-teman saya.</v>
      </c>
      <c r="CV105" s="105" t="str">
        <f>IFERROR(__xludf.DUMMYFUNCTION("""COMPUTED_VALUE"""),"A Saya ingin ditunjuk atau dipilih sebagai ketua dalam suatu kelompok.")</f>
        <v>A Saya ingin ditunjuk atau dipilih sebagai ketua dalam suatu kelompok.</v>
      </c>
      <c r="CW105" s="105" t="str">
        <f>IFERROR(__xludf.DUMMYFUNCTION("""COMPUTED_VALUE"""),"B Saya mengatakan kepada orang lain bagaimana pendapat saya terhadap mereka.")</f>
        <v>B Saya mengatakan kepada orang lain bagaimana pendapat saya terhadap mereka.</v>
      </c>
      <c r="CX105" s="105" t="str">
        <f>IFERROR(__xludf.DUMMYFUNCTION("""COMPUTED_VALUE"""),"A Saya suka belajar sampai malam untuk menyelesaikan suatu tugas.")</f>
        <v>A Saya suka belajar sampai malam untuk menyelesaikan suatu tugas.</v>
      </c>
      <c r="CY105" s="105" t="str">
        <f>IFERROR(__xludf.DUMMYFUNCTION("""COMPUTED_VALUE"""),"A Saya ingin tidak tergantung dari orang lain terhadap apa yang akan saya lakukan.")</f>
        <v>A Saya ingin tidak tergantung dari orang lain terhadap apa yang akan saya lakukan.</v>
      </c>
      <c r="CZ105" s="105" t="str">
        <f>IFERROR(__xludf.DUMMYFUNCTION("""COMPUTED_VALUE"""),"A Saya suka merencanakan dan mengatur setiap pekerjaan yang harus saya lakukan.")</f>
        <v>A Saya suka merencanakan dan mengatur setiap pekerjaan yang harus saya lakukan.</v>
      </c>
      <c r="DA105" s="105" t="str">
        <f>IFERROR(__xludf.DUMMYFUNCTION("""COMPUTED_VALUE"""),"A Saya ingin melakukan apa saja sebaik mungkin.")</f>
        <v>A Saya ingin melakukan apa saja sebaik mungkin.</v>
      </c>
      <c r="DB105" s="89" t="s">
        <v>23</v>
      </c>
      <c r="DC105" s="97" t="str">
        <f t="shared" ref="DC105:GX105" si="150">LEFT(F105,1)</f>
        <v>B</v>
      </c>
      <c r="DD105" s="97" t="str">
        <f t="shared" si="150"/>
        <v>B</v>
      </c>
      <c r="DE105" s="97" t="str">
        <f t="shared" si="150"/>
        <v>A</v>
      </c>
      <c r="DF105" s="97" t="str">
        <f t="shared" si="150"/>
        <v>B</v>
      </c>
      <c r="DG105" s="97" t="str">
        <f t="shared" si="150"/>
        <v>A</v>
      </c>
      <c r="DH105" s="97" t="str">
        <f t="shared" si="150"/>
        <v>B</v>
      </c>
      <c r="DI105" s="97" t="str">
        <f t="shared" si="150"/>
        <v>B</v>
      </c>
      <c r="DJ105" s="97" t="str">
        <f t="shared" si="150"/>
        <v>B</v>
      </c>
      <c r="DK105" s="97" t="str">
        <f t="shared" si="150"/>
        <v>A</v>
      </c>
      <c r="DL105" s="97" t="str">
        <f t="shared" si="150"/>
        <v>A</v>
      </c>
      <c r="DM105" s="97" t="str">
        <f t="shared" si="150"/>
        <v>A</v>
      </c>
      <c r="DN105" s="97" t="str">
        <f t="shared" si="150"/>
        <v>B</v>
      </c>
      <c r="DO105" s="97" t="str">
        <f t="shared" si="150"/>
        <v>B</v>
      </c>
      <c r="DP105" s="97" t="str">
        <f t="shared" si="150"/>
        <v>B</v>
      </c>
      <c r="DQ105" s="97" t="str">
        <f t="shared" si="150"/>
        <v>B</v>
      </c>
      <c r="DR105" s="97" t="str">
        <f t="shared" si="150"/>
        <v>A</v>
      </c>
      <c r="DS105" s="97" t="str">
        <f t="shared" si="150"/>
        <v>B</v>
      </c>
      <c r="DT105" s="97" t="str">
        <f t="shared" si="150"/>
        <v>B</v>
      </c>
      <c r="DU105" s="97" t="str">
        <f t="shared" si="150"/>
        <v>A</v>
      </c>
      <c r="DV105" s="97" t="str">
        <f t="shared" si="150"/>
        <v>A</v>
      </c>
      <c r="DW105" s="97" t="str">
        <f t="shared" si="150"/>
        <v>A</v>
      </c>
      <c r="DX105" s="97" t="str">
        <f t="shared" si="150"/>
        <v>B</v>
      </c>
      <c r="DY105" s="97" t="str">
        <f t="shared" si="150"/>
        <v>B</v>
      </c>
      <c r="DZ105" s="97" t="str">
        <f t="shared" si="150"/>
        <v>B</v>
      </c>
      <c r="EA105" s="97" t="str">
        <f t="shared" si="150"/>
        <v>B</v>
      </c>
      <c r="EB105" s="97" t="str">
        <f t="shared" si="150"/>
        <v>A</v>
      </c>
      <c r="EC105" s="97" t="str">
        <f t="shared" si="150"/>
        <v>B</v>
      </c>
      <c r="ED105" s="97" t="str">
        <f t="shared" si="150"/>
        <v>B</v>
      </c>
      <c r="EE105" s="97" t="str">
        <f t="shared" si="150"/>
        <v>A</v>
      </c>
      <c r="EF105" s="97" t="str">
        <f t="shared" si="150"/>
        <v>B</v>
      </c>
      <c r="EG105" s="97" t="str">
        <f t="shared" si="150"/>
        <v>B</v>
      </c>
      <c r="EH105" s="97" t="str">
        <f t="shared" si="150"/>
        <v>B</v>
      </c>
      <c r="EI105" s="97" t="str">
        <f t="shared" si="150"/>
        <v>B</v>
      </c>
      <c r="EJ105" s="97" t="str">
        <f t="shared" si="150"/>
        <v>B</v>
      </c>
      <c r="EK105" s="97" t="str">
        <f t="shared" si="150"/>
        <v>A</v>
      </c>
      <c r="EL105" s="97" t="str">
        <f t="shared" si="150"/>
        <v>A</v>
      </c>
      <c r="EM105" s="97" t="str">
        <f t="shared" si="150"/>
        <v>B</v>
      </c>
      <c r="EN105" s="97" t="str">
        <f t="shared" si="150"/>
        <v>B</v>
      </c>
      <c r="EO105" s="97" t="str">
        <f t="shared" si="150"/>
        <v>A</v>
      </c>
      <c r="EP105" s="97" t="str">
        <f t="shared" si="150"/>
        <v>B</v>
      </c>
      <c r="EQ105" s="97" t="str">
        <f t="shared" si="150"/>
        <v>A</v>
      </c>
      <c r="ER105" s="97" t="str">
        <f t="shared" si="150"/>
        <v>B</v>
      </c>
      <c r="ES105" s="97" t="str">
        <f t="shared" si="150"/>
        <v>B</v>
      </c>
      <c r="ET105" s="97" t="str">
        <f t="shared" si="150"/>
        <v>A</v>
      </c>
      <c r="EU105" s="97" t="str">
        <f t="shared" si="150"/>
        <v>B</v>
      </c>
      <c r="EV105" s="97" t="str">
        <f t="shared" si="150"/>
        <v>A</v>
      </c>
      <c r="EW105" s="97" t="str">
        <f t="shared" si="150"/>
        <v>A</v>
      </c>
      <c r="EX105" s="97" t="str">
        <f t="shared" si="150"/>
        <v>A</v>
      </c>
      <c r="EY105" s="97" t="str">
        <f t="shared" si="150"/>
        <v>B</v>
      </c>
      <c r="EZ105" s="97" t="str">
        <f t="shared" si="150"/>
        <v>B</v>
      </c>
      <c r="FA105" s="97" t="str">
        <f t="shared" si="150"/>
        <v>B</v>
      </c>
      <c r="FB105" s="97" t="str">
        <f t="shared" si="150"/>
        <v>B</v>
      </c>
      <c r="FC105" s="97" t="str">
        <f t="shared" si="150"/>
        <v>B</v>
      </c>
      <c r="FD105" s="97" t="str">
        <f t="shared" si="150"/>
        <v>B</v>
      </c>
      <c r="FE105" s="97" t="str">
        <f t="shared" si="150"/>
        <v>B</v>
      </c>
      <c r="FF105" s="97" t="str">
        <f t="shared" si="150"/>
        <v>A</v>
      </c>
      <c r="FG105" s="97" t="str">
        <f t="shared" si="150"/>
        <v>A</v>
      </c>
      <c r="FH105" s="97" t="str">
        <f t="shared" si="150"/>
        <v>A</v>
      </c>
      <c r="FI105" s="97" t="str">
        <f t="shared" si="150"/>
        <v>A</v>
      </c>
      <c r="FJ105" s="97" t="str">
        <f t="shared" si="150"/>
        <v>A</v>
      </c>
      <c r="FK105" s="97" t="str">
        <f t="shared" si="150"/>
        <v>B</v>
      </c>
      <c r="FL105" s="97" t="str">
        <f t="shared" si="150"/>
        <v>B</v>
      </c>
      <c r="FM105" s="97" t="str">
        <f t="shared" si="150"/>
        <v>A</v>
      </c>
      <c r="FN105" s="97" t="str">
        <f t="shared" si="150"/>
        <v>A</v>
      </c>
      <c r="FO105" s="97" t="str">
        <f t="shared" si="150"/>
        <v>A</v>
      </c>
      <c r="FP105" s="97" t="str">
        <f t="shared" si="150"/>
        <v>B</v>
      </c>
      <c r="FQ105" s="97" t="str">
        <f t="shared" si="150"/>
        <v>A</v>
      </c>
      <c r="FR105" s="97" t="str">
        <f t="shared" si="150"/>
        <v>B</v>
      </c>
      <c r="FS105" s="97" t="str">
        <f t="shared" si="150"/>
        <v>B</v>
      </c>
      <c r="FT105" s="97" t="str">
        <f t="shared" si="150"/>
        <v>B</v>
      </c>
      <c r="FU105" s="97" t="str">
        <f t="shared" si="150"/>
        <v>B</v>
      </c>
      <c r="FV105" s="97" t="str">
        <f t="shared" si="150"/>
        <v>B</v>
      </c>
      <c r="FW105" s="97" t="str">
        <f t="shared" si="150"/>
        <v>A</v>
      </c>
      <c r="FX105" s="97" t="str">
        <f t="shared" si="150"/>
        <v>A</v>
      </c>
      <c r="FY105" s="97" t="str">
        <f t="shared" si="150"/>
        <v>B</v>
      </c>
      <c r="FZ105" s="97" t="str">
        <f t="shared" si="150"/>
        <v>B</v>
      </c>
      <c r="GA105" s="97" t="str">
        <f t="shared" si="150"/>
        <v>A</v>
      </c>
      <c r="GB105" s="97" t="str">
        <f t="shared" si="150"/>
        <v>A</v>
      </c>
      <c r="GC105" s="97" t="str">
        <f t="shared" si="150"/>
        <v>A</v>
      </c>
      <c r="GD105" s="97" t="str">
        <f t="shared" si="150"/>
        <v>A</v>
      </c>
      <c r="GE105" s="97" t="str">
        <f t="shared" si="150"/>
        <v>B</v>
      </c>
      <c r="GF105" s="97" t="str">
        <f t="shared" si="150"/>
        <v>A</v>
      </c>
      <c r="GG105" s="97" t="str">
        <f t="shared" si="150"/>
        <v>A</v>
      </c>
      <c r="GH105" s="97" t="str">
        <f t="shared" si="150"/>
        <v>B</v>
      </c>
      <c r="GI105" s="97" t="str">
        <f t="shared" si="150"/>
        <v>A</v>
      </c>
      <c r="GJ105" s="97" t="str">
        <f t="shared" si="150"/>
        <v>B</v>
      </c>
      <c r="GK105" s="97" t="str">
        <f t="shared" si="150"/>
        <v>A</v>
      </c>
      <c r="GL105" s="97" t="str">
        <f t="shared" si="150"/>
        <v>B</v>
      </c>
      <c r="GM105" s="97" t="str">
        <f t="shared" si="150"/>
        <v>B</v>
      </c>
      <c r="GN105" s="97" t="str">
        <f t="shared" si="150"/>
        <v>B</v>
      </c>
      <c r="GO105" s="97" t="str">
        <f t="shared" si="150"/>
        <v>B</v>
      </c>
      <c r="GP105" s="97" t="str">
        <f t="shared" si="150"/>
        <v>A</v>
      </c>
      <c r="GQ105" s="97" t="str">
        <f t="shared" si="150"/>
        <v>A</v>
      </c>
      <c r="GR105" s="97" t="str">
        <f t="shared" si="150"/>
        <v>A</v>
      </c>
      <c r="GS105" s="97" t="str">
        <f t="shared" si="150"/>
        <v>A</v>
      </c>
      <c r="GT105" s="97" t="str">
        <f t="shared" si="150"/>
        <v>B</v>
      </c>
      <c r="GU105" s="97" t="str">
        <f t="shared" si="150"/>
        <v>A</v>
      </c>
      <c r="GV105" s="97" t="str">
        <f t="shared" si="150"/>
        <v>A</v>
      </c>
      <c r="GW105" s="97" t="str">
        <f t="shared" si="150"/>
        <v>A</v>
      </c>
      <c r="GX105" s="97" t="str">
        <f t="shared" si="150"/>
        <v>A</v>
      </c>
      <c r="GY105" s="98"/>
      <c r="GZ105" s="97">
        <f t="shared" si="3"/>
        <v>46</v>
      </c>
      <c r="HA105" s="97">
        <f t="shared" si="4"/>
        <v>54</v>
      </c>
      <c r="HB105" s="90">
        <f t="shared" si="5"/>
        <v>100</v>
      </c>
      <c r="HC105" s="99"/>
      <c r="HD105" s="97">
        <f t="shared" si="6"/>
        <v>6</v>
      </c>
      <c r="HE105" s="97">
        <f t="shared" si="7"/>
        <v>5</v>
      </c>
      <c r="HF105" s="90">
        <f t="shared" si="8"/>
        <v>11</v>
      </c>
      <c r="HG105" s="99"/>
      <c r="HH105" s="97">
        <f t="shared" si="9"/>
        <v>5</v>
      </c>
      <c r="HI105" s="97">
        <f t="shared" si="10"/>
        <v>6</v>
      </c>
      <c r="HJ105" s="90">
        <f t="shared" si="11"/>
        <v>11</v>
      </c>
      <c r="HK105" s="99"/>
      <c r="HL105" s="97">
        <f t="shared" si="12"/>
        <v>6</v>
      </c>
      <c r="HM105" s="97">
        <f t="shared" si="13"/>
        <v>7</v>
      </c>
      <c r="HN105" s="90">
        <f t="shared" si="14"/>
        <v>13</v>
      </c>
      <c r="HO105" s="99"/>
      <c r="HP105" s="97">
        <f t="shared" si="15"/>
        <v>5</v>
      </c>
      <c r="HQ105" s="97">
        <f t="shared" si="16"/>
        <v>7</v>
      </c>
      <c r="HR105" s="90">
        <f t="shared" si="17"/>
        <v>12</v>
      </c>
      <c r="HS105" s="99"/>
      <c r="HT105" s="97">
        <f t="shared" si="18"/>
        <v>6</v>
      </c>
      <c r="HU105" s="97">
        <f t="shared" si="19"/>
        <v>5</v>
      </c>
      <c r="HV105" s="90">
        <f t="shared" si="20"/>
        <v>11</v>
      </c>
      <c r="HW105" s="99"/>
      <c r="HX105" s="97">
        <f t="shared" si="21"/>
        <v>4</v>
      </c>
      <c r="HY105" s="97">
        <f t="shared" si="22"/>
        <v>5</v>
      </c>
      <c r="HZ105" s="90">
        <f t="shared" si="23"/>
        <v>9</v>
      </c>
      <c r="IA105" s="99"/>
      <c r="IB105" s="97">
        <f t="shared" si="24"/>
        <v>4</v>
      </c>
      <c r="IC105" s="97">
        <f t="shared" si="25"/>
        <v>6</v>
      </c>
      <c r="ID105" s="90">
        <f t="shared" si="26"/>
        <v>10</v>
      </c>
      <c r="IE105" s="99"/>
      <c r="IF105" s="97">
        <f t="shared" si="27"/>
        <v>2</v>
      </c>
      <c r="IG105" s="97">
        <f t="shared" si="28"/>
        <v>4</v>
      </c>
      <c r="IH105" s="90">
        <f t="shared" si="29"/>
        <v>6</v>
      </c>
      <c r="II105" s="99"/>
      <c r="IJ105" s="97">
        <f t="shared" si="30"/>
        <v>3</v>
      </c>
      <c r="IK105" s="97">
        <f t="shared" si="31"/>
        <v>6</v>
      </c>
      <c r="IL105" s="90">
        <f t="shared" si="32"/>
        <v>9</v>
      </c>
      <c r="IM105" s="99"/>
      <c r="IN105" s="97">
        <f t="shared" si="33"/>
        <v>2</v>
      </c>
      <c r="IO105" s="97">
        <f t="shared" si="34"/>
        <v>2</v>
      </c>
      <c r="IP105" s="90">
        <f t="shared" si="35"/>
        <v>4</v>
      </c>
      <c r="IS105" s="100">
        <f t="shared" si="36"/>
        <v>11</v>
      </c>
      <c r="IT105" s="100">
        <f t="shared" si="37"/>
        <v>11</v>
      </c>
      <c r="IU105" s="100">
        <f t="shared" si="38"/>
        <v>13</v>
      </c>
      <c r="IV105" s="100">
        <f t="shared" si="39"/>
        <v>12</v>
      </c>
      <c r="IW105" s="100">
        <f t="shared" si="40"/>
        <v>11</v>
      </c>
      <c r="IX105" s="100">
        <f t="shared" si="41"/>
        <v>9</v>
      </c>
      <c r="IY105" s="100">
        <f t="shared" si="42"/>
        <v>10</v>
      </c>
      <c r="IZ105" s="100">
        <f t="shared" si="43"/>
        <v>6</v>
      </c>
      <c r="JA105" s="100">
        <f t="shared" si="44"/>
        <v>9</v>
      </c>
      <c r="JB105" s="101">
        <f t="shared" si="45"/>
        <v>4</v>
      </c>
      <c r="JC105" s="102">
        <f t="shared" si="46"/>
        <v>96</v>
      </c>
      <c r="JD105" s="67">
        <f t="shared" si="50"/>
        <v>0</v>
      </c>
      <c r="JE105" s="67">
        <f t="shared" si="47"/>
        <v>1</v>
      </c>
      <c r="JF105" s="67">
        <f t="shared" si="48"/>
        <v>1</v>
      </c>
    </row>
    <row r="106">
      <c r="A106" s="104">
        <f>IFERROR(__xludf.DUMMYFUNCTION("""COMPUTED_VALUE"""),45950.760862951385)</f>
        <v>45950.76086</v>
      </c>
      <c r="B106" s="105" t="str">
        <f>IFERROR(__xludf.DUMMYFUNCTION("""COMPUTED_VALUE"""),"Farid")</f>
        <v>Farid</v>
      </c>
      <c r="C106" s="7" t="str">
        <f>IFERROR(__xludf.DUMMYFUNCTION("""COMPUTED_VALUE"""),"B250027")</f>
        <v>B250027</v>
      </c>
      <c r="D106" s="7" t="str">
        <f>IFERROR(__xludf.DUMMYFUNCTION("""COMPUTED_VALUE"""),"IL Putra")</f>
        <v>IL Putra</v>
      </c>
      <c r="E106" s="7" t="str">
        <f>IFERROR(__xludf.DUMMYFUNCTION("""COMPUTED_VALUE"""),"Ya")</f>
        <v>Ya</v>
      </c>
      <c r="F106" s="105" t="str">
        <f>IFERROR(__xludf.DUMMYFUNCTION("""COMPUTED_VALUE"""),"B Saya ingin melakukan apa saja sebaik mungkin.")</f>
        <v>B Saya ingin melakukan apa saja sebaik mungkin.</v>
      </c>
      <c r="G106" s="105" t="str">
        <f>IFERROR(__xludf.DUMMYFUNCTION("""COMPUTED_VALUE"""),"A Saya ingin setiap tulisan saya teliti, rapi, dan tersusun dengan baik.")</f>
        <v>A Saya ingin setiap tulisan saya teliti, rapi, dan tersusun dengan baik.</v>
      </c>
      <c r="H106" s="105" t="str">
        <f>IFERROR(__xludf.DUMMYFUNCTION("""COMPUTED_VALUE"""),"A Saya ingin berbuat sesuai kata hati saya.")</f>
        <v>A Saya ingin berbuat sesuai kata hati saya.</v>
      </c>
      <c r="I106" s="105" t="str">
        <f>IFERROR(__xludf.DUMMYFUNCTION("""COMPUTED_VALUE"""),"B Saya ingin bisa melakukan dengan baik meskipun tugas yang sulit.")</f>
        <v>B Saya ingin bisa melakukan dengan baik meskipun tugas yang sulit.</v>
      </c>
      <c r="J106" s="105" t="str">
        <f>IFERROR(__xludf.DUMMYFUNCTION("""COMPUTED_VALUE"""),"A Saya suka membantu teman-teman saya apabila mereka mengalami kesulitan.")</f>
        <v>A Saya suka membantu teman-teman saya apabila mereka mengalami kesulitan.</v>
      </c>
      <c r="K106" s="105" t="str">
        <f>IFERROR(__xludf.DUMMYFUNCTION("""COMPUTED_VALUE"""),"B Saya ingin mengatakan telah melakukan dengan baik sesuatu tugas yang sulit.")</f>
        <v>B Saya ingin mengatakan telah melakukan dengan baik sesuatu tugas yang sulit.</v>
      </c>
      <c r="L106" s="105" t="str">
        <f>IFERROR(__xludf.DUMMYFUNCTION("""COMPUTED_VALUE"""),"B Saya ingin mengatakan telah melakukan dengan baik sesuatu tugas yang sulit")</f>
        <v>B Saya ingin mengatakan telah melakukan dengan baik sesuatu tugas yang sulit</v>
      </c>
      <c r="M106" s="105" t="str">
        <f>IFERROR(__xludf.DUMMYFUNCTION("""COMPUTED_VALUE"""),"B Saya ingin mengerjakan segala tugas lebih baik daripada orang lain.")</f>
        <v>B Saya ingin mengerjakan segala tugas lebih baik daripada orang lain.</v>
      </c>
      <c r="N106" s="105" t="str">
        <f>IFERROR(__xludf.DUMMYFUNCTION("""COMPUTED_VALUE"""),"B Saya suka memecahkan persoalan yang sukar bagi orang lain.")</f>
        <v>B Saya suka memecahkan persoalan yang sukar bagi orang lain.</v>
      </c>
      <c r="O106" s="105" t="str">
        <f>IFERROR(__xludf.DUMMYFUNCTION("""COMPUTED_VALUE"""),"B Saya suka melakukan tugas sebaik mungkin.")</f>
        <v>B Saya suka melakukan tugas sebaik mungkin.</v>
      </c>
      <c r="P106" s="105" t="str">
        <f>IFERROR(__xludf.DUMMYFUNCTION("""COMPUTED_VALUE"""),"B Saya ingin setiap belajar itu teratur dan direncanakan.")</f>
        <v>B Saya ingin setiap belajar itu teratur dan direncanakan.</v>
      </c>
      <c r="Q106" s="105" t="str">
        <f>IFERROR(__xludf.DUMMYFUNCTION("""COMPUTED_VALUE"""),"B Saya merencanakan keperluan yang dibutuhkan sebelum bepergian.")</f>
        <v>B Saya merencanakan keperluan yang dibutuhkan sebelum bepergian.</v>
      </c>
      <c r="R106" s="105" t="str">
        <f>IFERROR(__xludf.DUMMYFUNCTION("""COMPUTED_VALUE"""),"B Saya suka barang-barang saya tersusun rapi dan teratur.")</f>
        <v>B Saya suka barang-barang saya tersusun rapi dan teratur.</v>
      </c>
      <c r="S106" s="105" t="str">
        <f>IFERROR(__xludf.DUMMYFUNCTION("""COMPUTED_VALUE"""),"B Saya suka membuat perencanaan sebelum memulai tugas yang sulit.")</f>
        <v>B Saya suka membuat perencanaan sebelum memulai tugas yang sulit.</v>
      </c>
      <c r="T106" s="105" t="str">
        <f>IFERROR(__xludf.DUMMYFUNCTION("""COMPUTED_VALUE"""),"B Saya ingin agar hidup saya teratur sesuai cita-cita saya.")</f>
        <v>B Saya ingin agar hidup saya teratur sesuai cita-cita saya.</v>
      </c>
      <c r="U106" s="105" t="str">
        <f>IFERROR(__xludf.DUMMYFUNCTION("""COMPUTED_VALUE"""),"A Saya suka memberikan bantuan kepada teman-teman saya.")</f>
        <v>A Saya suka memberikan bantuan kepada teman-teman saya.</v>
      </c>
      <c r="V106" s="105" t="str">
        <f>IFERROR(__xludf.DUMMYFUNCTION("""COMPUTED_VALUE"""),"B Saya suka belajar saya teratur dan ada waktu-waktu tertentu untuk belajar.")</f>
        <v>B Saya suka belajar saya teratur dan ada waktu-waktu tertentu untuk belajar.</v>
      </c>
      <c r="W106" s="105" t="str">
        <f>IFERROR(__xludf.DUMMYFUNCTION("""COMPUTED_VALUE"""),"B Saya ingin kegiatan itu teratur dan direncanakan.")</f>
        <v>B Saya ingin kegiatan itu teratur dan direncanakan.</v>
      </c>
      <c r="X106" s="105" t="str">
        <f>IFERROR(__xludf.DUMMYFUNCTION("""COMPUTED_VALUE"""),"B Saya ingin agar hidup saya teratur sesuai cita-cita saya.")</f>
        <v>B Saya ingin agar hidup saya teratur sesuai cita-cita saya.</v>
      </c>
      <c r="Y106" s="105" t="str">
        <f>IFERROR(__xludf.DUMMYFUNCTION("""COMPUTED_VALUE"""),"A Saya suka menyelesaikan tugas-tugas yang membutuhkan ketrampilan dan usaha.")</f>
        <v>A Saya suka menyelesaikan tugas-tugas yang membutuhkan ketrampilan dan usaha.</v>
      </c>
      <c r="Z106" s="105" t="str">
        <f>IFERROR(__xludf.DUMMYFUNCTION("""COMPUTED_VALUE"""),"A Saya ingin berhasil dengan belajar yang saya lakukan.")</f>
        <v>A Saya ingin berhasil dengan belajar yang saya lakukan.</v>
      </c>
      <c r="AA106" s="105" t="str">
        <f>IFERROR(__xludf.DUMMYFUNCTION("""COMPUTED_VALUE"""),"B Saya tidak suka pada orang yang berbuat seenaknya sendiri.")</f>
        <v>B Saya tidak suka pada orang yang berbuat seenaknya sendiri.</v>
      </c>
      <c r="AB106" s="105" t="str">
        <f>IFERROR(__xludf.DUMMYFUNCTION("""COMPUTED_VALUE"""),"A Saya ingin tidak tergantung dari orang lain terhadap apa yang akan saya lakukan.")</f>
        <v>A Saya ingin tidak tergantung dari orang lain terhadap apa yang akan saya lakukan.</v>
      </c>
      <c r="AC106" s="105" t="str">
        <f>IFERROR(__xludf.DUMMYFUNCTION("""COMPUTED_VALUE"""),"A Saya suka menyelesaikan setiap tugas meskipun membutuhkan waktu lama.")</f>
        <v>A Saya suka menyelesaikan setiap tugas meskipun membutuhkan waktu lama.</v>
      </c>
      <c r="AD106" s="105" t="str">
        <f>IFERROR(__xludf.DUMMYFUNCTION("""COMPUTED_VALUE"""),"A Saya suka bermurah hati terhadap teman-teman saya.")</f>
        <v>A Saya suka bermurah hati terhadap teman-teman saya.</v>
      </c>
      <c r="AE106" s="105" t="str">
        <f>IFERROR(__xludf.DUMMYFUNCTION("""COMPUTED_VALUE"""),"A Saya ingin dianggap sebagai pemimpin oleh teman di kelompok.")</f>
        <v>A Saya ingin dianggap sebagai pemimpin oleh teman di kelompok.</v>
      </c>
      <c r="AF106" s="105" t="str">
        <f>IFERROR(__xludf.DUMMYFUNCTION("""COMPUTED_VALUE"""),"A Saya ingin agar teman-teman mengerti bila saya mengalami kesukaran.")</f>
        <v>A Saya ingin agar teman-teman mengerti bila saya mengalami kesukaran.</v>
      </c>
      <c r="AG106" s="105" t="str">
        <f>IFERROR(__xludf.DUMMYFUNCTION("""COMPUTED_VALUE"""),"A Saya mengajari orang lain bagaimana mereka harus melakukan pekerjaan mereka.")</f>
        <v>A Saya mengajari orang lain bagaimana mereka harus melakukan pekerjaan mereka.</v>
      </c>
      <c r="AH106" s="105" t="str">
        <f>IFERROR(__xludf.DUMMYFUNCTION("""COMPUTED_VALUE"""),"B Saya ingin merasa bebas untuk melakukan apa yang saya kehendaki.")</f>
        <v>B Saya ingin merasa bebas untuk melakukan apa yang saya kehendaki.</v>
      </c>
      <c r="AI106" s="105" t="str">
        <f>IFERROR(__xludf.DUMMYFUNCTION("""COMPUTED_VALUE"""),"B Saya suka melakukan kegiatan sesuai kondisi yang saya inginkan.")</f>
        <v>B Saya suka melakukan kegiatan sesuai kondisi yang saya inginkan.</v>
      </c>
      <c r="AJ106" s="105" t="str">
        <f>IFERROR(__xludf.DUMMYFUNCTION("""COMPUTED_VALUE"""),"B Saya suka bertahan menghadapi satu masalah meskipun belum tentu berhasil.")</f>
        <v>B Saya suka bertahan menghadapi satu masalah meskipun belum tentu berhasil.</v>
      </c>
      <c r="AK106" s="105" t="str">
        <f>IFERROR(__xludf.DUMMYFUNCTION("""COMPUTED_VALUE"""),"B Bila saya harus melakukan suatu tugas, saya ingin mengerjakan sampai selesai.")</f>
        <v>B Bila saya harus melakukan suatu tugas, saya ingin mengerjakan sampai selesai.</v>
      </c>
      <c r="AL106" s="105" t="str">
        <f>IFERROR(__xludf.DUMMYFUNCTION("""COMPUTED_VALUE"""),"B Saya ingin menghindarkan gangguan bila saya sedang belajar.")</f>
        <v>B Saya ingin menghindarkan gangguan bila saya sedang belajar.</v>
      </c>
      <c r="AM106" s="105" t="str">
        <f>IFERROR(__xludf.DUMMYFUNCTION("""COMPUTED_VALUE"""),"B Saya suka belajar sampai malam untuk menyelesaikan suatu tugas.")</f>
        <v>B Saya suka belajar sampai malam untuk menyelesaikan suatu tugas.</v>
      </c>
      <c r="AN106" s="105" t="str">
        <f>IFERROR(__xludf.DUMMYFUNCTION("""COMPUTED_VALUE"""),"A Saya tidak suka pada orang yang semena-mena.")</f>
        <v>A Saya tidak suka pada orang yang semena-mena.</v>
      </c>
      <c r="AO106" s="105" t="str">
        <f>IFERROR(__xludf.DUMMYFUNCTION("""COMPUTED_VALUE"""),"A Saya suka berlaku sangat ramah terhadap teman-teman saya.")</f>
        <v>A Saya suka berlaku sangat ramah terhadap teman-teman saya.</v>
      </c>
      <c r="AP106" s="105" t="str">
        <f>IFERROR(__xludf.DUMMYFUNCTION("""COMPUTED_VALUE"""),"B Saya suka bertahan menghadapi satu masalah meskipun belum tentu berhasil.")</f>
        <v>B Saya suka bertahan menghadapi satu masalah meskipun belum tentu berhasil.</v>
      </c>
      <c r="AQ106" s="105" t="str">
        <f>IFERROR(__xludf.DUMMYFUNCTION("""COMPUTED_VALUE"""),"B Bila saya harus melakukan suatu tugas, saya ingin mengerjakan sampai selesai.")</f>
        <v>B Bila saya harus melakukan suatu tugas, saya ingin mengerjakan sampai selesai.</v>
      </c>
      <c r="AR106" s="105" t="str">
        <f>IFERROR(__xludf.DUMMYFUNCTION("""COMPUTED_VALUE"""),"B Saya suka belajar keras pada tiap pelajaran yang saya hadapi.")</f>
        <v>B Saya suka belajar keras pada tiap pelajaran yang saya hadapi.</v>
      </c>
      <c r="AS106" s="105" t="str">
        <f>IFERROR(__xludf.DUMMYFUNCTION("""COMPUTED_VALUE"""),"B Saya suka belajar sampai malam untuk menyelesaikan suatu tugas.")</f>
        <v>B Saya suka belajar sampai malam untuk menyelesaikan suatu tugas.</v>
      </c>
      <c r="AT106" s="105" t="str">
        <f>IFERROR(__xludf.DUMMYFUNCTION("""COMPUTED_VALUE"""),"B Saya suka membantu orang lain yang menurut saya perlu dikasihani.")</f>
        <v>B Saya suka membantu orang lain yang menurut saya perlu dikasihani.</v>
      </c>
      <c r="AU106" s="105" t="str">
        <f>IFERROR(__xludf.DUMMYFUNCTION("""COMPUTED_VALUE"""),"B Saya suka bermurah hati terhadap teman-teman saya.")</f>
        <v>B Saya suka bermurah hati terhadap teman-teman saya.</v>
      </c>
      <c r="AV106" s="105" t="str">
        <f>IFERROR(__xludf.DUMMYFUNCTION("""COMPUTED_VALUE"""),"B Saya suka menolong teman-teman saya.")</f>
        <v>B Saya suka menolong teman-teman saya.</v>
      </c>
      <c r="AW106" s="105" t="str">
        <f>IFERROR(__xludf.DUMMYFUNCTION("""COMPUTED_VALUE"""),"B Saya ingin teman-teman saya percaya bahwa saya bisa menolong mereka.")</f>
        <v>B Saya ingin teman-teman saya percaya bahwa saya bisa menolong mereka.</v>
      </c>
      <c r="AX106" s="105" t="str">
        <f>IFERROR(__xludf.DUMMYFUNCTION("""COMPUTED_VALUE"""),"B Saya suka memaafkan teman-teman saya yang menyakiti hati saya.")</f>
        <v>B Saya suka memaafkan teman-teman saya yang menyakiti hati saya.</v>
      </c>
      <c r="AY106" s="105" t="str">
        <f>IFERROR(__xludf.DUMMYFUNCTION("""COMPUTED_VALUE"""),"B Saya suka menolong teman-teman saya apabila mereka dalam kesulitan.")</f>
        <v>B Saya suka menolong teman-teman saya apabila mereka dalam kesulitan.</v>
      </c>
      <c r="AZ106" s="105" t="str">
        <f>IFERROR(__xludf.DUMMYFUNCTION("""COMPUTED_VALUE"""),"B Saya suka menunjukkan simpati saya kepada teman-teman saya.")</f>
        <v>B Saya suka menunjukkan simpati saya kepada teman-teman saya.</v>
      </c>
      <c r="BA106" s="105" t="str">
        <f>IFERROR(__xludf.DUMMYFUNCTION("""COMPUTED_VALUE"""),"B Saya suka memperlakukan orang lain dengan baik dan ramah.")</f>
        <v>B Saya suka memperlakukan orang lain dengan baik dan ramah.</v>
      </c>
      <c r="BB106" s="105" t="str">
        <f>IFERROR(__xludf.DUMMYFUNCTION("""COMPUTED_VALUE"""),"B Saya suka bermurah hati terhadap teman-teman saya.")</f>
        <v>B Saya suka bermurah hati terhadap teman-teman saya.</v>
      </c>
      <c r="BC106" s="105" t="str">
        <f>IFERROR(__xludf.DUMMYFUNCTION("""COMPUTED_VALUE"""),"B Saya suka membantu orang lain yang menurut saya perlu dikasihani.")</f>
        <v>B Saya suka membantu orang lain yang menurut saya perlu dikasihani.</v>
      </c>
      <c r="BD106" s="105" t="str">
        <f>IFERROR(__xludf.DUMMYFUNCTION("""COMPUTED_VALUE"""),"B Saya suka bersikukuh dengan pendirian saya.")</f>
        <v>B Saya suka bersikukuh dengan pendirian saya.</v>
      </c>
      <c r="BE106" s="105" t="str">
        <f>IFERROR(__xludf.DUMMYFUNCTION("""COMPUTED_VALUE"""),"A Saya suka mendengarkan atau menceritakan hal-hal yang sebaiknya tidak diceritakan.")</f>
        <v>A Saya suka mendengarkan atau menceritakan hal-hal yang sebaiknya tidak diceritakan.</v>
      </c>
      <c r="BF106" s="105" t="str">
        <f>IFERROR(__xludf.DUMMYFUNCTION("""COMPUTED_VALUE"""),"B Bila saya dalam kelompok, saya ingin menentukan apa yang akan kita lakukan.")</f>
        <v>B Bila saya dalam kelompok, saya ingin menentukan apa yang akan kita lakukan.</v>
      </c>
      <c r="BG106" s="105" t="str">
        <f>IFERROR(__xludf.DUMMYFUNCTION("""COMPUTED_VALUE"""),"B Saya suka mengarahkan kepada orang lain apa yang harus dilakukan.")</f>
        <v>B Saya suka mengarahkan kepada orang lain apa yang harus dilakukan.</v>
      </c>
      <c r="BH106" s="105" t="str">
        <f>IFERROR(__xludf.DUMMYFUNCTION("""COMPUTED_VALUE"""),"A Saya suka menghindar dari situasi yang tidak saya harapkan.")</f>
        <v>A Saya suka menghindar dari situasi yang tidak saya harapkan.</v>
      </c>
      <c r="BI106" s="105" t="str">
        <f>IFERROR(__xludf.DUMMYFUNCTION("""COMPUTED_VALUE"""),"A Saya suka bermurah hati terhadap teman-teman saya.")</f>
        <v>A Saya suka bermurah hati terhadap teman-teman saya.</v>
      </c>
      <c r="BJ106" s="105" t="str">
        <f>IFERROR(__xludf.DUMMYFUNCTION("""COMPUTED_VALUE"""),"A Saya ingin mengerjakan tugas sampai selesai.")</f>
        <v>A Saya ingin mengerjakan tugas sampai selesai.</v>
      </c>
      <c r="BK106" s="105" t="str">
        <f>IFERROR(__xludf.DUMMYFUNCTION("""COMPUTED_VALUE"""),"B Saya senang untuk diminta menyelesaikan pertentangan-pertentangan.")</f>
        <v>B Saya senang untuk diminta menyelesaikan pertentangan-pertentangan.</v>
      </c>
      <c r="BL106" s="105" t="str">
        <f>IFERROR(__xludf.DUMMYFUNCTION("""COMPUTED_VALUE"""),"A Saya suka belajar saya teratur dan ada waktu-waktu tertentu untuk belajar.")</f>
        <v>A Saya suka belajar saya teratur dan ada waktu-waktu tertentu untuk belajar.</v>
      </c>
      <c r="BM106" s="105" t="str">
        <f>IFERROR(__xludf.DUMMYFUNCTION("""COMPUTED_VALUE"""),"A Saya suka melakukan pekerjaan sebaik mungkin.")</f>
        <v>A Saya suka melakukan pekerjaan sebaik mungkin.</v>
      </c>
      <c r="BN106" s="105" t="str">
        <f>IFERROR(__xludf.DUMMYFUNCTION("""COMPUTED_VALUE"""),"A Saya suka mengerjakan teka-teki atau memecahkan persoalan sampai selesai.")</f>
        <v>A Saya suka mengerjakan teka-teki atau memecahkan persoalan sampai selesai.</v>
      </c>
      <c r="BO106" s="105" t="str">
        <f>IFERROR(__xludf.DUMMYFUNCTION("""COMPUTED_VALUE"""),"A Saya suka membuat perencanaan sebelum memulai belajar yang sulit.")</f>
        <v>A Saya suka membuat perencanaan sebelum memulai belajar yang sulit.</v>
      </c>
      <c r="BP106" s="105" t="str">
        <f>IFERROR(__xludf.DUMMYFUNCTION("""COMPUTED_VALUE"""),"A Saya ingin menyelesaikan sesuatu yang sangat penting artinya.")</f>
        <v>A Saya ingin menyelesaikan sesuatu yang sangat penting artinya.</v>
      </c>
      <c r="BQ106" s="105" t="str">
        <f>IFERROR(__xludf.DUMMYFUNCTION("""COMPUTED_VALUE"""),"A Saya ingin mengerjakannya tugas sampai selesai.")</f>
        <v>A Saya ingin mengerjakannya tugas sampai selesai.</v>
      </c>
      <c r="BR106" s="105" t="str">
        <f>IFERROR(__xludf.DUMMYFUNCTION("""COMPUTED_VALUE"""),"A Saya suka memaafkan teman-teman saya yang menyakiti hati saya.")</f>
        <v>A Saya suka memaafkan teman-teman saya yang menyakiti hati saya.</v>
      </c>
      <c r="BS106" s="105" t="str">
        <f>IFERROR(__xludf.DUMMYFUNCTION("""COMPUTED_VALUE"""),"B Saya ingin teman-teman saya membantu saya bila saya mengalami kesulitan")</f>
        <v>B Saya ingin teman-teman saya membantu saya bila saya mengalami kesulitan</v>
      </c>
      <c r="BT106" s="105" t="str">
        <f>IFERROR(__xludf.DUMMYFUNCTION("""COMPUTED_VALUE"""),"A Saya ingin teman-teman saya merasa kasihan pada saya apabila saya sakit.")</f>
        <v>A Saya ingin teman-teman saya merasa kasihan pada saya apabila saya sakit.</v>
      </c>
      <c r="BU106" s="105" t="str">
        <f>IFERROR(__xludf.DUMMYFUNCTION("""COMPUTED_VALUE"""),"A Saya kadang-kadang suka melakukan hal-hal yang dapat dipuji oleh orang lain.")</f>
        <v>A Saya kadang-kadang suka melakukan hal-hal yang dapat dipuji oleh orang lain.</v>
      </c>
      <c r="BV106" s="105" t="str">
        <f>IFERROR(__xludf.DUMMYFUNCTION("""COMPUTED_VALUE"""),"B Saya ingin teman-teman dengan gembira memberikan pertolongan kepada saya.")</f>
        <v>B Saya ingin teman-teman dengan gembira memberikan pertolongan kepada saya.</v>
      </c>
      <c r="BW106" s="105" t="str">
        <f>IFERROR(__xludf.DUMMYFUNCTION("""COMPUTED_VALUE"""),"B Saya ingin diperlakukan dengan baik oleh teman-teman saya.")</f>
        <v>B Saya ingin diperlakukan dengan baik oleh teman-teman saya.</v>
      </c>
      <c r="BX106" s="105" t="str">
        <f>IFERROR(__xludf.DUMMYFUNCTION("""COMPUTED_VALUE"""),"B Saya kadang-kadang suka melakukan hal-hal yang dapat dipuji oleh orang lain.")</f>
        <v>B Saya kadang-kadang suka melakukan hal-hal yang dapat dipuji oleh orang lain.</v>
      </c>
      <c r="BY106" s="105" t="str">
        <f>IFERROR(__xludf.DUMMYFUNCTION("""COMPUTED_VALUE"""),"B Saya ingin orang lain memperhatikan dan berkomentar tentang penampilan saya.")</f>
        <v>B Saya ingin orang lain memperhatikan dan berkomentar tentang penampilan saya.</v>
      </c>
      <c r="BZ106" s="105" t="str">
        <f>IFERROR(__xludf.DUMMYFUNCTION("""COMPUTED_VALUE"""),"B Saya suka diperhatikan, apabila saya ada di dalam suatu kelompok.")</f>
        <v>B Saya suka diperhatikan, apabila saya ada di dalam suatu kelompok.</v>
      </c>
      <c r="CA106" s="105" t="str">
        <f>IFERROR(__xludf.DUMMYFUNCTION("""COMPUTED_VALUE"""),"A Saya ingin teman-teman dengan gembira memberikan pertolongan kepada saya.")</f>
        <v>A Saya ingin teman-teman dengan gembira memberikan pertolongan kepada saya.</v>
      </c>
      <c r="CB106" s="105" t="str">
        <f>IFERROR(__xludf.DUMMYFUNCTION("""COMPUTED_VALUE"""),"B Saya suka berbicara tentang hal-hal yang telah saya capai.")</f>
        <v>B Saya suka berbicara tentang hal-hal yang telah saya capai.</v>
      </c>
      <c r="CC106" s="105" t="str">
        <f>IFERROR(__xludf.DUMMYFUNCTION("""COMPUTED_VALUE"""),"A Apabila saya berkumpul dalam kelompok, saya ingin dihargai teman-teman.")</f>
        <v>A Apabila saya berkumpul dalam kelompok, saya ingin dihargai teman-teman.</v>
      </c>
      <c r="CD106" s="105" t="str">
        <f>IFERROR(__xludf.DUMMYFUNCTION("""COMPUTED_VALUE"""),"A Saya suka menyelesaikan setiap tugas meskipun membutuhkan waktu lama.")</f>
        <v>A Saya suka menyelesaikan setiap tugas meskipun membutuhkan waktu lama.</v>
      </c>
      <c r="CE106" s="105" t="str">
        <f>IFERROR(__xludf.DUMMYFUNCTION("""COMPUTED_VALUE"""),"A Saya suka menyelesaikan setiap tugas belajar yang telah saya mulai.")</f>
        <v>A Saya suka menyelesaikan setiap tugas belajar yang telah saya mulai.</v>
      </c>
      <c r="CF106" s="105" t="str">
        <f>IFERROR(__xludf.DUMMYFUNCTION("""COMPUTED_VALUE"""),"B Saya ingin orang lain memperhatikan dan berkomentar tentang penampilan saya.")</f>
        <v>B Saya ingin orang lain memperhatikan dan berkomentar tentang penampilan saya.</v>
      </c>
      <c r="CG106" s="105" t="str">
        <f>IFERROR(__xludf.DUMMYFUNCTION("""COMPUTED_VALUE"""),"B Saya suka berbicara tentang hal-hal yang telah saya capai.")</f>
        <v>B Saya suka berbicara tentang hal-hal yang telah saya capai.</v>
      </c>
      <c r="CH106" s="105" t="str">
        <f>IFERROR(__xludf.DUMMYFUNCTION("""COMPUTED_VALUE"""),"A Saya ingin bisa melakukan dengan baik sesuatu pekerjaan sulit.")</f>
        <v>A Saya ingin bisa melakukan dengan baik sesuatu pekerjaan sulit.</v>
      </c>
      <c r="CI106" s="105" t="str">
        <f>IFERROR(__xludf.DUMMYFUNCTION("""COMPUTED_VALUE"""),"A Saya suka belajar saya teratur dan ada waktu-waktu tertentu untuk belajar.")</f>
        <v>A Saya suka belajar saya teratur dan ada waktu-waktu tertentu untuk belajar.</v>
      </c>
      <c r="CJ106" s="105" t="str">
        <f>IFERROR(__xludf.DUMMYFUNCTION("""COMPUTED_VALUE"""),"A Saya ingin tidak tergantung dari orang lain terhadap apa yang akan saya lakukan.")</f>
        <v>A Saya ingin tidak tergantung dari orang lain terhadap apa yang akan saya lakukan.</v>
      </c>
      <c r="CK106" s="105" t="str">
        <f>IFERROR(__xludf.DUMMYFUNCTION("""COMPUTED_VALUE"""),"A Saya suka bertahan menghadapi satu masalah, meskipun belum tentu berhasil.")</f>
        <v>A Saya suka bertahan menghadapi satu masalah, meskipun belum tentu berhasil.</v>
      </c>
      <c r="CL106" s="105" t="str">
        <f>IFERROR(__xludf.DUMMYFUNCTION("""COMPUTED_VALUE"""),"A Saya suka menolong teman-teman saya, apabila mereka dalam kesulitan.")</f>
        <v>A Saya suka menolong teman-teman saya, apabila mereka dalam kesulitan.</v>
      </c>
      <c r="CM106" s="105" t="str">
        <f>IFERROR(__xludf.DUMMYFUNCTION("""COMPUTED_VALUE"""),"A Saya ingin ditunjuk atau dipilih sebagai ketua dalam suatu kelompok.")</f>
        <v>A Saya ingin ditunjuk atau dipilih sebagai ketua dalam suatu kelompok.</v>
      </c>
      <c r="CN106" s="105" t="str">
        <f>IFERROR(__xludf.DUMMYFUNCTION("""COMPUTED_VALUE"""),"A Saya ingin diperlakukan dengan baik oleh teman-teman saya.")</f>
        <v>A Saya ingin diperlakukan dengan baik oleh teman-teman saya.</v>
      </c>
      <c r="CO106" s="105" t="str">
        <f>IFERROR(__xludf.DUMMYFUNCTION("""COMPUTED_VALUE"""),"B Saya suka memuji orang yang saya kagumi.")</f>
        <v>B Saya suka memuji orang yang saya kagumi.</v>
      </c>
      <c r="CP106" s="105" t="str">
        <f>IFERROR(__xludf.DUMMYFUNCTION("""COMPUTED_VALUE"""),"B Saya ingin dianggap menarik oleh orang lain.")</f>
        <v>B Saya ingin dianggap menarik oleh orang lain.</v>
      </c>
      <c r="CQ106" s="105" t="str">
        <f>IFERROR(__xludf.DUMMYFUNCTION("""COMPUTED_VALUE"""),"B Saya merasa kagum pada seseorang.")</f>
        <v>B Saya merasa kagum pada seseorang.</v>
      </c>
      <c r="CR106" s="105" t="str">
        <f>IFERROR(__xludf.DUMMYFUNCTION("""COMPUTED_VALUE"""),"B Saya rasanya ingin mengecam seseorang bila orang itu menjengkelkan.")</f>
        <v>B Saya rasanya ingin mengecam seseorang bila orang itu menjengkelkan.</v>
      </c>
      <c r="CS106" s="105" t="str">
        <f>IFERROR(__xludf.DUMMYFUNCTION("""COMPUTED_VALUE"""),"A Saya ingin terlihat menarik di depan teman-teman saya.")</f>
        <v>A Saya ingin terlihat menarik di depan teman-teman saya.</v>
      </c>
      <c r="CT106" s="105" t="str">
        <f>IFERROR(__xludf.DUMMYFUNCTION("""COMPUTED_VALUE"""),"A Saya ingin orang-orang memperhatikan komentar mengenai penampilan saya.")</f>
        <v>A Saya ingin orang-orang memperhatikan komentar mengenai penampilan saya.</v>
      </c>
      <c r="CU106" s="105" t="str">
        <f>IFERROR(__xludf.DUMMYFUNCTION("""COMPUTED_VALUE"""),"A Saya ingin diperlakukan dengan ramah oleh teman-teman saya.")</f>
        <v>A Saya ingin diperlakukan dengan ramah oleh teman-teman saya.</v>
      </c>
      <c r="CV106" s="105" t="str">
        <f>IFERROR(__xludf.DUMMYFUNCTION("""COMPUTED_VALUE"""),"A Saya ingin ditunjuk atau dipilih sebagai ketua dalam suatu kelompok.")</f>
        <v>A Saya ingin ditunjuk atau dipilih sebagai ketua dalam suatu kelompok.</v>
      </c>
      <c r="CW106" s="105" t="str">
        <f>IFERROR(__xludf.DUMMYFUNCTION("""COMPUTED_VALUE"""),"A Saya suka menolong teman-teman saya, apabila mereka dalam kesulitan.")</f>
        <v>A Saya suka menolong teman-teman saya, apabila mereka dalam kesulitan.</v>
      </c>
      <c r="CX106" s="105" t="str">
        <f>IFERROR(__xludf.DUMMYFUNCTION("""COMPUTED_VALUE"""),"A Saya suka belajar sampai malam untuk menyelesaikan suatu tugas.")</f>
        <v>A Saya suka belajar sampai malam untuk menyelesaikan suatu tugas.</v>
      </c>
      <c r="CY106" s="105" t="str">
        <f>IFERROR(__xludf.DUMMYFUNCTION("""COMPUTED_VALUE"""),"A Saya ingin tidak tergantung dari orang lain terhadap apa yang akan saya lakukan.")</f>
        <v>A Saya ingin tidak tergantung dari orang lain terhadap apa yang akan saya lakukan.</v>
      </c>
      <c r="CZ106" s="105" t="str">
        <f>IFERROR(__xludf.DUMMYFUNCTION("""COMPUTED_VALUE"""),"A Saya suka merencanakan dan mengatur setiap pekerjaan yang harus saya lakukan.")</f>
        <v>A Saya suka merencanakan dan mengatur setiap pekerjaan yang harus saya lakukan.</v>
      </c>
      <c r="DA106" s="105" t="str">
        <f>IFERROR(__xludf.DUMMYFUNCTION("""COMPUTED_VALUE"""),"A Saya ingin melakukan apa saja sebaik mungkin.")</f>
        <v>A Saya ingin melakukan apa saja sebaik mungkin.</v>
      </c>
      <c r="DB106" s="89" t="s">
        <v>23</v>
      </c>
      <c r="DC106" s="97" t="str">
        <f t="shared" ref="DC106:GX106" si="151">LEFT(F106,1)</f>
        <v>B</v>
      </c>
      <c r="DD106" s="97" t="str">
        <f t="shared" si="151"/>
        <v>A</v>
      </c>
      <c r="DE106" s="97" t="str">
        <f t="shared" si="151"/>
        <v>A</v>
      </c>
      <c r="DF106" s="97" t="str">
        <f t="shared" si="151"/>
        <v>B</v>
      </c>
      <c r="DG106" s="97" t="str">
        <f t="shared" si="151"/>
        <v>A</v>
      </c>
      <c r="DH106" s="97" t="str">
        <f t="shared" si="151"/>
        <v>B</v>
      </c>
      <c r="DI106" s="97" t="str">
        <f t="shared" si="151"/>
        <v>B</v>
      </c>
      <c r="DJ106" s="97" t="str">
        <f t="shared" si="151"/>
        <v>B</v>
      </c>
      <c r="DK106" s="97" t="str">
        <f t="shared" si="151"/>
        <v>B</v>
      </c>
      <c r="DL106" s="97" t="str">
        <f t="shared" si="151"/>
        <v>B</v>
      </c>
      <c r="DM106" s="97" t="str">
        <f t="shared" si="151"/>
        <v>B</v>
      </c>
      <c r="DN106" s="97" t="str">
        <f t="shared" si="151"/>
        <v>B</v>
      </c>
      <c r="DO106" s="97" t="str">
        <f t="shared" si="151"/>
        <v>B</v>
      </c>
      <c r="DP106" s="97" t="str">
        <f t="shared" si="151"/>
        <v>B</v>
      </c>
      <c r="DQ106" s="97" t="str">
        <f t="shared" si="151"/>
        <v>B</v>
      </c>
      <c r="DR106" s="97" t="str">
        <f t="shared" si="151"/>
        <v>A</v>
      </c>
      <c r="DS106" s="97" t="str">
        <f t="shared" si="151"/>
        <v>B</v>
      </c>
      <c r="DT106" s="97" t="str">
        <f t="shared" si="151"/>
        <v>B</v>
      </c>
      <c r="DU106" s="97" t="str">
        <f t="shared" si="151"/>
        <v>B</v>
      </c>
      <c r="DV106" s="97" t="str">
        <f t="shared" si="151"/>
        <v>A</v>
      </c>
      <c r="DW106" s="97" t="str">
        <f t="shared" si="151"/>
        <v>A</v>
      </c>
      <c r="DX106" s="97" t="str">
        <f t="shared" si="151"/>
        <v>B</v>
      </c>
      <c r="DY106" s="97" t="str">
        <f t="shared" si="151"/>
        <v>A</v>
      </c>
      <c r="DZ106" s="97" t="str">
        <f t="shared" si="151"/>
        <v>A</v>
      </c>
      <c r="EA106" s="97" t="str">
        <f t="shared" si="151"/>
        <v>A</v>
      </c>
      <c r="EB106" s="97" t="str">
        <f t="shared" si="151"/>
        <v>A</v>
      </c>
      <c r="EC106" s="97" t="str">
        <f t="shared" si="151"/>
        <v>A</v>
      </c>
      <c r="ED106" s="97" t="str">
        <f t="shared" si="151"/>
        <v>A</v>
      </c>
      <c r="EE106" s="97" t="str">
        <f t="shared" si="151"/>
        <v>B</v>
      </c>
      <c r="EF106" s="97" t="str">
        <f t="shared" si="151"/>
        <v>B</v>
      </c>
      <c r="EG106" s="97" t="str">
        <f t="shared" si="151"/>
        <v>B</v>
      </c>
      <c r="EH106" s="97" t="str">
        <f t="shared" si="151"/>
        <v>B</v>
      </c>
      <c r="EI106" s="97" t="str">
        <f t="shared" si="151"/>
        <v>B</v>
      </c>
      <c r="EJ106" s="97" t="str">
        <f t="shared" si="151"/>
        <v>B</v>
      </c>
      <c r="EK106" s="97" t="str">
        <f t="shared" si="151"/>
        <v>A</v>
      </c>
      <c r="EL106" s="97" t="str">
        <f t="shared" si="151"/>
        <v>A</v>
      </c>
      <c r="EM106" s="97" t="str">
        <f t="shared" si="151"/>
        <v>B</v>
      </c>
      <c r="EN106" s="97" t="str">
        <f t="shared" si="151"/>
        <v>B</v>
      </c>
      <c r="EO106" s="97" t="str">
        <f t="shared" si="151"/>
        <v>B</v>
      </c>
      <c r="EP106" s="97" t="str">
        <f t="shared" si="151"/>
        <v>B</v>
      </c>
      <c r="EQ106" s="97" t="str">
        <f t="shared" si="151"/>
        <v>B</v>
      </c>
      <c r="ER106" s="97" t="str">
        <f t="shared" si="151"/>
        <v>B</v>
      </c>
      <c r="ES106" s="97" t="str">
        <f t="shared" si="151"/>
        <v>B</v>
      </c>
      <c r="ET106" s="97" t="str">
        <f t="shared" si="151"/>
        <v>B</v>
      </c>
      <c r="EU106" s="97" t="str">
        <f t="shared" si="151"/>
        <v>B</v>
      </c>
      <c r="EV106" s="97" t="str">
        <f t="shared" si="151"/>
        <v>B</v>
      </c>
      <c r="EW106" s="97" t="str">
        <f t="shared" si="151"/>
        <v>B</v>
      </c>
      <c r="EX106" s="97" t="str">
        <f t="shared" si="151"/>
        <v>B</v>
      </c>
      <c r="EY106" s="97" t="str">
        <f t="shared" si="151"/>
        <v>B</v>
      </c>
      <c r="EZ106" s="97" t="str">
        <f t="shared" si="151"/>
        <v>B</v>
      </c>
      <c r="FA106" s="97" t="str">
        <f t="shared" si="151"/>
        <v>B</v>
      </c>
      <c r="FB106" s="97" t="str">
        <f t="shared" si="151"/>
        <v>A</v>
      </c>
      <c r="FC106" s="97" t="str">
        <f t="shared" si="151"/>
        <v>B</v>
      </c>
      <c r="FD106" s="97" t="str">
        <f t="shared" si="151"/>
        <v>B</v>
      </c>
      <c r="FE106" s="97" t="str">
        <f t="shared" si="151"/>
        <v>A</v>
      </c>
      <c r="FF106" s="97" t="str">
        <f t="shared" si="151"/>
        <v>A</v>
      </c>
      <c r="FG106" s="97" t="str">
        <f t="shared" si="151"/>
        <v>A</v>
      </c>
      <c r="FH106" s="97" t="str">
        <f t="shared" si="151"/>
        <v>B</v>
      </c>
      <c r="FI106" s="97" t="str">
        <f t="shared" si="151"/>
        <v>A</v>
      </c>
      <c r="FJ106" s="97" t="str">
        <f t="shared" si="151"/>
        <v>A</v>
      </c>
      <c r="FK106" s="97" t="str">
        <f t="shared" si="151"/>
        <v>A</v>
      </c>
      <c r="FL106" s="97" t="str">
        <f t="shared" si="151"/>
        <v>A</v>
      </c>
      <c r="FM106" s="97" t="str">
        <f t="shared" si="151"/>
        <v>A</v>
      </c>
      <c r="FN106" s="97" t="str">
        <f t="shared" si="151"/>
        <v>A</v>
      </c>
      <c r="FO106" s="97" t="str">
        <f t="shared" si="151"/>
        <v>A</v>
      </c>
      <c r="FP106" s="97" t="str">
        <f t="shared" si="151"/>
        <v>B</v>
      </c>
      <c r="FQ106" s="97" t="str">
        <f t="shared" si="151"/>
        <v>A</v>
      </c>
      <c r="FR106" s="97" t="str">
        <f t="shared" si="151"/>
        <v>A</v>
      </c>
      <c r="FS106" s="97" t="str">
        <f t="shared" si="151"/>
        <v>B</v>
      </c>
      <c r="FT106" s="97" t="str">
        <f t="shared" si="151"/>
        <v>B</v>
      </c>
      <c r="FU106" s="97" t="str">
        <f t="shared" si="151"/>
        <v>B</v>
      </c>
      <c r="FV106" s="97" t="str">
        <f t="shared" si="151"/>
        <v>B</v>
      </c>
      <c r="FW106" s="97" t="str">
        <f t="shared" si="151"/>
        <v>B</v>
      </c>
      <c r="FX106" s="97" t="str">
        <f t="shared" si="151"/>
        <v>A</v>
      </c>
      <c r="FY106" s="97" t="str">
        <f t="shared" si="151"/>
        <v>B</v>
      </c>
      <c r="FZ106" s="97" t="str">
        <f t="shared" si="151"/>
        <v>A</v>
      </c>
      <c r="GA106" s="97" t="str">
        <f t="shared" si="151"/>
        <v>A</v>
      </c>
      <c r="GB106" s="97" t="str">
        <f t="shared" si="151"/>
        <v>A</v>
      </c>
      <c r="GC106" s="97" t="str">
        <f t="shared" si="151"/>
        <v>B</v>
      </c>
      <c r="GD106" s="97" t="str">
        <f t="shared" si="151"/>
        <v>B</v>
      </c>
      <c r="GE106" s="97" t="str">
        <f t="shared" si="151"/>
        <v>A</v>
      </c>
      <c r="GF106" s="97" t="str">
        <f t="shared" si="151"/>
        <v>A</v>
      </c>
      <c r="GG106" s="97" t="str">
        <f t="shared" si="151"/>
        <v>A</v>
      </c>
      <c r="GH106" s="97" t="str">
        <f t="shared" si="151"/>
        <v>A</v>
      </c>
      <c r="GI106" s="97" t="str">
        <f t="shared" si="151"/>
        <v>A</v>
      </c>
      <c r="GJ106" s="97" t="str">
        <f t="shared" si="151"/>
        <v>A</v>
      </c>
      <c r="GK106" s="97" t="str">
        <f t="shared" si="151"/>
        <v>A</v>
      </c>
      <c r="GL106" s="97" t="str">
        <f t="shared" si="151"/>
        <v>B</v>
      </c>
      <c r="GM106" s="97" t="str">
        <f t="shared" si="151"/>
        <v>B</v>
      </c>
      <c r="GN106" s="97" t="str">
        <f t="shared" si="151"/>
        <v>B</v>
      </c>
      <c r="GO106" s="97" t="str">
        <f t="shared" si="151"/>
        <v>B</v>
      </c>
      <c r="GP106" s="97" t="str">
        <f t="shared" si="151"/>
        <v>A</v>
      </c>
      <c r="GQ106" s="97" t="str">
        <f t="shared" si="151"/>
        <v>A</v>
      </c>
      <c r="GR106" s="97" t="str">
        <f t="shared" si="151"/>
        <v>A</v>
      </c>
      <c r="GS106" s="97" t="str">
        <f t="shared" si="151"/>
        <v>A</v>
      </c>
      <c r="GT106" s="97" t="str">
        <f t="shared" si="151"/>
        <v>A</v>
      </c>
      <c r="GU106" s="97" t="str">
        <f t="shared" si="151"/>
        <v>A</v>
      </c>
      <c r="GV106" s="97" t="str">
        <f t="shared" si="151"/>
        <v>A</v>
      </c>
      <c r="GW106" s="97" t="str">
        <f t="shared" si="151"/>
        <v>A</v>
      </c>
      <c r="GX106" s="97" t="str">
        <f t="shared" si="151"/>
        <v>A</v>
      </c>
      <c r="GY106" s="98"/>
      <c r="GZ106" s="97">
        <f t="shared" si="3"/>
        <v>47</v>
      </c>
      <c r="HA106" s="97">
        <f t="shared" si="4"/>
        <v>53</v>
      </c>
      <c r="HB106" s="90">
        <f t="shared" si="5"/>
        <v>100</v>
      </c>
      <c r="HC106" s="99"/>
      <c r="HD106" s="97">
        <f t="shared" si="6"/>
        <v>6</v>
      </c>
      <c r="HE106" s="97">
        <f t="shared" si="7"/>
        <v>6</v>
      </c>
      <c r="HF106" s="90">
        <f t="shared" si="8"/>
        <v>12</v>
      </c>
      <c r="HG106" s="99"/>
      <c r="HH106" s="97">
        <f t="shared" si="9"/>
        <v>5</v>
      </c>
      <c r="HI106" s="97">
        <f t="shared" si="10"/>
        <v>8</v>
      </c>
      <c r="HJ106" s="90">
        <f t="shared" si="11"/>
        <v>13</v>
      </c>
      <c r="HK106" s="99"/>
      <c r="HL106" s="97">
        <f t="shared" si="12"/>
        <v>5</v>
      </c>
      <c r="HM106" s="97">
        <f t="shared" si="13"/>
        <v>3</v>
      </c>
      <c r="HN106" s="90">
        <f t="shared" si="14"/>
        <v>8</v>
      </c>
      <c r="HO106" s="99"/>
      <c r="HP106" s="97">
        <f t="shared" si="15"/>
        <v>6</v>
      </c>
      <c r="HQ106" s="97">
        <f t="shared" si="16"/>
        <v>8</v>
      </c>
      <c r="HR106" s="90">
        <f t="shared" si="17"/>
        <v>14</v>
      </c>
      <c r="HS106" s="99"/>
      <c r="HT106" s="97">
        <f t="shared" si="18"/>
        <v>9</v>
      </c>
      <c r="HU106" s="97">
        <f t="shared" si="19"/>
        <v>10</v>
      </c>
      <c r="HV106" s="90">
        <f t="shared" si="20"/>
        <v>19</v>
      </c>
      <c r="HW106" s="99"/>
      <c r="HX106" s="97">
        <f t="shared" si="21"/>
        <v>4</v>
      </c>
      <c r="HY106" s="97">
        <f t="shared" si="22"/>
        <v>4</v>
      </c>
      <c r="HZ106" s="90">
        <f t="shared" si="23"/>
        <v>8</v>
      </c>
      <c r="IA106" s="99"/>
      <c r="IB106" s="97">
        <f t="shared" si="24"/>
        <v>4</v>
      </c>
      <c r="IC106" s="97">
        <f t="shared" si="25"/>
        <v>3</v>
      </c>
      <c r="ID106" s="90">
        <f t="shared" si="26"/>
        <v>7</v>
      </c>
      <c r="IE106" s="99"/>
      <c r="IF106" s="97">
        <f t="shared" si="27"/>
        <v>3</v>
      </c>
      <c r="IG106" s="97">
        <f t="shared" si="28"/>
        <v>6</v>
      </c>
      <c r="IH106" s="90">
        <f t="shared" si="29"/>
        <v>9</v>
      </c>
      <c r="II106" s="99"/>
      <c r="IJ106" s="97">
        <f t="shared" si="30"/>
        <v>2</v>
      </c>
      <c r="IK106" s="97">
        <f t="shared" si="31"/>
        <v>3</v>
      </c>
      <c r="IL106" s="90">
        <f t="shared" si="32"/>
        <v>5</v>
      </c>
      <c r="IM106" s="99"/>
      <c r="IN106" s="97">
        <f t="shared" si="33"/>
        <v>0</v>
      </c>
      <c r="IO106" s="97">
        <f t="shared" si="34"/>
        <v>1</v>
      </c>
      <c r="IP106" s="90">
        <f t="shared" si="35"/>
        <v>1</v>
      </c>
      <c r="IS106" s="100">
        <f t="shared" si="36"/>
        <v>12</v>
      </c>
      <c r="IT106" s="100">
        <f t="shared" si="37"/>
        <v>13</v>
      </c>
      <c r="IU106" s="100">
        <f t="shared" si="38"/>
        <v>8</v>
      </c>
      <c r="IV106" s="100">
        <f t="shared" si="39"/>
        <v>14</v>
      </c>
      <c r="IW106" s="100">
        <f t="shared" si="40"/>
        <v>19</v>
      </c>
      <c r="IX106" s="100">
        <f t="shared" si="41"/>
        <v>8</v>
      </c>
      <c r="IY106" s="100">
        <f t="shared" si="42"/>
        <v>7</v>
      </c>
      <c r="IZ106" s="100">
        <f t="shared" si="43"/>
        <v>9</v>
      </c>
      <c r="JA106" s="100">
        <f t="shared" si="44"/>
        <v>5</v>
      </c>
      <c r="JB106" s="101">
        <f t="shared" si="45"/>
        <v>1</v>
      </c>
      <c r="JC106" s="102">
        <f t="shared" si="46"/>
        <v>96</v>
      </c>
      <c r="JD106" s="67">
        <f t="shared" si="50"/>
        <v>0</v>
      </c>
      <c r="JE106" s="67">
        <f t="shared" si="47"/>
        <v>0</v>
      </c>
      <c r="JF106" s="67">
        <f t="shared" si="48"/>
        <v>0</v>
      </c>
    </row>
    <row r="107">
      <c r="A107" s="104">
        <f>IFERROR(__xludf.DUMMYFUNCTION("""COMPUTED_VALUE"""),45953.45526125)</f>
        <v>45953.45526</v>
      </c>
      <c r="B107" s="105" t="str">
        <f>IFERROR(__xludf.DUMMYFUNCTION("""COMPUTED_VALUE"""),"Eshan Kazim")</f>
        <v>Eshan Kazim</v>
      </c>
      <c r="C107" s="7" t="str">
        <f>IFERROR(__xludf.DUMMYFUNCTION("""COMPUTED_VALUE"""),"A250074")</f>
        <v>A250074</v>
      </c>
      <c r="D107" s="7" t="str">
        <f>IFERROR(__xludf.DUMMYFUNCTION("""COMPUTED_VALUE"""),"MTs Putra")</f>
        <v>MTs Putra</v>
      </c>
      <c r="E107" s="7" t="str">
        <f>IFERROR(__xludf.DUMMYFUNCTION("""COMPUTED_VALUE"""),"Ya")</f>
        <v>Ya</v>
      </c>
      <c r="F107" s="105" t="str">
        <f>IFERROR(__xludf.DUMMYFUNCTION("""COMPUTED_VALUE"""),"A Saya ingin mengerjakan segala tugas lebih baik daripada orang lain.")</f>
        <v>A Saya ingin mengerjakan segala tugas lebih baik daripada orang lain.</v>
      </c>
      <c r="G107" s="105" t="str">
        <f>IFERROR(__xludf.DUMMYFUNCTION("""COMPUTED_VALUE"""),"A Saya ingin setiap tulisan saya teliti, rapi, dan tersusun dengan baik.")</f>
        <v>A Saya ingin setiap tulisan saya teliti, rapi, dan tersusun dengan baik.</v>
      </c>
      <c r="H107" s="105" t="str">
        <f>IFERROR(__xludf.DUMMYFUNCTION("""COMPUTED_VALUE"""),"B Saya ingin menjadi orang yang diakui dalam suatu pekerjaan atau bidang khusus.")</f>
        <v>B Saya ingin menjadi orang yang diakui dalam suatu pekerjaan atau bidang khusus.</v>
      </c>
      <c r="I107" s="105" t="str">
        <f>IFERROR(__xludf.DUMMYFUNCTION("""COMPUTED_VALUE"""),"B Saya ingin bisa melakukan dengan baik meskipun tugas yang sulit.")</f>
        <v>B Saya ingin bisa melakukan dengan baik meskipun tugas yang sulit.</v>
      </c>
      <c r="J107" s="105" t="str">
        <f>IFERROR(__xludf.DUMMYFUNCTION("""COMPUTED_VALUE"""),"A Saya suka membantu teman-teman saya apabila mereka mengalami kesulitan.")</f>
        <v>A Saya suka membantu teman-teman saya apabila mereka mengalami kesulitan.</v>
      </c>
      <c r="K107" s="105" t="str">
        <f>IFERROR(__xludf.DUMMYFUNCTION("""COMPUTED_VALUE"""),"B Saya ingin mengatakan telah melakukan dengan baik sesuatu tugas yang sulit.")</f>
        <v>B Saya ingin mengatakan telah melakukan dengan baik sesuatu tugas yang sulit.</v>
      </c>
      <c r="L107" s="105" t="str">
        <f>IFERROR(__xludf.DUMMYFUNCTION("""COMPUTED_VALUE"""),"B Saya ingin mengatakan telah melakukan dengan baik sesuatu tugas yang sulit")</f>
        <v>B Saya ingin mengatakan telah melakukan dengan baik sesuatu tugas yang sulit</v>
      </c>
      <c r="M107" s="105" t="str">
        <f>IFERROR(__xludf.DUMMYFUNCTION("""COMPUTED_VALUE"""),"B Saya ingin mengerjakan segala tugas lebih baik daripada orang lain.")</f>
        <v>B Saya ingin mengerjakan segala tugas lebih baik daripada orang lain.</v>
      </c>
      <c r="N107" s="105" t="str">
        <f>IFERROR(__xludf.DUMMYFUNCTION("""COMPUTED_VALUE"""),"B Saya suka memecahkan persoalan yang sukar bagi orang lain.")</f>
        <v>B Saya suka memecahkan persoalan yang sukar bagi orang lain.</v>
      </c>
      <c r="O107" s="105" t="str">
        <f>IFERROR(__xludf.DUMMYFUNCTION("""COMPUTED_VALUE"""),"A Saya marah saat ada teman memperolok-olok hal-hal yang saya anggap bodoh.")</f>
        <v>A Saya marah saat ada teman memperolok-olok hal-hal yang saya anggap bodoh.</v>
      </c>
      <c r="P107" s="105" t="str">
        <f>IFERROR(__xludf.DUMMYFUNCTION("""COMPUTED_VALUE"""),"B Saya ingin setiap belajar itu teratur dan direncanakan.")</f>
        <v>B Saya ingin setiap belajar itu teratur dan direncanakan.</v>
      </c>
      <c r="Q107" s="105" t="str">
        <f>IFERROR(__xludf.DUMMYFUNCTION("""COMPUTED_VALUE"""),"B Saya merencanakan keperluan yang dibutuhkan sebelum bepergian.")</f>
        <v>B Saya merencanakan keperluan yang dibutuhkan sebelum bepergian.</v>
      </c>
      <c r="R107" s="105" t="str">
        <f>IFERROR(__xludf.DUMMYFUNCTION("""COMPUTED_VALUE"""),"B Saya suka barang-barang saya tersusun rapi dan teratur.")</f>
        <v>B Saya suka barang-barang saya tersusun rapi dan teratur.</v>
      </c>
      <c r="S107" s="105" t="str">
        <f>IFERROR(__xludf.DUMMYFUNCTION("""COMPUTED_VALUE"""),"B Saya suka membuat perencanaan sebelum memulai tugas yang sulit.")</f>
        <v>B Saya suka membuat perencanaan sebelum memulai tugas yang sulit.</v>
      </c>
      <c r="T107" s="105" t="str">
        <f>IFERROR(__xludf.DUMMYFUNCTION("""COMPUTED_VALUE"""),"B Saya ingin agar hidup saya teratur sesuai cita-cita saya.")</f>
        <v>B Saya ingin agar hidup saya teratur sesuai cita-cita saya.</v>
      </c>
      <c r="U107" s="105" t="str">
        <f>IFERROR(__xludf.DUMMYFUNCTION("""COMPUTED_VALUE"""),"A Saya suka memberikan bantuan kepada teman-teman saya.")</f>
        <v>A Saya suka memberikan bantuan kepada teman-teman saya.</v>
      </c>
      <c r="V107" s="105" t="str">
        <f>IFERROR(__xludf.DUMMYFUNCTION("""COMPUTED_VALUE"""),"B Saya suka belajar saya teratur dan ada waktu-waktu tertentu untuk belajar.")</f>
        <v>B Saya suka belajar saya teratur dan ada waktu-waktu tertentu untuk belajar.</v>
      </c>
      <c r="W107" s="105" t="str">
        <f>IFERROR(__xludf.DUMMYFUNCTION("""COMPUTED_VALUE"""),"B Saya ingin kegiatan itu teratur dan direncanakan.")</f>
        <v>B Saya ingin kegiatan itu teratur dan direncanakan.</v>
      </c>
      <c r="X107" s="105" t="str">
        <f>IFERROR(__xludf.DUMMYFUNCTION("""COMPUTED_VALUE"""),"A Saya suka merencanakan dan mengatur setiap apa yang harus saya lakukan.")</f>
        <v>A Saya suka merencanakan dan mengatur setiap apa yang harus saya lakukan.</v>
      </c>
      <c r="Y107" s="105" t="str">
        <f>IFERROR(__xludf.DUMMYFUNCTION("""COMPUTED_VALUE"""),"A Saya suka menyelesaikan tugas-tugas yang membutuhkan ketrampilan dan usaha.")</f>
        <v>A Saya suka menyelesaikan tugas-tugas yang membutuhkan ketrampilan dan usaha.</v>
      </c>
      <c r="Z107" s="105" t="str">
        <f>IFERROR(__xludf.DUMMYFUNCTION("""COMPUTED_VALUE"""),"A Saya ingin berhasil dengan belajar yang saya lakukan.")</f>
        <v>A Saya ingin berhasil dengan belajar yang saya lakukan.</v>
      </c>
      <c r="AA107" s="105" t="str">
        <f>IFERROR(__xludf.DUMMYFUNCTION("""COMPUTED_VALUE"""),"A Saya suka menyelesaikan tugas yang telah saya rencanakan.")</f>
        <v>A Saya suka menyelesaikan tugas yang telah saya rencanakan.</v>
      </c>
      <c r="AB107" s="105" t="str">
        <f>IFERROR(__xludf.DUMMYFUNCTION("""COMPUTED_VALUE"""),"A Saya ingin tidak tergantung dari orang lain terhadap apa yang akan saya lakukan.")</f>
        <v>A Saya ingin tidak tergantung dari orang lain terhadap apa yang akan saya lakukan.</v>
      </c>
      <c r="AC107" s="105" t="str">
        <f>IFERROR(__xludf.DUMMYFUNCTION("""COMPUTED_VALUE"""),"A Saya suka menyelesaikan setiap tugas meskipun membutuhkan waktu lama.")</f>
        <v>A Saya suka menyelesaikan setiap tugas meskipun membutuhkan waktu lama.</v>
      </c>
      <c r="AD107" s="105" t="str">
        <f>IFERROR(__xludf.DUMMYFUNCTION("""COMPUTED_VALUE"""),"A Saya suka bermurah hati terhadap teman-teman saya.")</f>
        <v>A Saya suka bermurah hati terhadap teman-teman saya.</v>
      </c>
      <c r="AE107" s="105" t="str">
        <f>IFERROR(__xludf.DUMMYFUNCTION("""COMPUTED_VALUE"""),"A Saya ingin dianggap sebagai pemimpin oleh teman di kelompok.")</f>
        <v>A Saya ingin dianggap sebagai pemimpin oleh teman di kelompok.</v>
      </c>
      <c r="AF107" s="105" t="str">
        <f>IFERROR(__xludf.DUMMYFUNCTION("""COMPUTED_VALUE"""),"B Saya suka melakukan hal-hal dengan cara saya sendiri.")</f>
        <v>B Saya suka melakukan hal-hal dengan cara saya sendiri.</v>
      </c>
      <c r="AG107" s="105" t="str">
        <f>IFERROR(__xludf.DUMMYFUNCTION("""COMPUTED_VALUE"""),"B Saya ingin berhasil dengan tugas yang saya lakukan.")</f>
        <v>B Saya ingin berhasil dengan tugas yang saya lakukan.</v>
      </c>
      <c r="AH107" s="105" t="str">
        <f>IFERROR(__xludf.DUMMYFUNCTION("""COMPUTED_VALUE"""),"A Saya suka membaca buku-buku tentang pergaulan remaja.")</f>
        <v>A Saya suka membaca buku-buku tentang pergaulan remaja.</v>
      </c>
      <c r="AI107" s="105" t="str">
        <f>IFERROR(__xludf.DUMMYFUNCTION("""COMPUTED_VALUE"""),"B Saya suka melakukan kegiatan sesuai kondisi yang saya inginkan.")</f>
        <v>B Saya suka melakukan kegiatan sesuai kondisi yang saya inginkan.</v>
      </c>
      <c r="AJ107" s="105" t="str">
        <f>IFERROR(__xludf.DUMMYFUNCTION("""COMPUTED_VALUE"""),"B Saya suka bertahan menghadapi satu masalah meskipun belum tentu berhasil.")</f>
        <v>B Saya suka bertahan menghadapi satu masalah meskipun belum tentu berhasil.</v>
      </c>
      <c r="AK107" s="105" t="str">
        <f>IFERROR(__xludf.DUMMYFUNCTION("""COMPUTED_VALUE"""),"B Bila saya harus melakukan suatu tugas, saya ingin mengerjakan sampai selesai.")</f>
        <v>B Bila saya harus melakukan suatu tugas, saya ingin mengerjakan sampai selesai.</v>
      </c>
      <c r="AL107" s="105" t="str">
        <f>IFERROR(__xludf.DUMMYFUNCTION("""COMPUTED_VALUE"""),"B Saya ingin menghindarkan gangguan bila saya sedang belajar.")</f>
        <v>B Saya ingin menghindarkan gangguan bila saya sedang belajar.</v>
      </c>
      <c r="AM107" s="105" t="str">
        <f>IFERROR(__xludf.DUMMYFUNCTION("""COMPUTED_VALUE"""),"B Saya suka belajar sampai malam untuk menyelesaikan suatu tugas.")</f>
        <v>B Saya suka belajar sampai malam untuk menyelesaikan suatu tugas.</v>
      </c>
      <c r="AN107" s="105" t="str">
        <f>IFERROR(__xludf.DUMMYFUNCTION("""COMPUTED_VALUE"""),"B Saya ingin bekerja berjam-jam tanpa diganggu.")</f>
        <v>B Saya ingin bekerja berjam-jam tanpa diganggu.</v>
      </c>
      <c r="AO107" s="105" t="str">
        <f>IFERROR(__xludf.DUMMYFUNCTION("""COMPUTED_VALUE"""),"B Saya suka menyelesaikan setiap tugas meskipun membutuhkan waktu lama.")</f>
        <v>B Saya suka menyelesaikan setiap tugas meskipun membutuhkan waktu lama.</v>
      </c>
      <c r="AP107" s="105" t="str">
        <f>IFERROR(__xludf.DUMMYFUNCTION("""COMPUTED_VALUE"""),"B Saya suka bertahan menghadapi satu masalah meskipun belum tentu berhasil.")</f>
        <v>B Saya suka bertahan menghadapi satu masalah meskipun belum tentu berhasil.</v>
      </c>
      <c r="AQ107" s="105" t="str">
        <f>IFERROR(__xludf.DUMMYFUNCTION("""COMPUTED_VALUE"""),"A Saya ingin bisa mengerjakan segala sesuatu lebih baik daripada orang-orang lain.")</f>
        <v>A Saya ingin bisa mengerjakan segala sesuatu lebih baik daripada orang-orang lain.</v>
      </c>
      <c r="AR107" s="105" t="str">
        <f>IFERROR(__xludf.DUMMYFUNCTION("""COMPUTED_VALUE"""),"B Saya suka belajar keras pada tiap pelajaran yang saya hadapi.")</f>
        <v>B Saya suka belajar keras pada tiap pelajaran yang saya hadapi.</v>
      </c>
      <c r="AS107" s="105" t="str">
        <f>IFERROR(__xludf.DUMMYFUNCTION("""COMPUTED_VALUE"""),"A Saya ingin dapat menyelesaikan persoalan yang dianggap sukar bagi orang lain.")</f>
        <v>A Saya ingin dapat menyelesaikan persoalan yang dianggap sukar bagi orang lain.</v>
      </c>
      <c r="AT107" s="105" t="str">
        <f>IFERROR(__xludf.DUMMYFUNCTION("""COMPUTED_VALUE"""),"A Saya ingin bisa melakukan dengan baik sesuatu pekerjaan sulit.")</f>
        <v>A Saya ingin bisa melakukan dengan baik sesuatu pekerjaan sulit.</v>
      </c>
      <c r="AU107" s="105" t="str">
        <f>IFERROR(__xludf.DUMMYFUNCTION("""COMPUTED_VALUE"""),"A Saya ingin menyelesaikan pekerjaan satu persatu sebelum memulai yang lain.")</f>
        <v>A Saya ingin menyelesaikan pekerjaan satu persatu sebelum memulai yang lain.</v>
      </c>
      <c r="AV107" s="105" t="str">
        <f>IFERROR(__xludf.DUMMYFUNCTION("""COMPUTED_VALUE"""),"B Saya suka menolong teman-teman saya.")</f>
        <v>B Saya suka menolong teman-teman saya.</v>
      </c>
      <c r="AW107" s="105" t="str">
        <f>IFERROR(__xludf.DUMMYFUNCTION("""COMPUTED_VALUE"""),"A Saya ingin mengerjakan tugas sampai selesai.")</f>
        <v>A Saya ingin mengerjakan tugas sampai selesai.</v>
      </c>
      <c r="AX107" s="105" t="str">
        <f>IFERROR(__xludf.DUMMYFUNCTION("""COMPUTED_VALUE"""),"A Saya suka menolong teman-teman saya apabila mereka dalam kesulitan.")</f>
        <v>A Saya suka menolong teman-teman saya apabila mereka dalam kesulitan.</v>
      </c>
      <c r="AY107" s="105" t="str">
        <f>IFERROR(__xludf.DUMMYFUNCTION("""COMPUTED_VALUE"""),"B Saya suka menolong teman-teman saya apabila mereka dalam kesulitan.")</f>
        <v>B Saya suka menolong teman-teman saya apabila mereka dalam kesulitan.</v>
      </c>
      <c r="AZ107" s="105" t="str">
        <f>IFERROR(__xludf.DUMMYFUNCTION("""COMPUTED_VALUE"""),"B Saya suka menunjukkan simpati saya kepada teman-teman saya.")</f>
        <v>B Saya suka menunjukkan simpati saya kepada teman-teman saya.</v>
      </c>
      <c r="BA107" s="105" t="str">
        <f>IFERROR(__xludf.DUMMYFUNCTION("""COMPUTED_VALUE"""),"B Saya suka memperlakukan orang lain dengan baik dan ramah.")</f>
        <v>B Saya suka memperlakukan orang lain dengan baik dan ramah.</v>
      </c>
      <c r="BB107" s="105" t="str">
        <f>IFERROR(__xludf.DUMMYFUNCTION("""COMPUTED_VALUE"""),"B Saya suka bermurah hati terhadap teman-teman saya.")</f>
        <v>B Saya suka bermurah hati terhadap teman-teman saya.</v>
      </c>
      <c r="BC107" s="105" t="str">
        <f>IFERROR(__xludf.DUMMYFUNCTION("""COMPUTED_VALUE"""),"B Saya suka membantu orang lain yang menurut saya perlu dikasihani.")</f>
        <v>B Saya suka membantu orang lain yang menurut saya perlu dikasihani.</v>
      </c>
      <c r="BD107" s="105" t="str">
        <f>IFERROR(__xludf.DUMMYFUNCTION("""COMPUTED_VALUE"""),"B Saya suka bersikukuh dengan pendirian saya.")</f>
        <v>B Saya suka bersikukuh dengan pendirian saya.</v>
      </c>
      <c r="BE107" s="105" t="str">
        <f>IFERROR(__xludf.DUMMYFUNCTION("""COMPUTED_VALUE"""),"B Saya ingin orang lain melakukan apa yang saya kehendaki.")</f>
        <v>B Saya ingin orang lain melakukan apa yang saya kehendaki.</v>
      </c>
      <c r="BF107" s="105" t="str">
        <f>IFERROR(__xludf.DUMMYFUNCTION("""COMPUTED_VALUE"""),"B Bila saya dalam kelompok, saya ingin menentukan apa yang akan kita lakukan.")</f>
        <v>B Bila saya dalam kelompok, saya ingin menentukan apa yang akan kita lakukan.</v>
      </c>
      <c r="BG107" s="105" t="str">
        <f>IFERROR(__xludf.DUMMYFUNCTION("""COMPUTED_VALUE"""),"B Saya suka mengarahkan kepada orang lain apa yang harus dilakukan.")</f>
        <v>B Saya suka mengarahkan kepada orang lain apa yang harus dilakukan.</v>
      </c>
      <c r="BH107" s="105" t="str">
        <f>IFERROR(__xludf.DUMMYFUNCTION("""COMPUTED_VALUE"""),"A Saya suka menghindar dari situasi yang tidak saya harapkan.")</f>
        <v>A Saya suka menghindar dari situasi yang tidak saya harapkan.</v>
      </c>
      <c r="BI107" s="105" t="str">
        <f>IFERROR(__xludf.DUMMYFUNCTION("""COMPUTED_VALUE"""),"A Saya suka bermurah hati terhadap teman-teman saya.")</f>
        <v>A Saya suka bermurah hati terhadap teman-teman saya.</v>
      </c>
      <c r="BJ107" s="105" t="str">
        <f>IFERROR(__xludf.DUMMYFUNCTION("""COMPUTED_VALUE"""),"A Saya ingin mengerjakan tugas sampai selesai.")</f>
        <v>A Saya ingin mengerjakan tugas sampai selesai.</v>
      </c>
      <c r="BK107" s="105" t="str">
        <f>IFERROR(__xludf.DUMMYFUNCTION("""COMPUTED_VALUE"""),"B Saya senang untuk diminta menyelesaikan pertentangan-pertentangan.")</f>
        <v>B Saya senang untuk diminta menyelesaikan pertentangan-pertentangan.</v>
      </c>
      <c r="BL107" s="105" t="str">
        <f>IFERROR(__xludf.DUMMYFUNCTION("""COMPUTED_VALUE"""),"A Saya suka belajar saya teratur dan ada waktu-waktu tertentu untuk belajar.")</f>
        <v>A Saya suka belajar saya teratur dan ada waktu-waktu tertentu untuk belajar.</v>
      </c>
      <c r="BM107" s="105" t="str">
        <f>IFERROR(__xludf.DUMMYFUNCTION("""COMPUTED_VALUE"""),"A Saya suka melakukan pekerjaan sebaik mungkin.")</f>
        <v>A Saya suka melakukan pekerjaan sebaik mungkin.</v>
      </c>
      <c r="BN107" s="105" t="str">
        <f>IFERROR(__xludf.DUMMYFUNCTION("""COMPUTED_VALUE"""),"A Saya suka mengerjakan teka-teki atau memecahkan persoalan sampai selesai.")</f>
        <v>A Saya suka mengerjakan teka-teki atau memecahkan persoalan sampai selesai.</v>
      </c>
      <c r="BO107" s="105" t="str">
        <f>IFERROR(__xludf.DUMMYFUNCTION("""COMPUTED_VALUE"""),"A Saya suka membuat perencanaan sebelum memulai belajar yang sulit.")</f>
        <v>A Saya suka membuat perencanaan sebelum memulai belajar yang sulit.</v>
      </c>
      <c r="BP107" s="105" t="str">
        <f>IFERROR(__xludf.DUMMYFUNCTION("""COMPUTED_VALUE"""),"A Saya ingin menyelesaikan sesuatu yang sangat penting artinya.")</f>
        <v>A Saya ingin menyelesaikan sesuatu yang sangat penting artinya.</v>
      </c>
      <c r="BQ107" s="105" t="str">
        <f>IFERROR(__xludf.DUMMYFUNCTION("""COMPUTED_VALUE"""),"A Saya ingin mengerjakannya tugas sampai selesai.")</f>
        <v>A Saya ingin mengerjakannya tugas sampai selesai.</v>
      </c>
      <c r="BR107" s="105" t="str">
        <f>IFERROR(__xludf.DUMMYFUNCTION("""COMPUTED_VALUE"""),"A Saya suka memaafkan teman-teman saya yang menyakiti hati saya.")</f>
        <v>A Saya suka memaafkan teman-teman saya yang menyakiti hati saya.</v>
      </c>
      <c r="BS107" s="105" t="str">
        <f>IFERROR(__xludf.DUMMYFUNCTION("""COMPUTED_VALUE"""),"B Saya ingin teman-teman saya membantu saya bila saya mengalami kesulitan")</f>
        <v>B Saya ingin teman-teman saya membantu saya bila saya mengalami kesulitan</v>
      </c>
      <c r="BT107" s="105" t="str">
        <f>IFERROR(__xludf.DUMMYFUNCTION("""COMPUTED_VALUE"""),"A Saya ingin teman-teman saya merasa kasihan pada saya apabila saya sakit.")</f>
        <v>A Saya ingin teman-teman saya merasa kasihan pada saya apabila saya sakit.</v>
      </c>
      <c r="BU107" s="105" t="str">
        <f>IFERROR(__xludf.DUMMYFUNCTION("""COMPUTED_VALUE"""),"B Saya ingin agar teman-teman saya merasa kasihan pada saya apabila saya sakit.")</f>
        <v>B Saya ingin agar teman-teman saya merasa kasihan pada saya apabila saya sakit.</v>
      </c>
      <c r="BV107" s="105" t="str">
        <f>IFERROR(__xludf.DUMMYFUNCTION("""COMPUTED_VALUE"""),"B Saya ingin teman-teman dengan gembira memberikan pertolongan kepada saya.")</f>
        <v>B Saya ingin teman-teman dengan gembira memberikan pertolongan kepada saya.</v>
      </c>
      <c r="BW107" s="105" t="str">
        <f>IFERROR(__xludf.DUMMYFUNCTION("""COMPUTED_VALUE"""),"A Saya akan menyerang pendapat yang bertentangan dengan pendirian saya.")</f>
        <v>A Saya akan menyerang pendapat yang bertentangan dengan pendirian saya.</v>
      </c>
      <c r="BX107" s="105" t="str">
        <f>IFERROR(__xludf.DUMMYFUNCTION("""COMPUTED_VALUE"""),"A Saya ingin memperolok-olok orang yang saya anggap melakukan tindakan bodoh.")</f>
        <v>A Saya ingin memperolok-olok orang yang saya anggap melakukan tindakan bodoh.</v>
      </c>
      <c r="BY107" s="105" t="str">
        <f>IFERROR(__xludf.DUMMYFUNCTION("""COMPUTED_VALUE"""),"B Saya ingin orang lain memperhatikan dan berkomentar tentang penampilan saya.")</f>
        <v>B Saya ingin orang lain memperhatikan dan berkomentar tentang penampilan saya.</v>
      </c>
      <c r="BZ107" s="105" t="str">
        <f>IFERROR(__xludf.DUMMYFUNCTION("""COMPUTED_VALUE"""),"B Saya suka diperhatikan, apabila saya ada di dalam suatu kelompok.")</f>
        <v>B Saya suka diperhatikan, apabila saya ada di dalam suatu kelompok.</v>
      </c>
      <c r="CA107" s="105" t="str">
        <f>IFERROR(__xludf.DUMMYFUNCTION("""COMPUTED_VALUE"""),"A Saya ingin teman-teman dengan gembira memberikan pertolongan kepada saya.")</f>
        <v>A Saya ingin teman-teman dengan gembira memberikan pertolongan kepada saya.</v>
      </c>
      <c r="CB107" s="105" t="str">
        <f>IFERROR(__xludf.DUMMYFUNCTION("""COMPUTED_VALUE"""),"B Saya suka berbicara tentang hal-hal yang telah saya capai.")</f>
        <v>B Saya suka berbicara tentang hal-hal yang telah saya capai.</v>
      </c>
      <c r="CC107" s="105" t="str">
        <f>IFERROR(__xludf.DUMMYFUNCTION("""COMPUTED_VALUE"""),"A Apabila saya berkumpul dalam kelompok, saya ingin dihargai teman-teman.")</f>
        <v>A Apabila saya berkumpul dalam kelompok, saya ingin dihargai teman-teman.</v>
      </c>
      <c r="CD107" s="105" t="str">
        <f>IFERROR(__xludf.DUMMYFUNCTION("""COMPUTED_VALUE"""),"A Saya suka menyelesaikan setiap tugas meskipun membutuhkan waktu lama.")</f>
        <v>A Saya suka menyelesaikan setiap tugas meskipun membutuhkan waktu lama.</v>
      </c>
      <c r="CE107" s="105" t="str">
        <f>IFERROR(__xludf.DUMMYFUNCTION("""COMPUTED_VALUE"""),"A Saya suka menyelesaikan setiap tugas belajar yang telah saya mulai.")</f>
        <v>A Saya suka menyelesaikan setiap tugas belajar yang telah saya mulai.</v>
      </c>
      <c r="CF107" s="105" t="str">
        <f>IFERROR(__xludf.DUMMYFUNCTION("""COMPUTED_VALUE"""),"A Saya ingin agar hidup saya teratur sesuai cita-cita saya.")</f>
        <v>A Saya ingin agar hidup saya teratur sesuai cita-cita saya.</v>
      </c>
      <c r="CG107" s="105" t="str">
        <f>IFERROR(__xludf.DUMMYFUNCTION("""COMPUTED_VALUE"""),"A Saya ingin berhasil dalam apa yang saya lakukan.")</f>
        <v>A Saya ingin berhasil dalam apa yang saya lakukan.</v>
      </c>
      <c r="CH107" s="105" t="str">
        <f>IFERROR(__xludf.DUMMYFUNCTION("""COMPUTED_VALUE"""),"A Saya ingin bisa melakukan dengan baik sesuatu pekerjaan sulit.")</f>
        <v>A Saya ingin bisa melakukan dengan baik sesuatu pekerjaan sulit.</v>
      </c>
      <c r="CI107" s="105" t="str">
        <f>IFERROR(__xludf.DUMMYFUNCTION("""COMPUTED_VALUE"""),"A Saya suka belajar saya teratur dan ada waktu-waktu tertentu untuk belajar.")</f>
        <v>A Saya suka belajar saya teratur dan ada waktu-waktu tertentu untuk belajar.</v>
      </c>
      <c r="CJ107" s="105" t="str">
        <f>IFERROR(__xludf.DUMMYFUNCTION("""COMPUTED_VALUE"""),"A Saya ingin tidak tergantung dari orang lain terhadap apa yang akan saya lakukan.")</f>
        <v>A Saya ingin tidak tergantung dari orang lain terhadap apa yang akan saya lakukan.</v>
      </c>
      <c r="CK107" s="105" t="str">
        <f>IFERROR(__xludf.DUMMYFUNCTION("""COMPUTED_VALUE"""),"A Saya suka bertahan menghadapi satu masalah, meskipun belum tentu berhasil.")</f>
        <v>A Saya suka bertahan menghadapi satu masalah, meskipun belum tentu berhasil.</v>
      </c>
      <c r="CL107" s="105" t="str">
        <f>IFERROR(__xludf.DUMMYFUNCTION("""COMPUTED_VALUE"""),"A Saya suka menolong teman-teman saya, apabila mereka dalam kesulitan.")</f>
        <v>A Saya suka menolong teman-teman saya, apabila mereka dalam kesulitan.</v>
      </c>
      <c r="CM107" s="105" t="str">
        <f>IFERROR(__xludf.DUMMYFUNCTION("""COMPUTED_VALUE"""),"B Saya merasa kagum pada seseorang.")</f>
        <v>B Saya merasa kagum pada seseorang.</v>
      </c>
      <c r="CN107" s="105" t="str">
        <f>IFERROR(__xludf.DUMMYFUNCTION("""COMPUTED_VALUE"""),"A Saya ingin diperlakukan dengan baik oleh teman-teman saya.")</f>
        <v>A Saya ingin diperlakukan dengan baik oleh teman-teman saya.</v>
      </c>
      <c r="CO107" s="105" t="str">
        <f>IFERROR(__xludf.DUMMYFUNCTION("""COMPUTED_VALUE"""),"B Saya suka memuji orang yang saya kagumi.")</f>
        <v>B Saya suka memuji orang yang saya kagumi.</v>
      </c>
      <c r="CP107" s="105" t="str">
        <f>IFERROR(__xludf.DUMMYFUNCTION("""COMPUTED_VALUE"""),"B Saya ingin dianggap menarik oleh orang lain.")</f>
        <v>B Saya ingin dianggap menarik oleh orang lain.</v>
      </c>
      <c r="CQ107" s="105" t="str">
        <f>IFERROR(__xludf.DUMMYFUNCTION("""COMPUTED_VALUE"""),"A Saya ingin menggertak orang bila saya berbeda pendapat dengan mereka.")</f>
        <v>A Saya ingin menggertak orang bila saya berbeda pendapat dengan mereka.</v>
      </c>
      <c r="CR107" s="105" t="str">
        <f>IFERROR(__xludf.DUMMYFUNCTION("""COMPUTED_VALUE"""),"A Saya ingin memperolok-olok orang yang saya anggap melakukan tindakan bodoh.")</f>
        <v>A Saya ingin memperolok-olok orang yang saya anggap melakukan tindakan bodoh.</v>
      </c>
      <c r="CS107" s="105" t="str">
        <f>IFERROR(__xludf.DUMMYFUNCTION("""COMPUTED_VALUE"""),"A Saya ingin terlihat menarik di depan teman-teman saya.")</f>
        <v>A Saya ingin terlihat menarik di depan teman-teman saya.</v>
      </c>
      <c r="CT107" s="105" t="str">
        <f>IFERROR(__xludf.DUMMYFUNCTION("""COMPUTED_VALUE"""),"A Saya ingin orang-orang memperhatikan komentar mengenai penampilan saya.")</f>
        <v>A Saya ingin orang-orang memperhatikan komentar mengenai penampilan saya.</v>
      </c>
      <c r="CU107" s="105" t="str">
        <f>IFERROR(__xludf.DUMMYFUNCTION("""COMPUTED_VALUE"""),"A Saya ingin diperlakukan dengan ramah oleh teman-teman saya.")</f>
        <v>A Saya ingin diperlakukan dengan ramah oleh teman-teman saya.</v>
      </c>
      <c r="CV107" s="105" t="str">
        <f>IFERROR(__xludf.DUMMYFUNCTION("""COMPUTED_VALUE"""),"B Saya menyerang pendirian-pendirian yang bertentangan dengan pendirian saya.")</f>
        <v>B Saya menyerang pendirian-pendirian yang bertentangan dengan pendirian saya.</v>
      </c>
      <c r="CW107" s="105" t="str">
        <f>IFERROR(__xludf.DUMMYFUNCTION("""COMPUTED_VALUE"""),"A Saya suka menolong teman-teman saya, apabila mereka dalam kesulitan.")</f>
        <v>A Saya suka menolong teman-teman saya, apabila mereka dalam kesulitan.</v>
      </c>
      <c r="CX107" s="105" t="str">
        <f>IFERROR(__xludf.DUMMYFUNCTION("""COMPUTED_VALUE"""),"A Saya suka belajar sampai malam untuk menyelesaikan suatu tugas.")</f>
        <v>A Saya suka belajar sampai malam untuk menyelesaikan suatu tugas.</v>
      </c>
      <c r="CY107" s="105" t="str">
        <f>IFERROR(__xludf.DUMMYFUNCTION("""COMPUTED_VALUE"""),"A Saya ingin tidak tergantung dari orang lain terhadap apa yang akan saya lakukan.")</f>
        <v>A Saya ingin tidak tergantung dari orang lain terhadap apa yang akan saya lakukan.</v>
      </c>
      <c r="CZ107" s="105" t="str">
        <f>IFERROR(__xludf.DUMMYFUNCTION("""COMPUTED_VALUE"""),"A Saya suka merencanakan dan mengatur setiap pekerjaan yang harus saya lakukan.")</f>
        <v>A Saya suka merencanakan dan mengatur setiap pekerjaan yang harus saya lakukan.</v>
      </c>
      <c r="DA107" s="105" t="str">
        <f>IFERROR(__xludf.DUMMYFUNCTION("""COMPUTED_VALUE"""),"A Saya ingin melakukan apa saja sebaik mungkin.")</f>
        <v>A Saya ingin melakukan apa saja sebaik mungkin.</v>
      </c>
      <c r="DB107" s="89" t="s">
        <v>23</v>
      </c>
      <c r="DC107" s="97" t="str">
        <f t="shared" ref="DC107:GX107" si="152">LEFT(F107,1)</f>
        <v>A</v>
      </c>
      <c r="DD107" s="97" t="str">
        <f t="shared" si="152"/>
        <v>A</v>
      </c>
      <c r="DE107" s="97" t="str">
        <f t="shared" si="152"/>
        <v>B</v>
      </c>
      <c r="DF107" s="97" t="str">
        <f t="shared" si="152"/>
        <v>B</v>
      </c>
      <c r="DG107" s="97" t="str">
        <f t="shared" si="152"/>
        <v>A</v>
      </c>
      <c r="DH107" s="97" t="str">
        <f t="shared" si="152"/>
        <v>B</v>
      </c>
      <c r="DI107" s="97" t="str">
        <f t="shared" si="152"/>
        <v>B</v>
      </c>
      <c r="DJ107" s="97" t="str">
        <f t="shared" si="152"/>
        <v>B</v>
      </c>
      <c r="DK107" s="97" t="str">
        <f t="shared" si="152"/>
        <v>B</v>
      </c>
      <c r="DL107" s="97" t="str">
        <f t="shared" si="152"/>
        <v>A</v>
      </c>
      <c r="DM107" s="97" t="str">
        <f t="shared" si="152"/>
        <v>B</v>
      </c>
      <c r="DN107" s="97" t="str">
        <f t="shared" si="152"/>
        <v>B</v>
      </c>
      <c r="DO107" s="97" t="str">
        <f t="shared" si="152"/>
        <v>B</v>
      </c>
      <c r="DP107" s="97" t="str">
        <f t="shared" si="152"/>
        <v>B</v>
      </c>
      <c r="DQ107" s="97" t="str">
        <f t="shared" si="152"/>
        <v>B</v>
      </c>
      <c r="DR107" s="97" t="str">
        <f t="shared" si="152"/>
        <v>A</v>
      </c>
      <c r="DS107" s="97" t="str">
        <f t="shared" si="152"/>
        <v>B</v>
      </c>
      <c r="DT107" s="97" t="str">
        <f t="shared" si="152"/>
        <v>B</v>
      </c>
      <c r="DU107" s="97" t="str">
        <f t="shared" si="152"/>
        <v>A</v>
      </c>
      <c r="DV107" s="97" t="str">
        <f t="shared" si="152"/>
        <v>A</v>
      </c>
      <c r="DW107" s="97" t="str">
        <f t="shared" si="152"/>
        <v>A</v>
      </c>
      <c r="DX107" s="97" t="str">
        <f t="shared" si="152"/>
        <v>A</v>
      </c>
      <c r="DY107" s="97" t="str">
        <f t="shared" si="152"/>
        <v>A</v>
      </c>
      <c r="DZ107" s="97" t="str">
        <f t="shared" si="152"/>
        <v>A</v>
      </c>
      <c r="EA107" s="97" t="str">
        <f t="shared" si="152"/>
        <v>A</v>
      </c>
      <c r="EB107" s="97" t="str">
        <f t="shared" si="152"/>
        <v>A</v>
      </c>
      <c r="EC107" s="97" t="str">
        <f t="shared" si="152"/>
        <v>B</v>
      </c>
      <c r="ED107" s="97" t="str">
        <f t="shared" si="152"/>
        <v>B</v>
      </c>
      <c r="EE107" s="97" t="str">
        <f t="shared" si="152"/>
        <v>A</v>
      </c>
      <c r="EF107" s="97" t="str">
        <f t="shared" si="152"/>
        <v>B</v>
      </c>
      <c r="EG107" s="97" t="str">
        <f t="shared" si="152"/>
        <v>B</v>
      </c>
      <c r="EH107" s="97" t="str">
        <f t="shared" si="152"/>
        <v>B</v>
      </c>
      <c r="EI107" s="97" t="str">
        <f t="shared" si="152"/>
        <v>B</v>
      </c>
      <c r="EJ107" s="97" t="str">
        <f t="shared" si="152"/>
        <v>B</v>
      </c>
      <c r="EK107" s="97" t="str">
        <f t="shared" si="152"/>
        <v>B</v>
      </c>
      <c r="EL107" s="97" t="str">
        <f t="shared" si="152"/>
        <v>B</v>
      </c>
      <c r="EM107" s="97" t="str">
        <f t="shared" si="152"/>
        <v>B</v>
      </c>
      <c r="EN107" s="97" t="str">
        <f t="shared" si="152"/>
        <v>A</v>
      </c>
      <c r="EO107" s="97" t="str">
        <f t="shared" si="152"/>
        <v>B</v>
      </c>
      <c r="EP107" s="97" t="str">
        <f t="shared" si="152"/>
        <v>A</v>
      </c>
      <c r="EQ107" s="97" t="str">
        <f t="shared" si="152"/>
        <v>A</v>
      </c>
      <c r="ER107" s="97" t="str">
        <f t="shared" si="152"/>
        <v>A</v>
      </c>
      <c r="ES107" s="97" t="str">
        <f t="shared" si="152"/>
        <v>B</v>
      </c>
      <c r="ET107" s="97" t="str">
        <f t="shared" si="152"/>
        <v>A</v>
      </c>
      <c r="EU107" s="97" t="str">
        <f t="shared" si="152"/>
        <v>A</v>
      </c>
      <c r="EV107" s="97" t="str">
        <f t="shared" si="152"/>
        <v>B</v>
      </c>
      <c r="EW107" s="97" t="str">
        <f t="shared" si="152"/>
        <v>B</v>
      </c>
      <c r="EX107" s="97" t="str">
        <f t="shared" si="152"/>
        <v>B</v>
      </c>
      <c r="EY107" s="97" t="str">
        <f t="shared" si="152"/>
        <v>B</v>
      </c>
      <c r="EZ107" s="97" t="str">
        <f t="shared" si="152"/>
        <v>B</v>
      </c>
      <c r="FA107" s="97" t="str">
        <f t="shared" si="152"/>
        <v>B</v>
      </c>
      <c r="FB107" s="97" t="str">
        <f t="shared" si="152"/>
        <v>B</v>
      </c>
      <c r="FC107" s="97" t="str">
        <f t="shared" si="152"/>
        <v>B</v>
      </c>
      <c r="FD107" s="97" t="str">
        <f t="shared" si="152"/>
        <v>B</v>
      </c>
      <c r="FE107" s="97" t="str">
        <f t="shared" si="152"/>
        <v>A</v>
      </c>
      <c r="FF107" s="97" t="str">
        <f t="shared" si="152"/>
        <v>A</v>
      </c>
      <c r="FG107" s="97" t="str">
        <f t="shared" si="152"/>
        <v>A</v>
      </c>
      <c r="FH107" s="97" t="str">
        <f t="shared" si="152"/>
        <v>B</v>
      </c>
      <c r="FI107" s="97" t="str">
        <f t="shared" si="152"/>
        <v>A</v>
      </c>
      <c r="FJ107" s="97" t="str">
        <f t="shared" si="152"/>
        <v>A</v>
      </c>
      <c r="FK107" s="97" t="str">
        <f t="shared" si="152"/>
        <v>A</v>
      </c>
      <c r="FL107" s="97" t="str">
        <f t="shared" si="152"/>
        <v>A</v>
      </c>
      <c r="FM107" s="97" t="str">
        <f t="shared" si="152"/>
        <v>A</v>
      </c>
      <c r="FN107" s="97" t="str">
        <f t="shared" si="152"/>
        <v>A</v>
      </c>
      <c r="FO107" s="97" t="str">
        <f t="shared" si="152"/>
        <v>A</v>
      </c>
      <c r="FP107" s="97" t="str">
        <f t="shared" si="152"/>
        <v>B</v>
      </c>
      <c r="FQ107" s="97" t="str">
        <f t="shared" si="152"/>
        <v>A</v>
      </c>
      <c r="FR107" s="97" t="str">
        <f t="shared" si="152"/>
        <v>B</v>
      </c>
      <c r="FS107" s="97" t="str">
        <f t="shared" si="152"/>
        <v>B</v>
      </c>
      <c r="FT107" s="97" t="str">
        <f t="shared" si="152"/>
        <v>A</v>
      </c>
      <c r="FU107" s="97" t="str">
        <f t="shared" si="152"/>
        <v>A</v>
      </c>
      <c r="FV107" s="97" t="str">
        <f t="shared" si="152"/>
        <v>B</v>
      </c>
      <c r="FW107" s="97" t="str">
        <f t="shared" si="152"/>
        <v>B</v>
      </c>
      <c r="FX107" s="97" t="str">
        <f t="shared" si="152"/>
        <v>A</v>
      </c>
      <c r="FY107" s="97" t="str">
        <f t="shared" si="152"/>
        <v>B</v>
      </c>
      <c r="FZ107" s="97" t="str">
        <f t="shared" si="152"/>
        <v>A</v>
      </c>
      <c r="GA107" s="97" t="str">
        <f t="shared" si="152"/>
        <v>A</v>
      </c>
      <c r="GB107" s="97" t="str">
        <f t="shared" si="152"/>
        <v>A</v>
      </c>
      <c r="GC107" s="97" t="str">
        <f t="shared" si="152"/>
        <v>A</v>
      </c>
      <c r="GD107" s="97" t="str">
        <f t="shared" si="152"/>
        <v>A</v>
      </c>
      <c r="GE107" s="97" t="str">
        <f t="shared" si="152"/>
        <v>A</v>
      </c>
      <c r="GF107" s="97" t="str">
        <f t="shared" si="152"/>
        <v>A</v>
      </c>
      <c r="GG107" s="97" t="str">
        <f t="shared" si="152"/>
        <v>A</v>
      </c>
      <c r="GH107" s="97" t="str">
        <f t="shared" si="152"/>
        <v>A</v>
      </c>
      <c r="GI107" s="97" t="str">
        <f t="shared" si="152"/>
        <v>A</v>
      </c>
      <c r="GJ107" s="97" t="str">
        <f t="shared" si="152"/>
        <v>B</v>
      </c>
      <c r="GK107" s="97" t="str">
        <f t="shared" si="152"/>
        <v>A</v>
      </c>
      <c r="GL107" s="97" t="str">
        <f t="shared" si="152"/>
        <v>B</v>
      </c>
      <c r="GM107" s="97" t="str">
        <f t="shared" si="152"/>
        <v>B</v>
      </c>
      <c r="GN107" s="97" t="str">
        <f t="shared" si="152"/>
        <v>A</v>
      </c>
      <c r="GO107" s="97" t="str">
        <f t="shared" si="152"/>
        <v>A</v>
      </c>
      <c r="GP107" s="97" t="str">
        <f t="shared" si="152"/>
        <v>A</v>
      </c>
      <c r="GQ107" s="97" t="str">
        <f t="shared" si="152"/>
        <v>A</v>
      </c>
      <c r="GR107" s="97" t="str">
        <f t="shared" si="152"/>
        <v>A</v>
      </c>
      <c r="GS107" s="97" t="str">
        <f t="shared" si="152"/>
        <v>B</v>
      </c>
      <c r="GT107" s="97" t="str">
        <f t="shared" si="152"/>
        <v>A</v>
      </c>
      <c r="GU107" s="97" t="str">
        <f t="shared" si="152"/>
        <v>A</v>
      </c>
      <c r="GV107" s="97" t="str">
        <f t="shared" si="152"/>
        <v>A</v>
      </c>
      <c r="GW107" s="97" t="str">
        <f t="shared" si="152"/>
        <v>A</v>
      </c>
      <c r="GX107" s="97" t="str">
        <f t="shared" si="152"/>
        <v>A</v>
      </c>
      <c r="GY107" s="98"/>
      <c r="GZ107" s="97">
        <f t="shared" si="3"/>
        <v>55</v>
      </c>
      <c r="HA107" s="97">
        <f t="shared" si="4"/>
        <v>45</v>
      </c>
      <c r="HB107" s="90">
        <f t="shared" si="5"/>
        <v>100</v>
      </c>
      <c r="HC107" s="99"/>
      <c r="HD107" s="97">
        <f t="shared" si="6"/>
        <v>9</v>
      </c>
      <c r="HE107" s="97">
        <f t="shared" si="7"/>
        <v>6</v>
      </c>
      <c r="HF107" s="90">
        <f t="shared" si="8"/>
        <v>15</v>
      </c>
      <c r="HG107" s="99"/>
      <c r="HH107" s="97">
        <f t="shared" si="9"/>
        <v>8</v>
      </c>
      <c r="HI107" s="97">
        <f t="shared" si="10"/>
        <v>7</v>
      </c>
      <c r="HJ107" s="90">
        <f t="shared" si="11"/>
        <v>15</v>
      </c>
      <c r="HK107" s="99"/>
      <c r="HL107" s="97">
        <f t="shared" si="12"/>
        <v>5</v>
      </c>
      <c r="HM107" s="97">
        <f t="shared" si="13"/>
        <v>3</v>
      </c>
      <c r="HN107" s="90">
        <f t="shared" si="14"/>
        <v>8</v>
      </c>
      <c r="HO107" s="99"/>
      <c r="HP107" s="97">
        <f t="shared" si="15"/>
        <v>7</v>
      </c>
      <c r="HQ107" s="97">
        <f t="shared" si="16"/>
        <v>8</v>
      </c>
      <c r="HR107" s="90">
        <f t="shared" si="17"/>
        <v>15</v>
      </c>
      <c r="HS107" s="99"/>
      <c r="HT107" s="97">
        <f t="shared" si="18"/>
        <v>8</v>
      </c>
      <c r="HU107" s="97">
        <f t="shared" si="19"/>
        <v>6</v>
      </c>
      <c r="HV107" s="90">
        <f t="shared" si="20"/>
        <v>14</v>
      </c>
      <c r="HW107" s="99"/>
      <c r="HX107" s="97">
        <f t="shared" si="21"/>
        <v>1</v>
      </c>
      <c r="HY107" s="97">
        <f t="shared" si="22"/>
        <v>5</v>
      </c>
      <c r="HZ107" s="90">
        <f t="shared" si="23"/>
        <v>6</v>
      </c>
      <c r="IA107" s="99"/>
      <c r="IB107" s="97">
        <f t="shared" si="24"/>
        <v>3</v>
      </c>
      <c r="IC107" s="97">
        <f t="shared" si="25"/>
        <v>3</v>
      </c>
      <c r="ID107" s="90">
        <f t="shared" si="26"/>
        <v>6</v>
      </c>
      <c r="IE107" s="99"/>
      <c r="IF107" s="97">
        <f t="shared" si="27"/>
        <v>1</v>
      </c>
      <c r="IG107" s="97">
        <f t="shared" si="28"/>
        <v>3</v>
      </c>
      <c r="IH107" s="90">
        <f t="shared" si="29"/>
        <v>4</v>
      </c>
      <c r="II107" s="99"/>
      <c r="IJ107" s="97">
        <f t="shared" si="30"/>
        <v>2</v>
      </c>
      <c r="IK107" s="97">
        <f t="shared" si="31"/>
        <v>3</v>
      </c>
      <c r="IL107" s="90">
        <f t="shared" si="32"/>
        <v>5</v>
      </c>
      <c r="IM107" s="99"/>
      <c r="IN107" s="97">
        <f t="shared" si="33"/>
        <v>4</v>
      </c>
      <c r="IO107" s="97">
        <f t="shared" si="34"/>
        <v>1</v>
      </c>
      <c r="IP107" s="90">
        <f t="shared" si="35"/>
        <v>5</v>
      </c>
      <c r="IS107" s="100">
        <f t="shared" si="36"/>
        <v>15</v>
      </c>
      <c r="IT107" s="100">
        <f t="shared" si="37"/>
        <v>15</v>
      </c>
      <c r="IU107" s="100">
        <f t="shared" si="38"/>
        <v>8</v>
      </c>
      <c r="IV107" s="100">
        <f t="shared" si="39"/>
        <v>15</v>
      </c>
      <c r="IW107" s="100">
        <f t="shared" si="40"/>
        <v>14</v>
      </c>
      <c r="IX107" s="100">
        <f t="shared" si="41"/>
        <v>6</v>
      </c>
      <c r="IY107" s="100">
        <f t="shared" si="42"/>
        <v>6</v>
      </c>
      <c r="IZ107" s="100">
        <f t="shared" si="43"/>
        <v>4</v>
      </c>
      <c r="JA107" s="100">
        <f t="shared" si="44"/>
        <v>5</v>
      </c>
      <c r="JB107" s="101">
        <f t="shared" si="45"/>
        <v>5</v>
      </c>
      <c r="JC107" s="102">
        <f t="shared" si="46"/>
        <v>93</v>
      </c>
      <c r="JD107" s="67">
        <f t="shared" si="50"/>
        <v>0</v>
      </c>
      <c r="JE107" s="67">
        <f t="shared" si="47"/>
        <v>0</v>
      </c>
      <c r="JF107" s="67">
        <f t="shared" si="48"/>
        <v>0</v>
      </c>
    </row>
    <row r="108">
      <c r="A108" s="104">
        <f>IFERROR(__xludf.DUMMYFUNCTION("""COMPUTED_VALUE"""),45955.354001099535)</f>
        <v>45955.354</v>
      </c>
      <c r="B108" s="105" t="str">
        <f>IFERROR(__xludf.DUMMYFUNCTION("""COMPUTED_VALUE"""),"Aditya Afhan Dhiyaulhaq Ilham")</f>
        <v>Aditya Afhan Dhiyaulhaq Ilham</v>
      </c>
      <c r="C108" s="7" t="str">
        <f>IFERROR(__xludf.DUMMYFUNCTION("""COMPUTED_VALUE"""),"C250021")</f>
        <v>C250021</v>
      </c>
      <c r="D108" s="7" t="str">
        <f>IFERROR(__xludf.DUMMYFUNCTION("""COMPUTED_VALUE"""),"SMA")</f>
        <v>SMA</v>
      </c>
      <c r="E108" s="7" t="str">
        <f>IFERROR(__xludf.DUMMYFUNCTION("""COMPUTED_VALUE"""),"Ya")</f>
        <v>Ya</v>
      </c>
      <c r="F108" s="105" t="str">
        <f>IFERROR(__xludf.DUMMYFUNCTION("""COMPUTED_VALUE"""),"B Saya ingin melakukan apa saja sebaik mungkin.")</f>
        <v>B Saya ingin melakukan apa saja sebaik mungkin.</v>
      </c>
      <c r="G108" s="105" t="str">
        <f>IFERROR(__xludf.DUMMYFUNCTION("""COMPUTED_VALUE"""),"A Saya ingin setiap tulisan saya teliti, rapi, dan tersusun dengan baik.")</f>
        <v>A Saya ingin setiap tulisan saya teliti, rapi, dan tersusun dengan baik.</v>
      </c>
      <c r="H108" s="105" t="str">
        <f>IFERROR(__xludf.DUMMYFUNCTION("""COMPUTED_VALUE"""),"A Saya ingin berbuat sesuai kata hati saya.")</f>
        <v>A Saya ingin berbuat sesuai kata hati saya.</v>
      </c>
      <c r="I108" s="105" t="str">
        <f>IFERROR(__xludf.DUMMYFUNCTION("""COMPUTED_VALUE"""),"B Saya ingin bisa melakukan dengan baik meskipun tugas yang sulit.")</f>
        <v>B Saya ingin bisa melakukan dengan baik meskipun tugas yang sulit.</v>
      </c>
      <c r="J108" s="105" t="str">
        <f>IFERROR(__xludf.DUMMYFUNCTION("""COMPUTED_VALUE"""),"A Saya suka membantu teman-teman saya apabila mereka mengalami kesulitan.")</f>
        <v>A Saya suka membantu teman-teman saya apabila mereka mengalami kesulitan.</v>
      </c>
      <c r="K108" s="105" t="str">
        <f>IFERROR(__xludf.DUMMYFUNCTION("""COMPUTED_VALUE"""),"A Saya ingin menjadi pemimpin dalam suatu kelompok.")</f>
        <v>A Saya ingin menjadi pemimpin dalam suatu kelompok.</v>
      </c>
      <c r="L108" s="105" t="str">
        <f>IFERROR(__xludf.DUMMYFUNCTION("""COMPUTED_VALUE"""),"B Saya ingin mengatakan telah melakukan dengan baik sesuatu tugas yang sulit")</f>
        <v>B Saya ingin mengatakan telah melakukan dengan baik sesuatu tugas yang sulit</v>
      </c>
      <c r="M108" s="105" t="str">
        <f>IFERROR(__xludf.DUMMYFUNCTION("""COMPUTED_VALUE"""),"B Saya ingin mengerjakan segala tugas lebih baik daripada orang lain.")</f>
        <v>B Saya ingin mengerjakan segala tugas lebih baik daripada orang lain.</v>
      </c>
      <c r="N108" s="105" t="str">
        <f>IFERROR(__xludf.DUMMYFUNCTION("""COMPUTED_VALUE"""),"B Saya suka memecahkan persoalan yang sukar bagi orang lain.")</f>
        <v>B Saya suka memecahkan persoalan yang sukar bagi orang lain.</v>
      </c>
      <c r="O108" s="105" t="str">
        <f>IFERROR(__xludf.DUMMYFUNCTION("""COMPUTED_VALUE"""),"B Saya suka melakukan tugas sebaik mungkin.")</f>
        <v>B Saya suka melakukan tugas sebaik mungkin.</v>
      </c>
      <c r="P108" s="105" t="str">
        <f>IFERROR(__xludf.DUMMYFUNCTION("""COMPUTED_VALUE"""),"A Saya suka bercerita tentang hal-hal yang menegangkan atau menantang.")</f>
        <v>A Saya suka bercerita tentang hal-hal yang menegangkan atau menantang.</v>
      </c>
      <c r="Q108" s="105" t="str">
        <f>IFERROR(__xludf.DUMMYFUNCTION("""COMPUTED_VALUE"""),"B Saya merencanakan keperluan yang dibutuhkan sebelum bepergian.")</f>
        <v>B Saya merencanakan keperluan yang dibutuhkan sebelum bepergian.</v>
      </c>
      <c r="R108" s="105" t="str">
        <f>IFERROR(__xludf.DUMMYFUNCTION("""COMPUTED_VALUE"""),"B Saya suka barang-barang saya tersusun rapi dan teratur.")</f>
        <v>B Saya suka barang-barang saya tersusun rapi dan teratur.</v>
      </c>
      <c r="S108" s="105" t="str">
        <f>IFERROR(__xludf.DUMMYFUNCTION("""COMPUTED_VALUE"""),"A Saya ingin agar teman-teman pengertian bila saya mengalami kesukaran.")</f>
        <v>A Saya ingin agar teman-teman pengertian bila saya mengalami kesukaran.</v>
      </c>
      <c r="T108" s="105" t="str">
        <f>IFERROR(__xludf.DUMMYFUNCTION("""COMPUTED_VALUE"""),"A Saya ingin menjadi salah seorang pemimpin dalam kelompok yang saya kenal.")</f>
        <v>A Saya ingin menjadi salah seorang pemimpin dalam kelompok yang saya kenal.</v>
      </c>
      <c r="U108" s="105" t="str">
        <f>IFERROR(__xludf.DUMMYFUNCTION("""COMPUTED_VALUE"""),"A Saya suka memberikan bantuan kepada teman-teman saya.")</f>
        <v>A Saya suka memberikan bantuan kepada teman-teman saya.</v>
      </c>
      <c r="V108" s="105" t="str">
        <f>IFERROR(__xludf.DUMMYFUNCTION("""COMPUTED_VALUE"""),"B Saya suka belajar saya teratur dan ada waktu-waktu tertentu untuk belajar.")</f>
        <v>B Saya suka belajar saya teratur dan ada waktu-waktu tertentu untuk belajar.</v>
      </c>
      <c r="W108" s="105" t="str">
        <f>IFERROR(__xludf.DUMMYFUNCTION("""COMPUTED_VALUE"""),"B Saya ingin kegiatan itu teratur dan direncanakan.")</f>
        <v>B Saya ingin kegiatan itu teratur dan direncanakan.</v>
      </c>
      <c r="X108" s="105" t="str">
        <f>IFERROR(__xludf.DUMMYFUNCTION("""COMPUTED_VALUE"""),"A Saya suka merencanakan dan mengatur setiap apa yang harus saya lakukan.")</f>
        <v>A Saya suka merencanakan dan mengatur setiap apa yang harus saya lakukan.</v>
      </c>
      <c r="Y108" s="105" t="str">
        <f>IFERROR(__xludf.DUMMYFUNCTION("""COMPUTED_VALUE"""),"A Saya suka menyelesaikan tugas-tugas yang membutuhkan ketrampilan dan usaha.")</f>
        <v>A Saya suka menyelesaikan tugas-tugas yang membutuhkan ketrampilan dan usaha.</v>
      </c>
      <c r="Z108" s="105" t="str">
        <f>IFERROR(__xludf.DUMMYFUNCTION("""COMPUTED_VALUE"""),"A Saya ingin berhasil dengan belajar yang saya lakukan.")</f>
        <v>A Saya ingin berhasil dengan belajar yang saya lakukan.</v>
      </c>
      <c r="AA108" s="105" t="str">
        <f>IFERROR(__xludf.DUMMYFUNCTION("""COMPUTED_VALUE"""),"B Saya tidak suka pada orang yang berbuat seenaknya sendiri.")</f>
        <v>B Saya tidak suka pada orang yang berbuat seenaknya sendiri.</v>
      </c>
      <c r="AB108" s="105" t="str">
        <f>IFERROR(__xludf.DUMMYFUNCTION("""COMPUTED_VALUE"""),"B Saya ingin menyelesaikan pekerjaan satu persatu sebelum memulai yang lain.")</f>
        <v>B Saya ingin menyelesaikan pekerjaan satu persatu sebelum memulai yang lain.</v>
      </c>
      <c r="AC108" s="105" t="str">
        <f>IFERROR(__xludf.DUMMYFUNCTION("""COMPUTED_VALUE"""),"A Saya suka menyelesaikan setiap tugas meskipun membutuhkan waktu lama.")</f>
        <v>A Saya suka menyelesaikan setiap tugas meskipun membutuhkan waktu lama.</v>
      </c>
      <c r="AD108" s="105" t="str">
        <f>IFERROR(__xludf.DUMMYFUNCTION("""COMPUTED_VALUE"""),"A Saya suka bermurah hati terhadap teman-teman saya.")</f>
        <v>A Saya suka bermurah hati terhadap teman-teman saya.</v>
      </c>
      <c r="AE108" s="105" t="str">
        <f>IFERROR(__xludf.DUMMYFUNCTION("""COMPUTED_VALUE"""),"A Saya ingin dianggap sebagai pemimpin oleh teman di kelompok.")</f>
        <v>A Saya ingin dianggap sebagai pemimpin oleh teman di kelompok.</v>
      </c>
      <c r="AF108" s="105" t="str">
        <f>IFERROR(__xludf.DUMMYFUNCTION("""COMPUTED_VALUE"""),"A Saya ingin agar teman-teman mengerti bila saya mengalami kesukaran.")</f>
        <v>A Saya ingin agar teman-teman mengerti bila saya mengalami kesukaran.</v>
      </c>
      <c r="AG108" s="105" t="str">
        <f>IFERROR(__xludf.DUMMYFUNCTION("""COMPUTED_VALUE"""),"B Saya ingin berhasil dengan tugas yang saya lakukan.")</f>
        <v>B Saya ingin berhasil dengan tugas yang saya lakukan.</v>
      </c>
      <c r="AH108" s="105" t="str">
        <f>IFERROR(__xludf.DUMMYFUNCTION("""COMPUTED_VALUE"""),"A Saya suka membaca buku-buku tentang pergaulan remaja.")</f>
        <v>A Saya suka membaca buku-buku tentang pergaulan remaja.</v>
      </c>
      <c r="AI108" s="105" t="str">
        <f>IFERROR(__xludf.DUMMYFUNCTION("""COMPUTED_VALUE"""),"B Saya suka melakukan kegiatan sesuai kondisi yang saya inginkan.")</f>
        <v>B Saya suka melakukan kegiatan sesuai kondisi yang saya inginkan.</v>
      </c>
      <c r="AJ108" s="105" t="str">
        <f>IFERROR(__xludf.DUMMYFUNCTION("""COMPUTED_VALUE"""),"B Saya suka bertahan menghadapi satu masalah meskipun belum tentu berhasil.")</f>
        <v>B Saya suka bertahan menghadapi satu masalah meskipun belum tentu berhasil.</v>
      </c>
      <c r="AK108" s="105" t="str">
        <f>IFERROR(__xludf.DUMMYFUNCTION("""COMPUTED_VALUE"""),"B Bila saya harus melakukan suatu tugas, saya ingin mengerjakan sampai selesai.")</f>
        <v>B Bila saya harus melakukan suatu tugas, saya ingin mengerjakan sampai selesai.</v>
      </c>
      <c r="AL108" s="105" t="str">
        <f>IFERROR(__xludf.DUMMYFUNCTION("""COMPUTED_VALUE"""),"B Saya ingin menghindarkan gangguan bila saya sedang belajar.")</f>
        <v>B Saya ingin menghindarkan gangguan bila saya sedang belajar.</v>
      </c>
      <c r="AM108" s="105" t="str">
        <f>IFERROR(__xludf.DUMMYFUNCTION("""COMPUTED_VALUE"""),"A Saya ingin teman-teman saya merasa kasihan pada saya apabila saya sakit.")</f>
        <v>A Saya ingin teman-teman saya merasa kasihan pada saya apabila saya sakit.</v>
      </c>
      <c r="AN108" s="105" t="str">
        <f>IFERROR(__xludf.DUMMYFUNCTION("""COMPUTED_VALUE"""),"A Saya tidak suka pada orang yang semena-mena.")</f>
        <v>A Saya tidak suka pada orang yang semena-mena.</v>
      </c>
      <c r="AO108" s="105" t="str">
        <f>IFERROR(__xludf.DUMMYFUNCTION("""COMPUTED_VALUE"""),"A Saya suka berlaku sangat ramah terhadap teman-teman saya.")</f>
        <v>A Saya suka berlaku sangat ramah terhadap teman-teman saya.</v>
      </c>
      <c r="AP108" s="105" t="str">
        <f>IFERROR(__xludf.DUMMYFUNCTION("""COMPUTED_VALUE"""),"B Saya suka bertahan menghadapi satu masalah meskipun belum tentu berhasil.")</f>
        <v>B Saya suka bertahan menghadapi satu masalah meskipun belum tentu berhasil.</v>
      </c>
      <c r="AQ108" s="105" t="str">
        <f>IFERROR(__xludf.DUMMYFUNCTION("""COMPUTED_VALUE"""),"B Bila saya harus melakukan suatu tugas, saya ingin mengerjakan sampai selesai.")</f>
        <v>B Bila saya harus melakukan suatu tugas, saya ingin mengerjakan sampai selesai.</v>
      </c>
      <c r="AR108" s="105" t="str">
        <f>IFERROR(__xludf.DUMMYFUNCTION("""COMPUTED_VALUE"""),"B Saya suka belajar keras pada tiap pelajaran yang saya hadapi.")</f>
        <v>B Saya suka belajar keras pada tiap pelajaran yang saya hadapi.</v>
      </c>
      <c r="AS108" s="105" t="str">
        <f>IFERROR(__xludf.DUMMYFUNCTION("""COMPUTED_VALUE"""),"B Saya suka belajar sampai malam untuk menyelesaikan suatu tugas.")</f>
        <v>B Saya suka belajar sampai malam untuk menyelesaikan suatu tugas.</v>
      </c>
      <c r="AT108" s="105" t="str">
        <f>IFERROR(__xludf.DUMMYFUNCTION("""COMPUTED_VALUE"""),"B Saya suka membantu orang lain yang menurut saya perlu dikasihani.")</f>
        <v>B Saya suka membantu orang lain yang menurut saya perlu dikasihani.</v>
      </c>
      <c r="AU108" s="105" t="str">
        <f>IFERROR(__xludf.DUMMYFUNCTION("""COMPUTED_VALUE"""),"B Saya suka bermurah hati terhadap teman-teman saya.")</f>
        <v>B Saya suka bermurah hati terhadap teman-teman saya.</v>
      </c>
      <c r="AV108" s="105" t="str">
        <f>IFERROR(__xludf.DUMMYFUNCTION("""COMPUTED_VALUE"""),"B Saya suka menolong teman-teman saya.")</f>
        <v>B Saya suka menolong teman-teman saya.</v>
      </c>
      <c r="AW108" s="105" t="str">
        <f>IFERROR(__xludf.DUMMYFUNCTION("""COMPUTED_VALUE"""),"B Saya ingin teman-teman saya percaya bahwa saya bisa menolong mereka.")</f>
        <v>B Saya ingin teman-teman saya percaya bahwa saya bisa menolong mereka.</v>
      </c>
      <c r="AX108" s="105" t="str">
        <f>IFERROR(__xludf.DUMMYFUNCTION("""COMPUTED_VALUE"""),"A Saya suka menolong teman-teman saya apabila mereka dalam kesulitan.")</f>
        <v>A Saya suka menolong teman-teman saya apabila mereka dalam kesulitan.</v>
      </c>
      <c r="AY108" s="105" t="str">
        <f>IFERROR(__xludf.DUMMYFUNCTION("""COMPUTED_VALUE"""),"B Saya suka menolong teman-teman saya apabila mereka dalam kesulitan.")</f>
        <v>B Saya suka menolong teman-teman saya apabila mereka dalam kesulitan.</v>
      </c>
      <c r="AZ108" s="105" t="str">
        <f>IFERROR(__xludf.DUMMYFUNCTION("""COMPUTED_VALUE"""),"B Saya suka menunjukkan simpati saya kepada teman-teman saya.")</f>
        <v>B Saya suka menunjukkan simpati saya kepada teman-teman saya.</v>
      </c>
      <c r="BA108" s="105" t="str">
        <f>IFERROR(__xludf.DUMMYFUNCTION("""COMPUTED_VALUE"""),"B Saya suka memperlakukan orang lain dengan baik dan ramah.")</f>
        <v>B Saya suka memperlakukan orang lain dengan baik dan ramah.</v>
      </c>
      <c r="BB108" s="105" t="str">
        <f>IFERROR(__xludf.DUMMYFUNCTION("""COMPUTED_VALUE"""),"B Saya suka bermurah hati terhadap teman-teman saya.")</f>
        <v>B Saya suka bermurah hati terhadap teman-teman saya.</v>
      </c>
      <c r="BC108" s="105" t="str">
        <f>IFERROR(__xludf.DUMMYFUNCTION("""COMPUTED_VALUE"""),"B Saya suka membantu orang lain yang menurut saya perlu dikasihani.")</f>
        <v>B Saya suka membantu orang lain yang menurut saya perlu dikasihani.</v>
      </c>
      <c r="BD108" s="105" t="str">
        <f>IFERROR(__xludf.DUMMYFUNCTION("""COMPUTED_VALUE"""),"B Saya suka bersikukuh dengan pendirian saya.")</f>
        <v>B Saya suka bersikukuh dengan pendirian saya.</v>
      </c>
      <c r="BE108" s="105" t="str">
        <f>IFERROR(__xludf.DUMMYFUNCTION("""COMPUTED_VALUE"""),"A Saya suka mendengarkan atau menceritakan hal-hal yang sebaiknya tidak diceritakan.")</f>
        <v>A Saya suka mendengarkan atau menceritakan hal-hal yang sebaiknya tidak diceritakan.</v>
      </c>
      <c r="BF108" s="105" t="str">
        <f>IFERROR(__xludf.DUMMYFUNCTION("""COMPUTED_VALUE"""),"B Bila saya dalam kelompok, saya ingin menentukan apa yang akan kita lakukan.")</f>
        <v>B Bila saya dalam kelompok, saya ingin menentukan apa yang akan kita lakukan.</v>
      </c>
      <c r="BG108" s="105" t="str">
        <f>IFERROR(__xludf.DUMMYFUNCTION("""COMPUTED_VALUE"""),"B Saya suka mengarahkan kepada orang lain apa yang harus dilakukan.")</f>
        <v>B Saya suka mengarahkan kepada orang lain apa yang harus dilakukan.</v>
      </c>
      <c r="BH108" s="105" t="str">
        <f>IFERROR(__xludf.DUMMYFUNCTION("""COMPUTED_VALUE"""),"A Saya suka menghindar dari situasi yang tidak saya harapkan.")</f>
        <v>A Saya suka menghindar dari situasi yang tidak saya harapkan.</v>
      </c>
      <c r="BI108" s="105" t="str">
        <f>IFERROR(__xludf.DUMMYFUNCTION("""COMPUTED_VALUE"""),"A Saya suka bermurah hati terhadap teman-teman saya.")</f>
        <v>A Saya suka bermurah hati terhadap teman-teman saya.</v>
      </c>
      <c r="BJ108" s="105" t="str">
        <f>IFERROR(__xludf.DUMMYFUNCTION("""COMPUTED_VALUE"""),"A Saya ingin mengerjakan tugas sampai selesai.")</f>
        <v>A Saya ingin mengerjakan tugas sampai selesai.</v>
      </c>
      <c r="BK108" s="105" t="str">
        <f>IFERROR(__xludf.DUMMYFUNCTION("""COMPUTED_VALUE"""),"A Saya ingin menyelesaikan pekerjaan satu persatu sebelum memulai yang lain.")</f>
        <v>A Saya ingin menyelesaikan pekerjaan satu persatu sebelum memulai yang lain.</v>
      </c>
      <c r="BL108" s="105" t="str">
        <f>IFERROR(__xludf.DUMMYFUNCTION("""COMPUTED_VALUE"""),"A Saya suka belajar saya teratur dan ada waktu-waktu tertentu untuk belajar.")</f>
        <v>A Saya suka belajar saya teratur dan ada waktu-waktu tertentu untuk belajar.</v>
      </c>
      <c r="BM108" s="105" t="str">
        <f>IFERROR(__xludf.DUMMYFUNCTION("""COMPUTED_VALUE"""),"A Saya suka melakukan pekerjaan sebaik mungkin.")</f>
        <v>A Saya suka melakukan pekerjaan sebaik mungkin.</v>
      </c>
      <c r="BN108" s="105" t="str">
        <f>IFERROR(__xludf.DUMMYFUNCTION("""COMPUTED_VALUE"""),"B Saya ingin teman-teman memberi dorongan bila saya menghadapi kegagalan.")</f>
        <v>B Saya ingin teman-teman memberi dorongan bila saya menghadapi kegagalan.</v>
      </c>
      <c r="BO108" s="105" t="str">
        <f>IFERROR(__xludf.DUMMYFUNCTION("""COMPUTED_VALUE"""),"A Saya suka membuat perencanaan sebelum memulai belajar yang sulit.")</f>
        <v>A Saya suka membuat perencanaan sebelum memulai belajar yang sulit.</v>
      </c>
      <c r="BP108" s="105" t="str">
        <f>IFERROR(__xludf.DUMMYFUNCTION("""COMPUTED_VALUE"""),"A Saya ingin menyelesaikan sesuatu yang sangat penting artinya.")</f>
        <v>A Saya ingin menyelesaikan sesuatu yang sangat penting artinya.</v>
      </c>
      <c r="BQ108" s="105" t="str">
        <f>IFERROR(__xludf.DUMMYFUNCTION("""COMPUTED_VALUE"""),"A Saya ingin mengerjakannya tugas sampai selesai.")</f>
        <v>A Saya ingin mengerjakannya tugas sampai selesai.</v>
      </c>
      <c r="BR108" s="105" t="str">
        <f>IFERROR(__xludf.DUMMYFUNCTION("""COMPUTED_VALUE"""),"A Saya suka memaafkan teman-teman saya yang menyakiti hati saya.")</f>
        <v>A Saya suka memaafkan teman-teman saya yang menyakiti hati saya.</v>
      </c>
      <c r="BS108" s="105" t="str">
        <f>IFERROR(__xludf.DUMMYFUNCTION("""COMPUTED_VALUE"""),"B Saya ingin teman-teman saya membantu saya bila saya mengalami kesulitan")</f>
        <v>B Saya ingin teman-teman saya membantu saya bila saya mengalami kesulitan</v>
      </c>
      <c r="BT108" s="105" t="str">
        <f>IFERROR(__xludf.DUMMYFUNCTION("""COMPUTED_VALUE"""),"A Saya ingin teman-teman saya merasa kasihan pada saya apabila saya sakit.")</f>
        <v>A Saya ingin teman-teman saya merasa kasihan pada saya apabila saya sakit.</v>
      </c>
      <c r="BU108" s="105" t="str">
        <f>IFERROR(__xludf.DUMMYFUNCTION("""COMPUTED_VALUE"""),"B Saya ingin agar teman-teman saya merasa kasihan pada saya apabila saya sakit.")</f>
        <v>B Saya ingin agar teman-teman saya merasa kasihan pada saya apabila saya sakit.</v>
      </c>
      <c r="BV108" s="105" t="str">
        <f>IFERROR(__xludf.DUMMYFUNCTION("""COMPUTED_VALUE"""),"B Saya ingin teman-teman dengan gembira memberikan pertolongan kepada saya.")</f>
        <v>B Saya ingin teman-teman dengan gembira memberikan pertolongan kepada saya.</v>
      </c>
      <c r="BW108" s="105" t="str">
        <f>IFERROR(__xludf.DUMMYFUNCTION("""COMPUTED_VALUE"""),"B Saya ingin diperlakukan dengan baik oleh teman-teman saya.")</f>
        <v>B Saya ingin diperlakukan dengan baik oleh teman-teman saya.</v>
      </c>
      <c r="BX108" s="105" t="str">
        <f>IFERROR(__xludf.DUMMYFUNCTION("""COMPUTED_VALUE"""),"B Saya kadang-kadang suka melakukan hal-hal yang dapat dipuji oleh orang lain.")</f>
        <v>B Saya kadang-kadang suka melakukan hal-hal yang dapat dipuji oleh orang lain.</v>
      </c>
      <c r="BY108" s="105" t="str">
        <f>IFERROR(__xludf.DUMMYFUNCTION("""COMPUTED_VALUE"""),"A Saya suka melamun atau membayangkan hal-hal yang tidak jelas.")</f>
        <v>A Saya suka melamun atau membayangkan hal-hal yang tidak jelas.</v>
      </c>
      <c r="BZ108" s="105" t="str">
        <f>IFERROR(__xludf.DUMMYFUNCTION("""COMPUTED_VALUE"""),"B Saya suka diperhatikan, apabila saya ada di dalam suatu kelompok.")</f>
        <v>B Saya suka diperhatikan, apabila saya ada di dalam suatu kelompok.</v>
      </c>
      <c r="CA108" s="105" t="str">
        <f>IFERROR(__xludf.DUMMYFUNCTION("""COMPUTED_VALUE"""),"A Saya ingin teman-teman dengan gembira memberikan pertolongan kepada saya.")</f>
        <v>A Saya ingin teman-teman dengan gembira memberikan pertolongan kepada saya.</v>
      </c>
      <c r="CB108" s="105" t="str">
        <f>IFERROR(__xludf.DUMMYFUNCTION("""COMPUTED_VALUE"""),"B Saya suka berbicara tentang hal-hal yang telah saya capai.")</f>
        <v>B Saya suka berbicara tentang hal-hal yang telah saya capai.</v>
      </c>
      <c r="CC108" s="105" t="str">
        <f>IFERROR(__xludf.DUMMYFUNCTION("""COMPUTED_VALUE"""),"B Saya suka menceritakan hal-hal lucu agar diperhatikan oleh orang lain.")</f>
        <v>B Saya suka menceritakan hal-hal lucu agar diperhatikan oleh orang lain.</v>
      </c>
      <c r="CD108" s="105" t="str">
        <f>IFERROR(__xludf.DUMMYFUNCTION("""COMPUTED_VALUE"""),"A Saya suka menyelesaikan setiap tugas meskipun membutuhkan waktu lama.")</f>
        <v>A Saya suka menyelesaikan setiap tugas meskipun membutuhkan waktu lama.</v>
      </c>
      <c r="CE108" s="105" t="str">
        <f>IFERROR(__xludf.DUMMYFUNCTION("""COMPUTED_VALUE"""),"A Saya suka menyelesaikan setiap tugas belajar yang telah saya mulai.")</f>
        <v>A Saya suka menyelesaikan setiap tugas belajar yang telah saya mulai.</v>
      </c>
      <c r="CF108" s="105" t="str">
        <f>IFERROR(__xludf.DUMMYFUNCTION("""COMPUTED_VALUE"""),"B Saya ingin orang lain memperhatikan dan berkomentar tentang penampilan saya.")</f>
        <v>B Saya ingin orang lain memperhatikan dan berkomentar tentang penampilan saya.</v>
      </c>
      <c r="CG108" s="105" t="str">
        <f>IFERROR(__xludf.DUMMYFUNCTION("""COMPUTED_VALUE"""),"A Saya ingin berhasil dalam apa yang saya lakukan.")</f>
        <v>A Saya ingin berhasil dalam apa yang saya lakukan.</v>
      </c>
      <c r="CH108" s="105" t="str">
        <f>IFERROR(__xludf.DUMMYFUNCTION("""COMPUTED_VALUE"""),"A Saya ingin bisa melakukan dengan baik sesuatu pekerjaan sulit.")</f>
        <v>A Saya ingin bisa melakukan dengan baik sesuatu pekerjaan sulit.</v>
      </c>
      <c r="CI108" s="105" t="str">
        <f>IFERROR(__xludf.DUMMYFUNCTION("""COMPUTED_VALUE"""),"A Saya suka belajar saya teratur dan ada waktu-waktu tertentu untuk belajar.")</f>
        <v>A Saya suka belajar saya teratur dan ada waktu-waktu tertentu untuk belajar.</v>
      </c>
      <c r="CJ108" s="105" t="str">
        <f>IFERROR(__xludf.DUMMYFUNCTION("""COMPUTED_VALUE"""),"A Saya ingin tidak tergantung dari orang lain terhadap apa yang akan saya lakukan.")</f>
        <v>A Saya ingin tidak tergantung dari orang lain terhadap apa yang akan saya lakukan.</v>
      </c>
      <c r="CK108" s="105" t="str">
        <f>IFERROR(__xludf.DUMMYFUNCTION("""COMPUTED_VALUE"""),"B Saya senang ikut beraktivitas bersama teman sebaya saya.")</f>
        <v>B Saya senang ikut beraktivitas bersama teman sebaya saya.</v>
      </c>
      <c r="CL108" s="105" t="str">
        <f>IFERROR(__xludf.DUMMYFUNCTION("""COMPUTED_VALUE"""),"A Saya suka menolong teman-teman saya, apabila mereka dalam kesulitan.")</f>
        <v>A Saya suka menolong teman-teman saya, apabila mereka dalam kesulitan.</v>
      </c>
      <c r="CM108" s="105" t="str">
        <f>IFERROR(__xludf.DUMMYFUNCTION("""COMPUTED_VALUE"""),"B Saya merasa kagum pada seseorang.")</f>
        <v>B Saya merasa kagum pada seseorang.</v>
      </c>
      <c r="CN108" s="105" t="str">
        <f>IFERROR(__xludf.DUMMYFUNCTION("""COMPUTED_VALUE"""),"A Saya ingin diperlakukan dengan baik oleh teman-teman saya.")</f>
        <v>A Saya ingin diperlakukan dengan baik oleh teman-teman saya.</v>
      </c>
      <c r="CO108" s="105" t="str">
        <f>IFERROR(__xludf.DUMMYFUNCTION("""COMPUTED_VALUE"""),"B Saya suka memuji orang yang saya kagumi.")</f>
        <v>B Saya suka memuji orang yang saya kagumi.</v>
      </c>
      <c r="CP108" s="105" t="str">
        <f>IFERROR(__xludf.DUMMYFUNCTION("""COMPUTED_VALUE"""),"A Saya suka melamun atau membayangkan sesuatu sendirian.")</f>
        <v>A Saya suka melamun atau membayangkan sesuatu sendirian.</v>
      </c>
      <c r="CQ108" s="105" t="str">
        <f>IFERROR(__xludf.DUMMYFUNCTION("""COMPUTED_VALUE"""),"B Saya merasa kagum pada seseorang.")</f>
        <v>B Saya merasa kagum pada seseorang.</v>
      </c>
      <c r="CR108" s="105" t="str">
        <f>IFERROR(__xludf.DUMMYFUNCTION("""COMPUTED_VALUE"""),"A Saya ingin memperolok-olok orang yang saya anggap melakukan tindakan bodoh.")</f>
        <v>A Saya ingin memperolok-olok orang yang saya anggap melakukan tindakan bodoh.</v>
      </c>
      <c r="CS108" s="105" t="str">
        <f>IFERROR(__xludf.DUMMYFUNCTION("""COMPUTED_VALUE"""),"A Saya ingin terlihat menarik di depan teman-teman saya.")</f>
        <v>A Saya ingin terlihat menarik di depan teman-teman saya.</v>
      </c>
      <c r="CT108" s="105" t="str">
        <f>IFERROR(__xludf.DUMMYFUNCTION("""COMPUTED_VALUE"""),"A Saya ingin orang-orang memperhatikan komentar mengenai penampilan saya.")</f>
        <v>A Saya ingin orang-orang memperhatikan komentar mengenai penampilan saya.</v>
      </c>
      <c r="CU108" s="105" t="str">
        <f>IFERROR(__xludf.DUMMYFUNCTION("""COMPUTED_VALUE"""),"A Saya ingin diperlakukan dengan ramah oleh teman-teman saya.")</f>
        <v>A Saya ingin diperlakukan dengan ramah oleh teman-teman saya.</v>
      </c>
      <c r="CV108" s="105" t="str">
        <f>IFERROR(__xludf.DUMMYFUNCTION("""COMPUTED_VALUE"""),"A Saya ingin ditunjuk atau dipilih sebagai ketua dalam suatu kelompok.")</f>
        <v>A Saya ingin ditunjuk atau dipilih sebagai ketua dalam suatu kelompok.</v>
      </c>
      <c r="CW108" s="105" t="str">
        <f>IFERROR(__xludf.DUMMYFUNCTION("""COMPUTED_VALUE"""),"B Saya mengatakan kepada orang lain bagaimana pendapat saya terhadap mereka.")</f>
        <v>B Saya mengatakan kepada orang lain bagaimana pendapat saya terhadap mereka.</v>
      </c>
      <c r="CX108" s="105" t="str">
        <f>IFERROR(__xludf.DUMMYFUNCTION("""COMPUTED_VALUE"""),"A Saya suka belajar sampai malam untuk menyelesaikan suatu tugas.")</f>
        <v>A Saya suka belajar sampai malam untuk menyelesaikan suatu tugas.</v>
      </c>
      <c r="CY108" s="105" t="str">
        <f>IFERROR(__xludf.DUMMYFUNCTION("""COMPUTED_VALUE"""),"A Saya ingin tidak tergantung dari orang lain terhadap apa yang akan saya lakukan.")</f>
        <v>A Saya ingin tidak tergantung dari orang lain terhadap apa yang akan saya lakukan.</v>
      </c>
      <c r="CZ108" s="105" t="str">
        <f>IFERROR(__xludf.DUMMYFUNCTION("""COMPUTED_VALUE"""),"A Saya suka merencanakan dan mengatur setiap pekerjaan yang harus saya lakukan.")</f>
        <v>A Saya suka merencanakan dan mengatur setiap pekerjaan yang harus saya lakukan.</v>
      </c>
      <c r="DA108" s="105" t="str">
        <f>IFERROR(__xludf.DUMMYFUNCTION("""COMPUTED_VALUE"""),"A Saya ingin melakukan apa saja sebaik mungkin.")</f>
        <v>A Saya ingin melakukan apa saja sebaik mungkin.</v>
      </c>
      <c r="DB108" s="89" t="s">
        <v>23</v>
      </c>
      <c r="DC108" s="97" t="str">
        <f t="shared" ref="DC108:GX108" si="153">LEFT(F108,1)</f>
        <v>B</v>
      </c>
      <c r="DD108" s="97" t="str">
        <f t="shared" si="153"/>
        <v>A</v>
      </c>
      <c r="DE108" s="97" t="str">
        <f t="shared" si="153"/>
        <v>A</v>
      </c>
      <c r="DF108" s="97" t="str">
        <f t="shared" si="153"/>
        <v>B</v>
      </c>
      <c r="DG108" s="97" t="str">
        <f t="shared" si="153"/>
        <v>A</v>
      </c>
      <c r="DH108" s="97" t="str">
        <f t="shared" si="153"/>
        <v>A</v>
      </c>
      <c r="DI108" s="97" t="str">
        <f t="shared" si="153"/>
        <v>B</v>
      </c>
      <c r="DJ108" s="97" t="str">
        <f t="shared" si="153"/>
        <v>B</v>
      </c>
      <c r="DK108" s="97" t="str">
        <f t="shared" si="153"/>
        <v>B</v>
      </c>
      <c r="DL108" s="97" t="str">
        <f t="shared" si="153"/>
        <v>B</v>
      </c>
      <c r="DM108" s="97" t="str">
        <f t="shared" si="153"/>
        <v>A</v>
      </c>
      <c r="DN108" s="97" t="str">
        <f t="shared" si="153"/>
        <v>B</v>
      </c>
      <c r="DO108" s="97" t="str">
        <f t="shared" si="153"/>
        <v>B</v>
      </c>
      <c r="DP108" s="97" t="str">
        <f t="shared" si="153"/>
        <v>A</v>
      </c>
      <c r="DQ108" s="97" t="str">
        <f t="shared" si="153"/>
        <v>A</v>
      </c>
      <c r="DR108" s="97" t="str">
        <f t="shared" si="153"/>
        <v>A</v>
      </c>
      <c r="DS108" s="97" t="str">
        <f t="shared" si="153"/>
        <v>B</v>
      </c>
      <c r="DT108" s="97" t="str">
        <f t="shared" si="153"/>
        <v>B</v>
      </c>
      <c r="DU108" s="97" t="str">
        <f t="shared" si="153"/>
        <v>A</v>
      </c>
      <c r="DV108" s="97" t="str">
        <f t="shared" si="153"/>
        <v>A</v>
      </c>
      <c r="DW108" s="97" t="str">
        <f t="shared" si="153"/>
        <v>A</v>
      </c>
      <c r="DX108" s="97" t="str">
        <f t="shared" si="153"/>
        <v>B</v>
      </c>
      <c r="DY108" s="97" t="str">
        <f t="shared" si="153"/>
        <v>B</v>
      </c>
      <c r="DZ108" s="97" t="str">
        <f t="shared" si="153"/>
        <v>A</v>
      </c>
      <c r="EA108" s="97" t="str">
        <f t="shared" si="153"/>
        <v>A</v>
      </c>
      <c r="EB108" s="97" t="str">
        <f t="shared" si="153"/>
        <v>A</v>
      </c>
      <c r="EC108" s="97" t="str">
        <f t="shared" si="153"/>
        <v>A</v>
      </c>
      <c r="ED108" s="97" t="str">
        <f t="shared" si="153"/>
        <v>B</v>
      </c>
      <c r="EE108" s="97" t="str">
        <f t="shared" si="153"/>
        <v>A</v>
      </c>
      <c r="EF108" s="97" t="str">
        <f t="shared" si="153"/>
        <v>B</v>
      </c>
      <c r="EG108" s="97" t="str">
        <f t="shared" si="153"/>
        <v>B</v>
      </c>
      <c r="EH108" s="97" t="str">
        <f t="shared" si="153"/>
        <v>B</v>
      </c>
      <c r="EI108" s="97" t="str">
        <f t="shared" si="153"/>
        <v>B</v>
      </c>
      <c r="EJ108" s="97" t="str">
        <f t="shared" si="153"/>
        <v>A</v>
      </c>
      <c r="EK108" s="97" t="str">
        <f t="shared" si="153"/>
        <v>A</v>
      </c>
      <c r="EL108" s="97" t="str">
        <f t="shared" si="153"/>
        <v>A</v>
      </c>
      <c r="EM108" s="97" t="str">
        <f t="shared" si="153"/>
        <v>B</v>
      </c>
      <c r="EN108" s="97" t="str">
        <f t="shared" si="153"/>
        <v>B</v>
      </c>
      <c r="EO108" s="97" t="str">
        <f t="shared" si="153"/>
        <v>B</v>
      </c>
      <c r="EP108" s="97" t="str">
        <f t="shared" si="153"/>
        <v>B</v>
      </c>
      <c r="EQ108" s="97" t="str">
        <f t="shared" si="153"/>
        <v>B</v>
      </c>
      <c r="ER108" s="97" t="str">
        <f t="shared" si="153"/>
        <v>B</v>
      </c>
      <c r="ES108" s="97" t="str">
        <f t="shared" si="153"/>
        <v>B</v>
      </c>
      <c r="ET108" s="97" t="str">
        <f t="shared" si="153"/>
        <v>B</v>
      </c>
      <c r="EU108" s="97" t="str">
        <f t="shared" si="153"/>
        <v>A</v>
      </c>
      <c r="EV108" s="97" t="str">
        <f t="shared" si="153"/>
        <v>B</v>
      </c>
      <c r="EW108" s="97" t="str">
        <f t="shared" si="153"/>
        <v>B</v>
      </c>
      <c r="EX108" s="97" t="str">
        <f t="shared" si="153"/>
        <v>B</v>
      </c>
      <c r="EY108" s="97" t="str">
        <f t="shared" si="153"/>
        <v>B</v>
      </c>
      <c r="EZ108" s="97" t="str">
        <f t="shared" si="153"/>
        <v>B</v>
      </c>
      <c r="FA108" s="97" t="str">
        <f t="shared" si="153"/>
        <v>B</v>
      </c>
      <c r="FB108" s="97" t="str">
        <f t="shared" si="153"/>
        <v>A</v>
      </c>
      <c r="FC108" s="97" t="str">
        <f t="shared" si="153"/>
        <v>B</v>
      </c>
      <c r="FD108" s="97" t="str">
        <f t="shared" si="153"/>
        <v>B</v>
      </c>
      <c r="FE108" s="97" t="str">
        <f t="shared" si="153"/>
        <v>A</v>
      </c>
      <c r="FF108" s="97" t="str">
        <f t="shared" si="153"/>
        <v>A</v>
      </c>
      <c r="FG108" s="97" t="str">
        <f t="shared" si="153"/>
        <v>A</v>
      </c>
      <c r="FH108" s="97" t="str">
        <f t="shared" si="153"/>
        <v>A</v>
      </c>
      <c r="FI108" s="97" t="str">
        <f t="shared" si="153"/>
        <v>A</v>
      </c>
      <c r="FJ108" s="97" t="str">
        <f t="shared" si="153"/>
        <v>A</v>
      </c>
      <c r="FK108" s="97" t="str">
        <f t="shared" si="153"/>
        <v>B</v>
      </c>
      <c r="FL108" s="97" t="str">
        <f t="shared" si="153"/>
        <v>A</v>
      </c>
      <c r="FM108" s="97" t="str">
        <f t="shared" si="153"/>
        <v>A</v>
      </c>
      <c r="FN108" s="97" t="str">
        <f t="shared" si="153"/>
        <v>A</v>
      </c>
      <c r="FO108" s="97" t="str">
        <f t="shared" si="153"/>
        <v>A</v>
      </c>
      <c r="FP108" s="97" t="str">
        <f t="shared" si="153"/>
        <v>B</v>
      </c>
      <c r="FQ108" s="97" t="str">
        <f t="shared" si="153"/>
        <v>A</v>
      </c>
      <c r="FR108" s="97" t="str">
        <f t="shared" si="153"/>
        <v>B</v>
      </c>
      <c r="FS108" s="97" t="str">
        <f t="shared" si="153"/>
        <v>B</v>
      </c>
      <c r="FT108" s="97" t="str">
        <f t="shared" si="153"/>
        <v>B</v>
      </c>
      <c r="FU108" s="97" t="str">
        <f t="shared" si="153"/>
        <v>B</v>
      </c>
      <c r="FV108" s="97" t="str">
        <f t="shared" si="153"/>
        <v>A</v>
      </c>
      <c r="FW108" s="97" t="str">
        <f t="shared" si="153"/>
        <v>B</v>
      </c>
      <c r="FX108" s="97" t="str">
        <f t="shared" si="153"/>
        <v>A</v>
      </c>
      <c r="FY108" s="97" t="str">
        <f t="shared" si="153"/>
        <v>B</v>
      </c>
      <c r="FZ108" s="97" t="str">
        <f t="shared" si="153"/>
        <v>B</v>
      </c>
      <c r="GA108" s="97" t="str">
        <f t="shared" si="153"/>
        <v>A</v>
      </c>
      <c r="GB108" s="97" t="str">
        <f t="shared" si="153"/>
        <v>A</v>
      </c>
      <c r="GC108" s="97" t="str">
        <f t="shared" si="153"/>
        <v>B</v>
      </c>
      <c r="GD108" s="97" t="str">
        <f t="shared" si="153"/>
        <v>A</v>
      </c>
      <c r="GE108" s="97" t="str">
        <f t="shared" si="153"/>
        <v>A</v>
      </c>
      <c r="GF108" s="97" t="str">
        <f t="shared" si="153"/>
        <v>A</v>
      </c>
      <c r="GG108" s="97" t="str">
        <f t="shared" si="153"/>
        <v>A</v>
      </c>
      <c r="GH108" s="97" t="str">
        <f t="shared" si="153"/>
        <v>B</v>
      </c>
      <c r="GI108" s="97" t="str">
        <f t="shared" si="153"/>
        <v>A</v>
      </c>
      <c r="GJ108" s="97" t="str">
        <f t="shared" si="153"/>
        <v>B</v>
      </c>
      <c r="GK108" s="97" t="str">
        <f t="shared" si="153"/>
        <v>A</v>
      </c>
      <c r="GL108" s="97" t="str">
        <f t="shared" si="153"/>
        <v>B</v>
      </c>
      <c r="GM108" s="97" t="str">
        <f t="shared" si="153"/>
        <v>A</v>
      </c>
      <c r="GN108" s="97" t="str">
        <f t="shared" si="153"/>
        <v>B</v>
      </c>
      <c r="GO108" s="97" t="str">
        <f t="shared" si="153"/>
        <v>A</v>
      </c>
      <c r="GP108" s="97" t="str">
        <f t="shared" si="153"/>
        <v>A</v>
      </c>
      <c r="GQ108" s="97" t="str">
        <f t="shared" si="153"/>
        <v>A</v>
      </c>
      <c r="GR108" s="97" t="str">
        <f t="shared" si="153"/>
        <v>A</v>
      </c>
      <c r="GS108" s="97" t="str">
        <f t="shared" si="153"/>
        <v>A</v>
      </c>
      <c r="GT108" s="97" t="str">
        <f t="shared" si="153"/>
        <v>B</v>
      </c>
      <c r="GU108" s="97" t="str">
        <f t="shared" si="153"/>
        <v>A</v>
      </c>
      <c r="GV108" s="97" t="str">
        <f t="shared" si="153"/>
        <v>A</v>
      </c>
      <c r="GW108" s="97" t="str">
        <f t="shared" si="153"/>
        <v>A</v>
      </c>
      <c r="GX108" s="97" t="str">
        <f t="shared" si="153"/>
        <v>A</v>
      </c>
      <c r="GY108" s="98"/>
      <c r="GZ108" s="97">
        <f t="shared" si="3"/>
        <v>52</v>
      </c>
      <c r="HA108" s="97">
        <f t="shared" si="4"/>
        <v>48</v>
      </c>
      <c r="HB108" s="90">
        <f t="shared" si="5"/>
        <v>100</v>
      </c>
      <c r="HC108" s="99"/>
      <c r="HD108" s="97">
        <f t="shared" si="6"/>
        <v>6</v>
      </c>
      <c r="HE108" s="97">
        <f t="shared" si="7"/>
        <v>5</v>
      </c>
      <c r="HF108" s="90">
        <f t="shared" si="8"/>
        <v>11</v>
      </c>
      <c r="HG108" s="99"/>
      <c r="HH108" s="97">
        <f t="shared" si="9"/>
        <v>5</v>
      </c>
      <c r="HI108" s="97">
        <f t="shared" si="10"/>
        <v>4</v>
      </c>
      <c r="HJ108" s="90">
        <f t="shared" si="11"/>
        <v>9</v>
      </c>
      <c r="HK108" s="99"/>
      <c r="HL108" s="97">
        <f t="shared" si="12"/>
        <v>6</v>
      </c>
      <c r="HM108" s="97">
        <f t="shared" si="13"/>
        <v>4</v>
      </c>
      <c r="HN108" s="90">
        <f t="shared" si="14"/>
        <v>10</v>
      </c>
      <c r="HO108" s="99"/>
      <c r="HP108" s="97">
        <f t="shared" si="15"/>
        <v>5</v>
      </c>
      <c r="HQ108" s="97">
        <f t="shared" si="16"/>
        <v>7</v>
      </c>
      <c r="HR108" s="90">
        <f t="shared" si="17"/>
        <v>12</v>
      </c>
      <c r="HS108" s="99"/>
      <c r="HT108" s="97">
        <f t="shared" si="18"/>
        <v>7</v>
      </c>
      <c r="HU108" s="97">
        <f t="shared" si="19"/>
        <v>9</v>
      </c>
      <c r="HV108" s="90">
        <f t="shared" si="20"/>
        <v>16</v>
      </c>
      <c r="HW108" s="99"/>
      <c r="HX108" s="97">
        <f t="shared" si="21"/>
        <v>5</v>
      </c>
      <c r="HY108" s="97">
        <f t="shared" si="22"/>
        <v>3</v>
      </c>
      <c r="HZ108" s="90">
        <f t="shared" si="23"/>
        <v>8</v>
      </c>
      <c r="IA108" s="99"/>
      <c r="IB108" s="97">
        <f t="shared" si="24"/>
        <v>6</v>
      </c>
      <c r="IC108" s="97">
        <f t="shared" si="25"/>
        <v>5</v>
      </c>
      <c r="ID108" s="90">
        <f t="shared" si="26"/>
        <v>11</v>
      </c>
      <c r="IE108" s="99"/>
      <c r="IF108" s="97">
        <f t="shared" si="27"/>
        <v>1</v>
      </c>
      <c r="IG108" s="97">
        <f t="shared" si="28"/>
        <v>5</v>
      </c>
      <c r="IH108" s="90">
        <f t="shared" si="29"/>
        <v>6</v>
      </c>
      <c r="II108" s="99"/>
      <c r="IJ108" s="97">
        <f t="shared" si="30"/>
        <v>4</v>
      </c>
      <c r="IK108" s="97">
        <f t="shared" si="31"/>
        <v>4</v>
      </c>
      <c r="IL108" s="90">
        <f t="shared" si="32"/>
        <v>8</v>
      </c>
      <c r="IM108" s="99"/>
      <c r="IN108" s="97">
        <f t="shared" si="33"/>
        <v>1</v>
      </c>
      <c r="IO108" s="97">
        <f t="shared" si="34"/>
        <v>1</v>
      </c>
      <c r="IP108" s="90">
        <f t="shared" si="35"/>
        <v>2</v>
      </c>
      <c r="IS108" s="100">
        <f t="shared" si="36"/>
        <v>11</v>
      </c>
      <c r="IT108" s="100">
        <f t="shared" si="37"/>
        <v>9</v>
      </c>
      <c r="IU108" s="100">
        <f t="shared" si="38"/>
        <v>10</v>
      </c>
      <c r="IV108" s="100">
        <f t="shared" si="39"/>
        <v>12</v>
      </c>
      <c r="IW108" s="100">
        <f t="shared" si="40"/>
        <v>16</v>
      </c>
      <c r="IX108" s="100">
        <f t="shared" si="41"/>
        <v>8</v>
      </c>
      <c r="IY108" s="100">
        <f t="shared" si="42"/>
        <v>11</v>
      </c>
      <c r="IZ108" s="100">
        <f t="shared" si="43"/>
        <v>6</v>
      </c>
      <c r="JA108" s="100">
        <f t="shared" si="44"/>
        <v>8</v>
      </c>
      <c r="JB108" s="101">
        <f t="shared" si="45"/>
        <v>2</v>
      </c>
      <c r="JC108" s="102">
        <f t="shared" si="46"/>
        <v>93</v>
      </c>
      <c r="JD108" s="67">
        <f t="shared" si="50"/>
        <v>0</v>
      </c>
      <c r="JE108" s="67">
        <f t="shared" si="47"/>
        <v>1</v>
      </c>
      <c r="JF108" s="67">
        <f t="shared" si="48"/>
        <v>1</v>
      </c>
    </row>
    <row r="109">
      <c r="A109" s="104">
        <f>IFERROR(__xludf.DUMMYFUNCTION("""COMPUTED_VALUE"""),45955.85061623843)</f>
        <v>45955.85062</v>
      </c>
      <c r="B109" s="105" t="str">
        <f>IFERROR(__xludf.DUMMYFUNCTION("""COMPUTED_VALUE"""),"Muhammad irsyad")</f>
        <v>Muhammad irsyad</v>
      </c>
      <c r="C109" s="7" t="str">
        <f>IFERROR(__xludf.DUMMYFUNCTION("""COMPUTED_VALUE"""),"C250023")</f>
        <v>C250023</v>
      </c>
      <c r="D109" s="7" t="str">
        <f>IFERROR(__xludf.DUMMYFUNCTION("""COMPUTED_VALUE"""),"SMA")</f>
        <v>SMA</v>
      </c>
      <c r="E109" s="7" t="str">
        <f>IFERROR(__xludf.DUMMYFUNCTION("""COMPUTED_VALUE"""),"Ya")</f>
        <v>Ya</v>
      </c>
      <c r="F109" s="105" t="str">
        <f>IFERROR(__xludf.DUMMYFUNCTION("""COMPUTED_VALUE"""),"B Saya ingin melakukan apa saja sebaik mungkin.")</f>
        <v>B Saya ingin melakukan apa saja sebaik mungkin.</v>
      </c>
      <c r="G109" s="105" t="str">
        <f>IFERROR(__xludf.DUMMYFUNCTION("""COMPUTED_VALUE"""),"A Saya ingin setiap tulisan saya teliti, rapi, dan tersusun dengan baik.")</f>
        <v>A Saya ingin setiap tulisan saya teliti, rapi, dan tersusun dengan baik.</v>
      </c>
      <c r="H109" s="105" t="str">
        <f>IFERROR(__xludf.DUMMYFUNCTION("""COMPUTED_VALUE"""),"A Saya ingin berbuat sesuai kata hati saya.")</f>
        <v>A Saya ingin berbuat sesuai kata hati saya.</v>
      </c>
      <c r="I109" s="105" t="str">
        <f>IFERROR(__xludf.DUMMYFUNCTION("""COMPUTED_VALUE"""),"B Saya ingin bisa melakukan dengan baik meskipun tugas yang sulit.")</f>
        <v>B Saya ingin bisa melakukan dengan baik meskipun tugas yang sulit.</v>
      </c>
      <c r="J109" s="105" t="str">
        <f>IFERROR(__xludf.DUMMYFUNCTION("""COMPUTED_VALUE"""),"A Saya suka membantu teman-teman saya apabila mereka mengalami kesulitan.")</f>
        <v>A Saya suka membantu teman-teman saya apabila mereka mengalami kesulitan.</v>
      </c>
      <c r="K109" s="105" t="str">
        <f>IFERROR(__xludf.DUMMYFUNCTION("""COMPUTED_VALUE"""),"B Saya ingin mengatakan telah melakukan dengan baik sesuatu tugas yang sulit.")</f>
        <v>B Saya ingin mengatakan telah melakukan dengan baik sesuatu tugas yang sulit.</v>
      </c>
      <c r="L109" s="105" t="str">
        <f>IFERROR(__xludf.DUMMYFUNCTION("""COMPUTED_VALUE"""),"B Saya ingin mengatakan telah melakukan dengan baik sesuatu tugas yang sulit")</f>
        <v>B Saya ingin mengatakan telah melakukan dengan baik sesuatu tugas yang sulit</v>
      </c>
      <c r="M109" s="105" t="str">
        <f>IFERROR(__xludf.DUMMYFUNCTION("""COMPUTED_VALUE"""),"A Saya suka berbicara tentang hal-hal yang telah berhasil saya lakukan.")</f>
        <v>A Saya suka berbicara tentang hal-hal yang telah berhasil saya lakukan.</v>
      </c>
      <c r="N109" s="105" t="str">
        <f>IFERROR(__xludf.DUMMYFUNCTION("""COMPUTED_VALUE"""),"B Saya suka memecahkan persoalan yang sukar bagi orang lain.")</f>
        <v>B Saya suka memecahkan persoalan yang sukar bagi orang lain.</v>
      </c>
      <c r="O109" s="105" t="str">
        <f>IFERROR(__xludf.DUMMYFUNCTION("""COMPUTED_VALUE"""),"B Saya suka melakukan tugas sebaik mungkin.")</f>
        <v>B Saya suka melakukan tugas sebaik mungkin.</v>
      </c>
      <c r="P109" s="105" t="str">
        <f>IFERROR(__xludf.DUMMYFUNCTION("""COMPUTED_VALUE"""),"B Saya ingin setiap belajar itu teratur dan direncanakan.")</f>
        <v>B Saya ingin setiap belajar itu teratur dan direncanakan.</v>
      </c>
      <c r="Q109" s="105" t="str">
        <f>IFERROR(__xludf.DUMMYFUNCTION("""COMPUTED_VALUE"""),"B Saya merencanakan keperluan yang dibutuhkan sebelum bepergian.")</f>
        <v>B Saya merencanakan keperluan yang dibutuhkan sebelum bepergian.</v>
      </c>
      <c r="R109" s="105" t="str">
        <f>IFERROR(__xludf.DUMMYFUNCTION("""COMPUTED_VALUE"""),"B Saya suka barang-barang saya tersusun rapi dan teratur.")</f>
        <v>B Saya suka barang-barang saya tersusun rapi dan teratur.</v>
      </c>
      <c r="S109" s="105" t="str">
        <f>IFERROR(__xludf.DUMMYFUNCTION("""COMPUTED_VALUE"""),"B Saya suka membuat perencanaan sebelum memulai tugas yang sulit.")</f>
        <v>B Saya suka membuat perencanaan sebelum memulai tugas yang sulit.</v>
      </c>
      <c r="T109" s="105" t="str">
        <f>IFERROR(__xludf.DUMMYFUNCTION("""COMPUTED_VALUE"""),"B Saya ingin agar hidup saya teratur sesuai cita-cita saya.")</f>
        <v>B Saya ingin agar hidup saya teratur sesuai cita-cita saya.</v>
      </c>
      <c r="U109" s="105" t="str">
        <f>IFERROR(__xludf.DUMMYFUNCTION("""COMPUTED_VALUE"""),"A Saya suka memberikan bantuan kepada teman-teman saya.")</f>
        <v>A Saya suka memberikan bantuan kepada teman-teman saya.</v>
      </c>
      <c r="V109" s="105" t="str">
        <f>IFERROR(__xludf.DUMMYFUNCTION("""COMPUTED_VALUE"""),"B Saya suka belajar saya teratur dan ada waktu-waktu tertentu untuk belajar.")</f>
        <v>B Saya suka belajar saya teratur dan ada waktu-waktu tertentu untuk belajar.</v>
      </c>
      <c r="W109" s="105" t="str">
        <f>IFERROR(__xludf.DUMMYFUNCTION("""COMPUTED_VALUE"""),"B Saya ingin kegiatan itu teratur dan direncanakan.")</f>
        <v>B Saya ingin kegiatan itu teratur dan direncanakan.</v>
      </c>
      <c r="X109" s="105" t="str">
        <f>IFERROR(__xludf.DUMMYFUNCTION("""COMPUTED_VALUE"""),"B Saya ingin agar hidup saya teratur sesuai cita-cita saya.")</f>
        <v>B Saya ingin agar hidup saya teratur sesuai cita-cita saya.</v>
      </c>
      <c r="Y109" s="105" t="str">
        <f>IFERROR(__xludf.DUMMYFUNCTION("""COMPUTED_VALUE"""),"B Saya senang merencanakan untuk masa depan.")</f>
        <v>B Saya senang merencanakan untuk masa depan.</v>
      </c>
      <c r="Z109" s="105" t="str">
        <f>IFERROR(__xludf.DUMMYFUNCTION("""COMPUTED_VALUE"""),"A Saya ingin berhasil dengan belajar yang saya lakukan.")</f>
        <v>A Saya ingin berhasil dengan belajar yang saya lakukan.</v>
      </c>
      <c r="AA109" s="105" t="str">
        <f>IFERROR(__xludf.DUMMYFUNCTION("""COMPUTED_VALUE"""),"B Saya tidak suka pada orang yang berbuat seenaknya sendiri.")</f>
        <v>B Saya tidak suka pada orang yang berbuat seenaknya sendiri.</v>
      </c>
      <c r="AB109" s="105" t="str">
        <f>IFERROR(__xludf.DUMMYFUNCTION("""COMPUTED_VALUE"""),"A Saya ingin tidak tergantung dari orang lain terhadap apa yang akan saya lakukan.")</f>
        <v>A Saya ingin tidak tergantung dari orang lain terhadap apa yang akan saya lakukan.</v>
      </c>
      <c r="AC109" s="105" t="str">
        <f>IFERROR(__xludf.DUMMYFUNCTION("""COMPUTED_VALUE"""),"A Saya suka menyelesaikan setiap tugas meskipun membutuhkan waktu lama.")</f>
        <v>A Saya suka menyelesaikan setiap tugas meskipun membutuhkan waktu lama.</v>
      </c>
      <c r="AD109" s="105" t="str">
        <f>IFERROR(__xludf.DUMMYFUNCTION("""COMPUTED_VALUE"""),"A Saya suka bermurah hati terhadap teman-teman saya.")</f>
        <v>A Saya suka bermurah hati terhadap teman-teman saya.</v>
      </c>
      <c r="AE109" s="105" t="str">
        <f>IFERROR(__xludf.DUMMYFUNCTION("""COMPUTED_VALUE"""),"A Saya ingin dianggap sebagai pemimpin oleh teman di kelompok.")</f>
        <v>A Saya ingin dianggap sebagai pemimpin oleh teman di kelompok.</v>
      </c>
      <c r="AF109" s="105" t="str">
        <f>IFERROR(__xludf.DUMMYFUNCTION("""COMPUTED_VALUE"""),"A Saya ingin agar teman-teman mengerti bila saya mengalami kesukaran.")</f>
        <v>A Saya ingin agar teman-teman mengerti bila saya mengalami kesukaran.</v>
      </c>
      <c r="AG109" s="105" t="str">
        <f>IFERROR(__xludf.DUMMYFUNCTION("""COMPUTED_VALUE"""),"A Saya mengajari orang lain bagaimana mereka harus melakukan pekerjaan mereka.")</f>
        <v>A Saya mengajari orang lain bagaimana mereka harus melakukan pekerjaan mereka.</v>
      </c>
      <c r="AH109" s="105" t="str">
        <f>IFERROR(__xludf.DUMMYFUNCTION("""COMPUTED_VALUE"""),"A Saya suka membaca buku-buku tentang pergaulan remaja.")</f>
        <v>A Saya suka membaca buku-buku tentang pergaulan remaja.</v>
      </c>
      <c r="AI109" s="105" t="str">
        <f>IFERROR(__xludf.DUMMYFUNCTION("""COMPUTED_VALUE"""),"B Saya suka melakukan kegiatan sesuai kondisi yang saya inginkan.")</f>
        <v>B Saya suka melakukan kegiatan sesuai kondisi yang saya inginkan.</v>
      </c>
      <c r="AJ109" s="105" t="str">
        <f>IFERROR(__xludf.DUMMYFUNCTION("""COMPUTED_VALUE"""),"B Saya suka bertahan menghadapi satu masalah meskipun belum tentu berhasil.")</f>
        <v>B Saya suka bertahan menghadapi satu masalah meskipun belum tentu berhasil.</v>
      </c>
      <c r="AK109" s="105" t="str">
        <f>IFERROR(__xludf.DUMMYFUNCTION("""COMPUTED_VALUE"""),"B Bila saya harus melakukan suatu tugas, saya ingin mengerjakan sampai selesai.")</f>
        <v>B Bila saya harus melakukan suatu tugas, saya ingin mengerjakan sampai selesai.</v>
      </c>
      <c r="AL109" s="105" t="str">
        <f>IFERROR(__xludf.DUMMYFUNCTION("""COMPUTED_VALUE"""),"B Saya ingin menghindarkan gangguan bila saya sedang belajar.")</f>
        <v>B Saya ingin menghindarkan gangguan bila saya sedang belajar.</v>
      </c>
      <c r="AM109" s="105" t="str">
        <f>IFERROR(__xludf.DUMMYFUNCTION("""COMPUTED_VALUE"""),"A Saya ingin teman-teman saya merasa kasihan pada saya apabila saya sakit.")</f>
        <v>A Saya ingin teman-teman saya merasa kasihan pada saya apabila saya sakit.</v>
      </c>
      <c r="AN109" s="105" t="str">
        <f>IFERROR(__xludf.DUMMYFUNCTION("""COMPUTED_VALUE"""),"A Saya tidak suka pada orang yang semena-mena.")</f>
        <v>A Saya tidak suka pada orang yang semena-mena.</v>
      </c>
      <c r="AO109" s="105" t="str">
        <f>IFERROR(__xludf.DUMMYFUNCTION("""COMPUTED_VALUE"""),"A Saya suka berlaku sangat ramah terhadap teman-teman saya.")</f>
        <v>A Saya suka berlaku sangat ramah terhadap teman-teman saya.</v>
      </c>
      <c r="AP109" s="105" t="str">
        <f>IFERROR(__xludf.DUMMYFUNCTION("""COMPUTED_VALUE"""),"A Saya ingin mengerjakannya tugas sampai selesai.")</f>
        <v>A Saya ingin mengerjakannya tugas sampai selesai.</v>
      </c>
      <c r="AQ109" s="105" t="str">
        <f>IFERROR(__xludf.DUMMYFUNCTION("""COMPUTED_VALUE"""),"B Bila saya harus melakukan suatu tugas, saya ingin mengerjakan sampai selesai.")</f>
        <v>B Bila saya harus melakukan suatu tugas, saya ingin mengerjakan sampai selesai.</v>
      </c>
      <c r="AR109" s="105" t="str">
        <f>IFERROR(__xludf.DUMMYFUNCTION("""COMPUTED_VALUE"""),"A Saya suka menyimpan catatan secara rapi.")</f>
        <v>A Saya suka menyimpan catatan secara rapi.</v>
      </c>
      <c r="AS109" s="105" t="str">
        <f>IFERROR(__xludf.DUMMYFUNCTION("""COMPUTED_VALUE"""),"A Saya ingin dapat menyelesaikan persoalan yang dianggap sukar bagi orang lain.")</f>
        <v>A Saya ingin dapat menyelesaikan persoalan yang dianggap sukar bagi orang lain.</v>
      </c>
      <c r="AT109" s="105" t="str">
        <f>IFERROR(__xludf.DUMMYFUNCTION("""COMPUTED_VALUE"""),"B Saya suka membantu orang lain yang menurut saya perlu dikasihani.")</f>
        <v>B Saya suka membantu orang lain yang menurut saya perlu dikasihani.</v>
      </c>
      <c r="AU109" s="105" t="str">
        <f>IFERROR(__xludf.DUMMYFUNCTION("""COMPUTED_VALUE"""),"B Saya suka bermurah hati terhadap teman-teman saya.")</f>
        <v>B Saya suka bermurah hati terhadap teman-teman saya.</v>
      </c>
      <c r="AV109" s="105" t="str">
        <f>IFERROR(__xludf.DUMMYFUNCTION("""COMPUTED_VALUE"""),"B Saya suka menolong teman-teman saya.")</f>
        <v>B Saya suka menolong teman-teman saya.</v>
      </c>
      <c r="AW109" s="105" t="str">
        <f>IFERROR(__xludf.DUMMYFUNCTION("""COMPUTED_VALUE"""),"B Saya ingin teman-teman saya percaya bahwa saya bisa menolong mereka.")</f>
        <v>B Saya ingin teman-teman saya percaya bahwa saya bisa menolong mereka.</v>
      </c>
      <c r="AX109" s="105" t="str">
        <f>IFERROR(__xludf.DUMMYFUNCTION("""COMPUTED_VALUE"""),"B Saya suka memaafkan teman-teman saya yang menyakiti hati saya.")</f>
        <v>B Saya suka memaafkan teman-teman saya yang menyakiti hati saya.</v>
      </c>
      <c r="AY109" s="105" t="str">
        <f>IFERROR(__xludf.DUMMYFUNCTION("""COMPUTED_VALUE"""),"B Saya suka menolong teman-teman saya apabila mereka dalam kesulitan.")</f>
        <v>B Saya suka menolong teman-teman saya apabila mereka dalam kesulitan.</v>
      </c>
      <c r="AZ109" s="105" t="str">
        <f>IFERROR(__xludf.DUMMYFUNCTION("""COMPUTED_VALUE"""),"B Saya suka menunjukkan simpati saya kepada teman-teman saya.")</f>
        <v>B Saya suka menunjukkan simpati saya kepada teman-teman saya.</v>
      </c>
      <c r="BA109" s="105" t="str">
        <f>IFERROR(__xludf.DUMMYFUNCTION("""COMPUTED_VALUE"""),"B Saya suka memperlakukan orang lain dengan baik dan ramah.")</f>
        <v>B Saya suka memperlakukan orang lain dengan baik dan ramah.</v>
      </c>
      <c r="BB109" s="105" t="str">
        <f>IFERROR(__xludf.DUMMYFUNCTION("""COMPUTED_VALUE"""),"B Saya suka bermurah hati terhadap teman-teman saya.")</f>
        <v>B Saya suka bermurah hati terhadap teman-teman saya.</v>
      </c>
      <c r="BC109" s="105" t="str">
        <f>IFERROR(__xludf.DUMMYFUNCTION("""COMPUTED_VALUE"""),"B Saya suka membantu orang lain yang menurut saya perlu dikasihani.")</f>
        <v>B Saya suka membantu orang lain yang menurut saya perlu dikasihani.</v>
      </c>
      <c r="BD109" s="105" t="str">
        <f>IFERROR(__xludf.DUMMYFUNCTION("""COMPUTED_VALUE"""),"B Saya suka bersikukuh dengan pendirian saya.")</f>
        <v>B Saya suka bersikukuh dengan pendirian saya.</v>
      </c>
      <c r="BE109" s="105" t="str">
        <f>IFERROR(__xludf.DUMMYFUNCTION("""COMPUTED_VALUE"""),"B Saya ingin orang lain melakukan apa yang saya kehendaki.")</f>
        <v>B Saya ingin orang lain melakukan apa yang saya kehendaki.</v>
      </c>
      <c r="BF109" s="105" t="str">
        <f>IFERROR(__xludf.DUMMYFUNCTION("""COMPUTED_VALUE"""),"B Bila saya dalam kelompok, saya ingin menentukan apa yang akan kita lakukan.")</f>
        <v>B Bila saya dalam kelompok, saya ingin menentukan apa yang akan kita lakukan.</v>
      </c>
      <c r="BG109" s="105" t="str">
        <f>IFERROR(__xludf.DUMMYFUNCTION("""COMPUTED_VALUE"""),"B Saya suka mengarahkan kepada orang lain apa yang harus dilakukan.")</f>
        <v>B Saya suka mengarahkan kepada orang lain apa yang harus dilakukan.</v>
      </c>
      <c r="BH109" s="105" t="str">
        <f>IFERROR(__xludf.DUMMYFUNCTION("""COMPUTED_VALUE"""),"B Apabila saya berkumpul dalam kelompok, saya ingin dihargai teman-teman.")</f>
        <v>B Apabila saya berkumpul dalam kelompok, saya ingin dihargai teman-teman.</v>
      </c>
      <c r="BI109" s="105" t="str">
        <f>IFERROR(__xludf.DUMMYFUNCTION("""COMPUTED_VALUE"""),"A Saya suka bermurah hati terhadap teman-teman saya.")</f>
        <v>A Saya suka bermurah hati terhadap teman-teman saya.</v>
      </c>
      <c r="BJ109" s="105" t="str">
        <f>IFERROR(__xludf.DUMMYFUNCTION("""COMPUTED_VALUE"""),"A Saya ingin mengerjakan tugas sampai selesai.")</f>
        <v>A Saya ingin mengerjakan tugas sampai selesai.</v>
      </c>
      <c r="BK109" s="105" t="str">
        <f>IFERROR(__xludf.DUMMYFUNCTION("""COMPUTED_VALUE"""),"A Saya ingin menyelesaikan pekerjaan satu persatu sebelum memulai yang lain.")</f>
        <v>A Saya ingin menyelesaikan pekerjaan satu persatu sebelum memulai yang lain.</v>
      </c>
      <c r="BL109" s="105" t="str">
        <f>IFERROR(__xludf.DUMMYFUNCTION("""COMPUTED_VALUE"""),"A Saya suka belajar saya teratur dan ada waktu-waktu tertentu untuk belajar.")</f>
        <v>A Saya suka belajar saya teratur dan ada waktu-waktu tertentu untuk belajar.</v>
      </c>
      <c r="BM109" s="105" t="str">
        <f>IFERROR(__xludf.DUMMYFUNCTION("""COMPUTED_VALUE"""),"A Saya suka melakukan pekerjaan sebaik mungkin.")</f>
        <v>A Saya suka melakukan pekerjaan sebaik mungkin.</v>
      </c>
      <c r="BN109" s="105" t="str">
        <f>IFERROR(__xludf.DUMMYFUNCTION("""COMPUTED_VALUE"""),"A Saya suka mengerjakan teka-teki atau memecahkan persoalan sampai selesai.")</f>
        <v>A Saya suka mengerjakan teka-teki atau memecahkan persoalan sampai selesai.</v>
      </c>
      <c r="BO109" s="105" t="str">
        <f>IFERROR(__xludf.DUMMYFUNCTION("""COMPUTED_VALUE"""),"B Saya ingin diperlakukan dengan baik oleh teman-teman saya.")</f>
        <v>B Saya ingin diperlakukan dengan baik oleh teman-teman saya.</v>
      </c>
      <c r="BP109" s="105" t="str">
        <f>IFERROR(__xludf.DUMMYFUNCTION("""COMPUTED_VALUE"""),"A Saya ingin menyelesaikan sesuatu yang sangat penting artinya.")</f>
        <v>A Saya ingin menyelesaikan sesuatu yang sangat penting artinya.</v>
      </c>
      <c r="BQ109" s="105" t="str">
        <f>IFERROR(__xludf.DUMMYFUNCTION("""COMPUTED_VALUE"""),"A Saya ingin mengerjakannya tugas sampai selesai.")</f>
        <v>A Saya ingin mengerjakannya tugas sampai selesai.</v>
      </c>
      <c r="BR109" s="105" t="str">
        <f>IFERROR(__xludf.DUMMYFUNCTION("""COMPUTED_VALUE"""),"A Saya suka memaafkan teman-teman saya yang menyakiti hati saya.")</f>
        <v>A Saya suka memaafkan teman-teman saya yang menyakiti hati saya.</v>
      </c>
      <c r="BS109" s="105" t="str">
        <f>IFERROR(__xludf.DUMMYFUNCTION("""COMPUTED_VALUE"""),"B Saya ingin teman-teman saya membantu saya bila saya mengalami kesulitan")</f>
        <v>B Saya ingin teman-teman saya membantu saya bila saya mengalami kesulitan</v>
      </c>
      <c r="BT109" s="105" t="str">
        <f>IFERROR(__xludf.DUMMYFUNCTION("""COMPUTED_VALUE"""),"B Saya ingin teman-teman banyak menunjukkan rasa sayang mereka terhadap saya.")</f>
        <v>B Saya ingin teman-teman banyak menunjukkan rasa sayang mereka terhadap saya.</v>
      </c>
      <c r="BU109" s="105" t="str">
        <f>IFERROR(__xludf.DUMMYFUNCTION("""COMPUTED_VALUE"""),"A Saya kadang-kadang suka melakukan hal-hal yang dapat dipuji oleh orang lain.")</f>
        <v>A Saya kadang-kadang suka melakukan hal-hal yang dapat dipuji oleh orang lain.</v>
      </c>
      <c r="BV109" s="105" t="str">
        <f>IFERROR(__xludf.DUMMYFUNCTION("""COMPUTED_VALUE"""),"A Saya ingin dianggap menarik oleh orang lain.")</f>
        <v>A Saya ingin dianggap menarik oleh orang lain.</v>
      </c>
      <c r="BW109" s="105" t="str">
        <f>IFERROR(__xludf.DUMMYFUNCTION("""COMPUTED_VALUE"""),"B Saya ingin diperlakukan dengan baik oleh teman-teman saya.")</f>
        <v>B Saya ingin diperlakukan dengan baik oleh teman-teman saya.</v>
      </c>
      <c r="BX109" s="105" t="str">
        <f>IFERROR(__xludf.DUMMYFUNCTION("""COMPUTED_VALUE"""),"B Saya kadang-kadang suka melakukan hal-hal yang dapat dipuji oleh orang lain.")</f>
        <v>B Saya kadang-kadang suka melakukan hal-hal yang dapat dipuji oleh orang lain.</v>
      </c>
      <c r="BY109" s="105" t="str">
        <f>IFERROR(__xludf.DUMMYFUNCTION("""COMPUTED_VALUE"""),"B Saya ingin orang lain memperhatikan dan berkomentar tentang penampilan saya.")</f>
        <v>B Saya ingin orang lain memperhatikan dan berkomentar tentang penampilan saya.</v>
      </c>
      <c r="BZ109" s="105" t="str">
        <f>IFERROR(__xludf.DUMMYFUNCTION("""COMPUTED_VALUE"""),"B Saya suka diperhatikan, apabila saya ada di dalam suatu kelompok.")</f>
        <v>B Saya suka diperhatikan, apabila saya ada di dalam suatu kelompok.</v>
      </c>
      <c r="CA109" s="105" t="str">
        <f>IFERROR(__xludf.DUMMYFUNCTION("""COMPUTED_VALUE"""),"A Saya ingin teman-teman dengan gembira memberikan pertolongan kepada saya.")</f>
        <v>A Saya ingin teman-teman dengan gembira memberikan pertolongan kepada saya.</v>
      </c>
      <c r="CB109" s="105" t="str">
        <f>IFERROR(__xludf.DUMMYFUNCTION("""COMPUTED_VALUE"""),"B Saya suka berbicara tentang hal-hal yang telah saya capai.")</f>
        <v>B Saya suka berbicara tentang hal-hal yang telah saya capai.</v>
      </c>
      <c r="CC109" s="105" t="str">
        <f>IFERROR(__xludf.DUMMYFUNCTION("""COMPUTED_VALUE"""),"A Apabila saya berkumpul dalam kelompok, saya ingin dihargai teman-teman.")</f>
        <v>A Apabila saya berkumpul dalam kelompok, saya ingin dihargai teman-teman.</v>
      </c>
      <c r="CD109" s="105" t="str">
        <f>IFERROR(__xludf.DUMMYFUNCTION("""COMPUTED_VALUE"""),"A Saya suka menyelesaikan setiap tugas meskipun membutuhkan waktu lama.")</f>
        <v>A Saya suka menyelesaikan setiap tugas meskipun membutuhkan waktu lama.</v>
      </c>
      <c r="CE109" s="105" t="str">
        <f>IFERROR(__xludf.DUMMYFUNCTION("""COMPUTED_VALUE"""),"A Saya suka menyelesaikan setiap tugas belajar yang telah saya mulai.")</f>
        <v>A Saya suka menyelesaikan setiap tugas belajar yang telah saya mulai.</v>
      </c>
      <c r="CF109" s="105" t="str">
        <f>IFERROR(__xludf.DUMMYFUNCTION("""COMPUTED_VALUE"""),"A Saya ingin agar hidup saya teratur sesuai cita-cita saya.")</f>
        <v>A Saya ingin agar hidup saya teratur sesuai cita-cita saya.</v>
      </c>
      <c r="CG109" s="105" t="str">
        <f>IFERROR(__xludf.DUMMYFUNCTION("""COMPUTED_VALUE"""),"A Saya ingin berhasil dalam apa yang saya lakukan.")</f>
        <v>A Saya ingin berhasil dalam apa yang saya lakukan.</v>
      </c>
      <c r="CH109" s="105" t="str">
        <f>IFERROR(__xludf.DUMMYFUNCTION("""COMPUTED_VALUE"""),"A Saya ingin bisa melakukan dengan baik sesuatu pekerjaan sulit.")</f>
        <v>A Saya ingin bisa melakukan dengan baik sesuatu pekerjaan sulit.</v>
      </c>
      <c r="CI109" s="105" t="str">
        <f>IFERROR(__xludf.DUMMYFUNCTION("""COMPUTED_VALUE"""),"A Saya suka belajar saya teratur dan ada waktu-waktu tertentu untuk belajar.")</f>
        <v>A Saya suka belajar saya teratur dan ada waktu-waktu tertentu untuk belajar.</v>
      </c>
      <c r="CJ109" s="105" t="str">
        <f>IFERROR(__xludf.DUMMYFUNCTION("""COMPUTED_VALUE"""),"A Saya ingin tidak tergantung dari orang lain terhadap apa yang akan saya lakukan.")</f>
        <v>A Saya ingin tidak tergantung dari orang lain terhadap apa yang akan saya lakukan.</v>
      </c>
      <c r="CK109" s="105" t="str">
        <f>IFERROR(__xludf.DUMMYFUNCTION("""COMPUTED_VALUE"""),"B Saya senang ikut beraktivitas bersama teman sebaya saya.")</f>
        <v>B Saya senang ikut beraktivitas bersama teman sebaya saya.</v>
      </c>
      <c r="CL109" s="105" t="str">
        <f>IFERROR(__xludf.DUMMYFUNCTION("""COMPUTED_VALUE"""),"A Saya suka menolong teman-teman saya, apabila mereka dalam kesulitan.")</f>
        <v>A Saya suka menolong teman-teman saya, apabila mereka dalam kesulitan.</v>
      </c>
      <c r="CM109" s="105" t="str">
        <f>IFERROR(__xludf.DUMMYFUNCTION("""COMPUTED_VALUE"""),"B Saya merasa kagum pada seseorang.")</f>
        <v>B Saya merasa kagum pada seseorang.</v>
      </c>
      <c r="CN109" s="105" t="str">
        <f>IFERROR(__xludf.DUMMYFUNCTION("""COMPUTED_VALUE"""),"A Saya ingin diperlakukan dengan baik oleh teman-teman saya.")</f>
        <v>A Saya ingin diperlakukan dengan baik oleh teman-teman saya.</v>
      </c>
      <c r="CO109" s="105" t="str">
        <f>IFERROR(__xludf.DUMMYFUNCTION("""COMPUTED_VALUE"""),"B Saya suka memuji orang yang saya kagumi.")</f>
        <v>B Saya suka memuji orang yang saya kagumi.</v>
      </c>
      <c r="CP109" s="105" t="str">
        <f>IFERROR(__xludf.DUMMYFUNCTION("""COMPUTED_VALUE"""),"B Saya ingin dianggap menarik oleh orang lain.")</f>
        <v>B Saya ingin dianggap menarik oleh orang lain.</v>
      </c>
      <c r="CQ109" s="105" t="str">
        <f>IFERROR(__xludf.DUMMYFUNCTION("""COMPUTED_VALUE"""),"B Saya merasa kagum pada seseorang.")</f>
        <v>B Saya merasa kagum pada seseorang.</v>
      </c>
      <c r="CR109" s="105" t="str">
        <f>IFERROR(__xludf.DUMMYFUNCTION("""COMPUTED_VALUE"""),"B Saya rasanya ingin mengecam seseorang bila orang itu menjengkelkan.")</f>
        <v>B Saya rasanya ingin mengecam seseorang bila orang itu menjengkelkan.</v>
      </c>
      <c r="CS109" s="105" t="str">
        <f>IFERROR(__xludf.DUMMYFUNCTION("""COMPUTED_VALUE"""),"A Saya ingin terlihat menarik di depan teman-teman saya.")</f>
        <v>A Saya ingin terlihat menarik di depan teman-teman saya.</v>
      </c>
      <c r="CT109" s="105" t="str">
        <f>IFERROR(__xludf.DUMMYFUNCTION("""COMPUTED_VALUE"""),"A Saya ingin orang-orang memperhatikan komentar mengenai penampilan saya.")</f>
        <v>A Saya ingin orang-orang memperhatikan komentar mengenai penampilan saya.</v>
      </c>
      <c r="CU109" s="105" t="str">
        <f>IFERROR(__xludf.DUMMYFUNCTION("""COMPUTED_VALUE"""),"A Saya ingin diperlakukan dengan ramah oleh teman-teman saya.")</f>
        <v>A Saya ingin diperlakukan dengan ramah oleh teman-teman saya.</v>
      </c>
      <c r="CV109" s="105" t="str">
        <f>IFERROR(__xludf.DUMMYFUNCTION("""COMPUTED_VALUE"""),"A Saya ingin ditunjuk atau dipilih sebagai ketua dalam suatu kelompok.")</f>
        <v>A Saya ingin ditunjuk atau dipilih sebagai ketua dalam suatu kelompok.</v>
      </c>
      <c r="CW109" s="105" t="str">
        <f>IFERROR(__xludf.DUMMYFUNCTION("""COMPUTED_VALUE"""),"A Saya suka menolong teman-teman saya, apabila mereka dalam kesulitan.")</f>
        <v>A Saya suka menolong teman-teman saya, apabila mereka dalam kesulitan.</v>
      </c>
      <c r="CX109" s="105" t="str">
        <f>IFERROR(__xludf.DUMMYFUNCTION("""COMPUTED_VALUE"""),"A Saya suka belajar sampai malam untuk menyelesaikan suatu tugas.")</f>
        <v>A Saya suka belajar sampai malam untuk menyelesaikan suatu tugas.</v>
      </c>
      <c r="CY109" s="105" t="str">
        <f>IFERROR(__xludf.DUMMYFUNCTION("""COMPUTED_VALUE"""),"A Saya ingin tidak tergantung dari orang lain terhadap apa yang akan saya lakukan.")</f>
        <v>A Saya ingin tidak tergantung dari orang lain terhadap apa yang akan saya lakukan.</v>
      </c>
      <c r="CZ109" s="105" t="str">
        <f>IFERROR(__xludf.DUMMYFUNCTION("""COMPUTED_VALUE"""),"A Saya suka merencanakan dan mengatur setiap pekerjaan yang harus saya lakukan.")</f>
        <v>A Saya suka merencanakan dan mengatur setiap pekerjaan yang harus saya lakukan.</v>
      </c>
      <c r="DA109" s="105" t="str">
        <f>IFERROR(__xludf.DUMMYFUNCTION("""COMPUTED_VALUE"""),"A Saya ingin melakukan apa saja sebaik mungkin.")</f>
        <v>A Saya ingin melakukan apa saja sebaik mungkin.</v>
      </c>
      <c r="DB109" s="89" t="s">
        <v>23</v>
      </c>
      <c r="DC109" s="97" t="str">
        <f t="shared" ref="DC109:GX109" si="154">LEFT(F109,1)</f>
        <v>B</v>
      </c>
      <c r="DD109" s="97" t="str">
        <f t="shared" si="154"/>
        <v>A</v>
      </c>
      <c r="DE109" s="97" t="str">
        <f t="shared" si="154"/>
        <v>A</v>
      </c>
      <c r="DF109" s="97" t="str">
        <f t="shared" si="154"/>
        <v>B</v>
      </c>
      <c r="DG109" s="97" t="str">
        <f t="shared" si="154"/>
        <v>A</v>
      </c>
      <c r="DH109" s="97" t="str">
        <f t="shared" si="154"/>
        <v>B</v>
      </c>
      <c r="DI109" s="97" t="str">
        <f t="shared" si="154"/>
        <v>B</v>
      </c>
      <c r="DJ109" s="97" t="str">
        <f t="shared" si="154"/>
        <v>A</v>
      </c>
      <c r="DK109" s="97" t="str">
        <f t="shared" si="154"/>
        <v>B</v>
      </c>
      <c r="DL109" s="97" t="str">
        <f t="shared" si="154"/>
        <v>B</v>
      </c>
      <c r="DM109" s="97" t="str">
        <f t="shared" si="154"/>
        <v>B</v>
      </c>
      <c r="DN109" s="97" t="str">
        <f t="shared" si="154"/>
        <v>B</v>
      </c>
      <c r="DO109" s="97" t="str">
        <f t="shared" si="154"/>
        <v>B</v>
      </c>
      <c r="DP109" s="97" t="str">
        <f t="shared" si="154"/>
        <v>B</v>
      </c>
      <c r="DQ109" s="97" t="str">
        <f t="shared" si="154"/>
        <v>B</v>
      </c>
      <c r="DR109" s="97" t="str">
        <f t="shared" si="154"/>
        <v>A</v>
      </c>
      <c r="DS109" s="97" t="str">
        <f t="shared" si="154"/>
        <v>B</v>
      </c>
      <c r="DT109" s="97" t="str">
        <f t="shared" si="154"/>
        <v>B</v>
      </c>
      <c r="DU109" s="97" t="str">
        <f t="shared" si="154"/>
        <v>B</v>
      </c>
      <c r="DV109" s="97" t="str">
        <f t="shared" si="154"/>
        <v>B</v>
      </c>
      <c r="DW109" s="97" t="str">
        <f t="shared" si="154"/>
        <v>A</v>
      </c>
      <c r="DX109" s="97" t="str">
        <f t="shared" si="154"/>
        <v>B</v>
      </c>
      <c r="DY109" s="97" t="str">
        <f t="shared" si="154"/>
        <v>A</v>
      </c>
      <c r="DZ109" s="97" t="str">
        <f t="shared" si="154"/>
        <v>A</v>
      </c>
      <c r="EA109" s="97" t="str">
        <f t="shared" si="154"/>
        <v>A</v>
      </c>
      <c r="EB109" s="97" t="str">
        <f t="shared" si="154"/>
        <v>A</v>
      </c>
      <c r="EC109" s="97" t="str">
        <f t="shared" si="154"/>
        <v>A</v>
      </c>
      <c r="ED109" s="97" t="str">
        <f t="shared" si="154"/>
        <v>A</v>
      </c>
      <c r="EE109" s="97" t="str">
        <f t="shared" si="154"/>
        <v>A</v>
      </c>
      <c r="EF109" s="97" t="str">
        <f t="shared" si="154"/>
        <v>B</v>
      </c>
      <c r="EG109" s="97" t="str">
        <f t="shared" si="154"/>
        <v>B</v>
      </c>
      <c r="EH109" s="97" t="str">
        <f t="shared" si="154"/>
        <v>B</v>
      </c>
      <c r="EI109" s="97" t="str">
        <f t="shared" si="154"/>
        <v>B</v>
      </c>
      <c r="EJ109" s="97" t="str">
        <f t="shared" si="154"/>
        <v>A</v>
      </c>
      <c r="EK109" s="97" t="str">
        <f t="shared" si="154"/>
        <v>A</v>
      </c>
      <c r="EL109" s="97" t="str">
        <f t="shared" si="154"/>
        <v>A</v>
      </c>
      <c r="EM109" s="97" t="str">
        <f t="shared" si="154"/>
        <v>A</v>
      </c>
      <c r="EN109" s="97" t="str">
        <f t="shared" si="154"/>
        <v>B</v>
      </c>
      <c r="EO109" s="97" t="str">
        <f t="shared" si="154"/>
        <v>A</v>
      </c>
      <c r="EP109" s="97" t="str">
        <f t="shared" si="154"/>
        <v>A</v>
      </c>
      <c r="EQ109" s="97" t="str">
        <f t="shared" si="154"/>
        <v>B</v>
      </c>
      <c r="ER109" s="97" t="str">
        <f t="shared" si="154"/>
        <v>B</v>
      </c>
      <c r="ES109" s="97" t="str">
        <f t="shared" si="154"/>
        <v>B</v>
      </c>
      <c r="ET109" s="97" t="str">
        <f t="shared" si="154"/>
        <v>B</v>
      </c>
      <c r="EU109" s="97" t="str">
        <f t="shared" si="154"/>
        <v>B</v>
      </c>
      <c r="EV109" s="97" t="str">
        <f t="shared" si="154"/>
        <v>B</v>
      </c>
      <c r="EW109" s="97" t="str">
        <f t="shared" si="154"/>
        <v>B</v>
      </c>
      <c r="EX109" s="97" t="str">
        <f t="shared" si="154"/>
        <v>B</v>
      </c>
      <c r="EY109" s="97" t="str">
        <f t="shared" si="154"/>
        <v>B</v>
      </c>
      <c r="EZ109" s="97" t="str">
        <f t="shared" si="154"/>
        <v>B</v>
      </c>
      <c r="FA109" s="97" t="str">
        <f t="shared" si="154"/>
        <v>B</v>
      </c>
      <c r="FB109" s="97" t="str">
        <f t="shared" si="154"/>
        <v>B</v>
      </c>
      <c r="FC109" s="97" t="str">
        <f t="shared" si="154"/>
        <v>B</v>
      </c>
      <c r="FD109" s="97" t="str">
        <f t="shared" si="154"/>
        <v>B</v>
      </c>
      <c r="FE109" s="97" t="str">
        <f t="shared" si="154"/>
        <v>B</v>
      </c>
      <c r="FF109" s="97" t="str">
        <f t="shared" si="154"/>
        <v>A</v>
      </c>
      <c r="FG109" s="97" t="str">
        <f t="shared" si="154"/>
        <v>A</v>
      </c>
      <c r="FH109" s="97" t="str">
        <f t="shared" si="154"/>
        <v>A</v>
      </c>
      <c r="FI109" s="97" t="str">
        <f t="shared" si="154"/>
        <v>A</v>
      </c>
      <c r="FJ109" s="97" t="str">
        <f t="shared" si="154"/>
        <v>A</v>
      </c>
      <c r="FK109" s="97" t="str">
        <f t="shared" si="154"/>
        <v>A</v>
      </c>
      <c r="FL109" s="97" t="str">
        <f t="shared" si="154"/>
        <v>B</v>
      </c>
      <c r="FM109" s="97" t="str">
        <f t="shared" si="154"/>
        <v>A</v>
      </c>
      <c r="FN109" s="97" t="str">
        <f t="shared" si="154"/>
        <v>A</v>
      </c>
      <c r="FO109" s="97" t="str">
        <f t="shared" si="154"/>
        <v>A</v>
      </c>
      <c r="FP109" s="97" t="str">
        <f t="shared" si="154"/>
        <v>B</v>
      </c>
      <c r="FQ109" s="97" t="str">
        <f t="shared" si="154"/>
        <v>B</v>
      </c>
      <c r="FR109" s="97" t="str">
        <f t="shared" si="154"/>
        <v>A</v>
      </c>
      <c r="FS109" s="97" t="str">
        <f t="shared" si="154"/>
        <v>A</v>
      </c>
      <c r="FT109" s="97" t="str">
        <f t="shared" si="154"/>
        <v>B</v>
      </c>
      <c r="FU109" s="97" t="str">
        <f t="shared" si="154"/>
        <v>B</v>
      </c>
      <c r="FV109" s="97" t="str">
        <f t="shared" si="154"/>
        <v>B</v>
      </c>
      <c r="FW109" s="97" t="str">
        <f t="shared" si="154"/>
        <v>B</v>
      </c>
      <c r="FX109" s="97" t="str">
        <f t="shared" si="154"/>
        <v>A</v>
      </c>
      <c r="FY109" s="97" t="str">
        <f t="shared" si="154"/>
        <v>B</v>
      </c>
      <c r="FZ109" s="97" t="str">
        <f t="shared" si="154"/>
        <v>A</v>
      </c>
      <c r="GA109" s="97" t="str">
        <f t="shared" si="154"/>
        <v>A</v>
      </c>
      <c r="GB109" s="97" t="str">
        <f t="shared" si="154"/>
        <v>A</v>
      </c>
      <c r="GC109" s="97" t="str">
        <f t="shared" si="154"/>
        <v>A</v>
      </c>
      <c r="GD109" s="97" t="str">
        <f t="shared" si="154"/>
        <v>A</v>
      </c>
      <c r="GE109" s="97" t="str">
        <f t="shared" si="154"/>
        <v>A</v>
      </c>
      <c r="GF109" s="97" t="str">
        <f t="shared" si="154"/>
        <v>A</v>
      </c>
      <c r="GG109" s="97" t="str">
        <f t="shared" si="154"/>
        <v>A</v>
      </c>
      <c r="GH109" s="97" t="str">
        <f t="shared" si="154"/>
        <v>B</v>
      </c>
      <c r="GI109" s="97" t="str">
        <f t="shared" si="154"/>
        <v>A</v>
      </c>
      <c r="GJ109" s="97" t="str">
        <f t="shared" si="154"/>
        <v>B</v>
      </c>
      <c r="GK109" s="97" t="str">
        <f t="shared" si="154"/>
        <v>A</v>
      </c>
      <c r="GL109" s="97" t="str">
        <f t="shared" si="154"/>
        <v>B</v>
      </c>
      <c r="GM109" s="97" t="str">
        <f t="shared" si="154"/>
        <v>B</v>
      </c>
      <c r="GN109" s="97" t="str">
        <f t="shared" si="154"/>
        <v>B</v>
      </c>
      <c r="GO109" s="97" t="str">
        <f t="shared" si="154"/>
        <v>B</v>
      </c>
      <c r="GP109" s="97" t="str">
        <f t="shared" si="154"/>
        <v>A</v>
      </c>
      <c r="GQ109" s="97" t="str">
        <f t="shared" si="154"/>
        <v>A</v>
      </c>
      <c r="GR109" s="97" t="str">
        <f t="shared" si="154"/>
        <v>A</v>
      </c>
      <c r="GS109" s="97" t="str">
        <f t="shared" si="154"/>
        <v>A</v>
      </c>
      <c r="GT109" s="97" t="str">
        <f t="shared" si="154"/>
        <v>A</v>
      </c>
      <c r="GU109" s="97" t="str">
        <f t="shared" si="154"/>
        <v>A</v>
      </c>
      <c r="GV109" s="97" t="str">
        <f t="shared" si="154"/>
        <v>A</v>
      </c>
      <c r="GW109" s="97" t="str">
        <f t="shared" si="154"/>
        <v>A</v>
      </c>
      <c r="GX109" s="97" t="str">
        <f t="shared" si="154"/>
        <v>A</v>
      </c>
      <c r="GY109" s="98"/>
      <c r="GZ109" s="97">
        <f t="shared" si="3"/>
        <v>50</v>
      </c>
      <c r="HA109" s="97">
        <f t="shared" si="4"/>
        <v>50</v>
      </c>
      <c r="HB109" s="90">
        <f t="shared" si="5"/>
        <v>100</v>
      </c>
      <c r="HC109" s="99"/>
      <c r="HD109" s="97">
        <f t="shared" si="6"/>
        <v>7</v>
      </c>
      <c r="HE109" s="97">
        <f t="shared" si="7"/>
        <v>5</v>
      </c>
      <c r="HF109" s="90">
        <f t="shared" si="8"/>
        <v>12</v>
      </c>
      <c r="HG109" s="99"/>
      <c r="HH109" s="97">
        <f t="shared" si="9"/>
        <v>6</v>
      </c>
      <c r="HI109" s="97">
        <f t="shared" si="10"/>
        <v>9</v>
      </c>
      <c r="HJ109" s="90">
        <f t="shared" si="11"/>
        <v>15</v>
      </c>
      <c r="HK109" s="99"/>
      <c r="HL109" s="97">
        <f t="shared" si="12"/>
        <v>6</v>
      </c>
      <c r="HM109" s="97">
        <f t="shared" si="13"/>
        <v>2</v>
      </c>
      <c r="HN109" s="90">
        <f t="shared" si="14"/>
        <v>8</v>
      </c>
      <c r="HO109" s="99"/>
      <c r="HP109" s="97">
        <f t="shared" si="15"/>
        <v>5</v>
      </c>
      <c r="HQ109" s="97">
        <f t="shared" si="16"/>
        <v>4</v>
      </c>
      <c r="HR109" s="90">
        <f t="shared" si="17"/>
        <v>9</v>
      </c>
      <c r="HS109" s="99"/>
      <c r="HT109" s="97">
        <f t="shared" si="18"/>
        <v>9</v>
      </c>
      <c r="HU109" s="97">
        <f t="shared" si="19"/>
        <v>10</v>
      </c>
      <c r="HV109" s="90">
        <f t="shared" si="20"/>
        <v>19</v>
      </c>
      <c r="HW109" s="99"/>
      <c r="HX109" s="97">
        <f t="shared" si="21"/>
        <v>3</v>
      </c>
      <c r="HY109" s="97">
        <f t="shared" si="22"/>
        <v>5</v>
      </c>
      <c r="HZ109" s="90">
        <f t="shared" si="23"/>
        <v>8</v>
      </c>
      <c r="IA109" s="99"/>
      <c r="IB109" s="97">
        <f t="shared" si="24"/>
        <v>5</v>
      </c>
      <c r="IC109" s="97">
        <f t="shared" si="25"/>
        <v>4</v>
      </c>
      <c r="ID109" s="90">
        <f t="shared" si="26"/>
        <v>9</v>
      </c>
      <c r="IE109" s="99"/>
      <c r="IF109" s="97">
        <f t="shared" si="27"/>
        <v>4</v>
      </c>
      <c r="IG109" s="97">
        <f t="shared" si="28"/>
        <v>4</v>
      </c>
      <c r="IH109" s="90">
        <f t="shared" si="29"/>
        <v>8</v>
      </c>
      <c r="II109" s="99"/>
      <c r="IJ109" s="97">
        <f t="shared" si="30"/>
        <v>3</v>
      </c>
      <c r="IK109" s="97">
        <f t="shared" si="31"/>
        <v>5</v>
      </c>
      <c r="IL109" s="90">
        <f t="shared" si="32"/>
        <v>8</v>
      </c>
      <c r="IM109" s="99"/>
      <c r="IN109" s="97">
        <f t="shared" si="33"/>
        <v>0</v>
      </c>
      <c r="IO109" s="97">
        <f t="shared" si="34"/>
        <v>1</v>
      </c>
      <c r="IP109" s="90">
        <f t="shared" si="35"/>
        <v>1</v>
      </c>
      <c r="IS109" s="100">
        <f t="shared" si="36"/>
        <v>12</v>
      </c>
      <c r="IT109" s="100">
        <f t="shared" si="37"/>
        <v>15</v>
      </c>
      <c r="IU109" s="100">
        <f t="shared" si="38"/>
        <v>8</v>
      </c>
      <c r="IV109" s="100">
        <f t="shared" si="39"/>
        <v>9</v>
      </c>
      <c r="IW109" s="100">
        <f t="shared" si="40"/>
        <v>19</v>
      </c>
      <c r="IX109" s="100">
        <f t="shared" si="41"/>
        <v>8</v>
      </c>
      <c r="IY109" s="100">
        <f t="shared" si="42"/>
        <v>9</v>
      </c>
      <c r="IZ109" s="100">
        <f t="shared" si="43"/>
        <v>8</v>
      </c>
      <c r="JA109" s="100">
        <f t="shared" si="44"/>
        <v>8</v>
      </c>
      <c r="JB109" s="101">
        <f t="shared" si="45"/>
        <v>1</v>
      </c>
      <c r="JC109" s="102">
        <f t="shared" si="46"/>
        <v>97</v>
      </c>
      <c r="JD109" s="67">
        <f t="shared" si="50"/>
        <v>0</v>
      </c>
      <c r="JE109" s="67">
        <f t="shared" si="47"/>
        <v>0</v>
      </c>
      <c r="JF109" s="67">
        <f t="shared" si="48"/>
        <v>0</v>
      </c>
    </row>
    <row r="110">
      <c r="A110" s="104">
        <f>IFERROR(__xludf.DUMMYFUNCTION("""COMPUTED_VALUE"""),45956.47832908564)</f>
        <v>45956.47833</v>
      </c>
      <c r="B110" s="105" t="str">
        <f>IFERROR(__xludf.DUMMYFUNCTION("""COMPUTED_VALUE"""),"Kamil Iskandar ")</f>
        <v>Kamil Iskandar </v>
      </c>
      <c r="C110" s="7" t="str">
        <f>IFERROR(__xludf.DUMMYFUNCTION("""COMPUTED_VALUE"""),"C250018")</f>
        <v>C250018</v>
      </c>
      <c r="D110" s="7" t="str">
        <f>IFERROR(__xludf.DUMMYFUNCTION("""COMPUTED_VALUE"""),"SMA")</f>
        <v>SMA</v>
      </c>
      <c r="E110" s="7" t="str">
        <f>IFERROR(__xludf.DUMMYFUNCTION("""COMPUTED_VALUE"""),"Ya")</f>
        <v>Ya</v>
      </c>
      <c r="F110" s="105" t="str">
        <f>IFERROR(__xludf.DUMMYFUNCTION("""COMPUTED_VALUE"""),"A Saya ingin mengerjakan segala tugas lebih baik daripada orang lain.")</f>
        <v>A Saya ingin mengerjakan segala tugas lebih baik daripada orang lain.</v>
      </c>
      <c r="G110" s="105" t="str">
        <f>IFERROR(__xludf.DUMMYFUNCTION("""COMPUTED_VALUE"""),"A Saya ingin setiap tulisan saya teliti, rapi, dan tersusun dengan baik.")</f>
        <v>A Saya ingin setiap tulisan saya teliti, rapi, dan tersusun dengan baik.</v>
      </c>
      <c r="H110" s="105" t="str">
        <f>IFERROR(__xludf.DUMMYFUNCTION("""COMPUTED_VALUE"""),"B Saya ingin menjadi orang yang diakui dalam suatu pekerjaan atau bidang khusus.")</f>
        <v>B Saya ingin menjadi orang yang diakui dalam suatu pekerjaan atau bidang khusus.</v>
      </c>
      <c r="I110" s="105" t="str">
        <f>IFERROR(__xludf.DUMMYFUNCTION("""COMPUTED_VALUE"""),"A Saya suka belajar keras pada tiap pelajaran yang saya hadapi.")</f>
        <v>A Saya suka belajar keras pada tiap pelajaran yang saya hadapi.</v>
      </c>
      <c r="J110" s="105" t="str">
        <f>IFERROR(__xludf.DUMMYFUNCTION("""COMPUTED_VALUE"""),"A Saya suka membantu teman-teman saya apabila mereka mengalami kesulitan.")</f>
        <v>A Saya suka membantu teman-teman saya apabila mereka mengalami kesulitan.</v>
      </c>
      <c r="K110" s="105" t="str">
        <f>IFERROR(__xludf.DUMMYFUNCTION("""COMPUTED_VALUE"""),"B Saya ingin mengatakan telah melakukan dengan baik sesuatu tugas yang sulit.")</f>
        <v>B Saya ingin mengatakan telah melakukan dengan baik sesuatu tugas yang sulit.</v>
      </c>
      <c r="L110" s="105" t="str">
        <f>IFERROR(__xludf.DUMMYFUNCTION("""COMPUTED_VALUE"""),"B Saya ingin mengatakan telah melakukan dengan baik sesuatu tugas yang sulit")</f>
        <v>B Saya ingin mengatakan telah melakukan dengan baik sesuatu tugas yang sulit</v>
      </c>
      <c r="M110" s="105" t="str">
        <f>IFERROR(__xludf.DUMMYFUNCTION("""COMPUTED_VALUE"""),"B Saya ingin mengerjakan segala tugas lebih baik daripada orang lain.")</f>
        <v>B Saya ingin mengerjakan segala tugas lebih baik daripada orang lain.</v>
      </c>
      <c r="N110" s="105" t="str">
        <f>IFERROR(__xludf.DUMMYFUNCTION("""COMPUTED_VALUE"""),"B Saya suka memecahkan persoalan yang sukar bagi orang lain.")</f>
        <v>B Saya suka memecahkan persoalan yang sukar bagi orang lain.</v>
      </c>
      <c r="O110" s="105" t="str">
        <f>IFERROR(__xludf.DUMMYFUNCTION("""COMPUTED_VALUE"""),"B Saya suka melakukan tugas sebaik mungkin.")</f>
        <v>B Saya suka melakukan tugas sebaik mungkin.</v>
      </c>
      <c r="P110" s="105" t="str">
        <f>IFERROR(__xludf.DUMMYFUNCTION("""COMPUTED_VALUE"""),"B Saya ingin setiap belajar itu teratur dan direncanakan.")</f>
        <v>B Saya ingin setiap belajar itu teratur dan direncanakan.</v>
      </c>
      <c r="Q110" s="105" t="str">
        <f>IFERROR(__xludf.DUMMYFUNCTION("""COMPUTED_VALUE"""),"B Saya merencanakan keperluan yang dibutuhkan sebelum bepergian.")</f>
        <v>B Saya merencanakan keperluan yang dibutuhkan sebelum bepergian.</v>
      </c>
      <c r="R110" s="105" t="str">
        <f>IFERROR(__xludf.DUMMYFUNCTION("""COMPUTED_VALUE"""),"B Saya suka barang-barang saya tersusun rapi dan teratur.")</f>
        <v>B Saya suka barang-barang saya tersusun rapi dan teratur.</v>
      </c>
      <c r="S110" s="105" t="str">
        <f>IFERROR(__xludf.DUMMYFUNCTION("""COMPUTED_VALUE"""),"B Saya suka membuat perencanaan sebelum memulai tugas yang sulit.")</f>
        <v>B Saya suka membuat perencanaan sebelum memulai tugas yang sulit.</v>
      </c>
      <c r="T110" s="105" t="str">
        <f>IFERROR(__xludf.DUMMYFUNCTION("""COMPUTED_VALUE"""),"B Saya ingin agar hidup saya teratur sesuai cita-cita saya.")</f>
        <v>B Saya ingin agar hidup saya teratur sesuai cita-cita saya.</v>
      </c>
      <c r="U110" s="105" t="str">
        <f>IFERROR(__xludf.DUMMYFUNCTION("""COMPUTED_VALUE"""),"A Saya suka memberikan bantuan kepada teman-teman saya.")</f>
        <v>A Saya suka memberikan bantuan kepada teman-teman saya.</v>
      </c>
      <c r="V110" s="105" t="str">
        <f>IFERROR(__xludf.DUMMYFUNCTION("""COMPUTED_VALUE"""),"B Saya suka belajar saya teratur dan ada waktu-waktu tertentu untuk belajar.")</f>
        <v>B Saya suka belajar saya teratur dan ada waktu-waktu tertentu untuk belajar.</v>
      </c>
      <c r="W110" s="105" t="str">
        <f>IFERROR(__xludf.DUMMYFUNCTION("""COMPUTED_VALUE"""),"A Saya suka melakukan kegiatan sesuai kondisi yang saya inginkan.")</f>
        <v>A Saya suka melakukan kegiatan sesuai kondisi yang saya inginkan.</v>
      </c>
      <c r="X110" s="105" t="str">
        <f>IFERROR(__xludf.DUMMYFUNCTION("""COMPUTED_VALUE"""),"A Saya suka merencanakan dan mengatur setiap apa yang harus saya lakukan.")</f>
        <v>A Saya suka merencanakan dan mengatur setiap apa yang harus saya lakukan.</v>
      </c>
      <c r="Y110" s="105" t="str">
        <f>IFERROR(__xludf.DUMMYFUNCTION("""COMPUTED_VALUE"""),"A Saya suka menyelesaikan tugas-tugas yang membutuhkan ketrampilan dan usaha.")</f>
        <v>A Saya suka menyelesaikan tugas-tugas yang membutuhkan ketrampilan dan usaha.</v>
      </c>
      <c r="Z110" s="105" t="str">
        <f>IFERROR(__xludf.DUMMYFUNCTION("""COMPUTED_VALUE"""),"A Saya ingin berhasil dengan belajar yang saya lakukan.")</f>
        <v>A Saya ingin berhasil dengan belajar yang saya lakukan.</v>
      </c>
      <c r="AA110" s="105" t="str">
        <f>IFERROR(__xludf.DUMMYFUNCTION("""COMPUTED_VALUE"""),"A Saya suka menyelesaikan tugas yang telah saya rencanakan.")</f>
        <v>A Saya suka menyelesaikan tugas yang telah saya rencanakan.</v>
      </c>
      <c r="AB110" s="105" t="str">
        <f>IFERROR(__xludf.DUMMYFUNCTION("""COMPUTED_VALUE"""),"B Saya ingin menyelesaikan pekerjaan satu persatu sebelum memulai yang lain.")</f>
        <v>B Saya ingin menyelesaikan pekerjaan satu persatu sebelum memulai yang lain.</v>
      </c>
      <c r="AC110" s="105" t="str">
        <f>IFERROR(__xludf.DUMMYFUNCTION("""COMPUTED_VALUE"""),"A Saya suka menyelesaikan setiap tugas meskipun membutuhkan waktu lama.")</f>
        <v>A Saya suka menyelesaikan setiap tugas meskipun membutuhkan waktu lama.</v>
      </c>
      <c r="AD110" s="105" t="str">
        <f>IFERROR(__xludf.DUMMYFUNCTION("""COMPUTED_VALUE"""),"A Saya suka bermurah hati terhadap teman-teman saya.")</f>
        <v>A Saya suka bermurah hati terhadap teman-teman saya.</v>
      </c>
      <c r="AE110" s="105" t="str">
        <f>IFERROR(__xludf.DUMMYFUNCTION("""COMPUTED_VALUE"""),"B Saya suka melakukan hal-hal yang dianggap orang lain tidak sesuai.")</f>
        <v>B Saya suka melakukan hal-hal yang dianggap orang lain tidak sesuai.</v>
      </c>
      <c r="AF110" s="105" t="str">
        <f>IFERROR(__xludf.DUMMYFUNCTION("""COMPUTED_VALUE"""),"B Saya suka melakukan hal-hal dengan cara saya sendiri.")</f>
        <v>B Saya suka melakukan hal-hal dengan cara saya sendiri.</v>
      </c>
      <c r="AG110" s="105" t="str">
        <f>IFERROR(__xludf.DUMMYFUNCTION("""COMPUTED_VALUE"""),"A Saya mengajari orang lain bagaimana mereka harus melakukan pekerjaan mereka.")</f>
        <v>A Saya mengajari orang lain bagaimana mereka harus melakukan pekerjaan mereka.</v>
      </c>
      <c r="AH110" s="105" t="str">
        <f>IFERROR(__xludf.DUMMYFUNCTION("""COMPUTED_VALUE"""),"B Saya ingin merasa bebas untuk melakukan apa yang saya kehendaki.")</f>
        <v>B Saya ingin merasa bebas untuk melakukan apa yang saya kehendaki.</v>
      </c>
      <c r="AI110" s="105" t="str">
        <f>IFERROR(__xludf.DUMMYFUNCTION("""COMPUTED_VALUE"""),"B Saya suka melakukan kegiatan sesuai kondisi yang saya inginkan.")</f>
        <v>B Saya suka melakukan kegiatan sesuai kondisi yang saya inginkan.</v>
      </c>
      <c r="AJ110" s="105" t="str">
        <f>IFERROR(__xludf.DUMMYFUNCTION("""COMPUTED_VALUE"""),"B Saya suka bertahan menghadapi satu masalah meskipun belum tentu berhasil.")</f>
        <v>B Saya suka bertahan menghadapi satu masalah meskipun belum tentu berhasil.</v>
      </c>
      <c r="AK110" s="105" t="str">
        <f>IFERROR(__xludf.DUMMYFUNCTION("""COMPUTED_VALUE"""),"B Bila saya harus melakukan suatu tugas, saya ingin mengerjakan sampai selesai.")</f>
        <v>B Bila saya harus melakukan suatu tugas, saya ingin mengerjakan sampai selesai.</v>
      </c>
      <c r="AL110" s="105" t="str">
        <f>IFERROR(__xludf.DUMMYFUNCTION("""COMPUTED_VALUE"""),"B Saya ingin menghindarkan gangguan bila saya sedang belajar.")</f>
        <v>B Saya ingin menghindarkan gangguan bila saya sedang belajar.</v>
      </c>
      <c r="AM110" s="105" t="str">
        <f>IFERROR(__xludf.DUMMYFUNCTION("""COMPUTED_VALUE"""),"A Saya ingin teman-teman saya merasa kasihan pada saya apabila saya sakit.")</f>
        <v>A Saya ingin teman-teman saya merasa kasihan pada saya apabila saya sakit.</v>
      </c>
      <c r="AN110" s="105" t="str">
        <f>IFERROR(__xludf.DUMMYFUNCTION("""COMPUTED_VALUE"""),"A Saya tidak suka pada orang yang semena-mena.")</f>
        <v>A Saya tidak suka pada orang yang semena-mena.</v>
      </c>
      <c r="AO110" s="105" t="str">
        <f>IFERROR(__xludf.DUMMYFUNCTION("""COMPUTED_VALUE"""),"A Saya suka berlaku sangat ramah terhadap teman-teman saya.")</f>
        <v>A Saya suka berlaku sangat ramah terhadap teman-teman saya.</v>
      </c>
      <c r="AP110" s="105" t="str">
        <f>IFERROR(__xludf.DUMMYFUNCTION("""COMPUTED_VALUE"""),"A Saya ingin mengerjakannya tugas sampai selesai.")</f>
        <v>A Saya ingin mengerjakannya tugas sampai selesai.</v>
      </c>
      <c r="AQ110" s="105" t="str">
        <f>IFERROR(__xludf.DUMMYFUNCTION("""COMPUTED_VALUE"""),"A Saya ingin bisa mengerjakan segala sesuatu lebih baik daripada orang-orang lain.")</f>
        <v>A Saya ingin bisa mengerjakan segala sesuatu lebih baik daripada orang-orang lain.</v>
      </c>
      <c r="AR110" s="105" t="str">
        <f>IFERROR(__xludf.DUMMYFUNCTION("""COMPUTED_VALUE"""),"B Saya suka belajar keras pada tiap pelajaran yang saya hadapi.")</f>
        <v>B Saya suka belajar keras pada tiap pelajaran yang saya hadapi.</v>
      </c>
      <c r="AS110" s="105" t="str">
        <f>IFERROR(__xludf.DUMMYFUNCTION("""COMPUTED_VALUE"""),"A Saya ingin dapat menyelesaikan persoalan yang dianggap sukar bagi orang lain.")</f>
        <v>A Saya ingin dapat menyelesaikan persoalan yang dianggap sukar bagi orang lain.</v>
      </c>
      <c r="AT110" s="105" t="str">
        <f>IFERROR(__xludf.DUMMYFUNCTION("""COMPUTED_VALUE"""),"B Saya suka membantu orang lain yang menurut saya perlu dikasihani.")</f>
        <v>B Saya suka membantu orang lain yang menurut saya perlu dikasihani.</v>
      </c>
      <c r="AU110" s="105" t="str">
        <f>IFERROR(__xludf.DUMMYFUNCTION("""COMPUTED_VALUE"""),"A Saya ingin menyelesaikan pekerjaan satu persatu sebelum memulai yang lain.")</f>
        <v>A Saya ingin menyelesaikan pekerjaan satu persatu sebelum memulai yang lain.</v>
      </c>
      <c r="AV110" s="105" t="str">
        <f>IFERROR(__xludf.DUMMYFUNCTION("""COMPUTED_VALUE"""),"B Saya suka menolong teman-teman saya.")</f>
        <v>B Saya suka menolong teman-teman saya.</v>
      </c>
      <c r="AW110" s="105" t="str">
        <f>IFERROR(__xludf.DUMMYFUNCTION("""COMPUTED_VALUE"""),"A Saya ingin mengerjakan tugas sampai selesai.")</f>
        <v>A Saya ingin mengerjakan tugas sampai selesai.</v>
      </c>
      <c r="AX110" s="105" t="str">
        <f>IFERROR(__xludf.DUMMYFUNCTION("""COMPUTED_VALUE"""),"B Saya suka memaafkan teman-teman saya yang menyakiti hati saya.")</f>
        <v>B Saya suka memaafkan teman-teman saya yang menyakiti hati saya.</v>
      </c>
      <c r="AY110" s="105" t="str">
        <f>IFERROR(__xludf.DUMMYFUNCTION("""COMPUTED_VALUE"""),"B Saya suka menolong teman-teman saya apabila mereka dalam kesulitan.")</f>
        <v>B Saya suka menolong teman-teman saya apabila mereka dalam kesulitan.</v>
      </c>
      <c r="AZ110" s="105" t="str">
        <f>IFERROR(__xludf.DUMMYFUNCTION("""COMPUTED_VALUE"""),"A Saya ingin agar teman-teman saya bersimpati dan menghibur saya bila saya sedih.")</f>
        <v>A Saya ingin agar teman-teman saya bersimpati dan menghibur saya bila saya sedih.</v>
      </c>
      <c r="BA110" s="105" t="str">
        <f>IFERROR(__xludf.DUMMYFUNCTION("""COMPUTED_VALUE"""),"A Saya suka menyatakan pendapat saya tentang berbagai hal.")</f>
        <v>A Saya suka menyatakan pendapat saya tentang berbagai hal.</v>
      </c>
      <c r="BB110" s="105" t="str">
        <f>IFERROR(__xludf.DUMMYFUNCTION("""COMPUTED_VALUE"""),"B Saya suka bermurah hati terhadap teman-teman saya.")</f>
        <v>B Saya suka bermurah hati terhadap teman-teman saya.</v>
      </c>
      <c r="BC110" s="105" t="str">
        <f>IFERROR(__xludf.DUMMYFUNCTION("""COMPUTED_VALUE"""),"B Saya suka membantu orang lain yang menurut saya perlu dikasihani.")</f>
        <v>B Saya suka membantu orang lain yang menurut saya perlu dikasihani.</v>
      </c>
      <c r="BD110" s="105" t="str">
        <f>IFERROR(__xludf.DUMMYFUNCTION("""COMPUTED_VALUE"""),"B Saya suka bersikukuh dengan pendirian saya.")</f>
        <v>B Saya suka bersikukuh dengan pendirian saya.</v>
      </c>
      <c r="BE110" s="105" t="str">
        <f>IFERROR(__xludf.DUMMYFUNCTION("""COMPUTED_VALUE"""),"B Saya ingin orang lain melakukan apa yang saya kehendaki.")</f>
        <v>B Saya ingin orang lain melakukan apa yang saya kehendaki.</v>
      </c>
      <c r="BF110" s="105" t="str">
        <f>IFERROR(__xludf.DUMMYFUNCTION("""COMPUTED_VALUE"""),"B Bila saya dalam kelompok, saya ingin menentukan apa yang akan kita lakukan.")</f>
        <v>B Bila saya dalam kelompok, saya ingin menentukan apa yang akan kita lakukan.</v>
      </c>
      <c r="BG110" s="105" t="str">
        <f>IFERROR(__xludf.DUMMYFUNCTION("""COMPUTED_VALUE"""),"B Saya suka mengarahkan kepada orang lain apa yang harus dilakukan.")</f>
        <v>B Saya suka mengarahkan kepada orang lain apa yang harus dilakukan.</v>
      </c>
      <c r="BH110" s="105" t="str">
        <f>IFERROR(__xludf.DUMMYFUNCTION("""COMPUTED_VALUE"""),"A Saya suka menghindar dari situasi yang tidak saya harapkan.")</f>
        <v>A Saya suka menghindar dari situasi yang tidak saya harapkan.</v>
      </c>
      <c r="BI110" s="105" t="str">
        <f>IFERROR(__xludf.DUMMYFUNCTION("""COMPUTED_VALUE"""),"A Saya suka bermurah hati terhadap teman-teman saya.")</f>
        <v>A Saya suka bermurah hati terhadap teman-teman saya.</v>
      </c>
      <c r="BJ110" s="105" t="str">
        <f>IFERROR(__xludf.DUMMYFUNCTION("""COMPUTED_VALUE"""),"A Saya ingin mengerjakan tugas sampai selesai.")</f>
        <v>A Saya ingin mengerjakan tugas sampai selesai.</v>
      </c>
      <c r="BK110" s="105" t="str">
        <f>IFERROR(__xludf.DUMMYFUNCTION("""COMPUTED_VALUE"""),"A Saya ingin menyelesaikan pekerjaan satu persatu sebelum memulai yang lain.")</f>
        <v>A Saya ingin menyelesaikan pekerjaan satu persatu sebelum memulai yang lain.</v>
      </c>
      <c r="BL110" s="105" t="str">
        <f>IFERROR(__xludf.DUMMYFUNCTION("""COMPUTED_VALUE"""),"A Saya suka belajar saya teratur dan ada waktu-waktu tertentu untuk belajar.")</f>
        <v>A Saya suka belajar saya teratur dan ada waktu-waktu tertentu untuk belajar.</v>
      </c>
      <c r="BM110" s="105" t="str">
        <f>IFERROR(__xludf.DUMMYFUNCTION("""COMPUTED_VALUE"""),"A Saya suka melakukan pekerjaan sebaik mungkin.")</f>
        <v>A Saya suka melakukan pekerjaan sebaik mungkin.</v>
      </c>
      <c r="BN110" s="105" t="str">
        <f>IFERROR(__xludf.DUMMYFUNCTION("""COMPUTED_VALUE"""),"A Saya suka mengerjakan teka-teki atau memecahkan persoalan sampai selesai.")</f>
        <v>A Saya suka mengerjakan teka-teki atau memecahkan persoalan sampai selesai.</v>
      </c>
      <c r="BO110" s="105" t="str">
        <f>IFERROR(__xludf.DUMMYFUNCTION("""COMPUTED_VALUE"""),"A Saya suka membuat perencanaan sebelum memulai belajar yang sulit.")</f>
        <v>A Saya suka membuat perencanaan sebelum memulai belajar yang sulit.</v>
      </c>
      <c r="BP110" s="105" t="str">
        <f>IFERROR(__xludf.DUMMYFUNCTION("""COMPUTED_VALUE"""),"A Saya ingin menyelesaikan sesuatu yang sangat penting artinya.")</f>
        <v>A Saya ingin menyelesaikan sesuatu yang sangat penting artinya.</v>
      </c>
      <c r="BQ110" s="105" t="str">
        <f>IFERROR(__xludf.DUMMYFUNCTION("""COMPUTED_VALUE"""),"A Saya ingin mengerjakannya tugas sampai selesai.")</f>
        <v>A Saya ingin mengerjakannya tugas sampai selesai.</v>
      </c>
      <c r="BR110" s="105" t="str">
        <f>IFERROR(__xludf.DUMMYFUNCTION("""COMPUTED_VALUE"""),"A Saya suka memaafkan teman-teman saya yang menyakiti hati saya.")</f>
        <v>A Saya suka memaafkan teman-teman saya yang menyakiti hati saya.</v>
      </c>
      <c r="BS110" s="105" t="str">
        <f>IFERROR(__xludf.DUMMYFUNCTION("""COMPUTED_VALUE"""),"B Saya ingin teman-teman saya membantu saya bila saya mengalami kesulitan")</f>
        <v>B Saya ingin teman-teman saya membantu saya bila saya mengalami kesulitan</v>
      </c>
      <c r="BT110" s="105" t="str">
        <f>IFERROR(__xludf.DUMMYFUNCTION("""COMPUTED_VALUE"""),"B Saya ingin teman-teman banyak menunjukkan rasa sayang mereka terhadap saya.")</f>
        <v>B Saya ingin teman-teman banyak menunjukkan rasa sayang mereka terhadap saya.</v>
      </c>
      <c r="BU110" s="105" t="str">
        <f>IFERROR(__xludf.DUMMYFUNCTION("""COMPUTED_VALUE"""),"A Saya kadang-kadang suka melakukan hal-hal yang dapat dipuji oleh orang lain.")</f>
        <v>A Saya kadang-kadang suka melakukan hal-hal yang dapat dipuji oleh orang lain.</v>
      </c>
      <c r="BV110" s="105" t="str">
        <f>IFERROR(__xludf.DUMMYFUNCTION("""COMPUTED_VALUE"""),"B Saya ingin teman-teman dengan gembira memberikan pertolongan kepada saya.")</f>
        <v>B Saya ingin teman-teman dengan gembira memberikan pertolongan kepada saya.</v>
      </c>
      <c r="BW110" s="105" t="str">
        <f>IFERROR(__xludf.DUMMYFUNCTION("""COMPUTED_VALUE"""),"B Saya ingin diperlakukan dengan baik oleh teman-teman saya.")</f>
        <v>B Saya ingin diperlakukan dengan baik oleh teman-teman saya.</v>
      </c>
      <c r="BX110" s="105" t="str">
        <f>IFERROR(__xludf.DUMMYFUNCTION("""COMPUTED_VALUE"""),"B Saya kadang-kadang suka melakukan hal-hal yang dapat dipuji oleh orang lain.")</f>
        <v>B Saya kadang-kadang suka melakukan hal-hal yang dapat dipuji oleh orang lain.</v>
      </c>
      <c r="BY110" s="105" t="str">
        <f>IFERROR(__xludf.DUMMYFUNCTION("""COMPUTED_VALUE"""),"B Saya ingin orang lain memperhatikan dan berkomentar tentang penampilan saya.")</f>
        <v>B Saya ingin orang lain memperhatikan dan berkomentar tentang penampilan saya.</v>
      </c>
      <c r="BZ110" s="105" t="str">
        <f>IFERROR(__xludf.DUMMYFUNCTION("""COMPUTED_VALUE"""),"B Saya suka diperhatikan, apabila saya ada di dalam suatu kelompok.")</f>
        <v>B Saya suka diperhatikan, apabila saya ada di dalam suatu kelompok.</v>
      </c>
      <c r="CA110" s="105" t="str">
        <f>IFERROR(__xludf.DUMMYFUNCTION("""COMPUTED_VALUE"""),"A Saya ingin teman-teman dengan gembira memberikan pertolongan kepada saya.")</f>
        <v>A Saya ingin teman-teman dengan gembira memberikan pertolongan kepada saya.</v>
      </c>
      <c r="CB110" s="105" t="str">
        <f>IFERROR(__xludf.DUMMYFUNCTION("""COMPUTED_VALUE"""),"A Saya suka menghindar dari tanggung jawab yang tidak saya inginkan.")</f>
        <v>A Saya suka menghindar dari tanggung jawab yang tidak saya inginkan.</v>
      </c>
      <c r="CC110" s="105" t="str">
        <f>IFERROR(__xludf.DUMMYFUNCTION("""COMPUTED_VALUE"""),"A Apabila saya berkumpul dalam kelompok, saya ingin dihargai teman-teman.")</f>
        <v>A Apabila saya berkumpul dalam kelompok, saya ingin dihargai teman-teman.</v>
      </c>
      <c r="CD110" s="105" t="str">
        <f>IFERROR(__xludf.DUMMYFUNCTION("""COMPUTED_VALUE"""),"A Saya suka menyelesaikan setiap tugas meskipun membutuhkan waktu lama.")</f>
        <v>A Saya suka menyelesaikan setiap tugas meskipun membutuhkan waktu lama.</v>
      </c>
      <c r="CE110" s="105" t="str">
        <f>IFERROR(__xludf.DUMMYFUNCTION("""COMPUTED_VALUE"""),"A Saya suka menyelesaikan setiap tugas belajar yang telah saya mulai.")</f>
        <v>A Saya suka menyelesaikan setiap tugas belajar yang telah saya mulai.</v>
      </c>
      <c r="CF110" s="105" t="str">
        <f>IFERROR(__xludf.DUMMYFUNCTION("""COMPUTED_VALUE"""),"A Saya ingin agar hidup saya teratur sesuai cita-cita saya.")</f>
        <v>A Saya ingin agar hidup saya teratur sesuai cita-cita saya.</v>
      </c>
      <c r="CG110" s="105" t="str">
        <f>IFERROR(__xludf.DUMMYFUNCTION("""COMPUTED_VALUE"""),"A Saya ingin berhasil dalam apa yang saya lakukan.")</f>
        <v>A Saya ingin berhasil dalam apa yang saya lakukan.</v>
      </c>
      <c r="CH110" s="105" t="str">
        <f>IFERROR(__xludf.DUMMYFUNCTION("""COMPUTED_VALUE"""),"A Saya ingin bisa melakukan dengan baik sesuatu pekerjaan sulit.")</f>
        <v>A Saya ingin bisa melakukan dengan baik sesuatu pekerjaan sulit.</v>
      </c>
      <c r="CI110" s="105" t="str">
        <f>IFERROR(__xludf.DUMMYFUNCTION("""COMPUTED_VALUE"""),"A Saya suka belajar saya teratur dan ada waktu-waktu tertentu untuk belajar.")</f>
        <v>A Saya suka belajar saya teratur dan ada waktu-waktu tertentu untuk belajar.</v>
      </c>
      <c r="CJ110" s="105" t="str">
        <f>IFERROR(__xludf.DUMMYFUNCTION("""COMPUTED_VALUE"""),"A Saya ingin tidak tergantung dari orang lain terhadap apa yang akan saya lakukan.")</f>
        <v>A Saya ingin tidak tergantung dari orang lain terhadap apa yang akan saya lakukan.</v>
      </c>
      <c r="CK110" s="105" t="str">
        <f>IFERROR(__xludf.DUMMYFUNCTION("""COMPUTED_VALUE"""),"A Saya suka bertahan menghadapi satu masalah, meskipun belum tentu berhasil.")</f>
        <v>A Saya suka bertahan menghadapi satu masalah, meskipun belum tentu berhasil.</v>
      </c>
      <c r="CL110" s="105" t="str">
        <f>IFERROR(__xludf.DUMMYFUNCTION("""COMPUTED_VALUE"""),"A Saya suka menolong teman-teman saya, apabila mereka dalam kesulitan.")</f>
        <v>A Saya suka menolong teman-teman saya, apabila mereka dalam kesulitan.</v>
      </c>
      <c r="CM110" s="105" t="str">
        <f>IFERROR(__xludf.DUMMYFUNCTION("""COMPUTED_VALUE"""),"B Saya merasa kagum pada seseorang.")</f>
        <v>B Saya merasa kagum pada seseorang.</v>
      </c>
      <c r="CN110" s="105" t="str">
        <f>IFERROR(__xludf.DUMMYFUNCTION("""COMPUTED_VALUE"""),"A Saya ingin diperlakukan dengan baik oleh teman-teman saya.")</f>
        <v>A Saya ingin diperlakukan dengan baik oleh teman-teman saya.</v>
      </c>
      <c r="CO110" s="105" t="str">
        <f>IFERROR(__xludf.DUMMYFUNCTION("""COMPUTED_VALUE"""),"B Saya suka memuji orang yang saya kagumi.")</f>
        <v>B Saya suka memuji orang yang saya kagumi.</v>
      </c>
      <c r="CP110" s="105" t="str">
        <f>IFERROR(__xludf.DUMMYFUNCTION("""COMPUTED_VALUE"""),"B Saya ingin dianggap menarik oleh orang lain.")</f>
        <v>B Saya ingin dianggap menarik oleh orang lain.</v>
      </c>
      <c r="CQ110" s="105" t="str">
        <f>IFERROR(__xludf.DUMMYFUNCTION("""COMPUTED_VALUE"""),"B Saya merasa kagum pada seseorang.")</f>
        <v>B Saya merasa kagum pada seseorang.</v>
      </c>
      <c r="CR110" s="105" t="str">
        <f>IFERROR(__xludf.DUMMYFUNCTION("""COMPUTED_VALUE"""),"B Saya rasanya ingin mengecam seseorang bila orang itu menjengkelkan.")</f>
        <v>B Saya rasanya ingin mengecam seseorang bila orang itu menjengkelkan.</v>
      </c>
      <c r="CS110" s="105" t="str">
        <f>IFERROR(__xludf.DUMMYFUNCTION("""COMPUTED_VALUE"""),"B Saya rasanya ingin membalas dendam bila seseorang menghina saya.")</f>
        <v>B Saya rasanya ingin membalas dendam bila seseorang menghina saya.</v>
      </c>
      <c r="CT110" s="105" t="str">
        <f>IFERROR(__xludf.DUMMYFUNCTION("""COMPUTED_VALUE"""),"B Saya saat marah rasanya ingin melemparkan dan merusak barang-barang.")</f>
        <v>B Saya saat marah rasanya ingin melemparkan dan merusak barang-barang.</v>
      </c>
      <c r="CU110" s="105" t="str">
        <f>IFERROR(__xludf.DUMMYFUNCTION("""COMPUTED_VALUE"""),"A Saya ingin diperlakukan dengan ramah oleh teman-teman saya.")</f>
        <v>A Saya ingin diperlakukan dengan ramah oleh teman-teman saya.</v>
      </c>
      <c r="CV110" s="105" t="str">
        <f>IFERROR(__xludf.DUMMYFUNCTION("""COMPUTED_VALUE"""),"A Saya ingin ditunjuk atau dipilih sebagai ketua dalam suatu kelompok.")</f>
        <v>A Saya ingin ditunjuk atau dipilih sebagai ketua dalam suatu kelompok.</v>
      </c>
      <c r="CW110" s="105" t="str">
        <f>IFERROR(__xludf.DUMMYFUNCTION("""COMPUTED_VALUE"""),"A Saya suka menolong teman-teman saya, apabila mereka dalam kesulitan.")</f>
        <v>A Saya suka menolong teman-teman saya, apabila mereka dalam kesulitan.</v>
      </c>
      <c r="CX110" s="105" t="str">
        <f>IFERROR(__xludf.DUMMYFUNCTION("""COMPUTED_VALUE"""),"A Saya suka belajar sampai malam untuk menyelesaikan suatu tugas.")</f>
        <v>A Saya suka belajar sampai malam untuk menyelesaikan suatu tugas.</v>
      </c>
      <c r="CY110" s="105" t="str">
        <f>IFERROR(__xludf.DUMMYFUNCTION("""COMPUTED_VALUE"""),"A Saya ingin tidak tergantung dari orang lain terhadap apa yang akan saya lakukan.")</f>
        <v>A Saya ingin tidak tergantung dari orang lain terhadap apa yang akan saya lakukan.</v>
      </c>
      <c r="CZ110" s="105" t="str">
        <f>IFERROR(__xludf.DUMMYFUNCTION("""COMPUTED_VALUE"""),"A Saya suka merencanakan dan mengatur setiap pekerjaan yang harus saya lakukan.")</f>
        <v>A Saya suka merencanakan dan mengatur setiap pekerjaan yang harus saya lakukan.</v>
      </c>
      <c r="DA110" s="105" t="str">
        <f>IFERROR(__xludf.DUMMYFUNCTION("""COMPUTED_VALUE"""),"A Saya ingin melakukan apa saja sebaik mungkin.")</f>
        <v>A Saya ingin melakukan apa saja sebaik mungkin.</v>
      </c>
      <c r="DB110" s="89" t="s">
        <v>23</v>
      </c>
      <c r="DC110" s="97" t="str">
        <f t="shared" ref="DC110:GX110" si="155">LEFT(F110,1)</f>
        <v>A</v>
      </c>
      <c r="DD110" s="97" t="str">
        <f t="shared" si="155"/>
        <v>A</v>
      </c>
      <c r="DE110" s="97" t="str">
        <f t="shared" si="155"/>
        <v>B</v>
      </c>
      <c r="DF110" s="97" t="str">
        <f t="shared" si="155"/>
        <v>A</v>
      </c>
      <c r="DG110" s="97" t="str">
        <f t="shared" si="155"/>
        <v>A</v>
      </c>
      <c r="DH110" s="97" t="str">
        <f t="shared" si="155"/>
        <v>B</v>
      </c>
      <c r="DI110" s="97" t="str">
        <f t="shared" si="155"/>
        <v>B</v>
      </c>
      <c r="DJ110" s="97" t="str">
        <f t="shared" si="155"/>
        <v>B</v>
      </c>
      <c r="DK110" s="97" t="str">
        <f t="shared" si="155"/>
        <v>B</v>
      </c>
      <c r="DL110" s="97" t="str">
        <f t="shared" si="155"/>
        <v>B</v>
      </c>
      <c r="DM110" s="97" t="str">
        <f t="shared" si="155"/>
        <v>B</v>
      </c>
      <c r="DN110" s="97" t="str">
        <f t="shared" si="155"/>
        <v>B</v>
      </c>
      <c r="DO110" s="97" t="str">
        <f t="shared" si="155"/>
        <v>B</v>
      </c>
      <c r="DP110" s="97" t="str">
        <f t="shared" si="155"/>
        <v>B</v>
      </c>
      <c r="DQ110" s="97" t="str">
        <f t="shared" si="155"/>
        <v>B</v>
      </c>
      <c r="DR110" s="97" t="str">
        <f t="shared" si="155"/>
        <v>A</v>
      </c>
      <c r="DS110" s="97" t="str">
        <f t="shared" si="155"/>
        <v>B</v>
      </c>
      <c r="DT110" s="97" t="str">
        <f t="shared" si="155"/>
        <v>A</v>
      </c>
      <c r="DU110" s="97" t="str">
        <f t="shared" si="155"/>
        <v>A</v>
      </c>
      <c r="DV110" s="97" t="str">
        <f t="shared" si="155"/>
        <v>A</v>
      </c>
      <c r="DW110" s="97" t="str">
        <f t="shared" si="155"/>
        <v>A</v>
      </c>
      <c r="DX110" s="97" t="str">
        <f t="shared" si="155"/>
        <v>A</v>
      </c>
      <c r="DY110" s="97" t="str">
        <f t="shared" si="155"/>
        <v>B</v>
      </c>
      <c r="DZ110" s="97" t="str">
        <f t="shared" si="155"/>
        <v>A</v>
      </c>
      <c r="EA110" s="97" t="str">
        <f t="shared" si="155"/>
        <v>A</v>
      </c>
      <c r="EB110" s="97" t="str">
        <f t="shared" si="155"/>
        <v>B</v>
      </c>
      <c r="EC110" s="97" t="str">
        <f t="shared" si="155"/>
        <v>B</v>
      </c>
      <c r="ED110" s="97" t="str">
        <f t="shared" si="155"/>
        <v>A</v>
      </c>
      <c r="EE110" s="97" t="str">
        <f t="shared" si="155"/>
        <v>B</v>
      </c>
      <c r="EF110" s="97" t="str">
        <f t="shared" si="155"/>
        <v>B</v>
      </c>
      <c r="EG110" s="97" t="str">
        <f t="shared" si="155"/>
        <v>B</v>
      </c>
      <c r="EH110" s="97" t="str">
        <f t="shared" si="155"/>
        <v>B</v>
      </c>
      <c r="EI110" s="97" t="str">
        <f t="shared" si="155"/>
        <v>B</v>
      </c>
      <c r="EJ110" s="97" t="str">
        <f t="shared" si="155"/>
        <v>A</v>
      </c>
      <c r="EK110" s="97" t="str">
        <f t="shared" si="155"/>
        <v>A</v>
      </c>
      <c r="EL110" s="97" t="str">
        <f t="shared" si="155"/>
        <v>A</v>
      </c>
      <c r="EM110" s="97" t="str">
        <f t="shared" si="155"/>
        <v>A</v>
      </c>
      <c r="EN110" s="97" t="str">
        <f t="shared" si="155"/>
        <v>A</v>
      </c>
      <c r="EO110" s="97" t="str">
        <f t="shared" si="155"/>
        <v>B</v>
      </c>
      <c r="EP110" s="97" t="str">
        <f t="shared" si="155"/>
        <v>A</v>
      </c>
      <c r="EQ110" s="97" t="str">
        <f t="shared" si="155"/>
        <v>B</v>
      </c>
      <c r="ER110" s="97" t="str">
        <f t="shared" si="155"/>
        <v>A</v>
      </c>
      <c r="ES110" s="97" t="str">
        <f t="shared" si="155"/>
        <v>B</v>
      </c>
      <c r="ET110" s="97" t="str">
        <f t="shared" si="155"/>
        <v>A</v>
      </c>
      <c r="EU110" s="97" t="str">
        <f t="shared" si="155"/>
        <v>B</v>
      </c>
      <c r="EV110" s="97" t="str">
        <f t="shared" si="155"/>
        <v>B</v>
      </c>
      <c r="EW110" s="97" t="str">
        <f t="shared" si="155"/>
        <v>A</v>
      </c>
      <c r="EX110" s="97" t="str">
        <f t="shared" si="155"/>
        <v>A</v>
      </c>
      <c r="EY110" s="97" t="str">
        <f t="shared" si="155"/>
        <v>B</v>
      </c>
      <c r="EZ110" s="97" t="str">
        <f t="shared" si="155"/>
        <v>B</v>
      </c>
      <c r="FA110" s="97" t="str">
        <f t="shared" si="155"/>
        <v>B</v>
      </c>
      <c r="FB110" s="97" t="str">
        <f t="shared" si="155"/>
        <v>B</v>
      </c>
      <c r="FC110" s="97" t="str">
        <f t="shared" si="155"/>
        <v>B</v>
      </c>
      <c r="FD110" s="97" t="str">
        <f t="shared" si="155"/>
        <v>B</v>
      </c>
      <c r="FE110" s="97" t="str">
        <f t="shared" si="155"/>
        <v>A</v>
      </c>
      <c r="FF110" s="97" t="str">
        <f t="shared" si="155"/>
        <v>A</v>
      </c>
      <c r="FG110" s="97" t="str">
        <f t="shared" si="155"/>
        <v>A</v>
      </c>
      <c r="FH110" s="97" t="str">
        <f t="shared" si="155"/>
        <v>A</v>
      </c>
      <c r="FI110" s="97" t="str">
        <f t="shared" si="155"/>
        <v>A</v>
      </c>
      <c r="FJ110" s="97" t="str">
        <f t="shared" si="155"/>
        <v>A</v>
      </c>
      <c r="FK110" s="97" t="str">
        <f t="shared" si="155"/>
        <v>A</v>
      </c>
      <c r="FL110" s="97" t="str">
        <f t="shared" si="155"/>
        <v>A</v>
      </c>
      <c r="FM110" s="97" t="str">
        <f t="shared" si="155"/>
        <v>A</v>
      </c>
      <c r="FN110" s="97" t="str">
        <f t="shared" si="155"/>
        <v>A</v>
      </c>
      <c r="FO110" s="97" t="str">
        <f t="shared" si="155"/>
        <v>A</v>
      </c>
      <c r="FP110" s="97" t="str">
        <f t="shared" si="155"/>
        <v>B</v>
      </c>
      <c r="FQ110" s="97" t="str">
        <f t="shared" si="155"/>
        <v>B</v>
      </c>
      <c r="FR110" s="97" t="str">
        <f t="shared" si="155"/>
        <v>A</v>
      </c>
      <c r="FS110" s="97" t="str">
        <f t="shared" si="155"/>
        <v>B</v>
      </c>
      <c r="FT110" s="97" t="str">
        <f t="shared" si="155"/>
        <v>B</v>
      </c>
      <c r="FU110" s="97" t="str">
        <f t="shared" si="155"/>
        <v>B</v>
      </c>
      <c r="FV110" s="97" t="str">
        <f t="shared" si="155"/>
        <v>B</v>
      </c>
      <c r="FW110" s="97" t="str">
        <f t="shared" si="155"/>
        <v>B</v>
      </c>
      <c r="FX110" s="97" t="str">
        <f t="shared" si="155"/>
        <v>A</v>
      </c>
      <c r="FY110" s="97" t="str">
        <f t="shared" si="155"/>
        <v>A</v>
      </c>
      <c r="FZ110" s="97" t="str">
        <f t="shared" si="155"/>
        <v>A</v>
      </c>
      <c r="GA110" s="97" t="str">
        <f t="shared" si="155"/>
        <v>A</v>
      </c>
      <c r="GB110" s="97" t="str">
        <f t="shared" si="155"/>
        <v>A</v>
      </c>
      <c r="GC110" s="97" t="str">
        <f t="shared" si="155"/>
        <v>A</v>
      </c>
      <c r="GD110" s="97" t="str">
        <f t="shared" si="155"/>
        <v>A</v>
      </c>
      <c r="GE110" s="97" t="str">
        <f t="shared" si="155"/>
        <v>A</v>
      </c>
      <c r="GF110" s="97" t="str">
        <f t="shared" si="155"/>
        <v>A</v>
      </c>
      <c r="GG110" s="97" t="str">
        <f t="shared" si="155"/>
        <v>A</v>
      </c>
      <c r="GH110" s="97" t="str">
        <f t="shared" si="155"/>
        <v>A</v>
      </c>
      <c r="GI110" s="97" t="str">
        <f t="shared" si="155"/>
        <v>A</v>
      </c>
      <c r="GJ110" s="97" t="str">
        <f t="shared" si="155"/>
        <v>B</v>
      </c>
      <c r="GK110" s="97" t="str">
        <f t="shared" si="155"/>
        <v>A</v>
      </c>
      <c r="GL110" s="97" t="str">
        <f t="shared" si="155"/>
        <v>B</v>
      </c>
      <c r="GM110" s="97" t="str">
        <f t="shared" si="155"/>
        <v>B</v>
      </c>
      <c r="GN110" s="97" t="str">
        <f t="shared" si="155"/>
        <v>B</v>
      </c>
      <c r="GO110" s="97" t="str">
        <f t="shared" si="155"/>
        <v>B</v>
      </c>
      <c r="GP110" s="97" t="str">
        <f t="shared" si="155"/>
        <v>B</v>
      </c>
      <c r="GQ110" s="97" t="str">
        <f t="shared" si="155"/>
        <v>B</v>
      </c>
      <c r="GR110" s="97" t="str">
        <f t="shared" si="155"/>
        <v>A</v>
      </c>
      <c r="GS110" s="97" t="str">
        <f t="shared" si="155"/>
        <v>A</v>
      </c>
      <c r="GT110" s="97" t="str">
        <f t="shared" si="155"/>
        <v>A</v>
      </c>
      <c r="GU110" s="97" t="str">
        <f t="shared" si="155"/>
        <v>A</v>
      </c>
      <c r="GV110" s="97" t="str">
        <f t="shared" si="155"/>
        <v>A</v>
      </c>
      <c r="GW110" s="97" t="str">
        <f t="shared" si="155"/>
        <v>A</v>
      </c>
      <c r="GX110" s="97" t="str">
        <f t="shared" si="155"/>
        <v>A</v>
      </c>
      <c r="GY110" s="98"/>
      <c r="GZ110" s="97">
        <f t="shared" si="3"/>
        <v>55</v>
      </c>
      <c r="HA110" s="97">
        <f t="shared" si="4"/>
        <v>45</v>
      </c>
      <c r="HB110" s="90">
        <f t="shared" si="5"/>
        <v>100</v>
      </c>
      <c r="HC110" s="99"/>
      <c r="HD110" s="97">
        <f t="shared" si="6"/>
        <v>8</v>
      </c>
      <c r="HE110" s="97">
        <f t="shared" si="7"/>
        <v>6</v>
      </c>
      <c r="HF110" s="90">
        <f t="shared" si="8"/>
        <v>14</v>
      </c>
      <c r="HG110" s="99"/>
      <c r="HH110" s="97">
        <f t="shared" si="9"/>
        <v>8</v>
      </c>
      <c r="HI110" s="97">
        <f t="shared" si="10"/>
        <v>6</v>
      </c>
      <c r="HJ110" s="90">
        <f t="shared" si="11"/>
        <v>14</v>
      </c>
      <c r="HK110" s="99"/>
      <c r="HL110" s="97">
        <f t="shared" si="12"/>
        <v>7</v>
      </c>
      <c r="HM110" s="97">
        <f t="shared" si="13"/>
        <v>5</v>
      </c>
      <c r="HN110" s="90">
        <f t="shared" si="14"/>
        <v>12</v>
      </c>
      <c r="HO110" s="99"/>
      <c r="HP110" s="97">
        <f t="shared" si="15"/>
        <v>8</v>
      </c>
      <c r="HQ110" s="97">
        <f t="shared" si="16"/>
        <v>4</v>
      </c>
      <c r="HR110" s="90">
        <f t="shared" si="17"/>
        <v>12</v>
      </c>
      <c r="HS110" s="99"/>
      <c r="HT110" s="97">
        <f t="shared" si="18"/>
        <v>9</v>
      </c>
      <c r="HU110" s="97">
        <f t="shared" si="19"/>
        <v>6</v>
      </c>
      <c r="HV110" s="90">
        <f t="shared" si="20"/>
        <v>15</v>
      </c>
      <c r="HW110" s="99"/>
      <c r="HX110" s="97">
        <f t="shared" si="21"/>
        <v>3</v>
      </c>
      <c r="HY110" s="97">
        <f t="shared" si="22"/>
        <v>4</v>
      </c>
      <c r="HZ110" s="90">
        <f t="shared" si="23"/>
        <v>7</v>
      </c>
      <c r="IA110" s="99"/>
      <c r="IB110" s="97">
        <f t="shared" si="24"/>
        <v>5</v>
      </c>
      <c r="IC110" s="97">
        <f t="shared" si="25"/>
        <v>4</v>
      </c>
      <c r="ID110" s="90">
        <f t="shared" si="26"/>
        <v>9</v>
      </c>
      <c r="IE110" s="99"/>
      <c r="IF110" s="97">
        <f t="shared" si="27"/>
        <v>3</v>
      </c>
      <c r="IG110" s="97">
        <f t="shared" si="28"/>
        <v>3</v>
      </c>
      <c r="IH110" s="90">
        <f t="shared" si="29"/>
        <v>6</v>
      </c>
      <c r="II110" s="99"/>
      <c r="IJ110" s="97">
        <f t="shared" si="30"/>
        <v>0</v>
      </c>
      <c r="IK110" s="97">
        <f t="shared" si="31"/>
        <v>4</v>
      </c>
      <c r="IL110" s="90">
        <f t="shared" si="32"/>
        <v>4</v>
      </c>
      <c r="IM110" s="99"/>
      <c r="IN110" s="97">
        <f t="shared" si="33"/>
        <v>0</v>
      </c>
      <c r="IO110" s="97">
        <f t="shared" si="34"/>
        <v>3</v>
      </c>
      <c r="IP110" s="90">
        <f t="shared" si="35"/>
        <v>3</v>
      </c>
      <c r="IS110" s="100">
        <f t="shared" si="36"/>
        <v>14</v>
      </c>
      <c r="IT110" s="100">
        <f t="shared" si="37"/>
        <v>14</v>
      </c>
      <c r="IU110" s="100">
        <f t="shared" si="38"/>
        <v>12</v>
      </c>
      <c r="IV110" s="100">
        <f t="shared" si="39"/>
        <v>12</v>
      </c>
      <c r="IW110" s="100">
        <f t="shared" si="40"/>
        <v>15</v>
      </c>
      <c r="IX110" s="100">
        <f t="shared" si="41"/>
        <v>7</v>
      </c>
      <c r="IY110" s="100">
        <f t="shared" si="42"/>
        <v>9</v>
      </c>
      <c r="IZ110" s="100">
        <f t="shared" si="43"/>
        <v>6</v>
      </c>
      <c r="JA110" s="100">
        <f t="shared" si="44"/>
        <v>4</v>
      </c>
      <c r="JB110" s="101">
        <f t="shared" si="45"/>
        <v>3</v>
      </c>
      <c r="JC110" s="102">
        <f t="shared" si="46"/>
        <v>96</v>
      </c>
      <c r="JD110" s="67">
        <f t="shared" si="50"/>
        <v>0</v>
      </c>
      <c r="JE110" s="67">
        <f t="shared" si="47"/>
        <v>0</v>
      </c>
      <c r="JF110" s="67">
        <f t="shared" si="48"/>
        <v>0</v>
      </c>
    </row>
    <row r="111">
      <c r="A111" s="104">
        <f>IFERROR(__xludf.DUMMYFUNCTION("""COMPUTED_VALUE"""),45961.56456077546)</f>
        <v>45961.56456</v>
      </c>
      <c r="B111" s="105" t="str">
        <f>IFERROR(__xludf.DUMMYFUNCTION("""COMPUTED_VALUE"""),"MUHAMMAD HILMAN ALFARISI ")</f>
        <v>MUHAMMAD HILMAN ALFARISI </v>
      </c>
      <c r="C111" s="7" t="str">
        <f>IFERROR(__xludf.DUMMYFUNCTION("""COMPUTED_VALUE"""),"C250010")</f>
        <v>C250010</v>
      </c>
      <c r="D111" s="7" t="str">
        <f>IFERROR(__xludf.DUMMYFUNCTION("""COMPUTED_VALUE"""),"SMA")</f>
        <v>SMA</v>
      </c>
      <c r="E111" s="7" t="str">
        <f>IFERROR(__xludf.DUMMYFUNCTION("""COMPUTED_VALUE"""),"Ya")</f>
        <v>Ya</v>
      </c>
      <c r="F111" s="105" t="str">
        <f>IFERROR(__xludf.DUMMYFUNCTION("""COMPUTED_VALUE"""),"A Saya ingin mengerjakan segala tugas lebih baik daripada orang lain.")</f>
        <v>A Saya ingin mengerjakan segala tugas lebih baik daripada orang lain.</v>
      </c>
      <c r="G111" s="105" t="str">
        <f>IFERROR(__xludf.DUMMYFUNCTION("""COMPUTED_VALUE"""),"A Saya ingin setiap tulisan saya teliti, rapi, dan tersusun dengan baik.")</f>
        <v>A Saya ingin setiap tulisan saya teliti, rapi, dan tersusun dengan baik.</v>
      </c>
      <c r="H111" s="105" t="str">
        <f>IFERROR(__xludf.DUMMYFUNCTION("""COMPUTED_VALUE"""),"B Saya ingin menjadi orang yang diakui dalam suatu pekerjaan atau bidang khusus.")</f>
        <v>B Saya ingin menjadi orang yang diakui dalam suatu pekerjaan atau bidang khusus.</v>
      </c>
      <c r="I111" s="105" t="str">
        <f>IFERROR(__xludf.DUMMYFUNCTION("""COMPUTED_VALUE"""),"B Saya ingin bisa melakukan dengan baik meskipun tugas yang sulit.")</f>
        <v>B Saya ingin bisa melakukan dengan baik meskipun tugas yang sulit.</v>
      </c>
      <c r="J111" s="105" t="str">
        <f>IFERROR(__xludf.DUMMYFUNCTION("""COMPUTED_VALUE"""),"A Saya suka membantu teman-teman saya apabila mereka mengalami kesulitan.")</f>
        <v>A Saya suka membantu teman-teman saya apabila mereka mengalami kesulitan.</v>
      </c>
      <c r="K111" s="105" t="str">
        <f>IFERROR(__xludf.DUMMYFUNCTION("""COMPUTED_VALUE"""),"B Saya ingin mengatakan telah melakukan dengan baik sesuatu tugas yang sulit.")</f>
        <v>B Saya ingin mengatakan telah melakukan dengan baik sesuatu tugas yang sulit.</v>
      </c>
      <c r="L111" s="105" t="str">
        <f>IFERROR(__xludf.DUMMYFUNCTION("""COMPUTED_VALUE"""),"A Saya ingin menjadi pemimpin dalam suatu kelompok")</f>
        <v>A Saya ingin menjadi pemimpin dalam suatu kelompok</v>
      </c>
      <c r="M111" s="105" t="str">
        <f>IFERROR(__xludf.DUMMYFUNCTION("""COMPUTED_VALUE"""),"B Saya ingin mengerjakan segala tugas lebih baik daripada orang lain.")</f>
        <v>B Saya ingin mengerjakan segala tugas lebih baik daripada orang lain.</v>
      </c>
      <c r="N111" s="105" t="str">
        <f>IFERROR(__xludf.DUMMYFUNCTION("""COMPUTED_VALUE"""),"A Saya suka pergi dengan pakaian rapi agar lebih menarik perhatian orang lain.")</f>
        <v>A Saya suka pergi dengan pakaian rapi agar lebih menarik perhatian orang lain.</v>
      </c>
      <c r="O111" s="105" t="str">
        <f>IFERROR(__xludf.DUMMYFUNCTION("""COMPUTED_VALUE"""),"B Saya suka melakukan tugas sebaik mungkin.")</f>
        <v>B Saya suka melakukan tugas sebaik mungkin.</v>
      </c>
      <c r="P111" s="105" t="str">
        <f>IFERROR(__xludf.DUMMYFUNCTION("""COMPUTED_VALUE"""),"B Saya ingin setiap belajar itu teratur dan direncanakan.")</f>
        <v>B Saya ingin setiap belajar itu teratur dan direncanakan.</v>
      </c>
      <c r="Q111" s="105" t="str">
        <f>IFERROR(__xludf.DUMMYFUNCTION("""COMPUTED_VALUE"""),"A Saya mulai suka dengan lawan jenis.")</f>
        <v>A Saya mulai suka dengan lawan jenis.</v>
      </c>
      <c r="R111" s="105" t="str">
        <f>IFERROR(__xludf.DUMMYFUNCTION("""COMPUTED_VALUE"""),"B Saya suka barang-barang saya tersusun rapi dan teratur.")</f>
        <v>B Saya suka barang-barang saya tersusun rapi dan teratur.</v>
      </c>
      <c r="S111" s="105" t="str">
        <f>IFERROR(__xludf.DUMMYFUNCTION("""COMPUTED_VALUE"""),"B Saya suka membuat perencanaan sebelum memulai tugas yang sulit.")</f>
        <v>B Saya suka membuat perencanaan sebelum memulai tugas yang sulit.</v>
      </c>
      <c r="T111" s="105" t="str">
        <f>IFERROR(__xludf.DUMMYFUNCTION("""COMPUTED_VALUE"""),"B Saya ingin agar hidup saya teratur sesuai cita-cita saya.")</f>
        <v>B Saya ingin agar hidup saya teratur sesuai cita-cita saya.</v>
      </c>
      <c r="U111" s="105" t="str">
        <f>IFERROR(__xludf.DUMMYFUNCTION("""COMPUTED_VALUE"""),"A Saya suka memberikan bantuan kepada teman-teman saya.")</f>
        <v>A Saya suka memberikan bantuan kepada teman-teman saya.</v>
      </c>
      <c r="V111" s="105" t="str">
        <f>IFERROR(__xludf.DUMMYFUNCTION("""COMPUTED_VALUE"""),"A Saya suka belajar sampai malam untuk menyelesaikan suatu tugas.")</f>
        <v>A Saya suka belajar sampai malam untuk menyelesaikan suatu tugas.</v>
      </c>
      <c r="W111" s="105" t="str">
        <f>IFERROR(__xludf.DUMMYFUNCTION("""COMPUTED_VALUE"""),"B Saya ingin kegiatan itu teratur dan direncanakan.")</f>
        <v>B Saya ingin kegiatan itu teratur dan direncanakan.</v>
      </c>
      <c r="X111" s="105" t="str">
        <f>IFERROR(__xludf.DUMMYFUNCTION("""COMPUTED_VALUE"""),"A Saya suka merencanakan dan mengatur setiap apa yang harus saya lakukan.")</f>
        <v>A Saya suka merencanakan dan mengatur setiap apa yang harus saya lakukan.</v>
      </c>
      <c r="Y111" s="105" t="str">
        <f>IFERROR(__xludf.DUMMYFUNCTION("""COMPUTED_VALUE"""),"B Saya senang merencanakan untuk masa depan.")</f>
        <v>B Saya senang merencanakan untuk masa depan.</v>
      </c>
      <c r="Z111" s="105" t="str">
        <f>IFERROR(__xludf.DUMMYFUNCTION("""COMPUTED_VALUE"""),"A Saya ingin berhasil dengan belajar yang saya lakukan.")</f>
        <v>A Saya ingin berhasil dengan belajar yang saya lakukan.</v>
      </c>
      <c r="AA111" s="105" t="str">
        <f>IFERROR(__xludf.DUMMYFUNCTION("""COMPUTED_VALUE"""),"B Saya tidak suka pada orang yang berbuat seenaknya sendiri.")</f>
        <v>B Saya tidak suka pada orang yang berbuat seenaknya sendiri.</v>
      </c>
      <c r="AB111" s="105" t="str">
        <f>IFERROR(__xludf.DUMMYFUNCTION("""COMPUTED_VALUE"""),"B Saya ingin menyelesaikan pekerjaan satu persatu sebelum memulai yang lain.")</f>
        <v>B Saya ingin menyelesaikan pekerjaan satu persatu sebelum memulai yang lain.</v>
      </c>
      <c r="AC111" s="105" t="str">
        <f>IFERROR(__xludf.DUMMYFUNCTION("""COMPUTED_VALUE"""),"A Saya suka menyelesaikan setiap tugas meskipun membutuhkan waktu lama.")</f>
        <v>A Saya suka menyelesaikan setiap tugas meskipun membutuhkan waktu lama.</v>
      </c>
      <c r="AD111" s="105" t="str">
        <f>IFERROR(__xludf.DUMMYFUNCTION("""COMPUTED_VALUE"""),"A Saya suka bermurah hati terhadap teman-teman saya.")</f>
        <v>A Saya suka bermurah hati terhadap teman-teman saya.</v>
      </c>
      <c r="AE111" s="105" t="str">
        <f>IFERROR(__xludf.DUMMYFUNCTION("""COMPUTED_VALUE"""),"B Saya suka melakukan hal-hal yang dianggap orang lain tidak sesuai.")</f>
        <v>B Saya suka melakukan hal-hal yang dianggap orang lain tidak sesuai.</v>
      </c>
      <c r="AF111" s="105" t="str">
        <f>IFERROR(__xludf.DUMMYFUNCTION("""COMPUTED_VALUE"""),"A Saya ingin agar teman-teman mengerti bila saya mengalami kesukaran.")</f>
        <v>A Saya ingin agar teman-teman mengerti bila saya mengalami kesukaran.</v>
      </c>
      <c r="AG111" s="105" t="str">
        <f>IFERROR(__xludf.DUMMYFUNCTION("""COMPUTED_VALUE"""),"B Saya ingin berhasil dengan tugas yang saya lakukan.")</f>
        <v>B Saya ingin berhasil dengan tugas yang saya lakukan.</v>
      </c>
      <c r="AH111" s="105" t="str">
        <f>IFERROR(__xludf.DUMMYFUNCTION("""COMPUTED_VALUE"""),"B Saya ingin merasa bebas untuk melakukan apa yang saya kehendaki.")</f>
        <v>B Saya ingin merasa bebas untuk melakukan apa yang saya kehendaki.</v>
      </c>
      <c r="AI111" s="105" t="str">
        <f>IFERROR(__xludf.DUMMYFUNCTION("""COMPUTED_VALUE"""),"B Saya suka melakukan kegiatan sesuai kondisi yang saya inginkan.")</f>
        <v>B Saya suka melakukan kegiatan sesuai kondisi yang saya inginkan.</v>
      </c>
      <c r="AJ111" s="105" t="str">
        <f>IFERROR(__xludf.DUMMYFUNCTION("""COMPUTED_VALUE"""),"B Saya suka bertahan menghadapi satu masalah meskipun belum tentu berhasil.")</f>
        <v>B Saya suka bertahan menghadapi satu masalah meskipun belum tentu berhasil.</v>
      </c>
      <c r="AK111" s="105" t="str">
        <f>IFERROR(__xludf.DUMMYFUNCTION("""COMPUTED_VALUE"""),"A Saya suka bercerita tentang hal-hal pribadi yang seharusnya tidak perlu diketahui orang lain.")</f>
        <v>A Saya suka bercerita tentang hal-hal pribadi yang seharusnya tidak perlu diketahui orang lain.</v>
      </c>
      <c r="AL111" s="105" t="str">
        <f>IFERROR(__xludf.DUMMYFUNCTION("""COMPUTED_VALUE"""),"B Saya ingin menghindarkan gangguan bila saya sedang belajar.")</f>
        <v>B Saya ingin menghindarkan gangguan bila saya sedang belajar.</v>
      </c>
      <c r="AM111" s="105" t="str">
        <f>IFERROR(__xludf.DUMMYFUNCTION("""COMPUTED_VALUE"""),"B Saya suka belajar sampai malam untuk menyelesaikan suatu tugas.")</f>
        <v>B Saya suka belajar sampai malam untuk menyelesaikan suatu tugas.</v>
      </c>
      <c r="AN111" s="105" t="str">
        <f>IFERROR(__xludf.DUMMYFUNCTION("""COMPUTED_VALUE"""),"A Saya tidak suka pada orang yang semena-mena.")</f>
        <v>A Saya tidak suka pada orang yang semena-mena.</v>
      </c>
      <c r="AO111" s="105" t="str">
        <f>IFERROR(__xludf.DUMMYFUNCTION("""COMPUTED_VALUE"""),"A Saya suka berlaku sangat ramah terhadap teman-teman saya.")</f>
        <v>A Saya suka berlaku sangat ramah terhadap teman-teman saya.</v>
      </c>
      <c r="AP111" s="105" t="str">
        <f>IFERROR(__xludf.DUMMYFUNCTION("""COMPUTED_VALUE"""),"B Saya suka bertahan menghadapi satu masalah meskipun belum tentu berhasil.")</f>
        <v>B Saya suka bertahan menghadapi satu masalah meskipun belum tentu berhasil.</v>
      </c>
      <c r="AQ111" s="105" t="str">
        <f>IFERROR(__xludf.DUMMYFUNCTION("""COMPUTED_VALUE"""),"A Saya ingin bisa mengerjakan segala sesuatu lebih baik daripada orang-orang lain.")</f>
        <v>A Saya ingin bisa mengerjakan segala sesuatu lebih baik daripada orang-orang lain.</v>
      </c>
      <c r="AR111" s="105" t="str">
        <f>IFERROR(__xludf.DUMMYFUNCTION("""COMPUTED_VALUE"""),"B Saya suka belajar keras pada tiap pelajaran yang saya hadapi.")</f>
        <v>B Saya suka belajar keras pada tiap pelajaran yang saya hadapi.</v>
      </c>
      <c r="AS111" s="105" t="str">
        <f>IFERROR(__xludf.DUMMYFUNCTION("""COMPUTED_VALUE"""),"B Saya suka belajar sampai malam untuk menyelesaikan suatu tugas.")</f>
        <v>B Saya suka belajar sampai malam untuk menyelesaikan suatu tugas.</v>
      </c>
      <c r="AT111" s="105" t="str">
        <f>IFERROR(__xludf.DUMMYFUNCTION("""COMPUTED_VALUE"""),"A Saya ingin bisa melakukan dengan baik sesuatu pekerjaan sulit.")</f>
        <v>A Saya ingin bisa melakukan dengan baik sesuatu pekerjaan sulit.</v>
      </c>
      <c r="AU111" s="105" t="str">
        <f>IFERROR(__xludf.DUMMYFUNCTION("""COMPUTED_VALUE"""),"A Saya ingin menyelesaikan pekerjaan satu persatu sebelum memulai yang lain.")</f>
        <v>A Saya ingin menyelesaikan pekerjaan satu persatu sebelum memulai yang lain.</v>
      </c>
      <c r="AV111" s="105" t="str">
        <f>IFERROR(__xludf.DUMMYFUNCTION("""COMPUTED_VALUE"""),"B Saya suka menolong teman-teman saya.")</f>
        <v>B Saya suka menolong teman-teman saya.</v>
      </c>
      <c r="AW111" s="105" t="str">
        <f>IFERROR(__xludf.DUMMYFUNCTION("""COMPUTED_VALUE"""),"B Saya ingin teman-teman saya percaya bahwa saya bisa menolong mereka.")</f>
        <v>B Saya ingin teman-teman saya percaya bahwa saya bisa menolong mereka.</v>
      </c>
      <c r="AX111" s="105" t="str">
        <f>IFERROR(__xludf.DUMMYFUNCTION("""COMPUTED_VALUE"""),"B Saya suka memaafkan teman-teman saya yang menyakiti hati saya.")</f>
        <v>B Saya suka memaafkan teman-teman saya yang menyakiti hati saya.</v>
      </c>
      <c r="AY111" s="105" t="str">
        <f>IFERROR(__xludf.DUMMYFUNCTION("""COMPUTED_VALUE"""),"A Saya rasanya ingin marah saat tidak sesuai dengan hati.")</f>
        <v>A Saya rasanya ingin marah saat tidak sesuai dengan hati.</v>
      </c>
      <c r="AZ111" s="105" t="str">
        <f>IFERROR(__xludf.DUMMYFUNCTION("""COMPUTED_VALUE"""),"A Saya ingin agar teman-teman saya bersimpati dan menghibur saya bila saya sedih.")</f>
        <v>A Saya ingin agar teman-teman saya bersimpati dan menghibur saya bila saya sedih.</v>
      </c>
      <c r="BA111" s="105" t="str">
        <f>IFERROR(__xludf.DUMMYFUNCTION("""COMPUTED_VALUE"""),"B Saya suka memperlakukan orang lain dengan baik dan ramah.")</f>
        <v>B Saya suka memperlakukan orang lain dengan baik dan ramah.</v>
      </c>
      <c r="BB111" s="105" t="str">
        <f>IFERROR(__xludf.DUMMYFUNCTION("""COMPUTED_VALUE"""),"A Saya berkeinginan untuk bersama orang yang menarik bagi saya.")</f>
        <v>A Saya berkeinginan untuk bersama orang yang menarik bagi saya.</v>
      </c>
      <c r="BC111" s="105" t="str">
        <f>IFERROR(__xludf.DUMMYFUNCTION("""COMPUTED_VALUE"""),"A Saya rasanya ingin mengecam seseorang bila orang itu menjengkelkan.")</f>
        <v>A Saya rasanya ingin mengecam seseorang bila orang itu menjengkelkan.</v>
      </c>
      <c r="BD111" s="105" t="str">
        <f>IFERROR(__xludf.DUMMYFUNCTION("""COMPUTED_VALUE"""),"B Saya suka bersikukuh dengan pendirian saya.")</f>
        <v>B Saya suka bersikukuh dengan pendirian saya.</v>
      </c>
      <c r="BE111" s="105" t="str">
        <f>IFERROR(__xludf.DUMMYFUNCTION("""COMPUTED_VALUE"""),"B Saya ingin orang lain melakukan apa yang saya kehendaki.")</f>
        <v>B Saya ingin orang lain melakukan apa yang saya kehendaki.</v>
      </c>
      <c r="BF111" s="105" t="str">
        <f>IFERROR(__xludf.DUMMYFUNCTION("""COMPUTED_VALUE"""),"A Saya ingin orang lain memperhatikan dan berkomentar tentang penampilan saya.")</f>
        <v>A Saya ingin orang lain memperhatikan dan berkomentar tentang penampilan saya.</v>
      </c>
      <c r="BG111" s="105" t="str">
        <f>IFERROR(__xludf.DUMMYFUNCTION("""COMPUTED_VALUE"""),"A Saya ingin teman-teman banyak menunjukkan rasa sayang mereka terhadap saya.")</f>
        <v>A Saya ingin teman-teman banyak menunjukkan rasa sayang mereka terhadap saya.</v>
      </c>
      <c r="BH111" s="105" t="str">
        <f>IFERROR(__xludf.DUMMYFUNCTION("""COMPUTED_VALUE"""),"B Apabila saya berkumpul dalam kelompok, saya ingin dihargai teman-teman.")</f>
        <v>B Apabila saya berkumpul dalam kelompok, saya ingin dihargai teman-teman.</v>
      </c>
      <c r="BI111" s="105" t="str">
        <f>IFERROR(__xludf.DUMMYFUNCTION("""COMPUTED_VALUE"""),"A Saya suka bermurah hati terhadap teman-teman saya.")</f>
        <v>A Saya suka bermurah hati terhadap teman-teman saya.</v>
      </c>
      <c r="BJ111" s="105" t="str">
        <f>IFERROR(__xludf.DUMMYFUNCTION("""COMPUTED_VALUE"""),"A Saya ingin mengerjakan tugas sampai selesai.")</f>
        <v>A Saya ingin mengerjakan tugas sampai selesai.</v>
      </c>
      <c r="BK111" s="105" t="str">
        <f>IFERROR(__xludf.DUMMYFUNCTION("""COMPUTED_VALUE"""),"A Saya ingin menyelesaikan pekerjaan satu persatu sebelum memulai yang lain.")</f>
        <v>A Saya ingin menyelesaikan pekerjaan satu persatu sebelum memulai yang lain.</v>
      </c>
      <c r="BL111" s="105" t="str">
        <f>IFERROR(__xludf.DUMMYFUNCTION("""COMPUTED_VALUE"""),"A Saya suka belajar saya teratur dan ada waktu-waktu tertentu untuk belajar.")</f>
        <v>A Saya suka belajar saya teratur dan ada waktu-waktu tertentu untuk belajar.</v>
      </c>
      <c r="BM111" s="105" t="str">
        <f>IFERROR(__xludf.DUMMYFUNCTION("""COMPUTED_VALUE"""),"A Saya suka melakukan pekerjaan sebaik mungkin.")</f>
        <v>A Saya suka melakukan pekerjaan sebaik mungkin.</v>
      </c>
      <c r="BN111" s="105" t="str">
        <f>IFERROR(__xludf.DUMMYFUNCTION("""COMPUTED_VALUE"""),"B Saya ingin teman-teman memberi dorongan bila saya menghadapi kegagalan.")</f>
        <v>B Saya ingin teman-teman memberi dorongan bila saya menghadapi kegagalan.</v>
      </c>
      <c r="BO111" s="105" t="str">
        <f>IFERROR(__xludf.DUMMYFUNCTION("""COMPUTED_VALUE"""),"A Saya suka membuat perencanaan sebelum memulai belajar yang sulit.")</f>
        <v>A Saya suka membuat perencanaan sebelum memulai belajar yang sulit.</v>
      </c>
      <c r="BP111" s="105" t="str">
        <f>IFERROR(__xludf.DUMMYFUNCTION("""COMPUTED_VALUE"""),"A Saya ingin menyelesaikan sesuatu yang sangat penting artinya.")</f>
        <v>A Saya ingin menyelesaikan sesuatu yang sangat penting artinya.</v>
      </c>
      <c r="BQ111" s="105" t="str">
        <f>IFERROR(__xludf.DUMMYFUNCTION("""COMPUTED_VALUE"""),"A Saya ingin mengerjakannya tugas sampai selesai.")</f>
        <v>A Saya ingin mengerjakannya tugas sampai selesai.</v>
      </c>
      <c r="BR111" s="105" t="str">
        <f>IFERROR(__xludf.DUMMYFUNCTION("""COMPUTED_VALUE"""),"A Saya suka memaafkan teman-teman saya yang menyakiti hati saya.")</f>
        <v>A Saya suka memaafkan teman-teman saya yang menyakiti hati saya.</v>
      </c>
      <c r="BS111" s="105" t="str">
        <f>IFERROR(__xludf.DUMMYFUNCTION("""COMPUTED_VALUE"""),"B Saya ingin teman-teman saya membantu saya bila saya mengalami kesulitan")</f>
        <v>B Saya ingin teman-teman saya membantu saya bila saya mengalami kesulitan</v>
      </c>
      <c r="BT111" s="105" t="str">
        <f>IFERROR(__xludf.DUMMYFUNCTION("""COMPUTED_VALUE"""),"B Saya ingin teman-teman banyak menunjukkan rasa sayang mereka terhadap saya.")</f>
        <v>B Saya ingin teman-teman banyak menunjukkan rasa sayang mereka terhadap saya.</v>
      </c>
      <c r="BU111" s="105" t="str">
        <f>IFERROR(__xludf.DUMMYFUNCTION("""COMPUTED_VALUE"""),"A Saya kadang-kadang suka melakukan hal-hal yang dapat dipuji oleh orang lain.")</f>
        <v>A Saya kadang-kadang suka melakukan hal-hal yang dapat dipuji oleh orang lain.</v>
      </c>
      <c r="BV111" s="105" t="str">
        <f>IFERROR(__xludf.DUMMYFUNCTION("""COMPUTED_VALUE"""),"B Saya ingin teman-teman dengan gembira memberikan pertolongan kepada saya.")</f>
        <v>B Saya ingin teman-teman dengan gembira memberikan pertolongan kepada saya.</v>
      </c>
      <c r="BW111" s="105" t="str">
        <f>IFERROR(__xludf.DUMMYFUNCTION("""COMPUTED_VALUE"""),"B Saya ingin diperlakukan dengan baik oleh teman-teman saya.")</f>
        <v>B Saya ingin diperlakukan dengan baik oleh teman-teman saya.</v>
      </c>
      <c r="BX111" s="105" t="str">
        <f>IFERROR(__xludf.DUMMYFUNCTION("""COMPUTED_VALUE"""),"B Saya kadang-kadang suka melakukan hal-hal yang dapat dipuji oleh orang lain.")</f>
        <v>B Saya kadang-kadang suka melakukan hal-hal yang dapat dipuji oleh orang lain.</v>
      </c>
      <c r="BY111" s="105" t="str">
        <f>IFERROR(__xludf.DUMMYFUNCTION("""COMPUTED_VALUE"""),"B Saya ingin orang lain memperhatikan dan berkomentar tentang penampilan saya.")</f>
        <v>B Saya ingin orang lain memperhatikan dan berkomentar tentang penampilan saya.</v>
      </c>
      <c r="BZ111" s="105" t="str">
        <f>IFERROR(__xludf.DUMMYFUNCTION("""COMPUTED_VALUE"""),"A Saya suka berkata yang artinya sulit dipahami oleh orang lain.")</f>
        <v>A Saya suka berkata yang artinya sulit dipahami oleh orang lain.</v>
      </c>
      <c r="CA111" s="105" t="str">
        <f>IFERROR(__xludf.DUMMYFUNCTION("""COMPUTED_VALUE"""),"A Saya ingin teman-teman dengan gembira memberikan pertolongan kepada saya.")</f>
        <v>A Saya ingin teman-teman dengan gembira memberikan pertolongan kepada saya.</v>
      </c>
      <c r="CB111" s="105" t="str">
        <f>IFERROR(__xludf.DUMMYFUNCTION("""COMPUTED_VALUE"""),"B Saya suka berbicara tentang hal-hal yang telah saya capai.")</f>
        <v>B Saya suka berbicara tentang hal-hal yang telah saya capai.</v>
      </c>
      <c r="CC111" s="105" t="str">
        <f>IFERROR(__xludf.DUMMYFUNCTION("""COMPUTED_VALUE"""),"B Saya suka menceritakan hal-hal lucu agar diperhatikan oleh orang lain.")</f>
        <v>B Saya suka menceritakan hal-hal lucu agar diperhatikan oleh orang lain.</v>
      </c>
      <c r="CD111" s="105" t="str">
        <f>IFERROR(__xludf.DUMMYFUNCTION("""COMPUTED_VALUE"""),"A Saya suka menyelesaikan setiap tugas meskipun membutuhkan waktu lama.")</f>
        <v>A Saya suka menyelesaikan setiap tugas meskipun membutuhkan waktu lama.</v>
      </c>
      <c r="CE111" s="105" t="str">
        <f>IFERROR(__xludf.DUMMYFUNCTION("""COMPUTED_VALUE"""),"A Saya suka menyelesaikan setiap tugas belajar yang telah saya mulai.")</f>
        <v>A Saya suka menyelesaikan setiap tugas belajar yang telah saya mulai.</v>
      </c>
      <c r="CF111" s="105" t="str">
        <f>IFERROR(__xludf.DUMMYFUNCTION("""COMPUTED_VALUE"""),"B Saya ingin orang lain memperhatikan dan berkomentar tentang penampilan saya.")</f>
        <v>B Saya ingin orang lain memperhatikan dan berkomentar tentang penampilan saya.</v>
      </c>
      <c r="CG111" s="105" t="str">
        <f>IFERROR(__xludf.DUMMYFUNCTION("""COMPUTED_VALUE"""),"A Saya ingin berhasil dalam apa yang saya lakukan.")</f>
        <v>A Saya ingin berhasil dalam apa yang saya lakukan.</v>
      </c>
      <c r="CH111" s="105" t="str">
        <f>IFERROR(__xludf.DUMMYFUNCTION("""COMPUTED_VALUE"""),"A Saya ingin bisa melakukan dengan baik sesuatu pekerjaan sulit.")</f>
        <v>A Saya ingin bisa melakukan dengan baik sesuatu pekerjaan sulit.</v>
      </c>
      <c r="CI111" s="105" t="str">
        <f>IFERROR(__xludf.DUMMYFUNCTION("""COMPUTED_VALUE"""),"B Saya ingin dianggap menarik oleh orang lain.")</f>
        <v>B Saya ingin dianggap menarik oleh orang lain.</v>
      </c>
      <c r="CJ111" s="105" t="str">
        <f>IFERROR(__xludf.DUMMYFUNCTION("""COMPUTED_VALUE"""),"B Saya suka kalau bercerita tentang hal-hal pribadi yang seharusnya tidak perlu diketahui orang lain.")</f>
        <v>B Saya suka kalau bercerita tentang hal-hal pribadi yang seharusnya tidak perlu diketahui orang lain.</v>
      </c>
      <c r="CK111" s="105" t="str">
        <f>IFERROR(__xludf.DUMMYFUNCTION("""COMPUTED_VALUE"""),"B Saya senang ikut beraktivitas bersama teman sebaya saya.")</f>
        <v>B Saya senang ikut beraktivitas bersama teman sebaya saya.</v>
      </c>
      <c r="CL111" s="105" t="str">
        <f>IFERROR(__xludf.DUMMYFUNCTION("""COMPUTED_VALUE"""),"B Saya berkeinginan untuk bersama teman yang menurut saya menarik.")</f>
        <v>B Saya berkeinginan untuk bersama teman yang menurut saya menarik.</v>
      </c>
      <c r="CM111" s="105" t="str">
        <f>IFERROR(__xludf.DUMMYFUNCTION("""COMPUTED_VALUE"""),"B Saya merasa kagum pada seseorang.")</f>
        <v>B Saya merasa kagum pada seseorang.</v>
      </c>
      <c r="CN111" s="105" t="str">
        <f>IFERROR(__xludf.DUMMYFUNCTION("""COMPUTED_VALUE"""),"A Saya ingin diperlakukan dengan baik oleh teman-teman saya.")</f>
        <v>A Saya ingin diperlakukan dengan baik oleh teman-teman saya.</v>
      </c>
      <c r="CO111" s="105" t="str">
        <f>IFERROR(__xludf.DUMMYFUNCTION("""COMPUTED_VALUE"""),"B Saya suka memuji orang yang saya kagumi.")</f>
        <v>B Saya suka memuji orang yang saya kagumi.</v>
      </c>
      <c r="CP111" s="105" t="str">
        <f>IFERROR(__xludf.DUMMYFUNCTION("""COMPUTED_VALUE"""),"B Saya ingin dianggap menarik oleh orang lain.")</f>
        <v>B Saya ingin dianggap menarik oleh orang lain.</v>
      </c>
      <c r="CQ111" s="105" t="str">
        <f>IFERROR(__xludf.DUMMYFUNCTION("""COMPUTED_VALUE"""),"B Saya merasa kagum pada seseorang.")</f>
        <v>B Saya merasa kagum pada seseorang.</v>
      </c>
      <c r="CR111" s="105" t="str">
        <f>IFERROR(__xludf.DUMMYFUNCTION("""COMPUTED_VALUE"""),"B Saya rasanya ingin mengecam seseorang bila orang itu menjengkelkan.")</f>
        <v>B Saya rasanya ingin mengecam seseorang bila orang itu menjengkelkan.</v>
      </c>
      <c r="CS111" s="105" t="str">
        <f>IFERROR(__xludf.DUMMYFUNCTION("""COMPUTED_VALUE"""),"B Saya rasanya ingin membalas dendam bila seseorang menghina saya.")</f>
        <v>B Saya rasanya ingin membalas dendam bila seseorang menghina saya.</v>
      </c>
      <c r="CT111" s="105" t="str">
        <f>IFERROR(__xludf.DUMMYFUNCTION("""COMPUTED_VALUE"""),"B Saya saat marah rasanya ingin melemparkan dan merusak barang-barang.")</f>
        <v>B Saya saat marah rasanya ingin melemparkan dan merusak barang-barang.</v>
      </c>
      <c r="CU111" s="105" t="str">
        <f>IFERROR(__xludf.DUMMYFUNCTION("""COMPUTED_VALUE"""),"A Saya ingin diperlakukan dengan ramah oleh teman-teman saya.")</f>
        <v>A Saya ingin diperlakukan dengan ramah oleh teman-teman saya.</v>
      </c>
      <c r="CV111" s="105" t="str">
        <f>IFERROR(__xludf.DUMMYFUNCTION("""COMPUTED_VALUE"""),"B Saya menyerang pendirian-pendirian yang bertentangan dengan pendirian saya.")</f>
        <v>B Saya menyerang pendirian-pendirian yang bertentangan dengan pendirian saya.</v>
      </c>
      <c r="CW111" s="105" t="str">
        <f>IFERROR(__xludf.DUMMYFUNCTION("""COMPUTED_VALUE"""),"B Saya mengatakan kepada orang lain bagaimana pendapat saya terhadap mereka.")</f>
        <v>B Saya mengatakan kepada orang lain bagaimana pendapat saya terhadap mereka.</v>
      </c>
      <c r="CX111" s="105" t="str">
        <f>IFERROR(__xludf.DUMMYFUNCTION("""COMPUTED_VALUE"""),"A Saya suka belajar sampai malam untuk menyelesaikan suatu tugas.")</f>
        <v>A Saya suka belajar sampai malam untuk menyelesaikan suatu tugas.</v>
      </c>
      <c r="CY111" s="105" t="str">
        <f>IFERROR(__xludf.DUMMYFUNCTION("""COMPUTED_VALUE"""),"A Saya ingin tidak tergantung dari orang lain terhadap apa yang akan saya lakukan.")</f>
        <v>A Saya ingin tidak tergantung dari orang lain terhadap apa yang akan saya lakukan.</v>
      </c>
      <c r="CZ111" s="105" t="str">
        <f>IFERROR(__xludf.DUMMYFUNCTION("""COMPUTED_VALUE"""),"A Saya suka merencanakan dan mengatur setiap pekerjaan yang harus saya lakukan.")</f>
        <v>A Saya suka merencanakan dan mengatur setiap pekerjaan yang harus saya lakukan.</v>
      </c>
      <c r="DA111" s="105" t="str">
        <f>IFERROR(__xludf.DUMMYFUNCTION("""COMPUTED_VALUE"""),"A Saya ingin melakukan apa saja sebaik mungkin.")</f>
        <v>A Saya ingin melakukan apa saja sebaik mungkin.</v>
      </c>
      <c r="DB111" s="89" t="s">
        <v>23</v>
      </c>
      <c r="DC111" s="97" t="str">
        <f t="shared" ref="DC111:GX111" si="156">LEFT(F111,1)</f>
        <v>A</v>
      </c>
      <c r="DD111" s="97" t="str">
        <f t="shared" si="156"/>
        <v>A</v>
      </c>
      <c r="DE111" s="97" t="str">
        <f t="shared" si="156"/>
        <v>B</v>
      </c>
      <c r="DF111" s="97" t="str">
        <f t="shared" si="156"/>
        <v>B</v>
      </c>
      <c r="DG111" s="97" t="str">
        <f t="shared" si="156"/>
        <v>A</v>
      </c>
      <c r="DH111" s="97" t="str">
        <f t="shared" si="156"/>
        <v>B</v>
      </c>
      <c r="DI111" s="97" t="str">
        <f t="shared" si="156"/>
        <v>A</v>
      </c>
      <c r="DJ111" s="97" t="str">
        <f t="shared" si="156"/>
        <v>B</v>
      </c>
      <c r="DK111" s="97" t="str">
        <f t="shared" si="156"/>
        <v>A</v>
      </c>
      <c r="DL111" s="97" t="str">
        <f t="shared" si="156"/>
        <v>B</v>
      </c>
      <c r="DM111" s="97" t="str">
        <f t="shared" si="156"/>
        <v>B</v>
      </c>
      <c r="DN111" s="97" t="str">
        <f t="shared" si="156"/>
        <v>A</v>
      </c>
      <c r="DO111" s="97" t="str">
        <f t="shared" si="156"/>
        <v>B</v>
      </c>
      <c r="DP111" s="97" t="str">
        <f t="shared" si="156"/>
        <v>B</v>
      </c>
      <c r="DQ111" s="97" t="str">
        <f t="shared" si="156"/>
        <v>B</v>
      </c>
      <c r="DR111" s="97" t="str">
        <f t="shared" si="156"/>
        <v>A</v>
      </c>
      <c r="DS111" s="97" t="str">
        <f t="shared" si="156"/>
        <v>A</v>
      </c>
      <c r="DT111" s="97" t="str">
        <f t="shared" si="156"/>
        <v>B</v>
      </c>
      <c r="DU111" s="97" t="str">
        <f t="shared" si="156"/>
        <v>A</v>
      </c>
      <c r="DV111" s="97" t="str">
        <f t="shared" si="156"/>
        <v>B</v>
      </c>
      <c r="DW111" s="97" t="str">
        <f t="shared" si="156"/>
        <v>A</v>
      </c>
      <c r="DX111" s="97" t="str">
        <f t="shared" si="156"/>
        <v>B</v>
      </c>
      <c r="DY111" s="97" t="str">
        <f t="shared" si="156"/>
        <v>B</v>
      </c>
      <c r="DZ111" s="97" t="str">
        <f t="shared" si="156"/>
        <v>A</v>
      </c>
      <c r="EA111" s="97" t="str">
        <f t="shared" si="156"/>
        <v>A</v>
      </c>
      <c r="EB111" s="97" t="str">
        <f t="shared" si="156"/>
        <v>B</v>
      </c>
      <c r="EC111" s="97" t="str">
        <f t="shared" si="156"/>
        <v>A</v>
      </c>
      <c r="ED111" s="97" t="str">
        <f t="shared" si="156"/>
        <v>B</v>
      </c>
      <c r="EE111" s="97" t="str">
        <f t="shared" si="156"/>
        <v>B</v>
      </c>
      <c r="EF111" s="97" t="str">
        <f t="shared" si="156"/>
        <v>B</v>
      </c>
      <c r="EG111" s="97" t="str">
        <f t="shared" si="156"/>
        <v>B</v>
      </c>
      <c r="EH111" s="97" t="str">
        <f t="shared" si="156"/>
        <v>A</v>
      </c>
      <c r="EI111" s="97" t="str">
        <f t="shared" si="156"/>
        <v>B</v>
      </c>
      <c r="EJ111" s="97" t="str">
        <f t="shared" si="156"/>
        <v>B</v>
      </c>
      <c r="EK111" s="97" t="str">
        <f t="shared" si="156"/>
        <v>A</v>
      </c>
      <c r="EL111" s="97" t="str">
        <f t="shared" si="156"/>
        <v>A</v>
      </c>
      <c r="EM111" s="97" t="str">
        <f t="shared" si="156"/>
        <v>B</v>
      </c>
      <c r="EN111" s="97" t="str">
        <f t="shared" si="156"/>
        <v>A</v>
      </c>
      <c r="EO111" s="97" t="str">
        <f t="shared" si="156"/>
        <v>B</v>
      </c>
      <c r="EP111" s="97" t="str">
        <f t="shared" si="156"/>
        <v>B</v>
      </c>
      <c r="EQ111" s="97" t="str">
        <f t="shared" si="156"/>
        <v>A</v>
      </c>
      <c r="ER111" s="97" t="str">
        <f t="shared" si="156"/>
        <v>A</v>
      </c>
      <c r="ES111" s="97" t="str">
        <f t="shared" si="156"/>
        <v>B</v>
      </c>
      <c r="ET111" s="97" t="str">
        <f t="shared" si="156"/>
        <v>B</v>
      </c>
      <c r="EU111" s="97" t="str">
        <f t="shared" si="156"/>
        <v>B</v>
      </c>
      <c r="EV111" s="97" t="str">
        <f t="shared" si="156"/>
        <v>A</v>
      </c>
      <c r="EW111" s="97" t="str">
        <f t="shared" si="156"/>
        <v>A</v>
      </c>
      <c r="EX111" s="97" t="str">
        <f t="shared" si="156"/>
        <v>B</v>
      </c>
      <c r="EY111" s="97" t="str">
        <f t="shared" si="156"/>
        <v>A</v>
      </c>
      <c r="EZ111" s="97" t="str">
        <f t="shared" si="156"/>
        <v>A</v>
      </c>
      <c r="FA111" s="97" t="str">
        <f t="shared" si="156"/>
        <v>B</v>
      </c>
      <c r="FB111" s="97" t="str">
        <f t="shared" si="156"/>
        <v>B</v>
      </c>
      <c r="FC111" s="97" t="str">
        <f t="shared" si="156"/>
        <v>A</v>
      </c>
      <c r="FD111" s="97" t="str">
        <f t="shared" si="156"/>
        <v>A</v>
      </c>
      <c r="FE111" s="97" t="str">
        <f t="shared" si="156"/>
        <v>B</v>
      </c>
      <c r="FF111" s="97" t="str">
        <f t="shared" si="156"/>
        <v>A</v>
      </c>
      <c r="FG111" s="97" t="str">
        <f t="shared" si="156"/>
        <v>A</v>
      </c>
      <c r="FH111" s="97" t="str">
        <f t="shared" si="156"/>
        <v>A</v>
      </c>
      <c r="FI111" s="97" t="str">
        <f t="shared" si="156"/>
        <v>A</v>
      </c>
      <c r="FJ111" s="97" t="str">
        <f t="shared" si="156"/>
        <v>A</v>
      </c>
      <c r="FK111" s="97" t="str">
        <f t="shared" si="156"/>
        <v>B</v>
      </c>
      <c r="FL111" s="97" t="str">
        <f t="shared" si="156"/>
        <v>A</v>
      </c>
      <c r="FM111" s="97" t="str">
        <f t="shared" si="156"/>
        <v>A</v>
      </c>
      <c r="FN111" s="97" t="str">
        <f t="shared" si="156"/>
        <v>A</v>
      </c>
      <c r="FO111" s="97" t="str">
        <f t="shared" si="156"/>
        <v>A</v>
      </c>
      <c r="FP111" s="97" t="str">
        <f t="shared" si="156"/>
        <v>B</v>
      </c>
      <c r="FQ111" s="97" t="str">
        <f t="shared" si="156"/>
        <v>B</v>
      </c>
      <c r="FR111" s="97" t="str">
        <f t="shared" si="156"/>
        <v>A</v>
      </c>
      <c r="FS111" s="97" t="str">
        <f t="shared" si="156"/>
        <v>B</v>
      </c>
      <c r="FT111" s="97" t="str">
        <f t="shared" si="156"/>
        <v>B</v>
      </c>
      <c r="FU111" s="97" t="str">
        <f t="shared" si="156"/>
        <v>B</v>
      </c>
      <c r="FV111" s="97" t="str">
        <f t="shared" si="156"/>
        <v>B</v>
      </c>
      <c r="FW111" s="97" t="str">
        <f t="shared" si="156"/>
        <v>A</v>
      </c>
      <c r="FX111" s="97" t="str">
        <f t="shared" si="156"/>
        <v>A</v>
      </c>
      <c r="FY111" s="97" t="str">
        <f t="shared" si="156"/>
        <v>B</v>
      </c>
      <c r="FZ111" s="97" t="str">
        <f t="shared" si="156"/>
        <v>B</v>
      </c>
      <c r="GA111" s="97" t="str">
        <f t="shared" si="156"/>
        <v>A</v>
      </c>
      <c r="GB111" s="97" t="str">
        <f t="shared" si="156"/>
        <v>A</v>
      </c>
      <c r="GC111" s="97" t="str">
        <f t="shared" si="156"/>
        <v>B</v>
      </c>
      <c r="GD111" s="97" t="str">
        <f t="shared" si="156"/>
        <v>A</v>
      </c>
      <c r="GE111" s="97" t="str">
        <f t="shared" si="156"/>
        <v>A</v>
      </c>
      <c r="GF111" s="97" t="str">
        <f t="shared" si="156"/>
        <v>B</v>
      </c>
      <c r="GG111" s="97" t="str">
        <f t="shared" si="156"/>
        <v>B</v>
      </c>
      <c r="GH111" s="97" t="str">
        <f t="shared" si="156"/>
        <v>B</v>
      </c>
      <c r="GI111" s="97" t="str">
        <f t="shared" si="156"/>
        <v>B</v>
      </c>
      <c r="GJ111" s="97" t="str">
        <f t="shared" si="156"/>
        <v>B</v>
      </c>
      <c r="GK111" s="97" t="str">
        <f t="shared" si="156"/>
        <v>A</v>
      </c>
      <c r="GL111" s="97" t="str">
        <f t="shared" si="156"/>
        <v>B</v>
      </c>
      <c r="GM111" s="97" t="str">
        <f t="shared" si="156"/>
        <v>B</v>
      </c>
      <c r="GN111" s="97" t="str">
        <f t="shared" si="156"/>
        <v>B</v>
      </c>
      <c r="GO111" s="97" t="str">
        <f t="shared" si="156"/>
        <v>B</v>
      </c>
      <c r="GP111" s="97" t="str">
        <f t="shared" si="156"/>
        <v>B</v>
      </c>
      <c r="GQ111" s="97" t="str">
        <f t="shared" si="156"/>
        <v>B</v>
      </c>
      <c r="GR111" s="97" t="str">
        <f t="shared" si="156"/>
        <v>A</v>
      </c>
      <c r="GS111" s="97" t="str">
        <f t="shared" si="156"/>
        <v>B</v>
      </c>
      <c r="GT111" s="97" t="str">
        <f t="shared" si="156"/>
        <v>B</v>
      </c>
      <c r="GU111" s="97" t="str">
        <f t="shared" si="156"/>
        <v>A</v>
      </c>
      <c r="GV111" s="97" t="str">
        <f t="shared" si="156"/>
        <v>A</v>
      </c>
      <c r="GW111" s="97" t="str">
        <f t="shared" si="156"/>
        <v>A</v>
      </c>
      <c r="GX111" s="97" t="str">
        <f t="shared" si="156"/>
        <v>A</v>
      </c>
      <c r="GY111" s="98"/>
      <c r="GZ111" s="97">
        <f t="shared" si="3"/>
        <v>47</v>
      </c>
      <c r="HA111" s="97">
        <f t="shared" si="4"/>
        <v>53</v>
      </c>
      <c r="HB111" s="90">
        <f t="shared" si="5"/>
        <v>100</v>
      </c>
      <c r="HC111" s="99"/>
      <c r="HD111" s="97">
        <f t="shared" si="6"/>
        <v>6</v>
      </c>
      <c r="HE111" s="97">
        <f t="shared" si="7"/>
        <v>5</v>
      </c>
      <c r="HF111" s="90">
        <f t="shared" si="8"/>
        <v>11</v>
      </c>
      <c r="HG111" s="99"/>
      <c r="HH111" s="97">
        <f t="shared" si="9"/>
        <v>5</v>
      </c>
      <c r="HI111" s="97">
        <f t="shared" si="10"/>
        <v>6</v>
      </c>
      <c r="HJ111" s="90">
        <f t="shared" si="11"/>
        <v>11</v>
      </c>
      <c r="HK111" s="99"/>
      <c r="HL111" s="97">
        <f t="shared" si="12"/>
        <v>5</v>
      </c>
      <c r="HM111" s="97">
        <f t="shared" si="13"/>
        <v>6</v>
      </c>
      <c r="HN111" s="90">
        <f t="shared" si="14"/>
        <v>11</v>
      </c>
      <c r="HO111" s="99"/>
      <c r="HP111" s="97">
        <f t="shared" si="15"/>
        <v>6</v>
      </c>
      <c r="HQ111" s="97">
        <f t="shared" si="16"/>
        <v>6</v>
      </c>
      <c r="HR111" s="90">
        <f t="shared" si="17"/>
        <v>12</v>
      </c>
      <c r="HS111" s="99"/>
      <c r="HT111" s="97">
        <f t="shared" si="18"/>
        <v>6</v>
      </c>
      <c r="HU111" s="97">
        <f t="shared" si="19"/>
        <v>4</v>
      </c>
      <c r="HV111" s="90">
        <f t="shared" si="20"/>
        <v>10</v>
      </c>
      <c r="HW111" s="99"/>
      <c r="HX111" s="97">
        <f t="shared" si="21"/>
        <v>2</v>
      </c>
      <c r="HY111" s="97">
        <f t="shared" si="22"/>
        <v>3</v>
      </c>
      <c r="HZ111" s="90">
        <f t="shared" si="23"/>
        <v>5</v>
      </c>
      <c r="IA111" s="99"/>
      <c r="IB111" s="97">
        <f t="shared" si="24"/>
        <v>7</v>
      </c>
      <c r="IC111" s="97">
        <f t="shared" si="25"/>
        <v>5</v>
      </c>
      <c r="ID111" s="90">
        <f t="shared" si="26"/>
        <v>12</v>
      </c>
      <c r="IE111" s="99"/>
      <c r="IF111" s="97">
        <f t="shared" si="27"/>
        <v>2</v>
      </c>
      <c r="IG111" s="97">
        <f t="shared" si="28"/>
        <v>5</v>
      </c>
      <c r="IH111" s="90">
        <f t="shared" si="29"/>
        <v>7</v>
      </c>
      <c r="II111" s="99"/>
      <c r="IJ111" s="97">
        <f t="shared" si="30"/>
        <v>4</v>
      </c>
      <c r="IK111" s="97">
        <f t="shared" si="31"/>
        <v>8</v>
      </c>
      <c r="IL111" s="90">
        <f t="shared" si="32"/>
        <v>12</v>
      </c>
      <c r="IM111" s="99"/>
      <c r="IN111" s="97">
        <f t="shared" si="33"/>
        <v>1</v>
      </c>
      <c r="IO111" s="97">
        <f t="shared" si="34"/>
        <v>5</v>
      </c>
      <c r="IP111" s="90">
        <f t="shared" si="35"/>
        <v>6</v>
      </c>
      <c r="IS111" s="100">
        <f t="shared" si="36"/>
        <v>11</v>
      </c>
      <c r="IT111" s="100">
        <f t="shared" si="37"/>
        <v>11</v>
      </c>
      <c r="IU111" s="100">
        <f t="shared" si="38"/>
        <v>11</v>
      </c>
      <c r="IV111" s="100">
        <f t="shared" si="39"/>
        <v>12</v>
      </c>
      <c r="IW111" s="100">
        <f t="shared" si="40"/>
        <v>10</v>
      </c>
      <c r="IX111" s="100">
        <f t="shared" si="41"/>
        <v>5</v>
      </c>
      <c r="IY111" s="100">
        <f t="shared" si="42"/>
        <v>12</v>
      </c>
      <c r="IZ111" s="100">
        <f t="shared" si="43"/>
        <v>7</v>
      </c>
      <c r="JA111" s="100">
        <f t="shared" si="44"/>
        <v>12</v>
      </c>
      <c r="JB111" s="101">
        <f t="shared" si="45"/>
        <v>6</v>
      </c>
      <c r="JC111" s="102">
        <f t="shared" si="46"/>
        <v>97</v>
      </c>
      <c r="JD111" s="67">
        <f t="shared" si="50"/>
        <v>0</v>
      </c>
      <c r="JE111" s="67">
        <f t="shared" si="47"/>
        <v>2</v>
      </c>
      <c r="JF111" s="67">
        <f t="shared" si="48"/>
        <v>2</v>
      </c>
    </row>
    <row r="112">
      <c r="A112" s="104">
        <f>IFERROR(__xludf.DUMMYFUNCTION("""COMPUTED_VALUE"""),45961.797595428245)</f>
        <v>45961.7976</v>
      </c>
      <c r="B112" s="105" t="str">
        <f>IFERROR(__xludf.DUMMYFUNCTION("""COMPUTED_VALUE"""),"Arjuna Permana putra ")</f>
        <v>Arjuna Permana putra </v>
      </c>
      <c r="C112" s="7" t="str">
        <f>IFERROR(__xludf.DUMMYFUNCTION("""COMPUTED_VALUE"""),"A250022")</f>
        <v>A250022</v>
      </c>
      <c r="D112" s="7" t="str">
        <f>IFERROR(__xludf.DUMMYFUNCTION("""COMPUTED_VALUE"""),"MTs Putra")</f>
        <v>MTs Putra</v>
      </c>
      <c r="E112" s="7" t="str">
        <f>IFERROR(__xludf.DUMMYFUNCTION("""COMPUTED_VALUE"""),"Ya")</f>
        <v>Ya</v>
      </c>
      <c r="F112" s="105" t="str">
        <f>IFERROR(__xludf.DUMMYFUNCTION("""COMPUTED_VALUE"""),"A Saya ingin mengerjakan segala tugas lebih baik daripada orang lain.")</f>
        <v>A Saya ingin mengerjakan segala tugas lebih baik daripada orang lain.</v>
      </c>
      <c r="G112" s="105" t="str">
        <f>IFERROR(__xludf.DUMMYFUNCTION("""COMPUTED_VALUE"""),"B Saya ingin menyelesaikan tugas yang segera dikumpulkan.")</f>
        <v>B Saya ingin menyelesaikan tugas yang segera dikumpulkan.</v>
      </c>
      <c r="H112" s="105" t="str">
        <f>IFERROR(__xludf.DUMMYFUNCTION("""COMPUTED_VALUE"""),"B Saya ingin menjadi orang yang diakui dalam suatu pekerjaan atau bidang khusus.")</f>
        <v>B Saya ingin menjadi orang yang diakui dalam suatu pekerjaan atau bidang khusus.</v>
      </c>
      <c r="I112" s="105" t="str">
        <f>IFERROR(__xludf.DUMMYFUNCTION("""COMPUTED_VALUE"""),"A Saya suka belajar keras pada tiap pelajaran yang saya hadapi.")</f>
        <v>A Saya suka belajar keras pada tiap pelajaran yang saya hadapi.</v>
      </c>
      <c r="J112" s="105" t="str">
        <f>IFERROR(__xludf.DUMMYFUNCTION("""COMPUTED_VALUE"""),"A Saya suka membantu teman-teman saya apabila mereka mengalami kesulitan.")</f>
        <v>A Saya suka membantu teman-teman saya apabila mereka mengalami kesulitan.</v>
      </c>
      <c r="K112" s="105" t="str">
        <f>IFERROR(__xludf.DUMMYFUNCTION("""COMPUTED_VALUE"""),"A Saya ingin menjadi pemimpin dalam suatu kelompok.")</f>
        <v>A Saya ingin menjadi pemimpin dalam suatu kelompok.</v>
      </c>
      <c r="L112" s="105" t="str">
        <f>IFERROR(__xludf.DUMMYFUNCTION("""COMPUTED_VALUE"""),"A Saya ingin menjadi pemimpin dalam suatu kelompok")</f>
        <v>A Saya ingin menjadi pemimpin dalam suatu kelompok</v>
      </c>
      <c r="M112" s="105" t="str">
        <f>IFERROR(__xludf.DUMMYFUNCTION("""COMPUTED_VALUE"""),"A Saya suka berbicara tentang hal-hal yang telah berhasil saya lakukan.")</f>
        <v>A Saya suka berbicara tentang hal-hal yang telah berhasil saya lakukan.</v>
      </c>
      <c r="N112" s="105" t="str">
        <f>IFERROR(__xludf.DUMMYFUNCTION("""COMPUTED_VALUE"""),"A Saya suka pergi dengan pakaian rapi agar lebih menarik perhatian orang lain.")</f>
        <v>A Saya suka pergi dengan pakaian rapi agar lebih menarik perhatian orang lain.</v>
      </c>
      <c r="O112" s="105" t="str">
        <f>IFERROR(__xludf.DUMMYFUNCTION("""COMPUTED_VALUE"""),"B Saya suka melakukan tugas sebaik mungkin.")</f>
        <v>B Saya suka melakukan tugas sebaik mungkin.</v>
      </c>
      <c r="P112" s="105" t="str">
        <f>IFERROR(__xludf.DUMMYFUNCTION("""COMPUTED_VALUE"""),"B Saya ingin setiap belajar itu teratur dan direncanakan.")</f>
        <v>B Saya ingin setiap belajar itu teratur dan direncanakan.</v>
      </c>
      <c r="Q112" s="105" t="str">
        <f>IFERROR(__xludf.DUMMYFUNCTION("""COMPUTED_VALUE"""),"B Saya merencanakan keperluan yang dibutuhkan sebelum bepergian.")</f>
        <v>B Saya merencanakan keperluan yang dibutuhkan sebelum bepergian.</v>
      </c>
      <c r="R112" s="105" t="str">
        <f>IFERROR(__xludf.DUMMYFUNCTION("""COMPUTED_VALUE"""),"A Saya ingin orang-orang memperhatikan penampilan saya.")</f>
        <v>A Saya ingin orang-orang memperhatikan penampilan saya.</v>
      </c>
      <c r="S112" s="105" t="str">
        <f>IFERROR(__xludf.DUMMYFUNCTION("""COMPUTED_VALUE"""),"B Saya suka membuat perencanaan sebelum memulai tugas yang sulit.")</f>
        <v>B Saya suka membuat perencanaan sebelum memulai tugas yang sulit.</v>
      </c>
      <c r="T112" s="105" t="str">
        <f>IFERROR(__xludf.DUMMYFUNCTION("""COMPUTED_VALUE"""),"A Saya ingin menjadi salah seorang pemimpin dalam kelompok yang saya kenal.")</f>
        <v>A Saya ingin menjadi salah seorang pemimpin dalam kelompok yang saya kenal.</v>
      </c>
      <c r="U112" s="105" t="str">
        <f>IFERROR(__xludf.DUMMYFUNCTION("""COMPUTED_VALUE"""),"A Saya suka memberikan bantuan kepada teman-teman saya.")</f>
        <v>A Saya suka memberikan bantuan kepada teman-teman saya.</v>
      </c>
      <c r="V112" s="105" t="str">
        <f>IFERROR(__xludf.DUMMYFUNCTION("""COMPUTED_VALUE"""),"A Saya suka belajar sampai malam untuk menyelesaikan suatu tugas.")</f>
        <v>A Saya suka belajar sampai malam untuk menyelesaikan suatu tugas.</v>
      </c>
      <c r="W112" s="105" t="str">
        <f>IFERROR(__xludf.DUMMYFUNCTION("""COMPUTED_VALUE"""),"B Saya ingin kegiatan itu teratur dan direncanakan.")</f>
        <v>B Saya ingin kegiatan itu teratur dan direncanakan.</v>
      </c>
      <c r="X112" s="105" t="str">
        <f>IFERROR(__xludf.DUMMYFUNCTION("""COMPUTED_VALUE"""),"A Saya suka merencanakan dan mengatur setiap apa yang harus saya lakukan.")</f>
        <v>A Saya suka merencanakan dan mengatur setiap apa yang harus saya lakukan.</v>
      </c>
      <c r="Y112" s="105" t="str">
        <f>IFERROR(__xludf.DUMMYFUNCTION("""COMPUTED_VALUE"""),"A Saya suka menyelesaikan tugas-tugas yang membutuhkan ketrampilan dan usaha.")</f>
        <v>A Saya suka menyelesaikan tugas-tugas yang membutuhkan ketrampilan dan usaha.</v>
      </c>
      <c r="Z112" s="105" t="str">
        <f>IFERROR(__xludf.DUMMYFUNCTION("""COMPUTED_VALUE"""),"A Saya ingin berhasil dengan belajar yang saya lakukan.")</f>
        <v>A Saya ingin berhasil dengan belajar yang saya lakukan.</v>
      </c>
      <c r="AA112" s="105" t="str">
        <f>IFERROR(__xludf.DUMMYFUNCTION("""COMPUTED_VALUE"""),"A Saya suka menyelesaikan tugas yang telah saya rencanakan.")</f>
        <v>A Saya suka menyelesaikan tugas yang telah saya rencanakan.</v>
      </c>
      <c r="AB112" s="105" t="str">
        <f>IFERROR(__xludf.DUMMYFUNCTION("""COMPUTED_VALUE"""),"B Saya ingin menyelesaikan pekerjaan satu persatu sebelum memulai yang lain.")</f>
        <v>B Saya ingin menyelesaikan pekerjaan satu persatu sebelum memulai yang lain.</v>
      </c>
      <c r="AC112" s="105" t="str">
        <f>IFERROR(__xludf.DUMMYFUNCTION("""COMPUTED_VALUE"""),"A Saya suka menyelesaikan setiap tugas meskipun membutuhkan waktu lama.")</f>
        <v>A Saya suka menyelesaikan setiap tugas meskipun membutuhkan waktu lama.</v>
      </c>
      <c r="AD112" s="105" t="str">
        <f>IFERROR(__xludf.DUMMYFUNCTION("""COMPUTED_VALUE"""),"A Saya suka bermurah hati terhadap teman-teman saya.")</f>
        <v>A Saya suka bermurah hati terhadap teman-teman saya.</v>
      </c>
      <c r="AE112" s="105" t="str">
        <f>IFERROR(__xludf.DUMMYFUNCTION("""COMPUTED_VALUE"""),"A Saya ingin dianggap sebagai pemimpin oleh teman di kelompok.")</f>
        <v>A Saya ingin dianggap sebagai pemimpin oleh teman di kelompok.</v>
      </c>
      <c r="AF112" s="105" t="str">
        <f>IFERROR(__xludf.DUMMYFUNCTION("""COMPUTED_VALUE"""),"A Saya ingin agar teman-teman mengerti bila saya mengalami kesukaran.")</f>
        <v>A Saya ingin agar teman-teman mengerti bila saya mengalami kesukaran.</v>
      </c>
      <c r="AG112" s="105" t="str">
        <f>IFERROR(__xludf.DUMMYFUNCTION("""COMPUTED_VALUE"""),"A Saya mengajari orang lain bagaimana mereka harus melakukan pekerjaan mereka.")</f>
        <v>A Saya mengajari orang lain bagaimana mereka harus melakukan pekerjaan mereka.</v>
      </c>
      <c r="AH112" s="105" t="str">
        <f>IFERROR(__xludf.DUMMYFUNCTION("""COMPUTED_VALUE"""),"B Saya ingin merasa bebas untuk melakukan apa yang saya kehendaki.")</f>
        <v>B Saya ingin merasa bebas untuk melakukan apa yang saya kehendaki.</v>
      </c>
      <c r="AI112" s="105" t="str">
        <f>IFERROR(__xludf.DUMMYFUNCTION("""COMPUTED_VALUE"""),"B Saya suka melakukan kegiatan sesuai kondisi yang saya inginkan.")</f>
        <v>B Saya suka melakukan kegiatan sesuai kondisi yang saya inginkan.</v>
      </c>
      <c r="AJ112" s="105" t="str">
        <f>IFERROR(__xludf.DUMMYFUNCTION("""COMPUTED_VALUE"""),"B Saya suka bertahan menghadapi satu masalah meskipun belum tentu berhasil.")</f>
        <v>B Saya suka bertahan menghadapi satu masalah meskipun belum tentu berhasil.</v>
      </c>
      <c r="AK112" s="105" t="str">
        <f>IFERROR(__xludf.DUMMYFUNCTION("""COMPUTED_VALUE"""),"B Bila saya harus melakukan suatu tugas, saya ingin mengerjakan sampai selesai.")</f>
        <v>B Bila saya harus melakukan suatu tugas, saya ingin mengerjakan sampai selesai.</v>
      </c>
      <c r="AL112" s="105" t="str">
        <f>IFERROR(__xludf.DUMMYFUNCTION("""COMPUTED_VALUE"""),"B Saya ingin menghindarkan gangguan bila saya sedang belajar.")</f>
        <v>B Saya ingin menghindarkan gangguan bila saya sedang belajar.</v>
      </c>
      <c r="AM112" s="105" t="str">
        <f>IFERROR(__xludf.DUMMYFUNCTION("""COMPUTED_VALUE"""),"B Saya suka belajar sampai malam untuk menyelesaikan suatu tugas.")</f>
        <v>B Saya suka belajar sampai malam untuk menyelesaikan suatu tugas.</v>
      </c>
      <c r="AN112" s="105" t="str">
        <f>IFERROR(__xludf.DUMMYFUNCTION("""COMPUTED_VALUE"""),"B Saya ingin bekerja berjam-jam tanpa diganggu.")</f>
        <v>B Saya ingin bekerja berjam-jam tanpa diganggu.</v>
      </c>
      <c r="AO112" s="105" t="str">
        <f>IFERROR(__xludf.DUMMYFUNCTION("""COMPUTED_VALUE"""),"A Saya suka berlaku sangat ramah terhadap teman-teman saya.")</f>
        <v>A Saya suka berlaku sangat ramah terhadap teman-teman saya.</v>
      </c>
      <c r="AP112" s="105" t="str">
        <f>IFERROR(__xludf.DUMMYFUNCTION("""COMPUTED_VALUE"""),"B Saya suka bertahan menghadapi satu masalah meskipun belum tentu berhasil.")</f>
        <v>B Saya suka bertahan menghadapi satu masalah meskipun belum tentu berhasil.</v>
      </c>
      <c r="AQ112" s="105" t="str">
        <f>IFERROR(__xludf.DUMMYFUNCTION("""COMPUTED_VALUE"""),"A Saya ingin bisa mengerjakan segala sesuatu lebih baik daripada orang-orang lain.")</f>
        <v>A Saya ingin bisa mengerjakan segala sesuatu lebih baik daripada orang-orang lain.</v>
      </c>
      <c r="AR112" s="105" t="str">
        <f>IFERROR(__xludf.DUMMYFUNCTION("""COMPUTED_VALUE"""),"B Saya suka belajar keras pada tiap pelajaran yang saya hadapi.")</f>
        <v>B Saya suka belajar keras pada tiap pelajaran yang saya hadapi.</v>
      </c>
      <c r="AS112" s="105" t="str">
        <f>IFERROR(__xludf.DUMMYFUNCTION("""COMPUTED_VALUE"""),"A Saya ingin dapat menyelesaikan persoalan yang dianggap sukar bagi orang lain.")</f>
        <v>A Saya ingin dapat menyelesaikan persoalan yang dianggap sukar bagi orang lain.</v>
      </c>
      <c r="AT112" s="105" t="str">
        <f>IFERROR(__xludf.DUMMYFUNCTION("""COMPUTED_VALUE"""),"A Saya ingin bisa melakukan dengan baik sesuatu pekerjaan sulit.")</f>
        <v>A Saya ingin bisa melakukan dengan baik sesuatu pekerjaan sulit.</v>
      </c>
      <c r="AU112" s="105" t="str">
        <f>IFERROR(__xludf.DUMMYFUNCTION("""COMPUTED_VALUE"""),"B Saya suka bermurah hati terhadap teman-teman saya.")</f>
        <v>B Saya suka bermurah hati terhadap teman-teman saya.</v>
      </c>
      <c r="AV112" s="105" t="str">
        <f>IFERROR(__xludf.DUMMYFUNCTION("""COMPUTED_VALUE"""),"B Saya suka menolong teman-teman saya.")</f>
        <v>B Saya suka menolong teman-teman saya.</v>
      </c>
      <c r="AW112" s="105" t="str">
        <f>IFERROR(__xludf.DUMMYFUNCTION("""COMPUTED_VALUE"""),"A Saya ingin mengerjakan tugas sampai selesai.")</f>
        <v>A Saya ingin mengerjakan tugas sampai selesai.</v>
      </c>
      <c r="AX112" s="105" t="str">
        <f>IFERROR(__xludf.DUMMYFUNCTION("""COMPUTED_VALUE"""),"A Saya suka menolong teman-teman saya apabila mereka dalam kesulitan.")</f>
        <v>A Saya suka menolong teman-teman saya apabila mereka dalam kesulitan.</v>
      </c>
      <c r="AY112" s="105" t="str">
        <f>IFERROR(__xludf.DUMMYFUNCTION("""COMPUTED_VALUE"""),"B Saya suka menolong teman-teman saya apabila mereka dalam kesulitan.")</f>
        <v>B Saya suka menolong teman-teman saya apabila mereka dalam kesulitan.</v>
      </c>
      <c r="AZ112" s="105" t="str">
        <f>IFERROR(__xludf.DUMMYFUNCTION("""COMPUTED_VALUE"""),"B Saya suka menunjukkan simpati saya kepada teman-teman saya.")</f>
        <v>B Saya suka menunjukkan simpati saya kepada teman-teman saya.</v>
      </c>
      <c r="BA112" s="105" t="str">
        <f>IFERROR(__xludf.DUMMYFUNCTION("""COMPUTED_VALUE"""),"A Saya suka menyatakan pendapat saya tentang berbagai hal.")</f>
        <v>A Saya suka menyatakan pendapat saya tentang berbagai hal.</v>
      </c>
      <c r="BB112" s="105" t="str">
        <f>IFERROR(__xludf.DUMMYFUNCTION("""COMPUTED_VALUE"""),"A Saya berkeinginan untuk bersama orang yang menarik bagi saya.")</f>
        <v>A Saya berkeinginan untuk bersama orang yang menarik bagi saya.</v>
      </c>
      <c r="BC112" s="105" t="str">
        <f>IFERROR(__xludf.DUMMYFUNCTION("""COMPUTED_VALUE"""),"B Saya suka membantu orang lain yang menurut saya perlu dikasihani.")</f>
        <v>B Saya suka membantu orang lain yang menurut saya perlu dikasihani.</v>
      </c>
      <c r="BD112" s="105" t="str">
        <f>IFERROR(__xludf.DUMMYFUNCTION("""COMPUTED_VALUE"""),"B Saya suka bersikukuh dengan pendirian saya.")</f>
        <v>B Saya suka bersikukuh dengan pendirian saya.</v>
      </c>
      <c r="BE112" s="105" t="str">
        <f>IFERROR(__xludf.DUMMYFUNCTION("""COMPUTED_VALUE"""),"B Saya ingin orang lain melakukan apa yang saya kehendaki.")</f>
        <v>B Saya ingin orang lain melakukan apa yang saya kehendaki.</v>
      </c>
      <c r="BF112" s="105" t="str">
        <f>IFERROR(__xludf.DUMMYFUNCTION("""COMPUTED_VALUE"""),"A Saya ingin orang lain memperhatikan dan berkomentar tentang penampilan saya.")</f>
        <v>A Saya ingin orang lain memperhatikan dan berkomentar tentang penampilan saya.</v>
      </c>
      <c r="BG112" s="105" t="str">
        <f>IFERROR(__xludf.DUMMYFUNCTION("""COMPUTED_VALUE"""),"B Saya suka mengarahkan kepada orang lain apa yang harus dilakukan.")</f>
        <v>B Saya suka mengarahkan kepada orang lain apa yang harus dilakukan.</v>
      </c>
      <c r="BH112" s="105" t="str">
        <f>IFERROR(__xludf.DUMMYFUNCTION("""COMPUTED_VALUE"""),"B Apabila saya berkumpul dalam kelompok, saya ingin dihargai teman-teman.")</f>
        <v>B Apabila saya berkumpul dalam kelompok, saya ingin dihargai teman-teman.</v>
      </c>
      <c r="BI112" s="105" t="str">
        <f>IFERROR(__xludf.DUMMYFUNCTION("""COMPUTED_VALUE"""),"A Saya suka bermurah hati terhadap teman-teman saya.")</f>
        <v>A Saya suka bermurah hati terhadap teman-teman saya.</v>
      </c>
      <c r="BJ112" s="105" t="str">
        <f>IFERROR(__xludf.DUMMYFUNCTION("""COMPUTED_VALUE"""),"B Saya ingin menjadi pemimpin dalam kelompok di mana saya ada di situ")</f>
        <v>B Saya ingin menjadi pemimpin dalam kelompok di mana saya ada di situ</v>
      </c>
      <c r="BK112" s="105" t="str">
        <f>IFERROR(__xludf.DUMMYFUNCTION("""COMPUTED_VALUE"""),"B Saya senang untuk diminta menyelesaikan pertentangan-pertentangan.")</f>
        <v>B Saya senang untuk diminta menyelesaikan pertentangan-pertentangan.</v>
      </c>
      <c r="BL112" s="105" t="str">
        <f>IFERROR(__xludf.DUMMYFUNCTION("""COMPUTED_VALUE"""),"B Saya suka bersikukuh dengan pendirian saya.")</f>
        <v>B Saya suka bersikukuh dengan pendirian saya.</v>
      </c>
      <c r="BM112" s="105" t="str">
        <f>IFERROR(__xludf.DUMMYFUNCTION("""COMPUTED_VALUE"""),"A Saya suka melakukan pekerjaan sebaik mungkin.")</f>
        <v>A Saya suka melakukan pekerjaan sebaik mungkin.</v>
      </c>
      <c r="BN112" s="105" t="str">
        <f>IFERROR(__xludf.DUMMYFUNCTION("""COMPUTED_VALUE"""),"B Saya ingin teman-teman memberi dorongan bila saya menghadapi kegagalan.")</f>
        <v>B Saya ingin teman-teman memberi dorongan bila saya menghadapi kegagalan.</v>
      </c>
      <c r="BO112" s="105" t="str">
        <f>IFERROR(__xludf.DUMMYFUNCTION("""COMPUTED_VALUE"""),"B Saya ingin diperlakukan dengan baik oleh teman-teman saya.")</f>
        <v>B Saya ingin diperlakukan dengan baik oleh teman-teman saya.</v>
      </c>
      <c r="BP112" s="105" t="str">
        <f>IFERROR(__xludf.DUMMYFUNCTION("""COMPUTED_VALUE"""),"A Saya ingin menyelesaikan sesuatu yang sangat penting artinya.")</f>
        <v>A Saya ingin menyelesaikan sesuatu yang sangat penting artinya.</v>
      </c>
      <c r="BQ112" s="105" t="str">
        <f>IFERROR(__xludf.DUMMYFUNCTION("""COMPUTED_VALUE"""),"A Saya ingin mengerjakannya tugas sampai selesai.")</f>
        <v>A Saya ingin mengerjakannya tugas sampai selesai.</v>
      </c>
      <c r="BR112" s="105" t="str">
        <f>IFERROR(__xludf.DUMMYFUNCTION("""COMPUTED_VALUE"""),"A Saya suka memaafkan teman-teman saya yang menyakiti hati saya.")</f>
        <v>A Saya suka memaafkan teman-teman saya yang menyakiti hati saya.</v>
      </c>
      <c r="BS112" s="105" t="str">
        <f>IFERROR(__xludf.DUMMYFUNCTION("""COMPUTED_VALUE"""),"B Saya ingin teman-teman saya membantu saya bila saya mengalami kesulitan")</f>
        <v>B Saya ingin teman-teman saya membantu saya bila saya mengalami kesulitan</v>
      </c>
      <c r="BT112" s="105" t="str">
        <f>IFERROR(__xludf.DUMMYFUNCTION("""COMPUTED_VALUE"""),"B Saya ingin teman-teman banyak menunjukkan rasa sayang mereka terhadap saya.")</f>
        <v>B Saya ingin teman-teman banyak menunjukkan rasa sayang mereka terhadap saya.</v>
      </c>
      <c r="BU112" s="105" t="str">
        <f>IFERROR(__xludf.DUMMYFUNCTION("""COMPUTED_VALUE"""),"A Saya kadang-kadang suka melakukan hal-hal yang dapat dipuji oleh orang lain.")</f>
        <v>A Saya kadang-kadang suka melakukan hal-hal yang dapat dipuji oleh orang lain.</v>
      </c>
      <c r="BV112" s="105" t="str">
        <f>IFERROR(__xludf.DUMMYFUNCTION("""COMPUTED_VALUE"""),"B Saya ingin teman-teman dengan gembira memberikan pertolongan kepada saya.")</f>
        <v>B Saya ingin teman-teman dengan gembira memberikan pertolongan kepada saya.</v>
      </c>
      <c r="BW112" s="105" t="str">
        <f>IFERROR(__xludf.DUMMYFUNCTION("""COMPUTED_VALUE"""),"B Saya ingin diperlakukan dengan baik oleh teman-teman saya.")</f>
        <v>B Saya ingin diperlakukan dengan baik oleh teman-teman saya.</v>
      </c>
      <c r="BX112" s="105" t="str">
        <f>IFERROR(__xludf.DUMMYFUNCTION("""COMPUTED_VALUE"""),"B Saya kadang-kadang suka melakukan hal-hal yang dapat dipuji oleh orang lain.")</f>
        <v>B Saya kadang-kadang suka melakukan hal-hal yang dapat dipuji oleh orang lain.</v>
      </c>
      <c r="BY112" s="105" t="str">
        <f>IFERROR(__xludf.DUMMYFUNCTION("""COMPUTED_VALUE"""),"B Saya ingin orang lain memperhatikan dan berkomentar tentang penampilan saya.")</f>
        <v>B Saya ingin orang lain memperhatikan dan berkomentar tentang penampilan saya.</v>
      </c>
      <c r="BZ112" s="105" t="str">
        <f>IFERROR(__xludf.DUMMYFUNCTION("""COMPUTED_VALUE"""),"B Saya suka diperhatikan, apabila saya ada di dalam suatu kelompok.")</f>
        <v>B Saya suka diperhatikan, apabila saya ada di dalam suatu kelompok.</v>
      </c>
      <c r="CA112" s="105" t="str">
        <f>IFERROR(__xludf.DUMMYFUNCTION("""COMPUTED_VALUE"""),"A Saya ingin teman-teman dengan gembira memberikan pertolongan kepada saya.")</f>
        <v>A Saya ingin teman-teman dengan gembira memberikan pertolongan kepada saya.</v>
      </c>
      <c r="CB112" s="105" t="str">
        <f>IFERROR(__xludf.DUMMYFUNCTION("""COMPUTED_VALUE"""),"B Saya suka berbicara tentang hal-hal yang telah saya capai.")</f>
        <v>B Saya suka berbicara tentang hal-hal yang telah saya capai.</v>
      </c>
      <c r="CC112" s="105" t="str">
        <f>IFERROR(__xludf.DUMMYFUNCTION("""COMPUTED_VALUE"""),"A Apabila saya berkumpul dalam kelompok, saya ingin dihargai teman-teman.")</f>
        <v>A Apabila saya berkumpul dalam kelompok, saya ingin dihargai teman-teman.</v>
      </c>
      <c r="CD112" s="105" t="str">
        <f>IFERROR(__xludf.DUMMYFUNCTION("""COMPUTED_VALUE"""),"A Saya suka menyelesaikan setiap tugas meskipun membutuhkan waktu lama.")</f>
        <v>A Saya suka menyelesaikan setiap tugas meskipun membutuhkan waktu lama.</v>
      </c>
      <c r="CE112" s="105" t="str">
        <f>IFERROR(__xludf.DUMMYFUNCTION("""COMPUTED_VALUE"""),"B Saya kadang-kadang suka melakukan hal-hal yang dapat dipuji oleh orang lain.")</f>
        <v>B Saya kadang-kadang suka melakukan hal-hal yang dapat dipuji oleh orang lain.</v>
      </c>
      <c r="CF112" s="105" t="str">
        <f>IFERROR(__xludf.DUMMYFUNCTION("""COMPUTED_VALUE"""),"B Saya ingin orang lain memperhatikan dan berkomentar tentang penampilan saya.")</f>
        <v>B Saya ingin orang lain memperhatikan dan berkomentar tentang penampilan saya.</v>
      </c>
      <c r="CG112" s="105" t="str">
        <f>IFERROR(__xludf.DUMMYFUNCTION("""COMPUTED_VALUE"""),"A Saya ingin berhasil dalam apa yang saya lakukan.")</f>
        <v>A Saya ingin berhasil dalam apa yang saya lakukan.</v>
      </c>
      <c r="CH112" s="105" t="str">
        <f>IFERROR(__xludf.DUMMYFUNCTION("""COMPUTED_VALUE"""),"B Saya suka dengan orang yang berpenampilan menarik.")</f>
        <v>B Saya suka dengan orang yang berpenampilan menarik.</v>
      </c>
      <c r="CI112" s="105" t="str">
        <f>IFERROR(__xludf.DUMMYFUNCTION("""COMPUTED_VALUE"""),"B Saya ingin dianggap menarik oleh orang lain.")</f>
        <v>B Saya ingin dianggap menarik oleh orang lain.</v>
      </c>
      <c r="CJ112" s="105" t="str">
        <f>IFERROR(__xludf.DUMMYFUNCTION("""COMPUTED_VALUE"""),"A Saya ingin tidak tergantung dari orang lain terhadap apa yang akan saya lakukan.")</f>
        <v>A Saya ingin tidak tergantung dari orang lain terhadap apa yang akan saya lakukan.</v>
      </c>
      <c r="CK112" s="105" t="str">
        <f>IFERROR(__xludf.DUMMYFUNCTION("""COMPUTED_VALUE"""),"B Saya senang ikut beraktivitas bersama teman sebaya saya.")</f>
        <v>B Saya senang ikut beraktivitas bersama teman sebaya saya.</v>
      </c>
      <c r="CL112" s="105" t="str">
        <f>IFERROR(__xludf.DUMMYFUNCTION("""COMPUTED_VALUE"""),"B Saya berkeinginan untuk bersama teman yang menurut saya menarik.")</f>
        <v>B Saya berkeinginan untuk bersama teman yang menurut saya menarik.</v>
      </c>
      <c r="CM112" s="105" t="str">
        <f>IFERROR(__xludf.DUMMYFUNCTION("""COMPUTED_VALUE"""),"A Saya ingin ditunjuk atau dipilih sebagai ketua dalam suatu kelompok.")</f>
        <v>A Saya ingin ditunjuk atau dipilih sebagai ketua dalam suatu kelompok.</v>
      </c>
      <c r="CN112" s="105" t="str">
        <f>IFERROR(__xludf.DUMMYFUNCTION("""COMPUTED_VALUE"""),"A Saya ingin diperlakukan dengan baik oleh teman-teman saya.")</f>
        <v>A Saya ingin diperlakukan dengan baik oleh teman-teman saya.</v>
      </c>
      <c r="CO112" s="105" t="str">
        <f>IFERROR(__xludf.DUMMYFUNCTION("""COMPUTED_VALUE"""),"B Saya suka memuji orang yang saya kagumi.")</f>
        <v>B Saya suka memuji orang yang saya kagumi.</v>
      </c>
      <c r="CP112" s="105" t="str">
        <f>IFERROR(__xludf.DUMMYFUNCTION("""COMPUTED_VALUE"""),"B Saya ingin dianggap menarik oleh orang lain.")</f>
        <v>B Saya ingin dianggap menarik oleh orang lain.</v>
      </c>
      <c r="CQ112" s="105" t="str">
        <f>IFERROR(__xludf.DUMMYFUNCTION("""COMPUTED_VALUE"""),"B Saya merasa kagum pada seseorang.")</f>
        <v>B Saya merasa kagum pada seseorang.</v>
      </c>
      <c r="CR112" s="105" t="str">
        <f>IFERROR(__xludf.DUMMYFUNCTION("""COMPUTED_VALUE"""),"A Saya ingin memperolok-olok orang yang saya anggap melakukan tindakan bodoh.")</f>
        <v>A Saya ingin memperolok-olok orang yang saya anggap melakukan tindakan bodoh.</v>
      </c>
      <c r="CS112" s="105" t="str">
        <f>IFERROR(__xludf.DUMMYFUNCTION("""COMPUTED_VALUE"""),"A Saya ingin terlihat menarik di depan teman-teman saya.")</f>
        <v>A Saya ingin terlihat menarik di depan teman-teman saya.</v>
      </c>
      <c r="CT112" s="105" t="str">
        <f>IFERROR(__xludf.DUMMYFUNCTION("""COMPUTED_VALUE"""),"A Saya ingin orang-orang memperhatikan komentar mengenai penampilan saya.")</f>
        <v>A Saya ingin orang-orang memperhatikan komentar mengenai penampilan saya.</v>
      </c>
      <c r="CU112" s="105" t="str">
        <f>IFERROR(__xludf.DUMMYFUNCTION("""COMPUTED_VALUE"""),"A Saya ingin diperlakukan dengan ramah oleh teman-teman saya.")</f>
        <v>A Saya ingin diperlakukan dengan ramah oleh teman-teman saya.</v>
      </c>
      <c r="CV112" s="105" t="str">
        <f>IFERROR(__xludf.DUMMYFUNCTION("""COMPUTED_VALUE"""),"A Saya ingin ditunjuk atau dipilih sebagai ketua dalam suatu kelompok.")</f>
        <v>A Saya ingin ditunjuk atau dipilih sebagai ketua dalam suatu kelompok.</v>
      </c>
      <c r="CW112" s="105" t="str">
        <f>IFERROR(__xludf.DUMMYFUNCTION("""COMPUTED_VALUE"""),"A Saya suka menolong teman-teman saya, apabila mereka dalam kesulitan.")</f>
        <v>A Saya suka menolong teman-teman saya, apabila mereka dalam kesulitan.</v>
      </c>
      <c r="CX112" s="105" t="str">
        <f>IFERROR(__xludf.DUMMYFUNCTION("""COMPUTED_VALUE"""),"A Saya suka belajar sampai malam untuk menyelesaikan suatu tugas.")</f>
        <v>A Saya suka belajar sampai malam untuk menyelesaikan suatu tugas.</v>
      </c>
      <c r="CY112" s="105" t="str">
        <f>IFERROR(__xludf.DUMMYFUNCTION("""COMPUTED_VALUE"""),"A Saya ingin tidak tergantung dari orang lain terhadap apa yang akan saya lakukan.")</f>
        <v>A Saya ingin tidak tergantung dari orang lain terhadap apa yang akan saya lakukan.</v>
      </c>
      <c r="CZ112" s="105" t="str">
        <f>IFERROR(__xludf.DUMMYFUNCTION("""COMPUTED_VALUE"""),"A Saya suka merencanakan dan mengatur setiap pekerjaan yang harus saya lakukan.")</f>
        <v>A Saya suka merencanakan dan mengatur setiap pekerjaan yang harus saya lakukan.</v>
      </c>
      <c r="DA112" s="105" t="str">
        <f>IFERROR(__xludf.DUMMYFUNCTION("""COMPUTED_VALUE"""),"A Saya ingin melakukan apa saja sebaik mungkin.")</f>
        <v>A Saya ingin melakukan apa saja sebaik mungkin.</v>
      </c>
      <c r="DB112" s="89" t="s">
        <v>23</v>
      </c>
      <c r="DC112" s="97" t="str">
        <f t="shared" ref="DC112:GX112" si="157">LEFT(F112,1)</f>
        <v>A</v>
      </c>
      <c r="DD112" s="97" t="str">
        <f t="shared" si="157"/>
        <v>B</v>
      </c>
      <c r="DE112" s="97" t="str">
        <f t="shared" si="157"/>
        <v>B</v>
      </c>
      <c r="DF112" s="97" t="str">
        <f t="shared" si="157"/>
        <v>A</v>
      </c>
      <c r="DG112" s="97" t="str">
        <f t="shared" si="157"/>
        <v>A</v>
      </c>
      <c r="DH112" s="97" t="str">
        <f t="shared" si="157"/>
        <v>A</v>
      </c>
      <c r="DI112" s="97" t="str">
        <f t="shared" si="157"/>
        <v>A</v>
      </c>
      <c r="DJ112" s="97" t="str">
        <f t="shared" si="157"/>
        <v>A</v>
      </c>
      <c r="DK112" s="97" t="str">
        <f t="shared" si="157"/>
        <v>A</v>
      </c>
      <c r="DL112" s="97" t="str">
        <f t="shared" si="157"/>
        <v>B</v>
      </c>
      <c r="DM112" s="97" t="str">
        <f t="shared" si="157"/>
        <v>B</v>
      </c>
      <c r="DN112" s="97" t="str">
        <f t="shared" si="157"/>
        <v>B</v>
      </c>
      <c r="DO112" s="97" t="str">
        <f t="shared" si="157"/>
        <v>A</v>
      </c>
      <c r="DP112" s="97" t="str">
        <f t="shared" si="157"/>
        <v>B</v>
      </c>
      <c r="DQ112" s="97" t="str">
        <f t="shared" si="157"/>
        <v>A</v>
      </c>
      <c r="DR112" s="97" t="str">
        <f t="shared" si="157"/>
        <v>A</v>
      </c>
      <c r="DS112" s="97" t="str">
        <f t="shared" si="157"/>
        <v>A</v>
      </c>
      <c r="DT112" s="97" t="str">
        <f t="shared" si="157"/>
        <v>B</v>
      </c>
      <c r="DU112" s="97" t="str">
        <f t="shared" si="157"/>
        <v>A</v>
      </c>
      <c r="DV112" s="97" t="str">
        <f t="shared" si="157"/>
        <v>A</v>
      </c>
      <c r="DW112" s="97" t="str">
        <f t="shared" si="157"/>
        <v>A</v>
      </c>
      <c r="DX112" s="97" t="str">
        <f t="shared" si="157"/>
        <v>A</v>
      </c>
      <c r="DY112" s="97" t="str">
        <f t="shared" si="157"/>
        <v>B</v>
      </c>
      <c r="DZ112" s="97" t="str">
        <f t="shared" si="157"/>
        <v>A</v>
      </c>
      <c r="EA112" s="97" t="str">
        <f t="shared" si="157"/>
        <v>A</v>
      </c>
      <c r="EB112" s="97" t="str">
        <f t="shared" si="157"/>
        <v>A</v>
      </c>
      <c r="EC112" s="97" t="str">
        <f t="shared" si="157"/>
        <v>A</v>
      </c>
      <c r="ED112" s="97" t="str">
        <f t="shared" si="157"/>
        <v>A</v>
      </c>
      <c r="EE112" s="97" t="str">
        <f t="shared" si="157"/>
        <v>B</v>
      </c>
      <c r="EF112" s="97" t="str">
        <f t="shared" si="157"/>
        <v>B</v>
      </c>
      <c r="EG112" s="97" t="str">
        <f t="shared" si="157"/>
        <v>B</v>
      </c>
      <c r="EH112" s="97" t="str">
        <f t="shared" si="157"/>
        <v>B</v>
      </c>
      <c r="EI112" s="97" t="str">
        <f t="shared" si="157"/>
        <v>B</v>
      </c>
      <c r="EJ112" s="97" t="str">
        <f t="shared" si="157"/>
        <v>B</v>
      </c>
      <c r="EK112" s="97" t="str">
        <f t="shared" si="157"/>
        <v>B</v>
      </c>
      <c r="EL112" s="97" t="str">
        <f t="shared" si="157"/>
        <v>A</v>
      </c>
      <c r="EM112" s="97" t="str">
        <f t="shared" si="157"/>
        <v>B</v>
      </c>
      <c r="EN112" s="97" t="str">
        <f t="shared" si="157"/>
        <v>A</v>
      </c>
      <c r="EO112" s="97" t="str">
        <f t="shared" si="157"/>
        <v>B</v>
      </c>
      <c r="EP112" s="97" t="str">
        <f t="shared" si="157"/>
        <v>A</v>
      </c>
      <c r="EQ112" s="97" t="str">
        <f t="shared" si="157"/>
        <v>A</v>
      </c>
      <c r="ER112" s="97" t="str">
        <f t="shared" si="157"/>
        <v>B</v>
      </c>
      <c r="ES112" s="97" t="str">
        <f t="shared" si="157"/>
        <v>B</v>
      </c>
      <c r="ET112" s="97" t="str">
        <f t="shared" si="157"/>
        <v>A</v>
      </c>
      <c r="EU112" s="97" t="str">
        <f t="shared" si="157"/>
        <v>A</v>
      </c>
      <c r="EV112" s="97" t="str">
        <f t="shared" si="157"/>
        <v>B</v>
      </c>
      <c r="EW112" s="97" t="str">
        <f t="shared" si="157"/>
        <v>B</v>
      </c>
      <c r="EX112" s="97" t="str">
        <f t="shared" si="157"/>
        <v>A</v>
      </c>
      <c r="EY112" s="97" t="str">
        <f t="shared" si="157"/>
        <v>A</v>
      </c>
      <c r="EZ112" s="97" t="str">
        <f t="shared" si="157"/>
        <v>B</v>
      </c>
      <c r="FA112" s="97" t="str">
        <f t="shared" si="157"/>
        <v>B</v>
      </c>
      <c r="FB112" s="97" t="str">
        <f t="shared" si="157"/>
        <v>B</v>
      </c>
      <c r="FC112" s="97" t="str">
        <f t="shared" si="157"/>
        <v>A</v>
      </c>
      <c r="FD112" s="97" t="str">
        <f t="shared" si="157"/>
        <v>B</v>
      </c>
      <c r="FE112" s="97" t="str">
        <f t="shared" si="157"/>
        <v>B</v>
      </c>
      <c r="FF112" s="97" t="str">
        <f t="shared" si="157"/>
        <v>A</v>
      </c>
      <c r="FG112" s="97" t="str">
        <f t="shared" si="157"/>
        <v>B</v>
      </c>
      <c r="FH112" s="97" t="str">
        <f t="shared" si="157"/>
        <v>B</v>
      </c>
      <c r="FI112" s="97" t="str">
        <f t="shared" si="157"/>
        <v>B</v>
      </c>
      <c r="FJ112" s="97" t="str">
        <f t="shared" si="157"/>
        <v>A</v>
      </c>
      <c r="FK112" s="97" t="str">
        <f t="shared" si="157"/>
        <v>B</v>
      </c>
      <c r="FL112" s="97" t="str">
        <f t="shared" si="157"/>
        <v>B</v>
      </c>
      <c r="FM112" s="97" t="str">
        <f t="shared" si="157"/>
        <v>A</v>
      </c>
      <c r="FN112" s="97" t="str">
        <f t="shared" si="157"/>
        <v>A</v>
      </c>
      <c r="FO112" s="97" t="str">
        <f t="shared" si="157"/>
        <v>A</v>
      </c>
      <c r="FP112" s="97" t="str">
        <f t="shared" si="157"/>
        <v>B</v>
      </c>
      <c r="FQ112" s="97" t="str">
        <f t="shared" si="157"/>
        <v>B</v>
      </c>
      <c r="FR112" s="97" t="str">
        <f t="shared" si="157"/>
        <v>A</v>
      </c>
      <c r="FS112" s="97" t="str">
        <f t="shared" si="157"/>
        <v>B</v>
      </c>
      <c r="FT112" s="97" t="str">
        <f t="shared" si="157"/>
        <v>B</v>
      </c>
      <c r="FU112" s="97" t="str">
        <f t="shared" si="157"/>
        <v>B</v>
      </c>
      <c r="FV112" s="97" t="str">
        <f t="shared" si="157"/>
        <v>B</v>
      </c>
      <c r="FW112" s="97" t="str">
        <f t="shared" si="157"/>
        <v>B</v>
      </c>
      <c r="FX112" s="97" t="str">
        <f t="shared" si="157"/>
        <v>A</v>
      </c>
      <c r="FY112" s="97" t="str">
        <f t="shared" si="157"/>
        <v>B</v>
      </c>
      <c r="FZ112" s="97" t="str">
        <f t="shared" si="157"/>
        <v>A</v>
      </c>
      <c r="GA112" s="97" t="str">
        <f t="shared" si="157"/>
        <v>A</v>
      </c>
      <c r="GB112" s="97" t="str">
        <f t="shared" si="157"/>
        <v>B</v>
      </c>
      <c r="GC112" s="97" t="str">
        <f t="shared" si="157"/>
        <v>B</v>
      </c>
      <c r="GD112" s="97" t="str">
        <f t="shared" si="157"/>
        <v>A</v>
      </c>
      <c r="GE112" s="97" t="str">
        <f t="shared" si="157"/>
        <v>B</v>
      </c>
      <c r="GF112" s="97" t="str">
        <f t="shared" si="157"/>
        <v>B</v>
      </c>
      <c r="GG112" s="97" t="str">
        <f t="shared" si="157"/>
        <v>A</v>
      </c>
      <c r="GH112" s="97" t="str">
        <f t="shared" si="157"/>
        <v>B</v>
      </c>
      <c r="GI112" s="97" t="str">
        <f t="shared" si="157"/>
        <v>B</v>
      </c>
      <c r="GJ112" s="97" t="str">
        <f t="shared" si="157"/>
        <v>A</v>
      </c>
      <c r="GK112" s="97" t="str">
        <f t="shared" si="157"/>
        <v>A</v>
      </c>
      <c r="GL112" s="97" t="str">
        <f t="shared" si="157"/>
        <v>B</v>
      </c>
      <c r="GM112" s="97" t="str">
        <f t="shared" si="157"/>
        <v>B</v>
      </c>
      <c r="GN112" s="97" t="str">
        <f t="shared" si="157"/>
        <v>B</v>
      </c>
      <c r="GO112" s="97" t="str">
        <f t="shared" si="157"/>
        <v>A</v>
      </c>
      <c r="GP112" s="97" t="str">
        <f t="shared" si="157"/>
        <v>A</v>
      </c>
      <c r="GQ112" s="97" t="str">
        <f t="shared" si="157"/>
        <v>A</v>
      </c>
      <c r="GR112" s="97" t="str">
        <f t="shared" si="157"/>
        <v>A</v>
      </c>
      <c r="GS112" s="97" t="str">
        <f t="shared" si="157"/>
        <v>A</v>
      </c>
      <c r="GT112" s="97" t="str">
        <f t="shared" si="157"/>
        <v>A</v>
      </c>
      <c r="GU112" s="97" t="str">
        <f t="shared" si="157"/>
        <v>A</v>
      </c>
      <c r="GV112" s="97" t="str">
        <f t="shared" si="157"/>
        <v>A</v>
      </c>
      <c r="GW112" s="97" t="str">
        <f t="shared" si="157"/>
        <v>A</v>
      </c>
      <c r="GX112" s="97" t="str">
        <f t="shared" si="157"/>
        <v>A</v>
      </c>
      <c r="GY112" s="98"/>
      <c r="GZ112" s="97">
        <f t="shared" si="3"/>
        <v>52</v>
      </c>
      <c r="HA112" s="97">
        <f t="shared" si="4"/>
        <v>48</v>
      </c>
      <c r="HB112" s="90">
        <f t="shared" si="5"/>
        <v>100</v>
      </c>
      <c r="HC112" s="99"/>
      <c r="HD112" s="97">
        <f t="shared" si="6"/>
        <v>7</v>
      </c>
      <c r="HE112" s="97">
        <f t="shared" si="7"/>
        <v>3</v>
      </c>
      <c r="HF112" s="90">
        <f t="shared" si="8"/>
        <v>10</v>
      </c>
      <c r="HG112" s="99"/>
      <c r="HH112" s="97">
        <f t="shared" si="9"/>
        <v>2</v>
      </c>
      <c r="HI112" s="97">
        <f t="shared" si="10"/>
        <v>4</v>
      </c>
      <c r="HJ112" s="90">
        <f t="shared" si="11"/>
        <v>6</v>
      </c>
      <c r="HK112" s="99"/>
      <c r="HL112" s="97">
        <f t="shared" si="12"/>
        <v>4</v>
      </c>
      <c r="HM112" s="97">
        <f t="shared" si="13"/>
        <v>3</v>
      </c>
      <c r="HN112" s="90">
        <f t="shared" si="14"/>
        <v>7</v>
      </c>
      <c r="HO112" s="99"/>
      <c r="HP112" s="97">
        <f t="shared" si="15"/>
        <v>7</v>
      </c>
      <c r="HQ112" s="97">
        <f t="shared" si="16"/>
        <v>7</v>
      </c>
      <c r="HR112" s="90">
        <f t="shared" si="17"/>
        <v>14</v>
      </c>
      <c r="HS112" s="99"/>
      <c r="HT112" s="97">
        <f t="shared" si="18"/>
        <v>8</v>
      </c>
      <c r="HU112" s="97">
        <f t="shared" si="19"/>
        <v>5</v>
      </c>
      <c r="HV112" s="90">
        <f t="shared" si="20"/>
        <v>13</v>
      </c>
      <c r="HW112" s="99"/>
      <c r="HX112" s="97">
        <f t="shared" si="21"/>
        <v>5</v>
      </c>
      <c r="HY112" s="97">
        <f t="shared" si="22"/>
        <v>7</v>
      </c>
      <c r="HZ112" s="90">
        <f t="shared" si="23"/>
        <v>12</v>
      </c>
      <c r="IA112" s="99"/>
      <c r="IB112" s="97">
        <f t="shared" si="24"/>
        <v>5</v>
      </c>
      <c r="IC112" s="97">
        <f t="shared" si="25"/>
        <v>6</v>
      </c>
      <c r="ID112" s="90">
        <f t="shared" si="26"/>
        <v>11</v>
      </c>
      <c r="IE112" s="99"/>
      <c r="IF112" s="97">
        <f t="shared" si="27"/>
        <v>7</v>
      </c>
      <c r="IG112" s="97">
        <f t="shared" si="28"/>
        <v>6</v>
      </c>
      <c r="IH112" s="90">
        <f t="shared" si="29"/>
        <v>13</v>
      </c>
      <c r="II112" s="99"/>
      <c r="IJ112" s="97">
        <f t="shared" si="30"/>
        <v>3</v>
      </c>
      <c r="IK112" s="97">
        <f t="shared" si="31"/>
        <v>7</v>
      </c>
      <c r="IL112" s="90">
        <f t="shared" si="32"/>
        <v>10</v>
      </c>
      <c r="IM112" s="99"/>
      <c r="IN112" s="97">
        <f t="shared" si="33"/>
        <v>0</v>
      </c>
      <c r="IO112" s="97">
        <f t="shared" si="34"/>
        <v>0</v>
      </c>
      <c r="IP112" s="90">
        <f t="shared" si="35"/>
        <v>0</v>
      </c>
      <c r="IS112" s="100">
        <f t="shared" si="36"/>
        <v>10</v>
      </c>
      <c r="IT112" s="100">
        <f t="shared" si="37"/>
        <v>6</v>
      </c>
      <c r="IU112" s="100">
        <f t="shared" si="38"/>
        <v>7</v>
      </c>
      <c r="IV112" s="100">
        <f t="shared" si="39"/>
        <v>14</v>
      </c>
      <c r="IW112" s="100">
        <f t="shared" si="40"/>
        <v>13</v>
      </c>
      <c r="IX112" s="100">
        <f t="shared" si="41"/>
        <v>12</v>
      </c>
      <c r="IY112" s="100">
        <f t="shared" si="42"/>
        <v>11</v>
      </c>
      <c r="IZ112" s="100">
        <f t="shared" si="43"/>
        <v>13</v>
      </c>
      <c r="JA112" s="100">
        <f t="shared" si="44"/>
        <v>10</v>
      </c>
      <c r="JB112" s="101">
        <f t="shared" si="45"/>
        <v>0</v>
      </c>
      <c r="JC112" s="102">
        <f t="shared" si="46"/>
        <v>96</v>
      </c>
      <c r="JD112" s="67">
        <f t="shared" si="50"/>
        <v>0</v>
      </c>
      <c r="JE112" s="67">
        <f t="shared" si="47"/>
        <v>4</v>
      </c>
      <c r="JF112" s="67">
        <f t="shared" si="48"/>
        <v>4</v>
      </c>
    </row>
    <row r="113">
      <c r="A113" s="104">
        <f>IFERROR(__xludf.DUMMYFUNCTION("""COMPUTED_VALUE"""),45961.81050724537)</f>
        <v>45961.81051</v>
      </c>
      <c r="B113" s="105" t="str">
        <f>IFERROR(__xludf.DUMMYFUNCTION("""COMPUTED_VALUE"""),"Alika Aisyah Putri ")</f>
        <v>Alika Aisyah Putri </v>
      </c>
      <c r="C113" s="7" t="str">
        <f>IFERROR(__xludf.DUMMYFUNCTION("""COMPUTED_VALUE"""),"D250021")</f>
        <v>D250021</v>
      </c>
      <c r="D113" s="7" t="str">
        <f>IFERROR(__xludf.DUMMYFUNCTION("""COMPUTED_VALUE"""),"MTs Putri")</f>
        <v>MTs Putri</v>
      </c>
      <c r="E113" s="7" t="str">
        <f>IFERROR(__xludf.DUMMYFUNCTION("""COMPUTED_VALUE"""),"Ya")</f>
        <v>Ya</v>
      </c>
      <c r="F113" s="105" t="str">
        <f>IFERROR(__xludf.DUMMYFUNCTION("""COMPUTED_VALUE"""),"A Saya ingin mengerjakan segala tugas lebih baik daripada orang lain.")</f>
        <v>A Saya ingin mengerjakan segala tugas lebih baik daripada orang lain.</v>
      </c>
      <c r="G113" s="105" t="str">
        <f>IFERROR(__xludf.DUMMYFUNCTION("""COMPUTED_VALUE"""),"A Saya ingin setiap tulisan saya teliti, rapi, dan tersusun dengan baik.")</f>
        <v>A Saya ingin setiap tulisan saya teliti, rapi, dan tersusun dengan baik.</v>
      </c>
      <c r="H113" s="105" t="str">
        <f>IFERROR(__xludf.DUMMYFUNCTION("""COMPUTED_VALUE"""),"A Saya ingin berbuat sesuai kata hati saya.")</f>
        <v>A Saya ingin berbuat sesuai kata hati saya.</v>
      </c>
      <c r="I113" s="105" t="str">
        <f>IFERROR(__xludf.DUMMYFUNCTION("""COMPUTED_VALUE"""),"B Saya ingin bisa melakukan dengan baik meskipun tugas yang sulit.")</f>
        <v>B Saya ingin bisa melakukan dengan baik meskipun tugas yang sulit.</v>
      </c>
      <c r="J113" s="105" t="str">
        <f>IFERROR(__xludf.DUMMYFUNCTION("""COMPUTED_VALUE"""),"A Saya suka membantu teman-teman saya apabila mereka mengalami kesulitan.")</f>
        <v>A Saya suka membantu teman-teman saya apabila mereka mengalami kesulitan.</v>
      </c>
      <c r="K113" s="105" t="str">
        <f>IFERROR(__xludf.DUMMYFUNCTION("""COMPUTED_VALUE"""),"B Saya ingin mengatakan telah melakukan dengan baik sesuatu tugas yang sulit.")</f>
        <v>B Saya ingin mengatakan telah melakukan dengan baik sesuatu tugas yang sulit.</v>
      </c>
      <c r="L113" s="105" t="str">
        <f>IFERROR(__xludf.DUMMYFUNCTION("""COMPUTED_VALUE"""),"B Saya ingin mengatakan telah melakukan dengan baik sesuatu tugas yang sulit")</f>
        <v>B Saya ingin mengatakan telah melakukan dengan baik sesuatu tugas yang sulit</v>
      </c>
      <c r="M113" s="105" t="str">
        <f>IFERROR(__xludf.DUMMYFUNCTION("""COMPUTED_VALUE"""),"A Saya suka berbicara tentang hal-hal yang telah berhasil saya lakukan.")</f>
        <v>A Saya suka berbicara tentang hal-hal yang telah berhasil saya lakukan.</v>
      </c>
      <c r="N113" s="105" t="str">
        <f>IFERROR(__xludf.DUMMYFUNCTION("""COMPUTED_VALUE"""),"A Saya suka pergi dengan pakaian rapi agar lebih menarik perhatian orang lain.")</f>
        <v>A Saya suka pergi dengan pakaian rapi agar lebih menarik perhatian orang lain.</v>
      </c>
      <c r="O113" s="105" t="str">
        <f>IFERROR(__xludf.DUMMYFUNCTION("""COMPUTED_VALUE"""),"A Saya marah saat ada teman memperolok-olok hal-hal yang saya anggap bodoh.")</f>
        <v>A Saya marah saat ada teman memperolok-olok hal-hal yang saya anggap bodoh.</v>
      </c>
      <c r="P113" s="105" t="str">
        <f>IFERROR(__xludf.DUMMYFUNCTION("""COMPUTED_VALUE"""),"A Saya suka bercerita tentang hal-hal yang menegangkan atau menantang.")</f>
        <v>A Saya suka bercerita tentang hal-hal yang menegangkan atau menantang.</v>
      </c>
      <c r="Q113" s="105" t="str">
        <f>IFERROR(__xludf.DUMMYFUNCTION("""COMPUTED_VALUE"""),"B Saya merencanakan keperluan yang dibutuhkan sebelum bepergian.")</f>
        <v>B Saya merencanakan keperluan yang dibutuhkan sebelum bepergian.</v>
      </c>
      <c r="R113" s="105" t="str">
        <f>IFERROR(__xludf.DUMMYFUNCTION("""COMPUTED_VALUE"""),"B Saya suka barang-barang saya tersusun rapi dan teratur.")</f>
        <v>B Saya suka barang-barang saya tersusun rapi dan teratur.</v>
      </c>
      <c r="S113" s="105" t="str">
        <f>IFERROR(__xludf.DUMMYFUNCTION("""COMPUTED_VALUE"""),"B Saya suka membuat perencanaan sebelum memulai tugas yang sulit.")</f>
        <v>B Saya suka membuat perencanaan sebelum memulai tugas yang sulit.</v>
      </c>
      <c r="T113" s="105" t="str">
        <f>IFERROR(__xludf.DUMMYFUNCTION("""COMPUTED_VALUE"""),"B Saya ingin agar hidup saya teratur sesuai cita-cita saya.")</f>
        <v>B Saya ingin agar hidup saya teratur sesuai cita-cita saya.</v>
      </c>
      <c r="U113" s="105" t="str">
        <f>IFERROR(__xludf.DUMMYFUNCTION("""COMPUTED_VALUE"""),"A Saya suka memberikan bantuan kepada teman-teman saya.")</f>
        <v>A Saya suka memberikan bantuan kepada teman-teman saya.</v>
      </c>
      <c r="V113" s="105" t="str">
        <f>IFERROR(__xludf.DUMMYFUNCTION("""COMPUTED_VALUE"""),"B Saya suka belajar saya teratur dan ada waktu-waktu tertentu untuk belajar.")</f>
        <v>B Saya suka belajar saya teratur dan ada waktu-waktu tertentu untuk belajar.</v>
      </c>
      <c r="W113" s="105" t="str">
        <f>IFERROR(__xludf.DUMMYFUNCTION("""COMPUTED_VALUE"""),"A Saya suka melakukan kegiatan sesuai kondisi yang saya inginkan.")</f>
        <v>A Saya suka melakukan kegiatan sesuai kondisi yang saya inginkan.</v>
      </c>
      <c r="X113" s="105" t="str">
        <f>IFERROR(__xludf.DUMMYFUNCTION("""COMPUTED_VALUE"""),"B Saya ingin agar hidup saya teratur sesuai cita-cita saya.")</f>
        <v>B Saya ingin agar hidup saya teratur sesuai cita-cita saya.</v>
      </c>
      <c r="Y113" s="105" t="str">
        <f>IFERROR(__xludf.DUMMYFUNCTION("""COMPUTED_VALUE"""),"B Saya senang merencanakan untuk masa depan.")</f>
        <v>B Saya senang merencanakan untuk masa depan.</v>
      </c>
      <c r="Z113" s="105" t="str">
        <f>IFERROR(__xludf.DUMMYFUNCTION("""COMPUTED_VALUE"""),"B Saya ingin merasa bebas untuk melakukan apa yang saya inginkan.")</f>
        <v>B Saya ingin merasa bebas untuk melakukan apa yang saya inginkan.</v>
      </c>
      <c r="AA113" s="105" t="str">
        <f>IFERROR(__xludf.DUMMYFUNCTION("""COMPUTED_VALUE"""),"B Saya tidak suka pada orang yang berbuat seenaknya sendiri.")</f>
        <v>B Saya tidak suka pada orang yang berbuat seenaknya sendiri.</v>
      </c>
      <c r="AB113" s="105" t="str">
        <f>IFERROR(__xludf.DUMMYFUNCTION("""COMPUTED_VALUE"""),"B Saya ingin menyelesaikan pekerjaan satu persatu sebelum memulai yang lain.")</f>
        <v>B Saya ingin menyelesaikan pekerjaan satu persatu sebelum memulai yang lain.</v>
      </c>
      <c r="AC113" s="105" t="str">
        <f>IFERROR(__xludf.DUMMYFUNCTION("""COMPUTED_VALUE"""),"B Saya suka melakukan kegiatan sesuai kondisi yang saya inginkan.")</f>
        <v>B Saya suka melakukan kegiatan sesuai kondisi yang saya inginkan.</v>
      </c>
      <c r="AD113" s="105" t="str">
        <f>IFERROR(__xludf.DUMMYFUNCTION("""COMPUTED_VALUE"""),"B Saya suka menyatakan pendapat saya tentang berbagai hal.")</f>
        <v>B Saya suka menyatakan pendapat saya tentang berbagai hal.</v>
      </c>
      <c r="AE113" s="105" t="str">
        <f>IFERROR(__xludf.DUMMYFUNCTION("""COMPUTED_VALUE"""),"B Saya suka melakukan hal-hal yang dianggap orang lain tidak sesuai.")</f>
        <v>B Saya suka melakukan hal-hal yang dianggap orang lain tidak sesuai.</v>
      </c>
      <c r="AF113" s="105" t="str">
        <f>IFERROR(__xludf.DUMMYFUNCTION("""COMPUTED_VALUE"""),"B Saya suka melakukan hal-hal dengan cara saya sendiri.")</f>
        <v>B Saya suka melakukan hal-hal dengan cara saya sendiri.</v>
      </c>
      <c r="AG113" s="105" t="str">
        <f>IFERROR(__xludf.DUMMYFUNCTION("""COMPUTED_VALUE"""),"B Saya ingin berhasil dengan tugas yang saya lakukan.")</f>
        <v>B Saya ingin berhasil dengan tugas yang saya lakukan.</v>
      </c>
      <c r="AH113" s="105" t="str">
        <f>IFERROR(__xludf.DUMMYFUNCTION("""COMPUTED_VALUE"""),"B Saya ingin merasa bebas untuk melakukan apa yang saya kehendaki.")</f>
        <v>B Saya ingin merasa bebas untuk melakukan apa yang saya kehendaki.</v>
      </c>
      <c r="AI113" s="105" t="str">
        <f>IFERROR(__xludf.DUMMYFUNCTION("""COMPUTED_VALUE"""),"B Saya suka melakukan kegiatan sesuai kondisi yang saya inginkan.")</f>
        <v>B Saya suka melakukan kegiatan sesuai kondisi yang saya inginkan.</v>
      </c>
      <c r="AJ113" s="105" t="str">
        <f>IFERROR(__xludf.DUMMYFUNCTION("""COMPUTED_VALUE"""),"B Saya suka bertahan menghadapi satu masalah meskipun belum tentu berhasil.")</f>
        <v>B Saya suka bertahan menghadapi satu masalah meskipun belum tentu berhasil.</v>
      </c>
      <c r="AK113" s="105" t="str">
        <f>IFERROR(__xludf.DUMMYFUNCTION("""COMPUTED_VALUE"""),"B Bila saya harus melakukan suatu tugas, saya ingin mengerjakan sampai selesai.")</f>
        <v>B Bila saya harus melakukan suatu tugas, saya ingin mengerjakan sampai selesai.</v>
      </c>
      <c r="AL113" s="105" t="str">
        <f>IFERROR(__xludf.DUMMYFUNCTION("""COMPUTED_VALUE"""),"B Saya ingin menghindarkan gangguan bila saya sedang belajar.")</f>
        <v>B Saya ingin menghindarkan gangguan bila saya sedang belajar.</v>
      </c>
      <c r="AM113" s="105" t="str">
        <f>IFERROR(__xludf.DUMMYFUNCTION("""COMPUTED_VALUE"""),"B Saya suka belajar sampai malam untuk menyelesaikan suatu tugas.")</f>
        <v>B Saya suka belajar sampai malam untuk menyelesaikan suatu tugas.</v>
      </c>
      <c r="AN113" s="105" t="str">
        <f>IFERROR(__xludf.DUMMYFUNCTION("""COMPUTED_VALUE"""),"A Saya tidak suka pada orang yang semena-mena.")</f>
        <v>A Saya tidak suka pada orang yang semena-mena.</v>
      </c>
      <c r="AO113" s="105" t="str">
        <f>IFERROR(__xludf.DUMMYFUNCTION("""COMPUTED_VALUE"""),"A Saya suka berlaku sangat ramah terhadap teman-teman saya.")</f>
        <v>A Saya suka berlaku sangat ramah terhadap teman-teman saya.</v>
      </c>
      <c r="AP113" s="105" t="str">
        <f>IFERROR(__xludf.DUMMYFUNCTION("""COMPUTED_VALUE"""),"A Saya ingin mengerjakannya tugas sampai selesai.")</f>
        <v>A Saya ingin mengerjakannya tugas sampai selesai.</v>
      </c>
      <c r="AQ113" s="105" t="str">
        <f>IFERROR(__xludf.DUMMYFUNCTION("""COMPUTED_VALUE"""),"A Saya ingin bisa mengerjakan segala sesuatu lebih baik daripada orang-orang lain.")</f>
        <v>A Saya ingin bisa mengerjakan segala sesuatu lebih baik daripada orang-orang lain.</v>
      </c>
      <c r="AR113" s="105" t="str">
        <f>IFERROR(__xludf.DUMMYFUNCTION("""COMPUTED_VALUE"""),"A Saya suka menyimpan catatan secara rapi.")</f>
        <v>A Saya suka menyimpan catatan secara rapi.</v>
      </c>
      <c r="AS113" s="105" t="str">
        <f>IFERROR(__xludf.DUMMYFUNCTION("""COMPUTED_VALUE"""),"A Saya ingin dapat menyelesaikan persoalan yang dianggap sukar bagi orang lain.")</f>
        <v>A Saya ingin dapat menyelesaikan persoalan yang dianggap sukar bagi orang lain.</v>
      </c>
      <c r="AT113" s="105" t="str">
        <f>IFERROR(__xludf.DUMMYFUNCTION("""COMPUTED_VALUE"""),"B Saya suka membantu orang lain yang menurut saya perlu dikasihani.")</f>
        <v>B Saya suka membantu orang lain yang menurut saya perlu dikasihani.</v>
      </c>
      <c r="AU113" s="105" t="str">
        <f>IFERROR(__xludf.DUMMYFUNCTION("""COMPUTED_VALUE"""),"B Saya suka bermurah hati terhadap teman-teman saya.")</f>
        <v>B Saya suka bermurah hati terhadap teman-teman saya.</v>
      </c>
      <c r="AV113" s="105" t="str">
        <f>IFERROR(__xludf.DUMMYFUNCTION("""COMPUTED_VALUE"""),"B Saya suka menolong teman-teman saya.")</f>
        <v>B Saya suka menolong teman-teman saya.</v>
      </c>
      <c r="AW113" s="105" t="str">
        <f>IFERROR(__xludf.DUMMYFUNCTION("""COMPUTED_VALUE"""),"B Saya ingin teman-teman saya percaya bahwa saya bisa menolong mereka.")</f>
        <v>B Saya ingin teman-teman saya percaya bahwa saya bisa menolong mereka.</v>
      </c>
      <c r="AX113" s="105" t="str">
        <f>IFERROR(__xludf.DUMMYFUNCTION("""COMPUTED_VALUE"""),"B Saya suka memaafkan teman-teman saya yang menyakiti hati saya.")</f>
        <v>B Saya suka memaafkan teman-teman saya yang menyakiti hati saya.</v>
      </c>
      <c r="AY113" s="105" t="str">
        <f>IFERROR(__xludf.DUMMYFUNCTION("""COMPUTED_VALUE"""),"B Saya suka menolong teman-teman saya apabila mereka dalam kesulitan.")</f>
        <v>B Saya suka menolong teman-teman saya apabila mereka dalam kesulitan.</v>
      </c>
      <c r="AZ113" s="105" t="str">
        <f>IFERROR(__xludf.DUMMYFUNCTION("""COMPUTED_VALUE"""),"B Saya suka menunjukkan simpati saya kepada teman-teman saya.")</f>
        <v>B Saya suka menunjukkan simpati saya kepada teman-teman saya.</v>
      </c>
      <c r="BA113" s="105" t="str">
        <f>IFERROR(__xludf.DUMMYFUNCTION("""COMPUTED_VALUE"""),"B Saya suka memperlakukan orang lain dengan baik dan ramah.")</f>
        <v>B Saya suka memperlakukan orang lain dengan baik dan ramah.</v>
      </c>
      <c r="BB113" s="105" t="str">
        <f>IFERROR(__xludf.DUMMYFUNCTION("""COMPUTED_VALUE"""),"B Saya suka bermurah hati terhadap teman-teman saya.")</f>
        <v>B Saya suka bermurah hati terhadap teman-teman saya.</v>
      </c>
      <c r="BC113" s="105" t="str">
        <f>IFERROR(__xludf.DUMMYFUNCTION("""COMPUTED_VALUE"""),"B Saya suka membantu orang lain yang menurut saya perlu dikasihani.")</f>
        <v>B Saya suka membantu orang lain yang menurut saya perlu dikasihani.</v>
      </c>
      <c r="BD113" s="105" t="str">
        <f>IFERROR(__xludf.DUMMYFUNCTION("""COMPUTED_VALUE"""),"B Saya suka bersikukuh dengan pendirian saya.")</f>
        <v>B Saya suka bersikukuh dengan pendirian saya.</v>
      </c>
      <c r="BE113" s="105" t="str">
        <f>IFERROR(__xludf.DUMMYFUNCTION("""COMPUTED_VALUE"""),"A Saya suka mendengarkan atau menceritakan hal-hal yang sebaiknya tidak diceritakan.")</f>
        <v>A Saya suka mendengarkan atau menceritakan hal-hal yang sebaiknya tidak diceritakan.</v>
      </c>
      <c r="BF113" s="105" t="str">
        <f>IFERROR(__xludf.DUMMYFUNCTION("""COMPUTED_VALUE"""),"B Bila saya dalam kelompok, saya ingin menentukan apa yang akan kita lakukan.")</f>
        <v>B Bila saya dalam kelompok, saya ingin menentukan apa yang akan kita lakukan.</v>
      </c>
      <c r="BG113" s="105" t="str">
        <f>IFERROR(__xludf.DUMMYFUNCTION("""COMPUTED_VALUE"""),"A Saya ingin teman-teman banyak menunjukkan rasa sayang mereka terhadap saya.")</f>
        <v>A Saya ingin teman-teman banyak menunjukkan rasa sayang mereka terhadap saya.</v>
      </c>
      <c r="BH113" s="105" t="str">
        <f>IFERROR(__xludf.DUMMYFUNCTION("""COMPUTED_VALUE"""),"A Saya suka menghindar dari situasi yang tidak saya harapkan.")</f>
        <v>A Saya suka menghindar dari situasi yang tidak saya harapkan.</v>
      </c>
      <c r="BI113" s="105" t="str">
        <f>IFERROR(__xludf.DUMMYFUNCTION("""COMPUTED_VALUE"""),"A Saya suka bermurah hati terhadap teman-teman saya.")</f>
        <v>A Saya suka bermurah hati terhadap teman-teman saya.</v>
      </c>
      <c r="BJ113" s="105" t="str">
        <f>IFERROR(__xludf.DUMMYFUNCTION("""COMPUTED_VALUE"""),"A Saya ingin mengerjakan tugas sampai selesai.")</f>
        <v>A Saya ingin mengerjakan tugas sampai selesai.</v>
      </c>
      <c r="BK113" s="105" t="str">
        <f>IFERROR(__xludf.DUMMYFUNCTION("""COMPUTED_VALUE"""),"B Saya senang untuk diminta menyelesaikan pertentangan-pertentangan.")</f>
        <v>B Saya senang untuk diminta menyelesaikan pertentangan-pertentangan.</v>
      </c>
      <c r="BL113" s="105" t="str">
        <f>IFERROR(__xludf.DUMMYFUNCTION("""COMPUTED_VALUE"""),"A Saya suka belajar saya teratur dan ada waktu-waktu tertentu untuk belajar.")</f>
        <v>A Saya suka belajar saya teratur dan ada waktu-waktu tertentu untuk belajar.</v>
      </c>
      <c r="BM113" s="105" t="str">
        <f>IFERROR(__xludf.DUMMYFUNCTION("""COMPUTED_VALUE"""),"A Saya suka melakukan pekerjaan sebaik mungkin.")</f>
        <v>A Saya suka melakukan pekerjaan sebaik mungkin.</v>
      </c>
      <c r="BN113" s="105" t="str">
        <f>IFERROR(__xludf.DUMMYFUNCTION("""COMPUTED_VALUE"""),"A Saya suka mengerjakan teka-teki atau memecahkan persoalan sampai selesai.")</f>
        <v>A Saya suka mengerjakan teka-teki atau memecahkan persoalan sampai selesai.</v>
      </c>
      <c r="BO113" s="105" t="str">
        <f>IFERROR(__xludf.DUMMYFUNCTION("""COMPUTED_VALUE"""),"A Saya suka membuat perencanaan sebelum memulai belajar yang sulit.")</f>
        <v>A Saya suka membuat perencanaan sebelum memulai belajar yang sulit.</v>
      </c>
      <c r="BP113" s="105" t="str">
        <f>IFERROR(__xludf.DUMMYFUNCTION("""COMPUTED_VALUE"""),"A Saya ingin menyelesaikan sesuatu yang sangat penting artinya.")</f>
        <v>A Saya ingin menyelesaikan sesuatu yang sangat penting artinya.</v>
      </c>
      <c r="BQ113" s="105" t="str">
        <f>IFERROR(__xludf.DUMMYFUNCTION("""COMPUTED_VALUE"""),"A Saya ingin mengerjakannya tugas sampai selesai.")</f>
        <v>A Saya ingin mengerjakannya tugas sampai selesai.</v>
      </c>
      <c r="BR113" s="105" t="str">
        <f>IFERROR(__xludf.DUMMYFUNCTION("""COMPUTED_VALUE"""),"A Saya suka memaafkan teman-teman saya yang menyakiti hati saya.")</f>
        <v>A Saya suka memaafkan teman-teman saya yang menyakiti hati saya.</v>
      </c>
      <c r="BS113" s="105" t="str">
        <f>IFERROR(__xludf.DUMMYFUNCTION("""COMPUTED_VALUE"""),"B Saya ingin teman-teman saya membantu saya bila saya mengalami kesulitan")</f>
        <v>B Saya ingin teman-teman saya membantu saya bila saya mengalami kesulitan</v>
      </c>
      <c r="BT113" s="105" t="str">
        <f>IFERROR(__xludf.DUMMYFUNCTION("""COMPUTED_VALUE"""),"B Saya ingin teman-teman banyak menunjukkan rasa sayang mereka terhadap saya.")</f>
        <v>B Saya ingin teman-teman banyak menunjukkan rasa sayang mereka terhadap saya.</v>
      </c>
      <c r="BU113" s="105" t="str">
        <f>IFERROR(__xludf.DUMMYFUNCTION("""COMPUTED_VALUE"""),"A Saya kadang-kadang suka melakukan hal-hal yang dapat dipuji oleh orang lain.")</f>
        <v>A Saya kadang-kadang suka melakukan hal-hal yang dapat dipuji oleh orang lain.</v>
      </c>
      <c r="BV113" s="105" t="str">
        <f>IFERROR(__xludf.DUMMYFUNCTION("""COMPUTED_VALUE"""),"B Saya ingin teman-teman dengan gembira memberikan pertolongan kepada saya.")</f>
        <v>B Saya ingin teman-teman dengan gembira memberikan pertolongan kepada saya.</v>
      </c>
      <c r="BW113" s="105" t="str">
        <f>IFERROR(__xludf.DUMMYFUNCTION("""COMPUTED_VALUE"""),"A Saya akan menyerang pendapat yang bertentangan dengan pendirian saya.")</f>
        <v>A Saya akan menyerang pendapat yang bertentangan dengan pendirian saya.</v>
      </c>
      <c r="BX113" s="105" t="str">
        <f>IFERROR(__xludf.DUMMYFUNCTION("""COMPUTED_VALUE"""),"B Saya kadang-kadang suka melakukan hal-hal yang dapat dipuji oleh orang lain.")</f>
        <v>B Saya kadang-kadang suka melakukan hal-hal yang dapat dipuji oleh orang lain.</v>
      </c>
      <c r="BY113" s="105" t="str">
        <f>IFERROR(__xludf.DUMMYFUNCTION("""COMPUTED_VALUE"""),"A Saya suka melamun atau membayangkan hal-hal yang tidak jelas.")</f>
        <v>A Saya suka melamun atau membayangkan hal-hal yang tidak jelas.</v>
      </c>
      <c r="BZ113" s="105" t="str">
        <f>IFERROR(__xludf.DUMMYFUNCTION("""COMPUTED_VALUE"""),"A Saya suka berkata yang artinya sulit dipahami oleh orang lain.")</f>
        <v>A Saya suka berkata yang artinya sulit dipahami oleh orang lain.</v>
      </c>
      <c r="CA113" s="105" t="str">
        <f>IFERROR(__xludf.DUMMYFUNCTION("""COMPUTED_VALUE"""),"B Saya suka mengajukan pertanyaan agar orang lain memperhatikan saya.")</f>
        <v>B Saya suka mengajukan pertanyaan agar orang lain memperhatikan saya.</v>
      </c>
      <c r="CB113" s="105" t="str">
        <f>IFERROR(__xludf.DUMMYFUNCTION("""COMPUTED_VALUE"""),"B Saya suka berbicara tentang hal-hal yang telah saya capai.")</f>
        <v>B Saya suka berbicara tentang hal-hal yang telah saya capai.</v>
      </c>
      <c r="CC113" s="105" t="str">
        <f>IFERROR(__xludf.DUMMYFUNCTION("""COMPUTED_VALUE"""),"B Saya suka menceritakan hal-hal lucu agar diperhatikan oleh orang lain.")</f>
        <v>B Saya suka menceritakan hal-hal lucu agar diperhatikan oleh orang lain.</v>
      </c>
      <c r="CD113" s="105" t="str">
        <f>IFERROR(__xludf.DUMMYFUNCTION("""COMPUTED_VALUE"""),"B Saya suka berkata yang artinya sulit dipahami oleh orang lain.")</f>
        <v>B Saya suka berkata yang artinya sulit dipahami oleh orang lain.</v>
      </c>
      <c r="CE113" s="105" t="str">
        <f>IFERROR(__xludf.DUMMYFUNCTION("""COMPUTED_VALUE"""),"A Saya suka menyelesaikan setiap tugas belajar yang telah saya mulai.")</f>
        <v>A Saya suka menyelesaikan setiap tugas belajar yang telah saya mulai.</v>
      </c>
      <c r="CF113" s="105" t="str">
        <f>IFERROR(__xludf.DUMMYFUNCTION("""COMPUTED_VALUE"""),"A Saya ingin agar hidup saya teratur sesuai cita-cita saya.")</f>
        <v>A Saya ingin agar hidup saya teratur sesuai cita-cita saya.</v>
      </c>
      <c r="CG113" s="105" t="str">
        <f>IFERROR(__xludf.DUMMYFUNCTION("""COMPUTED_VALUE"""),"A Saya ingin berhasil dalam apa yang saya lakukan.")</f>
        <v>A Saya ingin berhasil dalam apa yang saya lakukan.</v>
      </c>
      <c r="CH113" s="105" t="str">
        <f>IFERROR(__xludf.DUMMYFUNCTION("""COMPUTED_VALUE"""),"B Saya suka dengan orang yang berpenampilan menarik.")</f>
        <v>B Saya suka dengan orang yang berpenampilan menarik.</v>
      </c>
      <c r="CI113" s="105" t="str">
        <f>IFERROR(__xludf.DUMMYFUNCTION("""COMPUTED_VALUE"""),"A Saya suka belajar saya teratur dan ada waktu-waktu tertentu untuk belajar.")</f>
        <v>A Saya suka belajar saya teratur dan ada waktu-waktu tertentu untuk belajar.</v>
      </c>
      <c r="CJ113" s="105" t="str">
        <f>IFERROR(__xludf.DUMMYFUNCTION("""COMPUTED_VALUE"""),"A Saya ingin tidak tergantung dari orang lain terhadap apa yang akan saya lakukan.")</f>
        <v>A Saya ingin tidak tergantung dari orang lain terhadap apa yang akan saya lakukan.</v>
      </c>
      <c r="CK113" s="105" t="str">
        <f>IFERROR(__xludf.DUMMYFUNCTION("""COMPUTED_VALUE"""),"A Saya suka bertahan menghadapi satu masalah, meskipun belum tentu berhasil.")</f>
        <v>A Saya suka bertahan menghadapi satu masalah, meskipun belum tentu berhasil.</v>
      </c>
      <c r="CL113" s="105" t="str">
        <f>IFERROR(__xludf.DUMMYFUNCTION("""COMPUTED_VALUE"""),"A Saya suka menolong teman-teman saya, apabila mereka dalam kesulitan.")</f>
        <v>A Saya suka menolong teman-teman saya, apabila mereka dalam kesulitan.</v>
      </c>
      <c r="CM113" s="105" t="str">
        <f>IFERROR(__xludf.DUMMYFUNCTION("""COMPUTED_VALUE"""),"B Saya merasa kagum pada seseorang.")</f>
        <v>B Saya merasa kagum pada seseorang.</v>
      </c>
      <c r="CN113" s="105" t="str">
        <f>IFERROR(__xludf.DUMMYFUNCTION("""COMPUTED_VALUE"""),"A Saya ingin diperlakukan dengan baik oleh teman-teman saya.")</f>
        <v>A Saya ingin diperlakukan dengan baik oleh teman-teman saya.</v>
      </c>
      <c r="CO113" s="105" t="str">
        <f>IFERROR(__xludf.DUMMYFUNCTION("""COMPUTED_VALUE"""),"B Saya suka memuji orang yang saya kagumi.")</f>
        <v>B Saya suka memuji orang yang saya kagumi.</v>
      </c>
      <c r="CP113" s="105" t="str">
        <f>IFERROR(__xludf.DUMMYFUNCTION("""COMPUTED_VALUE"""),"A Saya suka melamun atau membayangkan sesuatu sendirian.")</f>
        <v>A Saya suka melamun atau membayangkan sesuatu sendirian.</v>
      </c>
      <c r="CQ113" s="105" t="str">
        <f>IFERROR(__xludf.DUMMYFUNCTION("""COMPUTED_VALUE"""),"B Saya merasa kagum pada seseorang.")</f>
        <v>B Saya merasa kagum pada seseorang.</v>
      </c>
      <c r="CR113" s="105" t="str">
        <f>IFERROR(__xludf.DUMMYFUNCTION("""COMPUTED_VALUE"""),"A Saya ingin memperolok-olok orang yang saya anggap melakukan tindakan bodoh.")</f>
        <v>A Saya ingin memperolok-olok orang yang saya anggap melakukan tindakan bodoh.</v>
      </c>
      <c r="CS113" s="105" t="str">
        <f>IFERROR(__xludf.DUMMYFUNCTION("""COMPUTED_VALUE"""),"A Saya ingin terlihat menarik di depan teman-teman saya.")</f>
        <v>A Saya ingin terlihat menarik di depan teman-teman saya.</v>
      </c>
      <c r="CT113" s="105" t="str">
        <f>IFERROR(__xludf.DUMMYFUNCTION("""COMPUTED_VALUE"""),"A Saya ingin orang-orang memperhatikan komentar mengenai penampilan saya.")</f>
        <v>A Saya ingin orang-orang memperhatikan komentar mengenai penampilan saya.</v>
      </c>
      <c r="CU113" s="105" t="str">
        <f>IFERROR(__xludf.DUMMYFUNCTION("""COMPUTED_VALUE"""),"A Saya ingin diperlakukan dengan ramah oleh teman-teman saya.")</f>
        <v>A Saya ingin diperlakukan dengan ramah oleh teman-teman saya.</v>
      </c>
      <c r="CV113" s="105" t="str">
        <f>IFERROR(__xludf.DUMMYFUNCTION("""COMPUTED_VALUE"""),"B Saya menyerang pendirian-pendirian yang bertentangan dengan pendirian saya.")</f>
        <v>B Saya menyerang pendirian-pendirian yang bertentangan dengan pendirian saya.</v>
      </c>
      <c r="CW113" s="105" t="str">
        <f>IFERROR(__xludf.DUMMYFUNCTION("""COMPUTED_VALUE"""),"A Saya suka menolong teman-teman saya, apabila mereka dalam kesulitan.")</f>
        <v>A Saya suka menolong teman-teman saya, apabila mereka dalam kesulitan.</v>
      </c>
      <c r="CX113" s="105" t="str">
        <f>IFERROR(__xludf.DUMMYFUNCTION("""COMPUTED_VALUE"""),"A Saya suka belajar sampai malam untuk menyelesaikan suatu tugas.")</f>
        <v>A Saya suka belajar sampai malam untuk menyelesaikan suatu tugas.</v>
      </c>
      <c r="CY113" s="105" t="str">
        <f>IFERROR(__xludf.DUMMYFUNCTION("""COMPUTED_VALUE"""),"A Saya ingin tidak tergantung dari orang lain terhadap apa yang akan saya lakukan.")</f>
        <v>A Saya ingin tidak tergantung dari orang lain terhadap apa yang akan saya lakukan.</v>
      </c>
      <c r="CZ113" s="105" t="str">
        <f>IFERROR(__xludf.DUMMYFUNCTION("""COMPUTED_VALUE"""),"A Saya suka merencanakan dan mengatur setiap pekerjaan yang harus saya lakukan.")</f>
        <v>A Saya suka merencanakan dan mengatur setiap pekerjaan yang harus saya lakukan.</v>
      </c>
      <c r="DA113" s="105" t="str">
        <f>IFERROR(__xludf.DUMMYFUNCTION("""COMPUTED_VALUE"""),"A Saya ingin melakukan apa saja sebaik mungkin.")</f>
        <v>A Saya ingin melakukan apa saja sebaik mungkin.</v>
      </c>
      <c r="DB113" s="89" t="s">
        <v>23</v>
      </c>
      <c r="DC113" s="97" t="str">
        <f t="shared" ref="DC113:GX113" si="158">LEFT(F113,1)</f>
        <v>A</v>
      </c>
      <c r="DD113" s="97" t="str">
        <f t="shared" si="158"/>
        <v>A</v>
      </c>
      <c r="DE113" s="97" t="str">
        <f t="shared" si="158"/>
        <v>A</v>
      </c>
      <c r="DF113" s="97" t="str">
        <f t="shared" si="158"/>
        <v>B</v>
      </c>
      <c r="DG113" s="97" t="str">
        <f t="shared" si="158"/>
        <v>A</v>
      </c>
      <c r="DH113" s="97" t="str">
        <f t="shared" si="158"/>
        <v>B</v>
      </c>
      <c r="DI113" s="97" t="str">
        <f t="shared" si="158"/>
        <v>B</v>
      </c>
      <c r="DJ113" s="97" t="str">
        <f t="shared" si="158"/>
        <v>A</v>
      </c>
      <c r="DK113" s="97" t="str">
        <f t="shared" si="158"/>
        <v>A</v>
      </c>
      <c r="DL113" s="97" t="str">
        <f t="shared" si="158"/>
        <v>A</v>
      </c>
      <c r="DM113" s="97" t="str">
        <f t="shared" si="158"/>
        <v>A</v>
      </c>
      <c r="DN113" s="97" t="str">
        <f t="shared" si="158"/>
        <v>B</v>
      </c>
      <c r="DO113" s="97" t="str">
        <f t="shared" si="158"/>
        <v>B</v>
      </c>
      <c r="DP113" s="97" t="str">
        <f t="shared" si="158"/>
        <v>B</v>
      </c>
      <c r="DQ113" s="97" t="str">
        <f t="shared" si="158"/>
        <v>B</v>
      </c>
      <c r="DR113" s="97" t="str">
        <f t="shared" si="158"/>
        <v>A</v>
      </c>
      <c r="DS113" s="97" t="str">
        <f t="shared" si="158"/>
        <v>B</v>
      </c>
      <c r="DT113" s="97" t="str">
        <f t="shared" si="158"/>
        <v>A</v>
      </c>
      <c r="DU113" s="97" t="str">
        <f t="shared" si="158"/>
        <v>B</v>
      </c>
      <c r="DV113" s="97" t="str">
        <f t="shared" si="158"/>
        <v>B</v>
      </c>
      <c r="DW113" s="97" t="str">
        <f t="shared" si="158"/>
        <v>B</v>
      </c>
      <c r="DX113" s="97" t="str">
        <f t="shared" si="158"/>
        <v>B</v>
      </c>
      <c r="DY113" s="97" t="str">
        <f t="shared" si="158"/>
        <v>B</v>
      </c>
      <c r="DZ113" s="97" t="str">
        <f t="shared" si="158"/>
        <v>B</v>
      </c>
      <c r="EA113" s="97" t="str">
        <f t="shared" si="158"/>
        <v>B</v>
      </c>
      <c r="EB113" s="97" t="str">
        <f t="shared" si="158"/>
        <v>B</v>
      </c>
      <c r="EC113" s="97" t="str">
        <f t="shared" si="158"/>
        <v>B</v>
      </c>
      <c r="ED113" s="97" t="str">
        <f t="shared" si="158"/>
        <v>B</v>
      </c>
      <c r="EE113" s="97" t="str">
        <f t="shared" si="158"/>
        <v>B</v>
      </c>
      <c r="EF113" s="97" t="str">
        <f t="shared" si="158"/>
        <v>B</v>
      </c>
      <c r="EG113" s="97" t="str">
        <f t="shared" si="158"/>
        <v>B</v>
      </c>
      <c r="EH113" s="97" t="str">
        <f t="shared" si="158"/>
        <v>B</v>
      </c>
      <c r="EI113" s="97" t="str">
        <f t="shared" si="158"/>
        <v>B</v>
      </c>
      <c r="EJ113" s="97" t="str">
        <f t="shared" si="158"/>
        <v>B</v>
      </c>
      <c r="EK113" s="97" t="str">
        <f t="shared" si="158"/>
        <v>A</v>
      </c>
      <c r="EL113" s="97" t="str">
        <f t="shared" si="158"/>
        <v>A</v>
      </c>
      <c r="EM113" s="97" t="str">
        <f t="shared" si="158"/>
        <v>A</v>
      </c>
      <c r="EN113" s="97" t="str">
        <f t="shared" si="158"/>
        <v>A</v>
      </c>
      <c r="EO113" s="97" t="str">
        <f t="shared" si="158"/>
        <v>A</v>
      </c>
      <c r="EP113" s="97" t="str">
        <f t="shared" si="158"/>
        <v>A</v>
      </c>
      <c r="EQ113" s="97" t="str">
        <f t="shared" si="158"/>
        <v>B</v>
      </c>
      <c r="ER113" s="97" t="str">
        <f t="shared" si="158"/>
        <v>B</v>
      </c>
      <c r="ES113" s="97" t="str">
        <f t="shared" si="158"/>
        <v>B</v>
      </c>
      <c r="ET113" s="97" t="str">
        <f t="shared" si="158"/>
        <v>B</v>
      </c>
      <c r="EU113" s="97" t="str">
        <f t="shared" si="158"/>
        <v>B</v>
      </c>
      <c r="EV113" s="97" t="str">
        <f t="shared" si="158"/>
        <v>B</v>
      </c>
      <c r="EW113" s="97" t="str">
        <f t="shared" si="158"/>
        <v>B</v>
      </c>
      <c r="EX113" s="97" t="str">
        <f t="shared" si="158"/>
        <v>B</v>
      </c>
      <c r="EY113" s="97" t="str">
        <f t="shared" si="158"/>
        <v>B</v>
      </c>
      <c r="EZ113" s="97" t="str">
        <f t="shared" si="158"/>
        <v>B</v>
      </c>
      <c r="FA113" s="97" t="str">
        <f t="shared" si="158"/>
        <v>B</v>
      </c>
      <c r="FB113" s="97" t="str">
        <f t="shared" si="158"/>
        <v>A</v>
      </c>
      <c r="FC113" s="97" t="str">
        <f t="shared" si="158"/>
        <v>B</v>
      </c>
      <c r="FD113" s="97" t="str">
        <f t="shared" si="158"/>
        <v>A</v>
      </c>
      <c r="FE113" s="97" t="str">
        <f t="shared" si="158"/>
        <v>A</v>
      </c>
      <c r="FF113" s="97" t="str">
        <f t="shared" si="158"/>
        <v>A</v>
      </c>
      <c r="FG113" s="97" t="str">
        <f t="shared" si="158"/>
        <v>A</v>
      </c>
      <c r="FH113" s="97" t="str">
        <f t="shared" si="158"/>
        <v>B</v>
      </c>
      <c r="FI113" s="97" t="str">
        <f t="shared" si="158"/>
        <v>A</v>
      </c>
      <c r="FJ113" s="97" t="str">
        <f t="shared" si="158"/>
        <v>A</v>
      </c>
      <c r="FK113" s="97" t="str">
        <f t="shared" si="158"/>
        <v>A</v>
      </c>
      <c r="FL113" s="97" t="str">
        <f t="shared" si="158"/>
        <v>A</v>
      </c>
      <c r="FM113" s="97" t="str">
        <f t="shared" si="158"/>
        <v>A</v>
      </c>
      <c r="FN113" s="97" t="str">
        <f t="shared" si="158"/>
        <v>A</v>
      </c>
      <c r="FO113" s="97" t="str">
        <f t="shared" si="158"/>
        <v>A</v>
      </c>
      <c r="FP113" s="97" t="str">
        <f t="shared" si="158"/>
        <v>B</v>
      </c>
      <c r="FQ113" s="97" t="str">
        <f t="shared" si="158"/>
        <v>B</v>
      </c>
      <c r="FR113" s="97" t="str">
        <f t="shared" si="158"/>
        <v>A</v>
      </c>
      <c r="FS113" s="97" t="str">
        <f t="shared" si="158"/>
        <v>B</v>
      </c>
      <c r="FT113" s="97" t="str">
        <f t="shared" si="158"/>
        <v>A</v>
      </c>
      <c r="FU113" s="97" t="str">
        <f t="shared" si="158"/>
        <v>B</v>
      </c>
      <c r="FV113" s="97" t="str">
        <f t="shared" si="158"/>
        <v>A</v>
      </c>
      <c r="FW113" s="97" t="str">
        <f t="shared" si="158"/>
        <v>A</v>
      </c>
      <c r="FX113" s="97" t="str">
        <f t="shared" si="158"/>
        <v>B</v>
      </c>
      <c r="FY113" s="97" t="str">
        <f t="shared" si="158"/>
        <v>B</v>
      </c>
      <c r="FZ113" s="97" t="str">
        <f t="shared" si="158"/>
        <v>B</v>
      </c>
      <c r="GA113" s="97" t="str">
        <f t="shared" si="158"/>
        <v>B</v>
      </c>
      <c r="GB113" s="97" t="str">
        <f t="shared" si="158"/>
        <v>A</v>
      </c>
      <c r="GC113" s="97" t="str">
        <f t="shared" si="158"/>
        <v>A</v>
      </c>
      <c r="GD113" s="97" t="str">
        <f t="shared" si="158"/>
        <v>A</v>
      </c>
      <c r="GE113" s="97" t="str">
        <f t="shared" si="158"/>
        <v>B</v>
      </c>
      <c r="GF113" s="97" t="str">
        <f t="shared" si="158"/>
        <v>A</v>
      </c>
      <c r="GG113" s="97" t="str">
        <f t="shared" si="158"/>
        <v>A</v>
      </c>
      <c r="GH113" s="97" t="str">
        <f t="shared" si="158"/>
        <v>A</v>
      </c>
      <c r="GI113" s="97" t="str">
        <f t="shared" si="158"/>
        <v>A</v>
      </c>
      <c r="GJ113" s="97" t="str">
        <f t="shared" si="158"/>
        <v>B</v>
      </c>
      <c r="GK113" s="97" t="str">
        <f t="shared" si="158"/>
        <v>A</v>
      </c>
      <c r="GL113" s="97" t="str">
        <f t="shared" si="158"/>
        <v>B</v>
      </c>
      <c r="GM113" s="97" t="str">
        <f t="shared" si="158"/>
        <v>A</v>
      </c>
      <c r="GN113" s="97" t="str">
        <f t="shared" si="158"/>
        <v>B</v>
      </c>
      <c r="GO113" s="97" t="str">
        <f t="shared" si="158"/>
        <v>A</v>
      </c>
      <c r="GP113" s="97" t="str">
        <f t="shared" si="158"/>
        <v>A</v>
      </c>
      <c r="GQ113" s="97" t="str">
        <f t="shared" si="158"/>
        <v>A</v>
      </c>
      <c r="GR113" s="97" t="str">
        <f t="shared" si="158"/>
        <v>A</v>
      </c>
      <c r="GS113" s="97" t="str">
        <f t="shared" si="158"/>
        <v>B</v>
      </c>
      <c r="GT113" s="97" t="str">
        <f t="shared" si="158"/>
        <v>A</v>
      </c>
      <c r="GU113" s="97" t="str">
        <f t="shared" si="158"/>
        <v>A</v>
      </c>
      <c r="GV113" s="97" t="str">
        <f t="shared" si="158"/>
        <v>A</v>
      </c>
      <c r="GW113" s="97" t="str">
        <f t="shared" si="158"/>
        <v>A</v>
      </c>
      <c r="GX113" s="97" t="str">
        <f t="shared" si="158"/>
        <v>A</v>
      </c>
      <c r="GY113" s="98"/>
      <c r="GZ113" s="97">
        <f t="shared" si="3"/>
        <v>50</v>
      </c>
      <c r="HA113" s="97">
        <f t="shared" si="4"/>
        <v>50</v>
      </c>
      <c r="HB113" s="90">
        <f t="shared" si="5"/>
        <v>100</v>
      </c>
      <c r="HC113" s="99"/>
      <c r="HD113" s="97">
        <f t="shared" si="6"/>
        <v>5</v>
      </c>
      <c r="HE113" s="97">
        <f t="shared" si="7"/>
        <v>3</v>
      </c>
      <c r="HF113" s="90">
        <f t="shared" si="8"/>
        <v>8</v>
      </c>
      <c r="HG113" s="99"/>
      <c r="HH113" s="97">
        <f t="shared" si="9"/>
        <v>7</v>
      </c>
      <c r="HI113" s="97">
        <f t="shared" si="10"/>
        <v>7</v>
      </c>
      <c r="HJ113" s="90">
        <f t="shared" si="11"/>
        <v>14</v>
      </c>
      <c r="HK113" s="99"/>
      <c r="HL113" s="97">
        <f t="shared" si="12"/>
        <v>7</v>
      </c>
      <c r="HM113" s="97">
        <f t="shared" si="13"/>
        <v>10</v>
      </c>
      <c r="HN113" s="90">
        <f t="shared" si="14"/>
        <v>17</v>
      </c>
      <c r="HO113" s="99"/>
      <c r="HP113" s="97">
        <f t="shared" si="15"/>
        <v>4</v>
      </c>
      <c r="HQ113" s="97">
        <f t="shared" si="16"/>
        <v>4</v>
      </c>
      <c r="HR113" s="90">
        <f t="shared" si="17"/>
        <v>8</v>
      </c>
      <c r="HS113" s="99"/>
      <c r="HT113" s="97">
        <f t="shared" si="18"/>
        <v>7</v>
      </c>
      <c r="HU113" s="97">
        <f t="shared" si="19"/>
        <v>10</v>
      </c>
      <c r="HV113" s="90">
        <f t="shared" si="20"/>
        <v>17</v>
      </c>
      <c r="HW113" s="99"/>
      <c r="HX113" s="97">
        <f t="shared" si="21"/>
        <v>1</v>
      </c>
      <c r="HY113" s="97">
        <f t="shared" si="22"/>
        <v>3</v>
      </c>
      <c r="HZ113" s="90">
        <f t="shared" si="23"/>
        <v>4</v>
      </c>
      <c r="IA113" s="99"/>
      <c r="IB113" s="97">
        <f t="shared" si="24"/>
        <v>3</v>
      </c>
      <c r="IC113" s="97">
        <f t="shared" si="25"/>
        <v>3</v>
      </c>
      <c r="ID113" s="90">
        <f t="shared" si="26"/>
        <v>6</v>
      </c>
      <c r="IE113" s="99"/>
      <c r="IF113" s="97">
        <f t="shared" si="27"/>
        <v>3</v>
      </c>
      <c r="IG113" s="97">
        <f t="shared" si="28"/>
        <v>5</v>
      </c>
      <c r="IH113" s="90">
        <f t="shared" si="29"/>
        <v>8</v>
      </c>
      <c r="II113" s="99"/>
      <c r="IJ113" s="97">
        <f t="shared" si="30"/>
        <v>4</v>
      </c>
      <c r="IK113" s="97">
        <f t="shared" si="31"/>
        <v>4</v>
      </c>
      <c r="IL113" s="90">
        <f t="shared" si="32"/>
        <v>8</v>
      </c>
      <c r="IM113" s="99"/>
      <c r="IN113" s="97">
        <f t="shared" si="33"/>
        <v>3</v>
      </c>
      <c r="IO113" s="97">
        <f t="shared" si="34"/>
        <v>1</v>
      </c>
      <c r="IP113" s="90">
        <f t="shared" si="35"/>
        <v>4</v>
      </c>
      <c r="IS113" s="100">
        <f t="shared" si="36"/>
        <v>8</v>
      </c>
      <c r="IT113" s="100">
        <f t="shared" si="37"/>
        <v>14</v>
      </c>
      <c r="IU113" s="100">
        <f t="shared" si="38"/>
        <v>17</v>
      </c>
      <c r="IV113" s="100">
        <f t="shared" si="39"/>
        <v>8</v>
      </c>
      <c r="IW113" s="100">
        <f t="shared" si="40"/>
        <v>17</v>
      </c>
      <c r="IX113" s="100">
        <f t="shared" si="41"/>
        <v>4</v>
      </c>
      <c r="IY113" s="100">
        <f t="shared" si="42"/>
        <v>6</v>
      </c>
      <c r="IZ113" s="100">
        <f t="shared" si="43"/>
        <v>8</v>
      </c>
      <c r="JA113" s="100">
        <f t="shared" si="44"/>
        <v>8</v>
      </c>
      <c r="JB113" s="101">
        <f t="shared" si="45"/>
        <v>4</v>
      </c>
      <c r="JC113" s="102">
        <f t="shared" si="46"/>
        <v>94</v>
      </c>
      <c r="JD113" s="67">
        <f t="shared" si="50"/>
        <v>0</v>
      </c>
      <c r="JE113" s="67">
        <f t="shared" si="47"/>
        <v>0</v>
      </c>
      <c r="JF113" s="67">
        <f t="shared" si="48"/>
        <v>0</v>
      </c>
    </row>
    <row r="114">
      <c r="A114" s="104">
        <f>IFERROR(__xludf.DUMMYFUNCTION("""COMPUTED_VALUE"""),45961.814781608795)</f>
        <v>45961.81478</v>
      </c>
      <c r="B114" s="105" t="str">
        <f>IFERROR(__xludf.DUMMYFUNCTION("""COMPUTED_VALUE"""),"Syahira Zahratul Islam")</f>
        <v>Syahira Zahratul Islam</v>
      </c>
      <c r="C114" s="7" t="str">
        <f>IFERROR(__xludf.DUMMYFUNCTION("""COMPUTED_VALUE"""),"D250018")</f>
        <v>D250018</v>
      </c>
      <c r="D114" s="7" t="str">
        <f>IFERROR(__xludf.DUMMYFUNCTION("""COMPUTED_VALUE"""),"MTs Putri")</f>
        <v>MTs Putri</v>
      </c>
      <c r="E114" s="7" t="str">
        <f>IFERROR(__xludf.DUMMYFUNCTION("""COMPUTED_VALUE"""),"Ya")</f>
        <v>Ya</v>
      </c>
      <c r="F114" s="105" t="str">
        <f>IFERROR(__xludf.DUMMYFUNCTION("""COMPUTED_VALUE"""),"B Saya ingin melakukan apa saja sebaik mungkin.")</f>
        <v>B Saya ingin melakukan apa saja sebaik mungkin.</v>
      </c>
      <c r="G114" s="105" t="str">
        <f>IFERROR(__xludf.DUMMYFUNCTION("""COMPUTED_VALUE"""),"A Saya ingin setiap tulisan saya teliti, rapi, dan tersusun dengan baik.")</f>
        <v>A Saya ingin setiap tulisan saya teliti, rapi, dan tersusun dengan baik.</v>
      </c>
      <c r="H114" s="105" t="str">
        <f>IFERROR(__xludf.DUMMYFUNCTION("""COMPUTED_VALUE"""),"B Saya ingin menjadi orang yang diakui dalam suatu pekerjaan atau bidang khusus.")</f>
        <v>B Saya ingin menjadi orang yang diakui dalam suatu pekerjaan atau bidang khusus.</v>
      </c>
      <c r="I114" s="105" t="str">
        <f>IFERROR(__xludf.DUMMYFUNCTION("""COMPUTED_VALUE"""),"A Saya suka belajar keras pada tiap pelajaran yang saya hadapi.")</f>
        <v>A Saya suka belajar keras pada tiap pelajaran yang saya hadapi.</v>
      </c>
      <c r="J114" s="105" t="str">
        <f>IFERROR(__xludf.DUMMYFUNCTION("""COMPUTED_VALUE"""),"A Saya suka membantu teman-teman saya apabila mereka mengalami kesulitan.")</f>
        <v>A Saya suka membantu teman-teman saya apabila mereka mengalami kesulitan.</v>
      </c>
      <c r="K114" s="105" t="str">
        <f>IFERROR(__xludf.DUMMYFUNCTION("""COMPUTED_VALUE"""),"B Saya ingin mengatakan telah melakukan dengan baik sesuatu tugas yang sulit.")</f>
        <v>B Saya ingin mengatakan telah melakukan dengan baik sesuatu tugas yang sulit.</v>
      </c>
      <c r="L114" s="105" t="str">
        <f>IFERROR(__xludf.DUMMYFUNCTION("""COMPUTED_VALUE"""),"B Saya ingin mengatakan telah melakukan dengan baik sesuatu tugas yang sulit")</f>
        <v>B Saya ingin mengatakan telah melakukan dengan baik sesuatu tugas yang sulit</v>
      </c>
      <c r="M114" s="105" t="str">
        <f>IFERROR(__xludf.DUMMYFUNCTION("""COMPUTED_VALUE"""),"B Saya ingin mengerjakan segala tugas lebih baik daripada orang lain.")</f>
        <v>B Saya ingin mengerjakan segala tugas lebih baik daripada orang lain.</v>
      </c>
      <c r="N114" s="105" t="str">
        <f>IFERROR(__xludf.DUMMYFUNCTION("""COMPUTED_VALUE"""),"A Saya suka pergi dengan pakaian rapi agar lebih menarik perhatian orang lain.")</f>
        <v>A Saya suka pergi dengan pakaian rapi agar lebih menarik perhatian orang lain.</v>
      </c>
      <c r="O114" s="105" t="str">
        <f>IFERROR(__xludf.DUMMYFUNCTION("""COMPUTED_VALUE"""),"A Saya marah saat ada teman memperolok-olok hal-hal yang saya anggap bodoh.")</f>
        <v>A Saya marah saat ada teman memperolok-olok hal-hal yang saya anggap bodoh.</v>
      </c>
      <c r="P114" s="105" t="str">
        <f>IFERROR(__xludf.DUMMYFUNCTION("""COMPUTED_VALUE"""),"A Saya suka bercerita tentang hal-hal yang menegangkan atau menantang.")</f>
        <v>A Saya suka bercerita tentang hal-hal yang menegangkan atau menantang.</v>
      </c>
      <c r="Q114" s="105" t="str">
        <f>IFERROR(__xludf.DUMMYFUNCTION("""COMPUTED_VALUE"""),"B Saya merencanakan keperluan yang dibutuhkan sebelum bepergian.")</f>
        <v>B Saya merencanakan keperluan yang dibutuhkan sebelum bepergian.</v>
      </c>
      <c r="R114" s="105" t="str">
        <f>IFERROR(__xludf.DUMMYFUNCTION("""COMPUTED_VALUE"""),"B Saya suka barang-barang saya tersusun rapi dan teratur.")</f>
        <v>B Saya suka barang-barang saya tersusun rapi dan teratur.</v>
      </c>
      <c r="S114" s="105" t="str">
        <f>IFERROR(__xludf.DUMMYFUNCTION("""COMPUTED_VALUE"""),"A Saya ingin agar teman-teman pengertian bila saya mengalami kesukaran.")</f>
        <v>A Saya ingin agar teman-teman pengertian bila saya mengalami kesukaran.</v>
      </c>
      <c r="T114" s="105" t="str">
        <f>IFERROR(__xludf.DUMMYFUNCTION("""COMPUTED_VALUE"""),"B Saya ingin agar hidup saya teratur sesuai cita-cita saya.")</f>
        <v>B Saya ingin agar hidup saya teratur sesuai cita-cita saya.</v>
      </c>
      <c r="U114" s="105" t="str">
        <f>IFERROR(__xludf.DUMMYFUNCTION("""COMPUTED_VALUE"""),"A Saya suka memberikan bantuan kepada teman-teman saya.")</f>
        <v>A Saya suka memberikan bantuan kepada teman-teman saya.</v>
      </c>
      <c r="V114" s="105" t="str">
        <f>IFERROR(__xludf.DUMMYFUNCTION("""COMPUTED_VALUE"""),"A Saya suka belajar sampai malam untuk menyelesaikan suatu tugas.")</f>
        <v>A Saya suka belajar sampai malam untuk menyelesaikan suatu tugas.</v>
      </c>
      <c r="W114" s="105" t="str">
        <f>IFERROR(__xludf.DUMMYFUNCTION("""COMPUTED_VALUE"""),"B Saya ingin kegiatan itu teratur dan direncanakan.")</f>
        <v>B Saya ingin kegiatan itu teratur dan direncanakan.</v>
      </c>
      <c r="X114" s="105" t="str">
        <f>IFERROR(__xludf.DUMMYFUNCTION("""COMPUTED_VALUE"""),"B Saya ingin agar hidup saya teratur sesuai cita-cita saya.")</f>
        <v>B Saya ingin agar hidup saya teratur sesuai cita-cita saya.</v>
      </c>
      <c r="Y114" s="105" t="str">
        <f>IFERROR(__xludf.DUMMYFUNCTION("""COMPUTED_VALUE"""),"B Saya senang merencanakan untuk masa depan.")</f>
        <v>B Saya senang merencanakan untuk masa depan.</v>
      </c>
      <c r="Z114" s="105" t="str">
        <f>IFERROR(__xludf.DUMMYFUNCTION("""COMPUTED_VALUE"""),"A Saya ingin berhasil dengan belajar yang saya lakukan.")</f>
        <v>A Saya ingin berhasil dengan belajar yang saya lakukan.</v>
      </c>
      <c r="AA114" s="105" t="str">
        <f>IFERROR(__xludf.DUMMYFUNCTION("""COMPUTED_VALUE"""),"B Saya tidak suka pada orang yang berbuat seenaknya sendiri.")</f>
        <v>B Saya tidak suka pada orang yang berbuat seenaknya sendiri.</v>
      </c>
      <c r="AB114" s="105" t="str">
        <f>IFERROR(__xludf.DUMMYFUNCTION("""COMPUTED_VALUE"""),"A Saya ingin tidak tergantung dari orang lain terhadap apa yang akan saya lakukan.")</f>
        <v>A Saya ingin tidak tergantung dari orang lain terhadap apa yang akan saya lakukan.</v>
      </c>
      <c r="AC114" s="105" t="str">
        <f>IFERROR(__xludf.DUMMYFUNCTION("""COMPUTED_VALUE"""),"A Saya suka menyelesaikan setiap tugas meskipun membutuhkan waktu lama.")</f>
        <v>A Saya suka menyelesaikan setiap tugas meskipun membutuhkan waktu lama.</v>
      </c>
      <c r="AD114" s="105" t="str">
        <f>IFERROR(__xludf.DUMMYFUNCTION("""COMPUTED_VALUE"""),"A Saya suka bermurah hati terhadap teman-teman saya.")</f>
        <v>A Saya suka bermurah hati terhadap teman-teman saya.</v>
      </c>
      <c r="AE114" s="105" t="str">
        <f>IFERROR(__xludf.DUMMYFUNCTION("""COMPUTED_VALUE"""),"A Saya ingin dianggap sebagai pemimpin oleh teman di kelompok.")</f>
        <v>A Saya ingin dianggap sebagai pemimpin oleh teman di kelompok.</v>
      </c>
      <c r="AF114" s="105" t="str">
        <f>IFERROR(__xludf.DUMMYFUNCTION("""COMPUTED_VALUE"""),"A Saya ingin agar teman-teman mengerti bila saya mengalami kesukaran.")</f>
        <v>A Saya ingin agar teman-teman mengerti bila saya mengalami kesukaran.</v>
      </c>
      <c r="AG114" s="105" t="str">
        <f>IFERROR(__xludf.DUMMYFUNCTION("""COMPUTED_VALUE"""),"B Saya ingin berhasil dengan tugas yang saya lakukan.")</f>
        <v>B Saya ingin berhasil dengan tugas yang saya lakukan.</v>
      </c>
      <c r="AH114" s="105" t="str">
        <f>IFERROR(__xludf.DUMMYFUNCTION("""COMPUTED_VALUE"""),"A Saya suka membaca buku-buku tentang pergaulan remaja.")</f>
        <v>A Saya suka membaca buku-buku tentang pergaulan remaja.</v>
      </c>
      <c r="AI114" s="105" t="str">
        <f>IFERROR(__xludf.DUMMYFUNCTION("""COMPUTED_VALUE"""),"B Saya suka melakukan kegiatan sesuai kondisi yang saya inginkan.")</f>
        <v>B Saya suka melakukan kegiatan sesuai kondisi yang saya inginkan.</v>
      </c>
      <c r="AJ114" s="105" t="str">
        <f>IFERROR(__xludf.DUMMYFUNCTION("""COMPUTED_VALUE"""),"B Saya suka bertahan menghadapi satu masalah meskipun belum tentu berhasil.")</f>
        <v>B Saya suka bertahan menghadapi satu masalah meskipun belum tentu berhasil.</v>
      </c>
      <c r="AK114" s="105" t="str">
        <f>IFERROR(__xludf.DUMMYFUNCTION("""COMPUTED_VALUE"""),"B Bila saya harus melakukan suatu tugas, saya ingin mengerjakan sampai selesai.")</f>
        <v>B Bila saya harus melakukan suatu tugas, saya ingin mengerjakan sampai selesai.</v>
      </c>
      <c r="AL114" s="105" t="str">
        <f>IFERROR(__xludf.DUMMYFUNCTION("""COMPUTED_VALUE"""),"B Saya ingin menghindarkan gangguan bila saya sedang belajar.")</f>
        <v>B Saya ingin menghindarkan gangguan bila saya sedang belajar.</v>
      </c>
      <c r="AM114" s="105" t="str">
        <f>IFERROR(__xludf.DUMMYFUNCTION("""COMPUTED_VALUE"""),"B Saya suka belajar sampai malam untuk menyelesaikan suatu tugas.")</f>
        <v>B Saya suka belajar sampai malam untuk menyelesaikan suatu tugas.</v>
      </c>
      <c r="AN114" s="105" t="str">
        <f>IFERROR(__xludf.DUMMYFUNCTION("""COMPUTED_VALUE"""),"A Saya tidak suka pada orang yang semena-mena.")</f>
        <v>A Saya tidak suka pada orang yang semena-mena.</v>
      </c>
      <c r="AO114" s="105" t="str">
        <f>IFERROR(__xludf.DUMMYFUNCTION("""COMPUTED_VALUE"""),"A Saya suka berlaku sangat ramah terhadap teman-teman saya.")</f>
        <v>A Saya suka berlaku sangat ramah terhadap teman-teman saya.</v>
      </c>
      <c r="AP114" s="105" t="str">
        <f>IFERROR(__xludf.DUMMYFUNCTION("""COMPUTED_VALUE"""),"A Saya ingin mengerjakannya tugas sampai selesai.")</f>
        <v>A Saya ingin mengerjakannya tugas sampai selesai.</v>
      </c>
      <c r="AQ114" s="105" t="str">
        <f>IFERROR(__xludf.DUMMYFUNCTION("""COMPUTED_VALUE"""),"A Saya ingin bisa mengerjakan segala sesuatu lebih baik daripada orang-orang lain.")</f>
        <v>A Saya ingin bisa mengerjakan segala sesuatu lebih baik daripada orang-orang lain.</v>
      </c>
      <c r="AR114" s="105" t="str">
        <f>IFERROR(__xludf.DUMMYFUNCTION("""COMPUTED_VALUE"""),"A Saya suka menyimpan catatan secara rapi.")</f>
        <v>A Saya suka menyimpan catatan secara rapi.</v>
      </c>
      <c r="AS114" s="105" t="str">
        <f>IFERROR(__xludf.DUMMYFUNCTION("""COMPUTED_VALUE"""),"A Saya ingin dapat menyelesaikan persoalan yang dianggap sukar bagi orang lain.")</f>
        <v>A Saya ingin dapat menyelesaikan persoalan yang dianggap sukar bagi orang lain.</v>
      </c>
      <c r="AT114" s="105" t="str">
        <f>IFERROR(__xludf.DUMMYFUNCTION("""COMPUTED_VALUE"""),"B Saya suka membantu orang lain yang menurut saya perlu dikasihani.")</f>
        <v>B Saya suka membantu orang lain yang menurut saya perlu dikasihani.</v>
      </c>
      <c r="AU114" s="105" t="str">
        <f>IFERROR(__xludf.DUMMYFUNCTION("""COMPUTED_VALUE"""),"B Saya suka bermurah hati terhadap teman-teman saya.")</f>
        <v>B Saya suka bermurah hati terhadap teman-teman saya.</v>
      </c>
      <c r="AV114" s="105" t="str">
        <f>IFERROR(__xludf.DUMMYFUNCTION("""COMPUTED_VALUE"""),"B Saya suka menolong teman-teman saya.")</f>
        <v>B Saya suka menolong teman-teman saya.</v>
      </c>
      <c r="AW114" s="105" t="str">
        <f>IFERROR(__xludf.DUMMYFUNCTION("""COMPUTED_VALUE"""),"A Saya ingin mengerjakan tugas sampai selesai.")</f>
        <v>A Saya ingin mengerjakan tugas sampai selesai.</v>
      </c>
      <c r="AX114" s="105" t="str">
        <f>IFERROR(__xludf.DUMMYFUNCTION("""COMPUTED_VALUE"""),"A Saya suka menolong teman-teman saya apabila mereka dalam kesulitan.")</f>
        <v>A Saya suka menolong teman-teman saya apabila mereka dalam kesulitan.</v>
      </c>
      <c r="AY114" s="105" t="str">
        <f>IFERROR(__xludf.DUMMYFUNCTION("""COMPUTED_VALUE"""),"B Saya suka menolong teman-teman saya apabila mereka dalam kesulitan.")</f>
        <v>B Saya suka menolong teman-teman saya apabila mereka dalam kesulitan.</v>
      </c>
      <c r="AZ114" s="105" t="str">
        <f>IFERROR(__xludf.DUMMYFUNCTION("""COMPUTED_VALUE"""),"B Saya suka menunjukkan simpati saya kepada teman-teman saya.")</f>
        <v>B Saya suka menunjukkan simpati saya kepada teman-teman saya.</v>
      </c>
      <c r="BA114" s="105" t="str">
        <f>IFERROR(__xludf.DUMMYFUNCTION("""COMPUTED_VALUE"""),"B Saya suka memperlakukan orang lain dengan baik dan ramah.")</f>
        <v>B Saya suka memperlakukan orang lain dengan baik dan ramah.</v>
      </c>
      <c r="BB114" s="105" t="str">
        <f>IFERROR(__xludf.DUMMYFUNCTION("""COMPUTED_VALUE"""),"B Saya suka bermurah hati terhadap teman-teman saya.")</f>
        <v>B Saya suka bermurah hati terhadap teman-teman saya.</v>
      </c>
      <c r="BC114" s="105" t="str">
        <f>IFERROR(__xludf.DUMMYFUNCTION("""COMPUTED_VALUE"""),"B Saya suka membantu orang lain yang menurut saya perlu dikasihani.")</f>
        <v>B Saya suka membantu orang lain yang menurut saya perlu dikasihani.</v>
      </c>
      <c r="BD114" s="105" t="str">
        <f>IFERROR(__xludf.DUMMYFUNCTION("""COMPUTED_VALUE"""),"B Saya suka bersikukuh dengan pendirian saya.")</f>
        <v>B Saya suka bersikukuh dengan pendirian saya.</v>
      </c>
      <c r="BE114" s="105" t="str">
        <f>IFERROR(__xludf.DUMMYFUNCTION("""COMPUTED_VALUE"""),"A Saya suka mendengarkan atau menceritakan hal-hal yang sebaiknya tidak diceritakan.")</f>
        <v>A Saya suka mendengarkan atau menceritakan hal-hal yang sebaiknya tidak diceritakan.</v>
      </c>
      <c r="BF114" s="105" t="str">
        <f>IFERROR(__xludf.DUMMYFUNCTION("""COMPUTED_VALUE"""),"A Saya ingin orang lain memperhatikan dan berkomentar tentang penampilan saya.")</f>
        <v>A Saya ingin orang lain memperhatikan dan berkomentar tentang penampilan saya.</v>
      </c>
      <c r="BG114" s="105" t="str">
        <f>IFERROR(__xludf.DUMMYFUNCTION("""COMPUTED_VALUE"""),"A Saya ingin teman-teman banyak menunjukkan rasa sayang mereka terhadap saya.")</f>
        <v>A Saya ingin teman-teman banyak menunjukkan rasa sayang mereka terhadap saya.</v>
      </c>
      <c r="BH114" s="105" t="str">
        <f>IFERROR(__xludf.DUMMYFUNCTION("""COMPUTED_VALUE"""),"A Saya suka menghindar dari situasi yang tidak saya harapkan.")</f>
        <v>A Saya suka menghindar dari situasi yang tidak saya harapkan.</v>
      </c>
      <c r="BI114" s="105" t="str">
        <f>IFERROR(__xludf.DUMMYFUNCTION("""COMPUTED_VALUE"""),"A Saya suka bermurah hati terhadap teman-teman saya.")</f>
        <v>A Saya suka bermurah hati terhadap teman-teman saya.</v>
      </c>
      <c r="BJ114" s="105" t="str">
        <f>IFERROR(__xludf.DUMMYFUNCTION("""COMPUTED_VALUE"""),"A Saya ingin mengerjakan tugas sampai selesai.")</f>
        <v>A Saya ingin mengerjakan tugas sampai selesai.</v>
      </c>
      <c r="BK114" s="105" t="str">
        <f>IFERROR(__xludf.DUMMYFUNCTION("""COMPUTED_VALUE"""),"A Saya ingin menyelesaikan pekerjaan satu persatu sebelum memulai yang lain.")</f>
        <v>A Saya ingin menyelesaikan pekerjaan satu persatu sebelum memulai yang lain.</v>
      </c>
      <c r="BL114" s="105" t="str">
        <f>IFERROR(__xludf.DUMMYFUNCTION("""COMPUTED_VALUE"""),"B Saya suka bersikukuh dengan pendirian saya.")</f>
        <v>B Saya suka bersikukuh dengan pendirian saya.</v>
      </c>
      <c r="BM114" s="105" t="str">
        <f>IFERROR(__xludf.DUMMYFUNCTION("""COMPUTED_VALUE"""),"A Saya suka melakukan pekerjaan sebaik mungkin.")</f>
        <v>A Saya suka melakukan pekerjaan sebaik mungkin.</v>
      </c>
      <c r="BN114" s="105" t="str">
        <f>IFERROR(__xludf.DUMMYFUNCTION("""COMPUTED_VALUE"""),"A Saya suka mengerjakan teka-teki atau memecahkan persoalan sampai selesai.")</f>
        <v>A Saya suka mengerjakan teka-teki atau memecahkan persoalan sampai selesai.</v>
      </c>
      <c r="BO114" s="105" t="str">
        <f>IFERROR(__xludf.DUMMYFUNCTION("""COMPUTED_VALUE"""),"A Saya suka membuat perencanaan sebelum memulai belajar yang sulit.")</f>
        <v>A Saya suka membuat perencanaan sebelum memulai belajar yang sulit.</v>
      </c>
      <c r="BP114" s="105" t="str">
        <f>IFERROR(__xludf.DUMMYFUNCTION("""COMPUTED_VALUE"""),"A Saya ingin menyelesaikan sesuatu yang sangat penting artinya.")</f>
        <v>A Saya ingin menyelesaikan sesuatu yang sangat penting artinya.</v>
      </c>
      <c r="BQ114" s="105" t="str">
        <f>IFERROR(__xludf.DUMMYFUNCTION("""COMPUTED_VALUE"""),"A Saya ingin mengerjakannya tugas sampai selesai.")</f>
        <v>A Saya ingin mengerjakannya tugas sampai selesai.</v>
      </c>
      <c r="BR114" s="105" t="str">
        <f>IFERROR(__xludf.DUMMYFUNCTION("""COMPUTED_VALUE"""),"A Saya suka memaafkan teman-teman saya yang menyakiti hati saya.")</f>
        <v>A Saya suka memaafkan teman-teman saya yang menyakiti hati saya.</v>
      </c>
      <c r="BS114" s="105" t="str">
        <f>IFERROR(__xludf.DUMMYFUNCTION("""COMPUTED_VALUE"""),"B Saya ingin teman-teman saya membantu saya bila saya mengalami kesulitan")</f>
        <v>B Saya ingin teman-teman saya membantu saya bila saya mengalami kesulitan</v>
      </c>
      <c r="BT114" s="105" t="str">
        <f>IFERROR(__xludf.DUMMYFUNCTION("""COMPUTED_VALUE"""),"B Saya ingin teman-teman banyak menunjukkan rasa sayang mereka terhadap saya.")</f>
        <v>B Saya ingin teman-teman banyak menunjukkan rasa sayang mereka terhadap saya.</v>
      </c>
      <c r="BU114" s="105" t="str">
        <f>IFERROR(__xludf.DUMMYFUNCTION("""COMPUTED_VALUE"""),"B Saya ingin agar teman-teman saya merasa kasihan pada saya apabila saya sakit.")</f>
        <v>B Saya ingin agar teman-teman saya merasa kasihan pada saya apabila saya sakit.</v>
      </c>
      <c r="BV114" s="105" t="str">
        <f>IFERROR(__xludf.DUMMYFUNCTION("""COMPUTED_VALUE"""),"B Saya ingin teman-teman dengan gembira memberikan pertolongan kepada saya.")</f>
        <v>B Saya ingin teman-teman dengan gembira memberikan pertolongan kepada saya.</v>
      </c>
      <c r="BW114" s="105" t="str">
        <f>IFERROR(__xludf.DUMMYFUNCTION("""COMPUTED_VALUE"""),"B Saya ingin diperlakukan dengan baik oleh teman-teman saya.")</f>
        <v>B Saya ingin diperlakukan dengan baik oleh teman-teman saya.</v>
      </c>
      <c r="BX114" s="105" t="str">
        <f>IFERROR(__xludf.DUMMYFUNCTION("""COMPUTED_VALUE"""),"B Saya kadang-kadang suka melakukan hal-hal yang dapat dipuji oleh orang lain.")</f>
        <v>B Saya kadang-kadang suka melakukan hal-hal yang dapat dipuji oleh orang lain.</v>
      </c>
      <c r="BY114" s="105" t="str">
        <f>IFERROR(__xludf.DUMMYFUNCTION("""COMPUTED_VALUE"""),"B Saya ingin orang lain memperhatikan dan berkomentar tentang penampilan saya.")</f>
        <v>B Saya ingin orang lain memperhatikan dan berkomentar tentang penampilan saya.</v>
      </c>
      <c r="BZ114" s="105" t="str">
        <f>IFERROR(__xludf.DUMMYFUNCTION("""COMPUTED_VALUE"""),"A Saya suka berkata yang artinya sulit dipahami oleh orang lain.")</f>
        <v>A Saya suka berkata yang artinya sulit dipahami oleh orang lain.</v>
      </c>
      <c r="CA114" s="105" t="str">
        <f>IFERROR(__xludf.DUMMYFUNCTION("""COMPUTED_VALUE"""),"A Saya ingin teman-teman dengan gembira memberikan pertolongan kepada saya.")</f>
        <v>A Saya ingin teman-teman dengan gembira memberikan pertolongan kepada saya.</v>
      </c>
      <c r="CB114" s="105" t="str">
        <f>IFERROR(__xludf.DUMMYFUNCTION("""COMPUTED_VALUE"""),"B Saya suka berbicara tentang hal-hal yang telah saya capai.")</f>
        <v>B Saya suka berbicara tentang hal-hal yang telah saya capai.</v>
      </c>
      <c r="CC114" s="105" t="str">
        <f>IFERROR(__xludf.DUMMYFUNCTION("""COMPUTED_VALUE"""),"B Saya suka menceritakan hal-hal lucu agar diperhatikan oleh orang lain.")</f>
        <v>B Saya suka menceritakan hal-hal lucu agar diperhatikan oleh orang lain.</v>
      </c>
      <c r="CD114" s="105" t="str">
        <f>IFERROR(__xludf.DUMMYFUNCTION("""COMPUTED_VALUE"""),"A Saya suka menyelesaikan setiap tugas meskipun membutuhkan waktu lama.")</f>
        <v>A Saya suka menyelesaikan setiap tugas meskipun membutuhkan waktu lama.</v>
      </c>
      <c r="CE114" s="105" t="str">
        <f>IFERROR(__xludf.DUMMYFUNCTION("""COMPUTED_VALUE"""),"A Saya suka menyelesaikan setiap tugas belajar yang telah saya mulai.")</f>
        <v>A Saya suka menyelesaikan setiap tugas belajar yang telah saya mulai.</v>
      </c>
      <c r="CF114" s="105" t="str">
        <f>IFERROR(__xludf.DUMMYFUNCTION("""COMPUTED_VALUE"""),"A Saya ingin agar hidup saya teratur sesuai cita-cita saya.")</f>
        <v>A Saya ingin agar hidup saya teratur sesuai cita-cita saya.</v>
      </c>
      <c r="CG114" s="105" t="str">
        <f>IFERROR(__xludf.DUMMYFUNCTION("""COMPUTED_VALUE"""),"A Saya ingin berhasil dalam apa yang saya lakukan.")</f>
        <v>A Saya ingin berhasil dalam apa yang saya lakukan.</v>
      </c>
      <c r="CH114" s="105" t="str">
        <f>IFERROR(__xludf.DUMMYFUNCTION("""COMPUTED_VALUE"""),"A Saya ingin bisa melakukan dengan baik sesuatu pekerjaan sulit.")</f>
        <v>A Saya ingin bisa melakukan dengan baik sesuatu pekerjaan sulit.</v>
      </c>
      <c r="CI114" s="105" t="str">
        <f>IFERROR(__xludf.DUMMYFUNCTION("""COMPUTED_VALUE"""),"A Saya suka belajar saya teratur dan ada waktu-waktu tertentu untuk belajar.")</f>
        <v>A Saya suka belajar saya teratur dan ada waktu-waktu tertentu untuk belajar.</v>
      </c>
      <c r="CJ114" s="105" t="str">
        <f>IFERROR(__xludf.DUMMYFUNCTION("""COMPUTED_VALUE"""),"A Saya ingin tidak tergantung dari orang lain terhadap apa yang akan saya lakukan.")</f>
        <v>A Saya ingin tidak tergantung dari orang lain terhadap apa yang akan saya lakukan.</v>
      </c>
      <c r="CK114" s="105" t="str">
        <f>IFERROR(__xludf.DUMMYFUNCTION("""COMPUTED_VALUE"""),"B Saya senang ikut beraktivitas bersama teman sebaya saya.")</f>
        <v>B Saya senang ikut beraktivitas bersama teman sebaya saya.</v>
      </c>
      <c r="CL114" s="105" t="str">
        <f>IFERROR(__xludf.DUMMYFUNCTION("""COMPUTED_VALUE"""),"A Saya suka menolong teman-teman saya, apabila mereka dalam kesulitan.")</f>
        <v>A Saya suka menolong teman-teman saya, apabila mereka dalam kesulitan.</v>
      </c>
      <c r="CM114" s="105" t="str">
        <f>IFERROR(__xludf.DUMMYFUNCTION("""COMPUTED_VALUE"""),"A Saya ingin ditunjuk atau dipilih sebagai ketua dalam suatu kelompok.")</f>
        <v>A Saya ingin ditunjuk atau dipilih sebagai ketua dalam suatu kelompok.</v>
      </c>
      <c r="CN114" s="105" t="str">
        <f>IFERROR(__xludf.DUMMYFUNCTION("""COMPUTED_VALUE"""),"A Saya ingin diperlakukan dengan baik oleh teman-teman saya.")</f>
        <v>A Saya ingin diperlakukan dengan baik oleh teman-teman saya.</v>
      </c>
      <c r="CO114" s="105" t="str">
        <f>IFERROR(__xludf.DUMMYFUNCTION("""COMPUTED_VALUE"""),"B Saya suka memuji orang yang saya kagumi.")</f>
        <v>B Saya suka memuji orang yang saya kagumi.</v>
      </c>
      <c r="CP114" s="105" t="str">
        <f>IFERROR(__xludf.DUMMYFUNCTION("""COMPUTED_VALUE"""),"A Saya suka melamun atau membayangkan sesuatu sendirian.")</f>
        <v>A Saya suka melamun atau membayangkan sesuatu sendirian.</v>
      </c>
      <c r="CQ114" s="105" t="str">
        <f>IFERROR(__xludf.DUMMYFUNCTION("""COMPUTED_VALUE"""),"B Saya merasa kagum pada seseorang.")</f>
        <v>B Saya merasa kagum pada seseorang.</v>
      </c>
      <c r="CR114" s="105" t="str">
        <f>IFERROR(__xludf.DUMMYFUNCTION("""COMPUTED_VALUE"""),"B Saya rasanya ingin mengecam seseorang bila orang itu menjengkelkan.")</f>
        <v>B Saya rasanya ingin mengecam seseorang bila orang itu menjengkelkan.</v>
      </c>
      <c r="CS114" s="105" t="str">
        <f>IFERROR(__xludf.DUMMYFUNCTION("""COMPUTED_VALUE"""),"A Saya ingin terlihat menarik di depan teman-teman saya.")</f>
        <v>A Saya ingin terlihat menarik di depan teman-teman saya.</v>
      </c>
      <c r="CT114" s="105" t="str">
        <f>IFERROR(__xludf.DUMMYFUNCTION("""COMPUTED_VALUE"""),"A Saya ingin orang-orang memperhatikan komentar mengenai penampilan saya.")</f>
        <v>A Saya ingin orang-orang memperhatikan komentar mengenai penampilan saya.</v>
      </c>
      <c r="CU114" s="105" t="str">
        <f>IFERROR(__xludf.DUMMYFUNCTION("""COMPUTED_VALUE"""),"A Saya ingin diperlakukan dengan ramah oleh teman-teman saya.")</f>
        <v>A Saya ingin diperlakukan dengan ramah oleh teman-teman saya.</v>
      </c>
      <c r="CV114" s="105" t="str">
        <f>IFERROR(__xludf.DUMMYFUNCTION("""COMPUTED_VALUE"""),"A Saya ingin ditunjuk atau dipilih sebagai ketua dalam suatu kelompok.")</f>
        <v>A Saya ingin ditunjuk atau dipilih sebagai ketua dalam suatu kelompok.</v>
      </c>
      <c r="CW114" s="105" t="str">
        <f>IFERROR(__xludf.DUMMYFUNCTION("""COMPUTED_VALUE"""),"A Saya suka menolong teman-teman saya, apabila mereka dalam kesulitan.")</f>
        <v>A Saya suka menolong teman-teman saya, apabila mereka dalam kesulitan.</v>
      </c>
      <c r="CX114" s="105" t="str">
        <f>IFERROR(__xludf.DUMMYFUNCTION("""COMPUTED_VALUE"""),"A Saya suka belajar sampai malam untuk menyelesaikan suatu tugas.")</f>
        <v>A Saya suka belajar sampai malam untuk menyelesaikan suatu tugas.</v>
      </c>
      <c r="CY114" s="105" t="str">
        <f>IFERROR(__xludf.DUMMYFUNCTION("""COMPUTED_VALUE"""),"A Saya ingin tidak tergantung dari orang lain terhadap apa yang akan saya lakukan.")</f>
        <v>A Saya ingin tidak tergantung dari orang lain terhadap apa yang akan saya lakukan.</v>
      </c>
      <c r="CZ114" s="105" t="str">
        <f>IFERROR(__xludf.DUMMYFUNCTION("""COMPUTED_VALUE"""),"A Saya suka merencanakan dan mengatur setiap pekerjaan yang harus saya lakukan.")</f>
        <v>A Saya suka merencanakan dan mengatur setiap pekerjaan yang harus saya lakukan.</v>
      </c>
      <c r="DA114" s="105" t="str">
        <f>IFERROR(__xludf.DUMMYFUNCTION("""COMPUTED_VALUE"""),"A Saya ingin melakukan apa saja sebaik mungkin.")</f>
        <v>A Saya ingin melakukan apa saja sebaik mungkin.</v>
      </c>
      <c r="DB114" s="89" t="s">
        <v>23</v>
      </c>
      <c r="DC114" s="97" t="str">
        <f t="shared" ref="DC114:GX114" si="159">LEFT(F114,1)</f>
        <v>B</v>
      </c>
      <c r="DD114" s="97" t="str">
        <f t="shared" si="159"/>
        <v>A</v>
      </c>
      <c r="DE114" s="97" t="str">
        <f t="shared" si="159"/>
        <v>B</v>
      </c>
      <c r="DF114" s="97" t="str">
        <f t="shared" si="159"/>
        <v>A</v>
      </c>
      <c r="DG114" s="97" t="str">
        <f t="shared" si="159"/>
        <v>A</v>
      </c>
      <c r="DH114" s="97" t="str">
        <f t="shared" si="159"/>
        <v>B</v>
      </c>
      <c r="DI114" s="97" t="str">
        <f t="shared" si="159"/>
        <v>B</v>
      </c>
      <c r="DJ114" s="97" t="str">
        <f t="shared" si="159"/>
        <v>B</v>
      </c>
      <c r="DK114" s="97" t="str">
        <f t="shared" si="159"/>
        <v>A</v>
      </c>
      <c r="DL114" s="97" t="str">
        <f t="shared" si="159"/>
        <v>A</v>
      </c>
      <c r="DM114" s="97" t="str">
        <f t="shared" si="159"/>
        <v>A</v>
      </c>
      <c r="DN114" s="97" t="str">
        <f t="shared" si="159"/>
        <v>B</v>
      </c>
      <c r="DO114" s="97" t="str">
        <f t="shared" si="159"/>
        <v>B</v>
      </c>
      <c r="DP114" s="97" t="str">
        <f t="shared" si="159"/>
        <v>A</v>
      </c>
      <c r="DQ114" s="97" t="str">
        <f t="shared" si="159"/>
        <v>B</v>
      </c>
      <c r="DR114" s="97" t="str">
        <f t="shared" si="159"/>
        <v>A</v>
      </c>
      <c r="DS114" s="97" t="str">
        <f t="shared" si="159"/>
        <v>A</v>
      </c>
      <c r="DT114" s="97" t="str">
        <f t="shared" si="159"/>
        <v>B</v>
      </c>
      <c r="DU114" s="97" t="str">
        <f t="shared" si="159"/>
        <v>B</v>
      </c>
      <c r="DV114" s="97" t="str">
        <f t="shared" si="159"/>
        <v>B</v>
      </c>
      <c r="DW114" s="97" t="str">
        <f t="shared" si="159"/>
        <v>A</v>
      </c>
      <c r="DX114" s="97" t="str">
        <f t="shared" si="159"/>
        <v>B</v>
      </c>
      <c r="DY114" s="97" t="str">
        <f t="shared" si="159"/>
        <v>A</v>
      </c>
      <c r="DZ114" s="97" t="str">
        <f t="shared" si="159"/>
        <v>A</v>
      </c>
      <c r="EA114" s="97" t="str">
        <f t="shared" si="159"/>
        <v>A</v>
      </c>
      <c r="EB114" s="97" t="str">
        <f t="shared" si="159"/>
        <v>A</v>
      </c>
      <c r="EC114" s="97" t="str">
        <f t="shared" si="159"/>
        <v>A</v>
      </c>
      <c r="ED114" s="97" t="str">
        <f t="shared" si="159"/>
        <v>B</v>
      </c>
      <c r="EE114" s="97" t="str">
        <f t="shared" si="159"/>
        <v>A</v>
      </c>
      <c r="EF114" s="97" t="str">
        <f t="shared" si="159"/>
        <v>B</v>
      </c>
      <c r="EG114" s="97" t="str">
        <f t="shared" si="159"/>
        <v>B</v>
      </c>
      <c r="EH114" s="97" t="str">
        <f t="shared" si="159"/>
        <v>B</v>
      </c>
      <c r="EI114" s="97" t="str">
        <f t="shared" si="159"/>
        <v>B</v>
      </c>
      <c r="EJ114" s="97" t="str">
        <f t="shared" si="159"/>
        <v>B</v>
      </c>
      <c r="EK114" s="97" t="str">
        <f t="shared" si="159"/>
        <v>A</v>
      </c>
      <c r="EL114" s="97" t="str">
        <f t="shared" si="159"/>
        <v>A</v>
      </c>
      <c r="EM114" s="97" t="str">
        <f t="shared" si="159"/>
        <v>A</v>
      </c>
      <c r="EN114" s="97" t="str">
        <f t="shared" si="159"/>
        <v>A</v>
      </c>
      <c r="EO114" s="97" t="str">
        <f t="shared" si="159"/>
        <v>A</v>
      </c>
      <c r="EP114" s="97" t="str">
        <f t="shared" si="159"/>
        <v>A</v>
      </c>
      <c r="EQ114" s="97" t="str">
        <f t="shared" si="159"/>
        <v>B</v>
      </c>
      <c r="ER114" s="97" t="str">
        <f t="shared" si="159"/>
        <v>B</v>
      </c>
      <c r="ES114" s="97" t="str">
        <f t="shared" si="159"/>
        <v>B</v>
      </c>
      <c r="ET114" s="97" t="str">
        <f t="shared" si="159"/>
        <v>A</v>
      </c>
      <c r="EU114" s="97" t="str">
        <f t="shared" si="159"/>
        <v>A</v>
      </c>
      <c r="EV114" s="97" t="str">
        <f t="shared" si="159"/>
        <v>B</v>
      </c>
      <c r="EW114" s="97" t="str">
        <f t="shared" si="159"/>
        <v>B</v>
      </c>
      <c r="EX114" s="97" t="str">
        <f t="shared" si="159"/>
        <v>B</v>
      </c>
      <c r="EY114" s="97" t="str">
        <f t="shared" si="159"/>
        <v>B</v>
      </c>
      <c r="EZ114" s="97" t="str">
        <f t="shared" si="159"/>
        <v>B</v>
      </c>
      <c r="FA114" s="97" t="str">
        <f t="shared" si="159"/>
        <v>B</v>
      </c>
      <c r="FB114" s="97" t="str">
        <f t="shared" si="159"/>
        <v>A</v>
      </c>
      <c r="FC114" s="97" t="str">
        <f t="shared" si="159"/>
        <v>A</v>
      </c>
      <c r="FD114" s="97" t="str">
        <f t="shared" si="159"/>
        <v>A</v>
      </c>
      <c r="FE114" s="97" t="str">
        <f t="shared" si="159"/>
        <v>A</v>
      </c>
      <c r="FF114" s="97" t="str">
        <f t="shared" si="159"/>
        <v>A</v>
      </c>
      <c r="FG114" s="97" t="str">
        <f t="shared" si="159"/>
        <v>A</v>
      </c>
      <c r="FH114" s="97" t="str">
        <f t="shared" si="159"/>
        <v>A</v>
      </c>
      <c r="FI114" s="97" t="str">
        <f t="shared" si="159"/>
        <v>B</v>
      </c>
      <c r="FJ114" s="97" t="str">
        <f t="shared" si="159"/>
        <v>A</v>
      </c>
      <c r="FK114" s="97" t="str">
        <f t="shared" si="159"/>
        <v>A</v>
      </c>
      <c r="FL114" s="97" t="str">
        <f t="shared" si="159"/>
        <v>A</v>
      </c>
      <c r="FM114" s="97" t="str">
        <f t="shared" si="159"/>
        <v>A</v>
      </c>
      <c r="FN114" s="97" t="str">
        <f t="shared" si="159"/>
        <v>A</v>
      </c>
      <c r="FO114" s="97" t="str">
        <f t="shared" si="159"/>
        <v>A</v>
      </c>
      <c r="FP114" s="97" t="str">
        <f t="shared" si="159"/>
        <v>B</v>
      </c>
      <c r="FQ114" s="97" t="str">
        <f t="shared" si="159"/>
        <v>B</v>
      </c>
      <c r="FR114" s="97" t="str">
        <f t="shared" si="159"/>
        <v>B</v>
      </c>
      <c r="FS114" s="97" t="str">
        <f t="shared" si="159"/>
        <v>B</v>
      </c>
      <c r="FT114" s="97" t="str">
        <f t="shared" si="159"/>
        <v>B</v>
      </c>
      <c r="FU114" s="97" t="str">
        <f t="shared" si="159"/>
        <v>B</v>
      </c>
      <c r="FV114" s="97" t="str">
        <f t="shared" si="159"/>
        <v>B</v>
      </c>
      <c r="FW114" s="97" t="str">
        <f t="shared" si="159"/>
        <v>A</v>
      </c>
      <c r="FX114" s="97" t="str">
        <f t="shared" si="159"/>
        <v>A</v>
      </c>
      <c r="FY114" s="97" t="str">
        <f t="shared" si="159"/>
        <v>B</v>
      </c>
      <c r="FZ114" s="97" t="str">
        <f t="shared" si="159"/>
        <v>B</v>
      </c>
      <c r="GA114" s="97" t="str">
        <f t="shared" si="159"/>
        <v>A</v>
      </c>
      <c r="GB114" s="97" t="str">
        <f t="shared" si="159"/>
        <v>A</v>
      </c>
      <c r="GC114" s="97" t="str">
        <f t="shared" si="159"/>
        <v>A</v>
      </c>
      <c r="GD114" s="97" t="str">
        <f t="shared" si="159"/>
        <v>A</v>
      </c>
      <c r="GE114" s="97" t="str">
        <f t="shared" si="159"/>
        <v>A</v>
      </c>
      <c r="GF114" s="97" t="str">
        <f t="shared" si="159"/>
        <v>A</v>
      </c>
      <c r="GG114" s="97" t="str">
        <f t="shared" si="159"/>
        <v>A</v>
      </c>
      <c r="GH114" s="97" t="str">
        <f t="shared" si="159"/>
        <v>B</v>
      </c>
      <c r="GI114" s="97" t="str">
        <f t="shared" si="159"/>
        <v>A</v>
      </c>
      <c r="GJ114" s="97" t="str">
        <f t="shared" si="159"/>
        <v>A</v>
      </c>
      <c r="GK114" s="97" t="str">
        <f t="shared" si="159"/>
        <v>A</v>
      </c>
      <c r="GL114" s="97" t="str">
        <f t="shared" si="159"/>
        <v>B</v>
      </c>
      <c r="GM114" s="97" t="str">
        <f t="shared" si="159"/>
        <v>A</v>
      </c>
      <c r="GN114" s="97" t="str">
        <f t="shared" si="159"/>
        <v>B</v>
      </c>
      <c r="GO114" s="97" t="str">
        <f t="shared" si="159"/>
        <v>B</v>
      </c>
      <c r="GP114" s="97" t="str">
        <f t="shared" si="159"/>
        <v>A</v>
      </c>
      <c r="GQ114" s="97" t="str">
        <f t="shared" si="159"/>
        <v>A</v>
      </c>
      <c r="GR114" s="97" t="str">
        <f t="shared" si="159"/>
        <v>A</v>
      </c>
      <c r="GS114" s="97" t="str">
        <f t="shared" si="159"/>
        <v>A</v>
      </c>
      <c r="GT114" s="97" t="str">
        <f t="shared" si="159"/>
        <v>A</v>
      </c>
      <c r="GU114" s="97" t="str">
        <f t="shared" si="159"/>
        <v>A</v>
      </c>
      <c r="GV114" s="97" t="str">
        <f t="shared" si="159"/>
        <v>A</v>
      </c>
      <c r="GW114" s="97" t="str">
        <f t="shared" si="159"/>
        <v>A</v>
      </c>
      <c r="GX114" s="97" t="str">
        <f t="shared" si="159"/>
        <v>A</v>
      </c>
      <c r="GY114" s="98"/>
      <c r="GZ114" s="97">
        <f t="shared" si="3"/>
        <v>59</v>
      </c>
      <c r="HA114" s="97">
        <f t="shared" si="4"/>
        <v>41</v>
      </c>
      <c r="HB114" s="90">
        <f t="shared" si="5"/>
        <v>100</v>
      </c>
      <c r="HC114" s="99"/>
      <c r="HD114" s="97">
        <f t="shared" si="6"/>
        <v>7</v>
      </c>
      <c r="HE114" s="97">
        <f t="shared" si="7"/>
        <v>4</v>
      </c>
      <c r="HF114" s="90">
        <f t="shared" si="8"/>
        <v>11</v>
      </c>
      <c r="HG114" s="99"/>
      <c r="HH114" s="97">
        <f t="shared" si="9"/>
        <v>6</v>
      </c>
      <c r="HI114" s="97">
        <f t="shared" si="10"/>
        <v>6</v>
      </c>
      <c r="HJ114" s="90">
        <f t="shared" si="11"/>
        <v>12</v>
      </c>
      <c r="HK114" s="99"/>
      <c r="HL114" s="97">
        <f t="shared" si="12"/>
        <v>6</v>
      </c>
      <c r="HM114" s="97">
        <f t="shared" si="13"/>
        <v>3</v>
      </c>
      <c r="HN114" s="90">
        <f t="shared" si="14"/>
        <v>9</v>
      </c>
      <c r="HO114" s="99"/>
      <c r="HP114" s="97">
        <f t="shared" si="15"/>
        <v>8</v>
      </c>
      <c r="HQ114" s="97">
        <f t="shared" si="16"/>
        <v>4</v>
      </c>
      <c r="HR114" s="90">
        <f t="shared" si="17"/>
        <v>12</v>
      </c>
      <c r="HS114" s="99"/>
      <c r="HT114" s="97">
        <f t="shared" si="18"/>
        <v>8</v>
      </c>
      <c r="HU114" s="97">
        <f t="shared" si="19"/>
        <v>8</v>
      </c>
      <c r="HV114" s="90">
        <f t="shared" si="20"/>
        <v>16</v>
      </c>
      <c r="HW114" s="99"/>
      <c r="HX114" s="97">
        <f t="shared" si="21"/>
        <v>4</v>
      </c>
      <c r="HY114" s="97">
        <f t="shared" si="22"/>
        <v>2</v>
      </c>
      <c r="HZ114" s="90">
        <f t="shared" si="23"/>
        <v>6</v>
      </c>
      <c r="IA114" s="99"/>
      <c r="IB114" s="97">
        <f t="shared" si="24"/>
        <v>6</v>
      </c>
      <c r="IC114" s="97">
        <f t="shared" si="25"/>
        <v>5</v>
      </c>
      <c r="ID114" s="90">
        <f t="shared" si="26"/>
        <v>11</v>
      </c>
      <c r="IE114" s="99"/>
      <c r="IF114" s="97">
        <f t="shared" si="27"/>
        <v>2</v>
      </c>
      <c r="IG114" s="97">
        <f t="shared" si="28"/>
        <v>4</v>
      </c>
      <c r="IH114" s="90">
        <f t="shared" si="29"/>
        <v>6</v>
      </c>
      <c r="II114" s="99"/>
      <c r="IJ114" s="97">
        <f t="shared" si="30"/>
        <v>4</v>
      </c>
      <c r="IK114" s="97">
        <f t="shared" si="31"/>
        <v>3</v>
      </c>
      <c r="IL114" s="90">
        <f t="shared" si="32"/>
        <v>7</v>
      </c>
      <c r="IM114" s="99"/>
      <c r="IN114" s="97">
        <f t="shared" si="33"/>
        <v>2</v>
      </c>
      <c r="IO114" s="97">
        <f t="shared" si="34"/>
        <v>1</v>
      </c>
      <c r="IP114" s="90">
        <f t="shared" si="35"/>
        <v>3</v>
      </c>
      <c r="IS114" s="100">
        <f t="shared" si="36"/>
        <v>11</v>
      </c>
      <c r="IT114" s="100">
        <f t="shared" si="37"/>
        <v>12</v>
      </c>
      <c r="IU114" s="100">
        <f t="shared" si="38"/>
        <v>9</v>
      </c>
      <c r="IV114" s="100">
        <f t="shared" si="39"/>
        <v>12</v>
      </c>
      <c r="IW114" s="100">
        <f t="shared" si="40"/>
        <v>16</v>
      </c>
      <c r="IX114" s="100">
        <f t="shared" si="41"/>
        <v>6</v>
      </c>
      <c r="IY114" s="100">
        <f t="shared" si="42"/>
        <v>11</v>
      </c>
      <c r="IZ114" s="100">
        <f t="shared" si="43"/>
        <v>6</v>
      </c>
      <c r="JA114" s="100">
        <f t="shared" si="44"/>
        <v>7</v>
      </c>
      <c r="JB114" s="101">
        <f t="shared" si="45"/>
        <v>3</v>
      </c>
      <c r="JC114" s="102">
        <f t="shared" si="46"/>
        <v>93</v>
      </c>
      <c r="JD114" s="67">
        <f t="shared" si="50"/>
        <v>0</v>
      </c>
      <c r="JE114" s="67">
        <f t="shared" si="47"/>
        <v>1</v>
      </c>
      <c r="JF114" s="67">
        <f t="shared" si="48"/>
        <v>1</v>
      </c>
    </row>
    <row r="115">
      <c r="A115" s="104">
        <f>IFERROR(__xludf.DUMMYFUNCTION("""COMPUTED_VALUE"""),45961.88559388889)</f>
        <v>45961.88559</v>
      </c>
      <c r="B115" s="105" t="str">
        <f>IFERROR(__xludf.DUMMYFUNCTION("""COMPUTED_VALUE"""),"M. Daffa Barokah ")</f>
        <v>M. Daffa Barokah </v>
      </c>
      <c r="C115" s="7" t="str">
        <f>IFERROR(__xludf.DUMMYFUNCTION("""COMPUTED_VALUE"""),"C250006")</f>
        <v>C250006</v>
      </c>
      <c r="D115" s="7" t="str">
        <f>IFERROR(__xludf.DUMMYFUNCTION("""COMPUTED_VALUE"""),"IL Putra")</f>
        <v>IL Putra</v>
      </c>
      <c r="E115" s="7" t="str">
        <f>IFERROR(__xludf.DUMMYFUNCTION("""COMPUTED_VALUE"""),"Ya")</f>
        <v>Ya</v>
      </c>
      <c r="F115" s="105" t="str">
        <f>IFERROR(__xludf.DUMMYFUNCTION("""COMPUTED_VALUE"""),"B Saya ingin melakukan apa saja sebaik mungkin.")</f>
        <v>B Saya ingin melakukan apa saja sebaik mungkin.</v>
      </c>
      <c r="G115" s="105" t="str">
        <f>IFERROR(__xludf.DUMMYFUNCTION("""COMPUTED_VALUE"""),"A Saya ingin setiap tulisan saya teliti, rapi, dan tersusun dengan baik.")</f>
        <v>A Saya ingin setiap tulisan saya teliti, rapi, dan tersusun dengan baik.</v>
      </c>
      <c r="H115" s="105" t="str">
        <f>IFERROR(__xludf.DUMMYFUNCTION("""COMPUTED_VALUE"""),"A Saya ingin berbuat sesuai kata hati saya.")</f>
        <v>A Saya ingin berbuat sesuai kata hati saya.</v>
      </c>
      <c r="I115" s="105" t="str">
        <f>IFERROR(__xludf.DUMMYFUNCTION("""COMPUTED_VALUE"""),"B Saya ingin bisa melakukan dengan baik meskipun tugas yang sulit.")</f>
        <v>B Saya ingin bisa melakukan dengan baik meskipun tugas yang sulit.</v>
      </c>
      <c r="J115" s="105" t="str">
        <f>IFERROR(__xludf.DUMMYFUNCTION("""COMPUTED_VALUE"""),"A Saya suka membantu teman-teman saya apabila mereka mengalami kesulitan.")</f>
        <v>A Saya suka membantu teman-teman saya apabila mereka mengalami kesulitan.</v>
      </c>
      <c r="K115" s="105" t="str">
        <f>IFERROR(__xludf.DUMMYFUNCTION("""COMPUTED_VALUE"""),"A Saya ingin menjadi pemimpin dalam suatu kelompok.")</f>
        <v>A Saya ingin menjadi pemimpin dalam suatu kelompok.</v>
      </c>
      <c r="L115" s="105" t="str">
        <f>IFERROR(__xludf.DUMMYFUNCTION("""COMPUTED_VALUE"""),"A Saya ingin menjadi pemimpin dalam suatu kelompok")</f>
        <v>A Saya ingin menjadi pemimpin dalam suatu kelompok</v>
      </c>
      <c r="M115" s="105" t="str">
        <f>IFERROR(__xludf.DUMMYFUNCTION("""COMPUTED_VALUE"""),"B Saya ingin mengerjakan segala tugas lebih baik daripada orang lain.")</f>
        <v>B Saya ingin mengerjakan segala tugas lebih baik daripada orang lain.</v>
      </c>
      <c r="N115" s="105" t="str">
        <f>IFERROR(__xludf.DUMMYFUNCTION("""COMPUTED_VALUE"""),"B Saya suka memecahkan persoalan yang sukar bagi orang lain.")</f>
        <v>B Saya suka memecahkan persoalan yang sukar bagi orang lain.</v>
      </c>
      <c r="O115" s="105" t="str">
        <f>IFERROR(__xludf.DUMMYFUNCTION("""COMPUTED_VALUE"""),"B Saya suka melakukan tugas sebaik mungkin.")</f>
        <v>B Saya suka melakukan tugas sebaik mungkin.</v>
      </c>
      <c r="P115" s="105" t="str">
        <f>IFERROR(__xludf.DUMMYFUNCTION("""COMPUTED_VALUE"""),"B Saya ingin setiap belajar itu teratur dan direncanakan.")</f>
        <v>B Saya ingin setiap belajar itu teratur dan direncanakan.</v>
      </c>
      <c r="Q115" s="105" t="str">
        <f>IFERROR(__xludf.DUMMYFUNCTION("""COMPUTED_VALUE"""),"B Saya merencanakan keperluan yang dibutuhkan sebelum bepergian.")</f>
        <v>B Saya merencanakan keperluan yang dibutuhkan sebelum bepergian.</v>
      </c>
      <c r="R115" s="105" t="str">
        <f>IFERROR(__xludf.DUMMYFUNCTION("""COMPUTED_VALUE"""),"B Saya suka barang-barang saya tersusun rapi dan teratur.")</f>
        <v>B Saya suka barang-barang saya tersusun rapi dan teratur.</v>
      </c>
      <c r="S115" s="105" t="str">
        <f>IFERROR(__xludf.DUMMYFUNCTION("""COMPUTED_VALUE"""),"B Saya suka membuat perencanaan sebelum memulai tugas yang sulit.")</f>
        <v>B Saya suka membuat perencanaan sebelum memulai tugas yang sulit.</v>
      </c>
      <c r="T115" s="105" t="str">
        <f>IFERROR(__xludf.DUMMYFUNCTION("""COMPUTED_VALUE"""),"B Saya ingin agar hidup saya teratur sesuai cita-cita saya.")</f>
        <v>B Saya ingin agar hidup saya teratur sesuai cita-cita saya.</v>
      </c>
      <c r="U115" s="105" t="str">
        <f>IFERROR(__xludf.DUMMYFUNCTION("""COMPUTED_VALUE"""),"A Saya suka memberikan bantuan kepada teman-teman saya.")</f>
        <v>A Saya suka memberikan bantuan kepada teman-teman saya.</v>
      </c>
      <c r="V115" s="105" t="str">
        <f>IFERROR(__xludf.DUMMYFUNCTION("""COMPUTED_VALUE"""),"B Saya suka belajar saya teratur dan ada waktu-waktu tertentu untuk belajar.")</f>
        <v>B Saya suka belajar saya teratur dan ada waktu-waktu tertentu untuk belajar.</v>
      </c>
      <c r="W115" s="105" t="str">
        <f>IFERROR(__xludf.DUMMYFUNCTION("""COMPUTED_VALUE"""),"B Saya ingin kegiatan itu teratur dan direncanakan.")</f>
        <v>B Saya ingin kegiatan itu teratur dan direncanakan.</v>
      </c>
      <c r="X115" s="105" t="str">
        <f>IFERROR(__xludf.DUMMYFUNCTION("""COMPUTED_VALUE"""),"A Saya suka merencanakan dan mengatur setiap apa yang harus saya lakukan.")</f>
        <v>A Saya suka merencanakan dan mengatur setiap apa yang harus saya lakukan.</v>
      </c>
      <c r="Y115" s="105" t="str">
        <f>IFERROR(__xludf.DUMMYFUNCTION("""COMPUTED_VALUE"""),"A Saya suka menyelesaikan tugas-tugas yang membutuhkan ketrampilan dan usaha.")</f>
        <v>A Saya suka menyelesaikan tugas-tugas yang membutuhkan ketrampilan dan usaha.</v>
      </c>
      <c r="Z115" s="105" t="str">
        <f>IFERROR(__xludf.DUMMYFUNCTION("""COMPUTED_VALUE"""),"A Saya ingin berhasil dengan belajar yang saya lakukan.")</f>
        <v>A Saya ingin berhasil dengan belajar yang saya lakukan.</v>
      </c>
      <c r="AA115" s="105" t="str">
        <f>IFERROR(__xludf.DUMMYFUNCTION("""COMPUTED_VALUE"""),"A Saya suka menyelesaikan tugas yang telah saya rencanakan.")</f>
        <v>A Saya suka menyelesaikan tugas yang telah saya rencanakan.</v>
      </c>
      <c r="AB115" s="105" t="str">
        <f>IFERROR(__xludf.DUMMYFUNCTION("""COMPUTED_VALUE"""),"B Saya ingin menyelesaikan pekerjaan satu persatu sebelum memulai yang lain.")</f>
        <v>B Saya ingin menyelesaikan pekerjaan satu persatu sebelum memulai yang lain.</v>
      </c>
      <c r="AC115" s="105" t="str">
        <f>IFERROR(__xludf.DUMMYFUNCTION("""COMPUTED_VALUE"""),"B Saya suka melakukan kegiatan sesuai kondisi yang saya inginkan.")</f>
        <v>B Saya suka melakukan kegiatan sesuai kondisi yang saya inginkan.</v>
      </c>
      <c r="AD115" s="105" t="str">
        <f>IFERROR(__xludf.DUMMYFUNCTION("""COMPUTED_VALUE"""),"B Saya suka menyatakan pendapat saya tentang berbagai hal.")</f>
        <v>B Saya suka menyatakan pendapat saya tentang berbagai hal.</v>
      </c>
      <c r="AE115" s="105" t="str">
        <f>IFERROR(__xludf.DUMMYFUNCTION("""COMPUTED_VALUE"""),"A Saya ingin dianggap sebagai pemimpin oleh teman di kelompok.")</f>
        <v>A Saya ingin dianggap sebagai pemimpin oleh teman di kelompok.</v>
      </c>
      <c r="AF115" s="105" t="str">
        <f>IFERROR(__xludf.DUMMYFUNCTION("""COMPUTED_VALUE"""),"A Saya ingin agar teman-teman mengerti bila saya mengalami kesukaran.")</f>
        <v>A Saya ingin agar teman-teman mengerti bila saya mengalami kesukaran.</v>
      </c>
      <c r="AG115" s="105" t="str">
        <f>IFERROR(__xludf.DUMMYFUNCTION("""COMPUTED_VALUE"""),"B Saya ingin berhasil dengan tugas yang saya lakukan.")</f>
        <v>B Saya ingin berhasil dengan tugas yang saya lakukan.</v>
      </c>
      <c r="AH115" s="105" t="str">
        <f>IFERROR(__xludf.DUMMYFUNCTION("""COMPUTED_VALUE"""),"A Saya suka membaca buku-buku tentang pergaulan remaja.")</f>
        <v>A Saya suka membaca buku-buku tentang pergaulan remaja.</v>
      </c>
      <c r="AI115" s="105" t="str">
        <f>IFERROR(__xludf.DUMMYFUNCTION("""COMPUTED_VALUE"""),"B Saya suka melakukan kegiatan sesuai kondisi yang saya inginkan.")</f>
        <v>B Saya suka melakukan kegiatan sesuai kondisi yang saya inginkan.</v>
      </c>
      <c r="AJ115" s="105" t="str">
        <f>IFERROR(__xludf.DUMMYFUNCTION("""COMPUTED_VALUE"""),"B Saya suka bertahan menghadapi satu masalah meskipun belum tentu berhasil.")</f>
        <v>B Saya suka bertahan menghadapi satu masalah meskipun belum tentu berhasil.</v>
      </c>
      <c r="AK115" s="105" t="str">
        <f>IFERROR(__xludf.DUMMYFUNCTION("""COMPUTED_VALUE"""),"B Bila saya harus melakukan suatu tugas, saya ingin mengerjakan sampai selesai.")</f>
        <v>B Bila saya harus melakukan suatu tugas, saya ingin mengerjakan sampai selesai.</v>
      </c>
      <c r="AL115" s="105" t="str">
        <f>IFERROR(__xludf.DUMMYFUNCTION("""COMPUTED_VALUE"""),"B Saya ingin menghindarkan gangguan bila saya sedang belajar.")</f>
        <v>B Saya ingin menghindarkan gangguan bila saya sedang belajar.</v>
      </c>
      <c r="AM115" s="105" t="str">
        <f>IFERROR(__xludf.DUMMYFUNCTION("""COMPUTED_VALUE"""),"B Saya suka belajar sampai malam untuk menyelesaikan suatu tugas.")</f>
        <v>B Saya suka belajar sampai malam untuk menyelesaikan suatu tugas.</v>
      </c>
      <c r="AN115" s="105" t="str">
        <f>IFERROR(__xludf.DUMMYFUNCTION("""COMPUTED_VALUE"""),"A Saya tidak suka pada orang yang semena-mena.")</f>
        <v>A Saya tidak suka pada orang yang semena-mena.</v>
      </c>
      <c r="AO115" s="105" t="str">
        <f>IFERROR(__xludf.DUMMYFUNCTION("""COMPUTED_VALUE"""),"B Saya suka menyelesaikan setiap tugas meskipun membutuhkan waktu lama.")</f>
        <v>B Saya suka menyelesaikan setiap tugas meskipun membutuhkan waktu lama.</v>
      </c>
      <c r="AP115" s="105" t="str">
        <f>IFERROR(__xludf.DUMMYFUNCTION("""COMPUTED_VALUE"""),"A Saya ingin mengerjakannya tugas sampai selesai.")</f>
        <v>A Saya ingin mengerjakannya tugas sampai selesai.</v>
      </c>
      <c r="AQ115" s="105" t="str">
        <f>IFERROR(__xludf.DUMMYFUNCTION("""COMPUTED_VALUE"""),"B Bila saya harus melakukan suatu tugas, saya ingin mengerjakan sampai selesai.")</f>
        <v>B Bila saya harus melakukan suatu tugas, saya ingin mengerjakan sampai selesai.</v>
      </c>
      <c r="AR115" s="105" t="str">
        <f>IFERROR(__xludf.DUMMYFUNCTION("""COMPUTED_VALUE"""),"A Saya suka menyimpan catatan secara rapi.")</f>
        <v>A Saya suka menyimpan catatan secara rapi.</v>
      </c>
      <c r="AS115" s="105" t="str">
        <f>IFERROR(__xludf.DUMMYFUNCTION("""COMPUTED_VALUE"""),"A Saya ingin dapat menyelesaikan persoalan yang dianggap sukar bagi orang lain.")</f>
        <v>A Saya ingin dapat menyelesaikan persoalan yang dianggap sukar bagi orang lain.</v>
      </c>
      <c r="AT115" s="105" t="str">
        <f>IFERROR(__xludf.DUMMYFUNCTION("""COMPUTED_VALUE"""),"B Saya suka membantu orang lain yang menurut saya perlu dikasihani.")</f>
        <v>B Saya suka membantu orang lain yang menurut saya perlu dikasihani.</v>
      </c>
      <c r="AU115" s="105" t="str">
        <f>IFERROR(__xludf.DUMMYFUNCTION("""COMPUTED_VALUE"""),"A Saya ingin menyelesaikan pekerjaan satu persatu sebelum memulai yang lain.")</f>
        <v>A Saya ingin menyelesaikan pekerjaan satu persatu sebelum memulai yang lain.</v>
      </c>
      <c r="AV115" s="105" t="str">
        <f>IFERROR(__xludf.DUMMYFUNCTION("""COMPUTED_VALUE"""),"B Saya suka menolong teman-teman saya.")</f>
        <v>B Saya suka menolong teman-teman saya.</v>
      </c>
      <c r="AW115" s="105" t="str">
        <f>IFERROR(__xludf.DUMMYFUNCTION("""COMPUTED_VALUE"""),"A Saya ingin mengerjakan tugas sampai selesai.")</f>
        <v>A Saya ingin mengerjakan tugas sampai selesai.</v>
      </c>
      <c r="AX115" s="105" t="str">
        <f>IFERROR(__xludf.DUMMYFUNCTION("""COMPUTED_VALUE"""),"A Saya suka menolong teman-teman saya apabila mereka dalam kesulitan.")</f>
        <v>A Saya suka menolong teman-teman saya apabila mereka dalam kesulitan.</v>
      </c>
      <c r="AY115" s="105" t="str">
        <f>IFERROR(__xludf.DUMMYFUNCTION("""COMPUTED_VALUE"""),"B Saya suka menolong teman-teman saya apabila mereka dalam kesulitan.")</f>
        <v>B Saya suka menolong teman-teman saya apabila mereka dalam kesulitan.</v>
      </c>
      <c r="AZ115" s="105" t="str">
        <f>IFERROR(__xludf.DUMMYFUNCTION("""COMPUTED_VALUE"""),"B Saya suka menunjukkan simpati saya kepada teman-teman saya.")</f>
        <v>B Saya suka menunjukkan simpati saya kepada teman-teman saya.</v>
      </c>
      <c r="BA115" s="105" t="str">
        <f>IFERROR(__xludf.DUMMYFUNCTION("""COMPUTED_VALUE"""),"B Saya suka memperlakukan orang lain dengan baik dan ramah.")</f>
        <v>B Saya suka memperlakukan orang lain dengan baik dan ramah.</v>
      </c>
      <c r="BB115" s="105" t="str">
        <f>IFERROR(__xludf.DUMMYFUNCTION("""COMPUTED_VALUE"""),"B Saya suka bermurah hati terhadap teman-teman saya.")</f>
        <v>B Saya suka bermurah hati terhadap teman-teman saya.</v>
      </c>
      <c r="BC115" s="105" t="str">
        <f>IFERROR(__xludf.DUMMYFUNCTION("""COMPUTED_VALUE"""),"B Saya suka membantu orang lain yang menurut saya perlu dikasihani.")</f>
        <v>B Saya suka membantu orang lain yang menurut saya perlu dikasihani.</v>
      </c>
      <c r="BD115" s="105" t="str">
        <f>IFERROR(__xludf.DUMMYFUNCTION("""COMPUTED_VALUE"""),"B Saya suka bersikukuh dengan pendirian saya.")</f>
        <v>B Saya suka bersikukuh dengan pendirian saya.</v>
      </c>
      <c r="BE115" s="105" t="str">
        <f>IFERROR(__xludf.DUMMYFUNCTION("""COMPUTED_VALUE"""),"B Saya ingin orang lain melakukan apa yang saya kehendaki.")</f>
        <v>B Saya ingin orang lain melakukan apa yang saya kehendaki.</v>
      </c>
      <c r="BF115" s="105" t="str">
        <f>IFERROR(__xludf.DUMMYFUNCTION("""COMPUTED_VALUE"""),"B Bila saya dalam kelompok, saya ingin menentukan apa yang akan kita lakukan.")</f>
        <v>B Bila saya dalam kelompok, saya ingin menentukan apa yang akan kita lakukan.</v>
      </c>
      <c r="BG115" s="105" t="str">
        <f>IFERROR(__xludf.DUMMYFUNCTION("""COMPUTED_VALUE"""),"B Saya suka mengarahkan kepada orang lain apa yang harus dilakukan.")</f>
        <v>B Saya suka mengarahkan kepada orang lain apa yang harus dilakukan.</v>
      </c>
      <c r="BH115" s="105" t="str">
        <f>IFERROR(__xludf.DUMMYFUNCTION("""COMPUTED_VALUE"""),"A Saya suka menghindar dari situasi yang tidak saya harapkan.")</f>
        <v>A Saya suka menghindar dari situasi yang tidak saya harapkan.</v>
      </c>
      <c r="BI115" s="105" t="str">
        <f>IFERROR(__xludf.DUMMYFUNCTION("""COMPUTED_VALUE"""),"A Saya suka bermurah hati terhadap teman-teman saya.")</f>
        <v>A Saya suka bermurah hati terhadap teman-teman saya.</v>
      </c>
      <c r="BJ115" s="105" t="str">
        <f>IFERROR(__xludf.DUMMYFUNCTION("""COMPUTED_VALUE"""),"A Saya ingin mengerjakan tugas sampai selesai.")</f>
        <v>A Saya ingin mengerjakan tugas sampai selesai.</v>
      </c>
      <c r="BK115" s="105" t="str">
        <f>IFERROR(__xludf.DUMMYFUNCTION("""COMPUTED_VALUE"""),"A Saya ingin menyelesaikan pekerjaan satu persatu sebelum memulai yang lain.")</f>
        <v>A Saya ingin menyelesaikan pekerjaan satu persatu sebelum memulai yang lain.</v>
      </c>
      <c r="BL115" s="105" t="str">
        <f>IFERROR(__xludf.DUMMYFUNCTION("""COMPUTED_VALUE"""),"A Saya suka belajar saya teratur dan ada waktu-waktu tertentu untuk belajar.")</f>
        <v>A Saya suka belajar saya teratur dan ada waktu-waktu tertentu untuk belajar.</v>
      </c>
      <c r="BM115" s="105" t="str">
        <f>IFERROR(__xludf.DUMMYFUNCTION("""COMPUTED_VALUE"""),"A Saya suka melakukan pekerjaan sebaik mungkin.")</f>
        <v>A Saya suka melakukan pekerjaan sebaik mungkin.</v>
      </c>
      <c r="BN115" s="105" t="str">
        <f>IFERROR(__xludf.DUMMYFUNCTION("""COMPUTED_VALUE"""),"A Saya suka mengerjakan teka-teki atau memecahkan persoalan sampai selesai.")</f>
        <v>A Saya suka mengerjakan teka-teki atau memecahkan persoalan sampai selesai.</v>
      </c>
      <c r="BO115" s="105" t="str">
        <f>IFERROR(__xludf.DUMMYFUNCTION("""COMPUTED_VALUE"""),"A Saya suka membuat perencanaan sebelum memulai belajar yang sulit.")</f>
        <v>A Saya suka membuat perencanaan sebelum memulai belajar yang sulit.</v>
      </c>
      <c r="BP115" s="105" t="str">
        <f>IFERROR(__xludf.DUMMYFUNCTION("""COMPUTED_VALUE"""),"A Saya ingin menyelesaikan sesuatu yang sangat penting artinya.")</f>
        <v>A Saya ingin menyelesaikan sesuatu yang sangat penting artinya.</v>
      </c>
      <c r="BQ115" s="105" t="str">
        <f>IFERROR(__xludf.DUMMYFUNCTION("""COMPUTED_VALUE"""),"A Saya ingin mengerjakannya tugas sampai selesai.")</f>
        <v>A Saya ingin mengerjakannya tugas sampai selesai.</v>
      </c>
      <c r="BR115" s="105" t="str">
        <f>IFERROR(__xludf.DUMMYFUNCTION("""COMPUTED_VALUE"""),"A Saya suka memaafkan teman-teman saya yang menyakiti hati saya.")</f>
        <v>A Saya suka memaafkan teman-teman saya yang menyakiti hati saya.</v>
      </c>
      <c r="BS115" s="105" t="str">
        <f>IFERROR(__xludf.DUMMYFUNCTION("""COMPUTED_VALUE"""),"B Saya ingin teman-teman saya membantu saya bila saya mengalami kesulitan")</f>
        <v>B Saya ingin teman-teman saya membantu saya bila saya mengalami kesulitan</v>
      </c>
      <c r="BT115" s="105" t="str">
        <f>IFERROR(__xludf.DUMMYFUNCTION("""COMPUTED_VALUE"""),"B Saya ingin teman-teman banyak menunjukkan rasa sayang mereka terhadap saya.")</f>
        <v>B Saya ingin teman-teman banyak menunjukkan rasa sayang mereka terhadap saya.</v>
      </c>
      <c r="BU115" s="105" t="str">
        <f>IFERROR(__xludf.DUMMYFUNCTION("""COMPUTED_VALUE"""),"B Saya ingin agar teman-teman saya merasa kasihan pada saya apabila saya sakit.")</f>
        <v>B Saya ingin agar teman-teman saya merasa kasihan pada saya apabila saya sakit.</v>
      </c>
      <c r="BV115" s="105" t="str">
        <f>IFERROR(__xludf.DUMMYFUNCTION("""COMPUTED_VALUE"""),"B Saya ingin teman-teman dengan gembira memberikan pertolongan kepada saya.")</f>
        <v>B Saya ingin teman-teman dengan gembira memberikan pertolongan kepada saya.</v>
      </c>
      <c r="BW115" s="105" t="str">
        <f>IFERROR(__xludf.DUMMYFUNCTION("""COMPUTED_VALUE"""),"B Saya ingin diperlakukan dengan baik oleh teman-teman saya.")</f>
        <v>B Saya ingin diperlakukan dengan baik oleh teman-teman saya.</v>
      </c>
      <c r="BX115" s="105" t="str">
        <f>IFERROR(__xludf.DUMMYFUNCTION("""COMPUTED_VALUE"""),"B Saya kadang-kadang suka melakukan hal-hal yang dapat dipuji oleh orang lain.")</f>
        <v>B Saya kadang-kadang suka melakukan hal-hal yang dapat dipuji oleh orang lain.</v>
      </c>
      <c r="BY115" s="105" t="str">
        <f>IFERROR(__xludf.DUMMYFUNCTION("""COMPUTED_VALUE"""),"B Saya ingin orang lain memperhatikan dan berkomentar tentang penampilan saya.")</f>
        <v>B Saya ingin orang lain memperhatikan dan berkomentar tentang penampilan saya.</v>
      </c>
      <c r="BZ115" s="105" t="str">
        <f>IFERROR(__xludf.DUMMYFUNCTION("""COMPUTED_VALUE"""),"B Saya suka diperhatikan, apabila saya ada di dalam suatu kelompok.")</f>
        <v>B Saya suka diperhatikan, apabila saya ada di dalam suatu kelompok.</v>
      </c>
      <c r="CA115" s="105" t="str">
        <f>IFERROR(__xludf.DUMMYFUNCTION("""COMPUTED_VALUE"""),"A Saya ingin teman-teman dengan gembira memberikan pertolongan kepada saya.")</f>
        <v>A Saya ingin teman-teman dengan gembira memberikan pertolongan kepada saya.</v>
      </c>
      <c r="CB115" s="105" t="str">
        <f>IFERROR(__xludf.DUMMYFUNCTION("""COMPUTED_VALUE"""),"B Saya suka berbicara tentang hal-hal yang telah saya capai.")</f>
        <v>B Saya suka berbicara tentang hal-hal yang telah saya capai.</v>
      </c>
      <c r="CC115" s="105" t="str">
        <f>IFERROR(__xludf.DUMMYFUNCTION("""COMPUTED_VALUE"""),"B Saya suka menceritakan hal-hal lucu agar diperhatikan oleh orang lain.")</f>
        <v>B Saya suka menceritakan hal-hal lucu agar diperhatikan oleh orang lain.</v>
      </c>
      <c r="CD115" s="105" t="str">
        <f>IFERROR(__xludf.DUMMYFUNCTION("""COMPUTED_VALUE"""),"A Saya suka menyelesaikan setiap tugas meskipun membutuhkan waktu lama.")</f>
        <v>A Saya suka menyelesaikan setiap tugas meskipun membutuhkan waktu lama.</v>
      </c>
      <c r="CE115" s="105" t="str">
        <f>IFERROR(__xludf.DUMMYFUNCTION("""COMPUTED_VALUE"""),"A Saya suka menyelesaikan setiap tugas belajar yang telah saya mulai.")</f>
        <v>A Saya suka menyelesaikan setiap tugas belajar yang telah saya mulai.</v>
      </c>
      <c r="CF115" s="105" t="str">
        <f>IFERROR(__xludf.DUMMYFUNCTION("""COMPUTED_VALUE"""),"A Saya ingin agar hidup saya teratur sesuai cita-cita saya.")</f>
        <v>A Saya ingin agar hidup saya teratur sesuai cita-cita saya.</v>
      </c>
      <c r="CG115" s="105" t="str">
        <f>IFERROR(__xludf.DUMMYFUNCTION("""COMPUTED_VALUE"""),"A Saya ingin berhasil dalam apa yang saya lakukan.")</f>
        <v>A Saya ingin berhasil dalam apa yang saya lakukan.</v>
      </c>
      <c r="CH115" s="105" t="str">
        <f>IFERROR(__xludf.DUMMYFUNCTION("""COMPUTED_VALUE"""),"A Saya ingin bisa melakukan dengan baik sesuatu pekerjaan sulit.")</f>
        <v>A Saya ingin bisa melakukan dengan baik sesuatu pekerjaan sulit.</v>
      </c>
      <c r="CI115" s="105" t="str">
        <f>IFERROR(__xludf.DUMMYFUNCTION("""COMPUTED_VALUE"""),"A Saya suka belajar saya teratur dan ada waktu-waktu tertentu untuk belajar.")</f>
        <v>A Saya suka belajar saya teratur dan ada waktu-waktu tertentu untuk belajar.</v>
      </c>
      <c r="CJ115" s="105" t="str">
        <f>IFERROR(__xludf.DUMMYFUNCTION("""COMPUTED_VALUE"""),"A Saya ingin tidak tergantung dari orang lain terhadap apa yang akan saya lakukan.")</f>
        <v>A Saya ingin tidak tergantung dari orang lain terhadap apa yang akan saya lakukan.</v>
      </c>
      <c r="CK115" s="105" t="str">
        <f>IFERROR(__xludf.DUMMYFUNCTION("""COMPUTED_VALUE"""),"B Saya senang ikut beraktivitas bersama teman sebaya saya.")</f>
        <v>B Saya senang ikut beraktivitas bersama teman sebaya saya.</v>
      </c>
      <c r="CL115" s="105" t="str">
        <f>IFERROR(__xludf.DUMMYFUNCTION("""COMPUTED_VALUE"""),"A Saya suka menolong teman-teman saya, apabila mereka dalam kesulitan.")</f>
        <v>A Saya suka menolong teman-teman saya, apabila mereka dalam kesulitan.</v>
      </c>
      <c r="CM115" s="105" t="str">
        <f>IFERROR(__xludf.DUMMYFUNCTION("""COMPUTED_VALUE"""),"A Saya ingin ditunjuk atau dipilih sebagai ketua dalam suatu kelompok.")</f>
        <v>A Saya ingin ditunjuk atau dipilih sebagai ketua dalam suatu kelompok.</v>
      </c>
      <c r="CN115" s="105" t="str">
        <f>IFERROR(__xludf.DUMMYFUNCTION("""COMPUTED_VALUE"""),"A Saya ingin diperlakukan dengan baik oleh teman-teman saya.")</f>
        <v>A Saya ingin diperlakukan dengan baik oleh teman-teman saya.</v>
      </c>
      <c r="CO115" s="105" t="str">
        <f>IFERROR(__xludf.DUMMYFUNCTION("""COMPUTED_VALUE"""),"A Saya suka menceritakan hal-hal lucu agar diperhatikan oleh orang lain.")</f>
        <v>A Saya suka menceritakan hal-hal lucu agar diperhatikan oleh orang lain.</v>
      </c>
      <c r="CP115" s="105" t="str">
        <f>IFERROR(__xludf.DUMMYFUNCTION("""COMPUTED_VALUE"""),"B Saya ingin dianggap menarik oleh orang lain.")</f>
        <v>B Saya ingin dianggap menarik oleh orang lain.</v>
      </c>
      <c r="CQ115" s="105" t="str">
        <f>IFERROR(__xludf.DUMMYFUNCTION("""COMPUTED_VALUE"""),"B Saya merasa kagum pada seseorang.")</f>
        <v>B Saya merasa kagum pada seseorang.</v>
      </c>
      <c r="CR115" s="105" t="str">
        <f>IFERROR(__xludf.DUMMYFUNCTION("""COMPUTED_VALUE"""),"B Saya rasanya ingin mengecam seseorang bila orang itu menjengkelkan.")</f>
        <v>B Saya rasanya ingin mengecam seseorang bila orang itu menjengkelkan.</v>
      </c>
      <c r="CS115" s="105" t="str">
        <f>IFERROR(__xludf.DUMMYFUNCTION("""COMPUTED_VALUE"""),"A Saya ingin terlihat menarik di depan teman-teman saya.")</f>
        <v>A Saya ingin terlihat menarik di depan teman-teman saya.</v>
      </c>
      <c r="CT115" s="105" t="str">
        <f>IFERROR(__xludf.DUMMYFUNCTION("""COMPUTED_VALUE"""),"A Saya ingin orang-orang memperhatikan komentar mengenai penampilan saya.")</f>
        <v>A Saya ingin orang-orang memperhatikan komentar mengenai penampilan saya.</v>
      </c>
      <c r="CU115" s="105" t="str">
        <f>IFERROR(__xludf.DUMMYFUNCTION("""COMPUTED_VALUE"""),"A Saya ingin diperlakukan dengan ramah oleh teman-teman saya.")</f>
        <v>A Saya ingin diperlakukan dengan ramah oleh teman-teman saya.</v>
      </c>
      <c r="CV115" s="105" t="str">
        <f>IFERROR(__xludf.DUMMYFUNCTION("""COMPUTED_VALUE"""),"A Saya ingin ditunjuk atau dipilih sebagai ketua dalam suatu kelompok.")</f>
        <v>A Saya ingin ditunjuk atau dipilih sebagai ketua dalam suatu kelompok.</v>
      </c>
      <c r="CW115" s="105" t="str">
        <f>IFERROR(__xludf.DUMMYFUNCTION("""COMPUTED_VALUE"""),"A Saya suka menolong teman-teman saya, apabila mereka dalam kesulitan.")</f>
        <v>A Saya suka menolong teman-teman saya, apabila mereka dalam kesulitan.</v>
      </c>
      <c r="CX115" s="105" t="str">
        <f>IFERROR(__xludf.DUMMYFUNCTION("""COMPUTED_VALUE"""),"A Saya suka belajar sampai malam untuk menyelesaikan suatu tugas.")</f>
        <v>A Saya suka belajar sampai malam untuk menyelesaikan suatu tugas.</v>
      </c>
      <c r="CY115" s="105" t="str">
        <f>IFERROR(__xludf.DUMMYFUNCTION("""COMPUTED_VALUE"""),"A Saya ingin tidak tergantung dari orang lain terhadap apa yang akan saya lakukan.")</f>
        <v>A Saya ingin tidak tergantung dari orang lain terhadap apa yang akan saya lakukan.</v>
      </c>
      <c r="CZ115" s="105" t="str">
        <f>IFERROR(__xludf.DUMMYFUNCTION("""COMPUTED_VALUE"""),"A Saya suka merencanakan dan mengatur setiap pekerjaan yang harus saya lakukan.")</f>
        <v>A Saya suka merencanakan dan mengatur setiap pekerjaan yang harus saya lakukan.</v>
      </c>
      <c r="DA115" s="105" t="str">
        <f>IFERROR(__xludf.DUMMYFUNCTION("""COMPUTED_VALUE"""),"A Saya ingin melakukan apa saja sebaik mungkin.")</f>
        <v>A Saya ingin melakukan apa saja sebaik mungkin.</v>
      </c>
      <c r="DB115" s="89" t="s">
        <v>23</v>
      </c>
      <c r="DC115" s="97" t="str">
        <f t="shared" ref="DC115:GX115" si="160">LEFT(F115,1)</f>
        <v>B</v>
      </c>
      <c r="DD115" s="97" t="str">
        <f t="shared" si="160"/>
        <v>A</v>
      </c>
      <c r="DE115" s="97" t="str">
        <f t="shared" si="160"/>
        <v>A</v>
      </c>
      <c r="DF115" s="97" t="str">
        <f t="shared" si="160"/>
        <v>B</v>
      </c>
      <c r="DG115" s="97" t="str">
        <f t="shared" si="160"/>
        <v>A</v>
      </c>
      <c r="DH115" s="97" t="str">
        <f t="shared" si="160"/>
        <v>A</v>
      </c>
      <c r="DI115" s="97" t="str">
        <f t="shared" si="160"/>
        <v>A</v>
      </c>
      <c r="DJ115" s="97" t="str">
        <f t="shared" si="160"/>
        <v>B</v>
      </c>
      <c r="DK115" s="97" t="str">
        <f t="shared" si="160"/>
        <v>B</v>
      </c>
      <c r="DL115" s="97" t="str">
        <f t="shared" si="160"/>
        <v>B</v>
      </c>
      <c r="DM115" s="97" t="str">
        <f t="shared" si="160"/>
        <v>B</v>
      </c>
      <c r="DN115" s="97" t="str">
        <f t="shared" si="160"/>
        <v>B</v>
      </c>
      <c r="DO115" s="97" t="str">
        <f t="shared" si="160"/>
        <v>B</v>
      </c>
      <c r="DP115" s="97" t="str">
        <f t="shared" si="160"/>
        <v>B</v>
      </c>
      <c r="DQ115" s="97" t="str">
        <f t="shared" si="160"/>
        <v>B</v>
      </c>
      <c r="DR115" s="97" t="str">
        <f t="shared" si="160"/>
        <v>A</v>
      </c>
      <c r="DS115" s="97" t="str">
        <f t="shared" si="160"/>
        <v>B</v>
      </c>
      <c r="DT115" s="97" t="str">
        <f t="shared" si="160"/>
        <v>B</v>
      </c>
      <c r="DU115" s="97" t="str">
        <f t="shared" si="160"/>
        <v>A</v>
      </c>
      <c r="DV115" s="97" t="str">
        <f t="shared" si="160"/>
        <v>A</v>
      </c>
      <c r="DW115" s="97" t="str">
        <f t="shared" si="160"/>
        <v>A</v>
      </c>
      <c r="DX115" s="97" t="str">
        <f t="shared" si="160"/>
        <v>A</v>
      </c>
      <c r="DY115" s="97" t="str">
        <f t="shared" si="160"/>
        <v>B</v>
      </c>
      <c r="DZ115" s="97" t="str">
        <f t="shared" si="160"/>
        <v>B</v>
      </c>
      <c r="EA115" s="97" t="str">
        <f t="shared" si="160"/>
        <v>B</v>
      </c>
      <c r="EB115" s="97" t="str">
        <f t="shared" si="160"/>
        <v>A</v>
      </c>
      <c r="EC115" s="97" t="str">
        <f t="shared" si="160"/>
        <v>A</v>
      </c>
      <c r="ED115" s="97" t="str">
        <f t="shared" si="160"/>
        <v>B</v>
      </c>
      <c r="EE115" s="97" t="str">
        <f t="shared" si="160"/>
        <v>A</v>
      </c>
      <c r="EF115" s="97" t="str">
        <f t="shared" si="160"/>
        <v>B</v>
      </c>
      <c r="EG115" s="97" t="str">
        <f t="shared" si="160"/>
        <v>B</v>
      </c>
      <c r="EH115" s="97" t="str">
        <f t="shared" si="160"/>
        <v>B</v>
      </c>
      <c r="EI115" s="97" t="str">
        <f t="shared" si="160"/>
        <v>B</v>
      </c>
      <c r="EJ115" s="97" t="str">
        <f t="shared" si="160"/>
        <v>B</v>
      </c>
      <c r="EK115" s="97" t="str">
        <f t="shared" si="160"/>
        <v>A</v>
      </c>
      <c r="EL115" s="97" t="str">
        <f t="shared" si="160"/>
        <v>B</v>
      </c>
      <c r="EM115" s="97" t="str">
        <f t="shared" si="160"/>
        <v>A</v>
      </c>
      <c r="EN115" s="97" t="str">
        <f t="shared" si="160"/>
        <v>B</v>
      </c>
      <c r="EO115" s="97" t="str">
        <f t="shared" si="160"/>
        <v>A</v>
      </c>
      <c r="EP115" s="97" t="str">
        <f t="shared" si="160"/>
        <v>A</v>
      </c>
      <c r="EQ115" s="97" t="str">
        <f t="shared" si="160"/>
        <v>B</v>
      </c>
      <c r="ER115" s="97" t="str">
        <f t="shared" si="160"/>
        <v>A</v>
      </c>
      <c r="ES115" s="97" t="str">
        <f t="shared" si="160"/>
        <v>B</v>
      </c>
      <c r="ET115" s="97" t="str">
        <f t="shared" si="160"/>
        <v>A</v>
      </c>
      <c r="EU115" s="97" t="str">
        <f t="shared" si="160"/>
        <v>A</v>
      </c>
      <c r="EV115" s="97" t="str">
        <f t="shared" si="160"/>
        <v>B</v>
      </c>
      <c r="EW115" s="97" t="str">
        <f t="shared" si="160"/>
        <v>B</v>
      </c>
      <c r="EX115" s="97" t="str">
        <f t="shared" si="160"/>
        <v>B</v>
      </c>
      <c r="EY115" s="97" t="str">
        <f t="shared" si="160"/>
        <v>B</v>
      </c>
      <c r="EZ115" s="97" t="str">
        <f t="shared" si="160"/>
        <v>B</v>
      </c>
      <c r="FA115" s="97" t="str">
        <f t="shared" si="160"/>
        <v>B</v>
      </c>
      <c r="FB115" s="97" t="str">
        <f t="shared" si="160"/>
        <v>B</v>
      </c>
      <c r="FC115" s="97" t="str">
        <f t="shared" si="160"/>
        <v>B</v>
      </c>
      <c r="FD115" s="97" t="str">
        <f t="shared" si="160"/>
        <v>B</v>
      </c>
      <c r="FE115" s="97" t="str">
        <f t="shared" si="160"/>
        <v>A</v>
      </c>
      <c r="FF115" s="97" t="str">
        <f t="shared" si="160"/>
        <v>A</v>
      </c>
      <c r="FG115" s="97" t="str">
        <f t="shared" si="160"/>
        <v>A</v>
      </c>
      <c r="FH115" s="97" t="str">
        <f t="shared" si="160"/>
        <v>A</v>
      </c>
      <c r="FI115" s="97" t="str">
        <f t="shared" si="160"/>
        <v>A</v>
      </c>
      <c r="FJ115" s="97" t="str">
        <f t="shared" si="160"/>
        <v>A</v>
      </c>
      <c r="FK115" s="97" t="str">
        <f t="shared" si="160"/>
        <v>A</v>
      </c>
      <c r="FL115" s="97" t="str">
        <f t="shared" si="160"/>
        <v>A</v>
      </c>
      <c r="FM115" s="97" t="str">
        <f t="shared" si="160"/>
        <v>A</v>
      </c>
      <c r="FN115" s="97" t="str">
        <f t="shared" si="160"/>
        <v>A</v>
      </c>
      <c r="FO115" s="97" t="str">
        <f t="shared" si="160"/>
        <v>A</v>
      </c>
      <c r="FP115" s="97" t="str">
        <f t="shared" si="160"/>
        <v>B</v>
      </c>
      <c r="FQ115" s="97" t="str">
        <f t="shared" si="160"/>
        <v>B</v>
      </c>
      <c r="FR115" s="97" t="str">
        <f t="shared" si="160"/>
        <v>B</v>
      </c>
      <c r="FS115" s="97" t="str">
        <f t="shared" si="160"/>
        <v>B</v>
      </c>
      <c r="FT115" s="97" t="str">
        <f t="shared" si="160"/>
        <v>B</v>
      </c>
      <c r="FU115" s="97" t="str">
        <f t="shared" si="160"/>
        <v>B</v>
      </c>
      <c r="FV115" s="97" t="str">
        <f t="shared" si="160"/>
        <v>B</v>
      </c>
      <c r="FW115" s="97" t="str">
        <f t="shared" si="160"/>
        <v>B</v>
      </c>
      <c r="FX115" s="97" t="str">
        <f t="shared" si="160"/>
        <v>A</v>
      </c>
      <c r="FY115" s="97" t="str">
        <f t="shared" si="160"/>
        <v>B</v>
      </c>
      <c r="FZ115" s="97" t="str">
        <f t="shared" si="160"/>
        <v>B</v>
      </c>
      <c r="GA115" s="97" t="str">
        <f t="shared" si="160"/>
        <v>A</v>
      </c>
      <c r="GB115" s="97" t="str">
        <f t="shared" si="160"/>
        <v>A</v>
      </c>
      <c r="GC115" s="97" t="str">
        <f t="shared" si="160"/>
        <v>A</v>
      </c>
      <c r="GD115" s="97" t="str">
        <f t="shared" si="160"/>
        <v>A</v>
      </c>
      <c r="GE115" s="97" t="str">
        <f t="shared" si="160"/>
        <v>A</v>
      </c>
      <c r="GF115" s="97" t="str">
        <f t="shared" si="160"/>
        <v>A</v>
      </c>
      <c r="GG115" s="97" t="str">
        <f t="shared" si="160"/>
        <v>A</v>
      </c>
      <c r="GH115" s="97" t="str">
        <f t="shared" si="160"/>
        <v>B</v>
      </c>
      <c r="GI115" s="97" t="str">
        <f t="shared" si="160"/>
        <v>A</v>
      </c>
      <c r="GJ115" s="97" t="str">
        <f t="shared" si="160"/>
        <v>A</v>
      </c>
      <c r="GK115" s="97" t="str">
        <f t="shared" si="160"/>
        <v>A</v>
      </c>
      <c r="GL115" s="97" t="str">
        <f t="shared" si="160"/>
        <v>A</v>
      </c>
      <c r="GM115" s="97" t="str">
        <f t="shared" si="160"/>
        <v>B</v>
      </c>
      <c r="GN115" s="97" t="str">
        <f t="shared" si="160"/>
        <v>B</v>
      </c>
      <c r="GO115" s="97" t="str">
        <f t="shared" si="160"/>
        <v>B</v>
      </c>
      <c r="GP115" s="97" t="str">
        <f t="shared" si="160"/>
        <v>A</v>
      </c>
      <c r="GQ115" s="97" t="str">
        <f t="shared" si="160"/>
        <v>A</v>
      </c>
      <c r="GR115" s="97" t="str">
        <f t="shared" si="160"/>
        <v>A</v>
      </c>
      <c r="GS115" s="97" t="str">
        <f t="shared" si="160"/>
        <v>A</v>
      </c>
      <c r="GT115" s="97" t="str">
        <f t="shared" si="160"/>
        <v>A</v>
      </c>
      <c r="GU115" s="97" t="str">
        <f t="shared" si="160"/>
        <v>A</v>
      </c>
      <c r="GV115" s="97" t="str">
        <f t="shared" si="160"/>
        <v>A</v>
      </c>
      <c r="GW115" s="97" t="str">
        <f t="shared" si="160"/>
        <v>A</v>
      </c>
      <c r="GX115" s="97" t="str">
        <f t="shared" si="160"/>
        <v>A</v>
      </c>
      <c r="GY115" s="98"/>
      <c r="GZ115" s="97">
        <f t="shared" si="3"/>
        <v>52</v>
      </c>
      <c r="HA115" s="97">
        <f t="shared" si="4"/>
        <v>48</v>
      </c>
      <c r="HB115" s="90">
        <f t="shared" si="5"/>
        <v>100</v>
      </c>
      <c r="HC115" s="99"/>
      <c r="HD115" s="97">
        <f t="shared" si="6"/>
        <v>8</v>
      </c>
      <c r="HE115" s="97">
        <f t="shared" si="7"/>
        <v>4</v>
      </c>
      <c r="HF115" s="90">
        <f t="shared" si="8"/>
        <v>12</v>
      </c>
      <c r="HG115" s="99"/>
      <c r="HH115" s="97">
        <f t="shared" si="9"/>
        <v>9</v>
      </c>
      <c r="HI115" s="97">
        <f t="shared" si="10"/>
        <v>7</v>
      </c>
      <c r="HJ115" s="90">
        <f t="shared" si="11"/>
        <v>16</v>
      </c>
      <c r="HK115" s="99"/>
      <c r="HL115" s="97">
        <f t="shared" si="12"/>
        <v>6</v>
      </c>
      <c r="HM115" s="97">
        <f t="shared" si="13"/>
        <v>5</v>
      </c>
      <c r="HN115" s="90">
        <f t="shared" si="14"/>
        <v>11</v>
      </c>
      <c r="HO115" s="99"/>
      <c r="HP115" s="97">
        <f t="shared" si="15"/>
        <v>5</v>
      </c>
      <c r="HQ115" s="97">
        <f t="shared" si="16"/>
        <v>6</v>
      </c>
      <c r="HR115" s="90">
        <f t="shared" si="17"/>
        <v>11</v>
      </c>
      <c r="HS115" s="99"/>
      <c r="HT115" s="97">
        <f t="shared" si="18"/>
        <v>6</v>
      </c>
      <c r="HU115" s="97">
        <f t="shared" si="19"/>
        <v>7</v>
      </c>
      <c r="HV115" s="90">
        <f t="shared" si="20"/>
        <v>13</v>
      </c>
      <c r="HW115" s="99"/>
      <c r="HX115" s="97">
        <f t="shared" si="21"/>
        <v>5</v>
      </c>
      <c r="HY115" s="97">
        <f t="shared" si="22"/>
        <v>4</v>
      </c>
      <c r="HZ115" s="90">
        <f t="shared" si="23"/>
        <v>9</v>
      </c>
      <c r="IA115" s="99"/>
      <c r="IB115" s="97">
        <f t="shared" si="24"/>
        <v>5</v>
      </c>
      <c r="IC115" s="97">
        <f t="shared" si="25"/>
        <v>5</v>
      </c>
      <c r="ID115" s="90">
        <f t="shared" si="26"/>
        <v>10</v>
      </c>
      <c r="IE115" s="99"/>
      <c r="IF115" s="97">
        <f t="shared" si="27"/>
        <v>2</v>
      </c>
      <c r="IG115" s="97">
        <f t="shared" si="28"/>
        <v>5</v>
      </c>
      <c r="IH115" s="90">
        <f t="shared" si="29"/>
        <v>7</v>
      </c>
      <c r="II115" s="99"/>
      <c r="IJ115" s="97">
        <f t="shared" si="30"/>
        <v>2</v>
      </c>
      <c r="IK115" s="97">
        <f t="shared" si="31"/>
        <v>3</v>
      </c>
      <c r="IL115" s="90">
        <f t="shared" si="32"/>
        <v>5</v>
      </c>
      <c r="IM115" s="99"/>
      <c r="IN115" s="97">
        <f t="shared" si="33"/>
        <v>0</v>
      </c>
      <c r="IO115" s="97">
        <f t="shared" si="34"/>
        <v>1</v>
      </c>
      <c r="IP115" s="90">
        <f t="shared" si="35"/>
        <v>1</v>
      </c>
      <c r="IS115" s="100">
        <f t="shared" si="36"/>
        <v>12</v>
      </c>
      <c r="IT115" s="100">
        <f t="shared" si="37"/>
        <v>16</v>
      </c>
      <c r="IU115" s="100">
        <f t="shared" si="38"/>
        <v>11</v>
      </c>
      <c r="IV115" s="100">
        <f t="shared" si="39"/>
        <v>11</v>
      </c>
      <c r="IW115" s="100">
        <f t="shared" si="40"/>
        <v>13</v>
      </c>
      <c r="IX115" s="100">
        <f t="shared" si="41"/>
        <v>9</v>
      </c>
      <c r="IY115" s="100">
        <f t="shared" si="42"/>
        <v>10</v>
      </c>
      <c r="IZ115" s="100">
        <f t="shared" si="43"/>
        <v>7</v>
      </c>
      <c r="JA115" s="100">
        <f t="shared" si="44"/>
        <v>5</v>
      </c>
      <c r="JB115" s="101">
        <f t="shared" si="45"/>
        <v>1</v>
      </c>
      <c r="JC115" s="102">
        <f t="shared" si="46"/>
        <v>95</v>
      </c>
      <c r="JD115" s="67">
        <f t="shared" si="50"/>
        <v>0</v>
      </c>
      <c r="JE115" s="67">
        <f t="shared" si="47"/>
        <v>1</v>
      </c>
      <c r="JF115" s="67">
        <f t="shared" si="48"/>
        <v>1</v>
      </c>
    </row>
    <row r="116">
      <c r="A116" s="104">
        <f>IFERROR(__xludf.DUMMYFUNCTION("""COMPUTED_VALUE"""),45962.249673680555)</f>
        <v>45962.24967</v>
      </c>
      <c r="B116" s="105" t="str">
        <f>IFERROR(__xludf.DUMMYFUNCTION("""COMPUTED_VALUE"""),"Ahmad Kamaludi")</f>
        <v>Ahmad Kamaludi</v>
      </c>
      <c r="C116" s="7" t="str">
        <f>IFERROR(__xludf.DUMMYFUNCTION("""COMPUTED_VALUE"""),"A250030")</f>
        <v>A250030</v>
      </c>
      <c r="D116" s="7" t="str">
        <f>IFERROR(__xludf.DUMMYFUNCTION("""COMPUTED_VALUE"""),"MTs Putra")</f>
        <v>MTs Putra</v>
      </c>
      <c r="E116" s="7" t="str">
        <f>IFERROR(__xludf.DUMMYFUNCTION("""COMPUTED_VALUE"""),"Ya")</f>
        <v>Ya</v>
      </c>
      <c r="F116" s="105" t="str">
        <f>IFERROR(__xludf.DUMMYFUNCTION("""COMPUTED_VALUE"""),"B Saya ingin melakukan apa saja sebaik mungkin.")</f>
        <v>B Saya ingin melakukan apa saja sebaik mungkin.</v>
      </c>
      <c r="G116" s="105" t="str">
        <f>IFERROR(__xludf.DUMMYFUNCTION("""COMPUTED_VALUE"""),"A Saya ingin setiap tulisan saya teliti, rapi, dan tersusun dengan baik.")</f>
        <v>A Saya ingin setiap tulisan saya teliti, rapi, dan tersusun dengan baik.</v>
      </c>
      <c r="H116" s="105" t="str">
        <f>IFERROR(__xludf.DUMMYFUNCTION("""COMPUTED_VALUE"""),"B Saya ingin menjadi orang yang diakui dalam suatu pekerjaan atau bidang khusus.")</f>
        <v>B Saya ingin menjadi orang yang diakui dalam suatu pekerjaan atau bidang khusus.</v>
      </c>
      <c r="I116" s="105" t="str">
        <f>IFERROR(__xludf.DUMMYFUNCTION("""COMPUTED_VALUE"""),"B Saya ingin bisa melakukan dengan baik meskipun tugas yang sulit.")</f>
        <v>B Saya ingin bisa melakukan dengan baik meskipun tugas yang sulit.</v>
      </c>
      <c r="J116" s="105" t="str">
        <f>IFERROR(__xludf.DUMMYFUNCTION("""COMPUTED_VALUE"""),"A Saya suka membantu teman-teman saya apabila mereka mengalami kesulitan.")</f>
        <v>A Saya suka membantu teman-teman saya apabila mereka mengalami kesulitan.</v>
      </c>
      <c r="K116" s="105" t="str">
        <f>IFERROR(__xludf.DUMMYFUNCTION("""COMPUTED_VALUE"""),"B Saya ingin mengatakan telah melakukan dengan baik sesuatu tugas yang sulit.")</f>
        <v>B Saya ingin mengatakan telah melakukan dengan baik sesuatu tugas yang sulit.</v>
      </c>
      <c r="L116" s="105" t="str">
        <f>IFERROR(__xludf.DUMMYFUNCTION("""COMPUTED_VALUE"""),"B Saya ingin mengatakan telah melakukan dengan baik sesuatu tugas yang sulit")</f>
        <v>B Saya ingin mengatakan telah melakukan dengan baik sesuatu tugas yang sulit</v>
      </c>
      <c r="M116" s="105" t="str">
        <f>IFERROR(__xludf.DUMMYFUNCTION("""COMPUTED_VALUE"""),"A Saya suka berbicara tentang hal-hal yang telah berhasil saya lakukan.")</f>
        <v>A Saya suka berbicara tentang hal-hal yang telah berhasil saya lakukan.</v>
      </c>
      <c r="N116" s="105" t="str">
        <f>IFERROR(__xludf.DUMMYFUNCTION("""COMPUTED_VALUE"""),"B Saya suka memecahkan persoalan yang sukar bagi orang lain.")</f>
        <v>B Saya suka memecahkan persoalan yang sukar bagi orang lain.</v>
      </c>
      <c r="O116" s="105" t="str">
        <f>IFERROR(__xludf.DUMMYFUNCTION("""COMPUTED_VALUE"""),"A Saya marah saat ada teman memperolok-olok hal-hal yang saya anggap bodoh.")</f>
        <v>A Saya marah saat ada teman memperolok-olok hal-hal yang saya anggap bodoh.</v>
      </c>
      <c r="P116" s="105" t="str">
        <f>IFERROR(__xludf.DUMMYFUNCTION("""COMPUTED_VALUE"""),"B Saya ingin setiap belajar itu teratur dan direncanakan.")</f>
        <v>B Saya ingin setiap belajar itu teratur dan direncanakan.</v>
      </c>
      <c r="Q116" s="105" t="str">
        <f>IFERROR(__xludf.DUMMYFUNCTION("""COMPUTED_VALUE"""),"B Saya merencanakan keperluan yang dibutuhkan sebelum bepergian.")</f>
        <v>B Saya merencanakan keperluan yang dibutuhkan sebelum bepergian.</v>
      </c>
      <c r="R116" s="105" t="str">
        <f>IFERROR(__xludf.DUMMYFUNCTION("""COMPUTED_VALUE"""),"B Saya suka barang-barang saya tersusun rapi dan teratur.")</f>
        <v>B Saya suka barang-barang saya tersusun rapi dan teratur.</v>
      </c>
      <c r="S116" s="105" t="str">
        <f>IFERROR(__xludf.DUMMYFUNCTION("""COMPUTED_VALUE"""),"A Saya ingin agar teman-teman pengertian bila saya mengalami kesukaran.")</f>
        <v>A Saya ingin agar teman-teman pengertian bila saya mengalami kesukaran.</v>
      </c>
      <c r="T116" s="105" t="str">
        <f>IFERROR(__xludf.DUMMYFUNCTION("""COMPUTED_VALUE"""),"B Saya ingin agar hidup saya teratur sesuai cita-cita saya.")</f>
        <v>B Saya ingin agar hidup saya teratur sesuai cita-cita saya.</v>
      </c>
      <c r="U116" s="105" t="str">
        <f>IFERROR(__xludf.DUMMYFUNCTION("""COMPUTED_VALUE"""),"A Saya suka memberikan bantuan kepada teman-teman saya.")</f>
        <v>A Saya suka memberikan bantuan kepada teman-teman saya.</v>
      </c>
      <c r="V116" s="105" t="str">
        <f>IFERROR(__xludf.DUMMYFUNCTION("""COMPUTED_VALUE"""),"B Saya suka belajar saya teratur dan ada waktu-waktu tertentu untuk belajar.")</f>
        <v>B Saya suka belajar saya teratur dan ada waktu-waktu tertentu untuk belajar.</v>
      </c>
      <c r="W116" s="105" t="str">
        <f>IFERROR(__xludf.DUMMYFUNCTION("""COMPUTED_VALUE"""),"B Saya ingin kegiatan itu teratur dan direncanakan.")</f>
        <v>B Saya ingin kegiatan itu teratur dan direncanakan.</v>
      </c>
      <c r="X116" s="105" t="str">
        <f>IFERROR(__xludf.DUMMYFUNCTION("""COMPUTED_VALUE"""),"A Saya suka merencanakan dan mengatur setiap apa yang harus saya lakukan.")</f>
        <v>A Saya suka merencanakan dan mengatur setiap apa yang harus saya lakukan.</v>
      </c>
      <c r="Y116" s="105" t="str">
        <f>IFERROR(__xludf.DUMMYFUNCTION("""COMPUTED_VALUE"""),"A Saya suka menyelesaikan tugas-tugas yang membutuhkan ketrampilan dan usaha.")</f>
        <v>A Saya suka menyelesaikan tugas-tugas yang membutuhkan ketrampilan dan usaha.</v>
      </c>
      <c r="Z116" s="105" t="str">
        <f>IFERROR(__xludf.DUMMYFUNCTION("""COMPUTED_VALUE"""),"A Saya ingin berhasil dengan belajar yang saya lakukan.")</f>
        <v>A Saya ingin berhasil dengan belajar yang saya lakukan.</v>
      </c>
      <c r="AA116" s="105" t="str">
        <f>IFERROR(__xludf.DUMMYFUNCTION("""COMPUTED_VALUE"""),"B Saya tidak suka pada orang yang berbuat seenaknya sendiri.")</f>
        <v>B Saya tidak suka pada orang yang berbuat seenaknya sendiri.</v>
      </c>
      <c r="AB116" s="105" t="str">
        <f>IFERROR(__xludf.DUMMYFUNCTION("""COMPUTED_VALUE"""),"B Saya ingin menyelesaikan pekerjaan satu persatu sebelum memulai yang lain.")</f>
        <v>B Saya ingin menyelesaikan pekerjaan satu persatu sebelum memulai yang lain.</v>
      </c>
      <c r="AC116" s="105" t="str">
        <f>IFERROR(__xludf.DUMMYFUNCTION("""COMPUTED_VALUE"""),"A Saya suka menyelesaikan setiap tugas meskipun membutuhkan waktu lama.")</f>
        <v>A Saya suka menyelesaikan setiap tugas meskipun membutuhkan waktu lama.</v>
      </c>
      <c r="AD116" s="105" t="str">
        <f>IFERROR(__xludf.DUMMYFUNCTION("""COMPUTED_VALUE"""),"A Saya suka bermurah hati terhadap teman-teman saya.")</f>
        <v>A Saya suka bermurah hati terhadap teman-teman saya.</v>
      </c>
      <c r="AE116" s="105" t="str">
        <f>IFERROR(__xludf.DUMMYFUNCTION("""COMPUTED_VALUE"""),"A Saya ingin dianggap sebagai pemimpin oleh teman di kelompok.")</f>
        <v>A Saya ingin dianggap sebagai pemimpin oleh teman di kelompok.</v>
      </c>
      <c r="AF116" s="105" t="str">
        <f>IFERROR(__xludf.DUMMYFUNCTION("""COMPUTED_VALUE"""),"A Saya ingin agar teman-teman mengerti bila saya mengalami kesukaran.")</f>
        <v>A Saya ingin agar teman-teman mengerti bila saya mengalami kesukaran.</v>
      </c>
      <c r="AG116" s="105" t="str">
        <f>IFERROR(__xludf.DUMMYFUNCTION("""COMPUTED_VALUE"""),"B Saya ingin berhasil dengan tugas yang saya lakukan.")</f>
        <v>B Saya ingin berhasil dengan tugas yang saya lakukan.</v>
      </c>
      <c r="AH116" s="105" t="str">
        <f>IFERROR(__xludf.DUMMYFUNCTION("""COMPUTED_VALUE"""),"B Saya ingin merasa bebas untuk melakukan apa yang saya kehendaki.")</f>
        <v>B Saya ingin merasa bebas untuk melakukan apa yang saya kehendaki.</v>
      </c>
      <c r="AI116" s="105" t="str">
        <f>IFERROR(__xludf.DUMMYFUNCTION("""COMPUTED_VALUE"""),"B Saya suka melakukan kegiatan sesuai kondisi yang saya inginkan.")</f>
        <v>B Saya suka melakukan kegiatan sesuai kondisi yang saya inginkan.</v>
      </c>
      <c r="AJ116" s="105" t="str">
        <f>IFERROR(__xludf.DUMMYFUNCTION("""COMPUTED_VALUE"""),"B Saya suka bertahan menghadapi satu masalah meskipun belum tentu berhasil.")</f>
        <v>B Saya suka bertahan menghadapi satu masalah meskipun belum tentu berhasil.</v>
      </c>
      <c r="AK116" s="105" t="str">
        <f>IFERROR(__xludf.DUMMYFUNCTION("""COMPUTED_VALUE"""),"B Bila saya harus melakukan suatu tugas, saya ingin mengerjakan sampai selesai.")</f>
        <v>B Bila saya harus melakukan suatu tugas, saya ingin mengerjakan sampai selesai.</v>
      </c>
      <c r="AL116" s="105" t="str">
        <f>IFERROR(__xludf.DUMMYFUNCTION("""COMPUTED_VALUE"""),"A Saya suka berbicara tentang hal-hal yang telah saya capai.")</f>
        <v>A Saya suka berbicara tentang hal-hal yang telah saya capai.</v>
      </c>
      <c r="AM116" s="105" t="str">
        <f>IFERROR(__xludf.DUMMYFUNCTION("""COMPUTED_VALUE"""),"B Saya suka belajar sampai malam untuk menyelesaikan suatu tugas.")</f>
        <v>B Saya suka belajar sampai malam untuk menyelesaikan suatu tugas.</v>
      </c>
      <c r="AN116" s="105" t="str">
        <f>IFERROR(__xludf.DUMMYFUNCTION("""COMPUTED_VALUE"""),"A Saya tidak suka pada orang yang semena-mena.")</f>
        <v>A Saya tidak suka pada orang yang semena-mena.</v>
      </c>
      <c r="AO116" s="105" t="str">
        <f>IFERROR(__xludf.DUMMYFUNCTION("""COMPUTED_VALUE"""),"B Saya suka menyelesaikan setiap tugas meskipun membutuhkan waktu lama.")</f>
        <v>B Saya suka menyelesaikan setiap tugas meskipun membutuhkan waktu lama.</v>
      </c>
      <c r="AP116" s="105" t="str">
        <f>IFERROR(__xludf.DUMMYFUNCTION("""COMPUTED_VALUE"""),"A Saya ingin mengerjakannya tugas sampai selesai.")</f>
        <v>A Saya ingin mengerjakannya tugas sampai selesai.</v>
      </c>
      <c r="AQ116" s="105" t="str">
        <f>IFERROR(__xludf.DUMMYFUNCTION("""COMPUTED_VALUE"""),"B Bila saya harus melakukan suatu tugas, saya ingin mengerjakan sampai selesai.")</f>
        <v>B Bila saya harus melakukan suatu tugas, saya ingin mengerjakan sampai selesai.</v>
      </c>
      <c r="AR116" s="105" t="str">
        <f>IFERROR(__xludf.DUMMYFUNCTION("""COMPUTED_VALUE"""),"A Saya suka menyimpan catatan secara rapi.")</f>
        <v>A Saya suka menyimpan catatan secara rapi.</v>
      </c>
      <c r="AS116" s="105" t="str">
        <f>IFERROR(__xludf.DUMMYFUNCTION("""COMPUTED_VALUE"""),"A Saya ingin dapat menyelesaikan persoalan yang dianggap sukar bagi orang lain.")</f>
        <v>A Saya ingin dapat menyelesaikan persoalan yang dianggap sukar bagi orang lain.</v>
      </c>
      <c r="AT116" s="105" t="str">
        <f>IFERROR(__xludf.DUMMYFUNCTION("""COMPUTED_VALUE"""),"A Saya ingin bisa melakukan dengan baik sesuatu pekerjaan sulit.")</f>
        <v>A Saya ingin bisa melakukan dengan baik sesuatu pekerjaan sulit.</v>
      </c>
      <c r="AU116" s="105" t="str">
        <f>IFERROR(__xludf.DUMMYFUNCTION("""COMPUTED_VALUE"""),"B Saya suka bermurah hati terhadap teman-teman saya.")</f>
        <v>B Saya suka bermurah hati terhadap teman-teman saya.</v>
      </c>
      <c r="AV116" s="105" t="str">
        <f>IFERROR(__xludf.DUMMYFUNCTION("""COMPUTED_VALUE"""),"B Saya suka menolong teman-teman saya.")</f>
        <v>B Saya suka menolong teman-teman saya.</v>
      </c>
      <c r="AW116" s="105" t="str">
        <f>IFERROR(__xludf.DUMMYFUNCTION("""COMPUTED_VALUE"""),"A Saya ingin mengerjakan tugas sampai selesai.")</f>
        <v>A Saya ingin mengerjakan tugas sampai selesai.</v>
      </c>
      <c r="AX116" s="105" t="str">
        <f>IFERROR(__xludf.DUMMYFUNCTION("""COMPUTED_VALUE"""),"B Saya suka memaafkan teman-teman saya yang menyakiti hati saya.")</f>
        <v>B Saya suka memaafkan teman-teman saya yang menyakiti hati saya.</v>
      </c>
      <c r="AY116" s="105" t="str">
        <f>IFERROR(__xludf.DUMMYFUNCTION("""COMPUTED_VALUE"""),"B Saya suka menolong teman-teman saya apabila mereka dalam kesulitan.")</f>
        <v>B Saya suka menolong teman-teman saya apabila mereka dalam kesulitan.</v>
      </c>
      <c r="AZ116" s="105" t="str">
        <f>IFERROR(__xludf.DUMMYFUNCTION("""COMPUTED_VALUE"""),"B Saya suka menunjukkan simpati saya kepada teman-teman saya.")</f>
        <v>B Saya suka menunjukkan simpati saya kepada teman-teman saya.</v>
      </c>
      <c r="BA116" s="105" t="str">
        <f>IFERROR(__xludf.DUMMYFUNCTION("""COMPUTED_VALUE"""),"B Saya suka memperlakukan orang lain dengan baik dan ramah.")</f>
        <v>B Saya suka memperlakukan orang lain dengan baik dan ramah.</v>
      </c>
      <c r="BB116" s="105" t="str">
        <f>IFERROR(__xludf.DUMMYFUNCTION("""COMPUTED_VALUE"""),"A Saya berkeinginan untuk bersama orang yang menarik bagi saya.")</f>
        <v>A Saya berkeinginan untuk bersama orang yang menarik bagi saya.</v>
      </c>
      <c r="BC116" s="105" t="str">
        <f>IFERROR(__xludf.DUMMYFUNCTION("""COMPUTED_VALUE"""),"B Saya suka membantu orang lain yang menurut saya perlu dikasihani.")</f>
        <v>B Saya suka membantu orang lain yang menurut saya perlu dikasihani.</v>
      </c>
      <c r="BD116" s="105" t="str">
        <f>IFERROR(__xludf.DUMMYFUNCTION("""COMPUTED_VALUE"""),"B Saya suka bersikukuh dengan pendirian saya.")</f>
        <v>B Saya suka bersikukuh dengan pendirian saya.</v>
      </c>
      <c r="BE116" s="105" t="str">
        <f>IFERROR(__xludf.DUMMYFUNCTION("""COMPUTED_VALUE"""),"B Saya ingin orang lain melakukan apa yang saya kehendaki.")</f>
        <v>B Saya ingin orang lain melakukan apa yang saya kehendaki.</v>
      </c>
      <c r="BF116" s="105" t="str">
        <f>IFERROR(__xludf.DUMMYFUNCTION("""COMPUTED_VALUE"""),"B Bila saya dalam kelompok, saya ingin menentukan apa yang akan kita lakukan.")</f>
        <v>B Bila saya dalam kelompok, saya ingin menentukan apa yang akan kita lakukan.</v>
      </c>
      <c r="BG116" s="105" t="str">
        <f>IFERROR(__xludf.DUMMYFUNCTION("""COMPUTED_VALUE"""),"B Saya suka mengarahkan kepada orang lain apa yang harus dilakukan.")</f>
        <v>B Saya suka mengarahkan kepada orang lain apa yang harus dilakukan.</v>
      </c>
      <c r="BH116" s="105" t="str">
        <f>IFERROR(__xludf.DUMMYFUNCTION("""COMPUTED_VALUE"""),"A Saya suka menghindar dari situasi yang tidak saya harapkan.")</f>
        <v>A Saya suka menghindar dari situasi yang tidak saya harapkan.</v>
      </c>
      <c r="BI116" s="105" t="str">
        <f>IFERROR(__xludf.DUMMYFUNCTION("""COMPUTED_VALUE"""),"A Saya suka bermurah hati terhadap teman-teman saya.")</f>
        <v>A Saya suka bermurah hati terhadap teman-teman saya.</v>
      </c>
      <c r="BJ116" s="105" t="str">
        <f>IFERROR(__xludf.DUMMYFUNCTION("""COMPUTED_VALUE"""),"A Saya ingin mengerjakan tugas sampai selesai.")</f>
        <v>A Saya ingin mengerjakan tugas sampai selesai.</v>
      </c>
      <c r="BK116" s="105" t="str">
        <f>IFERROR(__xludf.DUMMYFUNCTION("""COMPUTED_VALUE"""),"A Saya ingin menyelesaikan pekerjaan satu persatu sebelum memulai yang lain.")</f>
        <v>A Saya ingin menyelesaikan pekerjaan satu persatu sebelum memulai yang lain.</v>
      </c>
      <c r="BL116" s="105" t="str">
        <f>IFERROR(__xludf.DUMMYFUNCTION("""COMPUTED_VALUE"""),"A Saya suka belajar saya teratur dan ada waktu-waktu tertentu untuk belajar.")</f>
        <v>A Saya suka belajar saya teratur dan ada waktu-waktu tertentu untuk belajar.</v>
      </c>
      <c r="BM116" s="105" t="str">
        <f>IFERROR(__xludf.DUMMYFUNCTION("""COMPUTED_VALUE"""),"A Saya suka melakukan pekerjaan sebaik mungkin.")</f>
        <v>A Saya suka melakukan pekerjaan sebaik mungkin.</v>
      </c>
      <c r="BN116" s="105" t="str">
        <f>IFERROR(__xludf.DUMMYFUNCTION("""COMPUTED_VALUE"""),"A Saya suka mengerjakan teka-teki atau memecahkan persoalan sampai selesai.")</f>
        <v>A Saya suka mengerjakan teka-teki atau memecahkan persoalan sampai selesai.</v>
      </c>
      <c r="BO116" s="105" t="str">
        <f>IFERROR(__xludf.DUMMYFUNCTION("""COMPUTED_VALUE"""),"B Saya ingin diperlakukan dengan baik oleh teman-teman saya.")</f>
        <v>B Saya ingin diperlakukan dengan baik oleh teman-teman saya.</v>
      </c>
      <c r="BP116" s="105" t="str">
        <f>IFERROR(__xludf.DUMMYFUNCTION("""COMPUTED_VALUE"""),"A Saya ingin menyelesaikan sesuatu yang sangat penting artinya.")</f>
        <v>A Saya ingin menyelesaikan sesuatu yang sangat penting artinya.</v>
      </c>
      <c r="BQ116" s="105" t="str">
        <f>IFERROR(__xludf.DUMMYFUNCTION("""COMPUTED_VALUE"""),"A Saya ingin mengerjakannya tugas sampai selesai.")</f>
        <v>A Saya ingin mengerjakannya tugas sampai selesai.</v>
      </c>
      <c r="BR116" s="105" t="str">
        <f>IFERROR(__xludf.DUMMYFUNCTION("""COMPUTED_VALUE"""),"A Saya suka memaafkan teman-teman saya yang menyakiti hati saya.")</f>
        <v>A Saya suka memaafkan teman-teman saya yang menyakiti hati saya.</v>
      </c>
      <c r="BS116" s="105" t="str">
        <f>IFERROR(__xludf.DUMMYFUNCTION("""COMPUTED_VALUE"""),"B Saya ingin teman-teman saya membantu saya bila saya mengalami kesulitan")</f>
        <v>B Saya ingin teman-teman saya membantu saya bila saya mengalami kesulitan</v>
      </c>
      <c r="BT116" s="105" t="str">
        <f>IFERROR(__xludf.DUMMYFUNCTION("""COMPUTED_VALUE"""),"B Saya ingin teman-teman banyak menunjukkan rasa sayang mereka terhadap saya.")</f>
        <v>B Saya ingin teman-teman banyak menunjukkan rasa sayang mereka terhadap saya.</v>
      </c>
      <c r="BU116" s="105" t="str">
        <f>IFERROR(__xludf.DUMMYFUNCTION("""COMPUTED_VALUE"""),"A Saya kadang-kadang suka melakukan hal-hal yang dapat dipuji oleh orang lain.")</f>
        <v>A Saya kadang-kadang suka melakukan hal-hal yang dapat dipuji oleh orang lain.</v>
      </c>
      <c r="BV116" s="105" t="str">
        <f>IFERROR(__xludf.DUMMYFUNCTION("""COMPUTED_VALUE"""),"B Saya ingin teman-teman dengan gembira memberikan pertolongan kepada saya.")</f>
        <v>B Saya ingin teman-teman dengan gembira memberikan pertolongan kepada saya.</v>
      </c>
      <c r="BW116" s="105" t="str">
        <f>IFERROR(__xludf.DUMMYFUNCTION("""COMPUTED_VALUE"""),"B Saya ingin diperlakukan dengan baik oleh teman-teman saya.")</f>
        <v>B Saya ingin diperlakukan dengan baik oleh teman-teman saya.</v>
      </c>
      <c r="BX116" s="105" t="str">
        <f>IFERROR(__xludf.DUMMYFUNCTION("""COMPUTED_VALUE"""),"B Saya kadang-kadang suka melakukan hal-hal yang dapat dipuji oleh orang lain.")</f>
        <v>B Saya kadang-kadang suka melakukan hal-hal yang dapat dipuji oleh orang lain.</v>
      </c>
      <c r="BY116" s="105" t="str">
        <f>IFERROR(__xludf.DUMMYFUNCTION("""COMPUTED_VALUE"""),"A Saya suka melamun atau membayangkan hal-hal yang tidak jelas.")</f>
        <v>A Saya suka melamun atau membayangkan hal-hal yang tidak jelas.</v>
      </c>
      <c r="BZ116" s="105" t="str">
        <f>IFERROR(__xludf.DUMMYFUNCTION("""COMPUTED_VALUE"""),"A Saya suka berkata yang artinya sulit dipahami oleh orang lain.")</f>
        <v>A Saya suka berkata yang artinya sulit dipahami oleh orang lain.</v>
      </c>
      <c r="CA116" s="105" t="str">
        <f>IFERROR(__xludf.DUMMYFUNCTION("""COMPUTED_VALUE"""),"A Saya ingin teman-teman dengan gembira memberikan pertolongan kepada saya.")</f>
        <v>A Saya ingin teman-teman dengan gembira memberikan pertolongan kepada saya.</v>
      </c>
      <c r="CB116" s="105" t="str">
        <f>IFERROR(__xludf.DUMMYFUNCTION("""COMPUTED_VALUE"""),"B Saya suka berbicara tentang hal-hal yang telah saya capai.")</f>
        <v>B Saya suka berbicara tentang hal-hal yang telah saya capai.</v>
      </c>
      <c r="CC116" s="105" t="str">
        <f>IFERROR(__xludf.DUMMYFUNCTION("""COMPUTED_VALUE"""),"B Saya suka menceritakan hal-hal lucu agar diperhatikan oleh orang lain.")</f>
        <v>B Saya suka menceritakan hal-hal lucu agar diperhatikan oleh orang lain.</v>
      </c>
      <c r="CD116" s="105" t="str">
        <f>IFERROR(__xludf.DUMMYFUNCTION("""COMPUTED_VALUE"""),"A Saya suka menyelesaikan setiap tugas meskipun membutuhkan waktu lama.")</f>
        <v>A Saya suka menyelesaikan setiap tugas meskipun membutuhkan waktu lama.</v>
      </c>
      <c r="CE116" s="105" t="str">
        <f>IFERROR(__xludf.DUMMYFUNCTION("""COMPUTED_VALUE"""),"A Saya suka menyelesaikan setiap tugas belajar yang telah saya mulai.")</f>
        <v>A Saya suka menyelesaikan setiap tugas belajar yang telah saya mulai.</v>
      </c>
      <c r="CF116" s="105" t="str">
        <f>IFERROR(__xludf.DUMMYFUNCTION("""COMPUTED_VALUE"""),"A Saya ingin agar hidup saya teratur sesuai cita-cita saya.")</f>
        <v>A Saya ingin agar hidup saya teratur sesuai cita-cita saya.</v>
      </c>
      <c r="CG116" s="105" t="str">
        <f>IFERROR(__xludf.DUMMYFUNCTION("""COMPUTED_VALUE"""),"A Saya ingin berhasil dalam apa yang saya lakukan.")</f>
        <v>A Saya ingin berhasil dalam apa yang saya lakukan.</v>
      </c>
      <c r="CH116" s="105" t="str">
        <f>IFERROR(__xludf.DUMMYFUNCTION("""COMPUTED_VALUE"""),"A Saya ingin bisa melakukan dengan baik sesuatu pekerjaan sulit.")</f>
        <v>A Saya ingin bisa melakukan dengan baik sesuatu pekerjaan sulit.</v>
      </c>
      <c r="CI116" s="105" t="str">
        <f>IFERROR(__xludf.DUMMYFUNCTION("""COMPUTED_VALUE"""),"A Saya suka belajar saya teratur dan ada waktu-waktu tertentu untuk belajar.")</f>
        <v>A Saya suka belajar saya teratur dan ada waktu-waktu tertentu untuk belajar.</v>
      </c>
      <c r="CJ116" s="105" t="str">
        <f>IFERROR(__xludf.DUMMYFUNCTION("""COMPUTED_VALUE"""),"A Saya ingin tidak tergantung dari orang lain terhadap apa yang akan saya lakukan.")</f>
        <v>A Saya ingin tidak tergantung dari orang lain terhadap apa yang akan saya lakukan.</v>
      </c>
      <c r="CK116" s="105" t="str">
        <f>IFERROR(__xludf.DUMMYFUNCTION("""COMPUTED_VALUE"""),"A Saya suka bertahan menghadapi satu masalah, meskipun belum tentu berhasil.")</f>
        <v>A Saya suka bertahan menghadapi satu masalah, meskipun belum tentu berhasil.</v>
      </c>
      <c r="CL116" s="105" t="str">
        <f>IFERROR(__xludf.DUMMYFUNCTION("""COMPUTED_VALUE"""),"A Saya suka menolong teman-teman saya, apabila mereka dalam kesulitan.")</f>
        <v>A Saya suka menolong teman-teman saya, apabila mereka dalam kesulitan.</v>
      </c>
      <c r="CM116" s="105" t="str">
        <f>IFERROR(__xludf.DUMMYFUNCTION("""COMPUTED_VALUE"""),"B Saya merasa kagum pada seseorang.")</f>
        <v>B Saya merasa kagum pada seseorang.</v>
      </c>
      <c r="CN116" s="105" t="str">
        <f>IFERROR(__xludf.DUMMYFUNCTION("""COMPUTED_VALUE"""),"A Saya ingin diperlakukan dengan baik oleh teman-teman saya.")</f>
        <v>A Saya ingin diperlakukan dengan baik oleh teman-teman saya.</v>
      </c>
      <c r="CO116" s="105" t="str">
        <f>IFERROR(__xludf.DUMMYFUNCTION("""COMPUTED_VALUE"""),"A Saya suka menceritakan hal-hal lucu agar diperhatikan oleh orang lain.")</f>
        <v>A Saya suka menceritakan hal-hal lucu agar diperhatikan oleh orang lain.</v>
      </c>
      <c r="CP116" s="105" t="str">
        <f>IFERROR(__xludf.DUMMYFUNCTION("""COMPUTED_VALUE"""),"A Saya suka melamun atau membayangkan sesuatu sendirian.")</f>
        <v>A Saya suka melamun atau membayangkan sesuatu sendirian.</v>
      </c>
      <c r="CQ116" s="105" t="str">
        <f>IFERROR(__xludf.DUMMYFUNCTION("""COMPUTED_VALUE"""),"B Saya merasa kagum pada seseorang.")</f>
        <v>B Saya merasa kagum pada seseorang.</v>
      </c>
      <c r="CR116" s="105" t="str">
        <f>IFERROR(__xludf.DUMMYFUNCTION("""COMPUTED_VALUE"""),"B Saya rasanya ingin mengecam seseorang bila orang itu menjengkelkan.")</f>
        <v>B Saya rasanya ingin mengecam seseorang bila orang itu menjengkelkan.</v>
      </c>
      <c r="CS116" s="105" t="str">
        <f>IFERROR(__xludf.DUMMYFUNCTION("""COMPUTED_VALUE"""),"A Saya ingin terlihat menarik di depan teman-teman saya.")</f>
        <v>A Saya ingin terlihat menarik di depan teman-teman saya.</v>
      </c>
      <c r="CT116" s="105" t="str">
        <f>IFERROR(__xludf.DUMMYFUNCTION("""COMPUTED_VALUE"""),"A Saya ingin orang-orang memperhatikan komentar mengenai penampilan saya.")</f>
        <v>A Saya ingin orang-orang memperhatikan komentar mengenai penampilan saya.</v>
      </c>
      <c r="CU116" s="105" t="str">
        <f>IFERROR(__xludf.DUMMYFUNCTION("""COMPUTED_VALUE"""),"A Saya ingin diperlakukan dengan ramah oleh teman-teman saya.")</f>
        <v>A Saya ingin diperlakukan dengan ramah oleh teman-teman saya.</v>
      </c>
      <c r="CV116" s="105" t="str">
        <f>IFERROR(__xludf.DUMMYFUNCTION("""COMPUTED_VALUE"""),"A Saya ingin ditunjuk atau dipilih sebagai ketua dalam suatu kelompok.")</f>
        <v>A Saya ingin ditunjuk atau dipilih sebagai ketua dalam suatu kelompok.</v>
      </c>
      <c r="CW116" s="105" t="str">
        <f>IFERROR(__xludf.DUMMYFUNCTION("""COMPUTED_VALUE"""),"A Saya suka menolong teman-teman saya, apabila mereka dalam kesulitan.")</f>
        <v>A Saya suka menolong teman-teman saya, apabila mereka dalam kesulitan.</v>
      </c>
      <c r="CX116" s="105" t="str">
        <f>IFERROR(__xludf.DUMMYFUNCTION("""COMPUTED_VALUE"""),"A Saya suka belajar sampai malam untuk menyelesaikan suatu tugas.")</f>
        <v>A Saya suka belajar sampai malam untuk menyelesaikan suatu tugas.</v>
      </c>
      <c r="CY116" s="105" t="str">
        <f>IFERROR(__xludf.DUMMYFUNCTION("""COMPUTED_VALUE"""),"A Saya ingin tidak tergantung dari orang lain terhadap apa yang akan saya lakukan.")</f>
        <v>A Saya ingin tidak tergantung dari orang lain terhadap apa yang akan saya lakukan.</v>
      </c>
      <c r="CZ116" s="105" t="str">
        <f>IFERROR(__xludf.DUMMYFUNCTION("""COMPUTED_VALUE"""),"A Saya suka merencanakan dan mengatur setiap pekerjaan yang harus saya lakukan.")</f>
        <v>A Saya suka merencanakan dan mengatur setiap pekerjaan yang harus saya lakukan.</v>
      </c>
      <c r="DA116" s="105" t="str">
        <f>IFERROR(__xludf.DUMMYFUNCTION("""COMPUTED_VALUE"""),"A Saya ingin melakukan apa saja sebaik mungkin.")</f>
        <v>A Saya ingin melakukan apa saja sebaik mungkin.</v>
      </c>
      <c r="DB116" s="89" t="s">
        <v>23</v>
      </c>
      <c r="DC116" s="97" t="str">
        <f t="shared" ref="DC116:GX116" si="161">LEFT(F116,1)</f>
        <v>B</v>
      </c>
      <c r="DD116" s="97" t="str">
        <f t="shared" si="161"/>
        <v>A</v>
      </c>
      <c r="DE116" s="97" t="str">
        <f t="shared" si="161"/>
        <v>B</v>
      </c>
      <c r="DF116" s="97" t="str">
        <f t="shared" si="161"/>
        <v>B</v>
      </c>
      <c r="DG116" s="97" t="str">
        <f t="shared" si="161"/>
        <v>A</v>
      </c>
      <c r="DH116" s="97" t="str">
        <f t="shared" si="161"/>
        <v>B</v>
      </c>
      <c r="DI116" s="97" t="str">
        <f t="shared" si="161"/>
        <v>B</v>
      </c>
      <c r="DJ116" s="97" t="str">
        <f t="shared" si="161"/>
        <v>A</v>
      </c>
      <c r="DK116" s="97" t="str">
        <f t="shared" si="161"/>
        <v>B</v>
      </c>
      <c r="DL116" s="97" t="str">
        <f t="shared" si="161"/>
        <v>A</v>
      </c>
      <c r="DM116" s="97" t="str">
        <f t="shared" si="161"/>
        <v>B</v>
      </c>
      <c r="DN116" s="97" t="str">
        <f t="shared" si="161"/>
        <v>B</v>
      </c>
      <c r="DO116" s="97" t="str">
        <f t="shared" si="161"/>
        <v>B</v>
      </c>
      <c r="DP116" s="97" t="str">
        <f t="shared" si="161"/>
        <v>A</v>
      </c>
      <c r="DQ116" s="97" t="str">
        <f t="shared" si="161"/>
        <v>B</v>
      </c>
      <c r="DR116" s="97" t="str">
        <f t="shared" si="161"/>
        <v>A</v>
      </c>
      <c r="DS116" s="97" t="str">
        <f t="shared" si="161"/>
        <v>B</v>
      </c>
      <c r="DT116" s="97" t="str">
        <f t="shared" si="161"/>
        <v>B</v>
      </c>
      <c r="DU116" s="97" t="str">
        <f t="shared" si="161"/>
        <v>A</v>
      </c>
      <c r="DV116" s="97" t="str">
        <f t="shared" si="161"/>
        <v>A</v>
      </c>
      <c r="DW116" s="97" t="str">
        <f t="shared" si="161"/>
        <v>A</v>
      </c>
      <c r="DX116" s="97" t="str">
        <f t="shared" si="161"/>
        <v>B</v>
      </c>
      <c r="DY116" s="97" t="str">
        <f t="shared" si="161"/>
        <v>B</v>
      </c>
      <c r="DZ116" s="97" t="str">
        <f t="shared" si="161"/>
        <v>A</v>
      </c>
      <c r="EA116" s="97" t="str">
        <f t="shared" si="161"/>
        <v>A</v>
      </c>
      <c r="EB116" s="97" t="str">
        <f t="shared" si="161"/>
        <v>A</v>
      </c>
      <c r="EC116" s="97" t="str">
        <f t="shared" si="161"/>
        <v>A</v>
      </c>
      <c r="ED116" s="97" t="str">
        <f t="shared" si="161"/>
        <v>B</v>
      </c>
      <c r="EE116" s="97" t="str">
        <f t="shared" si="161"/>
        <v>B</v>
      </c>
      <c r="EF116" s="97" t="str">
        <f t="shared" si="161"/>
        <v>B</v>
      </c>
      <c r="EG116" s="97" t="str">
        <f t="shared" si="161"/>
        <v>B</v>
      </c>
      <c r="EH116" s="97" t="str">
        <f t="shared" si="161"/>
        <v>B</v>
      </c>
      <c r="EI116" s="97" t="str">
        <f t="shared" si="161"/>
        <v>A</v>
      </c>
      <c r="EJ116" s="97" t="str">
        <f t="shared" si="161"/>
        <v>B</v>
      </c>
      <c r="EK116" s="97" t="str">
        <f t="shared" si="161"/>
        <v>A</v>
      </c>
      <c r="EL116" s="97" t="str">
        <f t="shared" si="161"/>
        <v>B</v>
      </c>
      <c r="EM116" s="97" t="str">
        <f t="shared" si="161"/>
        <v>A</v>
      </c>
      <c r="EN116" s="97" t="str">
        <f t="shared" si="161"/>
        <v>B</v>
      </c>
      <c r="EO116" s="97" t="str">
        <f t="shared" si="161"/>
        <v>A</v>
      </c>
      <c r="EP116" s="97" t="str">
        <f t="shared" si="161"/>
        <v>A</v>
      </c>
      <c r="EQ116" s="97" t="str">
        <f t="shared" si="161"/>
        <v>A</v>
      </c>
      <c r="ER116" s="97" t="str">
        <f t="shared" si="161"/>
        <v>B</v>
      </c>
      <c r="ES116" s="97" t="str">
        <f t="shared" si="161"/>
        <v>B</v>
      </c>
      <c r="ET116" s="97" t="str">
        <f t="shared" si="161"/>
        <v>A</v>
      </c>
      <c r="EU116" s="97" t="str">
        <f t="shared" si="161"/>
        <v>B</v>
      </c>
      <c r="EV116" s="97" t="str">
        <f t="shared" si="161"/>
        <v>B</v>
      </c>
      <c r="EW116" s="97" t="str">
        <f t="shared" si="161"/>
        <v>B</v>
      </c>
      <c r="EX116" s="97" t="str">
        <f t="shared" si="161"/>
        <v>B</v>
      </c>
      <c r="EY116" s="97" t="str">
        <f t="shared" si="161"/>
        <v>A</v>
      </c>
      <c r="EZ116" s="97" t="str">
        <f t="shared" si="161"/>
        <v>B</v>
      </c>
      <c r="FA116" s="97" t="str">
        <f t="shared" si="161"/>
        <v>B</v>
      </c>
      <c r="FB116" s="97" t="str">
        <f t="shared" si="161"/>
        <v>B</v>
      </c>
      <c r="FC116" s="97" t="str">
        <f t="shared" si="161"/>
        <v>B</v>
      </c>
      <c r="FD116" s="97" t="str">
        <f t="shared" si="161"/>
        <v>B</v>
      </c>
      <c r="FE116" s="97" t="str">
        <f t="shared" si="161"/>
        <v>A</v>
      </c>
      <c r="FF116" s="97" t="str">
        <f t="shared" si="161"/>
        <v>A</v>
      </c>
      <c r="FG116" s="97" t="str">
        <f t="shared" si="161"/>
        <v>A</v>
      </c>
      <c r="FH116" s="97" t="str">
        <f t="shared" si="161"/>
        <v>A</v>
      </c>
      <c r="FI116" s="97" t="str">
        <f t="shared" si="161"/>
        <v>A</v>
      </c>
      <c r="FJ116" s="97" t="str">
        <f t="shared" si="161"/>
        <v>A</v>
      </c>
      <c r="FK116" s="97" t="str">
        <f t="shared" si="161"/>
        <v>A</v>
      </c>
      <c r="FL116" s="97" t="str">
        <f t="shared" si="161"/>
        <v>B</v>
      </c>
      <c r="FM116" s="97" t="str">
        <f t="shared" si="161"/>
        <v>A</v>
      </c>
      <c r="FN116" s="97" t="str">
        <f t="shared" si="161"/>
        <v>A</v>
      </c>
      <c r="FO116" s="97" t="str">
        <f t="shared" si="161"/>
        <v>A</v>
      </c>
      <c r="FP116" s="97" t="str">
        <f t="shared" si="161"/>
        <v>B</v>
      </c>
      <c r="FQ116" s="97" t="str">
        <f t="shared" si="161"/>
        <v>B</v>
      </c>
      <c r="FR116" s="97" t="str">
        <f t="shared" si="161"/>
        <v>A</v>
      </c>
      <c r="FS116" s="97" t="str">
        <f t="shared" si="161"/>
        <v>B</v>
      </c>
      <c r="FT116" s="97" t="str">
        <f t="shared" si="161"/>
        <v>B</v>
      </c>
      <c r="FU116" s="97" t="str">
        <f t="shared" si="161"/>
        <v>B</v>
      </c>
      <c r="FV116" s="97" t="str">
        <f t="shared" si="161"/>
        <v>A</v>
      </c>
      <c r="FW116" s="97" t="str">
        <f t="shared" si="161"/>
        <v>A</v>
      </c>
      <c r="FX116" s="97" t="str">
        <f t="shared" si="161"/>
        <v>A</v>
      </c>
      <c r="FY116" s="97" t="str">
        <f t="shared" si="161"/>
        <v>B</v>
      </c>
      <c r="FZ116" s="97" t="str">
        <f t="shared" si="161"/>
        <v>B</v>
      </c>
      <c r="GA116" s="97" t="str">
        <f t="shared" si="161"/>
        <v>A</v>
      </c>
      <c r="GB116" s="97" t="str">
        <f t="shared" si="161"/>
        <v>A</v>
      </c>
      <c r="GC116" s="97" t="str">
        <f t="shared" si="161"/>
        <v>A</v>
      </c>
      <c r="GD116" s="97" t="str">
        <f t="shared" si="161"/>
        <v>A</v>
      </c>
      <c r="GE116" s="97" t="str">
        <f t="shared" si="161"/>
        <v>A</v>
      </c>
      <c r="GF116" s="97" t="str">
        <f t="shared" si="161"/>
        <v>A</v>
      </c>
      <c r="GG116" s="97" t="str">
        <f t="shared" si="161"/>
        <v>A</v>
      </c>
      <c r="GH116" s="97" t="str">
        <f t="shared" si="161"/>
        <v>A</v>
      </c>
      <c r="GI116" s="97" t="str">
        <f t="shared" si="161"/>
        <v>A</v>
      </c>
      <c r="GJ116" s="97" t="str">
        <f t="shared" si="161"/>
        <v>B</v>
      </c>
      <c r="GK116" s="97" t="str">
        <f t="shared" si="161"/>
        <v>A</v>
      </c>
      <c r="GL116" s="97" t="str">
        <f t="shared" si="161"/>
        <v>A</v>
      </c>
      <c r="GM116" s="97" t="str">
        <f t="shared" si="161"/>
        <v>A</v>
      </c>
      <c r="GN116" s="97" t="str">
        <f t="shared" si="161"/>
        <v>B</v>
      </c>
      <c r="GO116" s="97" t="str">
        <f t="shared" si="161"/>
        <v>B</v>
      </c>
      <c r="GP116" s="97" t="str">
        <f t="shared" si="161"/>
        <v>A</v>
      </c>
      <c r="GQ116" s="97" t="str">
        <f t="shared" si="161"/>
        <v>A</v>
      </c>
      <c r="GR116" s="97" t="str">
        <f t="shared" si="161"/>
        <v>A</v>
      </c>
      <c r="GS116" s="97" t="str">
        <f t="shared" si="161"/>
        <v>A</v>
      </c>
      <c r="GT116" s="97" t="str">
        <f t="shared" si="161"/>
        <v>A</v>
      </c>
      <c r="GU116" s="97" t="str">
        <f t="shared" si="161"/>
        <v>A</v>
      </c>
      <c r="GV116" s="97" t="str">
        <f t="shared" si="161"/>
        <v>A</v>
      </c>
      <c r="GW116" s="97" t="str">
        <f t="shared" si="161"/>
        <v>A</v>
      </c>
      <c r="GX116" s="97" t="str">
        <f t="shared" si="161"/>
        <v>A</v>
      </c>
      <c r="GY116" s="98"/>
      <c r="GZ116" s="97">
        <f t="shared" si="3"/>
        <v>56</v>
      </c>
      <c r="HA116" s="97">
        <f t="shared" si="4"/>
        <v>44</v>
      </c>
      <c r="HB116" s="90">
        <f t="shared" si="5"/>
        <v>100</v>
      </c>
      <c r="HC116" s="99"/>
      <c r="HD116" s="97">
        <f t="shared" si="6"/>
        <v>9</v>
      </c>
      <c r="HE116" s="97">
        <f t="shared" si="7"/>
        <v>5</v>
      </c>
      <c r="HF116" s="90">
        <f t="shared" si="8"/>
        <v>14</v>
      </c>
      <c r="HG116" s="99"/>
      <c r="HH116" s="97">
        <f t="shared" si="9"/>
        <v>6</v>
      </c>
      <c r="HI116" s="97">
        <f t="shared" si="10"/>
        <v>6</v>
      </c>
      <c r="HJ116" s="90">
        <f t="shared" si="11"/>
        <v>12</v>
      </c>
      <c r="HK116" s="99"/>
      <c r="HL116" s="97">
        <f t="shared" si="12"/>
        <v>5</v>
      </c>
      <c r="HM116" s="97">
        <f t="shared" si="13"/>
        <v>5</v>
      </c>
      <c r="HN116" s="90">
        <f t="shared" si="14"/>
        <v>10</v>
      </c>
      <c r="HO116" s="99"/>
      <c r="HP116" s="97">
        <f t="shared" si="15"/>
        <v>7</v>
      </c>
      <c r="HQ116" s="97">
        <f t="shared" si="16"/>
        <v>5</v>
      </c>
      <c r="HR116" s="90">
        <f t="shared" si="17"/>
        <v>12</v>
      </c>
      <c r="HS116" s="99"/>
      <c r="HT116" s="97">
        <f t="shared" si="18"/>
        <v>7</v>
      </c>
      <c r="HU116" s="97">
        <f t="shared" si="19"/>
        <v>7</v>
      </c>
      <c r="HV116" s="90">
        <f t="shared" si="20"/>
        <v>14</v>
      </c>
      <c r="HW116" s="99"/>
      <c r="HX116" s="97">
        <f t="shared" si="21"/>
        <v>3</v>
      </c>
      <c r="HY116" s="97">
        <f t="shared" si="22"/>
        <v>4</v>
      </c>
      <c r="HZ116" s="90">
        <f t="shared" si="23"/>
        <v>7</v>
      </c>
      <c r="IA116" s="99"/>
      <c r="IB116" s="97">
        <f t="shared" si="24"/>
        <v>5</v>
      </c>
      <c r="IC116" s="97">
        <f t="shared" si="25"/>
        <v>5</v>
      </c>
      <c r="ID116" s="90">
        <f t="shared" si="26"/>
        <v>10</v>
      </c>
      <c r="IE116" s="99"/>
      <c r="IF116" s="97">
        <f t="shared" si="27"/>
        <v>5</v>
      </c>
      <c r="IG116" s="97">
        <f t="shared" si="28"/>
        <v>3</v>
      </c>
      <c r="IH116" s="90">
        <f t="shared" si="29"/>
        <v>8</v>
      </c>
      <c r="II116" s="99"/>
      <c r="IJ116" s="97">
        <f t="shared" si="30"/>
        <v>3</v>
      </c>
      <c r="IK116" s="97">
        <f t="shared" si="31"/>
        <v>2</v>
      </c>
      <c r="IL116" s="90">
        <f t="shared" si="32"/>
        <v>5</v>
      </c>
      <c r="IM116" s="99"/>
      <c r="IN116" s="97">
        <f t="shared" si="33"/>
        <v>1</v>
      </c>
      <c r="IO116" s="97">
        <f t="shared" si="34"/>
        <v>1</v>
      </c>
      <c r="IP116" s="90">
        <f t="shared" si="35"/>
        <v>2</v>
      </c>
      <c r="IS116" s="100">
        <f t="shared" si="36"/>
        <v>14</v>
      </c>
      <c r="IT116" s="100">
        <f t="shared" si="37"/>
        <v>12</v>
      </c>
      <c r="IU116" s="100">
        <f t="shared" si="38"/>
        <v>10</v>
      </c>
      <c r="IV116" s="100">
        <f t="shared" si="39"/>
        <v>12</v>
      </c>
      <c r="IW116" s="100">
        <f t="shared" si="40"/>
        <v>14</v>
      </c>
      <c r="IX116" s="100">
        <f t="shared" si="41"/>
        <v>7</v>
      </c>
      <c r="IY116" s="100">
        <f t="shared" si="42"/>
        <v>10</v>
      </c>
      <c r="IZ116" s="100">
        <f t="shared" si="43"/>
        <v>8</v>
      </c>
      <c r="JA116" s="100">
        <f t="shared" si="44"/>
        <v>5</v>
      </c>
      <c r="JB116" s="101">
        <f t="shared" si="45"/>
        <v>2</v>
      </c>
      <c r="JC116" s="102">
        <f t="shared" si="46"/>
        <v>94</v>
      </c>
      <c r="JD116" s="67">
        <f t="shared" si="50"/>
        <v>0</v>
      </c>
      <c r="JE116" s="67">
        <f t="shared" si="47"/>
        <v>1</v>
      </c>
      <c r="JF116" s="67">
        <f t="shared" si="48"/>
        <v>1</v>
      </c>
    </row>
    <row r="117">
      <c r="A117" s="104">
        <f>IFERROR(__xludf.DUMMYFUNCTION("""COMPUTED_VALUE"""),45962.35023964121)</f>
        <v>45962.35024</v>
      </c>
      <c r="B117" s="105" t="str">
        <f>IFERROR(__xludf.DUMMYFUNCTION("""COMPUTED_VALUE"""),"Abdurrahman")</f>
        <v>Abdurrahman</v>
      </c>
      <c r="C117" s="7" t="str">
        <f>IFERROR(__xludf.DUMMYFUNCTION("""COMPUTED_VALUE"""),"A250077")</f>
        <v>A250077</v>
      </c>
      <c r="D117" s="7" t="str">
        <f>IFERROR(__xludf.DUMMYFUNCTION("""COMPUTED_VALUE"""),"MTs Putra")</f>
        <v>MTs Putra</v>
      </c>
      <c r="E117" s="7" t="str">
        <f>IFERROR(__xludf.DUMMYFUNCTION("""COMPUTED_VALUE"""),"Ya")</f>
        <v>Ya</v>
      </c>
      <c r="F117" s="105" t="str">
        <f>IFERROR(__xludf.DUMMYFUNCTION("""COMPUTED_VALUE"""),"B Saya ingin melakukan apa saja sebaik mungkin.")</f>
        <v>B Saya ingin melakukan apa saja sebaik mungkin.</v>
      </c>
      <c r="G117" s="105" t="str">
        <f>IFERROR(__xludf.DUMMYFUNCTION("""COMPUTED_VALUE"""),"A Saya ingin setiap tulisan saya teliti, rapi, dan tersusun dengan baik.")</f>
        <v>A Saya ingin setiap tulisan saya teliti, rapi, dan tersusun dengan baik.</v>
      </c>
      <c r="H117" s="105" t="str">
        <f>IFERROR(__xludf.DUMMYFUNCTION("""COMPUTED_VALUE"""),"A Saya ingin berbuat sesuai kata hati saya.")</f>
        <v>A Saya ingin berbuat sesuai kata hati saya.</v>
      </c>
      <c r="I117" s="105" t="str">
        <f>IFERROR(__xludf.DUMMYFUNCTION("""COMPUTED_VALUE"""),"B Saya ingin bisa melakukan dengan baik meskipun tugas yang sulit.")</f>
        <v>B Saya ingin bisa melakukan dengan baik meskipun tugas yang sulit.</v>
      </c>
      <c r="J117" s="105" t="str">
        <f>IFERROR(__xludf.DUMMYFUNCTION("""COMPUTED_VALUE"""),"B Saya ingin mengerjakan tugas sebaik mungkin.")</f>
        <v>B Saya ingin mengerjakan tugas sebaik mungkin.</v>
      </c>
      <c r="K117" s="105" t="str">
        <f>IFERROR(__xludf.DUMMYFUNCTION("""COMPUTED_VALUE"""),"B Saya ingin mengatakan telah melakukan dengan baik sesuatu tugas yang sulit.")</f>
        <v>B Saya ingin mengatakan telah melakukan dengan baik sesuatu tugas yang sulit.</v>
      </c>
      <c r="L117" s="105" t="str">
        <f>IFERROR(__xludf.DUMMYFUNCTION("""COMPUTED_VALUE"""),"B Saya ingin mengatakan telah melakukan dengan baik sesuatu tugas yang sulit")</f>
        <v>B Saya ingin mengatakan telah melakukan dengan baik sesuatu tugas yang sulit</v>
      </c>
      <c r="M117" s="105" t="str">
        <f>IFERROR(__xludf.DUMMYFUNCTION("""COMPUTED_VALUE"""),"B Saya ingin mengerjakan segala tugas lebih baik daripada orang lain.")</f>
        <v>B Saya ingin mengerjakan segala tugas lebih baik daripada orang lain.</v>
      </c>
      <c r="N117" s="105" t="str">
        <f>IFERROR(__xludf.DUMMYFUNCTION("""COMPUTED_VALUE"""),"B Saya suka memecahkan persoalan yang sukar bagi orang lain.")</f>
        <v>B Saya suka memecahkan persoalan yang sukar bagi orang lain.</v>
      </c>
      <c r="O117" s="105" t="str">
        <f>IFERROR(__xludf.DUMMYFUNCTION("""COMPUTED_VALUE"""),"A Saya marah saat ada teman memperolok-olok hal-hal yang saya anggap bodoh.")</f>
        <v>A Saya marah saat ada teman memperolok-olok hal-hal yang saya anggap bodoh.</v>
      </c>
      <c r="P117" s="105" t="str">
        <f>IFERROR(__xludf.DUMMYFUNCTION("""COMPUTED_VALUE"""),"B Saya ingin setiap belajar itu teratur dan direncanakan.")</f>
        <v>B Saya ingin setiap belajar itu teratur dan direncanakan.</v>
      </c>
      <c r="Q117" s="105" t="str">
        <f>IFERROR(__xludf.DUMMYFUNCTION("""COMPUTED_VALUE"""),"B Saya merencanakan keperluan yang dibutuhkan sebelum bepergian.")</f>
        <v>B Saya merencanakan keperluan yang dibutuhkan sebelum bepergian.</v>
      </c>
      <c r="R117" s="105" t="str">
        <f>IFERROR(__xludf.DUMMYFUNCTION("""COMPUTED_VALUE"""),"B Saya suka barang-barang saya tersusun rapi dan teratur.")</f>
        <v>B Saya suka barang-barang saya tersusun rapi dan teratur.</v>
      </c>
      <c r="S117" s="105" t="str">
        <f>IFERROR(__xludf.DUMMYFUNCTION("""COMPUTED_VALUE"""),"A Saya ingin agar teman-teman pengertian bila saya mengalami kesukaran.")</f>
        <v>A Saya ingin agar teman-teman pengertian bila saya mengalami kesukaran.</v>
      </c>
      <c r="T117" s="105" t="str">
        <f>IFERROR(__xludf.DUMMYFUNCTION("""COMPUTED_VALUE"""),"A Saya ingin menjadi salah seorang pemimpin dalam kelompok yang saya kenal.")</f>
        <v>A Saya ingin menjadi salah seorang pemimpin dalam kelompok yang saya kenal.</v>
      </c>
      <c r="U117" s="105" t="str">
        <f>IFERROR(__xludf.DUMMYFUNCTION("""COMPUTED_VALUE"""),"B Saya suka menyimpan catatan secara rapi.")</f>
        <v>B Saya suka menyimpan catatan secara rapi.</v>
      </c>
      <c r="V117" s="105" t="str">
        <f>IFERROR(__xludf.DUMMYFUNCTION("""COMPUTED_VALUE"""),"B Saya suka belajar saya teratur dan ada waktu-waktu tertentu untuk belajar.")</f>
        <v>B Saya suka belajar saya teratur dan ada waktu-waktu tertentu untuk belajar.</v>
      </c>
      <c r="W117" s="105" t="str">
        <f>IFERROR(__xludf.DUMMYFUNCTION("""COMPUTED_VALUE"""),"B Saya ingin kegiatan itu teratur dan direncanakan.")</f>
        <v>B Saya ingin kegiatan itu teratur dan direncanakan.</v>
      </c>
      <c r="X117" s="105" t="str">
        <f>IFERROR(__xludf.DUMMYFUNCTION("""COMPUTED_VALUE"""),"A Saya suka merencanakan dan mengatur setiap apa yang harus saya lakukan.")</f>
        <v>A Saya suka merencanakan dan mengatur setiap apa yang harus saya lakukan.</v>
      </c>
      <c r="Y117" s="105" t="str">
        <f>IFERROR(__xludf.DUMMYFUNCTION("""COMPUTED_VALUE"""),"A Saya suka menyelesaikan tugas-tugas yang membutuhkan ketrampilan dan usaha.")</f>
        <v>A Saya suka menyelesaikan tugas-tugas yang membutuhkan ketrampilan dan usaha.</v>
      </c>
      <c r="Z117" s="105" t="str">
        <f>IFERROR(__xludf.DUMMYFUNCTION("""COMPUTED_VALUE"""),"A Saya ingin berhasil dengan belajar yang saya lakukan.")</f>
        <v>A Saya ingin berhasil dengan belajar yang saya lakukan.</v>
      </c>
      <c r="AA117" s="105" t="str">
        <f>IFERROR(__xludf.DUMMYFUNCTION("""COMPUTED_VALUE"""),"B Saya tidak suka pada orang yang berbuat seenaknya sendiri.")</f>
        <v>B Saya tidak suka pada orang yang berbuat seenaknya sendiri.</v>
      </c>
      <c r="AB117" s="105" t="str">
        <f>IFERROR(__xludf.DUMMYFUNCTION("""COMPUTED_VALUE"""),"B Saya ingin menyelesaikan pekerjaan satu persatu sebelum memulai yang lain.")</f>
        <v>B Saya ingin menyelesaikan pekerjaan satu persatu sebelum memulai yang lain.</v>
      </c>
      <c r="AC117" s="105" t="str">
        <f>IFERROR(__xludf.DUMMYFUNCTION("""COMPUTED_VALUE"""),"B Saya suka melakukan kegiatan sesuai kondisi yang saya inginkan.")</f>
        <v>B Saya suka melakukan kegiatan sesuai kondisi yang saya inginkan.</v>
      </c>
      <c r="AD117" s="105" t="str">
        <f>IFERROR(__xludf.DUMMYFUNCTION("""COMPUTED_VALUE"""),"B Saya suka menyatakan pendapat saya tentang berbagai hal.")</f>
        <v>B Saya suka menyatakan pendapat saya tentang berbagai hal.</v>
      </c>
      <c r="AE117" s="105" t="str">
        <f>IFERROR(__xludf.DUMMYFUNCTION("""COMPUTED_VALUE"""),"A Saya ingin dianggap sebagai pemimpin oleh teman di kelompok.")</f>
        <v>A Saya ingin dianggap sebagai pemimpin oleh teman di kelompok.</v>
      </c>
      <c r="AF117" s="105" t="str">
        <f>IFERROR(__xludf.DUMMYFUNCTION("""COMPUTED_VALUE"""),"A Saya ingin agar teman-teman mengerti bila saya mengalami kesukaran.")</f>
        <v>A Saya ingin agar teman-teman mengerti bila saya mengalami kesukaran.</v>
      </c>
      <c r="AG117" s="105" t="str">
        <f>IFERROR(__xludf.DUMMYFUNCTION("""COMPUTED_VALUE"""),"B Saya ingin berhasil dengan tugas yang saya lakukan.")</f>
        <v>B Saya ingin berhasil dengan tugas yang saya lakukan.</v>
      </c>
      <c r="AH117" s="105" t="str">
        <f>IFERROR(__xludf.DUMMYFUNCTION("""COMPUTED_VALUE"""),"B Saya ingin merasa bebas untuk melakukan apa yang saya kehendaki.")</f>
        <v>B Saya ingin merasa bebas untuk melakukan apa yang saya kehendaki.</v>
      </c>
      <c r="AI117" s="105" t="str">
        <f>IFERROR(__xludf.DUMMYFUNCTION("""COMPUTED_VALUE"""),"B Saya suka melakukan kegiatan sesuai kondisi yang saya inginkan.")</f>
        <v>B Saya suka melakukan kegiatan sesuai kondisi yang saya inginkan.</v>
      </c>
      <c r="AJ117" s="105" t="str">
        <f>IFERROR(__xludf.DUMMYFUNCTION("""COMPUTED_VALUE"""),"B Saya suka bertahan menghadapi satu masalah meskipun belum tentu berhasil.")</f>
        <v>B Saya suka bertahan menghadapi satu masalah meskipun belum tentu berhasil.</v>
      </c>
      <c r="AK117" s="105" t="str">
        <f>IFERROR(__xludf.DUMMYFUNCTION("""COMPUTED_VALUE"""),"B Bila saya harus melakukan suatu tugas, saya ingin mengerjakan sampai selesai.")</f>
        <v>B Bila saya harus melakukan suatu tugas, saya ingin mengerjakan sampai selesai.</v>
      </c>
      <c r="AL117" s="105" t="str">
        <f>IFERROR(__xludf.DUMMYFUNCTION("""COMPUTED_VALUE"""),"A Saya suka berbicara tentang hal-hal yang telah saya capai.")</f>
        <v>A Saya suka berbicara tentang hal-hal yang telah saya capai.</v>
      </c>
      <c r="AM117" s="105" t="str">
        <f>IFERROR(__xludf.DUMMYFUNCTION("""COMPUTED_VALUE"""),"B Saya suka belajar sampai malam untuk menyelesaikan suatu tugas.")</f>
        <v>B Saya suka belajar sampai malam untuk menyelesaikan suatu tugas.</v>
      </c>
      <c r="AN117" s="105" t="str">
        <f>IFERROR(__xludf.DUMMYFUNCTION("""COMPUTED_VALUE"""),"A Saya tidak suka pada orang yang semena-mena.")</f>
        <v>A Saya tidak suka pada orang yang semena-mena.</v>
      </c>
      <c r="AO117" s="105" t="str">
        <f>IFERROR(__xludf.DUMMYFUNCTION("""COMPUTED_VALUE"""),"A Saya suka berlaku sangat ramah terhadap teman-teman saya.")</f>
        <v>A Saya suka berlaku sangat ramah terhadap teman-teman saya.</v>
      </c>
      <c r="AP117" s="105" t="str">
        <f>IFERROR(__xludf.DUMMYFUNCTION("""COMPUTED_VALUE"""),"A Saya ingin mengerjakannya tugas sampai selesai.")</f>
        <v>A Saya ingin mengerjakannya tugas sampai selesai.</v>
      </c>
      <c r="AQ117" s="105" t="str">
        <f>IFERROR(__xludf.DUMMYFUNCTION("""COMPUTED_VALUE"""),"A Saya ingin bisa mengerjakan segala sesuatu lebih baik daripada orang-orang lain.")</f>
        <v>A Saya ingin bisa mengerjakan segala sesuatu lebih baik daripada orang-orang lain.</v>
      </c>
      <c r="AR117" s="105" t="str">
        <f>IFERROR(__xludf.DUMMYFUNCTION("""COMPUTED_VALUE"""),"A Saya suka menyimpan catatan secara rapi.")</f>
        <v>A Saya suka menyimpan catatan secara rapi.</v>
      </c>
      <c r="AS117" s="105" t="str">
        <f>IFERROR(__xludf.DUMMYFUNCTION("""COMPUTED_VALUE"""),"A Saya ingin dapat menyelesaikan persoalan yang dianggap sukar bagi orang lain.")</f>
        <v>A Saya ingin dapat menyelesaikan persoalan yang dianggap sukar bagi orang lain.</v>
      </c>
      <c r="AT117" s="105" t="str">
        <f>IFERROR(__xludf.DUMMYFUNCTION("""COMPUTED_VALUE"""),"B Saya suka membantu orang lain yang menurut saya perlu dikasihani.")</f>
        <v>B Saya suka membantu orang lain yang menurut saya perlu dikasihani.</v>
      </c>
      <c r="AU117" s="105" t="str">
        <f>IFERROR(__xludf.DUMMYFUNCTION("""COMPUTED_VALUE"""),"A Saya ingin menyelesaikan pekerjaan satu persatu sebelum memulai yang lain.")</f>
        <v>A Saya ingin menyelesaikan pekerjaan satu persatu sebelum memulai yang lain.</v>
      </c>
      <c r="AV117" s="105" t="str">
        <f>IFERROR(__xludf.DUMMYFUNCTION("""COMPUTED_VALUE"""),"B Saya suka menolong teman-teman saya.")</f>
        <v>B Saya suka menolong teman-teman saya.</v>
      </c>
      <c r="AW117" s="105" t="str">
        <f>IFERROR(__xludf.DUMMYFUNCTION("""COMPUTED_VALUE"""),"A Saya ingin mengerjakan tugas sampai selesai.")</f>
        <v>A Saya ingin mengerjakan tugas sampai selesai.</v>
      </c>
      <c r="AX117" s="105" t="str">
        <f>IFERROR(__xludf.DUMMYFUNCTION("""COMPUTED_VALUE"""),"B Saya suka memaafkan teman-teman saya yang menyakiti hati saya.")</f>
        <v>B Saya suka memaafkan teman-teman saya yang menyakiti hati saya.</v>
      </c>
      <c r="AY117" s="105" t="str">
        <f>IFERROR(__xludf.DUMMYFUNCTION("""COMPUTED_VALUE"""),"B Saya suka menolong teman-teman saya apabila mereka dalam kesulitan.")</f>
        <v>B Saya suka menolong teman-teman saya apabila mereka dalam kesulitan.</v>
      </c>
      <c r="AZ117" s="105" t="str">
        <f>IFERROR(__xludf.DUMMYFUNCTION("""COMPUTED_VALUE"""),"A Saya ingin agar teman-teman saya bersimpati dan menghibur saya bila saya sedih.")</f>
        <v>A Saya ingin agar teman-teman saya bersimpati dan menghibur saya bila saya sedih.</v>
      </c>
      <c r="BA117" s="105" t="str">
        <f>IFERROR(__xludf.DUMMYFUNCTION("""COMPUTED_VALUE"""),"A Saya suka menyatakan pendapat saya tentang berbagai hal.")</f>
        <v>A Saya suka menyatakan pendapat saya tentang berbagai hal.</v>
      </c>
      <c r="BB117" s="105" t="str">
        <f>IFERROR(__xludf.DUMMYFUNCTION("""COMPUTED_VALUE"""),"B Saya suka bermurah hati terhadap teman-teman saya.")</f>
        <v>B Saya suka bermurah hati terhadap teman-teman saya.</v>
      </c>
      <c r="BC117" s="105" t="str">
        <f>IFERROR(__xludf.DUMMYFUNCTION("""COMPUTED_VALUE"""),"B Saya suka membantu orang lain yang menurut saya perlu dikasihani.")</f>
        <v>B Saya suka membantu orang lain yang menurut saya perlu dikasihani.</v>
      </c>
      <c r="BD117" s="105" t="str">
        <f>IFERROR(__xludf.DUMMYFUNCTION("""COMPUTED_VALUE"""),"B Saya suka bersikukuh dengan pendirian saya.")</f>
        <v>B Saya suka bersikukuh dengan pendirian saya.</v>
      </c>
      <c r="BE117" s="105" t="str">
        <f>IFERROR(__xludf.DUMMYFUNCTION("""COMPUTED_VALUE"""),"B Saya ingin orang lain melakukan apa yang saya kehendaki.")</f>
        <v>B Saya ingin orang lain melakukan apa yang saya kehendaki.</v>
      </c>
      <c r="BF117" s="105" t="str">
        <f>IFERROR(__xludf.DUMMYFUNCTION("""COMPUTED_VALUE"""),"B Bila saya dalam kelompok, saya ingin menentukan apa yang akan kita lakukan.")</f>
        <v>B Bila saya dalam kelompok, saya ingin menentukan apa yang akan kita lakukan.</v>
      </c>
      <c r="BG117" s="105" t="str">
        <f>IFERROR(__xludf.DUMMYFUNCTION("""COMPUTED_VALUE"""),"B Saya suka mengarahkan kepada orang lain apa yang harus dilakukan.")</f>
        <v>B Saya suka mengarahkan kepada orang lain apa yang harus dilakukan.</v>
      </c>
      <c r="BH117" s="105" t="str">
        <f>IFERROR(__xludf.DUMMYFUNCTION("""COMPUTED_VALUE"""),"A Saya suka menghindar dari situasi yang tidak saya harapkan.")</f>
        <v>A Saya suka menghindar dari situasi yang tidak saya harapkan.</v>
      </c>
      <c r="BI117" s="105" t="str">
        <f>IFERROR(__xludf.DUMMYFUNCTION("""COMPUTED_VALUE"""),"A Saya suka bermurah hati terhadap teman-teman saya.")</f>
        <v>A Saya suka bermurah hati terhadap teman-teman saya.</v>
      </c>
      <c r="BJ117" s="105" t="str">
        <f>IFERROR(__xludf.DUMMYFUNCTION("""COMPUTED_VALUE"""),"A Saya ingin mengerjakan tugas sampai selesai.")</f>
        <v>A Saya ingin mengerjakan tugas sampai selesai.</v>
      </c>
      <c r="BK117" s="105" t="str">
        <f>IFERROR(__xludf.DUMMYFUNCTION("""COMPUTED_VALUE"""),"A Saya ingin menyelesaikan pekerjaan satu persatu sebelum memulai yang lain.")</f>
        <v>A Saya ingin menyelesaikan pekerjaan satu persatu sebelum memulai yang lain.</v>
      </c>
      <c r="BL117" s="105" t="str">
        <f>IFERROR(__xludf.DUMMYFUNCTION("""COMPUTED_VALUE"""),"A Saya suka belajar saya teratur dan ada waktu-waktu tertentu untuk belajar.")</f>
        <v>A Saya suka belajar saya teratur dan ada waktu-waktu tertentu untuk belajar.</v>
      </c>
      <c r="BM117" s="105" t="str">
        <f>IFERROR(__xludf.DUMMYFUNCTION("""COMPUTED_VALUE"""),"A Saya suka melakukan pekerjaan sebaik mungkin.")</f>
        <v>A Saya suka melakukan pekerjaan sebaik mungkin.</v>
      </c>
      <c r="BN117" s="105" t="str">
        <f>IFERROR(__xludf.DUMMYFUNCTION("""COMPUTED_VALUE"""),"B Saya ingin teman-teman memberi dorongan bila saya menghadapi kegagalan.")</f>
        <v>B Saya ingin teman-teman memberi dorongan bila saya menghadapi kegagalan.</v>
      </c>
      <c r="BO117" s="105" t="str">
        <f>IFERROR(__xludf.DUMMYFUNCTION("""COMPUTED_VALUE"""),"A Saya suka membuat perencanaan sebelum memulai belajar yang sulit.")</f>
        <v>A Saya suka membuat perencanaan sebelum memulai belajar yang sulit.</v>
      </c>
      <c r="BP117" s="105" t="str">
        <f>IFERROR(__xludf.DUMMYFUNCTION("""COMPUTED_VALUE"""),"A Saya ingin menyelesaikan sesuatu yang sangat penting artinya.")</f>
        <v>A Saya ingin menyelesaikan sesuatu yang sangat penting artinya.</v>
      </c>
      <c r="BQ117" s="105" t="str">
        <f>IFERROR(__xludf.DUMMYFUNCTION("""COMPUTED_VALUE"""),"A Saya ingin mengerjakannya tugas sampai selesai.")</f>
        <v>A Saya ingin mengerjakannya tugas sampai selesai.</v>
      </c>
      <c r="BR117" s="105" t="str">
        <f>IFERROR(__xludf.DUMMYFUNCTION("""COMPUTED_VALUE"""),"B Saya ingin agar teman-teman saya bersimpati dan menghibur saya bila saya sedih.")</f>
        <v>B Saya ingin agar teman-teman saya bersimpati dan menghibur saya bila saya sedih.</v>
      </c>
      <c r="BS117" s="105" t="str">
        <f>IFERROR(__xludf.DUMMYFUNCTION("""COMPUTED_VALUE"""),"B Saya ingin teman-teman saya membantu saya bila saya mengalami kesulitan")</f>
        <v>B Saya ingin teman-teman saya membantu saya bila saya mengalami kesulitan</v>
      </c>
      <c r="BT117" s="105" t="str">
        <f>IFERROR(__xludf.DUMMYFUNCTION("""COMPUTED_VALUE"""),"B Saya ingin teman-teman banyak menunjukkan rasa sayang mereka terhadap saya.")</f>
        <v>B Saya ingin teman-teman banyak menunjukkan rasa sayang mereka terhadap saya.</v>
      </c>
      <c r="BU117" s="105" t="str">
        <f>IFERROR(__xludf.DUMMYFUNCTION("""COMPUTED_VALUE"""),"B Saya ingin agar teman-teman saya merasa kasihan pada saya apabila saya sakit.")</f>
        <v>B Saya ingin agar teman-teman saya merasa kasihan pada saya apabila saya sakit.</v>
      </c>
      <c r="BV117" s="105" t="str">
        <f>IFERROR(__xludf.DUMMYFUNCTION("""COMPUTED_VALUE"""),"B Saya ingin teman-teman dengan gembira memberikan pertolongan kepada saya.")</f>
        <v>B Saya ingin teman-teman dengan gembira memberikan pertolongan kepada saya.</v>
      </c>
      <c r="BW117" s="105" t="str">
        <f>IFERROR(__xludf.DUMMYFUNCTION("""COMPUTED_VALUE"""),"B Saya ingin diperlakukan dengan baik oleh teman-teman saya.")</f>
        <v>B Saya ingin diperlakukan dengan baik oleh teman-teman saya.</v>
      </c>
      <c r="BX117" s="105" t="str">
        <f>IFERROR(__xludf.DUMMYFUNCTION("""COMPUTED_VALUE"""),"B Saya kadang-kadang suka melakukan hal-hal yang dapat dipuji oleh orang lain.")</f>
        <v>B Saya kadang-kadang suka melakukan hal-hal yang dapat dipuji oleh orang lain.</v>
      </c>
      <c r="BY117" s="105" t="str">
        <f>IFERROR(__xludf.DUMMYFUNCTION("""COMPUTED_VALUE"""),"A Saya suka melamun atau membayangkan hal-hal yang tidak jelas.")</f>
        <v>A Saya suka melamun atau membayangkan hal-hal yang tidak jelas.</v>
      </c>
      <c r="BZ117" s="105" t="str">
        <f>IFERROR(__xludf.DUMMYFUNCTION("""COMPUTED_VALUE"""),"B Saya suka diperhatikan, apabila saya ada di dalam suatu kelompok.")</f>
        <v>B Saya suka diperhatikan, apabila saya ada di dalam suatu kelompok.</v>
      </c>
      <c r="CA117" s="105" t="str">
        <f>IFERROR(__xludf.DUMMYFUNCTION("""COMPUTED_VALUE"""),"A Saya ingin teman-teman dengan gembira memberikan pertolongan kepada saya.")</f>
        <v>A Saya ingin teman-teman dengan gembira memberikan pertolongan kepada saya.</v>
      </c>
      <c r="CB117" s="105" t="str">
        <f>IFERROR(__xludf.DUMMYFUNCTION("""COMPUTED_VALUE"""),"B Saya suka berbicara tentang hal-hal yang telah saya capai.")</f>
        <v>B Saya suka berbicara tentang hal-hal yang telah saya capai.</v>
      </c>
      <c r="CC117" s="105" t="str">
        <f>IFERROR(__xludf.DUMMYFUNCTION("""COMPUTED_VALUE"""),"A Apabila saya berkumpul dalam kelompok, saya ingin dihargai teman-teman.")</f>
        <v>A Apabila saya berkumpul dalam kelompok, saya ingin dihargai teman-teman.</v>
      </c>
      <c r="CD117" s="105" t="str">
        <f>IFERROR(__xludf.DUMMYFUNCTION("""COMPUTED_VALUE"""),"A Saya suka menyelesaikan setiap tugas meskipun membutuhkan waktu lama.")</f>
        <v>A Saya suka menyelesaikan setiap tugas meskipun membutuhkan waktu lama.</v>
      </c>
      <c r="CE117" s="105" t="str">
        <f>IFERROR(__xludf.DUMMYFUNCTION("""COMPUTED_VALUE"""),"A Saya suka menyelesaikan setiap tugas belajar yang telah saya mulai.")</f>
        <v>A Saya suka menyelesaikan setiap tugas belajar yang telah saya mulai.</v>
      </c>
      <c r="CF117" s="105" t="str">
        <f>IFERROR(__xludf.DUMMYFUNCTION("""COMPUTED_VALUE"""),"A Saya ingin agar hidup saya teratur sesuai cita-cita saya.")</f>
        <v>A Saya ingin agar hidup saya teratur sesuai cita-cita saya.</v>
      </c>
      <c r="CG117" s="105" t="str">
        <f>IFERROR(__xludf.DUMMYFUNCTION("""COMPUTED_VALUE"""),"A Saya ingin berhasil dalam apa yang saya lakukan.")</f>
        <v>A Saya ingin berhasil dalam apa yang saya lakukan.</v>
      </c>
      <c r="CH117" s="105" t="str">
        <f>IFERROR(__xludf.DUMMYFUNCTION("""COMPUTED_VALUE"""),"B Saya suka dengan orang yang berpenampilan menarik.")</f>
        <v>B Saya suka dengan orang yang berpenampilan menarik.</v>
      </c>
      <c r="CI117" s="105" t="str">
        <f>IFERROR(__xludf.DUMMYFUNCTION("""COMPUTED_VALUE"""),"A Saya suka belajar saya teratur dan ada waktu-waktu tertentu untuk belajar.")</f>
        <v>A Saya suka belajar saya teratur dan ada waktu-waktu tertentu untuk belajar.</v>
      </c>
      <c r="CJ117" s="105" t="str">
        <f>IFERROR(__xludf.DUMMYFUNCTION("""COMPUTED_VALUE"""),"A Saya ingin tidak tergantung dari orang lain terhadap apa yang akan saya lakukan.")</f>
        <v>A Saya ingin tidak tergantung dari orang lain terhadap apa yang akan saya lakukan.</v>
      </c>
      <c r="CK117" s="105" t="str">
        <f>IFERROR(__xludf.DUMMYFUNCTION("""COMPUTED_VALUE"""),"B Saya senang ikut beraktivitas bersama teman sebaya saya.")</f>
        <v>B Saya senang ikut beraktivitas bersama teman sebaya saya.</v>
      </c>
      <c r="CL117" s="105" t="str">
        <f>IFERROR(__xludf.DUMMYFUNCTION("""COMPUTED_VALUE"""),"B Saya berkeinginan untuk bersama teman yang menurut saya menarik.")</f>
        <v>B Saya berkeinginan untuk bersama teman yang menurut saya menarik.</v>
      </c>
      <c r="CM117" s="105" t="str">
        <f>IFERROR(__xludf.DUMMYFUNCTION("""COMPUTED_VALUE"""),"B Saya merasa kagum pada seseorang.")</f>
        <v>B Saya merasa kagum pada seseorang.</v>
      </c>
      <c r="CN117" s="105" t="str">
        <f>IFERROR(__xludf.DUMMYFUNCTION("""COMPUTED_VALUE"""),"A Saya ingin diperlakukan dengan baik oleh teman-teman saya.")</f>
        <v>A Saya ingin diperlakukan dengan baik oleh teman-teman saya.</v>
      </c>
      <c r="CO117" s="105" t="str">
        <f>IFERROR(__xludf.DUMMYFUNCTION("""COMPUTED_VALUE"""),"B Saya suka memuji orang yang saya kagumi.")</f>
        <v>B Saya suka memuji orang yang saya kagumi.</v>
      </c>
      <c r="CP117" s="105" t="str">
        <f>IFERROR(__xludf.DUMMYFUNCTION("""COMPUTED_VALUE"""),"A Saya suka melamun atau membayangkan sesuatu sendirian.")</f>
        <v>A Saya suka melamun atau membayangkan sesuatu sendirian.</v>
      </c>
      <c r="CQ117" s="105" t="str">
        <f>IFERROR(__xludf.DUMMYFUNCTION("""COMPUTED_VALUE"""),"B Saya merasa kagum pada seseorang.")</f>
        <v>B Saya merasa kagum pada seseorang.</v>
      </c>
      <c r="CR117" s="105" t="str">
        <f>IFERROR(__xludf.DUMMYFUNCTION("""COMPUTED_VALUE"""),"B Saya rasanya ingin mengecam seseorang bila orang itu menjengkelkan.")</f>
        <v>B Saya rasanya ingin mengecam seseorang bila orang itu menjengkelkan.</v>
      </c>
      <c r="CS117" s="105" t="str">
        <f>IFERROR(__xludf.DUMMYFUNCTION("""COMPUTED_VALUE"""),"A Saya ingin terlihat menarik di depan teman-teman saya.")</f>
        <v>A Saya ingin terlihat menarik di depan teman-teman saya.</v>
      </c>
      <c r="CT117" s="105" t="str">
        <f>IFERROR(__xludf.DUMMYFUNCTION("""COMPUTED_VALUE"""),"A Saya ingin orang-orang memperhatikan komentar mengenai penampilan saya.")</f>
        <v>A Saya ingin orang-orang memperhatikan komentar mengenai penampilan saya.</v>
      </c>
      <c r="CU117" s="105" t="str">
        <f>IFERROR(__xludf.DUMMYFUNCTION("""COMPUTED_VALUE"""),"A Saya ingin diperlakukan dengan ramah oleh teman-teman saya.")</f>
        <v>A Saya ingin diperlakukan dengan ramah oleh teman-teman saya.</v>
      </c>
      <c r="CV117" s="105" t="str">
        <f>IFERROR(__xludf.DUMMYFUNCTION("""COMPUTED_VALUE"""),"A Saya ingin ditunjuk atau dipilih sebagai ketua dalam suatu kelompok.")</f>
        <v>A Saya ingin ditunjuk atau dipilih sebagai ketua dalam suatu kelompok.</v>
      </c>
      <c r="CW117" s="105" t="str">
        <f>IFERROR(__xludf.DUMMYFUNCTION("""COMPUTED_VALUE"""),"A Saya suka menolong teman-teman saya, apabila mereka dalam kesulitan.")</f>
        <v>A Saya suka menolong teman-teman saya, apabila mereka dalam kesulitan.</v>
      </c>
      <c r="CX117" s="105" t="str">
        <f>IFERROR(__xludf.DUMMYFUNCTION("""COMPUTED_VALUE"""),"A Saya suka belajar sampai malam untuk menyelesaikan suatu tugas.")</f>
        <v>A Saya suka belajar sampai malam untuk menyelesaikan suatu tugas.</v>
      </c>
      <c r="CY117" s="105" t="str">
        <f>IFERROR(__xludf.DUMMYFUNCTION("""COMPUTED_VALUE"""),"A Saya ingin tidak tergantung dari orang lain terhadap apa yang akan saya lakukan.")</f>
        <v>A Saya ingin tidak tergantung dari orang lain terhadap apa yang akan saya lakukan.</v>
      </c>
      <c r="CZ117" s="105" t="str">
        <f>IFERROR(__xludf.DUMMYFUNCTION("""COMPUTED_VALUE"""),"A Saya suka merencanakan dan mengatur setiap pekerjaan yang harus saya lakukan.")</f>
        <v>A Saya suka merencanakan dan mengatur setiap pekerjaan yang harus saya lakukan.</v>
      </c>
      <c r="DA117" s="105" t="str">
        <f>IFERROR(__xludf.DUMMYFUNCTION("""COMPUTED_VALUE"""),"A Saya ingin melakukan apa saja sebaik mungkin.")</f>
        <v>A Saya ingin melakukan apa saja sebaik mungkin.</v>
      </c>
      <c r="DB117" s="89" t="s">
        <v>23</v>
      </c>
      <c r="DC117" s="97" t="str">
        <f t="shared" ref="DC117:GX117" si="162">LEFT(F117,1)</f>
        <v>B</v>
      </c>
      <c r="DD117" s="97" t="str">
        <f t="shared" si="162"/>
        <v>A</v>
      </c>
      <c r="DE117" s="97" t="str">
        <f t="shared" si="162"/>
        <v>A</v>
      </c>
      <c r="DF117" s="97" t="str">
        <f t="shared" si="162"/>
        <v>B</v>
      </c>
      <c r="DG117" s="97" t="str">
        <f t="shared" si="162"/>
        <v>B</v>
      </c>
      <c r="DH117" s="97" t="str">
        <f t="shared" si="162"/>
        <v>B</v>
      </c>
      <c r="DI117" s="97" t="str">
        <f t="shared" si="162"/>
        <v>B</v>
      </c>
      <c r="DJ117" s="97" t="str">
        <f t="shared" si="162"/>
        <v>B</v>
      </c>
      <c r="DK117" s="97" t="str">
        <f t="shared" si="162"/>
        <v>B</v>
      </c>
      <c r="DL117" s="97" t="str">
        <f t="shared" si="162"/>
        <v>A</v>
      </c>
      <c r="DM117" s="97" t="str">
        <f t="shared" si="162"/>
        <v>B</v>
      </c>
      <c r="DN117" s="97" t="str">
        <f t="shared" si="162"/>
        <v>B</v>
      </c>
      <c r="DO117" s="97" t="str">
        <f t="shared" si="162"/>
        <v>B</v>
      </c>
      <c r="DP117" s="97" t="str">
        <f t="shared" si="162"/>
        <v>A</v>
      </c>
      <c r="DQ117" s="97" t="str">
        <f t="shared" si="162"/>
        <v>A</v>
      </c>
      <c r="DR117" s="97" t="str">
        <f t="shared" si="162"/>
        <v>B</v>
      </c>
      <c r="DS117" s="97" t="str">
        <f t="shared" si="162"/>
        <v>B</v>
      </c>
      <c r="DT117" s="97" t="str">
        <f t="shared" si="162"/>
        <v>B</v>
      </c>
      <c r="DU117" s="97" t="str">
        <f t="shared" si="162"/>
        <v>A</v>
      </c>
      <c r="DV117" s="97" t="str">
        <f t="shared" si="162"/>
        <v>A</v>
      </c>
      <c r="DW117" s="97" t="str">
        <f t="shared" si="162"/>
        <v>A</v>
      </c>
      <c r="DX117" s="97" t="str">
        <f t="shared" si="162"/>
        <v>B</v>
      </c>
      <c r="DY117" s="97" t="str">
        <f t="shared" si="162"/>
        <v>B</v>
      </c>
      <c r="DZ117" s="97" t="str">
        <f t="shared" si="162"/>
        <v>B</v>
      </c>
      <c r="EA117" s="97" t="str">
        <f t="shared" si="162"/>
        <v>B</v>
      </c>
      <c r="EB117" s="97" t="str">
        <f t="shared" si="162"/>
        <v>A</v>
      </c>
      <c r="EC117" s="97" t="str">
        <f t="shared" si="162"/>
        <v>A</v>
      </c>
      <c r="ED117" s="97" t="str">
        <f t="shared" si="162"/>
        <v>B</v>
      </c>
      <c r="EE117" s="97" t="str">
        <f t="shared" si="162"/>
        <v>B</v>
      </c>
      <c r="EF117" s="97" t="str">
        <f t="shared" si="162"/>
        <v>B</v>
      </c>
      <c r="EG117" s="97" t="str">
        <f t="shared" si="162"/>
        <v>B</v>
      </c>
      <c r="EH117" s="97" t="str">
        <f t="shared" si="162"/>
        <v>B</v>
      </c>
      <c r="EI117" s="97" t="str">
        <f t="shared" si="162"/>
        <v>A</v>
      </c>
      <c r="EJ117" s="97" t="str">
        <f t="shared" si="162"/>
        <v>B</v>
      </c>
      <c r="EK117" s="97" t="str">
        <f t="shared" si="162"/>
        <v>A</v>
      </c>
      <c r="EL117" s="97" t="str">
        <f t="shared" si="162"/>
        <v>A</v>
      </c>
      <c r="EM117" s="97" t="str">
        <f t="shared" si="162"/>
        <v>A</v>
      </c>
      <c r="EN117" s="97" t="str">
        <f t="shared" si="162"/>
        <v>A</v>
      </c>
      <c r="EO117" s="97" t="str">
        <f t="shared" si="162"/>
        <v>A</v>
      </c>
      <c r="EP117" s="97" t="str">
        <f t="shared" si="162"/>
        <v>A</v>
      </c>
      <c r="EQ117" s="97" t="str">
        <f t="shared" si="162"/>
        <v>B</v>
      </c>
      <c r="ER117" s="97" t="str">
        <f t="shared" si="162"/>
        <v>A</v>
      </c>
      <c r="ES117" s="97" t="str">
        <f t="shared" si="162"/>
        <v>B</v>
      </c>
      <c r="ET117" s="97" t="str">
        <f t="shared" si="162"/>
        <v>A</v>
      </c>
      <c r="EU117" s="97" t="str">
        <f t="shared" si="162"/>
        <v>B</v>
      </c>
      <c r="EV117" s="97" t="str">
        <f t="shared" si="162"/>
        <v>B</v>
      </c>
      <c r="EW117" s="97" t="str">
        <f t="shared" si="162"/>
        <v>A</v>
      </c>
      <c r="EX117" s="97" t="str">
        <f t="shared" si="162"/>
        <v>A</v>
      </c>
      <c r="EY117" s="97" t="str">
        <f t="shared" si="162"/>
        <v>B</v>
      </c>
      <c r="EZ117" s="97" t="str">
        <f t="shared" si="162"/>
        <v>B</v>
      </c>
      <c r="FA117" s="97" t="str">
        <f t="shared" si="162"/>
        <v>B</v>
      </c>
      <c r="FB117" s="97" t="str">
        <f t="shared" si="162"/>
        <v>B</v>
      </c>
      <c r="FC117" s="97" t="str">
        <f t="shared" si="162"/>
        <v>B</v>
      </c>
      <c r="FD117" s="97" t="str">
        <f t="shared" si="162"/>
        <v>B</v>
      </c>
      <c r="FE117" s="97" t="str">
        <f t="shared" si="162"/>
        <v>A</v>
      </c>
      <c r="FF117" s="97" t="str">
        <f t="shared" si="162"/>
        <v>A</v>
      </c>
      <c r="FG117" s="97" t="str">
        <f t="shared" si="162"/>
        <v>A</v>
      </c>
      <c r="FH117" s="97" t="str">
        <f t="shared" si="162"/>
        <v>A</v>
      </c>
      <c r="FI117" s="97" t="str">
        <f t="shared" si="162"/>
        <v>A</v>
      </c>
      <c r="FJ117" s="97" t="str">
        <f t="shared" si="162"/>
        <v>A</v>
      </c>
      <c r="FK117" s="97" t="str">
        <f t="shared" si="162"/>
        <v>B</v>
      </c>
      <c r="FL117" s="97" t="str">
        <f t="shared" si="162"/>
        <v>A</v>
      </c>
      <c r="FM117" s="97" t="str">
        <f t="shared" si="162"/>
        <v>A</v>
      </c>
      <c r="FN117" s="97" t="str">
        <f t="shared" si="162"/>
        <v>A</v>
      </c>
      <c r="FO117" s="97" t="str">
        <f t="shared" si="162"/>
        <v>B</v>
      </c>
      <c r="FP117" s="97" t="str">
        <f t="shared" si="162"/>
        <v>B</v>
      </c>
      <c r="FQ117" s="97" t="str">
        <f t="shared" si="162"/>
        <v>B</v>
      </c>
      <c r="FR117" s="97" t="str">
        <f t="shared" si="162"/>
        <v>B</v>
      </c>
      <c r="FS117" s="97" t="str">
        <f t="shared" si="162"/>
        <v>B</v>
      </c>
      <c r="FT117" s="97" t="str">
        <f t="shared" si="162"/>
        <v>B</v>
      </c>
      <c r="FU117" s="97" t="str">
        <f t="shared" si="162"/>
        <v>B</v>
      </c>
      <c r="FV117" s="97" t="str">
        <f t="shared" si="162"/>
        <v>A</v>
      </c>
      <c r="FW117" s="97" t="str">
        <f t="shared" si="162"/>
        <v>B</v>
      </c>
      <c r="FX117" s="97" t="str">
        <f t="shared" si="162"/>
        <v>A</v>
      </c>
      <c r="FY117" s="97" t="str">
        <f t="shared" si="162"/>
        <v>B</v>
      </c>
      <c r="FZ117" s="97" t="str">
        <f t="shared" si="162"/>
        <v>A</v>
      </c>
      <c r="GA117" s="97" t="str">
        <f t="shared" si="162"/>
        <v>A</v>
      </c>
      <c r="GB117" s="97" t="str">
        <f t="shared" si="162"/>
        <v>A</v>
      </c>
      <c r="GC117" s="97" t="str">
        <f t="shared" si="162"/>
        <v>A</v>
      </c>
      <c r="GD117" s="97" t="str">
        <f t="shared" si="162"/>
        <v>A</v>
      </c>
      <c r="GE117" s="97" t="str">
        <f t="shared" si="162"/>
        <v>B</v>
      </c>
      <c r="GF117" s="97" t="str">
        <f t="shared" si="162"/>
        <v>A</v>
      </c>
      <c r="GG117" s="97" t="str">
        <f t="shared" si="162"/>
        <v>A</v>
      </c>
      <c r="GH117" s="97" t="str">
        <f t="shared" si="162"/>
        <v>B</v>
      </c>
      <c r="GI117" s="97" t="str">
        <f t="shared" si="162"/>
        <v>B</v>
      </c>
      <c r="GJ117" s="97" t="str">
        <f t="shared" si="162"/>
        <v>B</v>
      </c>
      <c r="GK117" s="97" t="str">
        <f t="shared" si="162"/>
        <v>A</v>
      </c>
      <c r="GL117" s="97" t="str">
        <f t="shared" si="162"/>
        <v>B</v>
      </c>
      <c r="GM117" s="97" t="str">
        <f t="shared" si="162"/>
        <v>A</v>
      </c>
      <c r="GN117" s="97" t="str">
        <f t="shared" si="162"/>
        <v>B</v>
      </c>
      <c r="GO117" s="97" t="str">
        <f t="shared" si="162"/>
        <v>B</v>
      </c>
      <c r="GP117" s="97" t="str">
        <f t="shared" si="162"/>
        <v>A</v>
      </c>
      <c r="GQ117" s="97" t="str">
        <f t="shared" si="162"/>
        <v>A</v>
      </c>
      <c r="GR117" s="97" t="str">
        <f t="shared" si="162"/>
        <v>A</v>
      </c>
      <c r="GS117" s="97" t="str">
        <f t="shared" si="162"/>
        <v>A</v>
      </c>
      <c r="GT117" s="97" t="str">
        <f t="shared" si="162"/>
        <v>A</v>
      </c>
      <c r="GU117" s="97" t="str">
        <f t="shared" si="162"/>
        <v>A</v>
      </c>
      <c r="GV117" s="97" t="str">
        <f t="shared" si="162"/>
        <v>A</v>
      </c>
      <c r="GW117" s="97" t="str">
        <f t="shared" si="162"/>
        <v>A</v>
      </c>
      <c r="GX117" s="97" t="str">
        <f t="shared" si="162"/>
        <v>A</v>
      </c>
      <c r="GY117" s="98"/>
      <c r="GZ117" s="97">
        <f t="shared" si="3"/>
        <v>50</v>
      </c>
      <c r="HA117" s="97">
        <f t="shared" si="4"/>
        <v>50</v>
      </c>
      <c r="HB117" s="90">
        <f t="shared" si="5"/>
        <v>100</v>
      </c>
      <c r="HC117" s="99"/>
      <c r="HD117" s="97">
        <f t="shared" si="6"/>
        <v>6</v>
      </c>
      <c r="HE117" s="97">
        <f t="shared" si="7"/>
        <v>6</v>
      </c>
      <c r="HF117" s="90">
        <f t="shared" si="8"/>
        <v>12</v>
      </c>
      <c r="HG117" s="99"/>
      <c r="HH117" s="97">
        <f t="shared" si="9"/>
        <v>8</v>
      </c>
      <c r="HI117" s="97">
        <f t="shared" si="10"/>
        <v>6</v>
      </c>
      <c r="HJ117" s="90">
        <f t="shared" si="11"/>
        <v>14</v>
      </c>
      <c r="HK117" s="99"/>
      <c r="HL117" s="97">
        <f t="shared" si="12"/>
        <v>7</v>
      </c>
      <c r="HM117" s="97">
        <f t="shared" si="13"/>
        <v>7</v>
      </c>
      <c r="HN117" s="90">
        <f t="shared" si="14"/>
        <v>14</v>
      </c>
      <c r="HO117" s="99"/>
      <c r="HP117" s="97">
        <f t="shared" si="15"/>
        <v>5</v>
      </c>
      <c r="HQ117" s="97">
        <f t="shared" si="16"/>
        <v>3</v>
      </c>
      <c r="HR117" s="90">
        <f t="shared" si="17"/>
        <v>8</v>
      </c>
      <c r="HS117" s="99"/>
      <c r="HT117" s="97">
        <f t="shared" si="18"/>
        <v>4</v>
      </c>
      <c r="HU117" s="97">
        <f t="shared" si="19"/>
        <v>6</v>
      </c>
      <c r="HV117" s="90">
        <f t="shared" si="20"/>
        <v>10</v>
      </c>
      <c r="HW117" s="99"/>
      <c r="HX117" s="97">
        <f t="shared" si="21"/>
        <v>4</v>
      </c>
      <c r="HY117" s="97">
        <f t="shared" si="22"/>
        <v>4</v>
      </c>
      <c r="HZ117" s="90">
        <f t="shared" si="23"/>
        <v>8</v>
      </c>
      <c r="IA117" s="99"/>
      <c r="IB117" s="97">
        <f t="shared" si="24"/>
        <v>6</v>
      </c>
      <c r="IC117" s="97">
        <f t="shared" si="25"/>
        <v>7</v>
      </c>
      <c r="ID117" s="90">
        <f t="shared" si="26"/>
        <v>13</v>
      </c>
      <c r="IE117" s="99"/>
      <c r="IF117" s="97">
        <f t="shared" si="27"/>
        <v>3</v>
      </c>
      <c r="IG117" s="97">
        <f t="shared" si="28"/>
        <v>3</v>
      </c>
      <c r="IH117" s="90">
        <f t="shared" si="29"/>
        <v>6</v>
      </c>
      <c r="II117" s="99"/>
      <c r="IJ117" s="97">
        <f t="shared" si="30"/>
        <v>2</v>
      </c>
      <c r="IK117" s="97">
        <f t="shared" si="31"/>
        <v>6</v>
      </c>
      <c r="IL117" s="90">
        <f t="shared" si="32"/>
        <v>8</v>
      </c>
      <c r="IM117" s="99"/>
      <c r="IN117" s="97">
        <f t="shared" si="33"/>
        <v>1</v>
      </c>
      <c r="IO117" s="97">
        <f t="shared" si="34"/>
        <v>1</v>
      </c>
      <c r="IP117" s="90">
        <f t="shared" si="35"/>
        <v>2</v>
      </c>
      <c r="IS117" s="100">
        <f t="shared" si="36"/>
        <v>12</v>
      </c>
      <c r="IT117" s="100">
        <f t="shared" si="37"/>
        <v>14</v>
      </c>
      <c r="IU117" s="100">
        <f t="shared" si="38"/>
        <v>14</v>
      </c>
      <c r="IV117" s="100">
        <f t="shared" si="39"/>
        <v>8</v>
      </c>
      <c r="IW117" s="100">
        <f t="shared" si="40"/>
        <v>10</v>
      </c>
      <c r="IX117" s="100">
        <f t="shared" si="41"/>
        <v>8</v>
      </c>
      <c r="IY117" s="100">
        <f t="shared" si="42"/>
        <v>13</v>
      </c>
      <c r="IZ117" s="100">
        <f t="shared" si="43"/>
        <v>6</v>
      </c>
      <c r="JA117" s="100">
        <f t="shared" si="44"/>
        <v>8</v>
      </c>
      <c r="JB117" s="101">
        <f t="shared" si="45"/>
        <v>2</v>
      </c>
      <c r="JC117" s="102">
        <f t="shared" si="46"/>
        <v>95</v>
      </c>
      <c r="JD117" s="67">
        <f t="shared" si="50"/>
        <v>0</v>
      </c>
      <c r="JE117" s="67">
        <f t="shared" si="47"/>
        <v>1</v>
      </c>
      <c r="JF117" s="67">
        <f t="shared" si="48"/>
        <v>1</v>
      </c>
    </row>
    <row r="118">
      <c r="A118" s="104">
        <f>IFERROR(__xludf.DUMMYFUNCTION("""COMPUTED_VALUE"""),45962.529468043984)</f>
        <v>45962.52947</v>
      </c>
      <c r="B118" s="105" t="str">
        <f>IFERROR(__xludf.DUMMYFUNCTION("""COMPUTED_VALUE"""),"Muhammad risky shapin")</f>
        <v>Muhammad risky shapin</v>
      </c>
      <c r="C118" s="7" t="str">
        <f>IFERROR(__xludf.DUMMYFUNCTION("""COMPUTED_VALUE"""),"B250011")</f>
        <v>B250011</v>
      </c>
      <c r="D118" s="7" t="str">
        <f>IFERROR(__xludf.DUMMYFUNCTION("""COMPUTED_VALUE"""),"SMA")</f>
        <v>SMA</v>
      </c>
      <c r="E118" s="7" t="str">
        <f>IFERROR(__xludf.DUMMYFUNCTION("""COMPUTED_VALUE"""),"Ya")</f>
        <v>Ya</v>
      </c>
      <c r="F118" s="105" t="str">
        <f>IFERROR(__xludf.DUMMYFUNCTION("""COMPUTED_VALUE"""),"B Saya ingin melakukan apa saja sebaik mungkin.")</f>
        <v>B Saya ingin melakukan apa saja sebaik mungkin.</v>
      </c>
      <c r="G118" s="105" t="str">
        <f>IFERROR(__xludf.DUMMYFUNCTION("""COMPUTED_VALUE"""),"A Saya ingin setiap tulisan saya teliti, rapi, dan tersusun dengan baik.")</f>
        <v>A Saya ingin setiap tulisan saya teliti, rapi, dan tersusun dengan baik.</v>
      </c>
      <c r="H118" s="105" t="str">
        <f>IFERROR(__xludf.DUMMYFUNCTION("""COMPUTED_VALUE"""),"B Saya ingin menjadi orang yang diakui dalam suatu pekerjaan atau bidang khusus.")</f>
        <v>B Saya ingin menjadi orang yang diakui dalam suatu pekerjaan atau bidang khusus.</v>
      </c>
      <c r="I118" s="105" t="str">
        <f>IFERROR(__xludf.DUMMYFUNCTION("""COMPUTED_VALUE"""),"B Saya ingin bisa melakukan dengan baik meskipun tugas yang sulit.")</f>
        <v>B Saya ingin bisa melakukan dengan baik meskipun tugas yang sulit.</v>
      </c>
      <c r="J118" s="105" t="str">
        <f>IFERROR(__xludf.DUMMYFUNCTION("""COMPUTED_VALUE"""),"B Saya ingin mengerjakan tugas sebaik mungkin.")</f>
        <v>B Saya ingin mengerjakan tugas sebaik mungkin.</v>
      </c>
      <c r="K118" s="105" t="str">
        <f>IFERROR(__xludf.DUMMYFUNCTION("""COMPUTED_VALUE"""),"B Saya ingin mengatakan telah melakukan dengan baik sesuatu tugas yang sulit.")</f>
        <v>B Saya ingin mengatakan telah melakukan dengan baik sesuatu tugas yang sulit.</v>
      </c>
      <c r="L118" s="105" t="str">
        <f>IFERROR(__xludf.DUMMYFUNCTION("""COMPUTED_VALUE"""),"B Saya ingin mengatakan telah melakukan dengan baik sesuatu tugas yang sulit")</f>
        <v>B Saya ingin mengatakan telah melakukan dengan baik sesuatu tugas yang sulit</v>
      </c>
      <c r="M118" s="105" t="str">
        <f>IFERROR(__xludf.DUMMYFUNCTION("""COMPUTED_VALUE"""),"A Saya suka berbicara tentang hal-hal yang telah berhasil saya lakukan.")</f>
        <v>A Saya suka berbicara tentang hal-hal yang telah berhasil saya lakukan.</v>
      </c>
      <c r="N118" s="105" t="str">
        <f>IFERROR(__xludf.DUMMYFUNCTION("""COMPUTED_VALUE"""),"A Saya suka pergi dengan pakaian rapi agar lebih menarik perhatian orang lain.")</f>
        <v>A Saya suka pergi dengan pakaian rapi agar lebih menarik perhatian orang lain.</v>
      </c>
      <c r="O118" s="105" t="str">
        <f>IFERROR(__xludf.DUMMYFUNCTION("""COMPUTED_VALUE"""),"B Saya suka melakukan tugas sebaik mungkin.")</f>
        <v>B Saya suka melakukan tugas sebaik mungkin.</v>
      </c>
      <c r="P118" s="105" t="str">
        <f>IFERROR(__xludf.DUMMYFUNCTION("""COMPUTED_VALUE"""),"B Saya ingin setiap belajar itu teratur dan direncanakan.")</f>
        <v>B Saya ingin setiap belajar itu teratur dan direncanakan.</v>
      </c>
      <c r="Q118" s="105" t="str">
        <f>IFERROR(__xludf.DUMMYFUNCTION("""COMPUTED_VALUE"""),"A Saya mulai suka dengan lawan jenis.")</f>
        <v>A Saya mulai suka dengan lawan jenis.</v>
      </c>
      <c r="R118" s="105" t="str">
        <f>IFERROR(__xludf.DUMMYFUNCTION("""COMPUTED_VALUE"""),"B Saya suka barang-barang saya tersusun rapi dan teratur.")</f>
        <v>B Saya suka barang-barang saya tersusun rapi dan teratur.</v>
      </c>
      <c r="S118" s="105" t="str">
        <f>IFERROR(__xludf.DUMMYFUNCTION("""COMPUTED_VALUE"""),"B Saya suka membuat perencanaan sebelum memulai tugas yang sulit.")</f>
        <v>B Saya suka membuat perencanaan sebelum memulai tugas yang sulit.</v>
      </c>
      <c r="T118" s="105" t="str">
        <f>IFERROR(__xludf.DUMMYFUNCTION("""COMPUTED_VALUE"""),"B Saya ingin agar hidup saya teratur sesuai cita-cita saya.")</f>
        <v>B Saya ingin agar hidup saya teratur sesuai cita-cita saya.</v>
      </c>
      <c r="U118" s="105" t="str">
        <f>IFERROR(__xludf.DUMMYFUNCTION("""COMPUTED_VALUE"""),"B Saya suka menyimpan catatan secara rapi.")</f>
        <v>B Saya suka menyimpan catatan secara rapi.</v>
      </c>
      <c r="V118" s="105" t="str">
        <f>IFERROR(__xludf.DUMMYFUNCTION("""COMPUTED_VALUE"""),"B Saya suka belajar saya teratur dan ada waktu-waktu tertentu untuk belajar.")</f>
        <v>B Saya suka belajar saya teratur dan ada waktu-waktu tertentu untuk belajar.</v>
      </c>
      <c r="W118" s="105" t="str">
        <f>IFERROR(__xludf.DUMMYFUNCTION("""COMPUTED_VALUE"""),"B Saya ingin kegiatan itu teratur dan direncanakan.")</f>
        <v>B Saya ingin kegiatan itu teratur dan direncanakan.</v>
      </c>
      <c r="X118" s="105" t="str">
        <f>IFERROR(__xludf.DUMMYFUNCTION("""COMPUTED_VALUE"""),"B Saya ingin agar hidup saya teratur sesuai cita-cita saya.")</f>
        <v>B Saya ingin agar hidup saya teratur sesuai cita-cita saya.</v>
      </c>
      <c r="Y118" s="105" t="str">
        <f>IFERROR(__xludf.DUMMYFUNCTION("""COMPUTED_VALUE"""),"B Saya senang merencanakan untuk masa depan.")</f>
        <v>B Saya senang merencanakan untuk masa depan.</v>
      </c>
      <c r="Z118" s="105" t="str">
        <f>IFERROR(__xludf.DUMMYFUNCTION("""COMPUTED_VALUE"""),"A Saya ingin berhasil dengan belajar yang saya lakukan.")</f>
        <v>A Saya ingin berhasil dengan belajar yang saya lakukan.</v>
      </c>
      <c r="AA118" s="105" t="str">
        <f>IFERROR(__xludf.DUMMYFUNCTION("""COMPUTED_VALUE"""),"B Saya tidak suka pada orang yang berbuat seenaknya sendiri.")</f>
        <v>B Saya tidak suka pada orang yang berbuat seenaknya sendiri.</v>
      </c>
      <c r="AB118" s="105" t="str">
        <f>IFERROR(__xludf.DUMMYFUNCTION("""COMPUTED_VALUE"""),"B Saya ingin menyelesaikan pekerjaan satu persatu sebelum memulai yang lain.")</f>
        <v>B Saya ingin menyelesaikan pekerjaan satu persatu sebelum memulai yang lain.</v>
      </c>
      <c r="AC118" s="105" t="str">
        <f>IFERROR(__xludf.DUMMYFUNCTION("""COMPUTED_VALUE"""),"B Saya suka melakukan kegiatan sesuai kondisi yang saya inginkan.")</f>
        <v>B Saya suka melakukan kegiatan sesuai kondisi yang saya inginkan.</v>
      </c>
      <c r="AD118" s="105" t="str">
        <f>IFERROR(__xludf.DUMMYFUNCTION("""COMPUTED_VALUE"""),"A Saya suka bermurah hati terhadap teman-teman saya.")</f>
        <v>A Saya suka bermurah hati terhadap teman-teman saya.</v>
      </c>
      <c r="AE118" s="105" t="str">
        <f>IFERROR(__xludf.DUMMYFUNCTION("""COMPUTED_VALUE"""),"A Saya ingin dianggap sebagai pemimpin oleh teman di kelompok.")</f>
        <v>A Saya ingin dianggap sebagai pemimpin oleh teman di kelompok.</v>
      </c>
      <c r="AF118" s="105" t="str">
        <f>IFERROR(__xludf.DUMMYFUNCTION("""COMPUTED_VALUE"""),"A Saya ingin agar teman-teman mengerti bila saya mengalami kesukaran.")</f>
        <v>A Saya ingin agar teman-teman mengerti bila saya mengalami kesukaran.</v>
      </c>
      <c r="AG118" s="105" t="str">
        <f>IFERROR(__xludf.DUMMYFUNCTION("""COMPUTED_VALUE"""),"B Saya ingin berhasil dengan tugas yang saya lakukan.")</f>
        <v>B Saya ingin berhasil dengan tugas yang saya lakukan.</v>
      </c>
      <c r="AH118" s="105" t="str">
        <f>IFERROR(__xludf.DUMMYFUNCTION("""COMPUTED_VALUE"""),"B Saya ingin merasa bebas untuk melakukan apa yang saya kehendaki.")</f>
        <v>B Saya ingin merasa bebas untuk melakukan apa yang saya kehendaki.</v>
      </c>
      <c r="AI118" s="105" t="str">
        <f>IFERROR(__xludf.DUMMYFUNCTION("""COMPUTED_VALUE"""),"B Saya suka melakukan kegiatan sesuai kondisi yang saya inginkan.")</f>
        <v>B Saya suka melakukan kegiatan sesuai kondisi yang saya inginkan.</v>
      </c>
      <c r="AJ118" s="105" t="str">
        <f>IFERROR(__xludf.DUMMYFUNCTION("""COMPUTED_VALUE"""),"A Saya rasanya ingin membalas dendam bila seseorang menghina saya.")</f>
        <v>A Saya rasanya ingin membalas dendam bila seseorang menghina saya.</v>
      </c>
      <c r="AK118" s="105" t="str">
        <f>IFERROR(__xludf.DUMMYFUNCTION("""COMPUTED_VALUE"""),"B Bila saya harus melakukan suatu tugas, saya ingin mengerjakan sampai selesai.")</f>
        <v>B Bila saya harus melakukan suatu tugas, saya ingin mengerjakan sampai selesai.</v>
      </c>
      <c r="AL118" s="105" t="str">
        <f>IFERROR(__xludf.DUMMYFUNCTION("""COMPUTED_VALUE"""),"B Saya ingin menghindarkan gangguan bila saya sedang belajar.")</f>
        <v>B Saya ingin menghindarkan gangguan bila saya sedang belajar.</v>
      </c>
      <c r="AM118" s="105" t="str">
        <f>IFERROR(__xludf.DUMMYFUNCTION("""COMPUTED_VALUE"""),"A Saya ingin teman-teman saya merasa kasihan pada saya apabila saya sakit.")</f>
        <v>A Saya ingin teman-teman saya merasa kasihan pada saya apabila saya sakit.</v>
      </c>
      <c r="AN118" s="105" t="str">
        <f>IFERROR(__xludf.DUMMYFUNCTION("""COMPUTED_VALUE"""),"A Saya tidak suka pada orang yang semena-mena.")</f>
        <v>A Saya tidak suka pada orang yang semena-mena.</v>
      </c>
      <c r="AO118" s="105" t="str">
        <f>IFERROR(__xludf.DUMMYFUNCTION("""COMPUTED_VALUE"""),"A Saya suka berlaku sangat ramah terhadap teman-teman saya.")</f>
        <v>A Saya suka berlaku sangat ramah terhadap teman-teman saya.</v>
      </c>
      <c r="AP118" s="105" t="str">
        <f>IFERROR(__xludf.DUMMYFUNCTION("""COMPUTED_VALUE"""),"A Saya ingin mengerjakannya tugas sampai selesai.")</f>
        <v>A Saya ingin mengerjakannya tugas sampai selesai.</v>
      </c>
      <c r="AQ118" s="105" t="str">
        <f>IFERROR(__xludf.DUMMYFUNCTION("""COMPUTED_VALUE"""),"A Saya ingin bisa mengerjakan segala sesuatu lebih baik daripada orang-orang lain.")</f>
        <v>A Saya ingin bisa mengerjakan segala sesuatu lebih baik daripada orang-orang lain.</v>
      </c>
      <c r="AR118" s="105" t="str">
        <f>IFERROR(__xludf.DUMMYFUNCTION("""COMPUTED_VALUE"""),"A Saya suka menyimpan catatan secara rapi.")</f>
        <v>A Saya suka menyimpan catatan secara rapi.</v>
      </c>
      <c r="AS118" s="105" t="str">
        <f>IFERROR(__xludf.DUMMYFUNCTION("""COMPUTED_VALUE"""),"A Saya ingin dapat menyelesaikan persoalan yang dianggap sukar bagi orang lain.")</f>
        <v>A Saya ingin dapat menyelesaikan persoalan yang dianggap sukar bagi orang lain.</v>
      </c>
      <c r="AT118" s="105" t="str">
        <f>IFERROR(__xludf.DUMMYFUNCTION("""COMPUTED_VALUE"""),"B Saya suka membantu orang lain yang menurut saya perlu dikasihani.")</f>
        <v>B Saya suka membantu orang lain yang menurut saya perlu dikasihani.</v>
      </c>
      <c r="AU118" s="105" t="str">
        <f>IFERROR(__xludf.DUMMYFUNCTION("""COMPUTED_VALUE"""),"A Saya ingin menyelesaikan pekerjaan satu persatu sebelum memulai yang lain.")</f>
        <v>A Saya ingin menyelesaikan pekerjaan satu persatu sebelum memulai yang lain.</v>
      </c>
      <c r="AV118" s="105" t="str">
        <f>IFERROR(__xludf.DUMMYFUNCTION("""COMPUTED_VALUE"""),"A Saya ingin merasa bebas untuk melakukan apa yang saya kehendaki.")</f>
        <v>A Saya ingin merasa bebas untuk melakukan apa yang saya kehendaki.</v>
      </c>
      <c r="AW118" s="105" t="str">
        <f>IFERROR(__xludf.DUMMYFUNCTION("""COMPUTED_VALUE"""),"A Saya ingin mengerjakan tugas sampai selesai.")</f>
        <v>A Saya ingin mengerjakan tugas sampai selesai.</v>
      </c>
      <c r="AX118" s="105" t="str">
        <f>IFERROR(__xludf.DUMMYFUNCTION("""COMPUTED_VALUE"""),"B Saya suka memaafkan teman-teman saya yang menyakiti hati saya.")</f>
        <v>B Saya suka memaafkan teman-teman saya yang menyakiti hati saya.</v>
      </c>
      <c r="AY118" s="105" t="str">
        <f>IFERROR(__xludf.DUMMYFUNCTION("""COMPUTED_VALUE"""),"A Saya rasanya ingin marah saat tidak sesuai dengan hati.")</f>
        <v>A Saya rasanya ingin marah saat tidak sesuai dengan hati.</v>
      </c>
      <c r="AZ118" s="105" t="str">
        <f>IFERROR(__xludf.DUMMYFUNCTION("""COMPUTED_VALUE"""),"A Saya ingin agar teman-teman saya bersimpati dan menghibur saya bila saya sedih.")</f>
        <v>A Saya ingin agar teman-teman saya bersimpati dan menghibur saya bila saya sedih.</v>
      </c>
      <c r="BA118" s="105" t="str">
        <f>IFERROR(__xludf.DUMMYFUNCTION("""COMPUTED_VALUE"""),"B Saya suka memperlakukan orang lain dengan baik dan ramah.")</f>
        <v>B Saya suka memperlakukan orang lain dengan baik dan ramah.</v>
      </c>
      <c r="BB118" s="105" t="str">
        <f>IFERROR(__xludf.DUMMYFUNCTION("""COMPUTED_VALUE"""),"A Saya berkeinginan untuk bersama orang yang menarik bagi saya.")</f>
        <v>A Saya berkeinginan untuk bersama orang yang menarik bagi saya.</v>
      </c>
      <c r="BC118" s="105" t="str">
        <f>IFERROR(__xludf.DUMMYFUNCTION("""COMPUTED_VALUE"""),"A Saya rasanya ingin mengecam seseorang bila orang itu menjengkelkan.")</f>
        <v>A Saya rasanya ingin mengecam seseorang bila orang itu menjengkelkan.</v>
      </c>
      <c r="BD118" s="105" t="str">
        <f>IFERROR(__xludf.DUMMYFUNCTION("""COMPUTED_VALUE"""),"A Saya rasanya ingin menyalahkan orang lain bila keadaan tidak baik bagi saya.")</f>
        <v>A Saya rasanya ingin menyalahkan orang lain bila keadaan tidak baik bagi saya.</v>
      </c>
      <c r="BE118" s="105" t="str">
        <f>IFERROR(__xludf.DUMMYFUNCTION("""COMPUTED_VALUE"""),"B Saya ingin orang lain melakukan apa yang saya kehendaki.")</f>
        <v>B Saya ingin orang lain melakukan apa yang saya kehendaki.</v>
      </c>
      <c r="BF118" s="105" t="str">
        <f>IFERROR(__xludf.DUMMYFUNCTION("""COMPUTED_VALUE"""),"B Bila saya dalam kelompok, saya ingin menentukan apa yang akan kita lakukan.")</f>
        <v>B Bila saya dalam kelompok, saya ingin menentukan apa yang akan kita lakukan.</v>
      </c>
      <c r="BG118" s="105" t="str">
        <f>IFERROR(__xludf.DUMMYFUNCTION("""COMPUTED_VALUE"""),"A Saya ingin teman-teman banyak menunjukkan rasa sayang mereka terhadap saya.")</f>
        <v>A Saya ingin teman-teman banyak menunjukkan rasa sayang mereka terhadap saya.</v>
      </c>
      <c r="BH118" s="105" t="str">
        <f>IFERROR(__xludf.DUMMYFUNCTION("""COMPUTED_VALUE"""),"B Apabila saya berkumpul dalam kelompok, saya ingin dihargai teman-teman.")</f>
        <v>B Apabila saya berkumpul dalam kelompok, saya ingin dihargai teman-teman.</v>
      </c>
      <c r="BI118" s="105" t="str">
        <f>IFERROR(__xludf.DUMMYFUNCTION("""COMPUTED_VALUE"""),"A Saya suka bermurah hati terhadap teman-teman saya.")</f>
        <v>A Saya suka bermurah hati terhadap teman-teman saya.</v>
      </c>
      <c r="BJ118" s="105" t="str">
        <f>IFERROR(__xludf.DUMMYFUNCTION("""COMPUTED_VALUE"""),"B Saya ingin menjadi pemimpin dalam kelompok di mana saya ada di situ")</f>
        <v>B Saya ingin menjadi pemimpin dalam kelompok di mana saya ada di situ</v>
      </c>
      <c r="BK118" s="105" t="str">
        <f>IFERROR(__xludf.DUMMYFUNCTION("""COMPUTED_VALUE"""),"A Saya ingin menyelesaikan pekerjaan satu persatu sebelum memulai yang lain.")</f>
        <v>A Saya ingin menyelesaikan pekerjaan satu persatu sebelum memulai yang lain.</v>
      </c>
      <c r="BL118" s="105" t="str">
        <f>IFERROR(__xludf.DUMMYFUNCTION("""COMPUTED_VALUE"""),"A Saya suka belajar saya teratur dan ada waktu-waktu tertentu untuk belajar.")</f>
        <v>A Saya suka belajar saya teratur dan ada waktu-waktu tertentu untuk belajar.</v>
      </c>
      <c r="BM118" s="105" t="str">
        <f>IFERROR(__xludf.DUMMYFUNCTION("""COMPUTED_VALUE"""),"A Saya suka melakukan pekerjaan sebaik mungkin.")</f>
        <v>A Saya suka melakukan pekerjaan sebaik mungkin.</v>
      </c>
      <c r="BN118" s="105" t="str">
        <f>IFERROR(__xludf.DUMMYFUNCTION("""COMPUTED_VALUE"""),"B Saya ingin teman-teman memberi dorongan bila saya menghadapi kegagalan.")</f>
        <v>B Saya ingin teman-teman memberi dorongan bila saya menghadapi kegagalan.</v>
      </c>
      <c r="BO118" s="105" t="str">
        <f>IFERROR(__xludf.DUMMYFUNCTION("""COMPUTED_VALUE"""),"B Saya ingin diperlakukan dengan baik oleh teman-teman saya.")</f>
        <v>B Saya ingin diperlakukan dengan baik oleh teman-teman saya.</v>
      </c>
      <c r="BP118" s="105" t="str">
        <f>IFERROR(__xludf.DUMMYFUNCTION("""COMPUTED_VALUE"""),"B Saya ingin teman-teman saya merasa kasihan pada saya apabila saya sakit.")</f>
        <v>B Saya ingin teman-teman saya merasa kasihan pada saya apabila saya sakit.</v>
      </c>
      <c r="BQ118" s="105" t="str">
        <f>IFERROR(__xludf.DUMMYFUNCTION("""COMPUTED_VALUE"""),"B Saya ingin agar teman-teman menceritakan diri saya apabila saya sakit.")</f>
        <v>B Saya ingin agar teman-teman menceritakan diri saya apabila saya sakit.</v>
      </c>
      <c r="BR118" s="105" t="str">
        <f>IFERROR(__xludf.DUMMYFUNCTION("""COMPUTED_VALUE"""),"B Saya ingin agar teman-teman saya bersimpati dan menghibur saya bila saya sedih.")</f>
        <v>B Saya ingin agar teman-teman saya bersimpati dan menghibur saya bila saya sedih.</v>
      </c>
      <c r="BS118" s="105" t="str">
        <f>IFERROR(__xludf.DUMMYFUNCTION("""COMPUTED_VALUE"""),"B Saya ingin teman-teman saya membantu saya bila saya mengalami kesulitan")</f>
        <v>B Saya ingin teman-teman saya membantu saya bila saya mengalami kesulitan</v>
      </c>
      <c r="BT118" s="105" t="str">
        <f>IFERROR(__xludf.DUMMYFUNCTION("""COMPUTED_VALUE"""),"B Saya ingin teman-teman banyak menunjukkan rasa sayang mereka terhadap saya.")</f>
        <v>B Saya ingin teman-teman banyak menunjukkan rasa sayang mereka terhadap saya.</v>
      </c>
      <c r="BU118" s="105" t="str">
        <f>IFERROR(__xludf.DUMMYFUNCTION("""COMPUTED_VALUE"""),"A Saya kadang-kadang suka melakukan hal-hal yang dapat dipuji oleh orang lain.")</f>
        <v>A Saya kadang-kadang suka melakukan hal-hal yang dapat dipuji oleh orang lain.</v>
      </c>
      <c r="BV118" s="105" t="str">
        <f>IFERROR(__xludf.DUMMYFUNCTION("""COMPUTED_VALUE"""),"A Saya ingin dianggap menarik oleh orang lain.")</f>
        <v>A Saya ingin dianggap menarik oleh orang lain.</v>
      </c>
      <c r="BW118" s="105" t="str">
        <f>IFERROR(__xludf.DUMMYFUNCTION("""COMPUTED_VALUE"""),"B Saya ingin diperlakukan dengan baik oleh teman-teman saya.")</f>
        <v>B Saya ingin diperlakukan dengan baik oleh teman-teman saya.</v>
      </c>
      <c r="BX118" s="105" t="str">
        <f>IFERROR(__xludf.DUMMYFUNCTION("""COMPUTED_VALUE"""),"B Saya kadang-kadang suka melakukan hal-hal yang dapat dipuji oleh orang lain.")</f>
        <v>B Saya kadang-kadang suka melakukan hal-hal yang dapat dipuji oleh orang lain.</v>
      </c>
      <c r="BY118" s="105" t="str">
        <f>IFERROR(__xludf.DUMMYFUNCTION("""COMPUTED_VALUE"""),"A Saya suka melamun atau membayangkan hal-hal yang tidak jelas.")</f>
        <v>A Saya suka melamun atau membayangkan hal-hal yang tidak jelas.</v>
      </c>
      <c r="BZ118" s="105" t="str">
        <f>IFERROR(__xludf.DUMMYFUNCTION("""COMPUTED_VALUE"""),"A Saya suka berkata yang artinya sulit dipahami oleh orang lain.")</f>
        <v>A Saya suka berkata yang artinya sulit dipahami oleh orang lain.</v>
      </c>
      <c r="CA118" s="105" t="str">
        <f>IFERROR(__xludf.DUMMYFUNCTION("""COMPUTED_VALUE"""),"A Saya ingin teman-teman dengan gembira memberikan pertolongan kepada saya.")</f>
        <v>A Saya ingin teman-teman dengan gembira memberikan pertolongan kepada saya.</v>
      </c>
      <c r="CB118" s="105" t="str">
        <f>IFERROR(__xludf.DUMMYFUNCTION("""COMPUTED_VALUE"""),"A Saya suka menghindar dari tanggung jawab yang tidak saya inginkan.")</f>
        <v>A Saya suka menghindar dari tanggung jawab yang tidak saya inginkan.</v>
      </c>
      <c r="CC118" s="105" t="str">
        <f>IFERROR(__xludf.DUMMYFUNCTION("""COMPUTED_VALUE"""),"A Apabila saya berkumpul dalam kelompok, saya ingin dihargai teman-teman.")</f>
        <v>A Apabila saya berkumpul dalam kelompok, saya ingin dihargai teman-teman.</v>
      </c>
      <c r="CD118" s="105" t="str">
        <f>IFERROR(__xludf.DUMMYFUNCTION("""COMPUTED_VALUE"""),"B Saya suka berkata yang artinya sulit dipahami oleh orang lain.")</f>
        <v>B Saya suka berkata yang artinya sulit dipahami oleh orang lain.</v>
      </c>
      <c r="CE118" s="105" t="str">
        <f>IFERROR(__xludf.DUMMYFUNCTION("""COMPUTED_VALUE"""),"B Saya kadang-kadang suka melakukan hal-hal yang dapat dipuji oleh orang lain.")</f>
        <v>B Saya kadang-kadang suka melakukan hal-hal yang dapat dipuji oleh orang lain.</v>
      </c>
      <c r="CF118" s="105" t="str">
        <f>IFERROR(__xludf.DUMMYFUNCTION("""COMPUTED_VALUE"""),"B Saya ingin orang lain memperhatikan dan berkomentar tentang penampilan saya.")</f>
        <v>B Saya ingin orang lain memperhatikan dan berkomentar tentang penampilan saya.</v>
      </c>
      <c r="CG118" s="105" t="str">
        <f>IFERROR(__xludf.DUMMYFUNCTION("""COMPUTED_VALUE"""),"A Saya ingin berhasil dalam apa yang saya lakukan.")</f>
        <v>A Saya ingin berhasil dalam apa yang saya lakukan.</v>
      </c>
      <c r="CH118" s="105" t="str">
        <f>IFERROR(__xludf.DUMMYFUNCTION("""COMPUTED_VALUE"""),"B Saya suka dengan orang yang berpenampilan menarik.")</f>
        <v>B Saya suka dengan orang yang berpenampilan menarik.</v>
      </c>
      <c r="CI118" s="105" t="str">
        <f>IFERROR(__xludf.DUMMYFUNCTION("""COMPUTED_VALUE"""),"B Saya ingin dianggap menarik oleh orang lain.")</f>
        <v>B Saya ingin dianggap menarik oleh orang lain.</v>
      </c>
      <c r="CJ118" s="105" t="str">
        <f>IFERROR(__xludf.DUMMYFUNCTION("""COMPUTED_VALUE"""),"A Saya ingin tidak tergantung dari orang lain terhadap apa yang akan saya lakukan.")</f>
        <v>A Saya ingin tidak tergantung dari orang lain terhadap apa yang akan saya lakukan.</v>
      </c>
      <c r="CK118" s="105" t="str">
        <f>IFERROR(__xludf.DUMMYFUNCTION("""COMPUTED_VALUE"""),"B Saya senang ikut beraktivitas bersama teman sebaya saya.")</f>
        <v>B Saya senang ikut beraktivitas bersama teman sebaya saya.</v>
      </c>
      <c r="CL118" s="105" t="str">
        <f>IFERROR(__xludf.DUMMYFUNCTION("""COMPUTED_VALUE"""),"B Saya berkeinginan untuk bersama teman yang menurut saya menarik.")</f>
        <v>B Saya berkeinginan untuk bersama teman yang menurut saya menarik.</v>
      </c>
      <c r="CM118" s="105" t="str">
        <f>IFERROR(__xludf.DUMMYFUNCTION("""COMPUTED_VALUE"""),"B Saya merasa kagum pada seseorang.")</f>
        <v>B Saya merasa kagum pada seseorang.</v>
      </c>
      <c r="CN118" s="105" t="str">
        <f>IFERROR(__xludf.DUMMYFUNCTION("""COMPUTED_VALUE"""),"A Saya ingin diperlakukan dengan baik oleh teman-teman saya.")</f>
        <v>A Saya ingin diperlakukan dengan baik oleh teman-teman saya.</v>
      </c>
      <c r="CO118" s="105" t="str">
        <f>IFERROR(__xludf.DUMMYFUNCTION("""COMPUTED_VALUE"""),"B Saya suka memuji orang yang saya kagumi.")</f>
        <v>B Saya suka memuji orang yang saya kagumi.</v>
      </c>
      <c r="CP118" s="105" t="str">
        <f>IFERROR(__xludf.DUMMYFUNCTION("""COMPUTED_VALUE"""),"B Saya ingin dianggap menarik oleh orang lain.")</f>
        <v>B Saya ingin dianggap menarik oleh orang lain.</v>
      </c>
      <c r="CQ118" s="105" t="str">
        <f>IFERROR(__xludf.DUMMYFUNCTION("""COMPUTED_VALUE"""),"B Saya merasa kagum pada seseorang.")</f>
        <v>B Saya merasa kagum pada seseorang.</v>
      </c>
      <c r="CR118" s="105" t="str">
        <f>IFERROR(__xludf.DUMMYFUNCTION("""COMPUTED_VALUE"""),"B Saya rasanya ingin mengecam seseorang bila orang itu menjengkelkan.")</f>
        <v>B Saya rasanya ingin mengecam seseorang bila orang itu menjengkelkan.</v>
      </c>
      <c r="CS118" s="105" t="str">
        <f>IFERROR(__xludf.DUMMYFUNCTION("""COMPUTED_VALUE"""),"A Saya ingin terlihat menarik di depan teman-teman saya.")</f>
        <v>A Saya ingin terlihat menarik di depan teman-teman saya.</v>
      </c>
      <c r="CT118" s="105" t="str">
        <f>IFERROR(__xludf.DUMMYFUNCTION("""COMPUTED_VALUE"""),"B Saya saat marah rasanya ingin melemparkan dan merusak barang-barang.")</f>
        <v>B Saya saat marah rasanya ingin melemparkan dan merusak barang-barang.</v>
      </c>
      <c r="CU118" s="105" t="str">
        <f>IFERROR(__xludf.DUMMYFUNCTION("""COMPUTED_VALUE"""),"A Saya ingin diperlakukan dengan ramah oleh teman-teman saya.")</f>
        <v>A Saya ingin diperlakukan dengan ramah oleh teman-teman saya.</v>
      </c>
      <c r="CV118" s="105" t="str">
        <f>IFERROR(__xludf.DUMMYFUNCTION("""COMPUTED_VALUE"""),"A Saya ingin ditunjuk atau dipilih sebagai ketua dalam suatu kelompok.")</f>
        <v>A Saya ingin ditunjuk atau dipilih sebagai ketua dalam suatu kelompok.</v>
      </c>
      <c r="CW118" s="105" t="str">
        <f>IFERROR(__xludf.DUMMYFUNCTION("""COMPUTED_VALUE"""),"A Saya suka menolong teman-teman saya, apabila mereka dalam kesulitan.")</f>
        <v>A Saya suka menolong teman-teman saya, apabila mereka dalam kesulitan.</v>
      </c>
      <c r="CX118" s="105" t="str">
        <f>IFERROR(__xludf.DUMMYFUNCTION("""COMPUTED_VALUE"""),"B Saya ingin memperolok-olok orang yang saya anggap melakukan tindakan bodoh.")</f>
        <v>B Saya ingin memperolok-olok orang yang saya anggap melakukan tindakan bodoh.</v>
      </c>
      <c r="CY118" s="105" t="str">
        <f>IFERROR(__xludf.DUMMYFUNCTION("""COMPUTED_VALUE"""),"B Saya rasanya ingin membalas dendam bila seseorang menghina saya.")</f>
        <v>B Saya rasanya ingin membalas dendam bila seseorang menghina saya.</v>
      </c>
      <c r="CZ118" s="105" t="str">
        <f>IFERROR(__xludf.DUMMYFUNCTION("""COMPUTED_VALUE"""),"A Saya suka merencanakan dan mengatur setiap pekerjaan yang harus saya lakukan.")</f>
        <v>A Saya suka merencanakan dan mengatur setiap pekerjaan yang harus saya lakukan.</v>
      </c>
      <c r="DA118" s="105" t="str">
        <f>IFERROR(__xludf.DUMMYFUNCTION("""COMPUTED_VALUE"""),"A Saya ingin melakukan apa saja sebaik mungkin.")</f>
        <v>A Saya ingin melakukan apa saja sebaik mungkin.</v>
      </c>
      <c r="DB118" s="89" t="s">
        <v>23</v>
      </c>
      <c r="DC118" s="97" t="str">
        <f t="shared" ref="DC118:GX118" si="163">LEFT(F118,1)</f>
        <v>B</v>
      </c>
      <c r="DD118" s="97" t="str">
        <f t="shared" si="163"/>
        <v>A</v>
      </c>
      <c r="DE118" s="97" t="str">
        <f t="shared" si="163"/>
        <v>B</v>
      </c>
      <c r="DF118" s="97" t="str">
        <f t="shared" si="163"/>
        <v>B</v>
      </c>
      <c r="DG118" s="97" t="str">
        <f t="shared" si="163"/>
        <v>B</v>
      </c>
      <c r="DH118" s="97" t="str">
        <f t="shared" si="163"/>
        <v>B</v>
      </c>
      <c r="DI118" s="97" t="str">
        <f t="shared" si="163"/>
        <v>B</v>
      </c>
      <c r="DJ118" s="97" t="str">
        <f t="shared" si="163"/>
        <v>A</v>
      </c>
      <c r="DK118" s="97" t="str">
        <f t="shared" si="163"/>
        <v>A</v>
      </c>
      <c r="DL118" s="97" t="str">
        <f t="shared" si="163"/>
        <v>B</v>
      </c>
      <c r="DM118" s="97" t="str">
        <f t="shared" si="163"/>
        <v>B</v>
      </c>
      <c r="DN118" s="97" t="str">
        <f t="shared" si="163"/>
        <v>A</v>
      </c>
      <c r="DO118" s="97" t="str">
        <f t="shared" si="163"/>
        <v>B</v>
      </c>
      <c r="DP118" s="97" t="str">
        <f t="shared" si="163"/>
        <v>B</v>
      </c>
      <c r="DQ118" s="97" t="str">
        <f t="shared" si="163"/>
        <v>B</v>
      </c>
      <c r="DR118" s="97" t="str">
        <f t="shared" si="163"/>
        <v>B</v>
      </c>
      <c r="DS118" s="97" t="str">
        <f t="shared" si="163"/>
        <v>B</v>
      </c>
      <c r="DT118" s="97" t="str">
        <f t="shared" si="163"/>
        <v>B</v>
      </c>
      <c r="DU118" s="97" t="str">
        <f t="shared" si="163"/>
        <v>B</v>
      </c>
      <c r="DV118" s="97" t="str">
        <f t="shared" si="163"/>
        <v>B</v>
      </c>
      <c r="DW118" s="97" t="str">
        <f t="shared" si="163"/>
        <v>A</v>
      </c>
      <c r="DX118" s="97" t="str">
        <f t="shared" si="163"/>
        <v>B</v>
      </c>
      <c r="DY118" s="97" t="str">
        <f t="shared" si="163"/>
        <v>B</v>
      </c>
      <c r="DZ118" s="97" t="str">
        <f t="shared" si="163"/>
        <v>B</v>
      </c>
      <c r="EA118" s="97" t="str">
        <f t="shared" si="163"/>
        <v>A</v>
      </c>
      <c r="EB118" s="97" t="str">
        <f t="shared" si="163"/>
        <v>A</v>
      </c>
      <c r="EC118" s="97" t="str">
        <f t="shared" si="163"/>
        <v>A</v>
      </c>
      <c r="ED118" s="97" t="str">
        <f t="shared" si="163"/>
        <v>B</v>
      </c>
      <c r="EE118" s="97" t="str">
        <f t="shared" si="163"/>
        <v>B</v>
      </c>
      <c r="EF118" s="97" t="str">
        <f t="shared" si="163"/>
        <v>B</v>
      </c>
      <c r="EG118" s="97" t="str">
        <f t="shared" si="163"/>
        <v>A</v>
      </c>
      <c r="EH118" s="97" t="str">
        <f t="shared" si="163"/>
        <v>B</v>
      </c>
      <c r="EI118" s="97" t="str">
        <f t="shared" si="163"/>
        <v>B</v>
      </c>
      <c r="EJ118" s="97" t="str">
        <f t="shared" si="163"/>
        <v>A</v>
      </c>
      <c r="EK118" s="97" t="str">
        <f t="shared" si="163"/>
        <v>A</v>
      </c>
      <c r="EL118" s="97" t="str">
        <f t="shared" si="163"/>
        <v>A</v>
      </c>
      <c r="EM118" s="97" t="str">
        <f t="shared" si="163"/>
        <v>A</v>
      </c>
      <c r="EN118" s="97" t="str">
        <f t="shared" si="163"/>
        <v>A</v>
      </c>
      <c r="EO118" s="97" t="str">
        <f t="shared" si="163"/>
        <v>A</v>
      </c>
      <c r="EP118" s="97" t="str">
        <f t="shared" si="163"/>
        <v>A</v>
      </c>
      <c r="EQ118" s="97" t="str">
        <f t="shared" si="163"/>
        <v>B</v>
      </c>
      <c r="ER118" s="97" t="str">
        <f t="shared" si="163"/>
        <v>A</v>
      </c>
      <c r="ES118" s="97" t="str">
        <f t="shared" si="163"/>
        <v>A</v>
      </c>
      <c r="ET118" s="97" t="str">
        <f t="shared" si="163"/>
        <v>A</v>
      </c>
      <c r="EU118" s="97" t="str">
        <f t="shared" si="163"/>
        <v>B</v>
      </c>
      <c r="EV118" s="97" t="str">
        <f t="shared" si="163"/>
        <v>A</v>
      </c>
      <c r="EW118" s="97" t="str">
        <f t="shared" si="163"/>
        <v>A</v>
      </c>
      <c r="EX118" s="97" t="str">
        <f t="shared" si="163"/>
        <v>B</v>
      </c>
      <c r="EY118" s="97" t="str">
        <f t="shared" si="163"/>
        <v>A</v>
      </c>
      <c r="EZ118" s="97" t="str">
        <f t="shared" si="163"/>
        <v>A</v>
      </c>
      <c r="FA118" s="97" t="str">
        <f t="shared" si="163"/>
        <v>A</v>
      </c>
      <c r="FB118" s="97" t="str">
        <f t="shared" si="163"/>
        <v>B</v>
      </c>
      <c r="FC118" s="97" t="str">
        <f t="shared" si="163"/>
        <v>B</v>
      </c>
      <c r="FD118" s="97" t="str">
        <f t="shared" si="163"/>
        <v>A</v>
      </c>
      <c r="FE118" s="97" t="str">
        <f t="shared" si="163"/>
        <v>B</v>
      </c>
      <c r="FF118" s="97" t="str">
        <f t="shared" si="163"/>
        <v>A</v>
      </c>
      <c r="FG118" s="97" t="str">
        <f t="shared" si="163"/>
        <v>B</v>
      </c>
      <c r="FH118" s="97" t="str">
        <f t="shared" si="163"/>
        <v>A</v>
      </c>
      <c r="FI118" s="97" t="str">
        <f t="shared" si="163"/>
        <v>A</v>
      </c>
      <c r="FJ118" s="97" t="str">
        <f t="shared" si="163"/>
        <v>A</v>
      </c>
      <c r="FK118" s="97" t="str">
        <f t="shared" si="163"/>
        <v>B</v>
      </c>
      <c r="FL118" s="97" t="str">
        <f t="shared" si="163"/>
        <v>B</v>
      </c>
      <c r="FM118" s="97" t="str">
        <f t="shared" si="163"/>
        <v>B</v>
      </c>
      <c r="FN118" s="97" t="str">
        <f t="shared" si="163"/>
        <v>B</v>
      </c>
      <c r="FO118" s="97" t="str">
        <f t="shared" si="163"/>
        <v>B</v>
      </c>
      <c r="FP118" s="97" t="str">
        <f t="shared" si="163"/>
        <v>B</v>
      </c>
      <c r="FQ118" s="97" t="str">
        <f t="shared" si="163"/>
        <v>B</v>
      </c>
      <c r="FR118" s="97" t="str">
        <f t="shared" si="163"/>
        <v>A</v>
      </c>
      <c r="FS118" s="97" t="str">
        <f t="shared" si="163"/>
        <v>A</v>
      </c>
      <c r="FT118" s="97" t="str">
        <f t="shared" si="163"/>
        <v>B</v>
      </c>
      <c r="FU118" s="97" t="str">
        <f t="shared" si="163"/>
        <v>B</v>
      </c>
      <c r="FV118" s="97" t="str">
        <f t="shared" si="163"/>
        <v>A</v>
      </c>
      <c r="FW118" s="97" t="str">
        <f t="shared" si="163"/>
        <v>A</v>
      </c>
      <c r="FX118" s="97" t="str">
        <f t="shared" si="163"/>
        <v>A</v>
      </c>
      <c r="FY118" s="97" t="str">
        <f t="shared" si="163"/>
        <v>A</v>
      </c>
      <c r="FZ118" s="97" t="str">
        <f t="shared" si="163"/>
        <v>A</v>
      </c>
      <c r="GA118" s="97" t="str">
        <f t="shared" si="163"/>
        <v>B</v>
      </c>
      <c r="GB118" s="97" t="str">
        <f t="shared" si="163"/>
        <v>B</v>
      </c>
      <c r="GC118" s="97" t="str">
        <f t="shared" si="163"/>
        <v>B</v>
      </c>
      <c r="GD118" s="97" t="str">
        <f t="shared" si="163"/>
        <v>A</v>
      </c>
      <c r="GE118" s="97" t="str">
        <f t="shared" si="163"/>
        <v>B</v>
      </c>
      <c r="GF118" s="97" t="str">
        <f t="shared" si="163"/>
        <v>B</v>
      </c>
      <c r="GG118" s="97" t="str">
        <f t="shared" si="163"/>
        <v>A</v>
      </c>
      <c r="GH118" s="97" t="str">
        <f t="shared" si="163"/>
        <v>B</v>
      </c>
      <c r="GI118" s="97" t="str">
        <f t="shared" si="163"/>
        <v>B</v>
      </c>
      <c r="GJ118" s="97" t="str">
        <f t="shared" si="163"/>
        <v>B</v>
      </c>
      <c r="GK118" s="97" t="str">
        <f t="shared" si="163"/>
        <v>A</v>
      </c>
      <c r="GL118" s="97" t="str">
        <f t="shared" si="163"/>
        <v>B</v>
      </c>
      <c r="GM118" s="97" t="str">
        <f t="shared" si="163"/>
        <v>B</v>
      </c>
      <c r="GN118" s="97" t="str">
        <f t="shared" si="163"/>
        <v>B</v>
      </c>
      <c r="GO118" s="97" t="str">
        <f t="shared" si="163"/>
        <v>B</v>
      </c>
      <c r="GP118" s="97" t="str">
        <f t="shared" si="163"/>
        <v>A</v>
      </c>
      <c r="GQ118" s="97" t="str">
        <f t="shared" si="163"/>
        <v>B</v>
      </c>
      <c r="GR118" s="97" t="str">
        <f t="shared" si="163"/>
        <v>A</v>
      </c>
      <c r="GS118" s="97" t="str">
        <f t="shared" si="163"/>
        <v>A</v>
      </c>
      <c r="GT118" s="97" t="str">
        <f t="shared" si="163"/>
        <v>A</v>
      </c>
      <c r="GU118" s="97" t="str">
        <f t="shared" si="163"/>
        <v>B</v>
      </c>
      <c r="GV118" s="97" t="str">
        <f t="shared" si="163"/>
        <v>B</v>
      </c>
      <c r="GW118" s="97" t="str">
        <f t="shared" si="163"/>
        <v>A</v>
      </c>
      <c r="GX118" s="97" t="str">
        <f t="shared" si="163"/>
        <v>A</v>
      </c>
      <c r="GY118" s="98"/>
      <c r="GZ118" s="97">
        <f t="shared" si="3"/>
        <v>45</v>
      </c>
      <c r="HA118" s="97">
        <f t="shared" si="4"/>
        <v>55</v>
      </c>
      <c r="HB118" s="90">
        <f t="shared" si="5"/>
        <v>100</v>
      </c>
      <c r="HC118" s="99"/>
      <c r="HD118" s="97">
        <f t="shared" si="6"/>
        <v>5</v>
      </c>
      <c r="HE118" s="97">
        <f t="shared" si="7"/>
        <v>6</v>
      </c>
      <c r="HF118" s="90">
        <f t="shared" si="8"/>
        <v>11</v>
      </c>
      <c r="HG118" s="99"/>
      <c r="HH118" s="97">
        <f t="shared" si="9"/>
        <v>5</v>
      </c>
      <c r="HI118" s="97">
        <f t="shared" si="10"/>
        <v>9</v>
      </c>
      <c r="HJ118" s="90">
        <f t="shared" si="11"/>
        <v>14</v>
      </c>
      <c r="HK118" s="99"/>
      <c r="HL118" s="97">
        <f t="shared" si="12"/>
        <v>4</v>
      </c>
      <c r="HM118" s="97">
        <f t="shared" si="13"/>
        <v>6</v>
      </c>
      <c r="HN118" s="90">
        <f t="shared" si="14"/>
        <v>10</v>
      </c>
      <c r="HO118" s="99"/>
      <c r="HP118" s="97">
        <f t="shared" si="15"/>
        <v>1</v>
      </c>
      <c r="HQ118" s="97">
        <f t="shared" si="16"/>
        <v>2</v>
      </c>
      <c r="HR118" s="90">
        <f t="shared" si="17"/>
        <v>3</v>
      </c>
      <c r="HS118" s="99"/>
      <c r="HT118" s="97">
        <f t="shared" si="18"/>
        <v>5</v>
      </c>
      <c r="HU118" s="97">
        <f t="shared" si="19"/>
        <v>3</v>
      </c>
      <c r="HV118" s="90">
        <f t="shared" si="20"/>
        <v>8</v>
      </c>
      <c r="HW118" s="99"/>
      <c r="HX118" s="97">
        <f t="shared" si="21"/>
        <v>5</v>
      </c>
      <c r="HY118" s="97">
        <f t="shared" si="22"/>
        <v>4</v>
      </c>
      <c r="HZ118" s="90">
        <f t="shared" si="23"/>
        <v>9</v>
      </c>
      <c r="IA118" s="99"/>
      <c r="IB118" s="97">
        <f t="shared" si="24"/>
        <v>7</v>
      </c>
      <c r="IC118" s="97">
        <f t="shared" si="25"/>
        <v>8</v>
      </c>
      <c r="ID118" s="90">
        <f t="shared" si="26"/>
        <v>15</v>
      </c>
      <c r="IE118" s="99"/>
      <c r="IF118" s="97">
        <f t="shared" si="27"/>
        <v>2</v>
      </c>
      <c r="IG118" s="97">
        <f t="shared" si="28"/>
        <v>4</v>
      </c>
      <c r="IH118" s="90">
        <f t="shared" si="29"/>
        <v>6</v>
      </c>
      <c r="II118" s="99"/>
      <c r="IJ118" s="97">
        <f t="shared" si="30"/>
        <v>6</v>
      </c>
      <c r="IK118" s="97">
        <f t="shared" si="31"/>
        <v>8</v>
      </c>
      <c r="IL118" s="90">
        <f t="shared" si="32"/>
        <v>14</v>
      </c>
      <c r="IM118" s="99"/>
      <c r="IN118" s="97">
        <f t="shared" si="33"/>
        <v>3</v>
      </c>
      <c r="IO118" s="97">
        <f t="shared" si="34"/>
        <v>4</v>
      </c>
      <c r="IP118" s="90">
        <f t="shared" si="35"/>
        <v>7</v>
      </c>
      <c r="IS118" s="100">
        <f t="shared" si="36"/>
        <v>11</v>
      </c>
      <c r="IT118" s="100">
        <f t="shared" si="37"/>
        <v>14</v>
      </c>
      <c r="IU118" s="100">
        <f t="shared" si="38"/>
        <v>10</v>
      </c>
      <c r="IV118" s="100">
        <f t="shared" si="39"/>
        <v>3</v>
      </c>
      <c r="IW118" s="100">
        <f t="shared" si="40"/>
        <v>8</v>
      </c>
      <c r="IX118" s="100">
        <f t="shared" si="41"/>
        <v>9</v>
      </c>
      <c r="IY118" s="100">
        <f t="shared" si="42"/>
        <v>15</v>
      </c>
      <c r="IZ118" s="100">
        <f t="shared" si="43"/>
        <v>6</v>
      </c>
      <c r="JA118" s="100">
        <f t="shared" si="44"/>
        <v>14</v>
      </c>
      <c r="JB118" s="101">
        <f t="shared" si="45"/>
        <v>7</v>
      </c>
      <c r="JC118" s="102">
        <f t="shared" si="46"/>
        <v>97</v>
      </c>
      <c r="JD118" s="67">
        <f t="shared" si="50"/>
        <v>1</v>
      </c>
      <c r="JE118" s="67">
        <f t="shared" si="47"/>
        <v>2</v>
      </c>
      <c r="JF118" s="67">
        <f t="shared" si="48"/>
        <v>3</v>
      </c>
    </row>
    <row r="119">
      <c r="A119" s="104">
        <f>IFERROR(__xludf.DUMMYFUNCTION("""COMPUTED_VALUE"""),45963.31306696759)</f>
        <v>45963.31307</v>
      </c>
      <c r="B119" s="105" t="str">
        <f>IFERROR(__xludf.DUMMYFUNCTION("""COMPUTED_VALUE"""),"Fadlan waldi zamzami")</f>
        <v>Fadlan waldi zamzami</v>
      </c>
      <c r="C119" s="7" t="str">
        <f>IFERROR(__xludf.DUMMYFUNCTION("""COMPUTED_VALUE"""),"C250005")</f>
        <v>C250005</v>
      </c>
      <c r="D119" s="7" t="str">
        <f>IFERROR(__xludf.DUMMYFUNCTION("""COMPUTED_VALUE"""),"SMA")</f>
        <v>SMA</v>
      </c>
      <c r="E119" s="7" t="str">
        <f>IFERROR(__xludf.DUMMYFUNCTION("""COMPUTED_VALUE"""),"Ya")</f>
        <v>Ya</v>
      </c>
      <c r="F119" s="105" t="str">
        <f>IFERROR(__xludf.DUMMYFUNCTION("""COMPUTED_VALUE"""),"B Saya ingin melakukan apa saja sebaik mungkin.")</f>
        <v>B Saya ingin melakukan apa saja sebaik mungkin.</v>
      </c>
      <c r="G119" s="105" t="str">
        <f>IFERROR(__xludf.DUMMYFUNCTION("""COMPUTED_VALUE"""),"B Saya ingin menyelesaikan tugas yang segera dikumpulkan.")</f>
        <v>B Saya ingin menyelesaikan tugas yang segera dikumpulkan.</v>
      </c>
      <c r="H119" s="105" t="str">
        <f>IFERROR(__xludf.DUMMYFUNCTION("""COMPUTED_VALUE"""),"A Saya ingin berbuat sesuai kata hati saya.")</f>
        <v>A Saya ingin berbuat sesuai kata hati saya.</v>
      </c>
      <c r="I119" s="105" t="str">
        <f>IFERROR(__xludf.DUMMYFUNCTION("""COMPUTED_VALUE"""),"B Saya ingin bisa melakukan dengan baik meskipun tugas yang sulit.")</f>
        <v>B Saya ingin bisa melakukan dengan baik meskipun tugas yang sulit.</v>
      </c>
      <c r="J119" s="105" t="str">
        <f>IFERROR(__xludf.DUMMYFUNCTION("""COMPUTED_VALUE"""),"A Saya suka membantu teman-teman saya apabila mereka mengalami kesulitan.")</f>
        <v>A Saya suka membantu teman-teman saya apabila mereka mengalami kesulitan.</v>
      </c>
      <c r="K119" s="105" t="str">
        <f>IFERROR(__xludf.DUMMYFUNCTION("""COMPUTED_VALUE"""),"B Saya ingin mengatakan telah melakukan dengan baik sesuatu tugas yang sulit.")</f>
        <v>B Saya ingin mengatakan telah melakukan dengan baik sesuatu tugas yang sulit.</v>
      </c>
      <c r="L119" s="105" t="str">
        <f>IFERROR(__xludf.DUMMYFUNCTION("""COMPUTED_VALUE"""),"B Saya ingin mengatakan telah melakukan dengan baik sesuatu tugas yang sulit")</f>
        <v>B Saya ingin mengatakan telah melakukan dengan baik sesuatu tugas yang sulit</v>
      </c>
      <c r="M119" s="105" t="str">
        <f>IFERROR(__xludf.DUMMYFUNCTION("""COMPUTED_VALUE"""),"A Saya suka berbicara tentang hal-hal yang telah berhasil saya lakukan.")</f>
        <v>A Saya suka berbicara tentang hal-hal yang telah berhasil saya lakukan.</v>
      </c>
      <c r="N119" s="105" t="str">
        <f>IFERROR(__xludf.DUMMYFUNCTION("""COMPUTED_VALUE"""),"B Saya suka memecahkan persoalan yang sukar bagi orang lain.")</f>
        <v>B Saya suka memecahkan persoalan yang sukar bagi orang lain.</v>
      </c>
      <c r="O119" s="105" t="str">
        <f>IFERROR(__xludf.DUMMYFUNCTION("""COMPUTED_VALUE"""),"A Saya marah saat ada teman memperolok-olok hal-hal yang saya anggap bodoh.")</f>
        <v>A Saya marah saat ada teman memperolok-olok hal-hal yang saya anggap bodoh.</v>
      </c>
      <c r="P119" s="105" t="str">
        <f>IFERROR(__xludf.DUMMYFUNCTION("""COMPUTED_VALUE"""),"A Saya suka bercerita tentang hal-hal yang menegangkan atau menantang.")</f>
        <v>A Saya suka bercerita tentang hal-hal yang menegangkan atau menantang.</v>
      </c>
      <c r="Q119" s="105" t="str">
        <f>IFERROR(__xludf.DUMMYFUNCTION("""COMPUTED_VALUE"""),"A Saya mulai suka dengan lawan jenis.")</f>
        <v>A Saya mulai suka dengan lawan jenis.</v>
      </c>
      <c r="R119" s="105" t="str">
        <f>IFERROR(__xludf.DUMMYFUNCTION("""COMPUTED_VALUE"""),"A Saya ingin orang-orang memperhatikan penampilan saya.")</f>
        <v>A Saya ingin orang-orang memperhatikan penampilan saya.</v>
      </c>
      <c r="S119" s="105" t="str">
        <f>IFERROR(__xludf.DUMMYFUNCTION("""COMPUTED_VALUE"""),"B Saya suka membuat perencanaan sebelum memulai tugas yang sulit.")</f>
        <v>B Saya suka membuat perencanaan sebelum memulai tugas yang sulit.</v>
      </c>
      <c r="T119" s="105" t="str">
        <f>IFERROR(__xludf.DUMMYFUNCTION("""COMPUTED_VALUE"""),"A Saya ingin menjadi salah seorang pemimpin dalam kelompok yang saya kenal.")</f>
        <v>A Saya ingin menjadi salah seorang pemimpin dalam kelompok yang saya kenal.</v>
      </c>
      <c r="U119" s="105" t="str">
        <f>IFERROR(__xludf.DUMMYFUNCTION("""COMPUTED_VALUE"""),"A Saya suka memberikan bantuan kepada teman-teman saya.")</f>
        <v>A Saya suka memberikan bantuan kepada teman-teman saya.</v>
      </c>
      <c r="V119" s="105" t="str">
        <f>IFERROR(__xludf.DUMMYFUNCTION("""COMPUTED_VALUE"""),"B Saya suka belajar saya teratur dan ada waktu-waktu tertentu untuk belajar.")</f>
        <v>B Saya suka belajar saya teratur dan ada waktu-waktu tertentu untuk belajar.</v>
      </c>
      <c r="W119" s="105" t="str">
        <f>IFERROR(__xludf.DUMMYFUNCTION("""COMPUTED_VALUE"""),"A Saya suka melakukan kegiatan sesuai kondisi yang saya inginkan.")</f>
        <v>A Saya suka melakukan kegiatan sesuai kondisi yang saya inginkan.</v>
      </c>
      <c r="X119" s="105" t="str">
        <f>IFERROR(__xludf.DUMMYFUNCTION("""COMPUTED_VALUE"""),"A Saya suka merencanakan dan mengatur setiap apa yang harus saya lakukan.")</f>
        <v>A Saya suka merencanakan dan mengatur setiap apa yang harus saya lakukan.</v>
      </c>
      <c r="Y119" s="105" t="str">
        <f>IFERROR(__xludf.DUMMYFUNCTION("""COMPUTED_VALUE"""),"A Saya suka menyelesaikan tugas-tugas yang membutuhkan ketrampilan dan usaha.")</f>
        <v>A Saya suka menyelesaikan tugas-tugas yang membutuhkan ketrampilan dan usaha.</v>
      </c>
      <c r="Z119" s="105" t="str">
        <f>IFERROR(__xludf.DUMMYFUNCTION("""COMPUTED_VALUE"""),"A Saya ingin berhasil dengan belajar yang saya lakukan.")</f>
        <v>A Saya ingin berhasil dengan belajar yang saya lakukan.</v>
      </c>
      <c r="AA119" s="105" t="str">
        <f>IFERROR(__xludf.DUMMYFUNCTION("""COMPUTED_VALUE"""),"B Saya tidak suka pada orang yang berbuat seenaknya sendiri.")</f>
        <v>B Saya tidak suka pada orang yang berbuat seenaknya sendiri.</v>
      </c>
      <c r="AB119" s="105" t="str">
        <f>IFERROR(__xludf.DUMMYFUNCTION("""COMPUTED_VALUE"""),"A Saya ingin tidak tergantung dari orang lain terhadap apa yang akan saya lakukan.")</f>
        <v>A Saya ingin tidak tergantung dari orang lain terhadap apa yang akan saya lakukan.</v>
      </c>
      <c r="AC119" s="105" t="str">
        <f>IFERROR(__xludf.DUMMYFUNCTION("""COMPUTED_VALUE"""),"B Saya suka melakukan kegiatan sesuai kondisi yang saya inginkan.")</f>
        <v>B Saya suka melakukan kegiatan sesuai kondisi yang saya inginkan.</v>
      </c>
      <c r="AD119" s="105" t="str">
        <f>IFERROR(__xludf.DUMMYFUNCTION("""COMPUTED_VALUE"""),"A Saya suka bermurah hati terhadap teman-teman saya.")</f>
        <v>A Saya suka bermurah hati terhadap teman-teman saya.</v>
      </c>
      <c r="AE119" s="105" t="str">
        <f>IFERROR(__xludf.DUMMYFUNCTION("""COMPUTED_VALUE"""),"A Saya ingin dianggap sebagai pemimpin oleh teman di kelompok.")</f>
        <v>A Saya ingin dianggap sebagai pemimpin oleh teman di kelompok.</v>
      </c>
      <c r="AF119" s="105" t="str">
        <f>IFERROR(__xludf.DUMMYFUNCTION("""COMPUTED_VALUE"""),"A Saya ingin agar teman-teman mengerti bila saya mengalami kesukaran.")</f>
        <v>A Saya ingin agar teman-teman mengerti bila saya mengalami kesukaran.</v>
      </c>
      <c r="AG119" s="105" t="str">
        <f>IFERROR(__xludf.DUMMYFUNCTION("""COMPUTED_VALUE"""),"A Saya mengajari orang lain bagaimana mereka harus melakukan pekerjaan mereka.")</f>
        <v>A Saya mengajari orang lain bagaimana mereka harus melakukan pekerjaan mereka.</v>
      </c>
      <c r="AH119" s="105" t="str">
        <f>IFERROR(__xludf.DUMMYFUNCTION("""COMPUTED_VALUE"""),"B Saya ingin merasa bebas untuk melakukan apa yang saya kehendaki.")</f>
        <v>B Saya ingin merasa bebas untuk melakukan apa yang saya kehendaki.</v>
      </c>
      <c r="AI119" s="105" t="str">
        <f>IFERROR(__xludf.DUMMYFUNCTION("""COMPUTED_VALUE"""),"B Saya suka melakukan kegiatan sesuai kondisi yang saya inginkan.")</f>
        <v>B Saya suka melakukan kegiatan sesuai kondisi yang saya inginkan.</v>
      </c>
      <c r="AJ119" s="105" t="str">
        <f>IFERROR(__xludf.DUMMYFUNCTION("""COMPUTED_VALUE"""),"B Saya suka bertahan menghadapi satu masalah meskipun belum tentu berhasil.")</f>
        <v>B Saya suka bertahan menghadapi satu masalah meskipun belum tentu berhasil.</v>
      </c>
      <c r="AK119" s="105" t="str">
        <f>IFERROR(__xludf.DUMMYFUNCTION("""COMPUTED_VALUE"""),"B Bila saya harus melakukan suatu tugas, saya ingin mengerjakan sampai selesai.")</f>
        <v>B Bila saya harus melakukan suatu tugas, saya ingin mengerjakan sampai selesai.</v>
      </c>
      <c r="AL119" s="105" t="str">
        <f>IFERROR(__xludf.DUMMYFUNCTION("""COMPUTED_VALUE"""),"B Saya ingin menghindarkan gangguan bila saya sedang belajar.")</f>
        <v>B Saya ingin menghindarkan gangguan bila saya sedang belajar.</v>
      </c>
      <c r="AM119" s="105" t="str">
        <f>IFERROR(__xludf.DUMMYFUNCTION("""COMPUTED_VALUE"""),"A Saya ingin teman-teman saya merasa kasihan pada saya apabila saya sakit.")</f>
        <v>A Saya ingin teman-teman saya merasa kasihan pada saya apabila saya sakit.</v>
      </c>
      <c r="AN119" s="105" t="str">
        <f>IFERROR(__xludf.DUMMYFUNCTION("""COMPUTED_VALUE"""),"A Saya tidak suka pada orang yang semena-mena.")</f>
        <v>A Saya tidak suka pada orang yang semena-mena.</v>
      </c>
      <c r="AO119" s="105" t="str">
        <f>IFERROR(__xludf.DUMMYFUNCTION("""COMPUTED_VALUE"""),"A Saya suka berlaku sangat ramah terhadap teman-teman saya.")</f>
        <v>A Saya suka berlaku sangat ramah terhadap teman-teman saya.</v>
      </c>
      <c r="AP119" s="105" t="str">
        <f>IFERROR(__xludf.DUMMYFUNCTION("""COMPUTED_VALUE"""),"B Saya suka bertahan menghadapi satu masalah meskipun belum tentu berhasil.")</f>
        <v>B Saya suka bertahan menghadapi satu masalah meskipun belum tentu berhasil.</v>
      </c>
      <c r="AQ119" s="105" t="str">
        <f>IFERROR(__xludf.DUMMYFUNCTION("""COMPUTED_VALUE"""),"B Bila saya harus melakukan suatu tugas, saya ingin mengerjakan sampai selesai.")</f>
        <v>B Bila saya harus melakukan suatu tugas, saya ingin mengerjakan sampai selesai.</v>
      </c>
      <c r="AR119" s="105" t="str">
        <f>IFERROR(__xludf.DUMMYFUNCTION("""COMPUTED_VALUE"""),"B Saya suka belajar keras pada tiap pelajaran yang saya hadapi.")</f>
        <v>B Saya suka belajar keras pada tiap pelajaran yang saya hadapi.</v>
      </c>
      <c r="AS119" s="105" t="str">
        <f>IFERROR(__xludf.DUMMYFUNCTION("""COMPUTED_VALUE"""),"A Saya ingin dapat menyelesaikan persoalan yang dianggap sukar bagi orang lain.")</f>
        <v>A Saya ingin dapat menyelesaikan persoalan yang dianggap sukar bagi orang lain.</v>
      </c>
      <c r="AT119" s="105" t="str">
        <f>IFERROR(__xludf.DUMMYFUNCTION("""COMPUTED_VALUE"""),"A Saya ingin bisa melakukan dengan baik sesuatu pekerjaan sulit.")</f>
        <v>A Saya ingin bisa melakukan dengan baik sesuatu pekerjaan sulit.</v>
      </c>
      <c r="AU119" s="105" t="str">
        <f>IFERROR(__xludf.DUMMYFUNCTION("""COMPUTED_VALUE"""),"B Saya suka bermurah hati terhadap teman-teman saya.")</f>
        <v>B Saya suka bermurah hati terhadap teman-teman saya.</v>
      </c>
      <c r="AV119" s="105" t="str">
        <f>IFERROR(__xludf.DUMMYFUNCTION("""COMPUTED_VALUE"""),"B Saya suka menolong teman-teman saya.")</f>
        <v>B Saya suka menolong teman-teman saya.</v>
      </c>
      <c r="AW119" s="105" t="str">
        <f>IFERROR(__xludf.DUMMYFUNCTION("""COMPUTED_VALUE"""),"B Saya ingin teman-teman saya percaya bahwa saya bisa menolong mereka.")</f>
        <v>B Saya ingin teman-teman saya percaya bahwa saya bisa menolong mereka.</v>
      </c>
      <c r="AX119" s="105" t="str">
        <f>IFERROR(__xludf.DUMMYFUNCTION("""COMPUTED_VALUE"""),"B Saya suka memaafkan teman-teman saya yang menyakiti hati saya.")</f>
        <v>B Saya suka memaafkan teman-teman saya yang menyakiti hati saya.</v>
      </c>
      <c r="AY119" s="105" t="str">
        <f>IFERROR(__xludf.DUMMYFUNCTION("""COMPUTED_VALUE"""),"B Saya suka menolong teman-teman saya apabila mereka dalam kesulitan.")</f>
        <v>B Saya suka menolong teman-teman saya apabila mereka dalam kesulitan.</v>
      </c>
      <c r="AZ119" s="105" t="str">
        <f>IFERROR(__xludf.DUMMYFUNCTION("""COMPUTED_VALUE"""),"B Saya suka menunjukkan simpati saya kepada teman-teman saya.")</f>
        <v>B Saya suka menunjukkan simpati saya kepada teman-teman saya.</v>
      </c>
      <c r="BA119" s="105" t="str">
        <f>IFERROR(__xludf.DUMMYFUNCTION("""COMPUTED_VALUE"""),"B Saya suka memperlakukan orang lain dengan baik dan ramah.")</f>
        <v>B Saya suka memperlakukan orang lain dengan baik dan ramah.</v>
      </c>
      <c r="BB119" s="105" t="str">
        <f>IFERROR(__xludf.DUMMYFUNCTION("""COMPUTED_VALUE"""),"A Saya berkeinginan untuk bersama orang yang menarik bagi saya.")</f>
        <v>A Saya berkeinginan untuk bersama orang yang menarik bagi saya.</v>
      </c>
      <c r="BC119" s="105" t="str">
        <f>IFERROR(__xludf.DUMMYFUNCTION("""COMPUTED_VALUE"""),"B Saya suka membantu orang lain yang menurut saya perlu dikasihani.")</f>
        <v>B Saya suka membantu orang lain yang menurut saya perlu dikasihani.</v>
      </c>
      <c r="BD119" s="105" t="str">
        <f>IFERROR(__xludf.DUMMYFUNCTION("""COMPUTED_VALUE"""),"B Saya suka bersikukuh dengan pendirian saya.")</f>
        <v>B Saya suka bersikukuh dengan pendirian saya.</v>
      </c>
      <c r="BE119" s="105" t="str">
        <f>IFERROR(__xludf.DUMMYFUNCTION("""COMPUTED_VALUE"""),"B Saya ingin orang lain melakukan apa yang saya kehendaki.")</f>
        <v>B Saya ingin orang lain melakukan apa yang saya kehendaki.</v>
      </c>
      <c r="BF119" s="105" t="str">
        <f>IFERROR(__xludf.DUMMYFUNCTION("""COMPUTED_VALUE"""),"B Bila saya dalam kelompok, saya ingin menentukan apa yang akan kita lakukan.")</f>
        <v>B Bila saya dalam kelompok, saya ingin menentukan apa yang akan kita lakukan.</v>
      </c>
      <c r="BG119" s="105" t="str">
        <f>IFERROR(__xludf.DUMMYFUNCTION("""COMPUTED_VALUE"""),"A Saya ingin teman-teman banyak menunjukkan rasa sayang mereka terhadap saya.")</f>
        <v>A Saya ingin teman-teman banyak menunjukkan rasa sayang mereka terhadap saya.</v>
      </c>
      <c r="BH119" s="105" t="str">
        <f>IFERROR(__xludf.DUMMYFUNCTION("""COMPUTED_VALUE"""),"B Apabila saya berkumpul dalam kelompok, saya ingin dihargai teman-teman.")</f>
        <v>B Apabila saya berkumpul dalam kelompok, saya ingin dihargai teman-teman.</v>
      </c>
      <c r="BI119" s="105" t="str">
        <f>IFERROR(__xludf.DUMMYFUNCTION("""COMPUTED_VALUE"""),"A Saya suka bermurah hati terhadap teman-teman saya.")</f>
        <v>A Saya suka bermurah hati terhadap teman-teman saya.</v>
      </c>
      <c r="BJ119" s="105" t="str">
        <f>IFERROR(__xludf.DUMMYFUNCTION("""COMPUTED_VALUE"""),"A Saya ingin mengerjakan tugas sampai selesai.")</f>
        <v>A Saya ingin mengerjakan tugas sampai selesai.</v>
      </c>
      <c r="BK119" s="105" t="str">
        <f>IFERROR(__xludf.DUMMYFUNCTION("""COMPUTED_VALUE"""),"B Saya senang untuk diminta menyelesaikan pertentangan-pertentangan.")</f>
        <v>B Saya senang untuk diminta menyelesaikan pertentangan-pertentangan.</v>
      </c>
      <c r="BL119" s="105" t="str">
        <f>IFERROR(__xludf.DUMMYFUNCTION("""COMPUTED_VALUE"""),"A Saya suka belajar saya teratur dan ada waktu-waktu tertentu untuk belajar.")</f>
        <v>A Saya suka belajar saya teratur dan ada waktu-waktu tertentu untuk belajar.</v>
      </c>
      <c r="BM119" s="105" t="str">
        <f>IFERROR(__xludf.DUMMYFUNCTION("""COMPUTED_VALUE"""),"A Saya suka melakukan pekerjaan sebaik mungkin.")</f>
        <v>A Saya suka melakukan pekerjaan sebaik mungkin.</v>
      </c>
      <c r="BN119" s="105" t="str">
        <f>IFERROR(__xludf.DUMMYFUNCTION("""COMPUTED_VALUE"""),"A Saya suka mengerjakan teka-teki atau memecahkan persoalan sampai selesai.")</f>
        <v>A Saya suka mengerjakan teka-teki atau memecahkan persoalan sampai selesai.</v>
      </c>
      <c r="BO119" s="105" t="str">
        <f>IFERROR(__xludf.DUMMYFUNCTION("""COMPUTED_VALUE"""),"B Saya ingin diperlakukan dengan baik oleh teman-teman saya.")</f>
        <v>B Saya ingin diperlakukan dengan baik oleh teman-teman saya.</v>
      </c>
      <c r="BP119" s="105" t="str">
        <f>IFERROR(__xludf.DUMMYFUNCTION("""COMPUTED_VALUE"""),"A Saya ingin menyelesaikan sesuatu yang sangat penting artinya.")</f>
        <v>A Saya ingin menyelesaikan sesuatu yang sangat penting artinya.</v>
      </c>
      <c r="BQ119" s="105" t="str">
        <f>IFERROR(__xludf.DUMMYFUNCTION("""COMPUTED_VALUE"""),"A Saya ingin mengerjakannya tugas sampai selesai.")</f>
        <v>A Saya ingin mengerjakannya tugas sampai selesai.</v>
      </c>
      <c r="BR119" s="105" t="str">
        <f>IFERROR(__xludf.DUMMYFUNCTION("""COMPUTED_VALUE"""),"A Saya suka memaafkan teman-teman saya yang menyakiti hati saya.")</f>
        <v>A Saya suka memaafkan teman-teman saya yang menyakiti hati saya.</v>
      </c>
      <c r="BS119" s="105" t="str">
        <f>IFERROR(__xludf.DUMMYFUNCTION("""COMPUTED_VALUE"""),"A Saya suka menghindar dari tanggung jawab yang tidak saya inginkan.")</f>
        <v>A Saya suka menghindar dari tanggung jawab yang tidak saya inginkan.</v>
      </c>
      <c r="BT119" s="105" t="str">
        <f>IFERROR(__xludf.DUMMYFUNCTION("""COMPUTED_VALUE"""),"B Saya ingin teman-teman banyak menunjukkan rasa sayang mereka terhadap saya.")</f>
        <v>B Saya ingin teman-teman banyak menunjukkan rasa sayang mereka terhadap saya.</v>
      </c>
      <c r="BU119" s="105" t="str">
        <f>IFERROR(__xludf.DUMMYFUNCTION("""COMPUTED_VALUE"""),"A Saya kadang-kadang suka melakukan hal-hal yang dapat dipuji oleh orang lain.")</f>
        <v>A Saya kadang-kadang suka melakukan hal-hal yang dapat dipuji oleh orang lain.</v>
      </c>
      <c r="BV119" s="105" t="str">
        <f>IFERROR(__xludf.DUMMYFUNCTION("""COMPUTED_VALUE"""),"A Saya ingin dianggap menarik oleh orang lain.")</f>
        <v>A Saya ingin dianggap menarik oleh orang lain.</v>
      </c>
      <c r="BW119" s="105" t="str">
        <f>IFERROR(__xludf.DUMMYFUNCTION("""COMPUTED_VALUE"""),"B Saya ingin diperlakukan dengan baik oleh teman-teman saya.")</f>
        <v>B Saya ingin diperlakukan dengan baik oleh teman-teman saya.</v>
      </c>
      <c r="BX119" s="105" t="str">
        <f>IFERROR(__xludf.DUMMYFUNCTION("""COMPUTED_VALUE"""),"B Saya kadang-kadang suka melakukan hal-hal yang dapat dipuji oleh orang lain.")</f>
        <v>B Saya kadang-kadang suka melakukan hal-hal yang dapat dipuji oleh orang lain.</v>
      </c>
      <c r="BY119" s="105" t="str">
        <f>IFERROR(__xludf.DUMMYFUNCTION("""COMPUTED_VALUE"""),"B Saya ingin orang lain memperhatikan dan berkomentar tentang penampilan saya.")</f>
        <v>B Saya ingin orang lain memperhatikan dan berkomentar tentang penampilan saya.</v>
      </c>
      <c r="BZ119" s="105" t="str">
        <f>IFERROR(__xludf.DUMMYFUNCTION("""COMPUTED_VALUE"""),"B Saya suka diperhatikan, apabila saya ada di dalam suatu kelompok.")</f>
        <v>B Saya suka diperhatikan, apabila saya ada di dalam suatu kelompok.</v>
      </c>
      <c r="CA119" s="105" t="str">
        <f>IFERROR(__xludf.DUMMYFUNCTION("""COMPUTED_VALUE"""),"B Saya suka mengajukan pertanyaan agar orang lain memperhatikan saya.")</f>
        <v>B Saya suka mengajukan pertanyaan agar orang lain memperhatikan saya.</v>
      </c>
      <c r="CB119" s="105" t="str">
        <f>IFERROR(__xludf.DUMMYFUNCTION("""COMPUTED_VALUE"""),"B Saya suka berbicara tentang hal-hal yang telah saya capai.")</f>
        <v>B Saya suka berbicara tentang hal-hal yang telah saya capai.</v>
      </c>
      <c r="CC119" s="105" t="str">
        <f>IFERROR(__xludf.DUMMYFUNCTION("""COMPUTED_VALUE"""),"A Apabila saya berkumpul dalam kelompok, saya ingin dihargai teman-teman.")</f>
        <v>A Apabila saya berkumpul dalam kelompok, saya ingin dihargai teman-teman.</v>
      </c>
      <c r="CD119" s="105" t="str">
        <f>IFERROR(__xludf.DUMMYFUNCTION("""COMPUTED_VALUE"""),"A Saya suka menyelesaikan setiap tugas meskipun membutuhkan waktu lama.")</f>
        <v>A Saya suka menyelesaikan setiap tugas meskipun membutuhkan waktu lama.</v>
      </c>
      <c r="CE119" s="105" t="str">
        <f>IFERROR(__xludf.DUMMYFUNCTION("""COMPUTED_VALUE"""),"A Saya suka menyelesaikan setiap tugas belajar yang telah saya mulai.")</f>
        <v>A Saya suka menyelesaikan setiap tugas belajar yang telah saya mulai.</v>
      </c>
      <c r="CF119" s="105" t="str">
        <f>IFERROR(__xludf.DUMMYFUNCTION("""COMPUTED_VALUE"""),"B Saya ingin orang lain memperhatikan dan berkomentar tentang penampilan saya.")</f>
        <v>B Saya ingin orang lain memperhatikan dan berkomentar tentang penampilan saya.</v>
      </c>
      <c r="CG119" s="105" t="str">
        <f>IFERROR(__xludf.DUMMYFUNCTION("""COMPUTED_VALUE"""),"A Saya ingin berhasil dalam apa yang saya lakukan.")</f>
        <v>A Saya ingin berhasil dalam apa yang saya lakukan.</v>
      </c>
      <c r="CH119" s="105" t="str">
        <f>IFERROR(__xludf.DUMMYFUNCTION("""COMPUTED_VALUE"""),"A Saya ingin bisa melakukan dengan baik sesuatu pekerjaan sulit.")</f>
        <v>A Saya ingin bisa melakukan dengan baik sesuatu pekerjaan sulit.</v>
      </c>
      <c r="CI119" s="105" t="str">
        <f>IFERROR(__xludf.DUMMYFUNCTION("""COMPUTED_VALUE"""),"B Saya ingin dianggap menarik oleh orang lain.")</f>
        <v>B Saya ingin dianggap menarik oleh orang lain.</v>
      </c>
      <c r="CJ119" s="105" t="str">
        <f>IFERROR(__xludf.DUMMYFUNCTION("""COMPUTED_VALUE"""),"A Saya ingin tidak tergantung dari orang lain terhadap apa yang akan saya lakukan.")</f>
        <v>A Saya ingin tidak tergantung dari orang lain terhadap apa yang akan saya lakukan.</v>
      </c>
      <c r="CK119" s="105" t="str">
        <f>IFERROR(__xludf.DUMMYFUNCTION("""COMPUTED_VALUE"""),"A Saya suka bertahan menghadapi satu masalah, meskipun belum tentu berhasil.")</f>
        <v>A Saya suka bertahan menghadapi satu masalah, meskipun belum tentu berhasil.</v>
      </c>
      <c r="CL119" s="105" t="str">
        <f>IFERROR(__xludf.DUMMYFUNCTION("""COMPUTED_VALUE"""),"A Saya suka menolong teman-teman saya, apabila mereka dalam kesulitan.")</f>
        <v>A Saya suka menolong teman-teman saya, apabila mereka dalam kesulitan.</v>
      </c>
      <c r="CM119" s="105" t="str">
        <f>IFERROR(__xludf.DUMMYFUNCTION("""COMPUTED_VALUE"""),"A Saya ingin ditunjuk atau dipilih sebagai ketua dalam suatu kelompok.")</f>
        <v>A Saya ingin ditunjuk atau dipilih sebagai ketua dalam suatu kelompok.</v>
      </c>
      <c r="CN119" s="105" t="str">
        <f>IFERROR(__xludf.DUMMYFUNCTION("""COMPUTED_VALUE"""),"A Saya ingin diperlakukan dengan baik oleh teman-teman saya.")</f>
        <v>A Saya ingin diperlakukan dengan baik oleh teman-teman saya.</v>
      </c>
      <c r="CO119" s="105" t="str">
        <f>IFERROR(__xludf.DUMMYFUNCTION("""COMPUTED_VALUE"""),"B Saya suka memuji orang yang saya kagumi.")</f>
        <v>B Saya suka memuji orang yang saya kagumi.</v>
      </c>
      <c r="CP119" s="105" t="str">
        <f>IFERROR(__xludf.DUMMYFUNCTION("""COMPUTED_VALUE"""),"B Saya ingin dianggap menarik oleh orang lain.")</f>
        <v>B Saya ingin dianggap menarik oleh orang lain.</v>
      </c>
      <c r="CQ119" s="105" t="str">
        <f>IFERROR(__xludf.DUMMYFUNCTION("""COMPUTED_VALUE"""),"B Saya merasa kagum pada seseorang.")</f>
        <v>B Saya merasa kagum pada seseorang.</v>
      </c>
      <c r="CR119" s="105" t="str">
        <f>IFERROR(__xludf.DUMMYFUNCTION("""COMPUTED_VALUE"""),"B Saya rasanya ingin mengecam seseorang bila orang itu menjengkelkan.")</f>
        <v>B Saya rasanya ingin mengecam seseorang bila orang itu menjengkelkan.</v>
      </c>
      <c r="CS119" s="105" t="str">
        <f>IFERROR(__xludf.DUMMYFUNCTION("""COMPUTED_VALUE"""),"B Saya rasanya ingin membalas dendam bila seseorang menghina saya.")</f>
        <v>B Saya rasanya ingin membalas dendam bila seseorang menghina saya.</v>
      </c>
      <c r="CT119" s="105" t="str">
        <f>IFERROR(__xludf.DUMMYFUNCTION("""COMPUTED_VALUE"""),"B Saya saat marah rasanya ingin melemparkan dan merusak barang-barang.")</f>
        <v>B Saya saat marah rasanya ingin melemparkan dan merusak barang-barang.</v>
      </c>
      <c r="CU119" s="105" t="str">
        <f>IFERROR(__xludf.DUMMYFUNCTION("""COMPUTED_VALUE"""),"A Saya ingin diperlakukan dengan ramah oleh teman-teman saya.")</f>
        <v>A Saya ingin diperlakukan dengan ramah oleh teman-teman saya.</v>
      </c>
      <c r="CV119" s="105" t="str">
        <f>IFERROR(__xludf.DUMMYFUNCTION("""COMPUTED_VALUE"""),"A Saya ingin ditunjuk atau dipilih sebagai ketua dalam suatu kelompok.")</f>
        <v>A Saya ingin ditunjuk atau dipilih sebagai ketua dalam suatu kelompok.</v>
      </c>
      <c r="CW119" s="105" t="str">
        <f>IFERROR(__xludf.DUMMYFUNCTION("""COMPUTED_VALUE"""),"A Saya suka menolong teman-teman saya, apabila mereka dalam kesulitan.")</f>
        <v>A Saya suka menolong teman-teman saya, apabila mereka dalam kesulitan.</v>
      </c>
      <c r="CX119" s="105" t="str">
        <f>IFERROR(__xludf.DUMMYFUNCTION("""COMPUTED_VALUE"""),"B Saya ingin memperolok-olok orang yang saya anggap melakukan tindakan bodoh.")</f>
        <v>B Saya ingin memperolok-olok orang yang saya anggap melakukan tindakan bodoh.</v>
      </c>
      <c r="CY119" s="105" t="str">
        <f>IFERROR(__xludf.DUMMYFUNCTION("""COMPUTED_VALUE"""),"A Saya ingin tidak tergantung dari orang lain terhadap apa yang akan saya lakukan.")</f>
        <v>A Saya ingin tidak tergantung dari orang lain terhadap apa yang akan saya lakukan.</v>
      </c>
      <c r="CZ119" s="105" t="str">
        <f>IFERROR(__xludf.DUMMYFUNCTION("""COMPUTED_VALUE"""),"A Saya suka merencanakan dan mengatur setiap pekerjaan yang harus saya lakukan.")</f>
        <v>A Saya suka merencanakan dan mengatur setiap pekerjaan yang harus saya lakukan.</v>
      </c>
      <c r="DA119" s="105" t="str">
        <f>IFERROR(__xludf.DUMMYFUNCTION("""COMPUTED_VALUE"""),"A Saya ingin melakukan apa saja sebaik mungkin.")</f>
        <v>A Saya ingin melakukan apa saja sebaik mungkin.</v>
      </c>
      <c r="DB119" s="89" t="s">
        <v>23</v>
      </c>
      <c r="DC119" s="97" t="str">
        <f t="shared" ref="DC119:GX119" si="164">LEFT(F119,1)</f>
        <v>B</v>
      </c>
      <c r="DD119" s="97" t="str">
        <f t="shared" si="164"/>
        <v>B</v>
      </c>
      <c r="DE119" s="97" t="str">
        <f t="shared" si="164"/>
        <v>A</v>
      </c>
      <c r="DF119" s="97" t="str">
        <f t="shared" si="164"/>
        <v>B</v>
      </c>
      <c r="DG119" s="97" t="str">
        <f t="shared" si="164"/>
        <v>A</v>
      </c>
      <c r="DH119" s="97" t="str">
        <f t="shared" si="164"/>
        <v>B</v>
      </c>
      <c r="DI119" s="97" t="str">
        <f t="shared" si="164"/>
        <v>B</v>
      </c>
      <c r="DJ119" s="97" t="str">
        <f t="shared" si="164"/>
        <v>A</v>
      </c>
      <c r="DK119" s="97" t="str">
        <f t="shared" si="164"/>
        <v>B</v>
      </c>
      <c r="DL119" s="97" t="str">
        <f t="shared" si="164"/>
        <v>A</v>
      </c>
      <c r="DM119" s="97" t="str">
        <f t="shared" si="164"/>
        <v>A</v>
      </c>
      <c r="DN119" s="97" t="str">
        <f t="shared" si="164"/>
        <v>A</v>
      </c>
      <c r="DO119" s="97" t="str">
        <f t="shared" si="164"/>
        <v>A</v>
      </c>
      <c r="DP119" s="97" t="str">
        <f t="shared" si="164"/>
        <v>B</v>
      </c>
      <c r="DQ119" s="97" t="str">
        <f t="shared" si="164"/>
        <v>A</v>
      </c>
      <c r="DR119" s="97" t="str">
        <f t="shared" si="164"/>
        <v>A</v>
      </c>
      <c r="DS119" s="97" t="str">
        <f t="shared" si="164"/>
        <v>B</v>
      </c>
      <c r="DT119" s="97" t="str">
        <f t="shared" si="164"/>
        <v>A</v>
      </c>
      <c r="DU119" s="97" t="str">
        <f t="shared" si="164"/>
        <v>A</v>
      </c>
      <c r="DV119" s="97" t="str">
        <f t="shared" si="164"/>
        <v>A</v>
      </c>
      <c r="DW119" s="97" t="str">
        <f t="shared" si="164"/>
        <v>A</v>
      </c>
      <c r="DX119" s="97" t="str">
        <f t="shared" si="164"/>
        <v>B</v>
      </c>
      <c r="DY119" s="97" t="str">
        <f t="shared" si="164"/>
        <v>A</v>
      </c>
      <c r="DZ119" s="97" t="str">
        <f t="shared" si="164"/>
        <v>B</v>
      </c>
      <c r="EA119" s="97" t="str">
        <f t="shared" si="164"/>
        <v>A</v>
      </c>
      <c r="EB119" s="97" t="str">
        <f t="shared" si="164"/>
        <v>A</v>
      </c>
      <c r="EC119" s="97" t="str">
        <f t="shared" si="164"/>
        <v>A</v>
      </c>
      <c r="ED119" s="97" t="str">
        <f t="shared" si="164"/>
        <v>A</v>
      </c>
      <c r="EE119" s="97" t="str">
        <f t="shared" si="164"/>
        <v>B</v>
      </c>
      <c r="EF119" s="97" t="str">
        <f t="shared" si="164"/>
        <v>B</v>
      </c>
      <c r="EG119" s="97" t="str">
        <f t="shared" si="164"/>
        <v>B</v>
      </c>
      <c r="EH119" s="97" t="str">
        <f t="shared" si="164"/>
        <v>B</v>
      </c>
      <c r="EI119" s="97" t="str">
        <f t="shared" si="164"/>
        <v>B</v>
      </c>
      <c r="EJ119" s="97" t="str">
        <f t="shared" si="164"/>
        <v>A</v>
      </c>
      <c r="EK119" s="97" t="str">
        <f t="shared" si="164"/>
        <v>A</v>
      </c>
      <c r="EL119" s="97" t="str">
        <f t="shared" si="164"/>
        <v>A</v>
      </c>
      <c r="EM119" s="97" t="str">
        <f t="shared" si="164"/>
        <v>B</v>
      </c>
      <c r="EN119" s="97" t="str">
        <f t="shared" si="164"/>
        <v>B</v>
      </c>
      <c r="EO119" s="97" t="str">
        <f t="shared" si="164"/>
        <v>B</v>
      </c>
      <c r="EP119" s="97" t="str">
        <f t="shared" si="164"/>
        <v>A</v>
      </c>
      <c r="EQ119" s="97" t="str">
        <f t="shared" si="164"/>
        <v>A</v>
      </c>
      <c r="ER119" s="97" t="str">
        <f t="shared" si="164"/>
        <v>B</v>
      </c>
      <c r="ES119" s="97" t="str">
        <f t="shared" si="164"/>
        <v>B</v>
      </c>
      <c r="ET119" s="97" t="str">
        <f t="shared" si="164"/>
        <v>B</v>
      </c>
      <c r="EU119" s="97" t="str">
        <f t="shared" si="164"/>
        <v>B</v>
      </c>
      <c r="EV119" s="97" t="str">
        <f t="shared" si="164"/>
        <v>B</v>
      </c>
      <c r="EW119" s="97" t="str">
        <f t="shared" si="164"/>
        <v>B</v>
      </c>
      <c r="EX119" s="97" t="str">
        <f t="shared" si="164"/>
        <v>B</v>
      </c>
      <c r="EY119" s="97" t="str">
        <f t="shared" si="164"/>
        <v>A</v>
      </c>
      <c r="EZ119" s="97" t="str">
        <f t="shared" si="164"/>
        <v>B</v>
      </c>
      <c r="FA119" s="97" t="str">
        <f t="shared" si="164"/>
        <v>B</v>
      </c>
      <c r="FB119" s="97" t="str">
        <f t="shared" si="164"/>
        <v>B</v>
      </c>
      <c r="FC119" s="97" t="str">
        <f t="shared" si="164"/>
        <v>B</v>
      </c>
      <c r="FD119" s="97" t="str">
        <f t="shared" si="164"/>
        <v>A</v>
      </c>
      <c r="FE119" s="97" t="str">
        <f t="shared" si="164"/>
        <v>B</v>
      </c>
      <c r="FF119" s="97" t="str">
        <f t="shared" si="164"/>
        <v>A</v>
      </c>
      <c r="FG119" s="97" t="str">
        <f t="shared" si="164"/>
        <v>A</v>
      </c>
      <c r="FH119" s="97" t="str">
        <f t="shared" si="164"/>
        <v>B</v>
      </c>
      <c r="FI119" s="97" t="str">
        <f t="shared" si="164"/>
        <v>A</v>
      </c>
      <c r="FJ119" s="97" t="str">
        <f t="shared" si="164"/>
        <v>A</v>
      </c>
      <c r="FK119" s="97" t="str">
        <f t="shared" si="164"/>
        <v>A</v>
      </c>
      <c r="FL119" s="97" t="str">
        <f t="shared" si="164"/>
        <v>B</v>
      </c>
      <c r="FM119" s="97" t="str">
        <f t="shared" si="164"/>
        <v>A</v>
      </c>
      <c r="FN119" s="97" t="str">
        <f t="shared" si="164"/>
        <v>A</v>
      </c>
      <c r="FO119" s="97" t="str">
        <f t="shared" si="164"/>
        <v>A</v>
      </c>
      <c r="FP119" s="97" t="str">
        <f t="shared" si="164"/>
        <v>A</v>
      </c>
      <c r="FQ119" s="97" t="str">
        <f t="shared" si="164"/>
        <v>B</v>
      </c>
      <c r="FR119" s="97" t="str">
        <f t="shared" si="164"/>
        <v>A</v>
      </c>
      <c r="FS119" s="97" t="str">
        <f t="shared" si="164"/>
        <v>A</v>
      </c>
      <c r="FT119" s="97" t="str">
        <f t="shared" si="164"/>
        <v>B</v>
      </c>
      <c r="FU119" s="97" t="str">
        <f t="shared" si="164"/>
        <v>B</v>
      </c>
      <c r="FV119" s="97" t="str">
        <f t="shared" si="164"/>
        <v>B</v>
      </c>
      <c r="FW119" s="97" t="str">
        <f t="shared" si="164"/>
        <v>B</v>
      </c>
      <c r="FX119" s="97" t="str">
        <f t="shared" si="164"/>
        <v>B</v>
      </c>
      <c r="FY119" s="97" t="str">
        <f t="shared" si="164"/>
        <v>B</v>
      </c>
      <c r="FZ119" s="97" t="str">
        <f t="shared" si="164"/>
        <v>A</v>
      </c>
      <c r="GA119" s="97" t="str">
        <f t="shared" si="164"/>
        <v>A</v>
      </c>
      <c r="GB119" s="97" t="str">
        <f t="shared" si="164"/>
        <v>A</v>
      </c>
      <c r="GC119" s="97" t="str">
        <f t="shared" si="164"/>
        <v>B</v>
      </c>
      <c r="GD119" s="97" t="str">
        <f t="shared" si="164"/>
        <v>A</v>
      </c>
      <c r="GE119" s="97" t="str">
        <f t="shared" si="164"/>
        <v>A</v>
      </c>
      <c r="GF119" s="97" t="str">
        <f t="shared" si="164"/>
        <v>B</v>
      </c>
      <c r="GG119" s="97" t="str">
        <f t="shared" si="164"/>
        <v>A</v>
      </c>
      <c r="GH119" s="97" t="str">
        <f t="shared" si="164"/>
        <v>A</v>
      </c>
      <c r="GI119" s="97" t="str">
        <f t="shared" si="164"/>
        <v>A</v>
      </c>
      <c r="GJ119" s="97" t="str">
        <f t="shared" si="164"/>
        <v>A</v>
      </c>
      <c r="GK119" s="97" t="str">
        <f t="shared" si="164"/>
        <v>A</v>
      </c>
      <c r="GL119" s="97" t="str">
        <f t="shared" si="164"/>
        <v>B</v>
      </c>
      <c r="GM119" s="97" t="str">
        <f t="shared" si="164"/>
        <v>B</v>
      </c>
      <c r="GN119" s="97" t="str">
        <f t="shared" si="164"/>
        <v>B</v>
      </c>
      <c r="GO119" s="97" t="str">
        <f t="shared" si="164"/>
        <v>B</v>
      </c>
      <c r="GP119" s="97" t="str">
        <f t="shared" si="164"/>
        <v>B</v>
      </c>
      <c r="GQ119" s="97" t="str">
        <f t="shared" si="164"/>
        <v>B</v>
      </c>
      <c r="GR119" s="97" t="str">
        <f t="shared" si="164"/>
        <v>A</v>
      </c>
      <c r="GS119" s="97" t="str">
        <f t="shared" si="164"/>
        <v>A</v>
      </c>
      <c r="GT119" s="97" t="str">
        <f t="shared" si="164"/>
        <v>A</v>
      </c>
      <c r="GU119" s="97" t="str">
        <f t="shared" si="164"/>
        <v>B</v>
      </c>
      <c r="GV119" s="97" t="str">
        <f t="shared" si="164"/>
        <v>A</v>
      </c>
      <c r="GW119" s="97" t="str">
        <f t="shared" si="164"/>
        <v>A</v>
      </c>
      <c r="GX119" s="97" t="str">
        <f t="shared" si="164"/>
        <v>A</v>
      </c>
      <c r="GY119" s="98"/>
      <c r="GZ119" s="97">
        <f t="shared" si="3"/>
        <v>52</v>
      </c>
      <c r="HA119" s="97">
        <f t="shared" si="4"/>
        <v>48</v>
      </c>
      <c r="HB119" s="90">
        <f t="shared" si="5"/>
        <v>100</v>
      </c>
      <c r="HC119" s="99"/>
      <c r="HD119" s="97">
        <f t="shared" si="6"/>
        <v>9</v>
      </c>
      <c r="HE119" s="97">
        <f t="shared" si="7"/>
        <v>5</v>
      </c>
      <c r="HF119" s="90">
        <f t="shared" si="8"/>
        <v>14</v>
      </c>
      <c r="HG119" s="99"/>
      <c r="HH119" s="97">
        <f t="shared" si="9"/>
        <v>2</v>
      </c>
      <c r="HI119" s="97">
        <f t="shared" si="10"/>
        <v>2</v>
      </c>
      <c r="HJ119" s="90">
        <f t="shared" si="11"/>
        <v>4</v>
      </c>
      <c r="HK119" s="99"/>
      <c r="HL119" s="97">
        <f t="shared" si="12"/>
        <v>6</v>
      </c>
      <c r="HM119" s="97">
        <f t="shared" si="13"/>
        <v>4</v>
      </c>
      <c r="HN119" s="90">
        <f t="shared" si="14"/>
        <v>10</v>
      </c>
      <c r="HO119" s="99"/>
      <c r="HP119" s="97">
        <f t="shared" si="15"/>
        <v>4</v>
      </c>
      <c r="HQ119" s="97">
        <f t="shared" si="16"/>
        <v>6</v>
      </c>
      <c r="HR119" s="90">
        <f t="shared" si="17"/>
        <v>10</v>
      </c>
      <c r="HS119" s="99"/>
      <c r="HT119" s="97">
        <f t="shared" si="18"/>
        <v>9</v>
      </c>
      <c r="HU119" s="97">
        <f t="shared" si="19"/>
        <v>8</v>
      </c>
      <c r="HV119" s="90">
        <f t="shared" si="20"/>
        <v>17</v>
      </c>
      <c r="HW119" s="99"/>
      <c r="HX119" s="97">
        <f t="shared" si="21"/>
        <v>6</v>
      </c>
      <c r="HY119" s="97">
        <f t="shared" si="22"/>
        <v>5</v>
      </c>
      <c r="HZ119" s="90">
        <f t="shared" si="23"/>
        <v>11</v>
      </c>
      <c r="IA119" s="99"/>
      <c r="IB119" s="97">
        <f t="shared" si="24"/>
        <v>5</v>
      </c>
      <c r="IC119" s="97">
        <f t="shared" si="25"/>
        <v>3</v>
      </c>
      <c r="ID119" s="90">
        <f t="shared" si="26"/>
        <v>8</v>
      </c>
      <c r="IE119" s="99"/>
      <c r="IF119" s="97">
        <f t="shared" si="27"/>
        <v>4</v>
      </c>
      <c r="IG119" s="97">
        <f t="shared" si="28"/>
        <v>6</v>
      </c>
      <c r="IH119" s="90">
        <f t="shared" si="29"/>
        <v>10</v>
      </c>
      <c r="II119" s="99"/>
      <c r="IJ119" s="97">
        <f t="shared" si="30"/>
        <v>3</v>
      </c>
      <c r="IK119" s="97">
        <f t="shared" si="31"/>
        <v>4</v>
      </c>
      <c r="IL119" s="90">
        <f t="shared" si="32"/>
        <v>7</v>
      </c>
      <c r="IM119" s="99"/>
      <c r="IN119" s="97">
        <f t="shared" si="33"/>
        <v>2</v>
      </c>
      <c r="IO119" s="97">
        <f t="shared" si="34"/>
        <v>4</v>
      </c>
      <c r="IP119" s="90">
        <f t="shared" si="35"/>
        <v>6</v>
      </c>
      <c r="IS119" s="100">
        <f t="shared" si="36"/>
        <v>14</v>
      </c>
      <c r="IT119" s="100">
        <f t="shared" si="37"/>
        <v>4</v>
      </c>
      <c r="IU119" s="100">
        <f t="shared" si="38"/>
        <v>10</v>
      </c>
      <c r="IV119" s="100">
        <f t="shared" si="39"/>
        <v>10</v>
      </c>
      <c r="IW119" s="100">
        <f t="shared" si="40"/>
        <v>17</v>
      </c>
      <c r="IX119" s="100">
        <f t="shared" si="41"/>
        <v>11</v>
      </c>
      <c r="IY119" s="100">
        <f t="shared" si="42"/>
        <v>8</v>
      </c>
      <c r="IZ119" s="100">
        <f t="shared" si="43"/>
        <v>10</v>
      </c>
      <c r="JA119" s="100">
        <f t="shared" si="44"/>
        <v>7</v>
      </c>
      <c r="JB119" s="101">
        <f t="shared" si="45"/>
        <v>6</v>
      </c>
      <c r="JC119" s="102">
        <f t="shared" si="46"/>
        <v>97</v>
      </c>
      <c r="JD119" s="67">
        <f t="shared" si="50"/>
        <v>1</v>
      </c>
      <c r="JE119" s="67">
        <f t="shared" si="47"/>
        <v>2</v>
      </c>
      <c r="JF119" s="67">
        <f t="shared" si="48"/>
        <v>3</v>
      </c>
    </row>
    <row r="120">
      <c r="A120" s="104">
        <f>IFERROR(__xludf.DUMMYFUNCTION("""COMPUTED_VALUE"""),45964.813821539356)</f>
        <v>45964.81382</v>
      </c>
      <c r="B120" s="105" t="str">
        <f>IFERROR(__xludf.DUMMYFUNCTION("""COMPUTED_VALUE"""),"adlin ar rihaily")</f>
        <v>adlin ar rihaily</v>
      </c>
      <c r="C120" s="7" t="str">
        <f>IFERROR(__xludf.DUMMYFUNCTION("""COMPUTED_VALUE"""),"D250020")</f>
        <v>D250020</v>
      </c>
      <c r="D120" s="7" t="str">
        <f>IFERROR(__xludf.DUMMYFUNCTION("""COMPUTED_VALUE"""),"MTs Putri")</f>
        <v>MTs Putri</v>
      </c>
      <c r="E120" s="7" t="str">
        <f>IFERROR(__xludf.DUMMYFUNCTION("""COMPUTED_VALUE"""),"Ya")</f>
        <v>Ya</v>
      </c>
      <c r="F120" s="105" t="str">
        <f>IFERROR(__xludf.DUMMYFUNCTION("""COMPUTED_VALUE"""),"B Saya ingin melakukan apa saja sebaik mungkin.")</f>
        <v>B Saya ingin melakukan apa saja sebaik mungkin.</v>
      </c>
      <c r="G120" s="105" t="str">
        <f>IFERROR(__xludf.DUMMYFUNCTION("""COMPUTED_VALUE"""),"B Saya ingin menyelesaikan tugas yang segera dikumpulkan.")</f>
        <v>B Saya ingin menyelesaikan tugas yang segera dikumpulkan.</v>
      </c>
      <c r="H120" s="105" t="str">
        <f>IFERROR(__xludf.DUMMYFUNCTION("""COMPUTED_VALUE"""),"B Saya ingin menjadi orang yang diakui dalam suatu pekerjaan atau bidang khusus.")</f>
        <v>B Saya ingin menjadi orang yang diakui dalam suatu pekerjaan atau bidang khusus.</v>
      </c>
      <c r="I120" s="105" t="str">
        <f>IFERROR(__xludf.DUMMYFUNCTION("""COMPUTED_VALUE"""),"B Saya ingin bisa melakukan dengan baik meskipun tugas yang sulit.")</f>
        <v>B Saya ingin bisa melakukan dengan baik meskipun tugas yang sulit.</v>
      </c>
      <c r="J120" s="105" t="str">
        <f>IFERROR(__xludf.DUMMYFUNCTION("""COMPUTED_VALUE"""),"A Saya suka membantu teman-teman saya apabila mereka mengalami kesulitan.")</f>
        <v>A Saya suka membantu teman-teman saya apabila mereka mengalami kesulitan.</v>
      </c>
      <c r="K120" s="105" t="str">
        <f>IFERROR(__xludf.DUMMYFUNCTION("""COMPUTED_VALUE"""),"B Saya ingin mengatakan telah melakukan dengan baik sesuatu tugas yang sulit.")</f>
        <v>B Saya ingin mengatakan telah melakukan dengan baik sesuatu tugas yang sulit.</v>
      </c>
      <c r="L120" s="105" t="str">
        <f>IFERROR(__xludf.DUMMYFUNCTION("""COMPUTED_VALUE"""),"B Saya ingin mengatakan telah melakukan dengan baik sesuatu tugas yang sulit")</f>
        <v>B Saya ingin mengatakan telah melakukan dengan baik sesuatu tugas yang sulit</v>
      </c>
      <c r="M120" s="105" t="str">
        <f>IFERROR(__xludf.DUMMYFUNCTION("""COMPUTED_VALUE"""),"A Saya suka berbicara tentang hal-hal yang telah berhasil saya lakukan.")</f>
        <v>A Saya suka berbicara tentang hal-hal yang telah berhasil saya lakukan.</v>
      </c>
      <c r="N120" s="105" t="str">
        <f>IFERROR(__xludf.DUMMYFUNCTION("""COMPUTED_VALUE"""),"B Saya suka memecahkan persoalan yang sukar bagi orang lain.")</f>
        <v>B Saya suka memecahkan persoalan yang sukar bagi orang lain.</v>
      </c>
      <c r="O120" s="105" t="str">
        <f>IFERROR(__xludf.DUMMYFUNCTION("""COMPUTED_VALUE"""),"B Saya suka melakukan tugas sebaik mungkin.")</f>
        <v>B Saya suka melakukan tugas sebaik mungkin.</v>
      </c>
      <c r="P120" s="105" t="str">
        <f>IFERROR(__xludf.DUMMYFUNCTION("""COMPUTED_VALUE"""),"B Saya ingin setiap belajar itu teratur dan direncanakan.")</f>
        <v>B Saya ingin setiap belajar itu teratur dan direncanakan.</v>
      </c>
      <c r="Q120" s="105" t="str">
        <f>IFERROR(__xludf.DUMMYFUNCTION("""COMPUTED_VALUE"""),"B Saya merencanakan keperluan yang dibutuhkan sebelum bepergian.")</f>
        <v>B Saya merencanakan keperluan yang dibutuhkan sebelum bepergian.</v>
      </c>
      <c r="R120" s="105" t="str">
        <f>IFERROR(__xludf.DUMMYFUNCTION("""COMPUTED_VALUE"""),"B Saya suka barang-barang saya tersusun rapi dan teratur.")</f>
        <v>B Saya suka barang-barang saya tersusun rapi dan teratur.</v>
      </c>
      <c r="S120" s="105" t="str">
        <f>IFERROR(__xludf.DUMMYFUNCTION("""COMPUTED_VALUE"""),"B Saya suka membuat perencanaan sebelum memulai tugas yang sulit.")</f>
        <v>B Saya suka membuat perencanaan sebelum memulai tugas yang sulit.</v>
      </c>
      <c r="T120" s="105" t="str">
        <f>IFERROR(__xludf.DUMMYFUNCTION("""COMPUTED_VALUE"""),"B Saya ingin agar hidup saya teratur sesuai cita-cita saya.")</f>
        <v>B Saya ingin agar hidup saya teratur sesuai cita-cita saya.</v>
      </c>
      <c r="U120" s="105" t="str">
        <f>IFERROR(__xludf.DUMMYFUNCTION("""COMPUTED_VALUE"""),"A Saya suka memberikan bantuan kepada teman-teman saya.")</f>
        <v>A Saya suka memberikan bantuan kepada teman-teman saya.</v>
      </c>
      <c r="V120" s="105" t="str">
        <f>IFERROR(__xludf.DUMMYFUNCTION("""COMPUTED_VALUE"""),"B Saya suka belajar saya teratur dan ada waktu-waktu tertentu untuk belajar.")</f>
        <v>B Saya suka belajar saya teratur dan ada waktu-waktu tertentu untuk belajar.</v>
      </c>
      <c r="W120" s="105" t="str">
        <f>IFERROR(__xludf.DUMMYFUNCTION("""COMPUTED_VALUE"""),"A Saya suka melakukan kegiatan sesuai kondisi yang saya inginkan.")</f>
        <v>A Saya suka melakukan kegiatan sesuai kondisi yang saya inginkan.</v>
      </c>
      <c r="X120" s="105" t="str">
        <f>IFERROR(__xludf.DUMMYFUNCTION("""COMPUTED_VALUE"""),"A Saya suka merencanakan dan mengatur setiap apa yang harus saya lakukan.")</f>
        <v>A Saya suka merencanakan dan mengatur setiap apa yang harus saya lakukan.</v>
      </c>
      <c r="Y120" s="105" t="str">
        <f>IFERROR(__xludf.DUMMYFUNCTION("""COMPUTED_VALUE"""),"A Saya suka menyelesaikan tugas-tugas yang membutuhkan ketrampilan dan usaha.")</f>
        <v>A Saya suka menyelesaikan tugas-tugas yang membutuhkan ketrampilan dan usaha.</v>
      </c>
      <c r="Z120" s="105" t="str">
        <f>IFERROR(__xludf.DUMMYFUNCTION("""COMPUTED_VALUE"""),"A Saya ingin berhasil dengan belajar yang saya lakukan.")</f>
        <v>A Saya ingin berhasil dengan belajar yang saya lakukan.</v>
      </c>
      <c r="AA120" s="105" t="str">
        <f>IFERROR(__xludf.DUMMYFUNCTION("""COMPUTED_VALUE"""),"A Saya suka menyelesaikan tugas yang telah saya rencanakan.")</f>
        <v>A Saya suka menyelesaikan tugas yang telah saya rencanakan.</v>
      </c>
      <c r="AB120" s="105" t="str">
        <f>IFERROR(__xludf.DUMMYFUNCTION("""COMPUTED_VALUE"""),"B Saya ingin menyelesaikan pekerjaan satu persatu sebelum memulai yang lain.")</f>
        <v>B Saya ingin menyelesaikan pekerjaan satu persatu sebelum memulai yang lain.</v>
      </c>
      <c r="AC120" s="105" t="str">
        <f>IFERROR(__xludf.DUMMYFUNCTION("""COMPUTED_VALUE"""),"B Saya suka melakukan kegiatan sesuai kondisi yang saya inginkan.")</f>
        <v>B Saya suka melakukan kegiatan sesuai kondisi yang saya inginkan.</v>
      </c>
      <c r="AD120" s="105" t="str">
        <f>IFERROR(__xludf.DUMMYFUNCTION("""COMPUTED_VALUE"""),"B Saya suka menyatakan pendapat saya tentang berbagai hal.")</f>
        <v>B Saya suka menyatakan pendapat saya tentang berbagai hal.</v>
      </c>
      <c r="AE120" s="105" t="str">
        <f>IFERROR(__xludf.DUMMYFUNCTION("""COMPUTED_VALUE"""),"A Saya ingin dianggap sebagai pemimpin oleh teman di kelompok.")</f>
        <v>A Saya ingin dianggap sebagai pemimpin oleh teman di kelompok.</v>
      </c>
      <c r="AF120" s="105" t="str">
        <f>IFERROR(__xludf.DUMMYFUNCTION("""COMPUTED_VALUE"""),"B Saya suka melakukan hal-hal dengan cara saya sendiri.")</f>
        <v>B Saya suka melakukan hal-hal dengan cara saya sendiri.</v>
      </c>
      <c r="AG120" s="105" t="str">
        <f>IFERROR(__xludf.DUMMYFUNCTION("""COMPUTED_VALUE"""),"B Saya ingin berhasil dengan tugas yang saya lakukan.")</f>
        <v>B Saya ingin berhasil dengan tugas yang saya lakukan.</v>
      </c>
      <c r="AH120" s="105" t="str">
        <f>IFERROR(__xludf.DUMMYFUNCTION("""COMPUTED_VALUE"""),"A Saya suka membaca buku-buku tentang pergaulan remaja.")</f>
        <v>A Saya suka membaca buku-buku tentang pergaulan remaja.</v>
      </c>
      <c r="AI120" s="105" t="str">
        <f>IFERROR(__xludf.DUMMYFUNCTION("""COMPUTED_VALUE"""),"B Saya suka melakukan kegiatan sesuai kondisi yang saya inginkan.")</f>
        <v>B Saya suka melakukan kegiatan sesuai kondisi yang saya inginkan.</v>
      </c>
      <c r="AJ120" s="105" t="str">
        <f>IFERROR(__xludf.DUMMYFUNCTION("""COMPUTED_VALUE"""),"B Saya suka bertahan menghadapi satu masalah meskipun belum tentu berhasil.")</f>
        <v>B Saya suka bertahan menghadapi satu masalah meskipun belum tentu berhasil.</v>
      </c>
      <c r="AK120" s="105" t="str">
        <f>IFERROR(__xludf.DUMMYFUNCTION("""COMPUTED_VALUE"""),"B Bila saya harus melakukan suatu tugas, saya ingin mengerjakan sampai selesai.")</f>
        <v>B Bila saya harus melakukan suatu tugas, saya ingin mengerjakan sampai selesai.</v>
      </c>
      <c r="AL120" s="105" t="str">
        <f>IFERROR(__xludf.DUMMYFUNCTION("""COMPUTED_VALUE"""),"B Saya ingin menghindarkan gangguan bila saya sedang belajar.")</f>
        <v>B Saya ingin menghindarkan gangguan bila saya sedang belajar.</v>
      </c>
      <c r="AM120" s="105" t="str">
        <f>IFERROR(__xludf.DUMMYFUNCTION("""COMPUTED_VALUE"""),"B Saya suka belajar sampai malam untuk menyelesaikan suatu tugas.")</f>
        <v>B Saya suka belajar sampai malam untuk menyelesaikan suatu tugas.</v>
      </c>
      <c r="AN120" s="105" t="str">
        <f>IFERROR(__xludf.DUMMYFUNCTION("""COMPUTED_VALUE"""),"A Saya tidak suka pada orang yang semena-mena.")</f>
        <v>A Saya tidak suka pada orang yang semena-mena.</v>
      </c>
      <c r="AO120" s="105" t="str">
        <f>IFERROR(__xludf.DUMMYFUNCTION("""COMPUTED_VALUE"""),"A Saya suka berlaku sangat ramah terhadap teman-teman saya.")</f>
        <v>A Saya suka berlaku sangat ramah terhadap teman-teman saya.</v>
      </c>
      <c r="AP120" s="105" t="str">
        <f>IFERROR(__xludf.DUMMYFUNCTION("""COMPUTED_VALUE"""),"A Saya ingin mengerjakannya tugas sampai selesai.")</f>
        <v>A Saya ingin mengerjakannya tugas sampai selesai.</v>
      </c>
      <c r="AQ120" s="105" t="str">
        <f>IFERROR(__xludf.DUMMYFUNCTION("""COMPUTED_VALUE"""),"B Bila saya harus melakukan suatu tugas, saya ingin mengerjakan sampai selesai.")</f>
        <v>B Bila saya harus melakukan suatu tugas, saya ingin mengerjakan sampai selesai.</v>
      </c>
      <c r="AR120" s="105" t="str">
        <f>IFERROR(__xludf.DUMMYFUNCTION("""COMPUTED_VALUE"""),"A Saya suka menyimpan catatan secara rapi.")</f>
        <v>A Saya suka menyimpan catatan secara rapi.</v>
      </c>
      <c r="AS120" s="105" t="str">
        <f>IFERROR(__xludf.DUMMYFUNCTION("""COMPUTED_VALUE"""),"B Saya suka belajar sampai malam untuk menyelesaikan suatu tugas.")</f>
        <v>B Saya suka belajar sampai malam untuk menyelesaikan suatu tugas.</v>
      </c>
      <c r="AT120" s="105" t="str">
        <f>IFERROR(__xludf.DUMMYFUNCTION("""COMPUTED_VALUE"""),"B Saya suka membantu orang lain yang menurut saya perlu dikasihani.")</f>
        <v>B Saya suka membantu orang lain yang menurut saya perlu dikasihani.</v>
      </c>
      <c r="AU120" s="105" t="str">
        <f>IFERROR(__xludf.DUMMYFUNCTION("""COMPUTED_VALUE"""),"B Saya suka bermurah hati terhadap teman-teman saya.")</f>
        <v>B Saya suka bermurah hati terhadap teman-teman saya.</v>
      </c>
      <c r="AV120" s="105" t="str">
        <f>IFERROR(__xludf.DUMMYFUNCTION("""COMPUTED_VALUE"""),"B Saya suka menolong teman-teman saya.")</f>
        <v>B Saya suka menolong teman-teman saya.</v>
      </c>
      <c r="AW120" s="105" t="str">
        <f>IFERROR(__xludf.DUMMYFUNCTION("""COMPUTED_VALUE"""),"B Saya ingin teman-teman saya percaya bahwa saya bisa menolong mereka.")</f>
        <v>B Saya ingin teman-teman saya percaya bahwa saya bisa menolong mereka.</v>
      </c>
      <c r="AX120" s="105" t="str">
        <f>IFERROR(__xludf.DUMMYFUNCTION("""COMPUTED_VALUE"""),"A Saya suka menolong teman-teman saya apabila mereka dalam kesulitan.")</f>
        <v>A Saya suka menolong teman-teman saya apabila mereka dalam kesulitan.</v>
      </c>
      <c r="AY120" s="105" t="str">
        <f>IFERROR(__xludf.DUMMYFUNCTION("""COMPUTED_VALUE"""),"B Saya suka menolong teman-teman saya apabila mereka dalam kesulitan.")</f>
        <v>B Saya suka menolong teman-teman saya apabila mereka dalam kesulitan.</v>
      </c>
      <c r="AZ120" s="105" t="str">
        <f>IFERROR(__xludf.DUMMYFUNCTION("""COMPUTED_VALUE"""),"B Saya suka menunjukkan simpati saya kepada teman-teman saya.")</f>
        <v>B Saya suka menunjukkan simpati saya kepada teman-teman saya.</v>
      </c>
      <c r="BA120" s="105" t="str">
        <f>IFERROR(__xludf.DUMMYFUNCTION("""COMPUTED_VALUE"""),"A Saya suka menyatakan pendapat saya tentang berbagai hal.")</f>
        <v>A Saya suka menyatakan pendapat saya tentang berbagai hal.</v>
      </c>
      <c r="BB120" s="105" t="str">
        <f>IFERROR(__xludf.DUMMYFUNCTION("""COMPUTED_VALUE"""),"B Saya suka bermurah hati terhadap teman-teman saya.")</f>
        <v>B Saya suka bermurah hati terhadap teman-teman saya.</v>
      </c>
      <c r="BC120" s="105" t="str">
        <f>IFERROR(__xludf.DUMMYFUNCTION("""COMPUTED_VALUE"""),"B Saya suka membantu orang lain yang menurut saya perlu dikasihani.")</f>
        <v>B Saya suka membantu orang lain yang menurut saya perlu dikasihani.</v>
      </c>
      <c r="BD120" s="105" t="str">
        <f>IFERROR(__xludf.DUMMYFUNCTION("""COMPUTED_VALUE"""),"B Saya suka bersikukuh dengan pendirian saya.")</f>
        <v>B Saya suka bersikukuh dengan pendirian saya.</v>
      </c>
      <c r="BE120" s="105" t="str">
        <f>IFERROR(__xludf.DUMMYFUNCTION("""COMPUTED_VALUE"""),"B Saya ingin orang lain melakukan apa yang saya kehendaki.")</f>
        <v>B Saya ingin orang lain melakukan apa yang saya kehendaki.</v>
      </c>
      <c r="BF120" s="105" t="str">
        <f>IFERROR(__xludf.DUMMYFUNCTION("""COMPUTED_VALUE"""),"B Bila saya dalam kelompok, saya ingin menentukan apa yang akan kita lakukan.")</f>
        <v>B Bila saya dalam kelompok, saya ingin menentukan apa yang akan kita lakukan.</v>
      </c>
      <c r="BG120" s="105" t="str">
        <f>IFERROR(__xludf.DUMMYFUNCTION("""COMPUTED_VALUE"""),"B Saya suka mengarahkan kepada orang lain apa yang harus dilakukan.")</f>
        <v>B Saya suka mengarahkan kepada orang lain apa yang harus dilakukan.</v>
      </c>
      <c r="BH120" s="105" t="str">
        <f>IFERROR(__xludf.DUMMYFUNCTION("""COMPUTED_VALUE"""),"A Saya suka menghindar dari situasi yang tidak saya harapkan.")</f>
        <v>A Saya suka menghindar dari situasi yang tidak saya harapkan.</v>
      </c>
      <c r="BI120" s="105" t="str">
        <f>IFERROR(__xludf.DUMMYFUNCTION("""COMPUTED_VALUE"""),"A Saya suka bermurah hati terhadap teman-teman saya.")</f>
        <v>A Saya suka bermurah hati terhadap teman-teman saya.</v>
      </c>
      <c r="BJ120" s="105" t="str">
        <f>IFERROR(__xludf.DUMMYFUNCTION("""COMPUTED_VALUE"""),"A Saya ingin mengerjakan tugas sampai selesai.")</f>
        <v>A Saya ingin mengerjakan tugas sampai selesai.</v>
      </c>
      <c r="BK120" s="105" t="str">
        <f>IFERROR(__xludf.DUMMYFUNCTION("""COMPUTED_VALUE"""),"A Saya ingin menyelesaikan pekerjaan satu persatu sebelum memulai yang lain.")</f>
        <v>A Saya ingin menyelesaikan pekerjaan satu persatu sebelum memulai yang lain.</v>
      </c>
      <c r="BL120" s="105" t="str">
        <f>IFERROR(__xludf.DUMMYFUNCTION("""COMPUTED_VALUE"""),"A Saya suka belajar saya teratur dan ada waktu-waktu tertentu untuk belajar.")</f>
        <v>A Saya suka belajar saya teratur dan ada waktu-waktu tertentu untuk belajar.</v>
      </c>
      <c r="BM120" s="105" t="str">
        <f>IFERROR(__xludf.DUMMYFUNCTION("""COMPUTED_VALUE"""),"A Saya suka melakukan pekerjaan sebaik mungkin.")</f>
        <v>A Saya suka melakukan pekerjaan sebaik mungkin.</v>
      </c>
      <c r="BN120" s="105" t="str">
        <f>IFERROR(__xludf.DUMMYFUNCTION("""COMPUTED_VALUE"""),"B Saya ingin teman-teman memberi dorongan bila saya menghadapi kegagalan.")</f>
        <v>B Saya ingin teman-teman memberi dorongan bila saya menghadapi kegagalan.</v>
      </c>
      <c r="BO120" s="105" t="str">
        <f>IFERROR(__xludf.DUMMYFUNCTION("""COMPUTED_VALUE"""),"A Saya suka membuat perencanaan sebelum memulai belajar yang sulit.")</f>
        <v>A Saya suka membuat perencanaan sebelum memulai belajar yang sulit.</v>
      </c>
      <c r="BP120" s="105" t="str">
        <f>IFERROR(__xludf.DUMMYFUNCTION("""COMPUTED_VALUE"""),"A Saya ingin menyelesaikan sesuatu yang sangat penting artinya.")</f>
        <v>A Saya ingin menyelesaikan sesuatu yang sangat penting artinya.</v>
      </c>
      <c r="BQ120" s="105" t="str">
        <f>IFERROR(__xludf.DUMMYFUNCTION("""COMPUTED_VALUE"""),"A Saya ingin mengerjakannya tugas sampai selesai.")</f>
        <v>A Saya ingin mengerjakannya tugas sampai selesai.</v>
      </c>
      <c r="BR120" s="105" t="str">
        <f>IFERROR(__xludf.DUMMYFUNCTION("""COMPUTED_VALUE"""),"B Saya ingin agar teman-teman saya bersimpati dan menghibur saya bila saya sedih.")</f>
        <v>B Saya ingin agar teman-teman saya bersimpati dan menghibur saya bila saya sedih.</v>
      </c>
      <c r="BS120" s="105" t="str">
        <f>IFERROR(__xludf.DUMMYFUNCTION("""COMPUTED_VALUE"""),"B Saya ingin teman-teman saya membantu saya bila saya mengalami kesulitan")</f>
        <v>B Saya ingin teman-teman saya membantu saya bila saya mengalami kesulitan</v>
      </c>
      <c r="BT120" s="105" t="str">
        <f>IFERROR(__xludf.DUMMYFUNCTION("""COMPUTED_VALUE"""),"A Saya ingin teman-teman saya merasa kasihan pada saya apabila saya sakit.")</f>
        <v>A Saya ingin teman-teman saya merasa kasihan pada saya apabila saya sakit.</v>
      </c>
      <c r="BU120" s="105" t="str">
        <f>IFERROR(__xludf.DUMMYFUNCTION("""COMPUTED_VALUE"""),"B Saya ingin agar teman-teman saya merasa kasihan pada saya apabila saya sakit.")</f>
        <v>B Saya ingin agar teman-teman saya merasa kasihan pada saya apabila saya sakit.</v>
      </c>
      <c r="BV120" s="105" t="str">
        <f>IFERROR(__xludf.DUMMYFUNCTION("""COMPUTED_VALUE"""),"B Saya ingin teman-teman dengan gembira memberikan pertolongan kepada saya.")</f>
        <v>B Saya ingin teman-teman dengan gembira memberikan pertolongan kepada saya.</v>
      </c>
      <c r="BW120" s="105" t="str">
        <f>IFERROR(__xludf.DUMMYFUNCTION("""COMPUTED_VALUE"""),"B Saya ingin diperlakukan dengan baik oleh teman-teman saya.")</f>
        <v>B Saya ingin diperlakukan dengan baik oleh teman-teman saya.</v>
      </c>
      <c r="BX120" s="105" t="str">
        <f>IFERROR(__xludf.DUMMYFUNCTION("""COMPUTED_VALUE"""),"B Saya kadang-kadang suka melakukan hal-hal yang dapat dipuji oleh orang lain.")</f>
        <v>B Saya kadang-kadang suka melakukan hal-hal yang dapat dipuji oleh orang lain.</v>
      </c>
      <c r="BY120" s="105" t="str">
        <f>IFERROR(__xludf.DUMMYFUNCTION("""COMPUTED_VALUE"""),"A Saya suka melamun atau membayangkan hal-hal yang tidak jelas.")</f>
        <v>A Saya suka melamun atau membayangkan hal-hal yang tidak jelas.</v>
      </c>
      <c r="BZ120" s="105" t="str">
        <f>IFERROR(__xludf.DUMMYFUNCTION("""COMPUTED_VALUE"""),"B Saya suka diperhatikan, apabila saya ada di dalam suatu kelompok.")</f>
        <v>B Saya suka diperhatikan, apabila saya ada di dalam suatu kelompok.</v>
      </c>
      <c r="CA120" s="105" t="str">
        <f>IFERROR(__xludf.DUMMYFUNCTION("""COMPUTED_VALUE"""),"A Saya ingin teman-teman dengan gembira memberikan pertolongan kepada saya.")</f>
        <v>A Saya ingin teman-teman dengan gembira memberikan pertolongan kepada saya.</v>
      </c>
      <c r="CB120" s="105" t="str">
        <f>IFERROR(__xludf.DUMMYFUNCTION("""COMPUTED_VALUE"""),"B Saya suka berbicara tentang hal-hal yang telah saya capai.")</f>
        <v>B Saya suka berbicara tentang hal-hal yang telah saya capai.</v>
      </c>
      <c r="CC120" s="105" t="str">
        <f>IFERROR(__xludf.DUMMYFUNCTION("""COMPUTED_VALUE"""),"B Saya suka menceritakan hal-hal lucu agar diperhatikan oleh orang lain.")</f>
        <v>B Saya suka menceritakan hal-hal lucu agar diperhatikan oleh orang lain.</v>
      </c>
      <c r="CD120" s="105" t="str">
        <f>IFERROR(__xludf.DUMMYFUNCTION("""COMPUTED_VALUE"""),"A Saya suka menyelesaikan setiap tugas meskipun membutuhkan waktu lama.")</f>
        <v>A Saya suka menyelesaikan setiap tugas meskipun membutuhkan waktu lama.</v>
      </c>
      <c r="CE120" s="105" t="str">
        <f>IFERROR(__xludf.DUMMYFUNCTION("""COMPUTED_VALUE"""),"A Saya suka menyelesaikan setiap tugas belajar yang telah saya mulai.")</f>
        <v>A Saya suka menyelesaikan setiap tugas belajar yang telah saya mulai.</v>
      </c>
      <c r="CF120" s="105" t="str">
        <f>IFERROR(__xludf.DUMMYFUNCTION("""COMPUTED_VALUE"""),"A Saya ingin agar hidup saya teratur sesuai cita-cita saya.")</f>
        <v>A Saya ingin agar hidup saya teratur sesuai cita-cita saya.</v>
      </c>
      <c r="CG120" s="105" t="str">
        <f>IFERROR(__xludf.DUMMYFUNCTION("""COMPUTED_VALUE"""),"A Saya ingin berhasil dalam apa yang saya lakukan.")</f>
        <v>A Saya ingin berhasil dalam apa yang saya lakukan.</v>
      </c>
      <c r="CH120" s="105" t="str">
        <f>IFERROR(__xludf.DUMMYFUNCTION("""COMPUTED_VALUE"""),"A Saya ingin bisa melakukan dengan baik sesuatu pekerjaan sulit.")</f>
        <v>A Saya ingin bisa melakukan dengan baik sesuatu pekerjaan sulit.</v>
      </c>
      <c r="CI120" s="105" t="str">
        <f>IFERROR(__xludf.DUMMYFUNCTION("""COMPUTED_VALUE"""),"A Saya suka belajar saya teratur dan ada waktu-waktu tertentu untuk belajar.")</f>
        <v>A Saya suka belajar saya teratur dan ada waktu-waktu tertentu untuk belajar.</v>
      </c>
      <c r="CJ120" s="105" t="str">
        <f>IFERROR(__xludf.DUMMYFUNCTION("""COMPUTED_VALUE"""),"A Saya ingin tidak tergantung dari orang lain terhadap apa yang akan saya lakukan.")</f>
        <v>A Saya ingin tidak tergantung dari orang lain terhadap apa yang akan saya lakukan.</v>
      </c>
      <c r="CK120" s="105" t="str">
        <f>IFERROR(__xludf.DUMMYFUNCTION("""COMPUTED_VALUE"""),"B Saya senang ikut beraktivitas bersama teman sebaya saya.")</f>
        <v>B Saya senang ikut beraktivitas bersama teman sebaya saya.</v>
      </c>
      <c r="CL120" s="105" t="str">
        <f>IFERROR(__xludf.DUMMYFUNCTION("""COMPUTED_VALUE"""),"A Saya suka menolong teman-teman saya, apabila mereka dalam kesulitan.")</f>
        <v>A Saya suka menolong teman-teman saya, apabila mereka dalam kesulitan.</v>
      </c>
      <c r="CM120" s="105" t="str">
        <f>IFERROR(__xludf.DUMMYFUNCTION("""COMPUTED_VALUE"""),"B Saya merasa kagum pada seseorang.")</f>
        <v>B Saya merasa kagum pada seseorang.</v>
      </c>
      <c r="CN120" s="105" t="str">
        <f>IFERROR(__xludf.DUMMYFUNCTION("""COMPUTED_VALUE"""),"A Saya ingin diperlakukan dengan baik oleh teman-teman saya.")</f>
        <v>A Saya ingin diperlakukan dengan baik oleh teman-teman saya.</v>
      </c>
      <c r="CO120" s="105" t="str">
        <f>IFERROR(__xludf.DUMMYFUNCTION("""COMPUTED_VALUE"""),"B Saya suka memuji orang yang saya kagumi.")</f>
        <v>B Saya suka memuji orang yang saya kagumi.</v>
      </c>
      <c r="CP120" s="105" t="str">
        <f>IFERROR(__xludf.DUMMYFUNCTION("""COMPUTED_VALUE"""),"A Saya suka melamun atau membayangkan sesuatu sendirian.")</f>
        <v>A Saya suka melamun atau membayangkan sesuatu sendirian.</v>
      </c>
      <c r="CQ120" s="105" t="str">
        <f>IFERROR(__xludf.DUMMYFUNCTION("""COMPUTED_VALUE"""),"B Saya merasa kagum pada seseorang.")</f>
        <v>B Saya merasa kagum pada seseorang.</v>
      </c>
      <c r="CR120" s="105" t="str">
        <f>IFERROR(__xludf.DUMMYFUNCTION("""COMPUTED_VALUE"""),"B Saya rasanya ingin mengecam seseorang bila orang itu menjengkelkan.")</f>
        <v>B Saya rasanya ingin mengecam seseorang bila orang itu menjengkelkan.</v>
      </c>
      <c r="CS120" s="105" t="str">
        <f>IFERROR(__xludf.DUMMYFUNCTION("""COMPUTED_VALUE"""),"A Saya ingin terlihat menarik di depan teman-teman saya.")</f>
        <v>A Saya ingin terlihat menarik di depan teman-teman saya.</v>
      </c>
      <c r="CT120" s="105" t="str">
        <f>IFERROR(__xludf.DUMMYFUNCTION("""COMPUTED_VALUE"""),"A Saya ingin orang-orang memperhatikan komentar mengenai penampilan saya.")</f>
        <v>A Saya ingin orang-orang memperhatikan komentar mengenai penampilan saya.</v>
      </c>
      <c r="CU120" s="105" t="str">
        <f>IFERROR(__xludf.DUMMYFUNCTION("""COMPUTED_VALUE"""),"A Saya ingin diperlakukan dengan ramah oleh teman-teman saya.")</f>
        <v>A Saya ingin diperlakukan dengan ramah oleh teman-teman saya.</v>
      </c>
      <c r="CV120" s="105" t="str">
        <f>IFERROR(__xludf.DUMMYFUNCTION("""COMPUTED_VALUE"""),"A Saya ingin ditunjuk atau dipilih sebagai ketua dalam suatu kelompok.")</f>
        <v>A Saya ingin ditunjuk atau dipilih sebagai ketua dalam suatu kelompok.</v>
      </c>
      <c r="CW120" s="105" t="str">
        <f>IFERROR(__xludf.DUMMYFUNCTION("""COMPUTED_VALUE"""),"A Saya suka menolong teman-teman saya, apabila mereka dalam kesulitan.")</f>
        <v>A Saya suka menolong teman-teman saya, apabila mereka dalam kesulitan.</v>
      </c>
      <c r="CX120" s="105" t="str">
        <f>IFERROR(__xludf.DUMMYFUNCTION("""COMPUTED_VALUE"""),"A Saya suka belajar sampai malam untuk menyelesaikan suatu tugas.")</f>
        <v>A Saya suka belajar sampai malam untuk menyelesaikan suatu tugas.</v>
      </c>
      <c r="CY120" s="105" t="str">
        <f>IFERROR(__xludf.DUMMYFUNCTION("""COMPUTED_VALUE"""),"A Saya ingin tidak tergantung dari orang lain terhadap apa yang akan saya lakukan.")</f>
        <v>A Saya ingin tidak tergantung dari orang lain terhadap apa yang akan saya lakukan.</v>
      </c>
      <c r="CZ120" s="105" t="str">
        <f>IFERROR(__xludf.DUMMYFUNCTION("""COMPUTED_VALUE"""),"A Saya suka merencanakan dan mengatur setiap pekerjaan yang harus saya lakukan.")</f>
        <v>A Saya suka merencanakan dan mengatur setiap pekerjaan yang harus saya lakukan.</v>
      </c>
      <c r="DA120" s="105" t="str">
        <f>IFERROR(__xludf.DUMMYFUNCTION("""COMPUTED_VALUE"""),"A Saya ingin melakukan apa saja sebaik mungkin.")</f>
        <v>A Saya ingin melakukan apa saja sebaik mungkin.</v>
      </c>
      <c r="DB120" s="89" t="s">
        <v>23</v>
      </c>
      <c r="DC120" s="97" t="str">
        <f t="shared" ref="DC120:GX120" si="165">LEFT(F120,1)</f>
        <v>B</v>
      </c>
      <c r="DD120" s="97" t="str">
        <f t="shared" si="165"/>
        <v>B</v>
      </c>
      <c r="DE120" s="97" t="str">
        <f t="shared" si="165"/>
        <v>B</v>
      </c>
      <c r="DF120" s="97" t="str">
        <f t="shared" si="165"/>
        <v>B</v>
      </c>
      <c r="DG120" s="97" t="str">
        <f t="shared" si="165"/>
        <v>A</v>
      </c>
      <c r="DH120" s="97" t="str">
        <f t="shared" si="165"/>
        <v>B</v>
      </c>
      <c r="DI120" s="97" t="str">
        <f t="shared" si="165"/>
        <v>B</v>
      </c>
      <c r="DJ120" s="97" t="str">
        <f t="shared" si="165"/>
        <v>A</v>
      </c>
      <c r="DK120" s="97" t="str">
        <f t="shared" si="165"/>
        <v>B</v>
      </c>
      <c r="DL120" s="97" t="str">
        <f t="shared" si="165"/>
        <v>B</v>
      </c>
      <c r="DM120" s="97" t="str">
        <f t="shared" si="165"/>
        <v>B</v>
      </c>
      <c r="DN120" s="97" t="str">
        <f t="shared" si="165"/>
        <v>B</v>
      </c>
      <c r="DO120" s="97" t="str">
        <f t="shared" si="165"/>
        <v>B</v>
      </c>
      <c r="DP120" s="97" t="str">
        <f t="shared" si="165"/>
        <v>B</v>
      </c>
      <c r="DQ120" s="97" t="str">
        <f t="shared" si="165"/>
        <v>B</v>
      </c>
      <c r="DR120" s="97" t="str">
        <f t="shared" si="165"/>
        <v>A</v>
      </c>
      <c r="DS120" s="97" t="str">
        <f t="shared" si="165"/>
        <v>B</v>
      </c>
      <c r="DT120" s="97" t="str">
        <f t="shared" si="165"/>
        <v>A</v>
      </c>
      <c r="DU120" s="97" t="str">
        <f t="shared" si="165"/>
        <v>A</v>
      </c>
      <c r="DV120" s="97" t="str">
        <f t="shared" si="165"/>
        <v>A</v>
      </c>
      <c r="DW120" s="97" t="str">
        <f t="shared" si="165"/>
        <v>A</v>
      </c>
      <c r="DX120" s="97" t="str">
        <f t="shared" si="165"/>
        <v>A</v>
      </c>
      <c r="DY120" s="97" t="str">
        <f t="shared" si="165"/>
        <v>B</v>
      </c>
      <c r="DZ120" s="97" t="str">
        <f t="shared" si="165"/>
        <v>B</v>
      </c>
      <c r="EA120" s="97" t="str">
        <f t="shared" si="165"/>
        <v>B</v>
      </c>
      <c r="EB120" s="97" t="str">
        <f t="shared" si="165"/>
        <v>A</v>
      </c>
      <c r="EC120" s="97" t="str">
        <f t="shared" si="165"/>
        <v>B</v>
      </c>
      <c r="ED120" s="97" t="str">
        <f t="shared" si="165"/>
        <v>B</v>
      </c>
      <c r="EE120" s="97" t="str">
        <f t="shared" si="165"/>
        <v>A</v>
      </c>
      <c r="EF120" s="97" t="str">
        <f t="shared" si="165"/>
        <v>B</v>
      </c>
      <c r="EG120" s="97" t="str">
        <f t="shared" si="165"/>
        <v>B</v>
      </c>
      <c r="EH120" s="97" t="str">
        <f t="shared" si="165"/>
        <v>B</v>
      </c>
      <c r="EI120" s="97" t="str">
        <f t="shared" si="165"/>
        <v>B</v>
      </c>
      <c r="EJ120" s="97" t="str">
        <f t="shared" si="165"/>
        <v>B</v>
      </c>
      <c r="EK120" s="97" t="str">
        <f t="shared" si="165"/>
        <v>A</v>
      </c>
      <c r="EL120" s="97" t="str">
        <f t="shared" si="165"/>
        <v>A</v>
      </c>
      <c r="EM120" s="97" t="str">
        <f t="shared" si="165"/>
        <v>A</v>
      </c>
      <c r="EN120" s="97" t="str">
        <f t="shared" si="165"/>
        <v>B</v>
      </c>
      <c r="EO120" s="97" t="str">
        <f t="shared" si="165"/>
        <v>A</v>
      </c>
      <c r="EP120" s="97" t="str">
        <f t="shared" si="165"/>
        <v>B</v>
      </c>
      <c r="EQ120" s="97" t="str">
        <f t="shared" si="165"/>
        <v>B</v>
      </c>
      <c r="ER120" s="97" t="str">
        <f t="shared" si="165"/>
        <v>B</v>
      </c>
      <c r="ES120" s="97" t="str">
        <f t="shared" si="165"/>
        <v>B</v>
      </c>
      <c r="ET120" s="97" t="str">
        <f t="shared" si="165"/>
        <v>B</v>
      </c>
      <c r="EU120" s="97" t="str">
        <f t="shared" si="165"/>
        <v>A</v>
      </c>
      <c r="EV120" s="97" t="str">
        <f t="shared" si="165"/>
        <v>B</v>
      </c>
      <c r="EW120" s="97" t="str">
        <f t="shared" si="165"/>
        <v>B</v>
      </c>
      <c r="EX120" s="97" t="str">
        <f t="shared" si="165"/>
        <v>A</v>
      </c>
      <c r="EY120" s="97" t="str">
        <f t="shared" si="165"/>
        <v>B</v>
      </c>
      <c r="EZ120" s="97" t="str">
        <f t="shared" si="165"/>
        <v>B</v>
      </c>
      <c r="FA120" s="97" t="str">
        <f t="shared" si="165"/>
        <v>B</v>
      </c>
      <c r="FB120" s="97" t="str">
        <f t="shared" si="165"/>
        <v>B</v>
      </c>
      <c r="FC120" s="97" t="str">
        <f t="shared" si="165"/>
        <v>B</v>
      </c>
      <c r="FD120" s="97" t="str">
        <f t="shared" si="165"/>
        <v>B</v>
      </c>
      <c r="FE120" s="97" t="str">
        <f t="shared" si="165"/>
        <v>A</v>
      </c>
      <c r="FF120" s="97" t="str">
        <f t="shared" si="165"/>
        <v>A</v>
      </c>
      <c r="FG120" s="97" t="str">
        <f t="shared" si="165"/>
        <v>A</v>
      </c>
      <c r="FH120" s="97" t="str">
        <f t="shared" si="165"/>
        <v>A</v>
      </c>
      <c r="FI120" s="97" t="str">
        <f t="shared" si="165"/>
        <v>A</v>
      </c>
      <c r="FJ120" s="97" t="str">
        <f t="shared" si="165"/>
        <v>A</v>
      </c>
      <c r="FK120" s="97" t="str">
        <f t="shared" si="165"/>
        <v>B</v>
      </c>
      <c r="FL120" s="97" t="str">
        <f t="shared" si="165"/>
        <v>A</v>
      </c>
      <c r="FM120" s="97" t="str">
        <f t="shared" si="165"/>
        <v>A</v>
      </c>
      <c r="FN120" s="97" t="str">
        <f t="shared" si="165"/>
        <v>A</v>
      </c>
      <c r="FO120" s="97" t="str">
        <f t="shared" si="165"/>
        <v>B</v>
      </c>
      <c r="FP120" s="97" t="str">
        <f t="shared" si="165"/>
        <v>B</v>
      </c>
      <c r="FQ120" s="97" t="str">
        <f t="shared" si="165"/>
        <v>A</v>
      </c>
      <c r="FR120" s="97" t="str">
        <f t="shared" si="165"/>
        <v>B</v>
      </c>
      <c r="FS120" s="97" t="str">
        <f t="shared" si="165"/>
        <v>B</v>
      </c>
      <c r="FT120" s="97" t="str">
        <f t="shared" si="165"/>
        <v>B</v>
      </c>
      <c r="FU120" s="97" t="str">
        <f t="shared" si="165"/>
        <v>B</v>
      </c>
      <c r="FV120" s="97" t="str">
        <f t="shared" si="165"/>
        <v>A</v>
      </c>
      <c r="FW120" s="97" t="str">
        <f t="shared" si="165"/>
        <v>B</v>
      </c>
      <c r="FX120" s="97" t="str">
        <f t="shared" si="165"/>
        <v>A</v>
      </c>
      <c r="FY120" s="97" t="str">
        <f t="shared" si="165"/>
        <v>B</v>
      </c>
      <c r="FZ120" s="97" t="str">
        <f t="shared" si="165"/>
        <v>B</v>
      </c>
      <c r="GA120" s="97" t="str">
        <f t="shared" si="165"/>
        <v>A</v>
      </c>
      <c r="GB120" s="97" t="str">
        <f t="shared" si="165"/>
        <v>A</v>
      </c>
      <c r="GC120" s="97" t="str">
        <f t="shared" si="165"/>
        <v>A</v>
      </c>
      <c r="GD120" s="97" t="str">
        <f t="shared" si="165"/>
        <v>A</v>
      </c>
      <c r="GE120" s="97" t="str">
        <f t="shared" si="165"/>
        <v>A</v>
      </c>
      <c r="GF120" s="97" t="str">
        <f t="shared" si="165"/>
        <v>A</v>
      </c>
      <c r="GG120" s="97" t="str">
        <f t="shared" si="165"/>
        <v>A</v>
      </c>
      <c r="GH120" s="97" t="str">
        <f t="shared" si="165"/>
        <v>B</v>
      </c>
      <c r="GI120" s="97" t="str">
        <f t="shared" si="165"/>
        <v>A</v>
      </c>
      <c r="GJ120" s="97" t="str">
        <f t="shared" si="165"/>
        <v>B</v>
      </c>
      <c r="GK120" s="97" t="str">
        <f t="shared" si="165"/>
        <v>A</v>
      </c>
      <c r="GL120" s="97" t="str">
        <f t="shared" si="165"/>
        <v>B</v>
      </c>
      <c r="GM120" s="97" t="str">
        <f t="shared" si="165"/>
        <v>A</v>
      </c>
      <c r="GN120" s="97" t="str">
        <f t="shared" si="165"/>
        <v>B</v>
      </c>
      <c r="GO120" s="97" t="str">
        <f t="shared" si="165"/>
        <v>B</v>
      </c>
      <c r="GP120" s="97" t="str">
        <f t="shared" si="165"/>
        <v>A</v>
      </c>
      <c r="GQ120" s="97" t="str">
        <f t="shared" si="165"/>
        <v>A</v>
      </c>
      <c r="GR120" s="97" t="str">
        <f t="shared" si="165"/>
        <v>A</v>
      </c>
      <c r="GS120" s="97" t="str">
        <f t="shared" si="165"/>
        <v>A</v>
      </c>
      <c r="GT120" s="97" t="str">
        <f t="shared" si="165"/>
        <v>A</v>
      </c>
      <c r="GU120" s="97" t="str">
        <f t="shared" si="165"/>
        <v>A</v>
      </c>
      <c r="GV120" s="97" t="str">
        <f t="shared" si="165"/>
        <v>A</v>
      </c>
      <c r="GW120" s="97" t="str">
        <f t="shared" si="165"/>
        <v>A</v>
      </c>
      <c r="GX120" s="97" t="str">
        <f t="shared" si="165"/>
        <v>A</v>
      </c>
      <c r="GY120" s="98"/>
      <c r="GZ120" s="97">
        <f t="shared" si="3"/>
        <v>47</v>
      </c>
      <c r="HA120" s="97">
        <f t="shared" si="4"/>
        <v>53</v>
      </c>
      <c r="HB120" s="90">
        <f t="shared" si="5"/>
        <v>100</v>
      </c>
      <c r="HC120" s="99"/>
      <c r="HD120" s="97">
        <f t="shared" si="6"/>
        <v>6</v>
      </c>
      <c r="HE120" s="97">
        <f t="shared" si="7"/>
        <v>7</v>
      </c>
      <c r="HF120" s="90">
        <f t="shared" si="8"/>
        <v>13</v>
      </c>
      <c r="HG120" s="99"/>
      <c r="HH120" s="97">
        <f t="shared" si="9"/>
        <v>7</v>
      </c>
      <c r="HI120" s="97">
        <f t="shared" si="10"/>
        <v>6</v>
      </c>
      <c r="HJ120" s="90">
        <f t="shared" si="11"/>
        <v>13</v>
      </c>
      <c r="HK120" s="99"/>
      <c r="HL120" s="97">
        <f t="shared" si="12"/>
        <v>6</v>
      </c>
      <c r="HM120" s="97">
        <f t="shared" si="13"/>
        <v>6</v>
      </c>
      <c r="HN120" s="90">
        <f t="shared" si="14"/>
        <v>12</v>
      </c>
      <c r="HO120" s="99"/>
      <c r="HP120" s="97">
        <f t="shared" si="15"/>
        <v>4</v>
      </c>
      <c r="HQ120" s="97">
        <f t="shared" si="16"/>
        <v>6</v>
      </c>
      <c r="HR120" s="90">
        <f t="shared" si="17"/>
        <v>10</v>
      </c>
      <c r="HS120" s="99"/>
      <c r="HT120" s="97">
        <f t="shared" si="18"/>
        <v>6</v>
      </c>
      <c r="HU120" s="97">
        <f t="shared" si="19"/>
        <v>8</v>
      </c>
      <c r="HV120" s="90">
        <f t="shared" si="20"/>
        <v>14</v>
      </c>
      <c r="HW120" s="99"/>
      <c r="HX120" s="97">
        <f t="shared" si="21"/>
        <v>3</v>
      </c>
      <c r="HY120" s="97">
        <f t="shared" si="22"/>
        <v>4</v>
      </c>
      <c r="HZ120" s="90">
        <f t="shared" si="23"/>
        <v>7</v>
      </c>
      <c r="IA120" s="99"/>
      <c r="IB120" s="97">
        <f t="shared" si="24"/>
        <v>3</v>
      </c>
      <c r="IC120" s="97">
        <f t="shared" si="25"/>
        <v>6</v>
      </c>
      <c r="ID120" s="90">
        <f t="shared" si="26"/>
        <v>9</v>
      </c>
      <c r="IE120" s="99"/>
      <c r="IF120" s="97">
        <f t="shared" si="27"/>
        <v>3</v>
      </c>
      <c r="IG120" s="97">
        <f t="shared" si="28"/>
        <v>4</v>
      </c>
      <c r="IH120" s="90">
        <f t="shared" si="29"/>
        <v>7</v>
      </c>
      <c r="II120" s="99"/>
      <c r="IJ120" s="97">
        <f t="shared" si="30"/>
        <v>3</v>
      </c>
      <c r="IK120" s="97">
        <f t="shared" si="31"/>
        <v>4</v>
      </c>
      <c r="IL120" s="90">
        <f t="shared" si="32"/>
        <v>7</v>
      </c>
      <c r="IM120" s="99"/>
      <c r="IN120" s="97">
        <f t="shared" si="33"/>
        <v>0</v>
      </c>
      <c r="IO120" s="97">
        <f t="shared" si="34"/>
        <v>1</v>
      </c>
      <c r="IP120" s="90">
        <f t="shared" si="35"/>
        <v>1</v>
      </c>
      <c r="IS120" s="100">
        <f t="shared" si="36"/>
        <v>13</v>
      </c>
      <c r="IT120" s="100">
        <f t="shared" si="37"/>
        <v>13</v>
      </c>
      <c r="IU120" s="100">
        <f t="shared" si="38"/>
        <v>12</v>
      </c>
      <c r="IV120" s="100">
        <f t="shared" si="39"/>
        <v>10</v>
      </c>
      <c r="IW120" s="100">
        <f t="shared" si="40"/>
        <v>14</v>
      </c>
      <c r="IX120" s="100">
        <f t="shared" si="41"/>
        <v>7</v>
      </c>
      <c r="IY120" s="100">
        <f t="shared" si="42"/>
        <v>9</v>
      </c>
      <c r="IZ120" s="100">
        <f t="shared" si="43"/>
        <v>7</v>
      </c>
      <c r="JA120" s="100">
        <f t="shared" si="44"/>
        <v>7</v>
      </c>
      <c r="JB120" s="101">
        <f t="shared" si="45"/>
        <v>1</v>
      </c>
      <c r="JC120" s="102">
        <f t="shared" si="46"/>
        <v>93</v>
      </c>
      <c r="JD120" s="67">
        <f t="shared" si="50"/>
        <v>0</v>
      </c>
      <c r="JE120" s="67">
        <f t="shared" si="47"/>
        <v>0</v>
      </c>
      <c r="JF120" s="67">
        <f t="shared" si="48"/>
        <v>0</v>
      </c>
    </row>
    <row r="121">
      <c r="A121" s="104">
        <f>IFERROR(__xludf.DUMMYFUNCTION("""COMPUTED_VALUE"""),45966.569795)</f>
        <v>45966.5698</v>
      </c>
      <c r="B121" s="105" t="str">
        <f>IFERROR(__xludf.DUMMYFUNCTION("""COMPUTED_VALUE"""),"Khotibul syafiiq")</f>
        <v>Khotibul syafiiq</v>
      </c>
      <c r="C121" s="7" t="str">
        <f>IFERROR(__xludf.DUMMYFUNCTION("""COMPUTED_VALUE"""),"A250036")</f>
        <v>A250036</v>
      </c>
      <c r="D121" s="7" t="str">
        <f>IFERROR(__xludf.DUMMYFUNCTION("""COMPUTED_VALUE"""),"MTs Putra")</f>
        <v>MTs Putra</v>
      </c>
      <c r="E121" s="7" t="str">
        <f>IFERROR(__xludf.DUMMYFUNCTION("""COMPUTED_VALUE"""),"Ya")</f>
        <v>Ya</v>
      </c>
      <c r="F121" s="105" t="str">
        <f>IFERROR(__xludf.DUMMYFUNCTION("""COMPUTED_VALUE"""),"B Saya ingin melakukan apa saja sebaik mungkin.")</f>
        <v>B Saya ingin melakukan apa saja sebaik mungkin.</v>
      </c>
      <c r="G121" s="105" t="str">
        <f>IFERROR(__xludf.DUMMYFUNCTION("""COMPUTED_VALUE"""),"B Saya ingin menyelesaikan tugas yang segera dikumpulkan.")</f>
        <v>B Saya ingin menyelesaikan tugas yang segera dikumpulkan.</v>
      </c>
      <c r="H121" s="105" t="str">
        <f>IFERROR(__xludf.DUMMYFUNCTION("""COMPUTED_VALUE"""),"B Saya ingin menjadi orang yang diakui dalam suatu pekerjaan atau bidang khusus.")</f>
        <v>B Saya ingin menjadi orang yang diakui dalam suatu pekerjaan atau bidang khusus.</v>
      </c>
      <c r="I121" s="105" t="str">
        <f>IFERROR(__xludf.DUMMYFUNCTION("""COMPUTED_VALUE"""),"B Saya ingin bisa melakukan dengan baik meskipun tugas yang sulit.")</f>
        <v>B Saya ingin bisa melakukan dengan baik meskipun tugas yang sulit.</v>
      </c>
      <c r="J121" s="105" t="str">
        <f>IFERROR(__xludf.DUMMYFUNCTION("""COMPUTED_VALUE"""),"A Saya suka membantu teman-teman saya apabila mereka mengalami kesulitan.")</f>
        <v>A Saya suka membantu teman-teman saya apabila mereka mengalami kesulitan.</v>
      </c>
      <c r="K121" s="105" t="str">
        <f>IFERROR(__xludf.DUMMYFUNCTION("""COMPUTED_VALUE"""),"B Saya ingin mengatakan telah melakukan dengan baik sesuatu tugas yang sulit.")</f>
        <v>B Saya ingin mengatakan telah melakukan dengan baik sesuatu tugas yang sulit.</v>
      </c>
      <c r="L121" s="105" t="str">
        <f>IFERROR(__xludf.DUMMYFUNCTION("""COMPUTED_VALUE"""),"B Saya ingin mengatakan telah melakukan dengan baik sesuatu tugas yang sulit")</f>
        <v>B Saya ingin mengatakan telah melakukan dengan baik sesuatu tugas yang sulit</v>
      </c>
      <c r="M121" s="105" t="str">
        <f>IFERROR(__xludf.DUMMYFUNCTION("""COMPUTED_VALUE"""),"A Saya suka berbicara tentang hal-hal yang telah berhasil saya lakukan.")</f>
        <v>A Saya suka berbicara tentang hal-hal yang telah berhasil saya lakukan.</v>
      </c>
      <c r="N121" s="105" t="str">
        <f>IFERROR(__xludf.DUMMYFUNCTION("""COMPUTED_VALUE"""),"B Saya suka memecahkan persoalan yang sukar bagi orang lain.")</f>
        <v>B Saya suka memecahkan persoalan yang sukar bagi orang lain.</v>
      </c>
      <c r="O121" s="105" t="str">
        <f>IFERROR(__xludf.DUMMYFUNCTION("""COMPUTED_VALUE"""),"B Saya suka melakukan tugas sebaik mungkin.")</f>
        <v>B Saya suka melakukan tugas sebaik mungkin.</v>
      </c>
      <c r="P121" s="105" t="str">
        <f>IFERROR(__xludf.DUMMYFUNCTION("""COMPUTED_VALUE"""),"B Saya ingin setiap belajar itu teratur dan direncanakan.")</f>
        <v>B Saya ingin setiap belajar itu teratur dan direncanakan.</v>
      </c>
      <c r="Q121" s="105" t="str">
        <f>IFERROR(__xludf.DUMMYFUNCTION("""COMPUTED_VALUE"""),"B Saya merencanakan keperluan yang dibutuhkan sebelum bepergian.")</f>
        <v>B Saya merencanakan keperluan yang dibutuhkan sebelum bepergian.</v>
      </c>
      <c r="R121" s="105" t="str">
        <f>IFERROR(__xludf.DUMMYFUNCTION("""COMPUTED_VALUE"""),"B Saya suka barang-barang saya tersusun rapi dan teratur.")</f>
        <v>B Saya suka barang-barang saya tersusun rapi dan teratur.</v>
      </c>
      <c r="S121" s="105" t="str">
        <f>IFERROR(__xludf.DUMMYFUNCTION("""COMPUTED_VALUE"""),"B Saya suka membuat perencanaan sebelum memulai tugas yang sulit.")</f>
        <v>B Saya suka membuat perencanaan sebelum memulai tugas yang sulit.</v>
      </c>
      <c r="T121" s="105" t="str">
        <f>IFERROR(__xludf.DUMMYFUNCTION("""COMPUTED_VALUE"""),"B Saya ingin agar hidup saya teratur sesuai cita-cita saya.")</f>
        <v>B Saya ingin agar hidup saya teratur sesuai cita-cita saya.</v>
      </c>
      <c r="U121" s="105" t="str">
        <f>IFERROR(__xludf.DUMMYFUNCTION("""COMPUTED_VALUE"""),"A Saya suka memberikan bantuan kepada teman-teman saya.")</f>
        <v>A Saya suka memberikan bantuan kepada teman-teman saya.</v>
      </c>
      <c r="V121" s="105" t="str">
        <f>IFERROR(__xludf.DUMMYFUNCTION("""COMPUTED_VALUE"""),"B Saya suka belajar saya teratur dan ada waktu-waktu tertentu untuk belajar.")</f>
        <v>B Saya suka belajar saya teratur dan ada waktu-waktu tertentu untuk belajar.</v>
      </c>
      <c r="W121" s="105" t="str">
        <f>IFERROR(__xludf.DUMMYFUNCTION("""COMPUTED_VALUE"""),"B Saya ingin kegiatan itu teratur dan direncanakan.")</f>
        <v>B Saya ingin kegiatan itu teratur dan direncanakan.</v>
      </c>
      <c r="X121" s="105" t="str">
        <f>IFERROR(__xludf.DUMMYFUNCTION("""COMPUTED_VALUE"""),"B Saya ingin agar hidup saya teratur sesuai cita-cita saya.")</f>
        <v>B Saya ingin agar hidup saya teratur sesuai cita-cita saya.</v>
      </c>
      <c r="Y121" s="105" t="str">
        <f>IFERROR(__xludf.DUMMYFUNCTION("""COMPUTED_VALUE"""),"A Saya suka menyelesaikan tugas-tugas yang membutuhkan ketrampilan dan usaha.")</f>
        <v>A Saya suka menyelesaikan tugas-tugas yang membutuhkan ketrampilan dan usaha.</v>
      </c>
      <c r="Z121" s="105" t="str">
        <f>IFERROR(__xludf.DUMMYFUNCTION("""COMPUTED_VALUE"""),"A Saya ingin berhasil dengan belajar yang saya lakukan.")</f>
        <v>A Saya ingin berhasil dengan belajar yang saya lakukan.</v>
      </c>
      <c r="AA121" s="105" t="str">
        <f>IFERROR(__xludf.DUMMYFUNCTION("""COMPUTED_VALUE"""),"A Saya suka menyelesaikan tugas yang telah saya rencanakan.")</f>
        <v>A Saya suka menyelesaikan tugas yang telah saya rencanakan.</v>
      </c>
      <c r="AB121" s="105" t="str">
        <f>IFERROR(__xludf.DUMMYFUNCTION("""COMPUTED_VALUE"""),"A Saya ingin tidak tergantung dari orang lain terhadap apa yang akan saya lakukan.")</f>
        <v>A Saya ingin tidak tergantung dari orang lain terhadap apa yang akan saya lakukan.</v>
      </c>
      <c r="AC121" s="105" t="str">
        <f>IFERROR(__xludf.DUMMYFUNCTION("""COMPUTED_VALUE"""),"A Saya suka menyelesaikan setiap tugas meskipun membutuhkan waktu lama.")</f>
        <v>A Saya suka menyelesaikan setiap tugas meskipun membutuhkan waktu lama.</v>
      </c>
      <c r="AD121" s="105" t="str">
        <f>IFERROR(__xludf.DUMMYFUNCTION("""COMPUTED_VALUE"""),"A Saya suka bermurah hati terhadap teman-teman saya.")</f>
        <v>A Saya suka bermurah hati terhadap teman-teman saya.</v>
      </c>
      <c r="AE121" s="105" t="str">
        <f>IFERROR(__xludf.DUMMYFUNCTION("""COMPUTED_VALUE"""),"A Saya ingin dianggap sebagai pemimpin oleh teman di kelompok.")</f>
        <v>A Saya ingin dianggap sebagai pemimpin oleh teman di kelompok.</v>
      </c>
      <c r="AF121" s="105" t="str">
        <f>IFERROR(__xludf.DUMMYFUNCTION("""COMPUTED_VALUE"""),"A Saya ingin agar teman-teman mengerti bila saya mengalami kesukaran.")</f>
        <v>A Saya ingin agar teman-teman mengerti bila saya mengalami kesukaran.</v>
      </c>
      <c r="AG121" s="105" t="str">
        <f>IFERROR(__xludf.DUMMYFUNCTION("""COMPUTED_VALUE"""),"B Saya ingin berhasil dengan tugas yang saya lakukan.")</f>
        <v>B Saya ingin berhasil dengan tugas yang saya lakukan.</v>
      </c>
      <c r="AH121" s="105" t="str">
        <f>IFERROR(__xludf.DUMMYFUNCTION("""COMPUTED_VALUE"""),"B Saya ingin merasa bebas untuk melakukan apa yang saya kehendaki.")</f>
        <v>B Saya ingin merasa bebas untuk melakukan apa yang saya kehendaki.</v>
      </c>
      <c r="AI121" s="105" t="str">
        <f>IFERROR(__xludf.DUMMYFUNCTION("""COMPUTED_VALUE"""),"B Saya suka melakukan kegiatan sesuai kondisi yang saya inginkan.")</f>
        <v>B Saya suka melakukan kegiatan sesuai kondisi yang saya inginkan.</v>
      </c>
      <c r="AJ121" s="105" t="str">
        <f>IFERROR(__xludf.DUMMYFUNCTION("""COMPUTED_VALUE"""),"B Saya suka bertahan menghadapi satu masalah meskipun belum tentu berhasil.")</f>
        <v>B Saya suka bertahan menghadapi satu masalah meskipun belum tentu berhasil.</v>
      </c>
      <c r="AK121" s="105" t="str">
        <f>IFERROR(__xludf.DUMMYFUNCTION("""COMPUTED_VALUE"""),"B Bila saya harus melakukan suatu tugas, saya ingin mengerjakan sampai selesai.")</f>
        <v>B Bila saya harus melakukan suatu tugas, saya ingin mengerjakan sampai selesai.</v>
      </c>
      <c r="AL121" s="105" t="str">
        <f>IFERROR(__xludf.DUMMYFUNCTION("""COMPUTED_VALUE"""),"B Saya ingin menghindarkan gangguan bila saya sedang belajar.")</f>
        <v>B Saya ingin menghindarkan gangguan bila saya sedang belajar.</v>
      </c>
      <c r="AM121" s="105" t="str">
        <f>IFERROR(__xludf.DUMMYFUNCTION("""COMPUTED_VALUE"""),"B Saya suka belajar sampai malam untuk menyelesaikan suatu tugas.")</f>
        <v>B Saya suka belajar sampai malam untuk menyelesaikan suatu tugas.</v>
      </c>
      <c r="AN121" s="105" t="str">
        <f>IFERROR(__xludf.DUMMYFUNCTION("""COMPUTED_VALUE"""),"A Saya tidak suka pada orang yang semena-mena.")</f>
        <v>A Saya tidak suka pada orang yang semena-mena.</v>
      </c>
      <c r="AO121" s="105" t="str">
        <f>IFERROR(__xludf.DUMMYFUNCTION("""COMPUTED_VALUE"""),"B Saya suka menyelesaikan setiap tugas meskipun membutuhkan waktu lama.")</f>
        <v>B Saya suka menyelesaikan setiap tugas meskipun membutuhkan waktu lama.</v>
      </c>
      <c r="AP121" s="105" t="str">
        <f>IFERROR(__xludf.DUMMYFUNCTION("""COMPUTED_VALUE"""),"A Saya ingin mengerjakannya tugas sampai selesai.")</f>
        <v>A Saya ingin mengerjakannya tugas sampai selesai.</v>
      </c>
      <c r="AQ121" s="105" t="str">
        <f>IFERROR(__xludf.DUMMYFUNCTION("""COMPUTED_VALUE"""),"B Bila saya harus melakukan suatu tugas, saya ingin mengerjakan sampai selesai.")</f>
        <v>B Bila saya harus melakukan suatu tugas, saya ingin mengerjakan sampai selesai.</v>
      </c>
      <c r="AR121" s="105" t="str">
        <f>IFERROR(__xludf.DUMMYFUNCTION("""COMPUTED_VALUE"""),"B Saya suka belajar keras pada tiap pelajaran yang saya hadapi.")</f>
        <v>B Saya suka belajar keras pada tiap pelajaran yang saya hadapi.</v>
      </c>
      <c r="AS121" s="105" t="str">
        <f>IFERROR(__xludf.DUMMYFUNCTION("""COMPUTED_VALUE"""),"B Saya suka belajar sampai malam untuk menyelesaikan suatu tugas.")</f>
        <v>B Saya suka belajar sampai malam untuk menyelesaikan suatu tugas.</v>
      </c>
      <c r="AT121" s="105" t="str">
        <f>IFERROR(__xludf.DUMMYFUNCTION("""COMPUTED_VALUE"""),"A Saya ingin bisa melakukan dengan baik sesuatu pekerjaan sulit.")</f>
        <v>A Saya ingin bisa melakukan dengan baik sesuatu pekerjaan sulit.</v>
      </c>
      <c r="AU121" s="105" t="str">
        <f>IFERROR(__xludf.DUMMYFUNCTION("""COMPUTED_VALUE"""),"B Saya suka bermurah hati terhadap teman-teman saya.")</f>
        <v>B Saya suka bermurah hati terhadap teman-teman saya.</v>
      </c>
      <c r="AV121" s="105" t="str">
        <f>IFERROR(__xludf.DUMMYFUNCTION("""COMPUTED_VALUE"""),"B Saya suka menolong teman-teman saya.")</f>
        <v>B Saya suka menolong teman-teman saya.</v>
      </c>
      <c r="AW121" s="105" t="str">
        <f>IFERROR(__xludf.DUMMYFUNCTION("""COMPUTED_VALUE"""),"A Saya ingin mengerjakan tugas sampai selesai.")</f>
        <v>A Saya ingin mengerjakan tugas sampai selesai.</v>
      </c>
      <c r="AX121" s="105" t="str">
        <f>IFERROR(__xludf.DUMMYFUNCTION("""COMPUTED_VALUE"""),"A Saya suka menolong teman-teman saya apabila mereka dalam kesulitan.")</f>
        <v>A Saya suka menolong teman-teman saya apabila mereka dalam kesulitan.</v>
      </c>
      <c r="AY121" s="105" t="str">
        <f>IFERROR(__xludf.DUMMYFUNCTION("""COMPUTED_VALUE"""),"B Saya suka menolong teman-teman saya apabila mereka dalam kesulitan.")</f>
        <v>B Saya suka menolong teman-teman saya apabila mereka dalam kesulitan.</v>
      </c>
      <c r="AZ121" s="105" t="str">
        <f>IFERROR(__xludf.DUMMYFUNCTION("""COMPUTED_VALUE"""),"B Saya suka menunjukkan simpati saya kepada teman-teman saya.")</f>
        <v>B Saya suka menunjukkan simpati saya kepada teman-teman saya.</v>
      </c>
      <c r="BA121" s="105" t="str">
        <f>IFERROR(__xludf.DUMMYFUNCTION("""COMPUTED_VALUE"""),"A Saya suka menyatakan pendapat saya tentang berbagai hal.")</f>
        <v>A Saya suka menyatakan pendapat saya tentang berbagai hal.</v>
      </c>
      <c r="BB121" s="105" t="str">
        <f>IFERROR(__xludf.DUMMYFUNCTION("""COMPUTED_VALUE"""),"B Saya suka bermurah hati terhadap teman-teman saya.")</f>
        <v>B Saya suka bermurah hati terhadap teman-teman saya.</v>
      </c>
      <c r="BC121" s="105" t="str">
        <f>IFERROR(__xludf.DUMMYFUNCTION("""COMPUTED_VALUE"""),"B Saya suka membantu orang lain yang menurut saya perlu dikasihani.")</f>
        <v>B Saya suka membantu orang lain yang menurut saya perlu dikasihani.</v>
      </c>
      <c r="BD121" s="105" t="str">
        <f>IFERROR(__xludf.DUMMYFUNCTION("""COMPUTED_VALUE"""),"B Saya suka bersikukuh dengan pendirian saya.")</f>
        <v>B Saya suka bersikukuh dengan pendirian saya.</v>
      </c>
      <c r="BE121" s="105" t="str">
        <f>IFERROR(__xludf.DUMMYFUNCTION("""COMPUTED_VALUE"""),"B Saya ingin orang lain melakukan apa yang saya kehendaki.")</f>
        <v>B Saya ingin orang lain melakukan apa yang saya kehendaki.</v>
      </c>
      <c r="BF121" s="105" t="str">
        <f>IFERROR(__xludf.DUMMYFUNCTION("""COMPUTED_VALUE"""),"B Bila saya dalam kelompok, saya ingin menentukan apa yang akan kita lakukan.")</f>
        <v>B Bila saya dalam kelompok, saya ingin menentukan apa yang akan kita lakukan.</v>
      </c>
      <c r="BG121" s="105" t="str">
        <f>IFERROR(__xludf.DUMMYFUNCTION("""COMPUTED_VALUE"""),"B Saya suka mengarahkan kepada orang lain apa yang harus dilakukan.")</f>
        <v>B Saya suka mengarahkan kepada orang lain apa yang harus dilakukan.</v>
      </c>
      <c r="BH121" s="105" t="str">
        <f>IFERROR(__xludf.DUMMYFUNCTION("""COMPUTED_VALUE"""),"B Apabila saya berkumpul dalam kelompok, saya ingin dihargai teman-teman.")</f>
        <v>B Apabila saya berkumpul dalam kelompok, saya ingin dihargai teman-teman.</v>
      </c>
      <c r="BI121" s="105" t="str">
        <f>IFERROR(__xludf.DUMMYFUNCTION("""COMPUTED_VALUE"""),"A Saya suka bermurah hati terhadap teman-teman saya.")</f>
        <v>A Saya suka bermurah hati terhadap teman-teman saya.</v>
      </c>
      <c r="BJ121" s="105" t="str">
        <f>IFERROR(__xludf.DUMMYFUNCTION("""COMPUTED_VALUE"""),"A Saya ingin mengerjakan tugas sampai selesai.")</f>
        <v>A Saya ingin mengerjakan tugas sampai selesai.</v>
      </c>
      <c r="BK121" s="105" t="str">
        <f>IFERROR(__xludf.DUMMYFUNCTION("""COMPUTED_VALUE"""),"B Saya senang untuk diminta menyelesaikan pertentangan-pertentangan.")</f>
        <v>B Saya senang untuk diminta menyelesaikan pertentangan-pertentangan.</v>
      </c>
      <c r="BL121" s="105" t="str">
        <f>IFERROR(__xludf.DUMMYFUNCTION("""COMPUTED_VALUE"""),"A Saya suka belajar saya teratur dan ada waktu-waktu tertentu untuk belajar.")</f>
        <v>A Saya suka belajar saya teratur dan ada waktu-waktu tertentu untuk belajar.</v>
      </c>
      <c r="BM121" s="105" t="str">
        <f>IFERROR(__xludf.DUMMYFUNCTION("""COMPUTED_VALUE"""),"A Saya suka melakukan pekerjaan sebaik mungkin.")</f>
        <v>A Saya suka melakukan pekerjaan sebaik mungkin.</v>
      </c>
      <c r="BN121" s="105" t="str">
        <f>IFERROR(__xludf.DUMMYFUNCTION("""COMPUTED_VALUE"""),"B Saya ingin teman-teman memberi dorongan bila saya menghadapi kegagalan.")</f>
        <v>B Saya ingin teman-teman memberi dorongan bila saya menghadapi kegagalan.</v>
      </c>
      <c r="BO121" s="105" t="str">
        <f>IFERROR(__xludf.DUMMYFUNCTION("""COMPUTED_VALUE"""),"A Saya suka membuat perencanaan sebelum memulai belajar yang sulit.")</f>
        <v>A Saya suka membuat perencanaan sebelum memulai belajar yang sulit.</v>
      </c>
      <c r="BP121" s="105" t="str">
        <f>IFERROR(__xludf.DUMMYFUNCTION("""COMPUTED_VALUE"""),"A Saya ingin menyelesaikan sesuatu yang sangat penting artinya.")</f>
        <v>A Saya ingin menyelesaikan sesuatu yang sangat penting artinya.</v>
      </c>
      <c r="BQ121" s="105" t="str">
        <f>IFERROR(__xludf.DUMMYFUNCTION("""COMPUTED_VALUE"""),"A Saya ingin mengerjakannya tugas sampai selesai.")</f>
        <v>A Saya ingin mengerjakannya tugas sampai selesai.</v>
      </c>
      <c r="BR121" s="105" t="str">
        <f>IFERROR(__xludf.DUMMYFUNCTION("""COMPUTED_VALUE"""),"A Saya suka memaafkan teman-teman saya yang menyakiti hati saya.")</f>
        <v>A Saya suka memaafkan teman-teman saya yang menyakiti hati saya.</v>
      </c>
      <c r="BS121" s="105" t="str">
        <f>IFERROR(__xludf.DUMMYFUNCTION("""COMPUTED_VALUE"""),"B Saya ingin teman-teman saya membantu saya bila saya mengalami kesulitan")</f>
        <v>B Saya ingin teman-teman saya membantu saya bila saya mengalami kesulitan</v>
      </c>
      <c r="BT121" s="105" t="str">
        <f>IFERROR(__xludf.DUMMYFUNCTION("""COMPUTED_VALUE"""),"B Saya ingin teman-teman banyak menunjukkan rasa sayang mereka terhadap saya.")</f>
        <v>B Saya ingin teman-teman banyak menunjukkan rasa sayang mereka terhadap saya.</v>
      </c>
      <c r="BU121" s="105" t="str">
        <f>IFERROR(__xludf.DUMMYFUNCTION("""COMPUTED_VALUE"""),"A Saya kadang-kadang suka melakukan hal-hal yang dapat dipuji oleh orang lain.")</f>
        <v>A Saya kadang-kadang suka melakukan hal-hal yang dapat dipuji oleh orang lain.</v>
      </c>
      <c r="BV121" s="105" t="str">
        <f>IFERROR(__xludf.DUMMYFUNCTION("""COMPUTED_VALUE"""),"B Saya ingin teman-teman dengan gembira memberikan pertolongan kepada saya.")</f>
        <v>B Saya ingin teman-teman dengan gembira memberikan pertolongan kepada saya.</v>
      </c>
      <c r="BW121" s="105" t="str">
        <f>IFERROR(__xludf.DUMMYFUNCTION("""COMPUTED_VALUE"""),"B Saya ingin diperlakukan dengan baik oleh teman-teman saya.")</f>
        <v>B Saya ingin diperlakukan dengan baik oleh teman-teman saya.</v>
      </c>
      <c r="BX121" s="105" t="str">
        <f>IFERROR(__xludf.DUMMYFUNCTION("""COMPUTED_VALUE"""),"B Saya kadang-kadang suka melakukan hal-hal yang dapat dipuji oleh orang lain.")</f>
        <v>B Saya kadang-kadang suka melakukan hal-hal yang dapat dipuji oleh orang lain.</v>
      </c>
      <c r="BY121" s="105" t="str">
        <f>IFERROR(__xludf.DUMMYFUNCTION("""COMPUTED_VALUE"""),"B Saya ingin orang lain memperhatikan dan berkomentar tentang penampilan saya.")</f>
        <v>B Saya ingin orang lain memperhatikan dan berkomentar tentang penampilan saya.</v>
      </c>
      <c r="BZ121" s="105" t="str">
        <f>IFERROR(__xludf.DUMMYFUNCTION("""COMPUTED_VALUE"""),"B Saya suka diperhatikan, apabila saya ada di dalam suatu kelompok.")</f>
        <v>B Saya suka diperhatikan, apabila saya ada di dalam suatu kelompok.</v>
      </c>
      <c r="CA121" s="105" t="str">
        <f>IFERROR(__xludf.DUMMYFUNCTION("""COMPUTED_VALUE"""),"A Saya ingin teman-teman dengan gembira memberikan pertolongan kepada saya.")</f>
        <v>A Saya ingin teman-teman dengan gembira memberikan pertolongan kepada saya.</v>
      </c>
      <c r="CB121" s="105" t="str">
        <f>IFERROR(__xludf.DUMMYFUNCTION("""COMPUTED_VALUE"""),"B Saya suka berbicara tentang hal-hal yang telah saya capai.")</f>
        <v>B Saya suka berbicara tentang hal-hal yang telah saya capai.</v>
      </c>
      <c r="CC121" s="105" t="str">
        <f>IFERROR(__xludf.DUMMYFUNCTION("""COMPUTED_VALUE"""),"A Apabila saya berkumpul dalam kelompok, saya ingin dihargai teman-teman.")</f>
        <v>A Apabila saya berkumpul dalam kelompok, saya ingin dihargai teman-teman.</v>
      </c>
      <c r="CD121" s="105" t="str">
        <f>IFERROR(__xludf.DUMMYFUNCTION("""COMPUTED_VALUE"""),"A Saya suka menyelesaikan setiap tugas meskipun membutuhkan waktu lama.")</f>
        <v>A Saya suka menyelesaikan setiap tugas meskipun membutuhkan waktu lama.</v>
      </c>
      <c r="CE121" s="105" t="str">
        <f>IFERROR(__xludf.DUMMYFUNCTION("""COMPUTED_VALUE"""),"A Saya suka menyelesaikan setiap tugas belajar yang telah saya mulai.")</f>
        <v>A Saya suka menyelesaikan setiap tugas belajar yang telah saya mulai.</v>
      </c>
      <c r="CF121" s="105" t="str">
        <f>IFERROR(__xludf.DUMMYFUNCTION("""COMPUTED_VALUE"""),"A Saya ingin agar hidup saya teratur sesuai cita-cita saya.")</f>
        <v>A Saya ingin agar hidup saya teratur sesuai cita-cita saya.</v>
      </c>
      <c r="CG121" s="105" t="str">
        <f>IFERROR(__xludf.DUMMYFUNCTION("""COMPUTED_VALUE"""),"A Saya ingin berhasil dalam apa yang saya lakukan.")</f>
        <v>A Saya ingin berhasil dalam apa yang saya lakukan.</v>
      </c>
      <c r="CH121" s="105" t="str">
        <f>IFERROR(__xludf.DUMMYFUNCTION("""COMPUTED_VALUE"""),"A Saya ingin bisa melakukan dengan baik sesuatu pekerjaan sulit.")</f>
        <v>A Saya ingin bisa melakukan dengan baik sesuatu pekerjaan sulit.</v>
      </c>
      <c r="CI121" s="105" t="str">
        <f>IFERROR(__xludf.DUMMYFUNCTION("""COMPUTED_VALUE"""),"A Saya suka belajar saya teratur dan ada waktu-waktu tertentu untuk belajar.")</f>
        <v>A Saya suka belajar saya teratur dan ada waktu-waktu tertentu untuk belajar.</v>
      </c>
      <c r="CJ121" s="105" t="str">
        <f>IFERROR(__xludf.DUMMYFUNCTION("""COMPUTED_VALUE"""),"A Saya ingin tidak tergantung dari orang lain terhadap apa yang akan saya lakukan.")</f>
        <v>A Saya ingin tidak tergantung dari orang lain terhadap apa yang akan saya lakukan.</v>
      </c>
      <c r="CK121" s="105" t="str">
        <f>IFERROR(__xludf.DUMMYFUNCTION("""COMPUTED_VALUE"""),"B Saya senang ikut beraktivitas bersama teman sebaya saya.")</f>
        <v>B Saya senang ikut beraktivitas bersama teman sebaya saya.</v>
      </c>
      <c r="CL121" s="105" t="str">
        <f>IFERROR(__xludf.DUMMYFUNCTION("""COMPUTED_VALUE"""),"A Saya suka menolong teman-teman saya, apabila mereka dalam kesulitan.")</f>
        <v>A Saya suka menolong teman-teman saya, apabila mereka dalam kesulitan.</v>
      </c>
      <c r="CM121" s="105" t="str">
        <f>IFERROR(__xludf.DUMMYFUNCTION("""COMPUTED_VALUE"""),"A Saya ingin ditunjuk atau dipilih sebagai ketua dalam suatu kelompok.")</f>
        <v>A Saya ingin ditunjuk atau dipilih sebagai ketua dalam suatu kelompok.</v>
      </c>
      <c r="CN121" s="105" t="str">
        <f>IFERROR(__xludf.DUMMYFUNCTION("""COMPUTED_VALUE"""),"A Saya ingin diperlakukan dengan baik oleh teman-teman saya.")</f>
        <v>A Saya ingin diperlakukan dengan baik oleh teman-teman saya.</v>
      </c>
      <c r="CO121" s="105" t="str">
        <f>IFERROR(__xludf.DUMMYFUNCTION("""COMPUTED_VALUE"""),"B Saya suka memuji orang yang saya kagumi.")</f>
        <v>B Saya suka memuji orang yang saya kagumi.</v>
      </c>
      <c r="CP121" s="105" t="str">
        <f>IFERROR(__xludf.DUMMYFUNCTION("""COMPUTED_VALUE"""),"B Saya ingin dianggap menarik oleh orang lain.")</f>
        <v>B Saya ingin dianggap menarik oleh orang lain.</v>
      </c>
      <c r="CQ121" s="105" t="str">
        <f>IFERROR(__xludf.DUMMYFUNCTION("""COMPUTED_VALUE"""),"B Saya merasa kagum pada seseorang.")</f>
        <v>B Saya merasa kagum pada seseorang.</v>
      </c>
      <c r="CR121" s="105" t="str">
        <f>IFERROR(__xludf.DUMMYFUNCTION("""COMPUTED_VALUE"""),"B Saya rasanya ingin mengecam seseorang bila orang itu menjengkelkan.")</f>
        <v>B Saya rasanya ingin mengecam seseorang bila orang itu menjengkelkan.</v>
      </c>
      <c r="CS121" s="105" t="str">
        <f>IFERROR(__xludf.DUMMYFUNCTION("""COMPUTED_VALUE"""),"A Saya ingin terlihat menarik di depan teman-teman saya.")</f>
        <v>A Saya ingin terlihat menarik di depan teman-teman saya.</v>
      </c>
      <c r="CT121" s="105" t="str">
        <f>IFERROR(__xludf.DUMMYFUNCTION("""COMPUTED_VALUE"""),"A Saya ingin orang-orang memperhatikan komentar mengenai penampilan saya.")</f>
        <v>A Saya ingin orang-orang memperhatikan komentar mengenai penampilan saya.</v>
      </c>
      <c r="CU121" s="105" t="str">
        <f>IFERROR(__xludf.DUMMYFUNCTION("""COMPUTED_VALUE"""),"A Saya ingin diperlakukan dengan ramah oleh teman-teman saya.")</f>
        <v>A Saya ingin diperlakukan dengan ramah oleh teman-teman saya.</v>
      </c>
      <c r="CV121" s="105" t="str">
        <f>IFERROR(__xludf.DUMMYFUNCTION("""COMPUTED_VALUE"""),"A Saya ingin ditunjuk atau dipilih sebagai ketua dalam suatu kelompok.")</f>
        <v>A Saya ingin ditunjuk atau dipilih sebagai ketua dalam suatu kelompok.</v>
      </c>
      <c r="CW121" s="105" t="str">
        <f>IFERROR(__xludf.DUMMYFUNCTION("""COMPUTED_VALUE"""),"A Saya suka menolong teman-teman saya, apabila mereka dalam kesulitan.")</f>
        <v>A Saya suka menolong teman-teman saya, apabila mereka dalam kesulitan.</v>
      </c>
      <c r="CX121" s="105" t="str">
        <f>IFERROR(__xludf.DUMMYFUNCTION("""COMPUTED_VALUE"""),"A Saya suka belajar sampai malam untuk menyelesaikan suatu tugas.")</f>
        <v>A Saya suka belajar sampai malam untuk menyelesaikan suatu tugas.</v>
      </c>
      <c r="CY121" s="105" t="str">
        <f>IFERROR(__xludf.DUMMYFUNCTION("""COMPUTED_VALUE"""),"A Saya ingin tidak tergantung dari orang lain terhadap apa yang akan saya lakukan.")</f>
        <v>A Saya ingin tidak tergantung dari orang lain terhadap apa yang akan saya lakukan.</v>
      </c>
      <c r="CZ121" s="105" t="str">
        <f>IFERROR(__xludf.DUMMYFUNCTION("""COMPUTED_VALUE"""),"A Saya suka merencanakan dan mengatur setiap pekerjaan yang harus saya lakukan.")</f>
        <v>A Saya suka merencanakan dan mengatur setiap pekerjaan yang harus saya lakukan.</v>
      </c>
      <c r="DA121" s="105" t="str">
        <f>IFERROR(__xludf.DUMMYFUNCTION("""COMPUTED_VALUE"""),"A Saya ingin melakukan apa saja sebaik mungkin.")</f>
        <v>A Saya ingin melakukan apa saja sebaik mungkin.</v>
      </c>
      <c r="DB121" s="89" t="s">
        <v>23</v>
      </c>
      <c r="DC121" s="97" t="str">
        <f t="shared" ref="DC121:GX121" si="166">LEFT(F121,1)</f>
        <v>B</v>
      </c>
      <c r="DD121" s="97" t="str">
        <f t="shared" si="166"/>
        <v>B</v>
      </c>
      <c r="DE121" s="97" t="str">
        <f t="shared" si="166"/>
        <v>B</v>
      </c>
      <c r="DF121" s="97" t="str">
        <f t="shared" si="166"/>
        <v>B</v>
      </c>
      <c r="DG121" s="97" t="str">
        <f t="shared" si="166"/>
        <v>A</v>
      </c>
      <c r="DH121" s="97" t="str">
        <f t="shared" si="166"/>
        <v>B</v>
      </c>
      <c r="DI121" s="97" t="str">
        <f t="shared" si="166"/>
        <v>B</v>
      </c>
      <c r="DJ121" s="97" t="str">
        <f t="shared" si="166"/>
        <v>A</v>
      </c>
      <c r="DK121" s="97" t="str">
        <f t="shared" si="166"/>
        <v>B</v>
      </c>
      <c r="DL121" s="97" t="str">
        <f t="shared" si="166"/>
        <v>B</v>
      </c>
      <c r="DM121" s="97" t="str">
        <f t="shared" si="166"/>
        <v>B</v>
      </c>
      <c r="DN121" s="97" t="str">
        <f t="shared" si="166"/>
        <v>B</v>
      </c>
      <c r="DO121" s="97" t="str">
        <f t="shared" si="166"/>
        <v>B</v>
      </c>
      <c r="DP121" s="97" t="str">
        <f t="shared" si="166"/>
        <v>B</v>
      </c>
      <c r="DQ121" s="97" t="str">
        <f t="shared" si="166"/>
        <v>B</v>
      </c>
      <c r="DR121" s="97" t="str">
        <f t="shared" si="166"/>
        <v>A</v>
      </c>
      <c r="DS121" s="97" t="str">
        <f t="shared" si="166"/>
        <v>B</v>
      </c>
      <c r="DT121" s="97" t="str">
        <f t="shared" si="166"/>
        <v>B</v>
      </c>
      <c r="DU121" s="97" t="str">
        <f t="shared" si="166"/>
        <v>B</v>
      </c>
      <c r="DV121" s="97" t="str">
        <f t="shared" si="166"/>
        <v>A</v>
      </c>
      <c r="DW121" s="97" t="str">
        <f t="shared" si="166"/>
        <v>A</v>
      </c>
      <c r="DX121" s="97" t="str">
        <f t="shared" si="166"/>
        <v>A</v>
      </c>
      <c r="DY121" s="97" t="str">
        <f t="shared" si="166"/>
        <v>A</v>
      </c>
      <c r="DZ121" s="97" t="str">
        <f t="shared" si="166"/>
        <v>A</v>
      </c>
      <c r="EA121" s="97" t="str">
        <f t="shared" si="166"/>
        <v>A</v>
      </c>
      <c r="EB121" s="97" t="str">
        <f t="shared" si="166"/>
        <v>A</v>
      </c>
      <c r="EC121" s="97" t="str">
        <f t="shared" si="166"/>
        <v>A</v>
      </c>
      <c r="ED121" s="97" t="str">
        <f t="shared" si="166"/>
        <v>B</v>
      </c>
      <c r="EE121" s="97" t="str">
        <f t="shared" si="166"/>
        <v>B</v>
      </c>
      <c r="EF121" s="97" t="str">
        <f t="shared" si="166"/>
        <v>B</v>
      </c>
      <c r="EG121" s="97" t="str">
        <f t="shared" si="166"/>
        <v>B</v>
      </c>
      <c r="EH121" s="97" t="str">
        <f t="shared" si="166"/>
        <v>B</v>
      </c>
      <c r="EI121" s="97" t="str">
        <f t="shared" si="166"/>
        <v>B</v>
      </c>
      <c r="EJ121" s="97" t="str">
        <f t="shared" si="166"/>
        <v>B</v>
      </c>
      <c r="EK121" s="97" t="str">
        <f t="shared" si="166"/>
        <v>A</v>
      </c>
      <c r="EL121" s="97" t="str">
        <f t="shared" si="166"/>
        <v>B</v>
      </c>
      <c r="EM121" s="97" t="str">
        <f t="shared" si="166"/>
        <v>A</v>
      </c>
      <c r="EN121" s="97" t="str">
        <f t="shared" si="166"/>
        <v>B</v>
      </c>
      <c r="EO121" s="97" t="str">
        <f t="shared" si="166"/>
        <v>B</v>
      </c>
      <c r="EP121" s="97" t="str">
        <f t="shared" si="166"/>
        <v>B</v>
      </c>
      <c r="EQ121" s="97" t="str">
        <f t="shared" si="166"/>
        <v>A</v>
      </c>
      <c r="ER121" s="97" t="str">
        <f t="shared" si="166"/>
        <v>B</v>
      </c>
      <c r="ES121" s="97" t="str">
        <f t="shared" si="166"/>
        <v>B</v>
      </c>
      <c r="ET121" s="97" t="str">
        <f t="shared" si="166"/>
        <v>A</v>
      </c>
      <c r="EU121" s="97" t="str">
        <f t="shared" si="166"/>
        <v>A</v>
      </c>
      <c r="EV121" s="97" t="str">
        <f t="shared" si="166"/>
        <v>B</v>
      </c>
      <c r="EW121" s="97" t="str">
        <f t="shared" si="166"/>
        <v>B</v>
      </c>
      <c r="EX121" s="97" t="str">
        <f t="shared" si="166"/>
        <v>A</v>
      </c>
      <c r="EY121" s="97" t="str">
        <f t="shared" si="166"/>
        <v>B</v>
      </c>
      <c r="EZ121" s="97" t="str">
        <f t="shared" si="166"/>
        <v>B</v>
      </c>
      <c r="FA121" s="97" t="str">
        <f t="shared" si="166"/>
        <v>B</v>
      </c>
      <c r="FB121" s="97" t="str">
        <f t="shared" si="166"/>
        <v>B</v>
      </c>
      <c r="FC121" s="97" t="str">
        <f t="shared" si="166"/>
        <v>B</v>
      </c>
      <c r="FD121" s="97" t="str">
        <f t="shared" si="166"/>
        <v>B</v>
      </c>
      <c r="FE121" s="97" t="str">
        <f t="shared" si="166"/>
        <v>B</v>
      </c>
      <c r="FF121" s="97" t="str">
        <f t="shared" si="166"/>
        <v>A</v>
      </c>
      <c r="FG121" s="97" t="str">
        <f t="shared" si="166"/>
        <v>A</v>
      </c>
      <c r="FH121" s="97" t="str">
        <f t="shared" si="166"/>
        <v>B</v>
      </c>
      <c r="FI121" s="97" t="str">
        <f t="shared" si="166"/>
        <v>A</v>
      </c>
      <c r="FJ121" s="97" t="str">
        <f t="shared" si="166"/>
        <v>A</v>
      </c>
      <c r="FK121" s="97" t="str">
        <f t="shared" si="166"/>
        <v>B</v>
      </c>
      <c r="FL121" s="97" t="str">
        <f t="shared" si="166"/>
        <v>A</v>
      </c>
      <c r="FM121" s="97" t="str">
        <f t="shared" si="166"/>
        <v>A</v>
      </c>
      <c r="FN121" s="97" t="str">
        <f t="shared" si="166"/>
        <v>A</v>
      </c>
      <c r="FO121" s="97" t="str">
        <f t="shared" si="166"/>
        <v>A</v>
      </c>
      <c r="FP121" s="97" t="str">
        <f t="shared" si="166"/>
        <v>B</v>
      </c>
      <c r="FQ121" s="97" t="str">
        <f t="shared" si="166"/>
        <v>B</v>
      </c>
      <c r="FR121" s="97" t="str">
        <f t="shared" si="166"/>
        <v>A</v>
      </c>
      <c r="FS121" s="97" t="str">
        <f t="shared" si="166"/>
        <v>B</v>
      </c>
      <c r="FT121" s="97" t="str">
        <f t="shared" si="166"/>
        <v>B</v>
      </c>
      <c r="FU121" s="97" t="str">
        <f t="shared" si="166"/>
        <v>B</v>
      </c>
      <c r="FV121" s="97" t="str">
        <f t="shared" si="166"/>
        <v>B</v>
      </c>
      <c r="FW121" s="97" t="str">
        <f t="shared" si="166"/>
        <v>B</v>
      </c>
      <c r="FX121" s="97" t="str">
        <f t="shared" si="166"/>
        <v>A</v>
      </c>
      <c r="FY121" s="97" t="str">
        <f t="shared" si="166"/>
        <v>B</v>
      </c>
      <c r="FZ121" s="97" t="str">
        <f t="shared" si="166"/>
        <v>A</v>
      </c>
      <c r="GA121" s="97" t="str">
        <f t="shared" si="166"/>
        <v>A</v>
      </c>
      <c r="GB121" s="97" t="str">
        <f t="shared" si="166"/>
        <v>A</v>
      </c>
      <c r="GC121" s="97" t="str">
        <f t="shared" si="166"/>
        <v>A</v>
      </c>
      <c r="GD121" s="97" t="str">
        <f t="shared" si="166"/>
        <v>A</v>
      </c>
      <c r="GE121" s="97" t="str">
        <f t="shared" si="166"/>
        <v>A</v>
      </c>
      <c r="GF121" s="97" t="str">
        <f t="shared" si="166"/>
        <v>A</v>
      </c>
      <c r="GG121" s="97" t="str">
        <f t="shared" si="166"/>
        <v>A</v>
      </c>
      <c r="GH121" s="97" t="str">
        <f t="shared" si="166"/>
        <v>B</v>
      </c>
      <c r="GI121" s="97" t="str">
        <f t="shared" si="166"/>
        <v>A</v>
      </c>
      <c r="GJ121" s="97" t="str">
        <f t="shared" si="166"/>
        <v>A</v>
      </c>
      <c r="GK121" s="97" t="str">
        <f t="shared" si="166"/>
        <v>A</v>
      </c>
      <c r="GL121" s="97" t="str">
        <f t="shared" si="166"/>
        <v>B</v>
      </c>
      <c r="GM121" s="97" t="str">
        <f t="shared" si="166"/>
        <v>B</v>
      </c>
      <c r="GN121" s="97" t="str">
        <f t="shared" si="166"/>
        <v>B</v>
      </c>
      <c r="GO121" s="97" t="str">
        <f t="shared" si="166"/>
        <v>B</v>
      </c>
      <c r="GP121" s="97" t="str">
        <f t="shared" si="166"/>
        <v>A</v>
      </c>
      <c r="GQ121" s="97" t="str">
        <f t="shared" si="166"/>
        <v>A</v>
      </c>
      <c r="GR121" s="97" t="str">
        <f t="shared" si="166"/>
        <v>A</v>
      </c>
      <c r="GS121" s="97" t="str">
        <f t="shared" si="166"/>
        <v>A</v>
      </c>
      <c r="GT121" s="97" t="str">
        <f t="shared" si="166"/>
        <v>A</v>
      </c>
      <c r="GU121" s="97" t="str">
        <f t="shared" si="166"/>
        <v>A</v>
      </c>
      <c r="GV121" s="97" t="str">
        <f t="shared" si="166"/>
        <v>A</v>
      </c>
      <c r="GW121" s="97" t="str">
        <f t="shared" si="166"/>
        <v>A</v>
      </c>
      <c r="GX121" s="97" t="str">
        <f t="shared" si="166"/>
        <v>A</v>
      </c>
      <c r="GY121" s="98"/>
      <c r="GZ121" s="97">
        <f t="shared" si="3"/>
        <v>47</v>
      </c>
      <c r="HA121" s="97">
        <f t="shared" si="4"/>
        <v>53</v>
      </c>
      <c r="HB121" s="90">
        <f t="shared" si="5"/>
        <v>100</v>
      </c>
      <c r="HC121" s="99"/>
      <c r="HD121" s="97">
        <f t="shared" si="6"/>
        <v>7</v>
      </c>
      <c r="HE121" s="97">
        <f t="shared" si="7"/>
        <v>7</v>
      </c>
      <c r="HF121" s="90">
        <f t="shared" si="8"/>
        <v>14</v>
      </c>
      <c r="HG121" s="99"/>
      <c r="HH121" s="97">
        <f t="shared" si="9"/>
        <v>6</v>
      </c>
      <c r="HI121" s="97">
        <f t="shared" si="10"/>
        <v>8</v>
      </c>
      <c r="HJ121" s="90">
        <f t="shared" si="11"/>
        <v>14</v>
      </c>
      <c r="HK121" s="99"/>
      <c r="HL121" s="97">
        <f t="shared" si="12"/>
        <v>4</v>
      </c>
      <c r="HM121" s="97">
        <f t="shared" si="13"/>
        <v>3</v>
      </c>
      <c r="HN121" s="90">
        <f t="shared" si="14"/>
        <v>7</v>
      </c>
      <c r="HO121" s="99"/>
      <c r="HP121" s="97">
        <f t="shared" si="15"/>
        <v>6</v>
      </c>
      <c r="HQ121" s="97">
        <f t="shared" si="16"/>
        <v>8</v>
      </c>
      <c r="HR121" s="90">
        <f t="shared" si="17"/>
        <v>14</v>
      </c>
      <c r="HS121" s="99"/>
      <c r="HT121" s="97">
        <f t="shared" si="18"/>
        <v>8</v>
      </c>
      <c r="HU121" s="97">
        <f t="shared" si="19"/>
        <v>6</v>
      </c>
      <c r="HV121" s="90">
        <f t="shared" si="20"/>
        <v>14</v>
      </c>
      <c r="HW121" s="99"/>
      <c r="HX121" s="97">
        <f t="shared" si="21"/>
        <v>4</v>
      </c>
      <c r="HY121" s="97">
        <f t="shared" si="22"/>
        <v>6</v>
      </c>
      <c r="HZ121" s="90">
        <f t="shared" si="23"/>
        <v>10</v>
      </c>
      <c r="IA121" s="99"/>
      <c r="IB121" s="97">
        <f t="shared" si="24"/>
        <v>4</v>
      </c>
      <c r="IC121" s="97">
        <f t="shared" si="25"/>
        <v>5</v>
      </c>
      <c r="ID121" s="90">
        <f t="shared" si="26"/>
        <v>9</v>
      </c>
      <c r="IE121" s="99"/>
      <c r="IF121" s="97">
        <f t="shared" si="27"/>
        <v>4</v>
      </c>
      <c r="IG121" s="97">
        <f t="shared" si="28"/>
        <v>4</v>
      </c>
      <c r="IH121" s="90">
        <f t="shared" si="29"/>
        <v>8</v>
      </c>
      <c r="II121" s="99"/>
      <c r="IJ121" s="97">
        <f t="shared" si="30"/>
        <v>1</v>
      </c>
      <c r="IK121" s="97">
        <f t="shared" si="31"/>
        <v>4</v>
      </c>
      <c r="IL121" s="90">
        <f t="shared" si="32"/>
        <v>5</v>
      </c>
      <c r="IM121" s="99"/>
      <c r="IN121" s="97">
        <f t="shared" si="33"/>
        <v>0</v>
      </c>
      <c r="IO121" s="97">
        <f t="shared" si="34"/>
        <v>1</v>
      </c>
      <c r="IP121" s="90">
        <f t="shared" si="35"/>
        <v>1</v>
      </c>
      <c r="IS121" s="100">
        <f t="shared" si="36"/>
        <v>14</v>
      </c>
      <c r="IT121" s="100">
        <f t="shared" si="37"/>
        <v>14</v>
      </c>
      <c r="IU121" s="100">
        <f t="shared" si="38"/>
        <v>7</v>
      </c>
      <c r="IV121" s="100">
        <f t="shared" si="39"/>
        <v>14</v>
      </c>
      <c r="IW121" s="100">
        <f t="shared" si="40"/>
        <v>14</v>
      </c>
      <c r="IX121" s="100">
        <f t="shared" si="41"/>
        <v>10</v>
      </c>
      <c r="IY121" s="100">
        <f t="shared" si="42"/>
        <v>9</v>
      </c>
      <c r="IZ121" s="100">
        <f t="shared" si="43"/>
        <v>8</v>
      </c>
      <c r="JA121" s="100">
        <f t="shared" si="44"/>
        <v>5</v>
      </c>
      <c r="JB121" s="101">
        <f t="shared" si="45"/>
        <v>1</v>
      </c>
      <c r="JC121" s="102">
        <f t="shared" si="46"/>
        <v>96</v>
      </c>
      <c r="JD121" s="67">
        <f t="shared" si="50"/>
        <v>0</v>
      </c>
      <c r="JE121" s="67">
        <f t="shared" si="47"/>
        <v>1</v>
      </c>
      <c r="JF121" s="67">
        <f t="shared" si="48"/>
        <v>1</v>
      </c>
    </row>
    <row r="122">
      <c r="A122" s="104">
        <f>IFERROR(__xludf.DUMMYFUNCTION("""COMPUTED_VALUE"""),45966.642106747684)</f>
        <v>45966.64211</v>
      </c>
      <c r="B122" s="105" t="str">
        <f>IFERROR(__xludf.DUMMYFUNCTION("""COMPUTED_VALUE"""),"Muhammad Azzam Al Hafizh")</f>
        <v>Muhammad Azzam Al Hafizh</v>
      </c>
      <c r="C122" s="7" t="str">
        <f>IFERROR(__xludf.DUMMYFUNCTION("""COMPUTED_VALUE"""),"A250076")</f>
        <v>A250076</v>
      </c>
      <c r="D122" s="7" t="str">
        <f>IFERROR(__xludf.DUMMYFUNCTION("""COMPUTED_VALUE"""),"MTs Putra")</f>
        <v>MTs Putra</v>
      </c>
      <c r="E122" s="7" t="str">
        <f>IFERROR(__xludf.DUMMYFUNCTION("""COMPUTED_VALUE"""),"Ya")</f>
        <v>Ya</v>
      </c>
      <c r="F122" s="105" t="str">
        <f>IFERROR(__xludf.DUMMYFUNCTION("""COMPUTED_VALUE"""),"B Saya ingin melakukan apa saja sebaik mungkin.")</f>
        <v>B Saya ingin melakukan apa saja sebaik mungkin.</v>
      </c>
      <c r="G122" s="105" t="str">
        <f>IFERROR(__xludf.DUMMYFUNCTION("""COMPUTED_VALUE"""),"B Saya ingin menyelesaikan tugas yang segera dikumpulkan.")</f>
        <v>B Saya ingin menyelesaikan tugas yang segera dikumpulkan.</v>
      </c>
      <c r="H122" s="105" t="str">
        <f>IFERROR(__xludf.DUMMYFUNCTION("""COMPUTED_VALUE"""),"B Saya ingin menjadi orang yang diakui dalam suatu pekerjaan atau bidang khusus.")</f>
        <v>B Saya ingin menjadi orang yang diakui dalam suatu pekerjaan atau bidang khusus.</v>
      </c>
      <c r="I122" s="105" t="str">
        <f>IFERROR(__xludf.DUMMYFUNCTION("""COMPUTED_VALUE"""),"A Saya suka belajar keras pada tiap pelajaran yang saya hadapi.")</f>
        <v>A Saya suka belajar keras pada tiap pelajaran yang saya hadapi.</v>
      </c>
      <c r="J122" s="105" t="str">
        <f>IFERROR(__xludf.DUMMYFUNCTION("""COMPUTED_VALUE"""),"A Saya suka membantu teman-teman saya apabila mereka mengalami kesulitan.")</f>
        <v>A Saya suka membantu teman-teman saya apabila mereka mengalami kesulitan.</v>
      </c>
      <c r="K122" s="105" t="str">
        <f>IFERROR(__xludf.DUMMYFUNCTION("""COMPUTED_VALUE"""),"B Saya ingin mengatakan telah melakukan dengan baik sesuatu tugas yang sulit.")</f>
        <v>B Saya ingin mengatakan telah melakukan dengan baik sesuatu tugas yang sulit.</v>
      </c>
      <c r="L122" s="105" t="str">
        <f>IFERROR(__xludf.DUMMYFUNCTION("""COMPUTED_VALUE"""),"B Saya ingin mengatakan telah melakukan dengan baik sesuatu tugas yang sulit")</f>
        <v>B Saya ingin mengatakan telah melakukan dengan baik sesuatu tugas yang sulit</v>
      </c>
      <c r="M122" s="105" t="str">
        <f>IFERROR(__xludf.DUMMYFUNCTION("""COMPUTED_VALUE"""),"A Saya suka berbicara tentang hal-hal yang telah berhasil saya lakukan.")</f>
        <v>A Saya suka berbicara tentang hal-hal yang telah berhasil saya lakukan.</v>
      </c>
      <c r="N122" s="105" t="str">
        <f>IFERROR(__xludf.DUMMYFUNCTION("""COMPUTED_VALUE"""),"A Saya suka pergi dengan pakaian rapi agar lebih menarik perhatian orang lain.")</f>
        <v>A Saya suka pergi dengan pakaian rapi agar lebih menarik perhatian orang lain.</v>
      </c>
      <c r="O122" s="105" t="str">
        <f>IFERROR(__xludf.DUMMYFUNCTION("""COMPUTED_VALUE"""),"B Saya suka melakukan tugas sebaik mungkin.")</f>
        <v>B Saya suka melakukan tugas sebaik mungkin.</v>
      </c>
      <c r="P122" s="105" t="str">
        <f>IFERROR(__xludf.DUMMYFUNCTION("""COMPUTED_VALUE"""),"B Saya ingin setiap belajar itu teratur dan direncanakan.")</f>
        <v>B Saya ingin setiap belajar itu teratur dan direncanakan.</v>
      </c>
      <c r="Q122" s="105" t="str">
        <f>IFERROR(__xludf.DUMMYFUNCTION("""COMPUTED_VALUE"""),"B Saya merencanakan keperluan yang dibutuhkan sebelum bepergian.")</f>
        <v>B Saya merencanakan keperluan yang dibutuhkan sebelum bepergian.</v>
      </c>
      <c r="R122" s="105" t="str">
        <f>IFERROR(__xludf.DUMMYFUNCTION("""COMPUTED_VALUE"""),"B Saya suka barang-barang saya tersusun rapi dan teratur.")</f>
        <v>B Saya suka barang-barang saya tersusun rapi dan teratur.</v>
      </c>
      <c r="S122" s="105" t="str">
        <f>IFERROR(__xludf.DUMMYFUNCTION("""COMPUTED_VALUE"""),"B Saya suka membuat perencanaan sebelum memulai tugas yang sulit.")</f>
        <v>B Saya suka membuat perencanaan sebelum memulai tugas yang sulit.</v>
      </c>
      <c r="T122" s="105" t="str">
        <f>IFERROR(__xludf.DUMMYFUNCTION("""COMPUTED_VALUE"""),"B Saya ingin agar hidup saya teratur sesuai cita-cita saya.")</f>
        <v>B Saya ingin agar hidup saya teratur sesuai cita-cita saya.</v>
      </c>
      <c r="U122" s="105" t="str">
        <f>IFERROR(__xludf.DUMMYFUNCTION("""COMPUTED_VALUE"""),"A Saya suka memberikan bantuan kepada teman-teman saya.")</f>
        <v>A Saya suka memberikan bantuan kepada teman-teman saya.</v>
      </c>
      <c r="V122" s="105" t="str">
        <f>IFERROR(__xludf.DUMMYFUNCTION("""COMPUTED_VALUE"""),"B Saya suka belajar saya teratur dan ada waktu-waktu tertentu untuk belajar.")</f>
        <v>B Saya suka belajar saya teratur dan ada waktu-waktu tertentu untuk belajar.</v>
      </c>
      <c r="W122" s="105" t="str">
        <f>IFERROR(__xludf.DUMMYFUNCTION("""COMPUTED_VALUE"""),"B Saya ingin kegiatan itu teratur dan direncanakan.")</f>
        <v>B Saya ingin kegiatan itu teratur dan direncanakan.</v>
      </c>
      <c r="X122" s="105" t="str">
        <f>IFERROR(__xludf.DUMMYFUNCTION("""COMPUTED_VALUE"""),"A Saya suka merencanakan dan mengatur setiap apa yang harus saya lakukan.")</f>
        <v>A Saya suka merencanakan dan mengatur setiap apa yang harus saya lakukan.</v>
      </c>
      <c r="Y122" s="105" t="str">
        <f>IFERROR(__xludf.DUMMYFUNCTION("""COMPUTED_VALUE"""),"A Saya suka menyelesaikan tugas-tugas yang membutuhkan ketrampilan dan usaha.")</f>
        <v>A Saya suka menyelesaikan tugas-tugas yang membutuhkan ketrampilan dan usaha.</v>
      </c>
      <c r="Z122" s="105" t="str">
        <f>IFERROR(__xludf.DUMMYFUNCTION("""COMPUTED_VALUE"""),"B Saya ingin merasa bebas untuk melakukan apa yang saya inginkan.")</f>
        <v>B Saya ingin merasa bebas untuk melakukan apa yang saya inginkan.</v>
      </c>
      <c r="AA122" s="105" t="str">
        <f>IFERROR(__xludf.DUMMYFUNCTION("""COMPUTED_VALUE"""),"B Saya tidak suka pada orang yang berbuat seenaknya sendiri.")</f>
        <v>B Saya tidak suka pada orang yang berbuat seenaknya sendiri.</v>
      </c>
      <c r="AB122" s="105" t="str">
        <f>IFERROR(__xludf.DUMMYFUNCTION("""COMPUTED_VALUE"""),"A Saya ingin tidak tergantung dari orang lain terhadap apa yang akan saya lakukan.")</f>
        <v>A Saya ingin tidak tergantung dari orang lain terhadap apa yang akan saya lakukan.</v>
      </c>
      <c r="AC122" s="105" t="str">
        <f>IFERROR(__xludf.DUMMYFUNCTION("""COMPUTED_VALUE"""),"B Saya suka melakukan kegiatan sesuai kondisi yang saya inginkan.")</f>
        <v>B Saya suka melakukan kegiatan sesuai kondisi yang saya inginkan.</v>
      </c>
      <c r="AD122" s="105" t="str">
        <f>IFERROR(__xludf.DUMMYFUNCTION("""COMPUTED_VALUE"""),"A Saya suka bermurah hati terhadap teman-teman saya.")</f>
        <v>A Saya suka bermurah hati terhadap teman-teman saya.</v>
      </c>
      <c r="AE122" s="105" t="str">
        <f>IFERROR(__xludf.DUMMYFUNCTION("""COMPUTED_VALUE"""),"A Saya ingin dianggap sebagai pemimpin oleh teman di kelompok.")</f>
        <v>A Saya ingin dianggap sebagai pemimpin oleh teman di kelompok.</v>
      </c>
      <c r="AF122" s="105" t="str">
        <f>IFERROR(__xludf.DUMMYFUNCTION("""COMPUTED_VALUE"""),"A Saya ingin agar teman-teman mengerti bila saya mengalami kesukaran.")</f>
        <v>A Saya ingin agar teman-teman mengerti bila saya mengalami kesukaran.</v>
      </c>
      <c r="AG122" s="105" t="str">
        <f>IFERROR(__xludf.DUMMYFUNCTION("""COMPUTED_VALUE"""),"B Saya ingin berhasil dengan tugas yang saya lakukan.")</f>
        <v>B Saya ingin berhasil dengan tugas yang saya lakukan.</v>
      </c>
      <c r="AH122" s="105" t="str">
        <f>IFERROR(__xludf.DUMMYFUNCTION("""COMPUTED_VALUE"""),"B Saya ingin merasa bebas untuk melakukan apa yang saya kehendaki.")</f>
        <v>B Saya ingin merasa bebas untuk melakukan apa yang saya kehendaki.</v>
      </c>
      <c r="AI122" s="105" t="str">
        <f>IFERROR(__xludf.DUMMYFUNCTION("""COMPUTED_VALUE"""),"B Saya suka melakukan kegiatan sesuai kondisi yang saya inginkan.")</f>
        <v>B Saya suka melakukan kegiatan sesuai kondisi yang saya inginkan.</v>
      </c>
      <c r="AJ122" s="105" t="str">
        <f>IFERROR(__xludf.DUMMYFUNCTION("""COMPUTED_VALUE"""),"B Saya suka bertahan menghadapi satu masalah meskipun belum tentu berhasil.")</f>
        <v>B Saya suka bertahan menghadapi satu masalah meskipun belum tentu berhasil.</v>
      </c>
      <c r="AK122" s="105" t="str">
        <f>IFERROR(__xludf.DUMMYFUNCTION("""COMPUTED_VALUE"""),"B Bila saya harus melakukan suatu tugas, saya ingin mengerjakan sampai selesai.")</f>
        <v>B Bila saya harus melakukan suatu tugas, saya ingin mengerjakan sampai selesai.</v>
      </c>
      <c r="AL122" s="105" t="str">
        <f>IFERROR(__xludf.DUMMYFUNCTION("""COMPUTED_VALUE"""),"A Saya suka berbicara tentang hal-hal yang telah saya capai.")</f>
        <v>A Saya suka berbicara tentang hal-hal yang telah saya capai.</v>
      </c>
      <c r="AM122" s="105" t="str">
        <f>IFERROR(__xludf.DUMMYFUNCTION("""COMPUTED_VALUE"""),"B Saya suka belajar sampai malam untuk menyelesaikan suatu tugas.")</f>
        <v>B Saya suka belajar sampai malam untuk menyelesaikan suatu tugas.</v>
      </c>
      <c r="AN122" s="105" t="str">
        <f>IFERROR(__xludf.DUMMYFUNCTION("""COMPUTED_VALUE"""),"B Saya ingin bekerja berjam-jam tanpa diganggu.")</f>
        <v>B Saya ingin bekerja berjam-jam tanpa diganggu.</v>
      </c>
      <c r="AO122" s="105" t="str">
        <f>IFERROR(__xludf.DUMMYFUNCTION("""COMPUTED_VALUE"""),"B Saya suka menyelesaikan setiap tugas meskipun membutuhkan waktu lama.")</f>
        <v>B Saya suka menyelesaikan setiap tugas meskipun membutuhkan waktu lama.</v>
      </c>
      <c r="AP122" s="105" t="str">
        <f>IFERROR(__xludf.DUMMYFUNCTION("""COMPUTED_VALUE"""),"B Saya suka bertahan menghadapi satu masalah meskipun belum tentu berhasil.")</f>
        <v>B Saya suka bertahan menghadapi satu masalah meskipun belum tentu berhasil.</v>
      </c>
      <c r="AQ122" s="105" t="str">
        <f>IFERROR(__xludf.DUMMYFUNCTION("""COMPUTED_VALUE"""),"B Bila saya harus melakukan suatu tugas, saya ingin mengerjakan sampai selesai.")</f>
        <v>B Bila saya harus melakukan suatu tugas, saya ingin mengerjakan sampai selesai.</v>
      </c>
      <c r="AR122" s="105" t="str">
        <f>IFERROR(__xludf.DUMMYFUNCTION("""COMPUTED_VALUE"""),"B Saya suka belajar keras pada tiap pelajaran yang saya hadapi.")</f>
        <v>B Saya suka belajar keras pada tiap pelajaran yang saya hadapi.</v>
      </c>
      <c r="AS122" s="105" t="str">
        <f>IFERROR(__xludf.DUMMYFUNCTION("""COMPUTED_VALUE"""),"B Saya suka belajar sampai malam untuk menyelesaikan suatu tugas.")</f>
        <v>B Saya suka belajar sampai malam untuk menyelesaikan suatu tugas.</v>
      </c>
      <c r="AT122" s="105" t="str">
        <f>IFERROR(__xludf.DUMMYFUNCTION("""COMPUTED_VALUE"""),"A Saya ingin bisa melakukan dengan baik sesuatu pekerjaan sulit.")</f>
        <v>A Saya ingin bisa melakukan dengan baik sesuatu pekerjaan sulit.</v>
      </c>
      <c r="AU122" s="105" t="str">
        <f>IFERROR(__xludf.DUMMYFUNCTION("""COMPUTED_VALUE"""),"B Saya suka bermurah hati terhadap teman-teman saya.")</f>
        <v>B Saya suka bermurah hati terhadap teman-teman saya.</v>
      </c>
      <c r="AV122" s="105" t="str">
        <f>IFERROR(__xludf.DUMMYFUNCTION("""COMPUTED_VALUE"""),"B Saya suka menolong teman-teman saya.")</f>
        <v>B Saya suka menolong teman-teman saya.</v>
      </c>
      <c r="AW122" s="105" t="str">
        <f>IFERROR(__xludf.DUMMYFUNCTION("""COMPUTED_VALUE"""),"A Saya ingin mengerjakan tugas sampai selesai.")</f>
        <v>A Saya ingin mengerjakan tugas sampai selesai.</v>
      </c>
      <c r="AX122" s="105" t="str">
        <f>IFERROR(__xludf.DUMMYFUNCTION("""COMPUTED_VALUE"""),"B Saya suka memaafkan teman-teman saya yang menyakiti hati saya.")</f>
        <v>B Saya suka memaafkan teman-teman saya yang menyakiti hati saya.</v>
      </c>
      <c r="AY122" s="105" t="str">
        <f>IFERROR(__xludf.DUMMYFUNCTION("""COMPUTED_VALUE"""),"B Saya suka menolong teman-teman saya apabila mereka dalam kesulitan.")</f>
        <v>B Saya suka menolong teman-teman saya apabila mereka dalam kesulitan.</v>
      </c>
      <c r="AZ122" s="105" t="str">
        <f>IFERROR(__xludf.DUMMYFUNCTION("""COMPUTED_VALUE"""),"B Saya suka menunjukkan simpati saya kepada teman-teman saya.")</f>
        <v>B Saya suka menunjukkan simpati saya kepada teman-teman saya.</v>
      </c>
      <c r="BA122" s="105" t="str">
        <f>IFERROR(__xludf.DUMMYFUNCTION("""COMPUTED_VALUE"""),"B Saya suka memperlakukan orang lain dengan baik dan ramah.")</f>
        <v>B Saya suka memperlakukan orang lain dengan baik dan ramah.</v>
      </c>
      <c r="BB122" s="105" t="str">
        <f>IFERROR(__xludf.DUMMYFUNCTION("""COMPUTED_VALUE"""),"B Saya suka bermurah hati terhadap teman-teman saya.")</f>
        <v>B Saya suka bermurah hati terhadap teman-teman saya.</v>
      </c>
      <c r="BC122" s="105" t="str">
        <f>IFERROR(__xludf.DUMMYFUNCTION("""COMPUTED_VALUE"""),"A Saya rasanya ingin mengecam seseorang bila orang itu menjengkelkan.")</f>
        <v>A Saya rasanya ingin mengecam seseorang bila orang itu menjengkelkan.</v>
      </c>
      <c r="BD122" s="105" t="str">
        <f>IFERROR(__xludf.DUMMYFUNCTION("""COMPUTED_VALUE"""),"B Saya suka bersikukuh dengan pendirian saya.")</f>
        <v>B Saya suka bersikukuh dengan pendirian saya.</v>
      </c>
      <c r="BE122" s="105" t="str">
        <f>IFERROR(__xludf.DUMMYFUNCTION("""COMPUTED_VALUE"""),"B Saya ingin orang lain melakukan apa yang saya kehendaki.")</f>
        <v>B Saya ingin orang lain melakukan apa yang saya kehendaki.</v>
      </c>
      <c r="BF122" s="105" t="str">
        <f>IFERROR(__xludf.DUMMYFUNCTION("""COMPUTED_VALUE"""),"B Bila saya dalam kelompok, saya ingin menentukan apa yang akan kita lakukan.")</f>
        <v>B Bila saya dalam kelompok, saya ingin menentukan apa yang akan kita lakukan.</v>
      </c>
      <c r="BG122" s="105" t="str">
        <f>IFERROR(__xludf.DUMMYFUNCTION("""COMPUTED_VALUE"""),"B Saya suka mengarahkan kepada orang lain apa yang harus dilakukan.")</f>
        <v>B Saya suka mengarahkan kepada orang lain apa yang harus dilakukan.</v>
      </c>
      <c r="BH122" s="105" t="str">
        <f>IFERROR(__xludf.DUMMYFUNCTION("""COMPUTED_VALUE"""),"A Saya suka menghindar dari situasi yang tidak saya harapkan.")</f>
        <v>A Saya suka menghindar dari situasi yang tidak saya harapkan.</v>
      </c>
      <c r="BI122" s="105" t="str">
        <f>IFERROR(__xludf.DUMMYFUNCTION("""COMPUTED_VALUE"""),"A Saya suka bermurah hati terhadap teman-teman saya.")</f>
        <v>A Saya suka bermurah hati terhadap teman-teman saya.</v>
      </c>
      <c r="BJ122" s="105" t="str">
        <f>IFERROR(__xludf.DUMMYFUNCTION("""COMPUTED_VALUE"""),"A Saya ingin mengerjakan tugas sampai selesai.")</f>
        <v>A Saya ingin mengerjakan tugas sampai selesai.</v>
      </c>
      <c r="BK122" s="105" t="str">
        <f>IFERROR(__xludf.DUMMYFUNCTION("""COMPUTED_VALUE"""),"A Saya ingin menyelesaikan pekerjaan satu persatu sebelum memulai yang lain.")</f>
        <v>A Saya ingin menyelesaikan pekerjaan satu persatu sebelum memulai yang lain.</v>
      </c>
      <c r="BL122" s="105" t="str">
        <f>IFERROR(__xludf.DUMMYFUNCTION("""COMPUTED_VALUE"""),"A Saya suka belajar saya teratur dan ada waktu-waktu tertentu untuk belajar.")</f>
        <v>A Saya suka belajar saya teratur dan ada waktu-waktu tertentu untuk belajar.</v>
      </c>
      <c r="BM122" s="105" t="str">
        <f>IFERROR(__xludf.DUMMYFUNCTION("""COMPUTED_VALUE"""),"A Saya suka melakukan pekerjaan sebaik mungkin.")</f>
        <v>A Saya suka melakukan pekerjaan sebaik mungkin.</v>
      </c>
      <c r="BN122" s="105" t="str">
        <f>IFERROR(__xludf.DUMMYFUNCTION("""COMPUTED_VALUE"""),"B Saya ingin teman-teman memberi dorongan bila saya menghadapi kegagalan.")</f>
        <v>B Saya ingin teman-teman memberi dorongan bila saya menghadapi kegagalan.</v>
      </c>
      <c r="BO122" s="105" t="str">
        <f>IFERROR(__xludf.DUMMYFUNCTION("""COMPUTED_VALUE"""),"A Saya suka membuat perencanaan sebelum memulai belajar yang sulit.")</f>
        <v>A Saya suka membuat perencanaan sebelum memulai belajar yang sulit.</v>
      </c>
      <c r="BP122" s="105" t="str">
        <f>IFERROR(__xludf.DUMMYFUNCTION("""COMPUTED_VALUE"""),"A Saya ingin menyelesaikan sesuatu yang sangat penting artinya.")</f>
        <v>A Saya ingin menyelesaikan sesuatu yang sangat penting artinya.</v>
      </c>
      <c r="BQ122" s="105" t="str">
        <f>IFERROR(__xludf.DUMMYFUNCTION("""COMPUTED_VALUE"""),"B Saya ingin agar teman-teman menceritakan diri saya apabila saya sakit.")</f>
        <v>B Saya ingin agar teman-teman menceritakan diri saya apabila saya sakit.</v>
      </c>
      <c r="BR122" s="105" t="str">
        <f>IFERROR(__xludf.DUMMYFUNCTION("""COMPUTED_VALUE"""),"B Saya ingin agar teman-teman saya bersimpati dan menghibur saya bila saya sedih.")</f>
        <v>B Saya ingin agar teman-teman saya bersimpati dan menghibur saya bila saya sedih.</v>
      </c>
      <c r="BS122" s="105" t="str">
        <f>IFERROR(__xludf.DUMMYFUNCTION("""COMPUTED_VALUE"""),"B Saya ingin teman-teman saya membantu saya bila saya mengalami kesulitan")</f>
        <v>B Saya ingin teman-teman saya membantu saya bila saya mengalami kesulitan</v>
      </c>
      <c r="BT122" s="105" t="str">
        <f>IFERROR(__xludf.DUMMYFUNCTION("""COMPUTED_VALUE"""),"B Saya ingin teman-teman banyak menunjukkan rasa sayang mereka terhadap saya.")</f>
        <v>B Saya ingin teman-teman banyak menunjukkan rasa sayang mereka terhadap saya.</v>
      </c>
      <c r="BU122" s="105" t="str">
        <f>IFERROR(__xludf.DUMMYFUNCTION("""COMPUTED_VALUE"""),"B Saya ingin agar teman-teman saya merasa kasihan pada saya apabila saya sakit.")</f>
        <v>B Saya ingin agar teman-teman saya merasa kasihan pada saya apabila saya sakit.</v>
      </c>
      <c r="BV122" s="105" t="str">
        <f>IFERROR(__xludf.DUMMYFUNCTION("""COMPUTED_VALUE"""),"A Saya ingin dianggap menarik oleh orang lain.")</f>
        <v>A Saya ingin dianggap menarik oleh orang lain.</v>
      </c>
      <c r="BW122" s="105" t="str">
        <f>IFERROR(__xludf.DUMMYFUNCTION("""COMPUTED_VALUE"""),"B Saya ingin diperlakukan dengan baik oleh teman-teman saya.")</f>
        <v>B Saya ingin diperlakukan dengan baik oleh teman-teman saya.</v>
      </c>
      <c r="BX122" s="105" t="str">
        <f>IFERROR(__xludf.DUMMYFUNCTION("""COMPUTED_VALUE"""),"A Saya ingin memperolok-olok orang yang saya anggap melakukan tindakan bodoh.")</f>
        <v>A Saya ingin memperolok-olok orang yang saya anggap melakukan tindakan bodoh.</v>
      </c>
      <c r="BY122" s="105" t="str">
        <f>IFERROR(__xludf.DUMMYFUNCTION("""COMPUTED_VALUE"""),"A Saya suka melamun atau membayangkan hal-hal yang tidak jelas.")</f>
        <v>A Saya suka melamun atau membayangkan hal-hal yang tidak jelas.</v>
      </c>
      <c r="BZ122" s="105" t="str">
        <f>IFERROR(__xludf.DUMMYFUNCTION("""COMPUTED_VALUE"""),"B Saya suka diperhatikan, apabila saya ada di dalam suatu kelompok.")</f>
        <v>B Saya suka diperhatikan, apabila saya ada di dalam suatu kelompok.</v>
      </c>
      <c r="CA122" s="105" t="str">
        <f>IFERROR(__xludf.DUMMYFUNCTION("""COMPUTED_VALUE"""),"B Saya suka mengajukan pertanyaan agar orang lain memperhatikan saya.")</f>
        <v>B Saya suka mengajukan pertanyaan agar orang lain memperhatikan saya.</v>
      </c>
      <c r="CB122" s="105" t="str">
        <f>IFERROR(__xludf.DUMMYFUNCTION("""COMPUTED_VALUE"""),"B Saya suka berbicara tentang hal-hal yang telah saya capai.")</f>
        <v>B Saya suka berbicara tentang hal-hal yang telah saya capai.</v>
      </c>
      <c r="CC122" s="105" t="str">
        <f>IFERROR(__xludf.DUMMYFUNCTION("""COMPUTED_VALUE"""),"A Apabila saya berkumpul dalam kelompok, saya ingin dihargai teman-teman.")</f>
        <v>A Apabila saya berkumpul dalam kelompok, saya ingin dihargai teman-teman.</v>
      </c>
      <c r="CD122" s="105" t="str">
        <f>IFERROR(__xludf.DUMMYFUNCTION("""COMPUTED_VALUE"""),"A Saya suka menyelesaikan setiap tugas meskipun membutuhkan waktu lama.")</f>
        <v>A Saya suka menyelesaikan setiap tugas meskipun membutuhkan waktu lama.</v>
      </c>
      <c r="CE122" s="105" t="str">
        <f>IFERROR(__xludf.DUMMYFUNCTION("""COMPUTED_VALUE"""),"B Saya kadang-kadang suka melakukan hal-hal yang dapat dipuji oleh orang lain.")</f>
        <v>B Saya kadang-kadang suka melakukan hal-hal yang dapat dipuji oleh orang lain.</v>
      </c>
      <c r="CF122" s="105" t="str">
        <f>IFERROR(__xludf.DUMMYFUNCTION("""COMPUTED_VALUE"""),"B Saya ingin orang lain memperhatikan dan berkomentar tentang penampilan saya.")</f>
        <v>B Saya ingin orang lain memperhatikan dan berkomentar tentang penampilan saya.</v>
      </c>
      <c r="CG122" s="105" t="str">
        <f>IFERROR(__xludf.DUMMYFUNCTION("""COMPUTED_VALUE"""),"A Saya ingin berhasil dalam apa yang saya lakukan.")</f>
        <v>A Saya ingin berhasil dalam apa yang saya lakukan.</v>
      </c>
      <c r="CH122" s="105" t="str">
        <f>IFERROR(__xludf.DUMMYFUNCTION("""COMPUTED_VALUE"""),"B Saya suka dengan orang yang berpenampilan menarik.")</f>
        <v>B Saya suka dengan orang yang berpenampilan menarik.</v>
      </c>
      <c r="CI122" s="105" t="str">
        <f>IFERROR(__xludf.DUMMYFUNCTION("""COMPUTED_VALUE"""),"B Saya ingin dianggap menarik oleh orang lain.")</f>
        <v>B Saya ingin dianggap menarik oleh orang lain.</v>
      </c>
      <c r="CJ122" s="105" t="str">
        <f>IFERROR(__xludf.DUMMYFUNCTION("""COMPUTED_VALUE"""),"A Saya ingin tidak tergantung dari orang lain terhadap apa yang akan saya lakukan.")</f>
        <v>A Saya ingin tidak tergantung dari orang lain terhadap apa yang akan saya lakukan.</v>
      </c>
      <c r="CK122" s="105" t="str">
        <f>IFERROR(__xludf.DUMMYFUNCTION("""COMPUTED_VALUE"""),"B Saya senang ikut beraktivitas bersama teman sebaya saya.")</f>
        <v>B Saya senang ikut beraktivitas bersama teman sebaya saya.</v>
      </c>
      <c r="CL122" s="105" t="str">
        <f>IFERROR(__xludf.DUMMYFUNCTION("""COMPUTED_VALUE"""),"A Saya suka menolong teman-teman saya, apabila mereka dalam kesulitan.")</f>
        <v>A Saya suka menolong teman-teman saya, apabila mereka dalam kesulitan.</v>
      </c>
      <c r="CM122" s="105" t="str">
        <f>IFERROR(__xludf.DUMMYFUNCTION("""COMPUTED_VALUE"""),"A Saya ingin ditunjuk atau dipilih sebagai ketua dalam suatu kelompok.")</f>
        <v>A Saya ingin ditunjuk atau dipilih sebagai ketua dalam suatu kelompok.</v>
      </c>
      <c r="CN122" s="105" t="str">
        <f>IFERROR(__xludf.DUMMYFUNCTION("""COMPUTED_VALUE"""),"B Saya suka mendengarkan atau menceritakan hal-hal yang tidak pantas.")</f>
        <v>B Saya suka mendengarkan atau menceritakan hal-hal yang tidak pantas.</v>
      </c>
      <c r="CO122" s="105" t="str">
        <f>IFERROR(__xludf.DUMMYFUNCTION("""COMPUTED_VALUE"""),"B Saya suka memuji orang yang saya kagumi.")</f>
        <v>B Saya suka memuji orang yang saya kagumi.</v>
      </c>
      <c r="CP122" s="105" t="str">
        <f>IFERROR(__xludf.DUMMYFUNCTION("""COMPUTED_VALUE"""),"A Saya suka melamun atau membayangkan sesuatu sendirian.")</f>
        <v>A Saya suka melamun atau membayangkan sesuatu sendirian.</v>
      </c>
      <c r="CQ122" s="105" t="str">
        <f>IFERROR(__xludf.DUMMYFUNCTION("""COMPUTED_VALUE"""),"B Saya merasa kagum pada seseorang.")</f>
        <v>B Saya merasa kagum pada seseorang.</v>
      </c>
      <c r="CR122" s="105" t="str">
        <f>IFERROR(__xludf.DUMMYFUNCTION("""COMPUTED_VALUE"""),"B Saya rasanya ingin mengecam seseorang bila orang itu menjengkelkan.")</f>
        <v>B Saya rasanya ingin mengecam seseorang bila orang itu menjengkelkan.</v>
      </c>
      <c r="CS122" s="105" t="str">
        <f>IFERROR(__xludf.DUMMYFUNCTION("""COMPUTED_VALUE"""),"B Saya rasanya ingin membalas dendam bila seseorang menghina saya.")</f>
        <v>B Saya rasanya ingin membalas dendam bila seseorang menghina saya.</v>
      </c>
      <c r="CT122" s="105" t="str">
        <f>IFERROR(__xludf.DUMMYFUNCTION("""COMPUTED_VALUE"""),"B Saya saat marah rasanya ingin melemparkan dan merusak barang-barang.")</f>
        <v>B Saya saat marah rasanya ingin melemparkan dan merusak barang-barang.</v>
      </c>
      <c r="CU122" s="105" t="str">
        <f>IFERROR(__xludf.DUMMYFUNCTION("""COMPUTED_VALUE"""),"A Saya ingin diperlakukan dengan ramah oleh teman-teman saya.")</f>
        <v>A Saya ingin diperlakukan dengan ramah oleh teman-teman saya.</v>
      </c>
      <c r="CV122" s="105" t="str">
        <f>IFERROR(__xludf.DUMMYFUNCTION("""COMPUTED_VALUE"""),"A Saya ingin ditunjuk atau dipilih sebagai ketua dalam suatu kelompok.")</f>
        <v>A Saya ingin ditunjuk atau dipilih sebagai ketua dalam suatu kelompok.</v>
      </c>
      <c r="CW122" s="105" t="str">
        <f>IFERROR(__xludf.DUMMYFUNCTION("""COMPUTED_VALUE"""),"A Saya suka menolong teman-teman saya, apabila mereka dalam kesulitan.")</f>
        <v>A Saya suka menolong teman-teman saya, apabila mereka dalam kesulitan.</v>
      </c>
      <c r="CX122" s="105" t="str">
        <f>IFERROR(__xludf.DUMMYFUNCTION("""COMPUTED_VALUE"""),"A Saya suka belajar sampai malam untuk menyelesaikan suatu tugas.")</f>
        <v>A Saya suka belajar sampai malam untuk menyelesaikan suatu tugas.</v>
      </c>
      <c r="CY122" s="105" t="str">
        <f>IFERROR(__xludf.DUMMYFUNCTION("""COMPUTED_VALUE"""),"B Saya rasanya ingin membalas dendam bila seseorang menghina saya.")</f>
        <v>B Saya rasanya ingin membalas dendam bila seseorang menghina saya.</v>
      </c>
      <c r="CZ122" s="105" t="str">
        <f>IFERROR(__xludf.DUMMYFUNCTION("""COMPUTED_VALUE"""),"A Saya suka merencanakan dan mengatur setiap pekerjaan yang harus saya lakukan.")</f>
        <v>A Saya suka merencanakan dan mengatur setiap pekerjaan yang harus saya lakukan.</v>
      </c>
      <c r="DA122" s="105" t="str">
        <f>IFERROR(__xludf.DUMMYFUNCTION("""COMPUTED_VALUE"""),"B Saya rasanya ingin mengecam seseorang bila orang itu menjengkelkan.")</f>
        <v>B Saya rasanya ingin mengecam seseorang bila orang itu menjengkelkan.</v>
      </c>
      <c r="DB122" s="89" t="s">
        <v>23</v>
      </c>
      <c r="DC122" s="97" t="str">
        <f t="shared" ref="DC122:GX122" si="167">LEFT(F122,1)</f>
        <v>B</v>
      </c>
      <c r="DD122" s="97" t="str">
        <f t="shared" si="167"/>
        <v>B</v>
      </c>
      <c r="DE122" s="97" t="str">
        <f t="shared" si="167"/>
        <v>B</v>
      </c>
      <c r="DF122" s="97" t="str">
        <f t="shared" si="167"/>
        <v>A</v>
      </c>
      <c r="DG122" s="97" t="str">
        <f t="shared" si="167"/>
        <v>A</v>
      </c>
      <c r="DH122" s="97" t="str">
        <f t="shared" si="167"/>
        <v>B</v>
      </c>
      <c r="DI122" s="97" t="str">
        <f t="shared" si="167"/>
        <v>B</v>
      </c>
      <c r="DJ122" s="97" t="str">
        <f t="shared" si="167"/>
        <v>A</v>
      </c>
      <c r="DK122" s="97" t="str">
        <f t="shared" si="167"/>
        <v>A</v>
      </c>
      <c r="DL122" s="97" t="str">
        <f t="shared" si="167"/>
        <v>B</v>
      </c>
      <c r="DM122" s="97" t="str">
        <f t="shared" si="167"/>
        <v>B</v>
      </c>
      <c r="DN122" s="97" t="str">
        <f t="shared" si="167"/>
        <v>B</v>
      </c>
      <c r="DO122" s="97" t="str">
        <f t="shared" si="167"/>
        <v>B</v>
      </c>
      <c r="DP122" s="97" t="str">
        <f t="shared" si="167"/>
        <v>B</v>
      </c>
      <c r="DQ122" s="97" t="str">
        <f t="shared" si="167"/>
        <v>B</v>
      </c>
      <c r="DR122" s="97" t="str">
        <f t="shared" si="167"/>
        <v>A</v>
      </c>
      <c r="DS122" s="97" t="str">
        <f t="shared" si="167"/>
        <v>B</v>
      </c>
      <c r="DT122" s="97" t="str">
        <f t="shared" si="167"/>
        <v>B</v>
      </c>
      <c r="DU122" s="97" t="str">
        <f t="shared" si="167"/>
        <v>A</v>
      </c>
      <c r="DV122" s="97" t="str">
        <f t="shared" si="167"/>
        <v>A</v>
      </c>
      <c r="DW122" s="97" t="str">
        <f t="shared" si="167"/>
        <v>B</v>
      </c>
      <c r="DX122" s="97" t="str">
        <f t="shared" si="167"/>
        <v>B</v>
      </c>
      <c r="DY122" s="97" t="str">
        <f t="shared" si="167"/>
        <v>A</v>
      </c>
      <c r="DZ122" s="97" t="str">
        <f t="shared" si="167"/>
        <v>B</v>
      </c>
      <c r="EA122" s="97" t="str">
        <f t="shared" si="167"/>
        <v>A</v>
      </c>
      <c r="EB122" s="97" t="str">
        <f t="shared" si="167"/>
        <v>A</v>
      </c>
      <c r="EC122" s="97" t="str">
        <f t="shared" si="167"/>
        <v>A</v>
      </c>
      <c r="ED122" s="97" t="str">
        <f t="shared" si="167"/>
        <v>B</v>
      </c>
      <c r="EE122" s="97" t="str">
        <f t="shared" si="167"/>
        <v>B</v>
      </c>
      <c r="EF122" s="97" t="str">
        <f t="shared" si="167"/>
        <v>B</v>
      </c>
      <c r="EG122" s="97" t="str">
        <f t="shared" si="167"/>
        <v>B</v>
      </c>
      <c r="EH122" s="97" t="str">
        <f t="shared" si="167"/>
        <v>B</v>
      </c>
      <c r="EI122" s="97" t="str">
        <f t="shared" si="167"/>
        <v>A</v>
      </c>
      <c r="EJ122" s="97" t="str">
        <f t="shared" si="167"/>
        <v>B</v>
      </c>
      <c r="EK122" s="97" t="str">
        <f t="shared" si="167"/>
        <v>B</v>
      </c>
      <c r="EL122" s="97" t="str">
        <f t="shared" si="167"/>
        <v>B</v>
      </c>
      <c r="EM122" s="97" t="str">
        <f t="shared" si="167"/>
        <v>B</v>
      </c>
      <c r="EN122" s="97" t="str">
        <f t="shared" si="167"/>
        <v>B</v>
      </c>
      <c r="EO122" s="97" t="str">
        <f t="shared" si="167"/>
        <v>B</v>
      </c>
      <c r="EP122" s="97" t="str">
        <f t="shared" si="167"/>
        <v>B</v>
      </c>
      <c r="EQ122" s="97" t="str">
        <f t="shared" si="167"/>
        <v>A</v>
      </c>
      <c r="ER122" s="97" t="str">
        <f t="shared" si="167"/>
        <v>B</v>
      </c>
      <c r="ES122" s="97" t="str">
        <f t="shared" si="167"/>
        <v>B</v>
      </c>
      <c r="ET122" s="97" t="str">
        <f t="shared" si="167"/>
        <v>A</v>
      </c>
      <c r="EU122" s="97" t="str">
        <f t="shared" si="167"/>
        <v>B</v>
      </c>
      <c r="EV122" s="97" t="str">
        <f t="shared" si="167"/>
        <v>B</v>
      </c>
      <c r="EW122" s="97" t="str">
        <f t="shared" si="167"/>
        <v>B</v>
      </c>
      <c r="EX122" s="97" t="str">
        <f t="shared" si="167"/>
        <v>B</v>
      </c>
      <c r="EY122" s="97" t="str">
        <f t="shared" si="167"/>
        <v>B</v>
      </c>
      <c r="EZ122" s="97" t="str">
        <f t="shared" si="167"/>
        <v>A</v>
      </c>
      <c r="FA122" s="97" t="str">
        <f t="shared" si="167"/>
        <v>B</v>
      </c>
      <c r="FB122" s="97" t="str">
        <f t="shared" si="167"/>
        <v>B</v>
      </c>
      <c r="FC122" s="97" t="str">
        <f t="shared" si="167"/>
        <v>B</v>
      </c>
      <c r="FD122" s="97" t="str">
        <f t="shared" si="167"/>
        <v>B</v>
      </c>
      <c r="FE122" s="97" t="str">
        <f t="shared" si="167"/>
        <v>A</v>
      </c>
      <c r="FF122" s="97" t="str">
        <f t="shared" si="167"/>
        <v>A</v>
      </c>
      <c r="FG122" s="97" t="str">
        <f t="shared" si="167"/>
        <v>A</v>
      </c>
      <c r="FH122" s="97" t="str">
        <f t="shared" si="167"/>
        <v>A</v>
      </c>
      <c r="FI122" s="97" t="str">
        <f t="shared" si="167"/>
        <v>A</v>
      </c>
      <c r="FJ122" s="97" t="str">
        <f t="shared" si="167"/>
        <v>A</v>
      </c>
      <c r="FK122" s="97" t="str">
        <f t="shared" si="167"/>
        <v>B</v>
      </c>
      <c r="FL122" s="97" t="str">
        <f t="shared" si="167"/>
        <v>A</v>
      </c>
      <c r="FM122" s="97" t="str">
        <f t="shared" si="167"/>
        <v>A</v>
      </c>
      <c r="FN122" s="97" t="str">
        <f t="shared" si="167"/>
        <v>B</v>
      </c>
      <c r="FO122" s="97" t="str">
        <f t="shared" si="167"/>
        <v>B</v>
      </c>
      <c r="FP122" s="97" t="str">
        <f t="shared" si="167"/>
        <v>B</v>
      </c>
      <c r="FQ122" s="97" t="str">
        <f t="shared" si="167"/>
        <v>B</v>
      </c>
      <c r="FR122" s="97" t="str">
        <f t="shared" si="167"/>
        <v>B</v>
      </c>
      <c r="FS122" s="97" t="str">
        <f t="shared" si="167"/>
        <v>A</v>
      </c>
      <c r="FT122" s="97" t="str">
        <f t="shared" si="167"/>
        <v>B</v>
      </c>
      <c r="FU122" s="97" t="str">
        <f t="shared" si="167"/>
        <v>A</v>
      </c>
      <c r="FV122" s="97" t="str">
        <f t="shared" si="167"/>
        <v>A</v>
      </c>
      <c r="FW122" s="97" t="str">
        <f t="shared" si="167"/>
        <v>B</v>
      </c>
      <c r="FX122" s="97" t="str">
        <f t="shared" si="167"/>
        <v>B</v>
      </c>
      <c r="FY122" s="97" t="str">
        <f t="shared" si="167"/>
        <v>B</v>
      </c>
      <c r="FZ122" s="97" t="str">
        <f t="shared" si="167"/>
        <v>A</v>
      </c>
      <c r="GA122" s="97" t="str">
        <f t="shared" si="167"/>
        <v>A</v>
      </c>
      <c r="GB122" s="97" t="str">
        <f t="shared" si="167"/>
        <v>B</v>
      </c>
      <c r="GC122" s="97" t="str">
        <f t="shared" si="167"/>
        <v>B</v>
      </c>
      <c r="GD122" s="97" t="str">
        <f t="shared" si="167"/>
        <v>A</v>
      </c>
      <c r="GE122" s="97" t="str">
        <f t="shared" si="167"/>
        <v>B</v>
      </c>
      <c r="GF122" s="97" t="str">
        <f t="shared" si="167"/>
        <v>B</v>
      </c>
      <c r="GG122" s="97" t="str">
        <f t="shared" si="167"/>
        <v>A</v>
      </c>
      <c r="GH122" s="97" t="str">
        <f t="shared" si="167"/>
        <v>B</v>
      </c>
      <c r="GI122" s="97" t="str">
        <f t="shared" si="167"/>
        <v>A</v>
      </c>
      <c r="GJ122" s="97" t="str">
        <f t="shared" si="167"/>
        <v>A</v>
      </c>
      <c r="GK122" s="97" t="str">
        <f t="shared" si="167"/>
        <v>B</v>
      </c>
      <c r="GL122" s="97" t="str">
        <f t="shared" si="167"/>
        <v>B</v>
      </c>
      <c r="GM122" s="97" t="str">
        <f t="shared" si="167"/>
        <v>A</v>
      </c>
      <c r="GN122" s="97" t="str">
        <f t="shared" si="167"/>
        <v>B</v>
      </c>
      <c r="GO122" s="97" t="str">
        <f t="shared" si="167"/>
        <v>B</v>
      </c>
      <c r="GP122" s="97" t="str">
        <f t="shared" si="167"/>
        <v>B</v>
      </c>
      <c r="GQ122" s="97" t="str">
        <f t="shared" si="167"/>
        <v>B</v>
      </c>
      <c r="GR122" s="97" t="str">
        <f t="shared" si="167"/>
        <v>A</v>
      </c>
      <c r="GS122" s="97" t="str">
        <f t="shared" si="167"/>
        <v>A</v>
      </c>
      <c r="GT122" s="97" t="str">
        <f t="shared" si="167"/>
        <v>A</v>
      </c>
      <c r="GU122" s="97" t="str">
        <f t="shared" si="167"/>
        <v>A</v>
      </c>
      <c r="GV122" s="97" t="str">
        <f t="shared" si="167"/>
        <v>B</v>
      </c>
      <c r="GW122" s="97" t="str">
        <f t="shared" si="167"/>
        <v>A</v>
      </c>
      <c r="GX122" s="97" t="str">
        <f t="shared" si="167"/>
        <v>B</v>
      </c>
      <c r="GY122" s="98"/>
      <c r="GZ122" s="97">
        <f t="shared" si="3"/>
        <v>38</v>
      </c>
      <c r="HA122" s="97">
        <f t="shared" si="4"/>
        <v>62</v>
      </c>
      <c r="HB122" s="90">
        <f t="shared" si="5"/>
        <v>100</v>
      </c>
      <c r="HC122" s="99"/>
      <c r="HD122" s="97">
        <f t="shared" si="6"/>
        <v>4</v>
      </c>
      <c r="HE122" s="97">
        <f t="shared" si="7"/>
        <v>5</v>
      </c>
      <c r="HF122" s="90">
        <f t="shared" si="8"/>
        <v>9</v>
      </c>
      <c r="HG122" s="99"/>
      <c r="HH122" s="97">
        <f t="shared" si="9"/>
        <v>3</v>
      </c>
      <c r="HI122" s="97">
        <f t="shared" si="10"/>
        <v>7</v>
      </c>
      <c r="HJ122" s="90">
        <f t="shared" si="11"/>
        <v>10</v>
      </c>
      <c r="HK122" s="99"/>
      <c r="HL122" s="97">
        <f t="shared" si="12"/>
        <v>3</v>
      </c>
      <c r="HM122" s="97">
        <f t="shared" si="13"/>
        <v>6</v>
      </c>
      <c r="HN122" s="90">
        <f t="shared" si="14"/>
        <v>9</v>
      </c>
      <c r="HO122" s="99"/>
      <c r="HP122" s="97">
        <f t="shared" si="15"/>
        <v>5</v>
      </c>
      <c r="HQ122" s="97">
        <f t="shared" si="16"/>
        <v>9</v>
      </c>
      <c r="HR122" s="90">
        <f t="shared" si="17"/>
        <v>14</v>
      </c>
      <c r="HS122" s="99"/>
      <c r="HT122" s="97">
        <f t="shared" si="18"/>
        <v>7</v>
      </c>
      <c r="HU122" s="97">
        <f t="shared" si="19"/>
        <v>7</v>
      </c>
      <c r="HV122" s="90">
        <f t="shared" si="20"/>
        <v>14</v>
      </c>
      <c r="HW122" s="99"/>
      <c r="HX122" s="97">
        <f t="shared" si="21"/>
        <v>3</v>
      </c>
      <c r="HY122" s="97">
        <f t="shared" si="22"/>
        <v>4</v>
      </c>
      <c r="HZ122" s="90">
        <f t="shared" si="23"/>
        <v>7</v>
      </c>
      <c r="IA122" s="99"/>
      <c r="IB122" s="97">
        <f t="shared" si="24"/>
        <v>2</v>
      </c>
      <c r="IC122" s="97">
        <f t="shared" si="25"/>
        <v>7</v>
      </c>
      <c r="ID122" s="90">
        <f t="shared" si="26"/>
        <v>9</v>
      </c>
      <c r="IE122" s="99"/>
      <c r="IF122" s="97">
        <f t="shared" si="27"/>
        <v>2</v>
      </c>
      <c r="IG122" s="97">
        <f t="shared" si="28"/>
        <v>5</v>
      </c>
      <c r="IH122" s="90">
        <f t="shared" si="29"/>
        <v>7</v>
      </c>
      <c r="II122" s="99"/>
      <c r="IJ122" s="97">
        <f t="shared" si="30"/>
        <v>3</v>
      </c>
      <c r="IK122" s="97">
        <f t="shared" si="31"/>
        <v>6</v>
      </c>
      <c r="IL122" s="90">
        <f t="shared" si="32"/>
        <v>9</v>
      </c>
      <c r="IM122" s="99"/>
      <c r="IN122" s="97">
        <f t="shared" si="33"/>
        <v>2</v>
      </c>
      <c r="IO122" s="97">
        <f t="shared" si="34"/>
        <v>5</v>
      </c>
      <c r="IP122" s="90">
        <f t="shared" si="35"/>
        <v>7</v>
      </c>
      <c r="IS122" s="100">
        <f t="shared" si="36"/>
        <v>9</v>
      </c>
      <c r="IT122" s="100">
        <f t="shared" si="37"/>
        <v>10</v>
      </c>
      <c r="IU122" s="100">
        <f t="shared" si="38"/>
        <v>9</v>
      </c>
      <c r="IV122" s="100">
        <f t="shared" si="39"/>
        <v>14</v>
      </c>
      <c r="IW122" s="100">
        <f t="shared" si="40"/>
        <v>14</v>
      </c>
      <c r="IX122" s="100">
        <f t="shared" si="41"/>
        <v>7</v>
      </c>
      <c r="IY122" s="100">
        <f t="shared" si="42"/>
        <v>9</v>
      </c>
      <c r="IZ122" s="100">
        <f t="shared" si="43"/>
        <v>7</v>
      </c>
      <c r="JA122" s="100">
        <f t="shared" si="44"/>
        <v>9</v>
      </c>
      <c r="JB122" s="101">
        <f t="shared" si="45"/>
        <v>7</v>
      </c>
      <c r="JC122" s="102">
        <f t="shared" si="46"/>
        <v>95</v>
      </c>
      <c r="JD122" s="67">
        <f t="shared" si="50"/>
        <v>0</v>
      </c>
      <c r="JE122" s="67">
        <f t="shared" si="47"/>
        <v>0</v>
      </c>
      <c r="JF122" s="67">
        <f t="shared" si="48"/>
        <v>0</v>
      </c>
    </row>
    <row r="123">
      <c r="A123" s="104">
        <f>IFERROR(__xludf.DUMMYFUNCTION("""COMPUTED_VALUE"""),45967.731008726856)</f>
        <v>45967.73101</v>
      </c>
      <c r="B123" s="105" t="str">
        <f>IFERROR(__xludf.DUMMYFUNCTION("""COMPUTED_VALUE"""),"Naisya Tazqia Qolbi")</f>
        <v>Naisya Tazqia Qolbi</v>
      </c>
      <c r="C123" s="7" t="str">
        <f>IFERROR(__xludf.DUMMYFUNCTION("""COMPUTED_VALUE"""),"F250001")</f>
        <v>F250001</v>
      </c>
      <c r="D123" s="7" t="str">
        <f>IFERROR(__xludf.DUMMYFUNCTION("""COMPUTED_VALUE"""),"IL Putri")</f>
        <v>IL Putri</v>
      </c>
      <c r="E123" s="7" t="str">
        <f>IFERROR(__xludf.DUMMYFUNCTION("""COMPUTED_VALUE"""),"Ya")</f>
        <v>Ya</v>
      </c>
      <c r="F123" s="105" t="str">
        <f>IFERROR(__xludf.DUMMYFUNCTION("""COMPUTED_VALUE"""),"B Saya ingin melakukan apa saja sebaik mungkin.")</f>
        <v>B Saya ingin melakukan apa saja sebaik mungkin.</v>
      </c>
      <c r="G123" s="105" t="str">
        <f>IFERROR(__xludf.DUMMYFUNCTION("""COMPUTED_VALUE"""),"A Saya ingin setiap tulisan saya teliti, rapi, dan tersusun dengan baik.")</f>
        <v>A Saya ingin setiap tulisan saya teliti, rapi, dan tersusun dengan baik.</v>
      </c>
      <c r="H123" s="105" t="str">
        <f>IFERROR(__xludf.DUMMYFUNCTION("""COMPUTED_VALUE"""),"B Saya ingin menjadi orang yang diakui dalam suatu pekerjaan atau bidang khusus.")</f>
        <v>B Saya ingin menjadi orang yang diakui dalam suatu pekerjaan atau bidang khusus.</v>
      </c>
      <c r="I123" s="105" t="str">
        <f>IFERROR(__xludf.DUMMYFUNCTION("""COMPUTED_VALUE"""),"B Saya ingin bisa melakukan dengan baik meskipun tugas yang sulit.")</f>
        <v>B Saya ingin bisa melakukan dengan baik meskipun tugas yang sulit.</v>
      </c>
      <c r="J123" s="105" t="str">
        <f>IFERROR(__xludf.DUMMYFUNCTION("""COMPUTED_VALUE"""),"A Saya suka membantu teman-teman saya apabila mereka mengalami kesulitan.")</f>
        <v>A Saya suka membantu teman-teman saya apabila mereka mengalami kesulitan.</v>
      </c>
      <c r="K123" s="105" t="str">
        <f>IFERROR(__xludf.DUMMYFUNCTION("""COMPUTED_VALUE"""),"B Saya ingin mengatakan telah melakukan dengan baik sesuatu tugas yang sulit.")</f>
        <v>B Saya ingin mengatakan telah melakukan dengan baik sesuatu tugas yang sulit.</v>
      </c>
      <c r="L123" s="105" t="str">
        <f>IFERROR(__xludf.DUMMYFUNCTION("""COMPUTED_VALUE"""),"B Saya ingin mengatakan telah melakukan dengan baik sesuatu tugas yang sulit")</f>
        <v>B Saya ingin mengatakan telah melakukan dengan baik sesuatu tugas yang sulit</v>
      </c>
      <c r="M123" s="105" t="str">
        <f>IFERROR(__xludf.DUMMYFUNCTION("""COMPUTED_VALUE"""),"B Saya ingin mengerjakan segala tugas lebih baik daripada orang lain.")</f>
        <v>B Saya ingin mengerjakan segala tugas lebih baik daripada orang lain.</v>
      </c>
      <c r="N123" s="105" t="str">
        <f>IFERROR(__xludf.DUMMYFUNCTION("""COMPUTED_VALUE"""),"B Saya suka memecahkan persoalan yang sukar bagi orang lain.")</f>
        <v>B Saya suka memecahkan persoalan yang sukar bagi orang lain.</v>
      </c>
      <c r="O123" s="105" t="str">
        <f>IFERROR(__xludf.DUMMYFUNCTION("""COMPUTED_VALUE"""),"A Saya marah saat ada teman memperolok-olok hal-hal yang saya anggap bodoh.")</f>
        <v>A Saya marah saat ada teman memperolok-olok hal-hal yang saya anggap bodoh.</v>
      </c>
      <c r="P123" s="105" t="str">
        <f>IFERROR(__xludf.DUMMYFUNCTION("""COMPUTED_VALUE"""),"B Saya ingin setiap belajar itu teratur dan direncanakan.")</f>
        <v>B Saya ingin setiap belajar itu teratur dan direncanakan.</v>
      </c>
      <c r="Q123" s="105" t="str">
        <f>IFERROR(__xludf.DUMMYFUNCTION("""COMPUTED_VALUE"""),"B Saya merencanakan keperluan yang dibutuhkan sebelum bepergian.")</f>
        <v>B Saya merencanakan keperluan yang dibutuhkan sebelum bepergian.</v>
      </c>
      <c r="R123" s="105" t="str">
        <f>IFERROR(__xludf.DUMMYFUNCTION("""COMPUTED_VALUE"""),"B Saya suka barang-barang saya tersusun rapi dan teratur.")</f>
        <v>B Saya suka barang-barang saya tersusun rapi dan teratur.</v>
      </c>
      <c r="S123" s="105" t="str">
        <f>IFERROR(__xludf.DUMMYFUNCTION("""COMPUTED_VALUE"""),"A Saya ingin agar teman-teman pengertian bila saya mengalami kesukaran.")</f>
        <v>A Saya ingin agar teman-teman pengertian bila saya mengalami kesukaran.</v>
      </c>
      <c r="T123" s="105" t="str">
        <f>IFERROR(__xludf.DUMMYFUNCTION("""COMPUTED_VALUE"""),"B Saya ingin agar hidup saya teratur sesuai cita-cita saya.")</f>
        <v>B Saya ingin agar hidup saya teratur sesuai cita-cita saya.</v>
      </c>
      <c r="U123" s="105" t="str">
        <f>IFERROR(__xludf.DUMMYFUNCTION("""COMPUTED_VALUE"""),"A Saya suka memberikan bantuan kepada teman-teman saya.")</f>
        <v>A Saya suka memberikan bantuan kepada teman-teman saya.</v>
      </c>
      <c r="V123" s="105" t="str">
        <f>IFERROR(__xludf.DUMMYFUNCTION("""COMPUTED_VALUE"""),"B Saya suka belajar saya teratur dan ada waktu-waktu tertentu untuk belajar.")</f>
        <v>B Saya suka belajar saya teratur dan ada waktu-waktu tertentu untuk belajar.</v>
      </c>
      <c r="W123" s="105" t="str">
        <f>IFERROR(__xludf.DUMMYFUNCTION("""COMPUTED_VALUE"""),"B Saya ingin kegiatan itu teratur dan direncanakan.")</f>
        <v>B Saya ingin kegiatan itu teratur dan direncanakan.</v>
      </c>
      <c r="X123" s="105" t="str">
        <f>IFERROR(__xludf.DUMMYFUNCTION("""COMPUTED_VALUE"""),"A Saya suka merencanakan dan mengatur setiap apa yang harus saya lakukan.")</f>
        <v>A Saya suka merencanakan dan mengatur setiap apa yang harus saya lakukan.</v>
      </c>
      <c r="Y123" s="105" t="str">
        <f>IFERROR(__xludf.DUMMYFUNCTION("""COMPUTED_VALUE"""),"B Saya senang merencanakan untuk masa depan.")</f>
        <v>B Saya senang merencanakan untuk masa depan.</v>
      </c>
      <c r="Z123" s="105" t="str">
        <f>IFERROR(__xludf.DUMMYFUNCTION("""COMPUTED_VALUE"""),"A Saya ingin berhasil dengan belajar yang saya lakukan.")</f>
        <v>A Saya ingin berhasil dengan belajar yang saya lakukan.</v>
      </c>
      <c r="AA123" s="105" t="str">
        <f>IFERROR(__xludf.DUMMYFUNCTION("""COMPUTED_VALUE"""),"B Saya tidak suka pada orang yang berbuat seenaknya sendiri.")</f>
        <v>B Saya tidak suka pada orang yang berbuat seenaknya sendiri.</v>
      </c>
      <c r="AB123" s="105" t="str">
        <f>IFERROR(__xludf.DUMMYFUNCTION("""COMPUTED_VALUE"""),"B Saya ingin menyelesaikan pekerjaan satu persatu sebelum memulai yang lain.")</f>
        <v>B Saya ingin menyelesaikan pekerjaan satu persatu sebelum memulai yang lain.</v>
      </c>
      <c r="AC123" s="105" t="str">
        <f>IFERROR(__xludf.DUMMYFUNCTION("""COMPUTED_VALUE"""),"A Saya suka menyelesaikan setiap tugas meskipun membutuhkan waktu lama.")</f>
        <v>A Saya suka menyelesaikan setiap tugas meskipun membutuhkan waktu lama.</v>
      </c>
      <c r="AD123" s="105" t="str">
        <f>IFERROR(__xludf.DUMMYFUNCTION("""COMPUTED_VALUE"""),"B Saya suka menyatakan pendapat saya tentang berbagai hal.")</f>
        <v>B Saya suka menyatakan pendapat saya tentang berbagai hal.</v>
      </c>
      <c r="AE123" s="105" t="str">
        <f>IFERROR(__xludf.DUMMYFUNCTION("""COMPUTED_VALUE"""),"A Saya ingin dianggap sebagai pemimpin oleh teman di kelompok.")</f>
        <v>A Saya ingin dianggap sebagai pemimpin oleh teman di kelompok.</v>
      </c>
      <c r="AF123" s="105" t="str">
        <f>IFERROR(__xludf.DUMMYFUNCTION("""COMPUTED_VALUE"""),"A Saya ingin agar teman-teman mengerti bila saya mengalami kesukaran.")</f>
        <v>A Saya ingin agar teman-teman mengerti bila saya mengalami kesukaran.</v>
      </c>
      <c r="AG123" s="105" t="str">
        <f>IFERROR(__xludf.DUMMYFUNCTION("""COMPUTED_VALUE"""),"B Saya ingin berhasil dengan tugas yang saya lakukan.")</f>
        <v>B Saya ingin berhasil dengan tugas yang saya lakukan.</v>
      </c>
      <c r="AH123" s="105" t="str">
        <f>IFERROR(__xludf.DUMMYFUNCTION("""COMPUTED_VALUE"""),"A Saya suka membaca buku-buku tentang pergaulan remaja.")</f>
        <v>A Saya suka membaca buku-buku tentang pergaulan remaja.</v>
      </c>
      <c r="AI123" s="105" t="str">
        <f>IFERROR(__xludf.DUMMYFUNCTION("""COMPUTED_VALUE"""),"B Saya suka melakukan kegiatan sesuai kondisi yang saya inginkan.")</f>
        <v>B Saya suka melakukan kegiatan sesuai kondisi yang saya inginkan.</v>
      </c>
      <c r="AJ123" s="105" t="str">
        <f>IFERROR(__xludf.DUMMYFUNCTION("""COMPUTED_VALUE"""),"B Saya suka bertahan menghadapi satu masalah meskipun belum tentu berhasil.")</f>
        <v>B Saya suka bertahan menghadapi satu masalah meskipun belum tentu berhasil.</v>
      </c>
      <c r="AK123" s="105" t="str">
        <f>IFERROR(__xludf.DUMMYFUNCTION("""COMPUTED_VALUE"""),"B Bila saya harus melakukan suatu tugas, saya ingin mengerjakan sampai selesai.")</f>
        <v>B Bila saya harus melakukan suatu tugas, saya ingin mengerjakan sampai selesai.</v>
      </c>
      <c r="AL123" s="105" t="str">
        <f>IFERROR(__xludf.DUMMYFUNCTION("""COMPUTED_VALUE"""),"B Saya ingin menghindarkan gangguan bila saya sedang belajar.")</f>
        <v>B Saya ingin menghindarkan gangguan bila saya sedang belajar.</v>
      </c>
      <c r="AM123" s="105" t="str">
        <f>IFERROR(__xludf.DUMMYFUNCTION("""COMPUTED_VALUE"""),"B Saya suka belajar sampai malam untuk menyelesaikan suatu tugas.")</f>
        <v>B Saya suka belajar sampai malam untuk menyelesaikan suatu tugas.</v>
      </c>
      <c r="AN123" s="105" t="str">
        <f>IFERROR(__xludf.DUMMYFUNCTION("""COMPUTED_VALUE"""),"A Saya tidak suka pada orang yang semena-mena.")</f>
        <v>A Saya tidak suka pada orang yang semena-mena.</v>
      </c>
      <c r="AO123" s="105" t="str">
        <f>IFERROR(__xludf.DUMMYFUNCTION("""COMPUTED_VALUE"""),"A Saya suka berlaku sangat ramah terhadap teman-teman saya.")</f>
        <v>A Saya suka berlaku sangat ramah terhadap teman-teman saya.</v>
      </c>
      <c r="AP123" s="105" t="str">
        <f>IFERROR(__xludf.DUMMYFUNCTION("""COMPUTED_VALUE"""),"B Saya suka bertahan menghadapi satu masalah meskipun belum tentu berhasil.")</f>
        <v>B Saya suka bertahan menghadapi satu masalah meskipun belum tentu berhasil.</v>
      </c>
      <c r="AQ123" s="105" t="str">
        <f>IFERROR(__xludf.DUMMYFUNCTION("""COMPUTED_VALUE"""),"A Saya ingin bisa mengerjakan segala sesuatu lebih baik daripada orang-orang lain.")</f>
        <v>A Saya ingin bisa mengerjakan segala sesuatu lebih baik daripada orang-orang lain.</v>
      </c>
      <c r="AR123" s="105" t="str">
        <f>IFERROR(__xludf.DUMMYFUNCTION("""COMPUTED_VALUE"""),"A Saya suka menyimpan catatan secara rapi.")</f>
        <v>A Saya suka menyimpan catatan secara rapi.</v>
      </c>
      <c r="AS123" s="105" t="str">
        <f>IFERROR(__xludf.DUMMYFUNCTION("""COMPUTED_VALUE"""),"A Saya ingin dapat menyelesaikan persoalan yang dianggap sukar bagi orang lain.")</f>
        <v>A Saya ingin dapat menyelesaikan persoalan yang dianggap sukar bagi orang lain.</v>
      </c>
      <c r="AT123" s="105" t="str">
        <f>IFERROR(__xludf.DUMMYFUNCTION("""COMPUTED_VALUE"""),"A Saya ingin bisa melakukan dengan baik sesuatu pekerjaan sulit.")</f>
        <v>A Saya ingin bisa melakukan dengan baik sesuatu pekerjaan sulit.</v>
      </c>
      <c r="AU123" s="105" t="str">
        <f>IFERROR(__xludf.DUMMYFUNCTION("""COMPUTED_VALUE"""),"A Saya ingin menyelesaikan pekerjaan satu persatu sebelum memulai yang lain.")</f>
        <v>A Saya ingin menyelesaikan pekerjaan satu persatu sebelum memulai yang lain.</v>
      </c>
      <c r="AV123" s="105" t="str">
        <f>IFERROR(__xludf.DUMMYFUNCTION("""COMPUTED_VALUE"""),"B Saya suka menolong teman-teman saya.")</f>
        <v>B Saya suka menolong teman-teman saya.</v>
      </c>
      <c r="AW123" s="105" t="str">
        <f>IFERROR(__xludf.DUMMYFUNCTION("""COMPUTED_VALUE"""),"B Saya ingin teman-teman saya percaya bahwa saya bisa menolong mereka.")</f>
        <v>B Saya ingin teman-teman saya percaya bahwa saya bisa menolong mereka.</v>
      </c>
      <c r="AX123" s="105" t="str">
        <f>IFERROR(__xludf.DUMMYFUNCTION("""COMPUTED_VALUE"""),"A Saya suka menolong teman-teman saya apabila mereka dalam kesulitan.")</f>
        <v>A Saya suka menolong teman-teman saya apabila mereka dalam kesulitan.</v>
      </c>
      <c r="AY123" s="105" t="str">
        <f>IFERROR(__xludf.DUMMYFUNCTION("""COMPUTED_VALUE"""),"B Saya suka menolong teman-teman saya apabila mereka dalam kesulitan.")</f>
        <v>B Saya suka menolong teman-teman saya apabila mereka dalam kesulitan.</v>
      </c>
      <c r="AZ123" s="105" t="str">
        <f>IFERROR(__xludf.DUMMYFUNCTION("""COMPUTED_VALUE"""),"B Saya suka menunjukkan simpati saya kepada teman-teman saya.")</f>
        <v>B Saya suka menunjukkan simpati saya kepada teman-teman saya.</v>
      </c>
      <c r="BA123" s="105" t="str">
        <f>IFERROR(__xludf.DUMMYFUNCTION("""COMPUTED_VALUE"""),"B Saya suka memperlakukan orang lain dengan baik dan ramah.")</f>
        <v>B Saya suka memperlakukan orang lain dengan baik dan ramah.</v>
      </c>
      <c r="BB123" s="105" t="str">
        <f>IFERROR(__xludf.DUMMYFUNCTION("""COMPUTED_VALUE"""),"B Saya suka bermurah hati terhadap teman-teman saya.")</f>
        <v>B Saya suka bermurah hati terhadap teman-teman saya.</v>
      </c>
      <c r="BC123" s="105" t="str">
        <f>IFERROR(__xludf.DUMMYFUNCTION("""COMPUTED_VALUE"""),"A Saya rasanya ingin mengecam seseorang bila orang itu menjengkelkan.")</f>
        <v>A Saya rasanya ingin mengecam seseorang bila orang itu menjengkelkan.</v>
      </c>
      <c r="BD123" s="105" t="str">
        <f>IFERROR(__xludf.DUMMYFUNCTION("""COMPUTED_VALUE"""),"B Saya suka bersikukuh dengan pendirian saya.")</f>
        <v>B Saya suka bersikukuh dengan pendirian saya.</v>
      </c>
      <c r="BE123" s="105" t="str">
        <f>IFERROR(__xludf.DUMMYFUNCTION("""COMPUTED_VALUE"""),"A Saya suka mendengarkan atau menceritakan hal-hal yang sebaiknya tidak diceritakan.")</f>
        <v>A Saya suka mendengarkan atau menceritakan hal-hal yang sebaiknya tidak diceritakan.</v>
      </c>
      <c r="BF123" s="105" t="str">
        <f>IFERROR(__xludf.DUMMYFUNCTION("""COMPUTED_VALUE"""),"B Bila saya dalam kelompok, saya ingin menentukan apa yang akan kita lakukan.")</f>
        <v>B Bila saya dalam kelompok, saya ingin menentukan apa yang akan kita lakukan.</v>
      </c>
      <c r="BG123" s="105" t="str">
        <f>IFERROR(__xludf.DUMMYFUNCTION("""COMPUTED_VALUE"""),"B Saya suka mengarahkan kepada orang lain apa yang harus dilakukan.")</f>
        <v>B Saya suka mengarahkan kepada orang lain apa yang harus dilakukan.</v>
      </c>
      <c r="BH123" s="105" t="str">
        <f>IFERROR(__xludf.DUMMYFUNCTION("""COMPUTED_VALUE"""),"B Apabila saya berkumpul dalam kelompok, saya ingin dihargai teman-teman.")</f>
        <v>B Apabila saya berkumpul dalam kelompok, saya ingin dihargai teman-teman.</v>
      </c>
      <c r="BI123" s="105" t="str">
        <f>IFERROR(__xludf.DUMMYFUNCTION("""COMPUTED_VALUE"""),"A Saya suka bermurah hati terhadap teman-teman saya.")</f>
        <v>A Saya suka bermurah hati terhadap teman-teman saya.</v>
      </c>
      <c r="BJ123" s="105" t="str">
        <f>IFERROR(__xludf.DUMMYFUNCTION("""COMPUTED_VALUE"""),"A Saya ingin mengerjakan tugas sampai selesai.")</f>
        <v>A Saya ingin mengerjakan tugas sampai selesai.</v>
      </c>
      <c r="BK123" s="105" t="str">
        <f>IFERROR(__xludf.DUMMYFUNCTION("""COMPUTED_VALUE"""),"B Saya senang untuk diminta menyelesaikan pertentangan-pertentangan.")</f>
        <v>B Saya senang untuk diminta menyelesaikan pertentangan-pertentangan.</v>
      </c>
      <c r="BL123" s="105" t="str">
        <f>IFERROR(__xludf.DUMMYFUNCTION("""COMPUTED_VALUE"""),"A Saya suka belajar saya teratur dan ada waktu-waktu tertentu untuk belajar.")</f>
        <v>A Saya suka belajar saya teratur dan ada waktu-waktu tertentu untuk belajar.</v>
      </c>
      <c r="BM123" s="105" t="str">
        <f>IFERROR(__xludf.DUMMYFUNCTION("""COMPUTED_VALUE"""),"A Saya suka melakukan pekerjaan sebaik mungkin.")</f>
        <v>A Saya suka melakukan pekerjaan sebaik mungkin.</v>
      </c>
      <c r="BN123" s="105" t="str">
        <f>IFERROR(__xludf.DUMMYFUNCTION("""COMPUTED_VALUE"""),"B Saya ingin teman-teman memberi dorongan bila saya menghadapi kegagalan.")</f>
        <v>B Saya ingin teman-teman memberi dorongan bila saya menghadapi kegagalan.</v>
      </c>
      <c r="BO123" s="105" t="str">
        <f>IFERROR(__xludf.DUMMYFUNCTION("""COMPUTED_VALUE"""),"B Saya ingin diperlakukan dengan baik oleh teman-teman saya.")</f>
        <v>B Saya ingin diperlakukan dengan baik oleh teman-teman saya.</v>
      </c>
      <c r="BP123" s="105" t="str">
        <f>IFERROR(__xludf.DUMMYFUNCTION("""COMPUTED_VALUE"""),"A Saya ingin menyelesaikan sesuatu yang sangat penting artinya.")</f>
        <v>A Saya ingin menyelesaikan sesuatu yang sangat penting artinya.</v>
      </c>
      <c r="BQ123" s="105" t="str">
        <f>IFERROR(__xludf.DUMMYFUNCTION("""COMPUTED_VALUE"""),"A Saya ingin mengerjakannya tugas sampai selesai.")</f>
        <v>A Saya ingin mengerjakannya tugas sampai selesai.</v>
      </c>
      <c r="BR123" s="105" t="str">
        <f>IFERROR(__xludf.DUMMYFUNCTION("""COMPUTED_VALUE"""),"A Saya suka memaafkan teman-teman saya yang menyakiti hati saya.")</f>
        <v>A Saya suka memaafkan teman-teman saya yang menyakiti hati saya.</v>
      </c>
      <c r="BS123" s="105" t="str">
        <f>IFERROR(__xludf.DUMMYFUNCTION("""COMPUTED_VALUE"""),"B Saya ingin teman-teman saya membantu saya bila saya mengalami kesulitan")</f>
        <v>B Saya ingin teman-teman saya membantu saya bila saya mengalami kesulitan</v>
      </c>
      <c r="BT123" s="105" t="str">
        <f>IFERROR(__xludf.DUMMYFUNCTION("""COMPUTED_VALUE"""),"B Saya ingin teman-teman banyak menunjukkan rasa sayang mereka terhadap saya.")</f>
        <v>B Saya ingin teman-teman banyak menunjukkan rasa sayang mereka terhadap saya.</v>
      </c>
      <c r="BU123" s="105" t="str">
        <f>IFERROR(__xludf.DUMMYFUNCTION("""COMPUTED_VALUE"""),"B Saya ingin agar teman-teman saya merasa kasihan pada saya apabila saya sakit.")</f>
        <v>B Saya ingin agar teman-teman saya merasa kasihan pada saya apabila saya sakit.</v>
      </c>
      <c r="BV123" s="105" t="str">
        <f>IFERROR(__xludf.DUMMYFUNCTION("""COMPUTED_VALUE"""),"B Saya ingin teman-teman dengan gembira memberikan pertolongan kepada saya.")</f>
        <v>B Saya ingin teman-teman dengan gembira memberikan pertolongan kepada saya.</v>
      </c>
      <c r="BW123" s="105" t="str">
        <f>IFERROR(__xludf.DUMMYFUNCTION("""COMPUTED_VALUE"""),"B Saya ingin diperlakukan dengan baik oleh teman-teman saya.")</f>
        <v>B Saya ingin diperlakukan dengan baik oleh teman-teman saya.</v>
      </c>
      <c r="BX123" s="105" t="str">
        <f>IFERROR(__xludf.DUMMYFUNCTION("""COMPUTED_VALUE"""),"B Saya kadang-kadang suka melakukan hal-hal yang dapat dipuji oleh orang lain.")</f>
        <v>B Saya kadang-kadang suka melakukan hal-hal yang dapat dipuji oleh orang lain.</v>
      </c>
      <c r="BY123" s="105" t="str">
        <f>IFERROR(__xludf.DUMMYFUNCTION("""COMPUTED_VALUE"""),"A Saya suka melamun atau membayangkan hal-hal yang tidak jelas.")</f>
        <v>A Saya suka melamun atau membayangkan hal-hal yang tidak jelas.</v>
      </c>
      <c r="BZ123" s="105" t="str">
        <f>IFERROR(__xludf.DUMMYFUNCTION("""COMPUTED_VALUE"""),"B Saya suka diperhatikan, apabila saya ada di dalam suatu kelompok.")</f>
        <v>B Saya suka diperhatikan, apabila saya ada di dalam suatu kelompok.</v>
      </c>
      <c r="CA123" s="105" t="str">
        <f>IFERROR(__xludf.DUMMYFUNCTION("""COMPUTED_VALUE"""),"A Saya ingin teman-teman dengan gembira memberikan pertolongan kepada saya.")</f>
        <v>A Saya ingin teman-teman dengan gembira memberikan pertolongan kepada saya.</v>
      </c>
      <c r="CB123" s="105" t="str">
        <f>IFERROR(__xludf.DUMMYFUNCTION("""COMPUTED_VALUE"""),"B Saya suka berbicara tentang hal-hal yang telah saya capai.")</f>
        <v>B Saya suka berbicara tentang hal-hal yang telah saya capai.</v>
      </c>
      <c r="CC123" s="105" t="str">
        <f>IFERROR(__xludf.DUMMYFUNCTION("""COMPUTED_VALUE"""),"A Apabila saya berkumpul dalam kelompok, saya ingin dihargai teman-teman.")</f>
        <v>A Apabila saya berkumpul dalam kelompok, saya ingin dihargai teman-teman.</v>
      </c>
      <c r="CD123" s="105" t="str">
        <f>IFERROR(__xludf.DUMMYFUNCTION("""COMPUTED_VALUE"""),"A Saya suka menyelesaikan setiap tugas meskipun membutuhkan waktu lama.")</f>
        <v>A Saya suka menyelesaikan setiap tugas meskipun membutuhkan waktu lama.</v>
      </c>
      <c r="CE123" s="105" t="str">
        <f>IFERROR(__xludf.DUMMYFUNCTION("""COMPUTED_VALUE"""),"A Saya suka menyelesaikan setiap tugas belajar yang telah saya mulai.")</f>
        <v>A Saya suka menyelesaikan setiap tugas belajar yang telah saya mulai.</v>
      </c>
      <c r="CF123" s="105" t="str">
        <f>IFERROR(__xludf.DUMMYFUNCTION("""COMPUTED_VALUE"""),"A Saya ingin agar hidup saya teratur sesuai cita-cita saya.")</f>
        <v>A Saya ingin agar hidup saya teratur sesuai cita-cita saya.</v>
      </c>
      <c r="CG123" s="105" t="str">
        <f>IFERROR(__xludf.DUMMYFUNCTION("""COMPUTED_VALUE"""),"A Saya ingin berhasil dalam apa yang saya lakukan.")</f>
        <v>A Saya ingin berhasil dalam apa yang saya lakukan.</v>
      </c>
      <c r="CH123" s="105" t="str">
        <f>IFERROR(__xludf.DUMMYFUNCTION("""COMPUTED_VALUE"""),"A Saya ingin bisa melakukan dengan baik sesuatu pekerjaan sulit.")</f>
        <v>A Saya ingin bisa melakukan dengan baik sesuatu pekerjaan sulit.</v>
      </c>
      <c r="CI123" s="105" t="str">
        <f>IFERROR(__xludf.DUMMYFUNCTION("""COMPUTED_VALUE"""),"A Saya suka belajar saya teratur dan ada waktu-waktu tertentu untuk belajar.")</f>
        <v>A Saya suka belajar saya teratur dan ada waktu-waktu tertentu untuk belajar.</v>
      </c>
      <c r="CJ123" s="105" t="str">
        <f>IFERROR(__xludf.DUMMYFUNCTION("""COMPUTED_VALUE"""),"A Saya ingin tidak tergantung dari orang lain terhadap apa yang akan saya lakukan.")</f>
        <v>A Saya ingin tidak tergantung dari orang lain terhadap apa yang akan saya lakukan.</v>
      </c>
      <c r="CK123" s="105" t="str">
        <f>IFERROR(__xludf.DUMMYFUNCTION("""COMPUTED_VALUE"""),"B Saya senang ikut beraktivitas bersama teman sebaya saya.")</f>
        <v>B Saya senang ikut beraktivitas bersama teman sebaya saya.</v>
      </c>
      <c r="CL123" s="105" t="str">
        <f>IFERROR(__xludf.DUMMYFUNCTION("""COMPUTED_VALUE"""),"A Saya suka menolong teman-teman saya, apabila mereka dalam kesulitan.")</f>
        <v>A Saya suka menolong teman-teman saya, apabila mereka dalam kesulitan.</v>
      </c>
      <c r="CM123" s="105" t="str">
        <f>IFERROR(__xludf.DUMMYFUNCTION("""COMPUTED_VALUE"""),"B Saya merasa kagum pada seseorang.")</f>
        <v>B Saya merasa kagum pada seseorang.</v>
      </c>
      <c r="CN123" s="105" t="str">
        <f>IFERROR(__xludf.DUMMYFUNCTION("""COMPUTED_VALUE"""),"A Saya ingin diperlakukan dengan baik oleh teman-teman saya.")</f>
        <v>A Saya ingin diperlakukan dengan baik oleh teman-teman saya.</v>
      </c>
      <c r="CO123" s="105" t="str">
        <f>IFERROR(__xludf.DUMMYFUNCTION("""COMPUTED_VALUE"""),"B Saya suka memuji orang yang saya kagumi.")</f>
        <v>B Saya suka memuji orang yang saya kagumi.</v>
      </c>
      <c r="CP123" s="105" t="str">
        <f>IFERROR(__xludf.DUMMYFUNCTION("""COMPUTED_VALUE"""),"A Saya suka melamun atau membayangkan sesuatu sendirian.")</f>
        <v>A Saya suka melamun atau membayangkan sesuatu sendirian.</v>
      </c>
      <c r="CQ123" s="105" t="str">
        <f>IFERROR(__xludf.DUMMYFUNCTION("""COMPUTED_VALUE"""),"B Saya merasa kagum pada seseorang.")</f>
        <v>B Saya merasa kagum pada seseorang.</v>
      </c>
      <c r="CR123" s="105" t="str">
        <f>IFERROR(__xludf.DUMMYFUNCTION("""COMPUTED_VALUE"""),"B Saya rasanya ingin mengecam seseorang bila orang itu menjengkelkan.")</f>
        <v>B Saya rasanya ingin mengecam seseorang bila orang itu menjengkelkan.</v>
      </c>
      <c r="CS123" s="105" t="str">
        <f>IFERROR(__xludf.DUMMYFUNCTION("""COMPUTED_VALUE"""),"A Saya ingin terlihat menarik di depan teman-teman saya.")</f>
        <v>A Saya ingin terlihat menarik di depan teman-teman saya.</v>
      </c>
      <c r="CT123" s="105" t="str">
        <f>IFERROR(__xludf.DUMMYFUNCTION("""COMPUTED_VALUE"""),"B Saya saat marah rasanya ingin melemparkan dan merusak barang-barang.")</f>
        <v>B Saya saat marah rasanya ingin melemparkan dan merusak barang-barang.</v>
      </c>
      <c r="CU123" s="105" t="str">
        <f>IFERROR(__xludf.DUMMYFUNCTION("""COMPUTED_VALUE"""),"A Saya ingin diperlakukan dengan ramah oleh teman-teman saya.")</f>
        <v>A Saya ingin diperlakukan dengan ramah oleh teman-teman saya.</v>
      </c>
      <c r="CV123" s="105" t="str">
        <f>IFERROR(__xludf.DUMMYFUNCTION("""COMPUTED_VALUE"""),"A Saya ingin ditunjuk atau dipilih sebagai ketua dalam suatu kelompok.")</f>
        <v>A Saya ingin ditunjuk atau dipilih sebagai ketua dalam suatu kelompok.</v>
      </c>
      <c r="CW123" s="105" t="str">
        <f>IFERROR(__xludf.DUMMYFUNCTION("""COMPUTED_VALUE"""),"A Saya suka menolong teman-teman saya, apabila mereka dalam kesulitan.")</f>
        <v>A Saya suka menolong teman-teman saya, apabila mereka dalam kesulitan.</v>
      </c>
      <c r="CX123" s="105" t="str">
        <f>IFERROR(__xludf.DUMMYFUNCTION("""COMPUTED_VALUE"""),"A Saya suka belajar sampai malam untuk menyelesaikan suatu tugas.")</f>
        <v>A Saya suka belajar sampai malam untuk menyelesaikan suatu tugas.</v>
      </c>
      <c r="CY123" s="105" t="str">
        <f>IFERROR(__xludf.DUMMYFUNCTION("""COMPUTED_VALUE"""),"A Saya ingin tidak tergantung dari orang lain terhadap apa yang akan saya lakukan.")</f>
        <v>A Saya ingin tidak tergantung dari orang lain terhadap apa yang akan saya lakukan.</v>
      </c>
      <c r="CZ123" s="105" t="str">
        <f>IFERROR(__xludf.DUMMYFUNCTION("""COMPUTED_VALUE"""),"A Saya suka merencanakan dan mengatur setiap pekerjaan yang harus saya lakukan.")</f>
        <v>A Saya suka merencanakan dan mengatur setiap pekerjaan yang harus saya lakukan.</v>
      </c>
      <c r="DA123" s="105" t="str">
        <f>IFERROR(__xludf.DUMMYFUNCTION("""COMPUTED_VALUE"""),"A Saya ingin melakukan apa saja sebaik mungkin.")</f>
        <v>A Saya ingin melakukan apa saja sebaik mungkin.</v>
      </c>
      <c r="DB123" s="89" t="s">
        <v>23</v>
      </c>
      <c r="DC123" s="97" t="str">
        <f t="shared" ref="DC123:GX123" si="168">LEFT(F123,1)</f>
        <v>B</v>
      </c>
      <c r="DD123" s="97" t="str">
        <f t="shared" si="168"/>
        <v>A</v>
      </c>
      <c r="DE123" s="97" t="str">
        <f t="shared" si="168"/>
        <v>B</v>
      </c>
      <c r="DF123" s="97" t="str">
        <f t="shared" si="168"/>
        <v>B</v>
      </c>
      <c r="DG123" s="97" t="str">
        <f t="shared" si="168"/>
        <v>A</v>
      </c>
      <c r="DH123" s="97" t="str">
        <f t="shared" si="168"/>
        <v>B</v>
      </c>
      <c r="DI123" s="97" t="str">
        <f t="shared" si="168"/>
        <v>B</v>
      </c>
      <c r="DJ123" s="97" t="str">
        <f t="shared" si="168"/>
        <v>B</v>
      </c>
      <c r="DK123" s="97" t="str">
        <f t="shared" si="168"/>
        <v>B</v>
      </c>
      <c r="DL123" s="97" t="str">
        <f t="shared" si="168"/>
        <v>A</v>
      </c>
      <c r="DM123" s="97" t="str">
        <f t="shared" si="168"/>
        <v>B</v>
      </c>
      <c r="DN123" s="97" t="str">
        <f t="shared" si="168"/>
        <v>B</v>
      </c>
      <c r="DO123" s="97" t="str">
        <f t="shared" si="168"/>
        <v>B</v>
      </c>
      <c r="DP123" s="97" t="str">
        <f t="shared" si="168"/>
        <v>A</v>
      </c>
      <c r="DQ123" s="97" t="str">
        <f t="shared" si="168"/>
        <v>B</v>
      </c>
      <c r="DR123" s="97" t="str">
        <f t="shared" si="168"/>
        <v>A</v>
      </c>
      <c r="DS123" s="97" t="str">
        <f t="shared" si="168"/>
        <v>B</v>
      </c>
      <c r="DT123" s="97" t="str">
        <f t="shared" si="168"/>
        <v>B</v>
      </c>
      <c r="DU123" s="97" t="str">
        <f t="shared" si="168"/>
        <v>A</v>
      </c>
      <c r="DV123" s="97" t="str">
        <f t="shared" si="168"/>
        <v>B</v>
      </c>
      <c r="DW123" s="97" t="str">
        <f t="shared" si="168"/>
        <v>A</v>
      </c>
      <c r="DX123" s="97" t="str">
        <f t="shared" si="168"/>
        <v>B</v>
      </c>
      <c r="DY123" s="97" t="str">
        <f t="shared" si="168"/>
        <v>B</v>
      </c>
      <c r="DZ123" s="97" t="str">
        <f t="shared" si="168"/>
        <v>A</v>
      </c>
      <c r="EA123" s="97" t="str">
        <f t="shared" si="168"/>
        <v>B</v>
      </c>
      <c r="EB123" s="97" t="str">
        <f t="shared" si="168"/>
        <v>A</v>
      </c>
      <c r="EC123" s="97" t="str">
        <f t="shared" si="168"/>
        <v>A</v>
      </c>
      <c r="ED123" s="97" t="str">
        <f t="shared" si="168"/>
        <v>B</v>
      </c>
      <c r="EE123" s="97" t="str">
        <f t="shared" si="168"/>
        <v>A</v>
      </c>
      <c r="EF123" s="97" t="str">
        <f t="shared" si="168"/>
        <v>B</v>
      </c>
      <c r="EG123" s="97" t="str">
        <f t="shared" si="168"/>
        <v>B</v>
      </c>
      <c r="EH123" s="97" t="str">
        <f t="shared" si="168"/>
        <v>B</v>
      </c>
      <c r="EI123" s="97" t="str">
        <f t="shared" si="168"/>
        <v>B</v>
      </c>
      <c r="EJ123" s="97" t="str">
        <f t="shared" si="168"/>
        <v>B</v>
      </c>
      <c r="EK123" s="97" t="str">
        <f t="shared" si="168"/>
        <v>A</v>
      </c>
      <c r="EL123" s="97" t="str">
        <f t="shared" si="168"/>
        <v>A</v>
      </c>
      <c r="EM123" s="97" t="str">
        <f t="shared" si="168"/>
        <v>B</v>
      </c>
      <c r="EN123" s="97" t="str">
        <f t="shared" si="168"/>
        <v>A</v>
      </c>
      <c r="EO123" s="97" t="str">
        <f t="shared" si="168"/>
        <v>A</v>
      </c>
      <c r="EP123" s="97" t="str">
        <f t="shared" si="168"/>
        <v>A</v>
      </c>
      <c r="EQ123" s="97" t="str">
        <f t="shared" si="168"/>
        <v>A</v>
      </c>
      <c r="ER123" s="97" t="str">
        <f t="shared" si="168"/>
        <v>A</v>
      </c>
      <c r="ES123" s="97" t="str">
        <f t="shared" si="168"/>
        <v>B</v>
      </c>
      <c r="ET123" s="97" t="str">
        <f t="shared" si="168"/>
        <v>B</v>
      </c>
      <c r="EU123" s="97" t="str">
        <f t="shared" si="168"/>
        <v>A</v>
      </c>
      <c r="EV123" s="97" t="str">
        <f t="shared" si="168"/>
        <v>B</v>
      </c>
      <c r="EW123" s="97" t="str">
        <f t="shared" si="168"/>
        <v>B</v>
      </c>
      <c r="EX123" s="97" t="str">
        <f t="shared" si="168"/>
        <v>B</v>
      </c>
      <c r="EY123" s="97" t="str">
        <f t="shared" si="168"/>
        <v>B</v>
      </c>
      <c r="EZ123" s="97" t="str">
        <f t="shared" si="168"/>
        <v>A</v>
      </c>
      <c r="FA123" s="97" t="str">
        <f t="shared" si="168"/>
        <v>B</v>
      </c>
      <c r="FB123" s="97" t="str">
        <f t="shared" si="168"/>
        <v>A</v>
      </c>
      <c r="FC123" s="97" t="str">
        <f t="shared" si="168"/>
        <v>B</v>
      </c>
      <c r="FD123" s="97" t="str">
        <f t="shared" si="168"/>
        <v>B</v>
      </c>
      <c r="FE123" s="97" t="str">
        <f t="shared" si="168"/>
        <v>B</v>
      </c>
      <c r="FF123" s="97" t="str">
        <f t="shared" si="168"/>
        <v>A</v>
      </c>
      <c r="FG123" s="97" t="str">
        <f t="shared" si="168"/>
        <v>A</v>
      </c>
      <c r="FH123" s="97" t="str">
        <f t="shared" si="168"/>
        <v>B</v>
      </c>
      <c r="FI123" s="97" t="str">
        <f t="shared" si="168"/>
        <v>A</v>
      </c>
      <c r="FJ123" s="97" t="str">
        <f t="shared" si="168"/>
        <v>A</v>
      </c>
      <c r="FK123" s="97" t="str">
        <f t="shared" si="168"/>
        <v>B</v>
      </c>
      <c r="FL123" s="97" t="str">
        <f t="shared" si="168"/>
        <v>B</v>
      </c>
      <c r="FM123" s="97" t="str">
        <f t="shared" si="168"/>
        <v>A</v>
      </c>
      <c r="FN123" s="97" t="str">
        <f t="shared" si="168"/>
        <v>A</v>
      </c>
      <c r="FO123" s="97" t="str">
        <f t="shared" si="168"/>
        <v>A</v>
      </c>
      <c r="FP123" s="97" t="str">
        <f t="shared" si="168"/>
        <v>B</v>
      </c>
      <c r="FQ123" s="97" t="str">
        <f t="shared" si="168"/>
        <v>B</v>
      </c>
      <c r="FR123" s="97" t="str">
        <f t="shared" si="168"/>
        <v>B</v>
      </c>
      <c r="FS123" s="97" t="str">
        <f t="shared" si="168"/>
        <v>B</v>
      </c>
      <c r="FT123" s="97" t="str">
        <f t="shared" si="168"/>
        <v>B</v>
      </c>
      <c r="FU123" s="97" t="str">
        <f t="shared" si="168"/>
        <v>B</v>
      </c>
      <c r="FV123" s="97" t="str">
        <f t="shared" si="168"/>
        <v>A</v>
      </c>
      <c r="FW123" s="97" t="str">
        <f t="shared" si="168"/>
        <v>B</v>
      </c>
      <c r="FX123" s="97" t="str">
        <f t="shared" si="168"/>
        <v>A</v>
      </c>
      <c r="FY123" s="97" t="str">
        <f t="shared" si="168"/>
        <v>B</v>
      </c>
      <c r="FZ123" s="97" t="str">
        <f t="shared" si="168"/>
        <v>A</v>
      </c>
      <c r="GA123" s="97" t="str">
        <f t="shared" si="168"/>
        <v>A</v>
      </c>
      <c r="GB123" s="97" t="str">
        <f t="shared" si="168"/>
        <v>A</v>
      </c>
      <c r="GC123" s="97" t="str">
        <f t="shared" si="168"/>
        <v>A</v>
      </c>
      <c r="GD123" s="97" t="str">
        <f t="shared" si="168"/>
        <v>A</v>
      </c>
      <c r="GE123" s="97" t="str">
        <f t="shared" si="168"/>
        <v>A</v>
      </c>
      <c r="GF123" s="97" t="str">
        <f t="shared" si="168"/>
        <v>A</v>
      </c>
      <c r="GG123" s="97" t="str">
        <f t="shared" si="168"/>
        <v>A</v>
      </c>
      <c r="GH123" s="97" t="str">
        <f t="shared" si="168"/>
        <v>B</v>
      </c>
      <c r="GI123" s="97" t="str">
        <f t="shared" si="168"/>
        <v>A</v>
      </c>
      <c r="GJ123" s="97" t="str">
        <f t="shared" si="168"/>
        <v>B</v>
      </c>
      <c r="GK123" s="97" t="str">
        <f t="shared" si="168"/>
        <v>A</v>
      </c>
      <c r="GL123" s="97" t="str">
        <f t="shared" si="168"/>
        <v>B</v>
      </c>
      <c r="GM123" s="97" t="str">
        <f t="shared" si="168"/>
        <v>A</v>
      </c>
      <c r="GN123" s="97" t="str">
        <f t="shared" si="168"/>
        <v>B</v>
      </c>
      <c r="GO123" s="97" t="str">
        <f t="shared" si="168"/>
        <v>B</v>
      </c>
      <c r="GP123" s="97" t="str">
        <f t="shared" si="168"/>
        <v>A</v>
      </c>
      <c r="GQ123" s="97" t="str">
        <f t="shared" si="168"/>
        <v>B</v>
      </c>
      <c r="GR123" s="97" t="str">
        <f t="shared" si="168"/>
        <v>A</v>
      </c>
      <c r="GS123" s="97" t="str">
        <f t="shared" si="168"/>
        <v>A</v>
      </c>
      <c r="GT123" s="97" t="str">
        <f t="shared" si="168"/>
        <v>A</v>
      </c>
      <c r="GU123" s="97" t="str">
        <f t="shared" si="168"/>
        <v>A</v>
      </c>
      <c r="GV123" s="97" t="str">
        <f t="shared" si="168"/>
        <v>A</v>
      </c>
      <c r="GW123" s="97" t="str">
        <f t="shared" si="168"/>
        <v>A</v>
      </c>
      <c r="GX123" s="97" t="str">
        <f t="shared" si="168"/>
        <v>A</v>
      </c>
      <c r="GY123" s="98"/>
      <c r="GZ123" s="97">
        <f t="shared" si="3"/>
        <v>49</v>
      </c>
      <c r="HA123" s="97">
        <f t="shared" si="4"/>
        <v>51</v>
      </c>
      <c r="HB123" s="90">
        <f t="shared" si="5"/>
        <v>100</v>
      </c>
      <c r="HC123" s="99"/>
      <c r="HD123" s="97">
        <f t="shared" si="6"/>
        <v>7</v>
      </c>
      <c r="HE123" s="97">
        <f t="shared" si="7"/>
        <v>6</v>
      </c>
      <c r="HF123" s="90">
        <f t="shared" si="8"/>
        <v>13</v>
      </c>
      <c r="HG123" s="99"/>
      <c r="HH123" s="97">
        <f t="shared" si="9"/>
        <v>7</v>
      </c>
      <c r="HI123" s="97">
        <f t="shared" si="10"/>
        <v>7</v>
      </c>
      <c r="HJ123" s="90">
        <f t="shared" si="11"/>
        <v>14</v>
      </c>
      <c r="HK123" s="99"/>
      <c r="HL123" s="97">
        <f t="shared" si="12"/>
        <v>5</v>
      </c>
      <c r="HM123" s="97">
        <f t="shared" si="13"/>
        <v>5</v>
      </c>
      <c r="HN123" s="90">
        <f t="shared" si="14"/>
        <v>10</v>
      </c>
      <c r="HO123" s="99"/>
      <c r="HP123" s="97">
        <f t="shared" si="15"/>
        <v>5</v>
      </c>
      <c r="HQ123" s="97">
        <f t="shared" si="16"/>
        <v>5</v>
      </c>
      <c r="HR123" s="90">
        <f t="shared" si="17"/>
        <v>10</v>
      </c>
      <c r="HS123" s="99"/>
      <c r="HT123" s="97">
        <f t="shared" si="18"/>
        <v>8</v>
      </c>
      <c r="HU123" s="97">
        <f t="shared" si="19"/>
        <v>6</v>
      </c>
      <c r="HV123" s="90">
        <f t="shared" si="20"/>
        <v>14</v>
      </c>
      <c r="HW123" s="99"/>
      <c r="HX123" s="97">
        <f t="shared" si="21"/>
        <v>3</v>
      </c>
      <c r="HY123" s="97">
        <f t="shared" si="22"/>
        <v>5</v>
      </c>
      <c r="HZ123" s="90">
        <f t="shared" si="23"/>
        <v>8</v>
      </c>
      <c r="IA123" s="99"/>
      <c r="IB123" s="97">
        <f t="shared" si="24"/>
        <v>5</v>
      </c>
      <c r="IC123" s="97">
        <f t="shared" si="25"/>
        <v>7</v>
      </c>
      <c r="ID123" s="90">
        <f t="shared" si="26"/>
        <v>12</v>
      </c>
      <c r="IE123" s="99"/>
      <c r="IF123" s="97">
        <f t="shared" si="27"/>
        <v>0</v>
      </c>
      <c r="IG123" s="97">
        <f t="shared" si="28"/>
        <v>3</v>
      </c>
      <c r="IH123" s="90">
        <f t="shared" si="29"/>
        <v>3</v>
      </c>
      <c r="II123" s="99"/>
      <c r="IJ123" s="97">
        <f t="shared" si="30"/>
        <v>4</v>
      </c>
      <c r="IK123" s="97">
        <f t="shared" si="31"/>
        <v>4</v>
      </c>
      <c r="IL123" s="90">
        <f t="shared" si="32"/>
        <v>8</v>
      </c>
      <c r="IM123" s="99"/>
      <c r="IN123" s="97">
        <f t="shared" si="33"/>
        <v>2</v>
      </c>
      <c r="IO123" s="97">
        <f t="shared" si="34"/>
        <v>2</v>
      </c>
      <c r="IP123" s="90">
        <f t="shared" si="35"/>
        <v>4</v>
      </c>
      <c r="IS123" s="100">
        <f t="shared" si="36"/>
        <v>13</v>
      </c>
      <c r="IT123" s="100">
        <f t="shared" si="37"/>
        <v>14</v>
      </c>
      <c r="IU123" s="100">
        <f t="shared" si="38"/>
        <v>10</v>
      </c>
      <c r="IV123" s="100">
        <f t="shared" si="39"/>
        <v>10</v>
      </c>
      <c r="IW123" s="100">
        <f t="shared" si="40"/>
        <v>14</v>
      </c>
      <c r="IX123" s="100">
        <f t="shared" si="41"/>
        <v>8</v>
      </c>
      <c r="IY123" s="100">
        <f t="shared" si="42"/>
        <v>12</v>
      </c>
      <c r="IZ123" s="100">
        <f t="shared" si="43"/>
        <v>3</v>
      </c>
      <c r="JA123" s="100">
        <f t="shared" si="44"/>
        <v>8</v>
      </c>
      <c r="JB123" s="101">
        <f t="shared" si="45"/>
        <v>4</v>
      </c>
      <c r="JC123" s="102">
        <f t="shared" si="46"/>
        <v>96</v>
      </c>
      <c r="JD123" s="67">
        <f t="shared" si="50"/>
        <v>0</v>
      </c>
      <c r="JE123" s="67">
        <f t="shared" si="47"/>
        <v>1</v>
      </c>
      <c r="JF123" s="67">
        <f t="shared" si="48"/>
        <v>1</v>
      </c>
    </row>
    <row r="124">
      <c r="A124" s="104">
        <f>IFERROR(__xludf.DUMMYFUNCTION("""COMPUTED_VALUE"""),45967.81913383101)</f>
        <v>45967.81913</v>
      </c>
      <c r="B124" s="105" t="str">
        <f>IFERROR(__xludf.DUMMYFUNCTION("""COMPUTED_VALUE"""),"Syabil Al fachrizzi")</f>
        <v>Syabil Al fachrizzi</v>
      </c>
      <c r="C124" s="7" t="str">
        <f>IFERROR(__xludf.DUMMYFUNCTION("""COMPUTED_VALUE"""),"A250007")</f>
        <v>A250007</v>
      </c>
      <c r="D124" s="7" t="str">
        <f>IFERROR(__xludf.DUMMYFUNCTION("""COMPUTED_VALUE"""),"MTs Putra")</f>
        <v>MTs Putra</v>
      </c>
      <c r="E124" s="7" t="str">
        <f>IFERROR(__xludf.DUMMYFUNCTION("""COMPUTED_VALUE"""),"Ya")</f>
        <v>Ya</v>
      </c>
      <c r="F124" s="105" t="str">
        <f>IFERROR(__xludf.DUMMYFUNCTION("""COMPUTED_VALUE"""),"B Saya ingin melakukan apa saja sebaik mungkin.")</f>
        <v>B Saya ingin melakukan apa saja sebaik mungkin.</v>
      </c>
      <c r="G124" s="105" t="str">
        <f>IFERROR(__xludf.DUMMYFUNCTION("""COMPUTED_VALUE"""),"A Saya ingin setiap tulisan saya teliti, rapi, dan tersusun dengan baik.")</f>
        <v>A Saya ingin setiap tulisan saya teliti, rapi, dan tersusun dengan baik.</v>
      </c>
      <c r="H124" s="105" t="str">
        <f>IFERROR(__xludf.DUMMYFUNCTION("""COMPUTED_VALUE"""),"A Saya ingin berbuat sesuai kata hati saya.")</f>
        <v>A Saya ingin berbuat sesuai kata hati saya.</v>
      </c>
      <c r="I124" s="105" t="str">
        <f>IFERROR(__xludf.DUMMYFUNCTION("""COMPUTED_VALUE"""),"B Saya ingin bisa melakukan dengan baik meskipun tugas yang sulit.")</f>
        <v>B Saya ingin bisa melakukan dengan baik meskipun tugas yang sulit.</v>
      </c>
      <c r="J124" s="105" t="str">
        <f>IFERROR(__xludf.DUMMYFUNCTION("""COMPUTED_VALUE"""),"A Saya suka membantu teman-teman saya apabila mereka mengalami kesulitan.")</f>
        <v>A Saya suka membantu teman-teman saya apabila mereka mengalami kesulitan.</v>
      </c>
      <c r="K124" s="105" t="str">
        <f>IFERROR(__xludf.DUMMYFUNCTION("""COMPUTED_VALUE"""),"A Saya ingin menjadi pemimpin dalam suatu kelompok.")</f>
        <v>A Saya ingin menjadi pemimpin dalam suatu kelompok.</v>
      </c>
      <c r="L124" s="105" t="str">
        <f>IFERROR(__xludf.DUMMYFUNCTION("""COMPUTED_VALUE"""),"A Saya ingin menjadi pemimpin dalam suatu kelompok")</f>
        <v>A Saya ingin menjadi pemimpin dalam suatu kelompok</v>
      </c>
      <c r="M124" s="105" t="str">
        <f>IFERROR(__xludf.DUMMYFUNCTION("""COMPUTED_VALUE"""),"B Saya ingin mengerjakan segala tugas lebih baik daripada orang lain.")</f>
        <v>B Saya ingin mengerjakan segala tugas lebih baik daripada orang lain.</v>
      </c>
      <c r="N124" s="105" t="str">
        <f>IFERROR(__xludf.DUMMYFUNCTION("""COMPUTED_VALUE"""),"B Saya suka memecahkan persoalan yang sukar bagi orang lain.")</f>
        <v>B Saya suka memecahkan persoalan yang sukar bagi orang lain.</v>
      </c>
      <c r="O124" s="105" t="str">
        <f>IFERROR(__xludf.DUMMYFUNCTION("""COMPUTED_VALUE"""),"B Saya suka melakukan tugas sebaik mungkin.")</f>
        <v>B Saya suka melakukan tugas sebaik mungkin.</v>
      </c>
      <c r="P124" s="105" t="str">
        <f>IFERROR(__xludf.DUMMYFUNCTION("""COMPUTED_VALUE"""),"B Saya ingin setiap belajar itu teratur dan direncanakan.")</f>
        <v>B Saya ingin setiap belajar itu teratur dan direncanakan.</v>
      </c>
      <c r="Q124" s="105" t="str">
        <f>IFERROR(__xludf.DUMMYFUNCTION("""COMPUTED_VALUE"""),"B Saya merencanakan keperluan yang dibutuhkan sebelum bepergian.")</f>
        <v>B Saya merencanakan keperluan yang dibutuhkan sebelum bepergian.</v>
      </c>
      <c r="R124" s="105" t="str">
        <f>IFERROR(__xludf.DUMMYFUNCTION("""COMPUTED_VALUE"""),"B Saya suka barang-barang saya tersusun rapi dan teratur.")</f>
        <v>B Saya suka barang-barang saya tersusun rapi dan teratur.</v>
      </c>
      <c r="S124" s="105" t="str">
        <f>IFERROR(__xludf.DUMMYFUNCTION("""COMPUTED_VALUE"""),"B Saya suka membuat perencanaan sebelum memulai tugas yang sulit.")</f>
        <v>B Saya suka membuat perencanaan sebelum memulai tugas yang sulit.</v>
      </c>
      <c r="T124" s="105" t="str">
        <f>IFERROR(__xludf.DUMMYFUNCTION("""COMPUTED_VALUE"""),"A Saya ingin menjadi salah seorang pemimpin dalam kelompok yang saya kenal.")</f>
        <v>A Saya ingin menjadi salah seorang pemimpin dalam kelompok yang saya kenal.</v>
      </c>
      <c r="U124" s="105" t="str">
        <f>IFERROR(__xludf.DUMMYFUNCTION("""COMPUTED_VALUE"""),"A Saya suka memberikan bantuan kepada teman-teman saya.")</f>
        <v>A Saya suka memberikan bantuan kepada teman-teman saya.</v>
      </c>
      <c r="V124" s="105" t="str">
        <f>IFERROR(__xludf.DUMMYFUNCTION("""COMPUTED_VALUE"""),"B Saya suka belajar saya teratur dan ada waktu-waktu tertentu untuk belajar.")</f>
        <v>B Saya suka belajar saya teratur dan ada waktu-waktu tertentu untuk belajar.</v>
      </c>
      <c r="W124" s="105" t="str">
        <f>IFERROR(__xludf.DUMMYFUNCTION("""COMPUTED_VALUE"""),"B Saya ingin kegiatan itu teratur dan direncanakan.")</f>
        <v>B Saya ingin kegiatan itu teratur dan direncanakan.</v>
      </c>
      <c r="X124" s="105" t="str">
        <f>IFERROR(__xludf.DUMMYFUNCTION("""COMPUTED_VALUE"""),"A Saya suka merencanakan dan mengatur setiap apa yang harus saya lakukan.")</f>
        <v>A Saya suka merencanakan dan mengatur setiap apa yang harus saya lakukan.</v>
      </c>
      <c r="Y124" s="105" t="str">
        <f>IFERROR(__xludf.DUMMYFUNCTION("""COMPUTED_VALUE"""),"B Saya senang merencanakan untuk masa depan.")</f>
        <v>B Saya senang merencanakan untuk masa depan.</v>
      </c>
      <c r="Z124" s="105" t="str">
        <f>IFERROR(__xludf.DUMMYFUNCTION("""COMPUTED_VALUE"""),"A Saya ingin berhasil dengan belajar yang saya lakukan.")</f>
        <v>A Saya ingin berhasil dengan belajar yang saya lakukan.</v>
      </c>
      <c r="AA124" s="105" t="str">
        <f>IFERROR(__xludf.DUMMYFUNCTION("""COMPUTED_VALUE"""),"B Saya tidak suka pada orang yang berbuat seenaknya sendiri.")</f>
        <v>B Saya tidak suka pada orang yang berbuat seenaknya sendiri.</v>
      </c>
      <c r="AB124" s="105" t="str">
        <f>IFERROR(__xludf.DUMMYFUNCTION("""COMPUTED_VALUE"""),"B Saya ingin menyelesaikan pekerjaan satu persatu sebelum memulai yang lain.")</f>
        <v>B Saya ingin menyelesaikan pekerjaan satu persatu sebelum memulai yang lain.</v>
      </c>
      <c r="AC124" s="105" t="str">
        <f>IFERROR(__xludf.DUMMYFUNCTION("""COMPUTED_VALUE"""),"A Saya suka menyelesaikan setiap tugas meskipun membutuhkan waktu lama.")</f>
        <v>A Saya suka menyelesaikan setiap tugas meskipun membutuhkan waktu lama.</v>
      </c>
      <c r="AD124" s="105" t="str">
        <f>IFERROR(__xludf.DUMMYFUNCTION("""COMPUTED_VALUE"""),"A Saya suka bermurah hati terhadap teman-teman saya.")</f>
        <v>A Saya suka bermurah hati terhadap teman-teman saya.</v>
      </c>
      <c r="AE124" s="105" t="str">
        <f>IFERROR(__xludf.DUMMYFUNCTION("""COMPUTED_VALUE"""),"A Saya ingin dianggap sebagai pemimpin oleh teman di kelompok.")</f>
        <v>A Saya ingin dianggap sebagai pemimpin oleh teman di kelompok.</v>
      </c>
      <c r="AF124" s="105" t="str">
        <f>IFERROR(__xludf.DUMMYFUNCTION("""COMPUTED_VALUE"""),"A Saya ingin agar teman-teman mengerti bila saya mengalami kesukaran.")</f>
        <v>A Saya ingin agar teman-teman mengerti bila saya mengalami kesukaran.</v>
      </c>
      <c r="AG124" s="105" t="str">
        <f>IFERROR(__xludf.DUMMYFUNCTION("""COMPUTED_VALUE"""),"B Saya ingin berhasil dengan tugas yang saya lakukan.")</f>
        <v>B Saya ingin berhasil dengan tugas yang saya lakukan.</v>
      </c>
      <c r="AH124" s="105" t="str">
        <f>IFERROR(__xludf.DUMMYFUNCTION("""COMPUTED_VALUE"""),"A Saya suka membaca buku-buku tentang pergaulan remaja.")</f>
        <v>A Saya suka membaca buku-buku tentang pergaulan remaja.</v>
      </c>
      <c r="AI124" s="105" t="str">
        <f>IFERROR(__xludf.DUMMYFUNCTION("""COMPUTED_VALUE"""),"B Saya suka melakukan kegiatan sesuai kondisi yang saya inginkan.")</f>
        <v>B Saya suka melakukan kegiatan sesuai kondisi yang saya inginkan.</v>
      </c>
      <c r="AJ124" s="105" t="str">
        <f>IFERROR(__xludf.DUMMYFUNCTION("""COMPUTED_VALUE"""),"B Saya suka bertahan menghadapi satu masalah meskipun belum tentu berhasil.")</f>
        <v>B Saya suka bertahan menghadapi satu masalah meskipun belum tentu berhasil.</v>
      </c>
      <c r="AK124" s="105" t="str">
        <f>IFERROR(__xludf.DUMMYFUNCTION("""COMPUTED_VALUE"""),"B Bila saya harus melakukan suatu tugas, saya ingin mengerjakan sampai selesai.")</f>
        <v>B Bila saya harus melakukan suatu tugas, saya ingin mengerjakan sampai selesai.</v>
      </c>
      <c r="AL124" s="105" t="str">
        <f>IFERROR(__xludf.DUMMYFUNCTION("""COMPUTED_VALUE"""),"B Saya ingin menghindarkan gangguan bila saya sedang belajar.")</f>
        <v>B Saya ingin menghindarkan gangguan bila saya sedang belajar.</v>
      </c>
      <c r="AM124" s="105" t="str">
        <f>IFERROR(__xludf.DUMMYFUNCTION("""COMPUTED_VALUE"""),"A Saya ingin teman-teman saya merasa kasihan pada saya apabila saya sakit.")</f>
        <v>A Saya ingin teman-teman saya merasa kasihan pada saya apabila saya sakit.</v>
      </c>
      <c r="AN124" s="105" t="str">
        <f>IFERROR(__xludf.DUMMYFUNCTION("""COMPUTED_VALUE"""),"A Saya tidak suka pada orang yang semena-mena.")</f>
        <v>A Saya tidak suka pada orang yang semena-mena.</v>
      </c>
      <c r="AO124" s="105" t="str">
        <f>IFERROR(__xludf.DUMMYFUNCTION("""COMPUTED_VALUE"""),"A Saya suka berlaku sangat ramah terhadap teman-teman saya.")</f>
        <v>A Saya suka berlaku sangat ramah terhadap teman-teman saya.</v>
      </c>
      <c r="AP124" s="105" t="str">
        <f>IFERROR(__xludf.DUMMYFUNCTION("""COMPUTED_VALUE"""),"B Saya suka bertahan menghadapi satu masalah meskipun belum tentu berhasil.")</f>
        <v>B Saya suka bertahan menghadapi satu masalah meskipun belum tentu berhasil.</v>
      </c>
      <c r="AQ124" s="105" t="str">
        <f>IFERROR(__xludf.DUMMYFUNCTION("""COMPUTED_VALUE"""),"B Bila saya harus melakukan suatu tugas, saya ingin mengerjakan sampai selesai.")</f>
        <v>B Bila saya harus melakukan suatu tugas, saya ingin mengerjakan sampai selesai.</v>
      </c>
      <c r="AR124" s="105" t="str">
        <f>IFERROR(__xludf.DUMMYFUNCTION("""COMPUTED_VALUE"""),"B Saya suka belajar keras pada tiap pelajaran yang saya hadapi.")</f>
        <v>B Saya suka belajar keras pada tiap pelajaran yang saya hadapi.</v>
      </c>
      <c r="AS124" s="105" t="str">
        <f>IFERROR(__xludf.DUMMYFUNCTION("""COMPUTED_VALUE"""),"A Saya ingin dapat menyelesaikan persoalan yang dianggap sukar bagi orang lain.")</f>
        <v>A Saya ingin dapat menyelesaikan persoalan yang dianggap sukar bagi orang lain.</v>
      </c>
      <c r="AT124" s="105" t="str">
        <f>IFERROR(__xludf.DUMMYFUNCTION("""COMPUTED_VALUE"""),"B Saya suka membantu orang lain yang menurut saya perlu dikasihani.")</f>
        <v>B Saya suka membantu orang lain yang menurut saya perlu dikasihani.</v>
      </c>
      <c r="AU124" s="105" t="str">
        <f>IFERROR(__xludf.DUMMYFUNCTION("""COMPUTED_VALUE"""),"B Saya suka bermurah hati terhadap teman-teman saya.")</f>
        <v>B Saya suka bermurah hati terhadap teman-teman saya.</v>
      </c>
      <c r="AV124" s="105" t="str">
        <f>IFERROR(__xludf.DUMMYFUNCTION("""COMPUTED_VALUE"""),"B Saya suka menolong teman-teman saya.")</f>
        <v>B Saya suka menolong teman-teman saya.</v>
      </c>
      <c r="AW124" s="105" t="str">
        <f>IFERROR(__xludf.DUMMYFUNCTION("""COMPUTED_VALUE"""),"B Saya ingin teman-teman saya percaya bahwa saya bisa menolong mereka.")</f>
        <v>B Saya ingin teman-teman saya percaya bahwa saya bisa menolong mereka.</v>
      </c>
      <c r="AX124" s="105" t="str">
        <f>IFERROR(__xludf.DUMMYFUNCTION("""COMPUTED_VALUE"""),"B Saya suka memaafkan teman-teman saya yang menyakiti hati saya.")</f>
        <v>B Saya suka memaafkan teman-teman saya yang menyakiti hati saya.</v>
      </c>
      <c r="AY124" s="105" t="str">
        <f>IFERROR(__xludf.DUMMYFUNCTION("""COMPUTED_VALUE"""),"B Saya suka menolong teman-teman saya apabila mereka dalam kesulitan.")</f>
        <v>B Saya suka menolong teman-teman saya apabila mereka dalam kesulitan.</v>
      </c>
      <c r="AZ124" s="105" t="str">
        <f>IFERROR(__xludf.DUMMYFUNCTION("""COMPUTED_VALUE"""),"B Saya suka menunjukkan simpati saya kepada teman-teman saya.")</f>
        <v>B Saya suka menunjukkan simpati saya kepada teman-teman saya.</v>
      </c>
      <c r="BA124" s="105" t="str">
        <f>IFERROR(__xludf.DUMMYFUNCTION("""COMPUTED_VALUE"""),"B Saya suka memperlakukan orang lain dengan baik dan ramah.")</f>
        <v>B Saya suka memperlakukan orang lain dengan baik dan ramah.</v>
      </c>
      <c r="BB124" s="105" t="str">
        <f>IFERROR(__xludf.DUMMYFUNCTION("""COMPUTED_VALUE"""),"B Saya suka bermurah hati terhadap teman-teman saya.")</f>
        <v>B Saya suka bermurah hati terhadap teman-teman saya.</v>
      </c>
      <c r="BC124" s="105" t="str">
        <f>IFERROR(__xludf.DUMMYFUNCTION("""COMPUTED_VALUE"""),"B Saya suka membantu orang lain yang menurut saya perlu dikasihani.")</f>
        <v>B Saya suka membantu orang lain yang menurut saya perlu dikasihani.</v>
      </c>
      <c r="BD124" s="105" t="str">
        <f>IFERROR(__xludf.DUMMYFUNCTION("""COMPUTED_VALUE"""),"B Saya suka bersikukuh dengan pendirian saya.")</f>
        <v>B Saya suka bersikukuh dengan pendirian saya.</v>
      </c>
      <c r="BE124" s="105" t="str">
        <f>IFERROR(__xludf.DUMMYFUNCTION("""COMPUTED_VALUE"""),"B Saya ingin orang lain melakukan apa yang saya kehendaki.")</f>
        <v>B Saya ingin orang lain melakukan apa yang saya kehendaki.</v>
      </c>
      <c r="BF124" s="105" t="str">
        <f>IFERROR(__xludf.DUMMYFUNCTION("""COMPUTED_VALUE"""),"A Saya ingin orang lain memperhatikan dan berkomentar tentang penampilan saya.")</f>
        <v>A Saya ingin orang lain memperhatikan dan berkomentar tentang penampilan saya.</v>
      </c>
      <c r="BG124" s="105" t="str">
        <f>IFERROR(__xludf.DUMMYFUNCTION("""COMPUTED_VALUE"""),"A Saya ingin teman-teman banyak menunjukkan rasa sayang mereka terhadap saya.")</f>
        <v>A Saya ingin teman-teman banyak menunjukkan rasa sayang mereka terhadap saya.</v>
      </c>
      <c r="BH124" s="105" t="str">
        <f>IFERROR(__xludf.DUMMYFUNCTION("""COMPUTED_VALUE"""),"B Apabila saya berkumpul dalam kelompok, saya ingin dihargai teman-teman.")</f>
        <v>B Apabila saya berkumpul dalam kelompok, saya ingin dihargai teman-teman.</v>
      </c>
      <c r="BI124" s="105" t="str">
        <f>IFERROR(__xludf.DUMMYFUNCTION("""COMPUTED_VALUE"""),"A Saya suka bermurah hati terhadap teman-teman saya.")</f>
        <v>A Saya suka bermurah hati terhadap teman-teman saya.</v>
      </c>
      <c r="BJ124" s="105" t="str">
        <f>IFERROR(__xludf.DUMMYFUNCTION("""COMPUTED_VALUE"""),"A Saya ingin mengerjakan tugas sampai selesai.")</f>
        <v>A Saya ingin mengerjakan tugas sampai selesai.</v>
      </c>
      <c r="BK124" s="105" t="str">
        <f>IFERROR(__xludf.DUMMYFUNCTION("""COMPUTED_VALUE"""),"A Saya ingin menyelesaikan pekerjaan satu persatu sebelum memulai yang lain.")</f>
        <v>A Saya ingin menyelesaikan pekerjaan satu persatu sebelum memulai yang lain.</v>
      </c>
      <c r="BL124" s="105" t="str">
        <f>IFERROR(__xludf.DUMMYFUNCTION("""COMPUTED_VALUE"""),"A Saya suka belajar saya teratur dan ada waktu-waktu tertentu untuk belajar.")</f>
        <v>A Saya suka belajar saya teratur dan ada waktu-waktu tertentu untuk belajar.</v>
      </c>
      <c r="BM124" s="105" t="str">
        <f>IFERROR(__xludf.DUMMYFUNCTION("""COMPUTED_VALUE"""),"A Saya suka melakukan pekerjaan sebaik mungkin.")</f>
        <v>A Saya suka melakukan pekerjaan sebaik mungkin.</v>
      </c>
      <c r="BN124" s="105" t="str">
        <f>IFERROR(__xludf.DUMMYFUNCTION("""COMPUTED_VALUE"""),"B Saya ingin teman-teman memberi dorongan bila saya menghadapi kegagalan.")</f>
        <v>B Saya ingin teman-teman memberi dorongan bila saya menghadapi kegagalan.</v>
      </c>
      <c r="BO124" s="105" t="str">
        <f>IFERROR(__xludf.DUMMYFUNCTION("""COMPUTED_VALUE"""),"A Saya suka membuat perencanaan sebelum memulai belajar yang sulit.")</f>
        <v>A Saya suka membuat perencanaan sebelum memulai belajar yang sulit.</v>
      </c>
      <c r="BP124" s="105" t="str">
        <f>IFERROR(__xludf.DUMMYFUNCTION("""COMPUTED_VALUE"""),"A Saya ingin menyelesaikan sesuatu yang sangat penting artinya.")</f>
        <v>A Saya ingin menyelesaikan sesuatu yang sangat penting artinya.</v>
      </c>
      <c r="BQ124" s="105" t="str">
        <f>IFERROR(__xludf.DUMMYFUNCTION("""COMPUTED_VALUE"""),"A Saya ingin mengerjakannya tugas sampai selesai.")</f>
        <v>A Saya ingin mengerjakannya tugas sampai selesai.</v>
      </c>
      <c r="BR124" s="105" t="str">
        <f>IFERROR(__xludf.DUMMYFUNCTION("""COMPUTED_VALUE"""),"A Saya suka memaafkan teman-teman saya yang menyakiti hati saya.")</f>
        <v>A Saya suka memaafkan teman-teman saya yang menyakiti hati saya.</v>
      </c>
      <c r="BS124" s="105" t="str">
        <f>IFERROR(__xludf.DUMMYFUNCTION("""COMPUTED_VALUE"""),"B Saya ingin teman-teman saya membantu saya bila saya mengalami kesulitan")</f>
        <v>B Saya ingin teman-teman saya membantu saya bila saya mengalami kesulitan</v>
      </c>
      <c r="BT124" s="105" t="str">
        <f>IFERROR(__xludf.DUMMYFUNCTION("""COMPUTED_VALUE"""),"B Saya ingin teman-teman banyak menunjukkan rasa sayang mereka terhadap saya.")</f>
        <v>B Saya ingin teman-teman banyak menunjukkan rasa sayang mereka terhadap saya.</v>
      </c>
      <c r="BU124" s="105" t="str">
        <f>IFERROR(__xludf.DUMMYFUNCTION("""COMPUTED_VALUE"""),"A Saya kadang-kadang suka melakukan hal-hal yang dapat dipuji oleh orang lain.")</f>
        <v>A Saya kadang-kadang suka melakukan hal-hal yang dapat dipuji oleh orang lain.</v>
      </c>
      <c r="BV124" s="105" t="str">
        <f>IFERROR(__xludf.DUMMYFUNCTION("""COMPUTED_VALUE"""),"B Saya ingin teman-teman dengan gembira memberikan pertolongan kepada saya.")</f>
        <v>B Saya ingin teman-teman dengan gembira memberikan pertolongan kepada saya.</v>
      </c>
      <c r="BW124" s="105" t="str">
        <f>IFERROR(__xludf.DUMMYFUNCTION("""COMPUTED_VALUE"""),"B Saya ingin diperlakukan dengan baik oleh teman-teman saya.")</f>
        <v>B Saya ingin diperlakukan dengan baik oleh teman-teman saya.</v>
      </c>
      <c r="BX124" s="105" t="str">
        <f>IFERROR(__xludf.DUMMYFUNCTION("""COMPUTED_VALUE"""),"B Saya kadang-kadang suka melakukan hal-hal yang dapat dipuji oleh orang lain.")</f>
        <v>B Saya kadang-kadang suka melakukan hal-hal yang dapat dipuji oleh orang lain.</v>
      </c>
      <c r="BY124" s="105" t="str">
        <f>IFERROR(__xludf.DUMMYFUNCTION("""COMPUTED_VALUE"""),"B Saya ingin orang lain memperhatikan dan berkomentar tentang penampilan saya.")</f>
        <v>B Saya ingin orang lain memperhatikan dan berkomentar tentang penampilan saya.</v>
      </c>
      <c r="BZ124" s="105" t="str">
        <f>IFERROR(__xludf.DUMMYFUNCTION("""COMPUTED_VALUE"""),"B Saya suka diperhatikan, apabila saya ada di dalam suatu kelompok.")</f>
        <v>B Saya suka diperhatikan, apabila saya ada di dalam suatu kelompok.</v>
      </c>
      <c r="CA124" s="105" t="str">
        <f>IFERROR(__xludf.DUMMYFUNCTION("""COMPUTED_VALUE"""),"A Saya ingin teman-teman dengan gembira memberikan pertolongan kepada saya.")</f>
        <v>A Saya ingin teman-teman dengan gembira memberikan pertolongan kepada saya.</v>
      </c>
      <c r="CB124" s="105" t="str">
        <f>IFERROR(__xludf.DUMMYFUNCTION("""COMPUTED_VALUE"""),"B Saya suka berbicara tentang hal-hal yang telah saya capai.")</f>
        <v>B Saya suka berbicara tentang hal-hal yang telah saya capai.</v>
      </c>
      <c r="CC124" s="105" t="str">
        <f>IFERROR(__xludf.DUMMYFUNCTION("""COMPUTED_VALUE"""),"A Apabila saya berkumpul dalam kelompok, saya ingin dihargai teman-teman.")</f>
        <v>A Apabila saya berkumpul dalam kelompok, saya ingin dihargai teman-teman.</v>
      </c>
      <c r="CD124" s="105" t="str">
        <f>IFERROR(__xludf.DUMMYFUNCTION("""COMPUTED_VALUE"""),"A Saya suka menyelesaikan setiap tugas meskipun membutuhkan waktu lama.")</f>
        <v>A Saya suka menyelesaikan setiap tugas meskipun membutuhkan waktu lama.</v>
      </c>
      <c r="CE124" s="105" t="str">
        <f>IFERROR(__xludf.DUMMYFUNCTION("""COMPUTED_VALUE"""),"A Saya suka menyelesaikan setiap tugas belajar yang telah saya mulai.")</f>
        <v>A Saya suka menyelesaikan setiap tugas belajar yang telah saya mulai.</v>
      </c>
      <c r="CF124" s="105" t="str">
        <f>IFERROR(__xludf.DUMMYFUNCTION("""COMPUTED_VALUE"""),"A Saya ingin agar hidup saya teratur sesuai cita-cita saya.")</f>
        <v>A Saya ingin agar hidup saya teratur sesuai cita-cita saya.</v>
      </c>
      <c r="CG124" s="105" t="str">
        <f>IFERROR(__xludf.DUMMYFUNCTION("""COMPUTED_VALUE"""),"A Saya ingin berhasil dalam apa yang saya lakukan.")</f>
        <v>A Saya ingin berhasil dalam apa yang saya lakukan.</v>
      </c>
      <c r="CH124" s="105" t="str">
        <f>IFERROR(__xludf.DUMMYFUNCTION("""COMPUTED_VALUE"""),"A Saya ingin bisa melakukan dengan baik sesuatu pekerjaan sulit.")</f>
        <v>A Saya ingin bisa melakukan dengan baik sesuatu pekerjaan sulit.</v>
      </c>
      <c r="CI124" s="105" t="str">
        <f>IFERROR(__xludf.DUMMYFUNCTION("""COMPUTED_VALUE"""),"A Saya suka belajar saya teratur dan ada waktu-waktu tertentu untuk belajar.")</f>
        <v>A Saya suka belajar saya teratur dan ada waktu-waktu tertentu untuk belajar.</v>
      </c>
      <c r="CJ124" s="105" t="str">
        <f>IFERROR(__xludf.DUMMYFUNCTION("""COMPUTED_VALUE"""),"A Saya ingin tidak tergantung dari orang lain terhadap apa yang akan saya lakukan.")</f>
        <v>A Saya ingin tidak tergantung dari orang lain terhadap apa yang akan saya lakukan.</v>
      </c>
      <c r="CK124" s="105" t="str">
        <f>IFERROR(__xludf.DUMMYFUNCTION("""COMPUTED_VALUE"""),"B Saya senang ikut beraktivitas bersama teman sebaya saya.")</f>
        <v>B Saya senang ikut beraktivitas bersama teman sebaya saya.</v>
      </c>
      <c r="CL124" s="105" t="str">
        <f>IFERROR(__xludf.DUMMYFUNCTION("""COMPUTED_VALUE"""),"A Saya suka menolong teman-teman saya, apabila mereka dalam kesulitan.")</f>
        <v>A Saya suka menolong teman-teman saya, apabila mereka dalam kesulitan.</v>
      </c>
      <c r="CM124" s="105" t="str">
        <f>IFERROR(__xludf.DUMMYFUNCTION("""COMPUTED_VALUE"""),"B Saya merasa kagum pada seseorang.")</f>
        <v>B Saya merasa kagum pada seseorang.</v>
      </c>
      <c r="CN124" s="105" t="str">
        <f>IFERROR(__xludf.DUMMYFUNCTION("""COMPUTED_VALUE"""),"A Saya ingin diperlakukan dengan baik oleh teman-teman saya.")</f>
        <v>A Saya ingin diperlakukan dengan baik oleh teman-teman saya.</v>
      </c>
      <c r="CO124" s="105" t="str">
        <f>IFERROR(__xludf.DUMMYFUNCTION("""COMPUTED_VALUE"""),"B Saya suka memuji orang yang saya kagumi.")</f>
        <v>B Saya suka memuji orang yang saya kagumi.</v>
      </c>
      <c r="CP124" s="105" t="str">
        <f>IFERROR(__xludf.DUMMYFUNCTION("""COMPUTED_VALUE"""),"B Saya ingin dianggap menarik oleh orang lain.")</f>
        <v>B Saya ingin dianggap menarik oleh orang lain.</v>
      </c>
      <c r="CQ124" s="105" t="str">
        <f>IFERROR(__xludf.DUMMYFUNCTION("""COMPUTED_VALUE"""),"B Saya merasa kagum pada seseorang.")</f>
        <v>B Saya merasa kagum pada seseorang.</v>
      </c>
      <c r="CR124" s="105" t="str">
        <f>IFERROR(__xludf.DUMMYFUNCTION("""COMPUTED_VALUE"""),"B Saya rasanya ingin mengecam seseorang bila orang itu menjengkelkan.")</f>
        <v>B Saya rasanya ingin mengecam seseorang bila orang itu menjengkelkan.</v>
      </c>
      <c r="CS124" s="105" t="str">
        <f>IFERROR(__xludf.DUMMYFUNCTION("""COMPUTED_VALUE"""),"A Saya ingin terlihat menarik di depan teman-teman saya.")</f>
        <v>A Saya ingin terlihat menarik di depan teman-teman saya.</v>
      </c>
      <c r="CT124" s="105" t="str">
        <f>IFERROR(__xludf.DUMMYFUNCTION("""COMPUTED_VALUE"""),"A Saya ingin orang-orang memperhatikan komentar mengenai penampilan saya.")</f>
        <v>A Saya ingin orang-orang memperhatikan komentar mengenai penampilan saya.</v>
      </c>
      <c r="CU124" s="105" t="str">
        <f>IFERROR(__xludf.DUMMYFUNCTION("""COMPUTED_VALUE"""),"A Saya ingin diperlakukan dengan ramah oleh teman-teman saya.")</f>
        <v>A Saya ingin diperlakukan dengan ramah oleh teman-teman saya.</v>
      </c>
      <c r="CV124" s="105" t="str">
        <f>IFERROR(__xludf.DUMMYFUNCTION("""COMPUTED_VALUE"""),"A Saya ingin ditunjuk atau dipilih sebagai ketua dalam suatu kelompok.")</f>
        <v>A Saya ingin ditunjuk atau dipilih sebagai ketua dalam suatu kelompok.</v>
      </c>
      <c r="CW124" s="105" t="str">
        <f>IFERROR(__xludf.DUMMYFUNCTION("""COMPUTED_VALUE"""),"A Saya suka menolong teman-teman saya, apabila mereka dalam kesulitan.")</f>
        <v>A Saya suka menolong teman-teman saya, apabila mereka dalam kesulitan.</v>
      </c>
      <c r="CX124" s="105" t="str">
        <f>IFERROR(__xludf.DUMMYFUNCTION("""COMPUTED_VALUE"""),"A Saya suka belajar sampai malam untuk menyelesaikan suatu tugas.")</f>
        <v>A Saya suka belajar sampai malam untuk menyelesaikan suatu tugas.</v>
      </c>
      <c r="CY124" s="105" t="str">
        <f>IFERROR(__xludf.DUMMYFUNCTION("""COMPUTED_VALUE"""),"A Saya ingin tidak tergantung dari orang lain terhadap apa yang akan saya lakukan.")</f>
        <v>A Saya ingin tidak tergantung dari orang lain terhadap apa yang akan saya lakukan.</v>
      </c>
      <c r="CZ124" s="105" t="str">
        <f>IFERROR(__xludf.DUMMYFUNCTION("""COMPUTED_VALUE"""),"A Saya suka merencanakan dan mengatur setiap pekerjaan yang harus saya lakukan.")</f>
        <v>A Saya suka merencanakan dan mengatur setiap pekerjaan yang harus saya lakukan.</v>
      </c>
      <c r="DA124" s="105" t="str">
        <f>IFERROR(__xludf.DUMMYFUNCTION("""COMPUTED_VALUE"""),"A Saya ingin melakukan apa saja sebaik mungkin.")</f>
        <v>A Saya ingin melakukan apa saja sebaik mungkin.</v>
      </c>
      <c r="DB124" s="89" t="s">
        <v>23</v>
      </c>
      <c r="DC124" s="97" t="str">
        <f t="shared" ref="DC124:GX124" si="169">LEFT(F124,1)</f>
        <v>B</v>
      </c>
      <c r="DD124" s="97" t="str">
        <f t="shared" si="169"/>
        <v>A</v>
      </c>
      <c r="DE124" s="97" t="str">
        <f t="shared" si="169"/>
        <v>A</v>
      </c>
      <c r="DF124" s="97" t="str">
        <f t="shared" si="169"/>
        <v>B</v>
      </c>
      <c r="DG124" s="97" t="str">
        <f t="shared" si="169"/>
        <v>A</v>
      </c>
      <c r="DH124" s="97" t="str">
        <f t="shared" si="169"/>
        <v>A</v>
      </c>
      <c r="DI124" s="97" t="str">
        <f t="shared" si="169"/>
        <v>A</v>
      </c>
      <c r="DJ124" s="97" t="str">
        <f t="shared" si="169"/>
        <v>B</v>
      </c>
      <c r="DK124" s="97" t="str">
        <f t="shared" si="169"/>
        <v>B</v>
      </c>
      <c r="DL124" s="97" t="str">
        <f t="shared" si="169"/>
        <v>B</v>
      </c>
      <c r="DM124" s="97" t="str">
        <f t="shared" si="169"/>
        <v>B</v>
      </c>
      <c r="DN124" s="97" t="str">
        <f t="shared" si="169"/>
        <v>B</v>
      </c>
      <c r="DO124" s="97" t="str">
        <f t="shared" si="169"/>
        <v>B</v>
      </c>
      <c r="DP124" s="97" t="str">
        <f t="shared" si="169"/>
        <v>B</v>
      </c>
      <c r="DQ124" s="97" t="str">
        <f t="shared" si="169"/>
        <v>A</v>
      </c>
      <c r="DR124" s="97" t="str">
        <f t="shared" si="169"/>
        <v>A</v>
      </c>
      <c r="DS124" s="97" t="str">
        <f t="shared" si="169"/>
        <v>B</v>
      </c>
      <c r="DT124" s="97" t="str">
        <f t="shared" si="169"/>
        <v>B</v>
      </c>
      <c r="DU124" s="97" t="str">
        <f t="shared" si="169"/>
        <v>A</v>
      </c>
      <c r="DV124" s="97" t="str">
        <f t="shared" si="169"/>
        <v>B</v>
      </c>
      <c r="DW124" s="97" t="str">
        <f t="shared" si="169"/>
        <v>A</v>
      </c>
      <c r="DX124" s="97" t="str">
        <f t="shared" si="169"/>
        <v>B</v>
      </c>
      <c r="DY124" s="97" t="str">
        <f t="shared" si="169"/>
        <v>B</v>
      </c>
      <c r="DZ124" s="97" t="str">
        <f t="shared" si="169"/>
        <v>A</v>
      </c>
      <c r="EA124" s="97" t="str">
        <f t="shared" si="169"/>
        <v>A</v>
      </c>
      <c r="EB124" s="97" t="str">
        <f t="shared" si="169"/>
        <v>A</v>
      </c>
      <c r="EC124" s="97" t="str">
        <f t="shared" si="169"/>
        <v>A</v>
      </c>
      <c r="ED124" s="97" t="str">
        <f t="shared" si="169"/>
        <v>B</v>
      </c>
      <c r="EE124" s="97" t="str">
        <f t="shared" si="169"/>
        <v>A</v>
      </c>
      <c r="EF124" s="97" t="str">
        <f t="shared" si="169"/>
        <v>B</v>
      </c>
      <c r="EG124" s="97" t="str">
        <f t="shared" si="169"/>
        <v>B</v>
      </c>
      <c r="EH124" s="97" t="str">
        <f t="shared" si="169"/>
        <v>B</v>
      </c>
      <c r="EI124" s="97" t="str">
        <f t="shared" si="169"/>
        <v>B</v>
      </c>
      <c r="EJ124" s="97" t="str">
        <f t="shared" si="169"/>
        <v>A</v>
      </c>
      <c r="EK124" s="97" t="str">
        <f t="shared" si="169"/>
        <v>A</v>
      </c>
      <c r="EL124" s="97" t="str">
        <f t="shared" si="169"/>
        <v>A</v>
      </c>
      <c r="EM124" s="97" t="str">
        <f t="shared" si="169"/>
        <v>B</v>
      </c>
      <c r="EN124" s="97" t="str">
        <f t="shared" si="169"/>
        <v>B</v>
      </c>
      <c r="EO124" s="97" t="str">
        <f t="shared" si="169"/>
        <v>B</v>
      </c>
      <c r="EP124" s="97" t="str">
        <f t="shared" si="169"/>
        <v>A</v>
      </c>
      <c r="EQ124" s="97" t="str">
        <f t="shared" si="169"/>
        <v>B</v>
      </c>
      <c r="ER124" s="97" t="str">
        <f t="shared" si="169"/>
        <v>B</v>
      </c>
      <c r="ES124" s="97" t="str">
        <f t="shared" si="169"/>
        <v>B</v>
      </c>
      <c r="ET124" s="97" t="str">
        <f t="shared" si="169"/>
        <v>B</v>
      </c>
      <c r="EU124" s="97" t="str">
        <f t="shared" si="169"/>
        <v>B</v>
      </c>
      <c r="EV124" s="97" t="str">
        <f t="shared" si="169"/>
        <v>B</v>
      </c>
      <c r="EW124" s="97" t="str">
        <f t="shared" si="169"/>
        <v>B</v>
      </c>
      <c r="EX124" s="97" t="str">
        <f t="shared" si="169"/>
        <v>B</v>
      </c>
      <c r="EY124" s="97" t="str">
        <f t="shared" si="169"/>
        <v>B</v>
      </c>
      <c r="EZ124" s="97" t="str">
        <f t="shared" si="169"/>
        <v>B</v>
      </c>
      <c r="FA124" s="97" t="str">
        <f t="shared" si="169"/>
        <v>B</v>
      </c>
      <c r="FB124" s="97" t="str">
        <f t="shared" si="169"/>
        <v>B</v>
      </c>
      <c r="FC124" s="97" t="str">
        <f t="shared" si="169"/>
        <v>A</v>
      </c>
      <c r="FD124" s="97" t="str">
        <f t="shared" si="169"/>
        <v>A</v>
      </c>
      <c r="FE124" s="97" t="str">
        <f t="shared" si="169"/>
        <v>B</v>
      </c>
      <c r="FF124" s="97" t="str">
        <f t="shared" si="169"/>
        <v>A</v>
      </c>
      <c r="FG124" s="97" t="str">
        <f t="shared" si="169"/>
        <v>A</v>
      </c>
      <c r="FH124" s="97" t="str">
        <f t="shared" si="169"/>
        <v>A</v>
      </c>
      <c r="FI124" s="97" t="str">
        <f t="shared" si="169"/>
        <v>A</v>
      </c>
      <c r="FJ124" s="97" t="str">
        <f t="shared" si="169"/>
        <v>A</v>
      </c>
      <c r="FK124" s="97" t="str">
        <f t="shared" si="169"/>
        <v>B</v>
      </c>
      <c r="FL124" s="97" t="str">
        <f t="shared" si="169"/>
        <v>A</v>
      </c>
      <c r="FM124" s="97" t="str">
        <f t="shared" si="169"/>
        <v>A</v>
      </c>
      <c r="FN124" s="97" t="str">
        <f t="shared" si="169"/>
        <v>A</v>
      </c>
      <c r="FO124" s="97" t="str">
        <f t="shared" si="169"/>
        <v>A</v>
      </c>
      <c r="FP124" s="97" t="str">
        <f t="shared" si="169"/>
        <v>B</v>
      </c>
      <c r="FQ124" s="97" t="str">
        <f t="shared" si="169"/>
        <v>B</v>
      </c>
      <c r="FR124" s="97" t="str">
        <f t="shared" si="169"/>
        <v>A</v>
      </c>
      <c r="FS124" s="97" t="str">
        <f t="shared" si="169"/>
        <v>B</v>
      </c>
      <c r="FT124" s="97" t="str">
        <f t="shared" si="169"/>
        <v>B</v>
      </c>
      <c r="FU124" s="97" t="str">
        <f t="shared" si="169"/>
        <v>B</v>
      </c>
      <c r="FV124" s="97" t="str">
        <f t="shared" si="169"/>
        <v>B</v>
      </c>
      <c r="FW124" s="97" t="str">
        <f t="shared" si="169"/>
        <v>B</v>
      </c>
      <c r="FX124" s="97" t="str">
        <f t="shared" si="169"/>
        <v>A</v>
      </c>
      <c r="FY124" s="97" t="str">
        <f t="shared" si="169"/>
        <v>B</v>
      </c>
      <c r="FZ124" s="97" t="str">
        <f t="shared" si="169"/>
        <v>A</v>
      </c>
      <c r="GA124" s="97" t="str">
        <f t="shared" si="169"/>
        <v>A</v>
      </c>
      <c r="GB124" s="97" t="str">
        <f t="shared" si="169"/>
        <v>A</v>
      </c>
      <c r="GC124" s="97" t="str">
        <f t="shared" si="169"/>
        <v>A</v>
      </c>
      <c r="GD124" s="97" t="str">
        <f t="shared" si="169"/>
        <v>A</v>
      </c>
      <c r="GE124" s="97" t="str">
        <f t="shared" si="169"/>
        <v>A</v>
      </c>
      <c r="GF124" s="97" t="str">
        <f t="shared" si="169"/>
        <v>A</v>
      </c>
      <c r="GG124" s="97" t="str">
        <f t="shared" si="169"/>
        <v>A</v>
      </c>
      <c r="GH124" s="97" t="str">
        <f t="shared" si="169"/>
        <v>B</v>
      </c>
      <c r="GI124" s="97" t="str">
        <f t="shared" si="169"/>
        <v>A</v>
      </c>
      <c r="GJ124" s="97" t="str">
        <f t="shared" si="169"/>
        <v>B</v>
      </c>
      <c r="GK124" s="97" t="str">
        <f t="shared" si="169"/>
        <v>A</v>
      </c>
      <c r="GL124" s="97" t="str">
        <f t="shared" si="169"/>
        <v>B</v>
      </c>
      <c r="GM124" s="97" t="str">
        <f t="shared" si="169"/>
        <v>B</v>
      </c>
      <c r="GN124" s="97" t="str">
        <f t="shared" si="169"/>
        <v>B</v>
      </c>
      <c r="GO124" s="97" t="str">
        <f t="shared" si="169"/>
        <v>B</v>
      </c>
      <c r="GP124" s="97" t="str">
        <f t="shared" si="169"/>
        <v>A</v>
      </c>
      <c r="GQ124" s="97" t="str">
        <f t="shared" si="169"/>
        <v>A</v>
      </c>
      <c r="GR124" s="97" t="str">
        <f t="shared" si="169"/>
        <v>A</v>
      </c>
      <c r="GS124" s="97" t="str">
        <f t="shared" si="169"/>
        <v>A</v>
      </c>
      <c r="GT124" s="97" t="str">
        <f t="shared" si="169"/>
        <v>A</v>
      </c>
      <c r="GU124" s="97" t="str">
        <f t="shared" si="169"/>
        <v>A</v>
      </c>
      <c r="GV124" s="97" t="str">
        <f t="shared" si="169"/>
        <v>A</v>
      </c>
      <c r="GW124" s="97" t="str">
        <f t="shared" si="169"/>
        <v>A</v>
      </c>
      <c r="GX124" s="97" t="str">
        <f t="shared" si="169"/>
        <v>A</v>
      </c>
      <c r="GY124" s="98"/>
      <c r="GZ124" s="97">
        <f t="shared" si="3"/>
        <v>50</v>
      </c>
      <c r="HA124" s="97">
        <f t="shared" si="4"/>
        <v>50</v>
      </c>
      <c r="HB124" s="90">
        <f t="shared" si="5"/>
        <v>100</v>
      </c>
      <c r="HC124" s="99"/>
      <c r="HD124" s="97">
        <f t="shared" si="6"/>
        <v>6</v>
      </c>
      <c r="HE124" s="97">
        <f t="shared" si="7"/>
        <v>4</v>
      </c>
      <c r="HF124" s="90">
        <f t="shared" si="8"/>
        <v>10</v>
      </c>
      <c r="HG124" s="99"/>
      <c r="HH124" s="97">
        <f t="shared" si="9"/>
        <v>6</v>
      </c>
      <c r="HI124" s="97">
        <f t="shared" si="10"/>
        <v>7</v>
      </c>
      <c r="HJ124" s="90">
        <f t="shared" si="11"/>
        <v>13</v>
      </c>
      <c r="HK124" s="99"/>
      <c r="HL124" s="97">
        <f t="shared" si="12"/>
        <v>6</v>
      </c>
      <c r="HM124" s="97">
        <f t="shared" si="13"/>
        <v>4</v>
      </c>
      <c r="HN124" s="90">
        <f t="shared" si="14"/>
        <v>10</v>
      </c>
      <c r="HO124" s="99"/>
      <c r="HP124" s="97">
        <f t="shared" si="15"/>
        <v>5</v>
      </c>
      <c r="HQ124" s="97">
        <f t="shared" si="16"/>
        <v>6</v>
      </c>
      <c r="HR124" s="90">
        <f t="shared" si="17"/>
        <v>11</v>
      </c>
      <c r="HS124" s="99"/>
      <c r="HT124" s="97">
        <f t="shared" si="18"/>
        <v>9</v>
      </c>
      <c r="HU124" s="97">
        <f t="shared" si="19"/>
        <v>10</v>
      </c>
      <c r="HV124" s="90">
        <f t="shared" si="20"/>
        <v>19</v>
      </c>
      <c r="HW124" s="99"/>
      <c r="HX124" s="97">
        <f t="shared" si="21"/>
        <v>5</v>
      </c>
      <c r="HY124" s="97">
        <f t="shared" si="22"/>
        <v>3</v>
      </c>
      <c r="HZ124" s="90">
        <f t="shared" si="23"/>
        <v>8</v>
      </c>
      <c r="IA124" s="99"/>
      <c r="IB124" s="97">
        <f t="shared" si="24"/>
        <v>7</v>
      </c>
      <c r="IC124" s="97">
        <f t="shared" si="25"/>
        <v>5</v>
      </c>
      <c r="ID124" s="90">
        <f t="shared" si="26"/>
        <v>12</v>
      </c>
      <c r="IE124" s="99"/>
      <c r="IF124" s="97">
        <f t="shared" si="27"/>
        <v>3</v>
      </c>
      <c r="IG124" s="97">
        <f t="shared" si="28"/>
        <v>4</v>
      </c>
      <c r="IH124" s="90">
        <f t="shared" si="29"/>
        <v>7</v>
      </c>
      <c r="II124" s="99"/>
      <c r="IJ124" s="97">
        <f t="shared" si="30"/>
        <v>2</v>
      </c>
      <c r="IK124" s="97">
        <f t="shared" si="31"/>
        <v>5</v>
      </c>
      <c r="IL124" s="90">
        <f t="shared" si="32"/>
        <v>7</v>
      </c>
      <c r="IM124" s="99"/>
      <c r="IN124" s="97">
        <f t="shared" si="33"/>
        <v>0</v>
      </c>
      <c r="IO124" s="97">
        <f t="shared" si="34"/>
        <v>1</v>
      </c>
      <c r="IP124" s="90">
        <f t="shared" si="35"/>
        <v>1</v>
      </c>
      <c r="IS124" s="100">
        <f t="shared" si="36"/>
        <v>10</v>
      </c>
      <c r="IT124" s="100">
        <f t="shared" si="37"/>
        <v>13</v>
      </c>
      <c r="IU124" s="100">
        <f t="shared" si="38"/>
        <v>10</v>
      </c>
      <c r="IV124" s="100">
        <f t="shared" si="39"/>
        <v>11</v>
      </c>
      <c r="IW124" s="100">
        <f t="shared" si="40"/>
        <v>19</v>
      </c>
      <c r="IX124" s="100">
        <f t="shared" si="41"/>
        <v>8</v>
      </c>
      <c r="IY124" s="100">
        <f t="shared" si="42"/>
        <v>12</v>
      </c>
      <c r="IZ124" s="100">
        <f t="shared" si="43"/>
        <v>7</v>
      </c>
      <c r="JA124" s="100">
        <f t="shared" si="44"/>
        <v>7</v>
      </c>
      <c r="JB124" s="101">
        <f t="shared" si="45"/>
        <v>1</v>
      </c>
      <c r="JC124" s="102">
        <f t="shared" si="46"/>
        <v>98</v>
      </c>
      <c r="JD124" s="67">
        <f t="shared" si="50"/>
        <v>0</v>
      </c>
      <c r="JE124" s="67">
        <f t="shared" si="47"/>
        <v>1</v>
      </c>
      <c r="JF124" s="67">
        <f t="shared" si="48"/>
        <v>1</v>
      </c>
    </row>
    <row r="125">
      <c r="A125" s="104">
        <f>IFERROR(__xludf.DUMMYFUNCTION("""COMPUTED_VALUE"""),45968.58078094907)</f>
        <v>45968.58078</v>
      </c>
      <c r="B125" s="105" t="str">
        <f>IFERROR(__xludf.DUMMYFUNCTION("""COMPUTED_VALUE"""),"Muhammad Nadhif Raisyauqy")</f>
        <v>Muhammad Nadhif Raisyauqy</v>
      </c>
      <c r="C125" s="7" t="str">
        <f>IFERROR(__xludf.DUMMYFUNCTION("""COMPUTED_VALUE"""),"A250075")</f>
        <v>A250075</v>
      </c>
      <c r="D125" s="7" t="str">
        <f>IFERROR(__xludf.DUMMYFUNCTION("""COMPUTED_VALUE"""),"MTs Putra")</f>
        <v>MTs Putra</v>
      </c>
      <c r="E125" s="7" t="str">
        <f>IFERROR(__xludf.DUMMYFUNCTION("""COMPUTED_VALUE"""),"Ya")</f>
        <v>Ya</v>
      </c>
      <c r="F125" s="105" t="str">
        <f>IFERROR(__xludf.DUMMYFUNCTION("""COMPUTED_VALUE"""),"A Saya ingin mengerjakan segala tugas lebih baik daripada orang lain.")</f>
        <v>A Saya ingin mengerjakan segala tugas lebih baik daripada orang lain.</v>
      </c>
      <c r="G125" s="105" t="str">
        <f>IFERROR(__xludf.DUMMYFUNCTION("""COMPUTED_VALUE"""),"A Saya ingin setiap tulisan saya teliti, rapi, dan tersusun dengan baik.")</f>
        <v>A Saya ingin setiap tulisan saya teliti, rapi, dan tersusun dengan baik.</v>
      </c>
      <c r="H125" s="105" t="str">
        <f>IFERROR(__xludf.DUMMYFUNCTION("""COMPUTED_VALUE"""),"B Saya ingin menjadi orang yang diakui dalam suatu pekerjaan atau bidang khusus.")</f>
        <v>B Saya ingin menjadi orang yang diakui dalam suatu pekerjaan atau bidang khusus.</v>
      </c>
      <c r="I125" s="105" t="str">
        <f>IFERROR(__xludf.DUMMYFUNCTION("""COMPUTED_VALUE"""),"A Saya suka belajar keras pada tiap pelajaran yang saya hadapi.")</f>
        <v>A Saya suka belajar keras pada tiap pelajaran yang saya hadapi.</v>
      </c>
      <c r="J125" s="105" t="str">
        <f>IFERROR(__xludf.DUMMYFUNCTION("""COMPUTED_VALUE"""),"A Saya suka membantu teman-teman saya apabila mereka mengalami kesulitan.")</f>
        <v>A Saya suka membantu teman-teman saya apabila mereka mengalami kesulitan.</v>
      </c>
      <c r="K125" s="105" t="str">
        <f>IFERROR(__xludf.DUMMYFUNCTION("""COMPUTED_VALUE"""),"B Saya ingin mengatakan telah melakukan dengan baik sesuatu tugas yang sulit.")</f>
        <v>B Saya ingin mengatakan telah melakukan dengan baik sesuatu tugas yang sulit.</v>
      </c>
      <c r="L125" s="105" t="str">
        <f>IFERROR(__xludf.DUMMYFUNCTION("""COMPUTED_VALUE"""),"B Saya ingin mengatakan telah melakukan dengan baik sesuatu tugas yang sulit")</f>
        <v>B Saya ingin mengatakan telah melakukan dengan baik sesuatu tugas yang sulit</v>
      </c>
      <c r="M125" s="105" t="str">
        <f>IFERROR(__xludf.DUMMYFUNCTION("""COMPUTED_VALUE"""),"B Saya ingin mengerjakan segala tugas lebih baik daripada orang lain.")</f>
        <v>B Saya ingin mengerjakan segala tugas lebih baik daripada orang lain.</v>
      </c>
      <c r="N125" s="105" t="str">
        <f>IFERROR(__xludf.DUMMYFUNCTION("""COMPUTED_VALUE"""),"A Saya suka pergi dengan pakaian rapi agar lebih menarik perhatian orang lain.")</f>
        <v>A Saya suka pergi dengan pakaian rapi agar lebih menarik perhatian orang lain.</v>
      </c>
      <c r="O125" s="105" t="str">
        <f>IFERROR(__xludf.DUMMYFUNCTION("""COMPUTED_VALUE"""),"B Saya suka melakukan tugas sebaik mungkin.")</f>
        <v>B Saya suka melakukan tugas sebaik mungkin.</v>
      </c>
      <c r="P125" s="105" t="str">
        <f>IFERROR(__xludf.DUMMYFUNCTION("""COMPUTED_VALUE"""),"B Saya ingin setiap belajar itu teratur dan direncanakan.")</f>
        <v>B Saya ingin setiap belajar itu teratur dan direncanakan.</v>
      </c>
      <c r="Q125" s="105" t="str">
        <f>IFERROR(__xludf.DUMMYFUNCTION("""COMPUTED_VALUE"""),"B Saya merencanakan keperluan yang dibutuhkan sebelum bepergian.")</f>
        <v>B Saya merencanakan keperluan yang dibutuhkan sebelum bepergian.</v>
      </c>
      <c r="R125" s="105" t="str">
        <f>IFERROR(__xludf.DUMMYFUNCTION("""COMPUTED_VALUE"""),"B Saya suka barang-barang saya tersusun rapi dan teratur.")</f>
        <v>B Saya suka barang-barang saya tersusun rapi dan teratur.</v>
      </c>
      <c r="S125" s="105" t="str">
        <f>IFERROR(__xludf.DUMMYFUNCTION("""COMPUTED_VALUE"""),"B Saya suka membuat perencanaan sebelum memulai tugas yang sulit.")</f>
        <v>B Saya suka membuat perencanaan sebelum memulai tugas yang sulit.</v>
      </c>
      <c r="T125" s="105" t="str">
        <f>IFERROR(__xludf.DUMMYFUNCTION("""COMPUTED_VALUE"""),"B Saya ingin agar hidup saya teratur sesuai cita-cita saya.")</f>
        <v>B Saya ingin agar hidup saya teratur sesuai cita-cita saya.</v>
      </c>
      <c r="U125" s="105" t="str">
        <f>IFERROR(__xludf.DUMMYFUNCTION("""COMPUTED_VALUE"""),"A Saya suka memberikan bantuan kepada teman-teman saya.")</f>
        <v>A Saya suka memberikan bantuan kepada teman-teman saya.</v>
      </c>
      <c r="V125" s="105" t="str">
        <f>IFERROR(__xludf.DUMMYFUNCTION("""COMPUTED_VALUE"""),"B Saya suka belajar saya teratur dan ada waktu-waktu tertentu untuk belajar.")</f>
        <v>B Saya suka belajar saya teratur dan ada waktu-waktu tertentu untuk belajar.</v>
      </c>
      <c r="W125" s="105" t="str">
        <f>IFERROR(__xludf.DUMMYFUNCTION("""COMPUTED_VALUE"""),"A Saya suka melakukan kegiatan sesuai kondisi yang saya inginkan.")</f>
        <v>A Saya suka melakukan kegiatan sesuai kondisi yang saya inginkan.</v>
      </c>
      <c r="X125" s="105" t="str">
        <f>IFERROR(__xludf.DUMMYFUNCTION("""COMPUTED_VALUE"""),"B Saya ingin agar hidup saya teratur sesuai cita-cita saya.")</f>
        <v>B Saya ingin agar hidup saya teratur sesuai cita-cita saya.</v>
      </c>
      <c r="Y125" s="105" t="str">
        <f>IFERROR(__xludf.DUMMYFUNCTION("""COMPUTED_VALUE"""),"A Saya suka menyelesaikan tugas-tugas yang membutuhkan ketrampilan dan usaha.")</f>
        <v>A Saya suka menyelesaikan tugas-tugas yang membutuhkan ketrampilan dan usaha.</v>
      </c>
      <c r="Z125" s="105" t="str">
        <f>IFERROR(__xludf.DUMMYFUNCTION("""COMPUTED_VALUE"""),"B Saya ingin merasa bebas untuk melakukan apa yang saya inginkan.")</f>
        <v>B Saya ingin merasa bebas untuk melakukan apa yang saya inginkan.</v>
      </c>
      <c r="AA125" s="105" t="str">
        <f>IFERROR(__xludf.DUMMYFUNCTION("""COMPUTED_VALUE"""),"A Saya suka menyelesaikan tugas yang telah saya rencanakan.")</f>
        <v>A Saya suka menyelesaikan tugas yang telah saya rencanakan.</v>
      </c>
      <c r="AB125" s="105" t="str">
        <f>IFERROR(__xludf.DUMMYFUNCTION("""COMPUTED_VALUE"""),"A Saya ingin tidak tergantung dari orang lain terhadap apa yang akan saya lakukan.")</f>
        <v>A Saya ingin tidak tergantung dari orang lain terhadap apa yang akan saya lakukan.</v>
      </c>
      <c r="AC125" s="105" t="str">
        <f>IFERROR(__xludf.DUMMYFUNCTION("""COMPUTED_VALUE"""),"B Saya suka melakukan kegiatan sesuai kondisi yang saya inginkan.")</f>
        <v>B Saya suka melakukan kegiatan sesuai kondisi yang saya inginkan.</v>
      </c>
      <c r="AD125" s="105" t="str">
        <f>IFERROR(__xludf.DUMMYFUNCTION("""COMPUTED_VALUE"""),"A Saya suka bermurah hati terhadap teman-teman saya.")</f>
        <v>A Saya suka bermurah hati terhadap teman-teman saya.</v>
      </c>
      <c r="AE125" s="105" t="str">
        <f>IFERROR(__xludf.DUMMYFUNCTION("""COMPUTED_VALUE"""),"B Saya suka melakukan hal-hal yang dianggap orang lain tidak sesuai.")</f>
        <v>B Saya suka melakukan hal-hal yang dianggap orang lain tidak sesuai.</v>
      </c>
      <c r="AF125" s="105" t="str">
        <f>IFERROR(__xludf.DUMMYFUNCTION("""COMPUTED_VALUE"""),"B Saya suka melakukan hal-hal dengan cara saya sendiri.")</f>
        <v>B Saya suka melakukan hal-hal dengan cara saya sendiri.</v>
      </c>
      <c r="AG125" s="105" t="str">
        <f>IFERROR(__xludf.DUMMYFUNCTION("""COMPUTED_VALUE"""),"A Saya mengajari orang lain bagaimana mereka harus melakukan pekerjaan mereka.")</f>
        <v>A Saya mengajari orang lain bagaimana mereka harus melakukan pekerjaan mereka.</v>
      </c>
      <c r="AH125" s="105" t="str">
        <f>IFERROR(__xludf.DUMMYFUNCTION("""COMPUTED_VALUE"""),"B Saya ingin merasa bebas untuk melakukan apa yang saya kehendaki.")</f>
        <v>B Saya ingin merasa bebas untuk melakukan apa yang saya kehendaki.</v>
      </c>
      <c r="AI125" s="105" t="str">
        <f>IFERROR(__xludf.DUMMYFUNCTION("""COMPUTED_VALUE"""),"B Saya suka melakukan kegiatan sesuai kondisi yang saya inginkan.")</f>
        <v>B Saya suka melakukan kegiatan sesuai kondisi yang saya inginkan.</v>
      </c>
      <c r="AJ125" s="105" t="str">
        <f>IFERROR(__xludf.DUMMYFUNCTION("""COMPUTED_VALUE"""),"B Saya suka bertahan menghadapi satu masalah meskipun belum tentu berhasil.")</f>
        <v>B Saya suka bertahan menghadapi satu masalah meskipun belum tentu berhasil.</v>
      </c>
      <c r="AK125" s="105" t="str">
        <f>IFERROR(__xludf.DUMMYFUNCTION("""COMPUTED_VALUE"""),"B Bila saya harus melakukan suatu tugas, saya ingin mengerjakan sampai selesai.")</f>
        <v>B Bila saya harus melakukan suatu tugas, saya ingin mengerjakan sampai selesai.</v>
      </c>
      <c r="AL125" s="105" t="str">
        <f>IFERROR(__xludf.DUMMYFUNCTION("""COMPUTED_VALUE"""),"B Saya ingin menghindarkan gangguan bila saya sedang belajar.")</f>
        <v>B Saya ingin menghindarkan gangguan bila saya sedang belajar.</v>
      </c>
      <c r="AM125" s="105" t="str">
        <f>IFERROR(__xludf.DUMMYFUNCTION("""COMPUTED_VALUE"""),"B Saya suka belajar sampai malam untuk menyelesaikan suatu tugas.")</f>
        <v>B Saya suka belajar sampai malam untuk menyelesaikan suatu tugas.</v>
      </c>
      <c r="AN125" s="105" t="str">
        <f>IFERROR(__xludf.DUMMYFUNCTION("""COMPUTED_VALUE"""),"B Saya ingin bekerja berjam-jam tanpa diganggu.")</f>
        <v>B Saya ingin bekerja berjam-jam tanpa diganggu.</v>
      </c>
      <c r="AO125" s="105" t="str">
        <f>IFERROR(__xludf.DUMMYFUNCTION("""COMPUTED_VALUE"""),"A Saya suka berlaku sangat ramah terhadap teman-teman saya.")</f>
        <v>A Saya suka berlaku sangat ramah terhadap teman-teman saya.</v>
      </c>
      <c r="AP125" s="105" t="str">
        <f>IFERROR(__xludf.DUMMYFUNCTION("""COMPUTED_VALUE"""),"B Saya suka bertahan menghadapi satu masalah meskipun belum tentu berhasil.")</f>
        <v>B Saya suka bertahan menghadapi satu masalah meskipun belum tentu berhasil.</v>
      </c>
      <c r="AQ125" s="105" t="str">
        <f>IFERROR(__xludf.DUMMYFUNCTION("""COMPUTED_VALUE"""),"B Bila saya harus melakukan suatu tugas, saya ingin mengerjakan sampai selesai.")</f>
        <v>B Bila saya harus melakukan suatu tugas, saya ingin mengerjakan sampai selesai.</v>
      </c>
      <c r="AR125" s="105" t="str">
        <f>IFERROR(__xludf.DUMMYFUNCTION("""COMPUTED_VALUE"""),"B Saya suka belajar keras pada tiap pelajaran yang saya hadapi.")</f>
        <v>B Saya suka belajar keras pada tiap pelajaran yang saya hadapi.</v>
      </c>
      <c r="AS125" s="105" t="str">
        <f>IFERROR(__xludf.DUMMYFUNCTION("""COMPUTED_VALUE"""),"B Saya suka belajar sampai malam untuk menyelesaikan suatu tugas.")</f>
        <v>B Saya suka belajar sampai malam untuk menyelesaikan suatu tugas.</v>
      </c>
      <c r="AT125" s="105" t="str">
        <f>IFERROR(__xludf.DUMMYFUNCTION("""COMPUTED_VALUE"""),"A Saya ingin bisa melakukan dengan baik sesuatu pekerjaan sulit.")</f>
        <v>A Saya ingin bisa melakukan dengan baik sesuatu pekerjaan sulit.</v>
      </c>
      <c r="AU125" s="105" t="str">
        <f>IFERROR(__xludf.DUMMYFUNCTION("""COMPUTED_VALUE"""),"A Saya ingin menyelesaikan pekerjaan satu persatu sebelum memulai yang lain.")</f>
        <v>A Saya ingin menyelesaikan pekerjaan satu persatu sebelum memulai yang lain.</v>
      </c>
      <c r="AV125" s="105" t="str">
        <f>IFERROR(__xludf.DUMMYFUNCTION("""COMPUTED_VALUE"""),"A Saya ingin merasa bebas untuk melakukan apa yang saya kehendaki.")</f>
        <v>A Saya ingin merasa bebas untuk melakukan apa yang saya kehendaki.</v>
      </c>
      <c r="AW125" s="105" t="str">
        <f>IFERROR(__xludf.DUMMYFUNCTION("""COMPUTED_VALUE"""),"A Saya ingin mengerjakan tugas sampai selesai.")</f>
        <v>A Saya ingin mengerjakan tugas sampai selesai.</v>
      </c>
      <c r="AX125" s="105" t="str">
        <f>IFERROR(__xludf.DUMMYFUNCTION("""COMPUTED_VALUE"""),"A Saya suka menolong teman-teman saya apabila mereka dalam kesulitan.")</f>
        <v>A Saya suka menolong teman-teman saya apabila mereka dalam kesulitan.</v>
      </c>
      <c r="AY125" s="105" t="str">
        <f>IFERROR(__xludf.DUMMYFUNCTION("""COMPUTED_VALUE"""),"B Saya suka menolong teman-teman saya apabila mereka dalam kesulitan.")</f>
        <v>B Saya suka menolong teman-teman saya apabila mereka dalam kesulitan.</v>
      </c>
      <c r="AZ125" s="105" t="str">
        <f>IFERROR(__xludf.DUMMYFUNCTION("""COMPUTED_VALUE"""),"B Saya suka menunjukkan simpati saya kepada teman-teman saya.")</f>
        <v>B Saya suka menunjukkan simpati saya kepada teman-teman saya.</v>
      </c>
      <c r="BA125" s="105" t="str">
        <f>IFERROR(__xludf.DUMMYFUNCTION("""COMPUTED_VALUE"""),"B Saya suka memperlakukan orang lain dengan baik dan ramah.")</f>
        <v>B Saya suka memperlakukan orang lain dengan baik dan ramah.</v>
      </c>
      <c r="BB125" s="105" t="str">
        <f>IFERROR(__xludf.DUMMYFUNCTION("""COMPUTED_VALUE"""),"B Saya suka bermurah hati terhadap teman-teman saya.")</f>
        <v>B Saya suka bermurah hati terhadap teman-teman saya.</v>
      </c>
      <c r="BC125" s="105" t="str">
        <f>IFERROR(__xludf.DUMMYFUNCTION("""COMPUTED_VALUE"""),"B Saya suka membantu orang lain yang menurut saya perlu dikasihani.")</f>
        <v>B Saya suka membantu orang lain yang menurut saya perlu dikasihani.</v>
      </c>
      <c r="BD125" s="105" t="str">
        <f>IFERROR(__xludf.DUMMYFUNCTION("""COMPUTED_VALUE"""),"B Saya suka bersikukuh dengan pendirian saya.")</f>
        <v>B Saya suka bersikukuh dengan pendirian saya.</v>
      </c>
      <c r="BE125" s="105" t="str">
        <f>IFERROR(__xludf.DUMMYFUNCTION("""COMPUTED_VALUE"""),"B Saya ingin orang lain melakukan apa yang saya kehendaki.")</f>
        <v>B Saya ingin orang lain melakukan apa yang saya kehendaki.</v>
      </c>
      <c r="BF125" s="105" t="str">
        <f>IFERROR(__xludf.DUMMYFUNCTION("""COMPUTED_VALUE"""),"B Bila saya dalam kelompok, saya ingin menentukan apa yang akan kita lakukan.")</f>
        <v>B Bila saya dalam kelompok, saya ingin menentukan apa yang akan kita lakukan.</v>
      </c>
      <c r="BG125" s="105" t="str">
        <f>IFERROR(__xludf.DUMMYFUNCTION("""COMPUTED_VALUE"""),"B Saya suka mengarahkan kepada orang lain apa yang harus dilakukan.")</f>
        <v>B Saya suka mengarahkan kepada orang lain apa yang harus dilakukan.</v>
      </c>
      <c r="BH125" s="105" t="str">
        <f>IFERROR(__xludf.DUMMYFUNCTION("""COMPUTED_VALUE"""),"A Saya suka menghindar dari situasi yang tidak saya harapkan.")</f>
        <v>A Saya suka menghindar dari situasi yang tidak saya harapkan.</v>
      </c>
      <c r="BI125" s="105" t="str">
        <f>IFERROR(__xludf.DUMMYFUNCTION("""COMPUTED_VALUE"""),"B Saya ingin orang lain melakukan apa yang saya kehendaki.")</f>
        <v>B Saya ingin orang lain melakukan apa yang saya kehendaki.</v>
      </c>
      <c r="BJ125" s="105" t="str">
        <f>IFERROR(__xludf.DUMMYFUNCTION("""COMPUTED_VALUE"""),"A Saya ingin mengerjakan tugas sampai selesai.")</f>
        <v>A Saya ingin mengerjakan tugas sampai selesai.</v>
      </c>
      <c r="BK125" s="105" t="str">
        <f>IFERROR(__xludf.DUMMYFUNCTION("""COMPUTED_VALUE"""),"A Saya ingin menyelesaikan pekerjaan satu persatu sebelum memulai yang lain.")</f>
        <v>A Saya ingin menyelesaikan pekerjaan satu persatu sebelum memulai yang lain.</v>
      </c>
      <c r="BL125" s="105" t="str">
        <f>IFERROR(__xludf.DUMMYFUNCTION("""COMPUTED_VALUE"""),"A Saya suka belajar saya teratur dan ada waktu-waktu tertentu untuk belajar.")</f>
        <v>A Saya suka belajar saya teratur dan ada waktu-waktu tertentu untuk belajar.</v>
      </c>
      <c r="BM125" s="105" t="str">
        <f>IFERROR(__xludf.DUMMYFUNCTION("""COMPUTED_VALUE"""),"A Saya suka melakukan pekerjaan sebaik mungkin.")</f>
        <v>A Saya suka melakukan pekerjaan sebaik mungkin.</v>
      </c>
      <c r="BN125" s="105" t="str">
        <f>IFERROR(__xludf.DUMMYFUNCTION("""COMPUTED_VALUE"""),"A Saya suka mengerjakan teka-teki atau memecahkan persoalan sampai selesai.")</f>
        <v>A Saya suka mengerjakan teka-teki atau memecahkan persoalan sampai selesai.</v>
      </c>
      <c r="BO125" s="105" t="str">
        <f>IFERROR(__xludf.DUMMYFUNCTION("""COMPUTED_VALUE"""),"A Saya suka membuat perencanaan sebelum memulai belajar yang sulit.")</f>
        <v>A Saya suka membuat perencanaan sebelum memulai belajar yang sulit.</v>
      </c>
      <c r="BP125" s="105" t="str">
        <f>IFERROR(__xludf.DUMMYFUNCTION("""COMPUTED_VALUE"""),"A Saya ingin menyelesaikan sesuatu yang sangat penting artinya.")</f>
        <v>A Saya ingin menyelesaikan sesuatu yang sangat penting artinya.</v>
      </c>
      <c r="BQ125" s="105" t="str">
        <f>IFERROR(__xludf.DUMMYFUNCTION("""COMPUTED_VALUE"""),"B Saya ingin agar teman-teman menceritakan diri saya apabila saya sakit.")</f>
        <v>B Saya ingin agar teman-teman menceritakan diri saya apabila saya sakit.</v>
      </c>
      <c r="BR125" s="105" t="str">
        <f>IFERROR(__xludf.DUMMYFUNCTION("""COMPUTED_VALUE"""),"B Saya ingin agar teman-teman saya bersimpati dan menghibur saya bila saya sedih.")</f>
        <v>B Saya ingin agar teman-teman saya bersimpati dan menghibur saya bila saya sedih.</v>
      </c>
      <c r="BS125" s="105" t="str">
        <f>IFERROR(__xludf.DUMMYFUNCTION("""COMPUTED_VALUE"""),"A Saya suka menghindar dari tanggung jawab yang tidak saya inginkan.")</f>
        <v>A Saya suka menghindar dari tanggung jawab yang tidak saya inginkan.</v>
      </c>
      <c r="BT125" s="105" t="str">
        <f>IFERROR(__xludf.DUMMYFUNCTION("""COMPUTED_VALUE"""),"A Saya ingin teman-teman saya merasa kasihan pada saya apabila saya sakit.")</f>
        <v>A Saya ingin teman-teman saya merasa kasihan pada saya apabila saya sakit.</v>
      </c>
      <c r="BU125" s="105" t="str">
        <f>IFERROR(__xludf.DUMMYFUNCTION("""COMPUTED_VALUE"""),"B Saya ingin agar teman-teman saya merasa kasihan pada saya apabila saya sakit.")</f>
        <v>B Saya ingin agar teman-teman saya merasa kasihan pada saya apabila saya sakit.</v>
      </c>
      <c r="BV125" s="105" t="str">
        <f>IFERROR(__xludf.DUMMYFUNCTION("""COMPUTED_VALUE"""),"B Saya ingin teman-teman dengan gembira memberikan pertolongan kepada saya.")</f>
        <v>B Saya ingin teman-teman dengan gembira memberikan pertolongan kepada saya.</v>
      </c>
      <c r="BW125" s="105" t="str">
        <f>IFERROR(__xludf.DUMMYFUNCTION("""COMPUTED_VALUE"""),"B Saya ingin diperlakukan dengan baik oleh teman-teman saya.")</f>
        <v>B Saya ingin diperlakukan dengan baik oleh teman-teman saya.</v>
      </c>
      <c r="BX125" s="105" t="str">
        <f>IFERROR(__xludf.DUMMYFUNCTION("""COMPUTED_VALUE"""),"B Saya kadang-kadang suka melakukan hal-hal yang dapat dipuji oleh orang lain.")</f>
        <v>B Saya kadang-kadang suka melakukan hal-hal yang dapat dipuji oleh orang lain.</v>
      </c>
      <c r="BY125" s="105" t="str">
        <f>IFERROR(__xludf.DUMMYFUNCTION("""COMPUTED_VALUE"""),"B Saya ingin orang lain memperhatikan dan berkomentar tentang penampilan saya.")</f>
        <v>B Saya ingin orang lain memperhatikan dan berkomentar tentang penampilan saya.</v>
      </c>
      <c r="BZ125" s="105" t="str">
        <f>IFERROR(__xludf.DUMMYFUNCTION("""COMPUTED_VALUE"""),"B Saya suka diperhatikan, apabila saya ada di dalam suatu kelompok.")</f>
        <v>B Saya suka diperhatikan, apabila saya ada di dalam suatu kelompok.</v>
      </c>
      <c r="CA125" s="105" t="str">
        <f>IFERROR(__xludf.DUMMYFUNCTION("""COMPUTED_VALUE"""),"A Saya ingin teman-teman dengan gembira memberikan pertolongan kepada saya.")</f>
        <v>A Saya ingin teman-teman dengan gembira memberikan pertolongan kepada saya.</v>
      </c>
      <c r="CB125" s="105" t="str">
        <f>IFERROR(__xludf.DUMMYFUNCTION("""COMPUTED_VALUE"""),"A Saya suka menghindar dari tanggung jawab yang tidak saya inginkan.")</f>
        <v>A Saya suka menghindar dari tanggung jawab yang tidak saya inginkan.</v>
      </c>
      <c r="CC125" s="105" t="str">
        <f>IFERROR(__xludf.DUMMYFUNCTION("""COMPUTED_VALUE"""),"A Apabila saya berkumpul dalam kelompok, saya ingin dihargai teman-teman.")</f>
        <v>A Apabila saya berkumpul dalam kelompok, saya ingin dihargai teman-teman.</v>
      </c>
      <c r="CD125" s="105" t="str">
        <f>IFERROR(__xludf.DUMMYFUNCTION("""COMPUTED_VALUE"""),"A Saya suka menyelesaikan setiap tugas meskipun membutuhkan waktu lama.")</f>
        <v>A Saya suka menyelesaikan setiap tugas meskipun membutuhkan waktu lama.</v>
      </c>
      <c r="CE125" s="105" t="str">
        <f>IFERROR(__xludf.DUMMYFUNCTION("""COMPUTED_VALUE"""),"A Saya suka menyelesaikan setiap tugas belajar yang telah saya mulai.")</f>
        <v>A Saya suka menyelesaikan setiap tugas belajar yang telah saya mulai.</v>
      </c>
      <c r="CF125" s="105" t="str">
        <f>IFERROR(__xludf.DUMMYFUNCTION("""COMPUTED_VALUE"""),"A Saya ingin agar hidup saya teratur sesuai cita-cita saya.")</f>
        <v>A Saya ingin agar hidup saya teratur sesuai cita-cita saya.</v>
      </c>
      <c r="CG125" s="105" t="str">
        <f>IFERROR(__xludf.DUMMYFUNCTION("""COMPUTED_VALUE"""),"A Saya ingin berhasil dalam apa yang saya lakukan.")</f>
        <v>A Saya ingin berhasil dalam apa yang saya lakukan.</v>
      </c>
      <c r="CH125" s="105" t="str">
        <f>IFERROR(__xludf.DUMMYFUNCTION("""COMPUTED_VALUE"""),"A Saya ingin bisa melakukan dengan baik sesuatu pekerjaan sulit.")</f>
        <v>A Saya ingin bisa melakukan dengan baik sesuatu pekerjaan sulit.</v>
      </c>
      <c r="CI125" s="105" t="str">
        <f>IFERROR(__xludf.DUMMYFUNCTION("""COMPUTED_VALUE"""),"A Saya suka belajar saya teratur dan ada waktu-waktu tertentu untuk belajar.")</f>
        <v>A Saya suka belajar saya teratur dan ada waktu-waktu tertentu untuk belajar.</v>
      </c>
      <c r="CJ125" s="105" t="str">
        <f>IFERROR(__xludf.DUMMYFUNCTION("""COMPUTED_VALUE"""),"A Saya ingin tidak tergantung dari orang lain terhadap apa yang akan saya lakukan.")</f>
        <v>A Saya ingin tidak tergantung dari orang lain terhadap apa yang akan saya lakukan.</v>
      </c>
      <c r="CK125" s="105" t="str">
        <f>IFERROR(__xludf.DUMMYFUNCTION("""COMPUTED_VALUE"""),"B Saya senang ikut beraktivitas bersama teman sebaya saya.")</f>
        <v>B Saya senang ikut beraktivitas bersama teman sebaya saya.</v>
      </c>
      <c r="CL125" s="105" t="str">
        <f>IFERROR(__xludf.DUMMYFUNCTION("""COMPUTED_VALUE"""),"A Saya suka menolong teman-teman saya, apabila mereka dalam kesulitan.")</f>
        <v>A Saya suka menolong teman-teman saya, apabila mereka dalam kesulitan.</v>
      </c>
      <c r="CM125" s="105" t="str">
        <f>IFERROR(__xludf.DUMMYFUNCTION("""COMPUTED_VALUE"""),"A Saya ingin ditunjuk atau dipilih sebagai ketua dalam suatu kelompok.")</f>
        <v>A Saya ingin ditunjuk atau dipilih sebagai ketua dalam suatu kelompok.</v>
      </c>
      <c r="CN125" s="105" t="str">
        <f>IFERROR(__xludf.DUMMYFUNCTION("""COMPUTED_VALUE"""),"A Saya ingin diperlakukan dengan baik oleh teman-teman saya.")</f>
        <v>A Saya ingin diperlakukan dengan baik oleh teman-teman saya.</v>
      </c>
      <c r="CO125" s="105" t="str">
        <f>IFERROR(__xludf.DUMMYFUNCTION("""COMPUTED_VALUE"""),"A Saya suka menceritakan hal-hal lucu agar diperhatikan oleh orang lain.")</f>
        <v>A Saya suka menceritakan hal-hal lucu agar diperhatikan oleh orang lain.</v>
      </c>
      <c r="CP125" s="105" t="str">
        <f>IFERROR(__xludf.DUMMYFUNCTION("""COMPUTED_VALUE"""),"B Saya ingin dianggap menarik oleh orang lain.")</f>
        <v>B Saya ingin dianggap menarik oleh orang lain.</v>
      </c>
      <c r="CQ125" s="105" t="str">
        <f>IFERROR(__xludf.DUMMYFUNCTION("""COMPUTED_VALUE"""),"B Saya merasa kagum pada seseorang.")</f>
        <v>B Saya merasa kagum pada seseorang.</v>
      </c>
      <c r="CR125" s="105" t="str">
        <f>IFERROR(__xludf.DUMMYFUNCTION("""COMPUTED_VALUE"""),"B Saya rasanya ingin mengecam seseorang bila orang itu menjengkelkan.")</f>
        <v>B Saya rasanya ingin mengecam seseorang bila orang itu menjengkelkan.</v>
      </c>
      <c r="CS125" s="105" t="str">
        <f>IFERROR(__xludf.DUMMYFUNCTION("""COMPUTED_VALUE"""),"A Saya ingin terlihat menarik di depan teman-teman saya.")</f>
        <v>A Saya ingin terlihat menarik di depan teman-teman saya.</v>
      </c>
      <c r="CT125" s="105" t="str">
        <f>IFERROR(__xludf.DUMMYFUNCTION("""COMPUTED_VALUE"""),"A Saya ingin orang-orang memperhatikan komentar mengenai penampilan saya.")</f>
        <v>A Saya ingin orang-orang memperhatikan komentar mengenai penampilan saya.</v>
      </c>
      <c r="CU125" s="105" t="str">
        <f>IFERROR(__xludf.DUMMYFUNCTION("""COMPUTED_VALUE"""),"B Saya ingin menyalahkan orang lain bila keadaan tidak baik bagi saya.")</f>
        <v>B Saya ingin menyalahkan orang lain bila keadaan tidak baik bagi saya.</v>
      </c>
      <c r="CV125" s="105" t="str">
        <f>IFERROR(__xludf.DUMMYFUNCTION("""COMPUTED_VALUE"""),"B Saya menyerang pendirian-pendirian yang bertentangan dengan pendirian saya.")</f>
        <v>B Saya menyerang pendirian-pendirian yang bertentangan dengan pendirian saya.</v>
      </c>
      <c r="CW125" s="105" t="str">
        <f>IFERROR(__xludf.DUMMYFUNCTION("""COMPUTED_VALUE"""),"A Saya suka menolong teman-teman saya, apabila mereka dalam kesulitan.")</f>
        <v>A Saya suka menolong teman-teman saya, apabila mereka dalam kesulitan.</v>
      </c>
      <c r="CX125" s="105" t="str">
        <f>IFERROR(__xludf.DUMMYFUNCTION("""COMPUTED_VALUE"""),"B Saya ingin memperolok-olok orang yang saya anggap melakukan tindakan bodoh.")</f>
        <v>B Saya ingin memperolok-olok orang yang saya anggap melakukan tindakan bodoh.</v>
      </c>
      <c r="CY125" s="105" t="str">
        <f>IFERROR(__xludf.DUMMYFUNCTION("""COMPUTED_VALUE"""),"A Saya ingin tidak tergantung dari orang lain terhadap apa yang akan saya lakukan.")</f>
        <v>A Saya ingin tidak tergantung dari orang lain terhadap apa yang akan saya lakukan.</v>
      </c>
      <c r="CZ125" s="105" t="str">
        <f>IFERROR(__xludf.DUMMYFUNCTION("""COMPUTED_VALUE"""),"A Saya suka merencanakan dan mengatur setiap pekerjaan yang harus saya lakukan.")</f>
        <v>A Saya suka merencanakan dan mengatur setiap pekerjaan yang harus saya lakukan.</v>
      </c>
      <c r="DA125" s="105" t="str">
        <f>IFERROR(__xludf.DUMMYFUNCTION("""COMPUTED_VALUE"""),"A Saya ingin melakukan apa saja sebaik mungkin.")</f>
        <v>A Saya ingin melakukan apa saja sebaik mungkin.</v>
      </c>
      <c r="DB125" s="89" t="s">
        <v>23</v>
      </c>
      <c r="DC125" s="97" t="str">
        <f t="shared" ref="DC125:GX125" si="170">LEFT(F125,1)</f>
        <v>A</v>
      </c>
      <c r="DD125" s="97" t="str">
        <f t="shared" si="170"/>
        <v>A</v>
      </c>
      <c r="DE125" s="97" t="str">
        <f t="shared" si="170"/>
        <v>B</v>
      </c>
      <c r="DF125" s="97" t="str">
        <f t="shared" si="170"/>
        <v>A</v>
      </c>
      <c r="DG125" s="97" t="str">
        <f t="shared" si="170"/>
        <v>A</v>
      </c>
      <c r="DH125" s="97" t="str">
        <f t="shared" si="170"/>
        <v>B</v>
      </c>
      <c r="DI125" s="97" t="str">
        <f t="shared" si="170"/>
        <v>B</v>
      </c>
      <c r="DJ125" s="97" t="str">
        <f t="shared" si="170"/>
        <v>B</v>
      </c>
      <c r="DK125" s="97" t="str">
        <f t="shared" si="170"/>
        <v>A</v>
      </c>
      <c r="DL125" s="97" t="str">
        <f t="shared" si="170"/>
        <v>B</v>
      </c>
      <c r="DM125" s="97" t="str">
        <f t="shared" si="170"/>
        <v>B</v>
      </c>
      <c r="DN125" s="97" t="str">
        <f t="shared" si="170"/>
        <v>B</v>
      </c>
      <c r="DO125" s="97" t="str">
        <f t="shared" si="170"/>
        <v>B</v>
      </c>
      <c r="DP125" s="97" t="str">
        <f t="shared" si="170"/>
        <v>B</v>
      </c>
      <c r="DQ125" s="97" t="str">
        <f t="shared" si="170"/>
        <v>B</v>
      </c>
      <c r="DR125" s="97" t="str">
        <f t="shared" si="170"/>
        <v>A</v>
      </c>
      <c r="DS125" s="97" t="str">
        <f t="shared" si="170"/>
        <v>B</v>
      </c>
      <c r="DT125" s="97" t="str">
        <f t="shared" si="170"/>
        <v>A</v>
      </c>
      <c r="DU125" s="97" t="str">
        <f t="shared" si="170"/>
        <v>B</v>
      </c>
      <c r="DV125" s="97" t="str">
        <f t="shared" si="170"/>
        <v>A</v>
      </c>
      <c r="DW125" s="97" t="str">
        <f t="shared" si="170"/>
        <v>B</v>
      </c>
      <c r="DX125" s="97" t="str">
        <f t="shared" si="170"/>
        <v>A</v>
      </c>
      <c r="DY125" s="97" t="str">
        <f t="shared" si="170"/>
        <v>A</v>
      </c>
      <c r="DZ125" s="97" t="str">
        <f t="shared" si="170"/>
        <v>B</v>
      </c>
      <c r="EA125" s="97" t="str">
        <f t="shared" si="170"/>
        <v>A</v>
      </c>
      <c r="EB125" s="97" t="str">
        <f t="shared" si="170"/>
        <v>B</v>
      </c>
      <c r="EC125" s="97" t="str">
        <f t="shared" si="170"/>
        <v>B</v>
      </c>
      <c r="ED125" s="97" t="str">
        <f t="shared" si="170"/>
        <v>A</v>
      </c>
      <c r="EE125" s="97" t="str">
        <f t="shared" si="170"/>
        <v>B</v>
      </c>
      <c r="EF125" s="97" t="str">
        <f t="shared" si="170"/>
        <v>B</v>
      </c>
      <c r="EG125" s="97" t="str">
        <f t="shared" si="170"/>
        <v>B</v>
      </c>
      <c r="EH125" s="97" t="str">
        <f t="shared" si="170"/>
        <v>B</v>
      </c>
      <c r="EI125" s="97" t="str">
        <f t="shared" si="170"/>
        <v>B</v>
      </c>
      <c r="EJ125" s="97" t="str">
        <f t="shared" si="170"/>
        <v>B</v>
      </c>
      <c r="EK125" s="97" t="str">
        <f t="shared" si="170"/>
        <v>B</v>
      </c>
      <c r="EL125" s="97" t="str">
        <f t="shared" si="170"/>
        <v>A</v>
      </c>
      <c r="EM125" s="97" t="str">
        <f t="shared" si="170"/>
        <v>B</v>
      </c>
      <c r="EN125" s="97" t="str">
        <f t="shared" si="170"/>
        <v>B</v>
      </c>
      <c r="EO125" s="97" t="str">
        <f t="shared" si="170"/>
        <v>B</v>
      </c>
      <c r="EP125" s="97" t="str">
        <f t="shared" si="170"/>
        <v>B</v>
      </c>
      <c r="EQ125" s="97" t="str">
        <f t="shared" si="170"/>
        <v>A</v>
      </c>
      <c r="ER125" s="97" t="str">
        <f t="shared" si="170"/>
        <v>A</v>
      </c>
      <c r="ES125" s="97" t="str">
        <f t="shared" si="170"/>
        <v>A</v>
      </c>
      <c r="ET125" s="97" t="str">
        <f t="shared" si="170"/>
        <v>A</v>
      </c>
      <c r="EU125" s="97" t="str">
        <f t="shared" si="170"/>
        <v>A</v>
      </c>
      <c r="EV125" s="97" t="str">
        <f t="shared" si="170"/>
        <v>B</v>
      </c>
      <c r="EW125" s="97" t="str">
        <f t="shared" si="170"/>
        <v>B</v>
      </c>
      <c r="EX125" s="97" t="str">
        <f t="shared" si="170"/>
        <v>B</v>
      </c>
      <c r="EY125" s="97" t="str">
        <f t="shared" si="170"/>
        <v>B</v>
      </c>
      <c r="EZ125" s="97" t="str">
        <f t="shared" si="170"/>
        <v>B</v>
      </c>
      <c r="FA125" s="97" t="str">
        <f t="shared" si="170"/>
        <v>B</v>
      </c>
      <c r="FB125" s="97" t="str">
        <f t="shared" si="170"/>
        <v>B</v>
      </c>
      <c r="FC125" s="97" t="str">
        <f t="shared" si="170"/>
        <v>B</v>
      </c>
      <c r="FD125" s="97" t="str">
        <f t="shared" si="170"/>
        <v>B</v>
      </c>
      <c r="FE125" s="97" t="str">
        <f t="shared" si="170"/>
        <v>A</v>
      </c>
      <c r="FF125" s="97" t="str">
        <f t="shared" si="170"/>
        <v>B</v>
      </c>
      <c r="FG125" s="97" t="str">
        <f t="shared" si="170"/>
        <v>A</v>
      </c>
      <c r="FH125" s="97" t="str">
        <f t="shared" si="170"/>
        <v>A</v>
      </c>
      <c r="FI125" s="97" t="str">
        <f t="shared" si="170"/>
        <v>A</v>
      </c>
      <c r="FJ125" s="97" t="str">
        <f t="shared" si="170"/>
        <v>A</v>
      </c>
      <c r="FK125" s="97" t="str">
        <f t="shared" si="170"/>
        <v>A</v>
      </c>
      <c r="FL125" s="97" t="str">
        <f t="shared" si="170"/>
        <v>A</v>
      </c>
      <c r="FM125" s="97" t="str">
        <f t="shared" si="170"/>
        <v>A</v>
      </c>
      <c r="FN125" s="97" t="str">
        <f t="shared" si="170"/>
        <v>B</v>
      </c>
      <c r="FO125" s="97" t="str">
        <f t="shared" si="170"/>
        <v>B</v>
      </c>
      <c r="FP125" s="97" t="str">
        <f t="shared" si="170"/>
        <v>A</v>
      </c>
      <c r="FQ125" s="97" t="str">
        <f t="shared" si="170"/>
        <v>A</v>
      </c>
      <c r="FR125" s="97" t="str">
        <f t="shared" si="170"/>
        <v>B</v>
      </c>
      <c r="FS125" s="97" t="str">
        <f t="shared" si="170"/>
        <v>B</v>
      </c>
      <c r="FT125" s="97" t="str">
        <f t="shared" si="170"/>
        <v>B</v>
      </c>
      <c r="FU125" s="97" t="str">
        <f t="shared" si="170"/>
        <v>B</v>
      </c>
      <c r="FV125" s="97" t="str">
        <f t="shared" si="170"/>
        <v>B</v>
      </c>
      <c r="FW125" s="97" t="str">
        <f t="shared" si="170"/>
        <v>B</v>
      </c>
      <c r="FX125" s="97" t="str">
        <f t="shared" si="170"/>
        <v>A</v>
      </c>
      <c r="FY125" s="97" t="str">
        <f t="shared" si="170"/>
        <v>A</v>
      </c>
      <c r="FZ125" s="97" t="str">
        <f t="shared" si="170"/>
        <v>A</v>
      </c>
      <c r="GA125" s="97" t="str">
        <f t="shared" si="170"/>
        <v>A</v>
      </c>
      <c r="GB125" s="97" t="str">
        <f t="shared" si="170"/>
        <v>A</v>
      </c>
      <c r="GC125" s="97" t="str">
        <f t="shared" si="170"/>
        <v>A</v>
      </c>
      <c r="GD125" s="97" t="str">
        <f t="shared" si="170"/>
        <v>A</v>
      </c>
      <c r="GE125" s="97" t="str">
        <f t="shared" si="170"/>
        <v>A</v>
      </c>
      <c r="GF125" s="97" t="str">
        <f t="shared" si="170"/>
        <v>A</v>
      </c>
      <c r="GG125" s="97" t="str">
        <f t="shared" si="170"/>
        <v>A</v>
      </c>
      <c r="GH125" s="97" t="str">
        <f t="shared" si="170"/>
        <v>B</v>
      </c>
      <c r="GI125" s="97" t="str">
        <f t="shared" si="170"/>
        <v>A</v>
      </c>
      <c r="GJ125" s="97" t="str">
        <f t="shared" si="170"/>
        <v>A</v>
      </c>
      <c r="GK125" s="97" t="str">
        <f t="shared" si="170"/>
        <v>A</v>
      </c>
      <c r="GL125" s="97" t="str">
        <f t="shared" si="170"/>
        <v>A</v>
      </c>
      <c r="GM125" s="97" t="str">
        <f t="shared" si="170"/>
        <v>B</v>
      </c>
      <c r="GN125" s="97" t="str">
        <f t="shared" si="170"/>
        <v>B</v>
      </c>
      <c r="GO125" s="97" t="str">
        <f t="shared" si="170"/>
        <v>B</v>
      </c>
      <c r="GP125" s="97" t="str">
        <f t="shared" si="170"/>
        <v>A</v>
      </c>
      <c r="GQ125" s="97" t="str">
        <f t="shared" si="170"/>
        <v>A</v>
      </c>
      <c r="GR125" s="97" t="str">
        <f t="shared" si="170"/>
        <v>B</v>
      </c>
      <c r="GS125" s="97" t="str">
        <f t="shared" si="170"/>
        <v>B</v>
      </c>
      <c r="GT125" s="97" t="str">
        <f t="shared" si="170"/>
        <v>A</v>
      </c>
      <c r="GU125" s="97" t="str">
        <f t="shared" si="170"/>
        <v>B</v>
      </c>
      <c r="GV125" s="97" t="str">
        <f t="shared" si="170"/>
        <v>A</v>
      </c>
      <c r="GW125" s="97" t="str">
        <f t="shared" si="170"/>
        <v>A</v>
      </c>
      <c r="GX125" s="97" t="str">
        <f t="shared" si="170"/>
        <v>A</v>
      </c>
      <c r="GY125" s="98"/>
      <c r="GZ125" s="97">
        <f t="shared" si="3"/>
        <v>48</v>
      </c>
      <c r="HA125" s="97">
        <f t="shared" si="4"/>
        <v>52</v>
      </c>
      <c r="HB125" s="90">
        <f t="shared" si="5"/>
        <v>100</v>
      </c>
      <c r="HC125" s="99"/>
      <c r="HD125" s="97">
        <f t="shared" si="6"/>
        <v>7</v>
      </c>
      <c r="HE125" s="97">
        <f t="shared" si="7"/>
        <v>5</v>
      </c>
      <c r="HF125" s="90">
        <f t="shared" si="8"/>
        <v>12</v>
      </c>
      <c r="HG125" s="99"/>
      <c r="HH125" s="97">
        <f t="shared" si="9"/>
        <v>8</v>
      </c>
      <c r="HI125" s="97">
        <f t="shared" si="10"/>
        <v>7</v>
      </c>
      <c r="HJ125" s="90">
        <f t="shared" si="11"/>
        <v>15</v>
      </c>
      <c r="HK125" s="99"/>
      <c r="HL125" s="97">
        <f t="shared" si="12"/>
        <v>7</v>
      </c>
      <c r="HM125" s="97">
        <f t="shared" si="13"/>
        <v>6</v>
      </c>
      <c r="HN125" s="90">
        <f t="shared" si="14"/>
        <v>13</v>
      </c>
      <c r="HO125" s="99"/>
      <c r="HP125" s="97">
        <f t="shared" si="15"/>
        <v>4</v>
      </c>
      <c r="HQ125" s="97">
        <f t="shared" si="16"/>
        <v>9</v>
      </c>
      <c r="HR125" s="90">
        <f t="shared" si="17"/>
        <v>13</v>
      </c>
      <c r="HS125" s="99"/>
      <c r="HT125" s="97">
        <f t="shared" si="18"/>
        <v>7</v>
      </c>
      <c r="HU125" s="97">
        <f t="shared" si="19"/>
        <v>5</v>
      </c>
      <c r="HV125" s="90">
        <f t="shared" si="20"/>
        <v>12</v>
      </c>
      <c r="HW125" s="99"/>
      <c r="HX125" s="97">
        <f t="shared" si="21"/>
        <v>3</v>
      </c>
      <c r="HY125" s="97">
        <f t="shared" si="22"/>
        <v>5</v>
      </c>
      <c r="HZ125" s="90">
        <f t="shared" si="23"/>
        <v>8</v>
      </c>
      <c r="IA125" s="99"/>
      <c r="IB125" s="97">
        <f t="shared" si="24"/>
        <v>2</v>
      </c>
      <c r="IC125" s="97">
        <f t="shared" si="25"/>
        <v>5</v>
      </c>
      <c r="ID125" s="90">
        <f t="shared" si="26"/>
        <v>7</v>
      </c>
      <c r="IE125" s="99"/>
      <c r="IF125" s="97">
        <f t="shared" si="27"/>
        <v>3</v>
      </c>
      <c r="IG125" s="97">
        <f t="shared" si="28"/>
        <v>3</v>
      </c>
      <c r="IH125" s="90">
        <f t="shared" si="29"/>
        <v>6</v>
      </c>
      <c r="II125" s="99"/>
      <c r="IJ125" s="97">
        <f t="shared" si="30"/>
        <v>2</v>
      </c>
      <c r="IK125" s="97">
        <f t="shared" si="31"/>
        <v>3</v>
      </c>
      <c r="IL125" s="90">
        <f t="shared" si="32"/>
        <v>5</v>
      </c>
      <c r="IM125" s="99"/>
      <c r="IN125" s="97">
        <f t="shared" si="33"/>
        <v>0</v>
      </c>
      <c r="IO125" s="97">
        <f t="shared" si="34"/>
        <v>4</v>
      </c>
      <c r="IP125" s="90">
        <f t="shared" si="35"/>
        <v>4</v>
      </c>
      <c r="IS125" s="100">
        <f t="shared" si="36"/>
        <v>12</v>
      </c>
      <c r="IT125" s="100">
        <f t="shared" si="37"/>
        <v>15</v>
      </c>
      <c r="IU125" s="100">
        <f t="shared" si="38"/>
        <v>13</v>
      </c>
      <c r="IV125" s="100">
        <f t="shared" si="39"/>
        <v>13</v>
      </c>
      <c r="IW125" s="100">
        <f t="shared" si="40"/>
        <v>12</v>
      </c>
      <c r="IX125" s="100">
        <f t="shared" si="41"/>
        <v>8</v>
      </c>
      <c r="IY125" s="100">
        <f t="shared" si="42"/>
        <v>7</v>
      </c>
      <c r="IZ125" s="100">
        <f t="shared" si="43"/>
        <v>6</v>
      </c>
      <c r="JA125" s="100">
        <f t="shared" si="44"/>
        <v>5</v>
      </c>
      <c r="JB125" s="101">
        <f t="shared" si="45"/>
        <v>4</v>
      </c>
      <c r="JC125" s="102">
        <f t="shared" si="46"/>
        <v>95</v>
      </c>
      <c r="JD125" s="67">
        <f t="shared" si="50"/>
        <v>0</v>
      </c>
      <c r="JE125" s="67">
        <f t="shared" si="47"/>
        <v>0</v>
      </c>
      <c r="JF125" s="67">
        <f t="shared" si="48"/>
        <v>0</v>
      </c>
    </row>
    <row r="126">
      <c r="A126" s="104">
        <f>IFERROR(__xludf.DUMMYFUNCTION("""COMPUTED_VALUE"""),45969.3958821875)</f>
        <v>45969.39588</v>
      </c>
      <c r="B126" s="105" t="str">
        <f>IFERROR(__xludf.DUMMYFUNCTION("""COMPUTED_VALUE"""),"Mizan alghifary dizlilar")</f>
        <v>Mizan alghifary dizlilar</v>
      </c>
      <c r="C126" s="7" t="str">
        <f>IFERROR(__xludf.DUMMYFUNCTION("""COMPUTED_VALUE"""),"B250008")</f>
        <v>B250008</v>
      </c>
      <c r="D126" s="7" t="str">
        <f>IFERROR(__xludf.DUMMYFUNCTION("""COMPUTED_VALUE"""),"IL Putra")</f>
        <v>IL Putra</v>
      </c>
      <c r="E126" s="7" t="str">
        <f>IFERROR(__xludf.DUMMYFUNCTION("""COMPUTED_VALUE"""),"Ya")</f>
        <v>Ya</v>
      </c>
      <c r="F126" s="105" t="str">
        <f>IFERROR(__xludf.DUMMYFUNCTION("""COMPUTED_VALUE"""),"B Saya ingin melakukan apa saja sebaik mungkin.")</f>
        <v>B Saya ingin melakukan apa saja sebaik mungkin.</v>
      </c>
      <c r="G126" s="105" t="str">
        <f>IFERROR(__xludf.DUMMYFUNCTION("""COMPUTED_VALUE"""),"A Saya ingin setiap tulisan saya teliti, rapi, dan tersusun dengan baik.")</f>
        <v>A Saya ingin setiap tulisan saya teliti, rapi, dan tersusun dengan baik.</v>
      </c>
      <c r="H126" s="105" t="str">
        <f>IFERROR(__xludf.DUMMYFUNCTION("""COMPUTED_VALUE"""),"B Saya ingin menjadi orang yang diakui dalam suatu pekerjaan atau bidang khusus.")</f>
        <v>B Saya ingin menjadi orang yang diakui dalam suatu pekerjaan atau bidang khusus.</v>
      </c>
      <c r="I126" s="105" t="str">
        <f>IFERROR(__xludf.DUMMYFUNCTION("""COMPUTED_VALUE"""),"B Saya ingin bisa melakukan dengan baik meskipun tugas yang sulit.")</f>
        <v>B Saya ingin bisa melakukan dengan baik meskipun tugas yang sulit.</v>
      </c>
      <c r="J126" s="105" t="str">
        <f>IFERROR(__xludf.DUMMYFUNCTION("""COMPUTED_VALUE"""),"A Saya suka membantu teman-teman saya apabila mereka mengalami kesulitan.")</f>
        <v>A Saya suka membantu teman-teman saya apabila mereka mengalami kesulitan.</v>
      </c>
      <c r="K126" s="105" t="str">
        <f>IFERROR(__xludf.DUMMYFUNCTION("""COMPUTED_VALUE"""),"A Saya ingin menjadi pemimpin dalam suatu kelompok.")</f>
        <v>A Saya ingin menjadi pemimpin dalam suatu kelompok.</v>
      </c>
      <c r="L126" s="105" t="str">
        <f>IFERROR(__xludf.DUMMYFUNCTION("""COMPUTED_VALUE"""),"A Saya ingin menjadi pemimpin dalam suatu kelompok")</f>
        <v>A Saya ingin menjadi pemimpin dalam suatu kelompok</v>
      </c>
      <c r="M126" s="105" t="str">
        <f>IFERROR(__xludf.DUMMYFUNCTION("""COMPUTED_VALUE"""),"B Saya ingin mengerjakan segala tugas lebih baik daripada orang lain.")</f>
        <v>B Saya ingin mengerjakan segala tugas lebih baik daripada orang lain.</v>
      </c>
      <c r="N126" s="105" t="str">
        <f>IFERROR(__xludf.DUMMYFUNCTION("""COMPUTED_VALUE"""),"B Saya suka memecahkan persoalan yang sukar bagi orang lain.")</f>
        <v>B Saya suka memecahkan persoalan yang sukar bagi orang lain.</v>
      </c>
      <c r="O126" s="105" t="str">
        <f>IFERROR(__xludf.DUMMYFUNCTION("""COMPUTED_VALUE"""),"B Saya suka melakukan tugas sebaik mungkin.")</f>
        <v>B Saya suka melakukan tugas sebaik mungkin.</v>
      </c>
      <c r="P126" s="105" t="str">
        <f>IFERROR(__xludf.DUMMYFUNCTION("""COMPUTED_VALUE"""),"A Saya suka bercerita tentang hal-hal yang menegangkan atau menantang.")</f>
        <v>A Saya suka bercerita tentang hal-hal yang menegangkan atau menantang.</v>
      </c>
      <c r="Q126" s="105" t="str">
        <f>IFERROR(__xludf.DUMMYFUNCTION("""COMPUTED_VALUE"""),"B Saya merencanakan keperluan yang dibutuhkan sebelum bepergian.")</f>
        <v>B Saya merencanakan keperluan yang dibutuhkan sebelum bepergian.</v>
      </c>
      <c r="R126" s="105" t="str">
        <f>IFERROR(__xludf.DUMMYFUNCTION("""COMPUTED_VALUE"""),"B Saya suka barang-barang saya tersusun rapi dan teratur.")</f>
        <v>B Saya suka barang-barang saya tersusun rapi dan teratur.</v>
      </c>
      <c r="S126" s="105" t="str">
        <f>IFERROR(__xludf.DUMMYFUNCTION("""COMPUTED_VALUE"""),"A Saya ingin agar teman-teman pengertian bila saya mengalami kesukaran.")</f>
        <v>A Saya ingin agar teman-teman pengertian bila saya mengalami kesukaran.</v>
      </c>
      <c r="T126" s="105" t="str">
        <f>IFERROR(__xludf.DUMMYFUNCTION("""COMPUTED_VALUE"""),"B Saya ingin agar hidup saya teratur sesuai cita-cita saya.")</f>
        <v>B Saya ingin agar hidup saya teratur sesuai cita-cita saya.</v>
      </c>
      <c r="U126" s="105" t="str">
        <f>IFERROR(__xludf.DUMMYFUNCTION("""COMPUTED_VALUE"""),"A Saya suka memberikan bantuan kepada teman-teman saya.")</f>
        <v>A Saya suka memberikan bantuan kepada teman-teman saya.</v>
      </c>
      <c r="V126" s="105" t="str">
        <f>IFERROR(__xludf.DUMMYFUNCTION("""COMPUTED_VALUE"""),"B Saya suka belajar saya teratur dan ada waktu-waktu tertentu untuk belajar.")</f>
        <v>B Saya suka belajar saya teratur dan ada waktu-waktu tertentu untuk belajar.</v>
      </c>
      <c r="W126" s="105" t="str">
        <f>IFERROR(__xludf.DUMMYFUNCTION("""COMPUTED_VALUE"""),"B Saya ingin kegiatan itu teratur dan direncanakan.")</f>
        <v>B Saya ingin kegiatan itu teratur dan direncanakan.</v>
      </c>
      <c r="X126" s="105" t="str">
        <f>IFERROR(__xludf.DUMMYFUNCTION("""COMPUTED_VALUE"""),"B Saya ingin agar hidup saya teratur sesuai cita-cita saya.")</f>
        <v>B Saya ingin agar hidup saya teratur sesuai cita-cita saya.</v>
      </c>
      <c r="Y126" s="105" t="str">
        <f>IFERROR(__xludf.DUMMYFUNCTION("""COMPUTED_VALUE"""),"B Saya senang merencanakan untuk masa depan.")</f>
        <v>B Saya senang merencanakan untuk masa depan.</v>
      </c>
      <c r="Z126" s="105" t="str">
        <f>IFERROR(__xludf.DUMMYFUNCTION("""COMPUTED_VALUE"""),"B Saya ingin merasa bebas untuk melakukan apa yang saya inginkan.")</f>
        <v>B Saya ingin merasa bebas untuk melakukan apa yang saya inginkan.</v>
      </c>
      <c r="AA126" s="105" t="str">
        <f>IFERROR(__xludf.DUMMYFUNCTION("""COMPUTED_VALUE"""),"A Saya suka menyelesaikan tugas yang telah saya rencanakan.")</f>
        <v>A Saya suka menyelesaikan tugas yang telah saya rencanakan.</v>
      </c>
      <c r="AB126" s="105" t="str">
        <f>IFERROR(__xludf.DUMMYFUNCTION("""COMPUTED_VALUE"""),"A Saya ingin tidak tergantung dari orang lain terhadap apa yang akan saya lakukan.")</f>
        <v>A Saya ingin tidak tergantung dari orang lain terhadap apa yang akan saya lakukan.</v>
      </c>
      <c r="AC126" s="105" t="str">
        <f>IFERROR(__xludf.DUMMYFUNCTION("""COMPUTED_VALUE"""),"A Saya suka menyelesaikan setiap tugas meskipun membutuhkan waktu lama.")</f>
        <v>A Saya suka menyelesaikan setiap tugas meskipun membutuhkan waktu lama.</v>
      </c>
      <c r="AD126" s="105" t="str">
        <f>IFERROR(__xludf.DUMMYFUNCTION("""COMPUTED_VALUE"""),"B Saya suka menyatakan pendapat saya tentang berbagai hal.")</f>
        <v>B Saya suka menyatakan pendapat saya tentang berbagai hal.</v>
      </c>
      <c r="AE126" s="105" t="str">
        <f>IFERROR(__xludf.DUMMYFUNCTION("""COMPUTED_VALUE"""),"A Saya ingin dianggap sebagai pemimpin oleh teman di kelompok.")</f>
        <v>A Saya ingin dianggap sebagai pemimpin oleh teman di kelompok.</v>
      </c>
      <c r="AF126" s="105" t="str">
        <f>IFERROR(__xludf.DUMMYFUNCTION("""COMPUTED_VALUE"""),"B Saya suka melakukan hal-hal dengan cara saya sendiri.")</f>
        <v>B Saya suka melakukan hal-hal dengan cara saya sendiri.</v>
      </c>
      <c r="AG126" s="105" t="str">
        <f>IFERROR(__xludf.DUMMYFUNCTION("""COMPUTED_VALUE"""),"B Saya ingin berhasil dengan tugas yang saya lakukan.")</f>
        <v>B Saya ingin berhasil dengan tugas yang saya lakukan.</v>
      </c>
      <c r="AH126" s="105" t="str">
        <f>IFERROR(__xludf.DUMMYFUNCTION("""COMPUTED_VALUE"""),"B Saya ingin merasa bebas untuk melakukan apa yang saya kehendaki.")</f>
        <v>B Saya ingin merasa bebas untuk melakukan apa yang saya kehendaki.</v>
      </c>
      <c r="AI126" s="105" t="str">
        <f>IFERROR(__xludf.DUMMYFUNCTION("""COMPUTED_VALUE"""),"B Saya suka melakukan kegiatan sesuai kondisi yang saya inginkan.")</f>
        <v>B Saya suka melakukan kegiatan sesuai kondisi yang saya inginkan.</v>
      </c>
      <c r="AJ126" s="105" t="str">
        <f>IFERROR(__xludf.DUMMYFUNCTION("""COMPUTED_VALUE"""),"B Saya suka bertahan menghadapi satu masalah meskipun belum tentu berhasil.")</f>
        <v>B Saya suka bertahan menghadapi satu masalah meskipun belum tentu berhasil.</v>
      </c>
      <c r="AK126" s="105" t="str">
        <f>IFERROR(__xludf.DUMMYFUNCTION("""COMPUTED_VALUE"""),"A Saya suka bercerita tentang hal-hal pribadi yang seharusnya tidak perlu diketahui orang lain.")</f>
        <v>A Saya suka bercerita tentang hal-hal pribadi yang seharusnya tidak perlu diketahui orang lain.</v>
      </c>
      <c r="AL126" s="105" t="str">
        <f>IFERROR(__xludf.DUMMYFUNCTION("""COMPUTED_VALUE"""),"B Saya ingin menghindarkan gangguan bila saya sedang belajar.")</f>
        <v>B Saya ingin menghindarkan gangguan bila saya sedang belajar.</v>
      </c>
      <c r="AM126" s="105" t="str">
        <f>IFERROR(__xludf.DUMMYFUNCTION("""COMPUTED_VALUE"""),"B Saya suka belajar sampai malam untuk menyelesaikan suatu tugas.")</f>
        <v>B Saya suka belajar sampai malam untuk menyelesaikan suatu tugas.</v>
      </c>
      <c r="AN126" s="105" t="str">
        <f>IFERROR(__xludf.DUMMYFUNCTION("""COMPUTED_VALUE"""),"B Saya ingin bekerja berjam-jam tanpa diganggu.")</f>
        <v>B Saya ingin bekerja berjam-jam tanpa diganggu.</v>
      </c>
      <c r="AO126" s="105" t="str">
        <f>IFERROR(__xludf.DUMMYFUNCTION("""COMPUTED_VALUE"""),"A Saya suka berlaku sangat ramah terhadap teman-teman saya.")</f>
        <v>A Saya suka berlaku sangat ramah terhadap teman-teman saya.</v>
      </c>
      <c r="AP126" s="105" t="str">
        <f>IFERROR(__xludf.DUMMYFUNCTION("""COMPUTED_VALUE"""),"A Saya ingin mengerjakannya tugas sampai selesai.")</f>
        <v>A Saya ingin mengerjakannya tugas sampai selesai.</v>
      </c>
      <c r="AQ126" s="105" t="str">
        <f>IFERROR(__xludf.DUMMYFUNCTION("""COMPUTED_VALUE"""),"A Saya ingin bisa mengerjakan segala sesuatu lebih baik daripada orang-orang lain.")</f>
        <v>A Saya ingin bisa mengerjakan segala sesuatu lebih baik daripada orang-orang lain.</v>
      </c>
      <c r="AR126" s="105" t="str">
        <f>IFERROR(__xludf.DUMMYFUNCTION("""COMPUTED_VALUE"""),"B Saya suka belajar keras pada tiap pelajaran yang saya hadapi.")</f>
        <v>B Saya suka belajar keras pada tiap pelajaran yang saya hadapi.</v>
      </c>
      <c r="AS126" s="105" t="str">
        <f>IFERROR(__xludf.DUMMYFUNCTION("""COMPUTED_VALUE"""),"A Saya ingin dapat menyelesaikan persoalan yang dianggap sukar bagi orang lain.")</f>
        <v>A Saya ingin dapat menyelesaikan persoalan yang dianggap sukar bagi orang lain.</v>
      </c>
      <c r="AT126" s="105" t="str">
        <f>IFERROR(__xludf.DUMMYFUNCTION("""COMPUTED_VALUE"""),"A Saya ingin bisa melakukan dengan baik sesuatu pekerjaan sulit.")</f>
        <v>A Saya ingin bisa melakukan dengan baik sesuatu pekerjaan sulit.</v>
      </c>
      <c r="AU126" s="105" t="str">
        <f>IFERROR(__xludf.DUMMYFUNCTION("""COMPUTED_VALUE"""),"B Saya suka bermurah hati terhadap teman-teman saya.")</f>
        <v>B Saya suka bermurah hati terhadap teman-teman saya.</v>
      </c>
      <c r="AV126" s="105" t="str">
        <f>IFERROR(__xludf.DUMMYFUNCTION("""COMPUTED_VALUE"""),"B Saya suka menolong teman-teman saya.")</f>
        <v>B Saya suka menolong teman-teman saya.</v>
      </c>
      <c r="AW126" s="105" t="str">
        <f>IFERROR(__xludf.DUMMYFUNCTION("""COMPUTED_VALUE"""),"B Saya ingin teman-teman saya percaya bahwa saya bisa menolong mereka.")</f>
        <v>B Saya ingin teman-teman saya percaya bahwa saya bisa menolong mereka.</v>
      </c>
      <c r="AX126" s="105" t="str">
        <f>IFERROR(__xludf.DUMMYFUNCTION("""COMPUTED_VALUE"""),"B Saya suka memaafkan teman-teman saya yang menyakiti hati saya.")</f>
        <v>B Saya suka memaafkan teman-teman saya yang menyakiti hati saya.</v>
      </c>
      <c r="AY126" s="105" t="str">
        <f>IFERROR(__xludf.DUMMYFUNCTION("""COMPUTED_VALUE"""),"A Saya rasanya ingin marah saat tidak sesuai dengan hati.")</f>
        <v>A Saya rasanya ingin marah saat tidak sesuai dengan hati.</v>
      </c>
      <c r="AZ126" s="105" t="str">
        <f>IFERROR(__xludf.DUMMYFUNCTION("""COMPUTED_VALUE"""),"A Saya ingin agar teman-teman saya bersimpati dan menghibur saya bila saya sedih.")</f>
        <v>A Saya ingin agar teman-teman saya bersimpati dan menghibur saya bila saya sedih.</v>
      </c>
      <c r="BA126" s="105" t="str">
        <f>IFERROR(__xludf.DUMMYFUNCTION("""COMPUTED_VALUE"""),"B Saya suka memperlakukan orang lain dengan baik dan ramah.")</f>
        <v>B Saya suka memperlakukan orang lain dengan baik dan ramah.</v>
      </c>
      <c r="BB126" s="105" t="str">
        <f>IFERROR(__xludf.DUMMYFUNCTION("""COMPUTED_VALUE"""),"B Saya suka bermurah hati terhadap teman-teman saya.")</f>
        <v>B Saya suka bermurah hati terhadap teman-teman saya.</v>
      </c>
      <c r="BC126" s="105" t="str">
        <f>IFERROR(__xludf.DUMMYFUNCTION("""COMPUTED_VALUE"""),"A Saya rasanya ingin mengecam seseorang bila orang itu menjengkelkan.")</f>
        <v>A Saya rasanya ingin mengecam seseorang bila orang itu menjengkelkan.</v>
      </c>
      <c r="BD126" s="105" t="str">
        <f>IFERROR(__xludf.DUMMYFUNCTION("""COMPUTED_VALUE"""),"B Saya suka bersikukuh dengan pendirian saya.")</f>
        <v>B Saya suka bersikukuh dengan pendirian saya.</v>
      </c>
      <c r="BE126" s="105" t="str">
        <f>IFERROR(__xludf.DUMMYFUNCTION("""COMPUTED_VALUE"""),"A Saya suka mendengarkan atau menceritakan hal-hal yang sebaiknya tidak diceritakan.")</f>
        <v>A Saya suka mendengarkan atau menceritakan hal-hal yang sebaiknya tidak diceritakan.</v>
      </c>
      <c r="BF126" s="105" t="str">
        <f>IFERROR(__xludf.DUMMYFUNCTION("""COMPUTED_VALUE"""),"B Bila saya dalam kelompok, saya ingin menentukan apa yang akan kita lakukan.")</f>
        <v>B Bila saya dalam kelompok, saya ingin menentukan apa yang akan kita lakukan.</v>
      </c>
      <c r="BG126" s="105" t="str">
        <f>IFERROR(__xludf.DUMMYFUNCTION("""COMPUTED_VALUE"""),"A Saya ingin teman-teman banyak menunjukkan rasa sayang mereka terhadap saya.")</f>
        <v>A Saya ingin teman-teman banyak menunjukkan rasa sayang mereka terhadap saya.</v>
      </c>
      <c r="BH126" s="105" t="str">
        <f>IFERROR(__xludf.DUMMYFUNCTION("""COMPUTED_VALUE"""),"B Apabila saya berkumpul dalam kelompok, saya ingin dihargai teman-teman.")</f>
        <v>B Apabila saya berkumpul dalam kelompok, saya ingin dihargai teman-teman.</v>
      </c>
      <c r="BI126" s="105" t="str">
        <f>IFERROR(__xludf.DUMMYFUNCTION("""COMPUTED_VALUE"""),"A Saya suka bermurah hati terhadap teman-teman saya.")</f>
        <v>A Saya suka bermurah hati terhadap teman-teman saya.</v>
      </c>
      <c r="BJ126" s="105" t="str">
        <f>IFERROR(__xludf.DUMMYFUNCTION("""COMPUTED_VALUE"""),"A Saya ingin mengerjakan tugas sampai selesai.")</f>
        <v>A Saya ingin mengerjakan tugas sampai selesai.</v>
      </c>
      <c r="BK126" s="105" t="str">
        <f>IFERROR(__xludf.DUMMYFUNCTION("""COMPUTED_VALUE"""),"A Saya ingin menyelesaikan pekerjaan satu persatu sebelum memulai yang lain.")</f>
        <v>A Saya ingin menyelesaikan pekerjaan satu persatu sebelum memulai yang lain.</v>
      </c>
      <c r="BL126" s="105" t="str">
        <f>IFERROR(__xludf.DUMMYFUNCTION("""COMPUTED_VALUE"""),"B Saya suka bersikukuh dengan pendirian saya.")</f>
        <v>B Saya suka bersikukuh dengan pendirian saya.</v>
      </c>
      <c r="BM126" s="105" t="str">
        <f>IFERROR(__xludf.DUMMYFUNCTION("""COMPUTED_VALUE"""),"A Saya suka melakukan pekerjaan sebaik mungkin.")</f>
        <v>A Saya suka melakukan pekerjaan sebaik mungkin.</v>
      </c>
      <c r="BN126" s="105" t="str">
        <f>IFERROR(__xludf.DUMMYFUNCTION("""COMPUTED_VALUE"""),"B Saya ingin teman-teman memberi dorongan bila saya menghadapi kegagalan.")</f>
        <v>B Saya ingin teman-teman memberi dorongan bila saya menghadapi kegagalan.</v>
      </c>
      <c r="BO126" s="105" t="str">
        <f>IFERROR(__xludf.DUMMYFUNCTION("""COMPUTED_VALUE"""),"B Saya ingin diperlakukan dengan baik oleh teman-teman saya.")</f>
        <v>B Saya ingin diperlakukan dengan baik oleh teman-teman saya.</v>
      </c>
      <c r="BP126" s="105" t="str">
        <f>IFERROR(__xludf.DUMMYFUNCTION("""COMPUTED_VALUE"""),"A Saya ingin menyelesaikan sesuatu yang sangat penting artinya.")</f>
        <v>A Saya ingin menyelesaikan sesuatu yang sangat penting artinya.</v>
      </c>
      <c r="BQ126" s="105" t="str">
        <f>IFERROR(__xludf.DUMMYFUNCTION("""COMPUTED_VALUE"""),"A Saya ingin mengerjakannya tugas sampai selesai.")</f>
        <v>A Saya ingin mengerjakannya tugas sampai selesai.</v>
      </c>
      <c r="BR126" s="105" t="str">
        <f>IFERROR(__xludf.DUMMYFUNCTION("""COMPUTED_VALUE"""),"B Saya ingin agar teman-teman saya bersimpati dan menghibur saya bila saya sedih.")</f>
        <v>B Saya ingin agar teman-teman saya bersimpati dan menghibur saya bila saya sedih.</v>
      </c>
      <c r="BS126" s="105" t="str">
        <f>IFERROR(__xludf.DUMMYFUNCTION("""COMPUTED_VALUE"""),"B Saya ingin teman-teman saya membantu saya bila saya mengalami kesulitan")</f>
        <v>B Saya ingin teman-teman saya membantu saya bila saya mengalami kesulitan</v>
      </c>
      <c r="BT126" s="105" t="str">
        <f>IFERROR(__xludf.DUMMYFUNCTION("""COMPUTED_VALUE"""),"B Saya ingin teman-teman banyak menunjukkan rasa sayang mereka terhadap saya.")</f>
        <v>B Saya ingin teman-teman banyak menunjukkan rasa sayang mereka terhadap saya.</v>
      </c>
      <c r="BU126" s="105" t="str">
        <f>IFERROR(__xludf.DUMMYFUNCTION("""COMPUTED_VALUE"""),"B Saya ingin agar teman-teman saya merasa kasihan pada saya apabila saya sakit.")</f>
        <v>B Saya ingin agar teman-teman saya merasa kasihan pada saya apabila saya sakit.</v>
      </c>
      <c r="BV126" s="105" t="str">
        <f>IFERROR(__xludf.DUMMYFUNCTION("""COMPUTED_VALUE"""),"B Saya ingin teman-teman dengan gembira memberikan pertolongan kepada saya.")</f>
        <v>B Saya ingin teman-teman dengan gembira memberikan pertolongan kepada saya.</v>
      </c>
      <c r="BW126" s="105" t="str">
        <f>IFERROR(__xludf.DUMMYFUNCTION("""COMPUTED_VALUE"""),"B Saya ingin diperlakukan dengan baik oleh teman-teman saya.")</f>
        <v>B Saya ingin diperlakukan dengan baik oleh teman-teman saya.</v>
      </c>
      <c r="BX126" s="105" t="str">
        <f>IFERROR(__xludf.DUMMYFUNCTION("""COMPUTED_VALUE"""),"B Saya kadang-kadang suka melakukan hal-hal yang dapat dipuji oleh orang lain.")</f>
        <v>B Saya kadang-kadang suka melakukan hal-hal yang dapat dipuji oleh orang lain.</v>
      </c>
      <c r="BY126" s="105" t="str">
        <f>IFERROR(__xludf.DUMMYFUNCTION("""COMPUTED_VALUE"""),"A Saya suka melamun atau membayangkan hal-hal yang tidak jelas.")</f>
        <v>A Saya suka melamun atau membayangkan hal-hal yang tidak jelas.</v>
      </c>
      <c r="BZ126" s="105" t="str">
        <f>IFERROR(__xludf.DUMMYFUNCTION("""COMPUTED_VALUE"""),"A Saya suka berkata yang artinya sulit dipahami oleh orang lain.")</f>
        <v>A Saya suka berkata yang artinya sulit dipahami oleh orang lain.</v>
      </c>
      <c r="CA126" s="105" t="str">
        <f>IFERROR(__xludf.DUMMYFUNCTION("""COMPUTED_VALUE"""),"A Saya ingin teman-teman dengan gembira memberikan pertolongan kepada saya.")</f>
        <v>A Saya ingin teman-teman dengan gembira memberikan pertolongan kepada saya.</v>
      </c>
      <c r="CB126" s="105" t="str">
        <f>IFERROR(__xludf.DUMMYFUNCTION("""COMPUTED_VALUE"""),"B Saya suka berbicara tentang hal-hal yang telah saya capai.")</f>
        <v>B Saya suka berbicara tentang hal-hal yang telah saya capai.</v>
      </c>
      <c r="CC126" s="105" t="str">
        <f>IFERROR(__xludf.DUMMYFUNCTION("""COMPUTED_VALUE"""),"A Apabila saya berkumpul dalam kelompok, saya ingin dihargai teman-teman.")</f>
        <v>A Apabila saya berkumpul dalam kelompok, saya ingin dihargai teman-teman.</v>
      </c>
      <c r="CD126" s="105" t="str">
        <f>IFERROR(__xludf.DUMMYFUNCTION("""COMPUTED_VALUE"""),"A Saya suka menyelesaikan setiap tugas meskipun membutuhkan waktu lama.")</f>
        <v>A Saya suka menyelesaikan setiap tugas meskipun membutuhkan waktu lama.</v>
      </c>
      <c r="CE126" s="105" t="str">
        <f>IFERROR(__xludf.DUMMYFUNCTION("""COMPUTED_VALUE"""),"A Saya suka menyelesaikan setiap tugas belajar yang telah saya mulai.")</f>
        <v>A Saya suka menyelesaikan setiap tugas belajar yang telah saya mulai.</v>
      </c>
      <c r="CF126" s="105" t="str">
        <f>IFERROR(__xludf.DUMMYFUNCTION("""COMPUTED_VALUE"""),"A Saya ingin agar hidup saya teratur sesuai cita-cita saya.")</f>
        <v>A Saya ingin agar hidup saya teratur sesuai cita-cita saya.</v>
      </c>
      <c r="CG126" s="105" t="str">
        <f>IFERROR(__xludf.DUMMYFUNCTION("""COMPUTED_VALUE"""),"A Saya ingin berhasil dalam apa yang saya lakukan.")</f>
        <v>A Saya ingin berhasil dalam apa yang saya lakukan.</v>
      </c>
      <c r="CH126" s="105" t="str">
        <f>IFERROR(__xludf.DUMMYFUNCTION("""COMPUTED_VALUE"""),"A Saya ingin bisa melakukan dengan baik sesuatu pekerjaan sulit.")</f>
        <v>A Saya ingin bisa melakukan dengan baik sesuatu pekerjaan sulit.</v>
      </c>
      <c r="CI126" s="105" t="str">
        <f>IFERROR(__xludf.DUMMYFUNCTION("""COMPUTED_VALUE"""),"A Saya suka belajar saya teratur dan ada waktu-waktu tertentu untuk belajar.")</f>
        <v>A Saya suka belajar saya teratur dan ada waktu-waktu tertentu untuk belajar.</v>
      </c>
      <c r="CJ126" s="105" t="str">
        <f>IFERROR(__xludf.DUMMYFUNCTION("""COMPUTED_VALUE"""),"B Saya suka kalau bercerita tentang hal-hal pribadi yang seharusnya tidak perlu diketahui orang lain.")</f>
        <v>B Saya suka kalau bercerita tentang hal-hal pribadi yang seharusnya tidak perlu diketahui orang lain.</v>
      </c>
      <c r="CK126" s="105" t="str">
        <f>IFERROR(__xludf.DUMMYFUNCTION("""COMPUTED_VALUE"""),"A Saya suka bertahan menghadapi satu masalah, meskipun belum tentu berhasil.")</f>
        <v>A Saya suka bertahan menghadapi satu masalah, meskipun belum tentu berhasil.</v>
      </c>
      <c r="CL126" s="105" t="str">
        <f>IFERROR(__xludf.DUMMYFUNCTION("""COMPUTED_VALUE"""),"A Saya suka menolong teman-teman saya, apabila mereka dalam kesulitan.")</f>
        <v>A Saya suka menolong teman-teman saya, apabila mereka dalam kesulitan.</v>
      </c>
      <c r="CM126" s="105" t="str">
        <f>IFERROR(__xludf.DUMMYFUNCTION("""COMPUTED_VALUE"""),"A Saya ingin ditunjuk atau dipilih sebagai ketua dalam suatu kelompok.")</f>
        <v>A Saya ingin ditunjuk atau dipilih sebagai ketua dalam suatu kelompok.</v>
      </c>
      <c r="CN126" s="105" t="str">
        <f>IFERROR(__xludf.DUMMYFUNCTION("""COMPUTED_VALUE"""),"A Saya ingin diperlakukan dengan baik oleh teman-teman saya.")</f>
        <v>A Saya ingin diperlakukan dengan baik oleh teman-teman saya.</v>
      </c>
      <c r="CO126" s="105" t="str">
        <f>IFERROR(__xludf.DUMMYFUNCTION("""COMPUTED_VALUE"""),"B Saya suka memuji orang yang saya kagumi.")</f>
        <v>B Saya suka memuji orang yang saya kagumi.</v>
      </c>
      <c r="CP126" s="105" t="str">
        <f>IFERROR(__xludf.DUMMYFUNCTION("""COMPUTED_VALUE"""),"A Saya suka melamun atau membayangkan sesuatu sendirian.")</f>
        <v>A Saya suka melamun atau membayangkan sesuatu sendirian.</v>
      </c>
      <c r="CQ126" s="105" t="str">
        <f>IFERROR(__xludf.DUMMYFUNCTION("""COMPUTED_VALUE"""),"B Saya merasa kagum pada seseorang.")</f>
        <v>B Saya merasa kagum pada seseorang.</v>
      </c>
      <c r="CR126" s="105" t="str">
        <f>IFERROR(__xludf.DUMMYFUNCTION("""COMPUTED_VALUE"""),"B Saya rasanya ingin mengecam seseorang bila orang itu menjengkelkan.")</f>
        <v>B Saya rasanya ingin mengecam seseorang bila orang itu menjengkelkan.</v>
      </c>
      <c r="CS126" s="105" t="str">
        <f>IFERROR(__xludf.DUMMYFUNCTION("""COMPUTED_VALUE"""),"B Saya rasanya ingin membalas dendam bila seseorang menghina saya.")</f>
        <v>B Saya rasanya ingin membalas dendam bila seseorang menghina saya.</v>
      </c>
      <c r="CT126" s="105" t="str">
        <f>IFERROR(__xludf.DUMMYFUNCTION("""COMPUTED_VALUE"""),"B Saya saat marah rasanya ingin melemparkan dan merusak barang-barang.")</f>
        <v>B Saya saat marah rasanya ingin melemparkan dan merusak barang-barang.</v>
      </c>
      <c r="CU126" s="105" t="str">
        <f>IFERROR(__xludf.DUMMYFUNCTION("""COMPUTED_VALUE"""),"A Saya ingin diperlakukan dengan ramah oleh teman-teman saya.")</f>
        <v>A Saya ingin diperlakukan dengan ramah oleh teman-teman saya.</v>
      </c>
      <c r="CV126" s="105" t="str">
        <f>IFERROR(__xludf.DUMMYFUNCTION("""COMPUTED_VALUE"""),"A Saya ingin ditunjuk atau dipilih sebagai ketua dalam suatu kelompok.")</f>
        <v>A Saya ingin ditunjuk atau dipilih sebagai ketua dalam suatu kelompok.</v>
      </c>
      <c r="CW126" s="105" t="str">
        <f>IFERROR(__xludf.DUMMYFUNCTION("""COMPUTED_VALUE"""),"B Saya mengatakan kepada orang lain bagaimana pendapat saya terhadap mereka.")</f>
        <v>B Saya mengatakan kepada orang lain bagaimana pendapat saya terhadap mereka.</v>
      </c>
      <c r="CX126" s="105" t="str">
        <f>IFERROR(__xludf.DUMMYFUNCTION("""COMPUTED_VALUE"""),"A Saya suka belajar sampai malam untuk menyelesaikan suatu tugas.")</f>
        <v>A Saya suka belajar sampai malam untuk menyelesaikan suatu tugas.</v>
      </c>
      <c r="CY126" s="105" t="str">
        <f>IFERROR(__xludf.DUMMYFUNCTION("""COMPUTED_VALUE"""),"A Saya ingin tidak tergantung dari orang lain terhadap apa yang akan saya lakukan.")</f>
        <v>A Saya ingin tidak tergantung dari orang lain terhadap apa yang akan saya lakukan.</v>
      </c>
      <c r="CZ126" s="105" t="str">
        <f>IFERROR(__xludf.DUMMYFUNCTION("""COMPUTED_VALUE"""),"A Saya suka merencanakan dan mengatur setiap pekerjaan yang harus saya lakukan.")</f>
        <v>A Saya suka merencanakan dan mengatur setiap pekerjaan yang harus saya lakukan.</v>
      </c>
      <c r="DA126" s="105" t="str">
        <f>IFERROR(__xludf.DUMMYFUNCTION("""COMPUTED_VALUE"""),"A Saya ingin melakukan apa saja sebaik mungkin.")</f>
        <v>A Saya ingin melakukan apa saja sebaik mungkin.</v>
      </c>
      <c r="DB126" s="89" t="s">
        <v>23</v>
      </c>
      <c r="DC126" s="97" t="str">
        <f t="shared" ref="DC126:GX126" si="171">LEFT(F126,1)</f>
        <v>B</v>
      </c>
      <c r="DD126" s="97" t="str">
        <f t="shared" si="171"/>
        <v>A</v>
      </c>
      <c r="DE126" s="97" t="str">
        <f t="shared" si="171"/>
        <v>B</v>
      </c>
      <c r="DF126" s="97" t="str">
        <f t="shared" si="171"/>
        <v>B</v>
      </c>
      <c r="DG126" s="97" t="str">
        <f t="shared" si="171"/>
        <v>A</v>
      </c>
      <c r="DH126" s="97" t="str">
        <f t="shared" si="171"/>
        <v>A</v>
      </c>
      <c r="DI126" s="97" t="str">
        <f t="shared" si="171"/>
        <v>A</v>
      </c>
      <c r="DJ126" s="97" t="str">
        <f t="shared" si="171"/>
        <v>B</v>
      </c>
      <c r="DK126" s="97" t="str">
        <f t="shared" si="171"/>
        <v>B</v>
      </c>
      <c r="DL126" s="97" t="str">
        <f t="shared" si="171"/>
        <v>B</v>
      </c>
      <c r="DM126" s="97" t="str">
        <f t="shared" si="171"/>
        <v>A</v>
      </c>
      <c r="DN126" s="97" t="str">
        <f t="shared" si="171"/>
        <v>B</v>
      </c>
      <c r="DO126" s="97" t="str">
        <f t="shared" si="171"/>
        <v>B</v>
      </c>
      <c r="DP126" s="97" t="str">
        <f t="shared" si="171"/>
        <v>A</v>
      </c>
      <c r="DQ126" s="97" t="str">
        <f t="shared" si="171"/>
        <v>B</v>
      </c>
      <c r="DR126" s="97" t="str">
        <f t="shared" si="171"/>
        <v>A</v>
      </c>
      <c r="DS126" s="97" t="str">
        <f t="shared" si="171"/>
        <v>B</v>
      </c>
      <c r="DT126" s="97" t="str">
        <f t="shared" si="171"/>
        <v>B</v>
      </c>
      <c r="DU126" s="97" t="str">
        <f t="shared" si="171"/>
        <v>B</v>
      </c>
      <c r="DV126" s="97" t="str">
        <f t="shared" si="171"/>
        <v>B</v>
      </c>
      <c r="DW126" s="97" t="str">
        <f t="shared" si="171"/>
        <v>B</v>
      </c>
      <c r="DX126" s="97" t="str">
        <f t="shared" si="171"/>
        <v>A</v>
      </c>
      <c r="DY126" s="97" t="str">
        <f t="shared" si="171"/>
        <v>A</v>
      </c>
      <c r="DZ126" s="97" t="str">
        <f t="shared" si="171"/>
        <v>A</v>
      </c>
      <c r="EA126" s="97" t="str">
        <f t="shared" si="171"/>
        <v>B</v>
      </c>
      <c r="EB126" s="97" t="str">
        <f t="shared" si="171"/>
        <v>A</v>
      </c>
      <c r="EC126" s="97" t="str">
        <f t="shared" si="171"/>
        <v>B</v>
      </c>
      <c r="ED126" s="97" t="str">
        <f t="shared" si="171"/>
        <v>B</v>
      </c>
      <c r="EE126" s="97" t="str">
        <f t="shared" si="171"/>
        <v>B</v>
      </c>
      <c r="EF126" s="97" t="str">
        <f t="shared" si="171"/>
        <v>B</v>
      </c>
      <c r="EG126" s="97" t="str">
        <f t="shared" si="171"/>
        <v>B</v>
      </c>
      <c r="EH126" s="97" t="str">
        <f t="shared" si="171"/>
        <v>A</v>
      </c>
      <c r="EI126" s="97" t="str">
        <f t="shared" si="171"/>
        <v>B</v>
      </c>
      <c r="EJ126" s="97" t="str">
        <f t="shared" si="171"/>
        <v>B</v>
      </c>
      <c r="EK126" s="97" t="str">
        <f t="shared" si="171"/>
        <v>B</v>
      </c>
      <c r="EL126" s="97" t="str">
        <f t="shared" si="171"/>
        <v>A</v>
      </c>
      <c r="EM126" s="97" t="str">
        <f t="shared" si="171"/>
        <v>A</v>
      </c>
      <c r="EN126" s="97" t="str">
        <f t="shared" si="171"/>
        <v>A</v>
      </c>
      <c r="EO126" s="97" t="str">
        <f t="shared" si="171"/>
        <v>B</v>
      </c>
      <c r="EP126" s="97" t="str">
        <f t="shared" si="171"/>
        <v>A</v>
      </c>
      <c r="EQ126" s="97" t="str">
        <f t="shared" si="171"/>
        <v>A</v>
      </c>
      <c r="ER126" s="97" t="str">
        <f t="shared" si="171"/>
        <v>B</v>
      </c>
      <c r="ES126" s="97" t="str">
        <f t="shared" si="171"/>
        <v>B</v>
      </c>
      <c r="ET126" s="97" t="str">
        <f t="shared" si="171"/>
        <v>B</v>
      </c>
      <c r="EU126" s="97" t="str">
        <f t="shared" si="171"/>
        <v>B</v>
      </c>
      <c r="EV126" s="97" t="str">
        <f t="shared" si="171"/>
        <v>A</v>
      </c>
      <c r="EW126" s="97" t="str">
        <f t="shared" si="171"/>
        <v>A</v>
      </c>
      <c r="EX126" s="97" t="str">
        <f t="shared" si="171"/>
        <v>B</v>
      </c>
      <c r="EY126" s="97" t="str">
        <f t="shared" si="171"/>
        <v>B</v>
      </c>
      <c r="EZ126" s="97" t="str">
        <f t="shared" si="171"/>
        <v>A</v>
      </c>
      <c r="FA126" s="97" t="str">
        <f t="shared" si="171"/>
        <v>B</v>
      </c>
      <c r="FB126" s="97" t="str">
        <f t="shared" si="171"/>
        <v>A</v>
      </c>
      <c r="FC126" s="97" t="str">
        <f t="shared" si="171"/>
        <v>B</v>
      </c>
      <c r="FD126" s="97" t="str">
        <f t="shared" si="171"/>
        <v>A</v>
      </c>
      <c r="FE126" s="97" t="str">
        <f t="shared" si="171"/>
        <v>B</v>
      </c>
      <c r="FF126" s="97" t="str">
        <f t="shared" si="171"/>
        <v>A</v>
      </c>
      <c r="FG126" s="97" t="str">
        <f t="shared" si="171"/>
        <v>A</v>
      </c>
      <c r="FH126" s="97" t="str">
        <f t="shared" si="171"/>
        <v>A</v>
      </c>
      <c r="FI126" s="97" t="str">
        <f t="shared" si="171"/>
        <v>B</v>
      </c>
      <c r="FJ126" s="97" t="str">
        <f t="shared" si="171"/>
        <v>A</v>
      </c>
      <c r="FK126" s="97" t="str">
        <f t="shared" si="171"/>
        <v>B</v>
      </c>
      <c r="FL126" s="97" t="str">
        <f t="shared" si="171"/>
        <v>B</v>
      </c>
      <c r="FM126" s="97" t="str">
        <f t="shared" si="171"/>
        <v>A</v>
      </c>
      <c r="FN126" s="97" t="str">
        <f t="shared" si="171"/>
        <v>A</v>
      </c>
      <c r="FO126" s="97" t="str">
        <f t="shared" si="171"/>
        <v>B</v>
      </c>
      <c r="FP126" s="97" t="str">
        <f t="shared" si="171"/>
        <v>B</v>
      </c>
      <c r="FQ126" s="97" t="str">
        <f t="shared" si="171"/>
        <v>B</v>
      </c>
      <c r="FR126" s="97" t="str">
        <f t="shared" si="171"/>
        <v>B</v>
      </c>
      <c r="FS126" s="97" t="str">
        <f t="shared" si="171"/>
        <v>B</v>
      </c>
      <c r="FT126" s="97" t="str">
        <f t="shared" si="171"/>
        <v>B</v>
      </c>
      <c r="FU126" s="97" t="str">
        <f t="shared" si="171"/>
        <v>B</v>
      </c>
      <c r="FV126" s="97" t="str">
        <f t="shared" si="171"/>
        <v>A</v>
      </c>
      <c r="FW126" s="97" t="str">
        <f t="shared" si="171"/>
        <v>A</v>
      </c>
      <c r="FX126" s="97" t="str">
        <f t="shared" si="171"/>
        <v>A</v>
      </c>
      <c r="FY126" s="97" t="str">
        <f t="shared" si="171"/>
        <v>B</v>
      </c>
      <c r="FZ126" s="97" t="str">
        <f t="shared" si="171"/>
        <v>A</v>
      </c>
      <c r="GA126" s="97" t="str">
        <f t="shared" si="171"/>
        <v>A</v>
      </c>
      <c r="GB126" s="97" t="str">
        <f t="shared" si="171"/>
        <v>A</v>
      </c>
      <c r="GC126" s="97" t="str">
        <f t="shared" si="171"/>
        <v>A</v>
      </c>
      <c r="GD126" s="97" t="str">
        <f t="shared" si="171"/>
        <v>A</v>
      </c>
      <c r="GE126" s="97" t="str">
        <f t="shared" si="171"/>
        <v>A</v>
      </c>
      <c r="GF126" s="97" t="str">
        <f t="shared" si="171"/>
        <v>A</v>
      </c>
      <c r="GG126" s="97" t="str">
        <f t="shared" si="171"/>
        <v>B</v>
      </c>
      <c r="GH126" s="97" t="str">
        <f t="shared" si="171"/>
        <v>A</v>
      </c>
      <c r="GI126" s="97" t="str">
        <f t="shared" si="171"/>
        <v>A</v>
      </c>
      <c r="GJ126" s="97" t="str">
        <f t="shared" si="171"/>
        <v>A</v>
      </c>
      <c r="GK126" s="97" t="str">
        <f t="shared" si="171"/>
        <v>A</v>
      </c>
      <c r="GL126" s="97" t="str">
        <f t="shared" si="171"/>
        <v>B</v>
      </c>
      <c r="GM126" s="97" t="str">
        <f t="shared" si="171"/>
        <v>A</v>
      </c>
      <c r="GN126" s="97" t="str">
        <f t="shared" si="171"/>
        <v>B</v>
      </c>
      <c r="GO126" s="97" t="str">
        <f t="shared" si="171"/>
        <v>B</v>
      </c>
      <c r="GP126" s="97" t="str">
        <f t="shared" si="171"/>
        <v>B</v>
      </c>
      <c r="GQ126" s="97" t="str">
        <f t="shared" si="171"/>
        <v>B</v>
      </c>
      <c r="GR126" s="97" t="str">
        <f t="shared" si="171"/>
        <v>A</v>
      </c>
      <c r="GS126" s="97" t="str">
        <f t="shared" si="171"/>
        <v>A</v>
      </c>
      <c r="GT126" s="97" t="str">
        <f t="shared" si="171"/>
        <v>B</v>
      </c>
      <c r="GU126" s="97" t="str">
        <f t="shared" si="171"/>
        <v>A</v>
      </c>
      <c r="GV126" s="97" t="str">
        <f t="shared" si="171"/>
        <v>A</v>
      </c>
      <c r="GW126" s="97" t="str">
        <f t="shared" si="171"/>
        <v>A</v>
      </c>
      <c r="GX126" s="97" t="str">
        <f t="shared" si="171"/>
        <v>A</v>
      </c>
      <c r="GY126" s="98"/>
      <c r="GZ126" s="97">
        <f t="shared" si="3"/>
        <v>49</v>
      </c>
      <c r="HA126" s="97">
        <f t="shared" si="4"/>
        <v>51</v>
      </c>
      <c r="HB126" s="90">
        <f t="shared" si="5"/>
        <v>100</v>
      </c>
      <c r="HC126" s="99"/>
      <c r="HD126" s="97">
        <f t="shared" si="6"/>
        <v>6</v>
      </c>
      <c r="HE126" s="97">
        <f t="shared" si="7"/>
        <v>5</v>
      </c>
      <c r="HF126" s="90">
        <f t="shared" si="8"/>
        <v>11</v>
      </c>
      <c r="HG126" s="99"/>
      <c r="HH126" s="97">
        <f t="shared" si="9"/>
        <v>5</v>
      </c>
      <c r="HI126" s="97">
        <f t="shared" si="10"/>
        <v>7</v>
      </c>
      <c r="HJ126" s="90">
        <f t="shared" si="11"/>
        <v>12</v>
      </c>
      <c r="HK126" s="99"/>
      <c r="HL126" s="97">
        <f t="shared" si="12"/>
        <v>5</v>
      </c>
      <c r="HM126" s="97">
        <f t="shared" si="13"/>
        <v>6</v>
      </c>
      <c r="HN126" s="90">
        <f t="shared" si="14"/>
        <v>11</v>
      </c>
      <c r="HO126" s="99"/>
      <c r="HP126" s="97">
        <f t="shared" si="15"/>
        <v>6</v>
      </c>
      <c r="HQ126" s="97">
        <f t="shared" si="16"/>
        <v>5</v>
      </c>
      <c r="HR126" s="90">
        <f t="shared" si="17"/>
        <v>11</v>
      </c>
      <c r="HS126" s="99"/>
      <c r="HT126" s="97">
        <f t="shared" si="18"/>
        <v>6</v>
      </c>
      <c r="HU126" s="97">
        <f t="shared" si="19"/>
        <v>6</v>
      </c>
      <c r="HV126" s="90">
        <f t="shared" si="20"/>
        <v>12</v>
      </c>
      <c r="HW126" s="99"/>
      <c r="HX126" s="97">
        <f t="shared" si="21"/>
        <v>5</v>
      </c>
      <c r="HY126" s="97">
        <f t="shared" si="22"/>
        <v>4</v>
      </c>
      <c r="HZ126" s="90">
        <f t="shared" si="23"/>
        <v>9</v>
      </c>
      <c r="IA126" s="99"/>
      <c r="IB126" s="97">
        <f t="shared" si="24"/>
        <v>7</v>
      </c>
      <c r="IC126" s="97">
        <f t="shared" si="25"/>
        <v>8</v>
      </c>
      <c r="ID126" s="90">
        <f t="shared" si="26"/>
        <v>15</v>
      </c>
      <c r="IE126" s="99"/>
      <c r="IF126" s="97">
        <f t="shared" si="27"/>
        <v>0</v>
      </c>
      <c r="IG126" s="97">
        <f t="shared" si="28"/>
        <v>2</v>
      </c>
      <c r="IH126" s="90">
        <f t="shared" si="29"/>
        <v>2</v>
      </c>
      <c r="II126" s="99"/>
      <c r="IJ126" s="97">
        <f t="shared" si="30"/>
        <v>3</v>
      </c>
      <c r="IK126" s="97">
        <f t="shared" si="31"/>
        <v>3</v>
      </c>
      <c r="IL126" s="90">
        <f t="shared" si="32"/>
        <v>6</v>
      </c>
      <c r="IM126" s="99"/>
      <c r="IN126" s="97">
        <f t="shared" si="33"/>
        <v>2</v>
      </c>
      <c r="IO126" s="97">
        <f t="shared" si="34"/>
        <v>4</v>
      </c>
      <c r="IP126" s="90">
        <f t="shared" si="35"/>
        <v>6</v>
      </c>
      <c r="IS126" s="100">
        <f t="shared" si="36"/>
        <v>11</v>
      </c>
      <c r="IT126" s="100">
        <f t="shared" si="37"/>
        <v>12</v>
      </c>
      <c r="IU126" s="100">
        <f t="shared" si="38"/>
        <v>11</v>
      </c>
      <c r="IV126" s="100">
        <f t="shared" si="39"/>
        <v>11</v>
      </c>
      <c r="IW126" s="100">
        <f t="shared" si="40"/>
        <v>12</v>
      </c>
      <c r="IX126" s="100">
        <f t="shared" si="41"/>
        <v>9</v>
      </c>
      <c r="IY126" s="100">
        <f t="shared" si="42"/>
        <v>15</v>
      </c>
      <c r="IZ126" s="100">
        <f t="shared" si="43"/>
        <v>2</v>
      </c>
      <c r="JA126" s="100">
        <f t="shared" si="44"/>
        <v>6</v>
      </c>
      <c r="JB126" s="101">
        <f t="shared" si="45"/>
        <v>6</v>
      </c>
      <c r="JC126" s="102">
        <f t="shared" si="46"/>
        <v>95</v>
      </c>
      <c r="JD126" s="67">
        <f t="shared" si="50"/>
        <v>0</v>
      </c>
      <c r="JE126" s="67">
        <f t="shared" si="47"/>
        <v>1</v>
      </c>
      <c r="JF126" s="67">
        <f t="shared" si="48"/>
        <v>1</v>
      </c>
    </row>
    <row r="127">
      <c r="A127" s="104">
        <f>IFERROR(__xludf.DUMMYFUNCTION("""COMPUTED_VALUE"""),45969.432886979164)</f>
        <v>45969.43289</v>
      </c>
      <c r="B127" s="105" t="str">
        <f>IFERROR(__xludf.DUMMYFUNCTION("""COMPUTED_VALUE"""),"Naufal Taqqy hafifurrahman ")</f>
        <v>Naufal Taqqy hafifurrahman </v>
      </c>
      <c r="C127" s="7" t="str">
        <f>IFERROR(__xludf.DUMMYFUNCTION("""COMPUTED_VALUE"""),"B250029")</f>
        <v>B250029</v>
      </c>
      <c r="D127" s="7" t="str">
        <f>IFERROR(__xludf.DUMMYFUNCTION("""COMPUTED_VALUE"""),"SMA")</f>
        <v>SMA</v>
      </c>
      <c r="E127" s="7" t="str">
        <f>IFERROR(__xludf.DUMMYFUNCTION("""COMPUTED_VALUE"""),"Ya")</f>
        <v>Ya</v>
      </c>
      <c r="F127" s="105" t="str">
        <f>IFERROR(__xludf.DUMMYFUNCTION("""COMPUTED_VALUE"""),"A Saya ingin mengerjakan segala tugas lebih baik daripada orang lain.")</f>
        <v>A Saya ingin mengerjakan segala tugas lebih baik daripada orang lain.</v>
      </c>
      <c r="G127" s="105" t="str">
        <f>IFERROR(__xludf.DUMMYFUNCTION("""COMPUTED_VALUE"""),"A Saya ingin setiap tulisan saya teliti, rapi, dan tersusun dengan baik.")</f>
        <v>A Saya ingin setiap tulisan saya teliti, rapi, dan tersusun dengan baik.</v>
      </c>
      <c r="H127" s="105" t="str">
        <f>IFERROR(__xludf.DUMMYFUNCTION("""COMPUTED_VALUE"""),"B Saya ingin menjadi orang yang diakui dalam suatu pekerjaan atau bidang khusus.")</f>
        <v>B Saya ingin menjadi orang yang diakui dalam suatu pekerjaan atau bidang khusus.</v>
      </c>
      <c r="I127" s="105" t="str">
        <f>IFERROR(__xludf.DUMMYFUNCTION("""COMPUTED_VALUE"""),"B Saya ingin bisa melakukan dengan baik meskipun tugas yang sulit.")</f>
        <v>B Saya ingin bisa melakukan dengan baik meskipun tugas yang sulit.</v>
      </c>
      <c r="J127" s="105" t="str">
        <f>IFERROR(__xludf.DUMMYFUNCTION("""COMPUTED_VALUE"""),"A Saya suka membantu teman-teman saya apabila mereka mengalami kesulitan.")</f>
        <v>A Saya suka membantu teman-teman saya apabila mereka mengalami kesulitan.</v>
      </c>
      <c r="K127" s="105" t="str">
        <f>IFERROR(__xludf.DUMMYFUNCTION("""COMPUTED_VALUE"""),"A Saya ingin menjadi pemimpin dalam suatu kelompok.")</f>
        <v>A Saya ingin menjadi pemimpin dalam suatu kelompok.</v>
      </c>
      <c r="L127" s="105" t="str">
        <f>IFERROR(__xludf.DUMMYFUNCTION("""COMPUTED_VALUE"""),"A Saya ingin menjadi pemimpin dalam suatu kelompok")</f>
        <v>A Saya ingin menjadi pemimpin dalam suatu kelompok</v>
      </c>
      <c r="M127" s="105" t="str">
        <f>IFERROR(__xludf.DUMMYFUNCTION("""COMPUTED_VALUE"""),"A Saya suka berbicara tentang hal-hal yang telah berhasil saya lakukan.")</f>
        <v>A Saya suka berbicara tentang hal-hal yang telah berhasil saya lakukan.</v>
      </c>
      <c r="N127" s="105" t="str">
        <f>IFERROR(__xludf.DUMMYFUNCTION("""COMPUTED_VALUE"""),"A Saya suka pergi dengan pakaian rapi agar lebih menarik perhatian orang lain.")</f>
        <v>A Saya suka pergi dengan pakaian rapi agar lebih menarik perhatian orang lain.</v>
      </c>
      <c r="O127" s="105" t="str">
        <f>IFERROR(__xludf.DUMMYFUNCTION("""COMPUTED_VALUE"""),"A Saya marah saat ada teman memperolok-olok hal-hal yang saya anggap bodoh.")</f>
        <v>A Saya marah saat ada teman memperolok-olok hal-hal yang saya anggap bodoh.</v>
      </c>
      <c r="P127" s="105" t="str">
        <f>IFERROR(__xludf.DUMMYFUNCTION("""COMPUTED_VALUE"""),"A Saya suka bercerita tentang hal-hal yang menegangkan atau menantang.")</f>
        <v>A Saya suka bercerita tentang hal-hal yang menegangkan atau menantang.</v>
      </c>
      <c r="Q127" s="105" t="str">
        <f>IFERROR(__xludf.DUMMYFUNCTION("""COMPUTED_VALUE"""),"B Saya merencanakan keperluan yang dibutuhkan sebelum bepergian.")</f>
        <v>B Saya merencanakan keperluan yang dibutuhkan sebelum bepergian.</v>
      </c>
      <c r="R127" s="105" t="str">
        <f>IFERROR(__xludf.DUMMYFUNCTION("""COMPUTED_VALUE"""),"B Saya suka barang-barang saya tersusun rapi dan teratur.")</f>
        <v>B Saya suka barang-barang saya tersusun rapi dan teratur.</v>
      </c>
      <c r="S127" s="105" t="str">
        <f>IFERROR(__xludf.DUMMYFUNCTION("""COMPUTED_VALUE"""),"A Saya ingin agar teman-teman pengertian bila saya mengalami kesukaran.")</f>
        <v>A Saya ingin agar teman-teman pengertian bila saya mengalami kesukaran.</v>
      </c>
      <c r="T127" s="105" t="str">
        <f>IFERROR(__xludf.DUMMYFUNCTION("""COMPUTED_VALUE"""),"A Saya ingin menjadi salah seorang pemimpin dalam kelompok yang saya kenal.")</f>
        <v>A Saya ingin menjadi salah seorang pemimpin dalam kelompok yang saya kenal.</v>
      </c>
      <c r="U127" s="105" t="str">
        <f>IFERROR(__xludf.DUMMYFUNCTION("""COMPUTED_VALUE"""),"A Saya suka memberikan bantuan kepada teman-teman saya.")</f>
        <v>A Saya suka memberikan bantuan kepada teman-teman saya.</v>
      </c>
      <c r="V127" s="105" t="str">
        <f>IFERROR(__xludf.DUMMYFUNCTION("""COMPUTED_VALUE"""),"B Saya suka belajar saya teratur dan ada waktu-waktu tertentu untuk belajar.")</f>
        <v>B Saya suka belajar saya teratur dan ada waktu-waktu tertentu untuk belajar.</v>
      </c>
      <c r="W127" s="105" t="str">
        <f>IFERROR(__xludf.DUMMYFUNCTION("""COMPUTED_VALUE"""),"B Saya ingin kegiatan itu teratur dan direncanakan.")</f>
        <v>B Saya ingin kegiatan itu teratur dan direncanakan.</v>
      </c>
      <c r="X127" s="105" t="str">
        <f>IFERROR(__xludf.DUMMYFUNCTION("""COMPUTED_VALUE"""),"A Saya suka merencanakan dan mengatur setiap apa yang harus saya lakukan.")</f>
        <v>A Saya suka merencanakan dan mengatur setiap apa yang harus saya lakukan.</v>
      </c>
      <c r="Y127" s="105" t="str">
        <f>IFERROR(__xludf.DUMMYFUNCTION("""COMPUTED_VALUE"""),"B Saya senang merencanakan untuk masa depan.")</f>
        <v>B Saya senang merencanakan untuk masa depan.</v>
      </c>
      <c r="Z127" s="105" t="str">
        <f>IFERROR(__xludf.DUMMYFUNCTION("""COMPUTED_VALUE"""),"A Saya ingin berhasil dengan belajar yang saya lakukan.")</f>
        <v>A Saya ingin berhasil dengan belajar yang saya lakukan.</v>
      </c>
      <c r="AA127" s="105" t="str">
        <f>IFERROR(__xludf.DUMMYFUNCTION("""COMPUTED_VALUE"""),"B Saya tidak suka pada orang yang berbuat seenaknya sendiri.")</f>
        <v>B Saya tidak suka pada orang yang berbuat seenaknya sendiri.</v>
      </c>
      <c r="AB127" s="105" t="str">
        <f>IFERROR(__xludf.DUMMYFUNCTION("""COMPUTED_VALUE"""),"A Saya ingin tidak tergantung dari orang lain terhadap apa yang akan saya lakukan.")</f>
        <v>A Saya ingin tidak tergantung dari orang lain terhadap apa yang akan saya lakukan.</v>
      </c>
      <c r="AC127" s="105" t="str">
        <f>IFERROR(__xludf.DUMMYFUNCTION("""COMPUTED_VALUE"""),"B Saya suka melakukan kegiatan sesuai kondisi yang saya inginkan.")</f>
        <v>B Saya suka melakukan kegiatan sesuai kondisi yang saya inginkan.</v>
      </c>
      <c r="AD127" s="105" t="str">
        <f>IFERROR(__xludf.DUMMYFUNCTION("""COMPUTED_VALUE"""),"A Saya suka bermurah hati terhadap teman-teman saya.")</f>
        <v>A Saya suka bermurah hati terhadap teman-teman saya.</v>
      </c>
      <c r="AE127" s="105" t="str">
        <f>IFERROR(__xludf.DUMMYFUNCTION("""COMPUTED_VALUE"""),"A Saya ingin dianggap sebagai pemimpin oleh teman di kelompok.")</f>
        <v>A Saya ingin dianggap sebagai pemimpin oleh teman di kelompok.</v>
      </c>
      <c r="AF127" s="105" t="str">
        <f>IFERROR(__xludf.DUMMYFUNCTION("""COMPUTED_VALUE"""),"A Saya ingin agar teman-teman mengerti bila saya mengalami kesukaran.")</f>
        <v>A Saya ingin agar teman-teman mengerti bila saya mengalami kesukaran.</v>
      </c>
      <c r="AG127" s="105" t="str">
        <f>IFERROR(__xludf.DUMMYFUNCTION("""COMPUTED_VALUE"""),"A Saya mengajari orang lain bagaimana mereka harus melakukan pekerjaan mereka.")</f>
        <v>A Saya mengajari orang lain bagaimana mereka harus melakukan pekerjaan mereka.</v>
      </c>
      <c r="AH127" s="105" t="str">
        <f>IFERROR(__xludf.DUMMYFUNCTION("""COMPUTED_VALUE"""),"B Saya ingin merasa bebas untuk melakukan apa yang saya kehendaki.")</f>
        <v>B Saya ingin merasa bebas untuk melakukan apa yang saya kehendaki.</v>
      </c>
      <c r="AI127" s="105" t="str">
        <f>IFERROR(__xludf.DUMMYFUNCTION("""COMPUTED_VALUE"""),"B Saya suka melakukan kegiatan sesuai kondisi yang saya inginkan.")</f>
        <v>B Saya suka melakukan kegiatan sesuai kondisi yang saya inginkan.</v>
      </c>
      <c r="AJ127" s="105" t="str">
        <f>IFERROR(__xludf.DUMMYFUNCTION("""COMPUTED_VALUE"""),"B Saya suka bertahan menghadapi satu masalah meskipun belum tentu berhasil.")</f>
        <v>B Saya suka bertahan menghadapi satu masalah meskipun belum tentu berhasil.</v>
      </c>
      <c r="AK127" s="105" t="str">
        <f>IFERROR(__xludf.DUMMYFUNCTION("""COMPUTED_VALUE"""),"A Saya suka bercerita tentang hal-hal pribadi yang seharusnya tidak perlu diketahui orang lain.")</f>
        <v>A Saya suka bercerita tentang hal-hal pribadi yang seharusnya tidak perlu diketahui orang lain.</v>
      </c>
      <c r="AL127" s="105" t="str">
        <f>IFERROR(__xludf.DUMMYFUNCTION("""COMPUTED_VALUE"""),"A Saya suka berbicara tentang hal-hal yang telah saya capai.")</f>
        <v>A Saya suka berbicara tentang hal-hal yang telah saya capai.</v>
      </c>
      <c r="AM127" s="105" t="str">
        <f>IFERROR(__xludf.DUMMYFUNCTION("""COMPUTED_VALUE"""),"A Saya ingin teman-teman saya merasa kasihan pada saya apabila saya sakit.")</f>
        <v>A Saya ingin teman-teman saya merasa kasihan pada saya apabila saya sakit.</v>
      </c>
      <c r="AN127" s="105" t="str">
        <f>IFERROR(__xludf.DUMMYFUNCTION("""COMPUTED_VALUE"""),"A Saya tidak suka pada orang yang semena-mena.")</f>
        <v>A Saya tidak suka pada orang yang semena-mena.</v>
      </c>
      <c r="AO127" s="105" t="str">
        <f>IFERROR(__xludf.DUMMYFUNCTION("""COMPUTED_VALUE"""),"A Saya suka berlaku sangat ramah terhadap teman-teman saya.")</f>
        <v>A Saya suka berlaku sangat ramah terhadap teman-teman saya.</v>
      </c>
      <c r="AP127" s="105" t="str">
        <f>IFERROR(__xludf.DUMMYFUNCTION("""COMPUTED_VALUE"""),"B Saya suka bertahan menghadapi satu masalah meskipun belum tentu berhasil.")</f>
        <v>B Saya suka bertahan menghadapi satu masalah meskipun belum tentu berhasil.</v>
      </c>
      <c r="AQ127" s="105" t="str">
        <f>IFERROR(__xludf.DUMMYFUNCTION("""COMPUTED_VALUE"""),"A Saya ingin bisa mengerjakan segala sesuatu lebih baik daripada orang-orang lain.")</f>
        <v>A Saya ingin bisa mengerjakan segala sesuatu lebih baik daripada orang-orang lain.</v>
      </c>
      <c r="AR127" s="105" t="str">
        <f>IFERROR(__xludf.DUMMYFUNCTION("""COMPUTED_VALUE"""),"A Saya suka menyimpan catatan secara rapi.")</f>
        <v>A Saya suka menyimpan catatan secara rapi.</v>
      </c>
      <c r="AS127" s="105" t="str">
        <f>IFERROR(__xludf.DUMMYFUNCTION("""COMPUTED_VALUE"""),"A Saya ingin dapat menyelesaikan persoalan yang dianggap sukar bagi orang lain.")</f>
        <v>A Saya ingin dapat menyelesaikan persoalan yang dianggap sukar bagi orang lain.</v>
      </c>
      <c r="AT127" s="105" t="str">
        <f>IFERROR(__xludf.DUMMYFUNCTION("""COMPUTED_VALUE"""),"B Saya suka membantu orang lain yang menurut saya perlu dikasihani.")</f>
        <v>B Saya suka membantu orang lain yang menurut saya perlu dikasihani.</v>
      </c>
      <c r="AU127" s="105" t="str">
        <f>IFERROR(__xludf.DUMMYFUNCTION("""COMPUTED_VALUE"""),"B Saya suka bermurah hati terhadap teman-teman saya.")</f>
        <v>B Saya suka bermurah hati terhadap teman-teman saya.</v>
      </c>
      <c r="AV127" s="105" t="str">
        <f>IFERROR(__xludf.DUMMYFUNCTION("""COMPUTED_VALUE"""),"B Saya suka menolong teman-teman saya.")</f>
        <v>B Saya suka menolong teman-teman saya.</v>
      </c>
      <c r="AW127" s="105" t="str">
        <f>IFERROR(__xludf.DUMMYFUNCTION("""COMPUTED_VALUE"""),"B Saya ingin teman-teman saya percaya bahwa saya bisa menolong mereka.")</f>
        <v>B Saya ingin teman-teman saya percaya bahwa saya bisa menolong mereka.</v>
      </c>
      <c r="AX127" s="105" t="str">
        <f>IFERROR(__xludf.DUMMYFUNCTION("""COMPUTED_VALUE"""),"A Saya suka menolong teman-teman saya apabila mereka dalam kesulitan.")</f>
        <v>A Saya suka menolong teman-teman saya apabila mereka dalam kesulitan.</v>
      </c>
      <c r="AY127" s="105" t="str">
        <f>IFERROR(__xludf.DUMMYFUNCTION("""COMPUTED_VALUE"""),"B Saya suka menolong teman-teman saya apabila mereka dalam kesulitan.")</f>
        <v>B Saya suka menolong teman-teman saya apabila mereka dalam kesulitan.</v>
      </c>
      <c r="AZ127" s="105" t="str">
        <f>IFERROR(__xludf.DUMMYFUNCTION("""COMPUTED_VALUE"""),"A Saya ingin agar teman-teman saya bersimpati dan menghibur saya bila saya sedih.")</f>
        <v>A Saya ingin agar teman-teman saya bersimpati dan menghibur saya bila saya sedih.</v>
      </c>
      <c r="BA127" s="105" t="str">
        <f>IFERROR(__xludf.DUMMYFUNCTION("""COMPUTED_VALUE"""),"B Saya suka memperlakukan orang lain dengan baik dan ramah.")</f>
        <v>B Saya suka memperlakukan orang lain dengan baik dan ramah.</v>
      </c>
      <c r="BB127" s="105" t="str">
        <f>IFERROR(__xludf.DUMMYFUNCTION("""COMPUTED_VALUE"""),"B Saya suka bermurah hati terhadap teman-teman saya.")</f>
        <v>B Saya suka bermurah hati terhadap teman-teman saya.</v>
      </c>
      <c r="BC127" s="105" t="str">
        <f>IFERROR(__xludf.DUMMYFUNCTION("""COMPUTED_VALUE"""),"B Saya suka membantu orang lain yang menurut saya perlu dikasihani.")</f>
        <v>B Saya suka membantu orang lain yang menurut saya perlu dikasihani.</v>
      </c>
      <c r="BD127" s="105" t="str">
        <f>IFERROR(__xludf.DUMMYFUNCTION("""COMPUTED_VALUE"""),"A Saya rasanya ingin menyalahkan orang lain bila keadaan tidak baik bagi saya.")</f>
        <v>A Saya rasanya ingin menyalahkan orang lain bila keadaan tidak baik bagi saya.</v>
      </c>
      <c r="BE127" s="105" t="str">
        <f>IFERROR(__xludf.DUMMYFUNCTION("""COMPUTED_VALUE"""),"A Saya suka mendengarkan atau menceritakan hal-hal yang sebaiknya tidak diceritakan.")</f>
        <v>A Saya suka mendengarkan atau menceritakan hal-hal yang sebaiknya tidak diceritakan.</v>
      </c>
      <c r="BF127" s="105" t="str">
        <f>IFERROR(__xludf.DUMMYFUNCTION("""COMPUTED_VALUE"""),"A Saya ingin orang lain memperhatikan dan berkomentar tentang penampilan saya.")</f>
        <v>A Saya ingin orang lain memperhatikan dan berkomentar tentang penampilan saya.</v>
      </c>
      <c r="BG127" s="105" t="str">
        <f>IFERROR(__xludf.DUMMYFUNCTION("""COMPUTED_VALUE"""),"A Saya ingin teman-teman banyak menunjukkan rasa sayang mereka terhadap saya.")</f>
        <v>A Saya ingin teman-teman banyak menunjukkan rasa sayang mereka terhadap saya.</v>
      </c>
      <c r="BH127" s="105" t="str">
        <f>IFERROR(__xludf.DUMMYFUNCTION("""COMPUTED_VALUE"""),"B Apabila saya berkumpul dalam kelompok, saya ingin dihargai teman-teman.")</f>
        <v>B Apabila saya berkumpul dalam kelompok, saya ingin dihargai teman-teman.</v>
      </c>
      <c r="BI127" s="105" t="str">
        <f>IFERROR(__xludf.DUMMYFUNCTION("""COMPUTED_VALUE"""),"A Saya suka bermurah hati terhadap teman-teman saya.")</f>
        <v>A Saya suka bermurah hati terhadap teman-teman saya.</v>
      </c>
      <c r="BJ127" s="105" t="str">
        <f>IFERROR(__xludf.DUMMYFUNCTION("""COMPUTED_VALUE"""),"B Saya ingin menjadi pemimpin dalam kelompok di mana saya ada di situ")</f>
        <v>B Saya ingin menjadi pemimpin dalam kelompok di mana saya ada di situ</v>
      </c>
      <c r="BK127" s="105" t="str">
        <f>IFERROR(__xludf.DUMMYFUNCTION("""COMPUTED_VALUE"""),"B Saya senang untuk diminta menyelesaikan pertentangan-pertentangan.")</f>
        <v>B Saya senang untuk diminta menyelesaikan pertentangan-pertentangan.</v>
      </c>
      <c r="BL127" s="105" t="str">
        <f>IFERROR(__xludf.DUMMYFUNCTION("""COMPUTED_VALUE"""),"A Saya suka belajar saya teratur dan ada waktu-waktu tertentu untuk belajar.")</f>
        <v>A Saya suka belajar saya teratur dan ada waktu-waktu tertentu untuk belajar.</v>
      </c>
      <c r="BM127" s="105" t="str">
        <f>IFERROR(__xludf.DUMMYFUNCTION("""COMPUTED_VALUE"""),"A Saya suka melakukan pekerjaan sebaik mungkin.")</f>
        <v>A Saya suka melakukan pekerjaan sebaik mungkin.</v>
      </c>
      <c r="BN127" s="105" t="str">
        <f>IFERROR(__xludf.DUMMYFUNCTION("""COMPUTED_VALUE"""),"B Saya ingin teman-teman memberi dorongan bila saya menghadapi kegagalan.")</f>
        <v>B Saya ingin teman-teman memberi dorongan bila saya menghadapi kegagalan.</v>
      </c>
      <c r="BO127" s="105" t="str">
        <f>IFERROR(__xludf.DUMMYFUNCTION("""COMPUTED_VALUE"""),"B Saya ingin diperlakukan dengan baik oleh teman-teman saya.")</f>
        <v>B Saya ingin diperlakukan dengan baik oleh teman-teman saya.</v>
      </c>
      <c r="BP127" s="105" t="str">
        <f>IFERROR(__xludf.DUMMYFUNCTION("""COMPUTED_VALUE"""),"B Saya ingin teman-teman saya merasa kasihan pada saya apabila saya sakit.")</f>
        <v>B Saya ingin teman-teman saya merasa kasihan pada saya apabila saya sakit.</v>
      </c>
      <c r="BQ127" s="105" t="str">
        <f>IFERROR(__xludf.DUMMYFUNCTION("""COMPUTED_VALUE"""),"B Saya ingin agar teman-teman menceritakan diri saya apabila saya sakit.")</f>
        <v>B Saya ingin agar teman-teman menceritakan diri saya apabila saya sakit.</v>
      </c>
      <c r="BR127" s="105" t="str">
        <f>IFERROR(__xludf.DUMMYFUNCTION("""COMPUTED_VALUE"""),"B Saya ingin agar teman-teman saya bersimpati dan menghibur saya bila saya sedih.")</f>
        <v>B Saya ingin agar teman-teman saya bersimpati dan menghibur saya bila saya sedih.</v>
      </c>
      <c r="BS127" s="105" t="str">
        <f>IFERROR(__xludf.DUMMYFUNCTION("""COMPUTED_VALUE"""),"B Saya ingin teman-teman saya membantu saya bila saya mengalami kesulitan")</f>
        <v>B Saya ingin teman-teman saya membantu saya bila saya mengalami kesulitan</v>
      </c>
      <c r="BT127" s="105" t="str">
        <f>IFERROR(__xludf.DUMMYFUNCTION("""COMPUTED_VALUE"""),"A Saya ingin teman-teman saya merasa kasihan pada saya apabila saya sakit.")</f>
        <v>A Saya ingin teman-teman saya merasa kasihan pada saya apabila saya sakit.</v>
      </c>
      <c r="BU127" s="105" t="str">
        <f>IFERROR(__xludf.DUMMYFUNCTION("""COMPUTED_VALUE"""),"B Saya ingin agar teman-teman saya merasa kasihan pada saya apabila saya sakit.")</f>
        <v>B Saya ingin agar teman-teman saya merasa kasihan pada saya apabila saya sakit.</v>
      </c>
      <c r="BV127" s="105" t="str">
        <f>IFERROR(__xludf.DUMMYFUNCTION("""COMPUTED_VALUE"""),"B Saya ingin teman-teman dengan gembira memberikan pertolongan kepada saya.")</f>
        <v>B Saya ingin teman-teman dengan gembira memberikan pertolongan kepada saya.</v>
      </c>
      <c r="BW127" s="105" t="str">
        <f>IFERROR(__xludf.DUMMYFUNCTION("""COMPUTED_VALUE"""),"B Saya ingin diperlakukan dengan baik oleh teman-teman saya.")</f>
        <v>B Saya ingin diperlakukan dengan baik oleh teman-teman saya.</v>
      </c>
      <c r="BX127" s="105" t="str">
        <f>IFERROR(__xludf.DUMMYFUNCTION("""COMPUTED_VALUE"""),"B Saya kadang-kadang suka melakukan hal-hal yang dapat dipuji oleh orang lain.")</f>
        <v>B Saya kadang-kadang suka melakukan hal-hal yang dapat dipuji oleh orang lain.</v>
      </c>
      <c r="BY127" s="105" t="str">
        <f>IFERROR(__xludf.DUMMYFUNCTION("""COMPUTED_VALUE"""),"B Saya ingin orang lain memperhatikan dan berkomentar tentang penampilan saya.")</f>
        <v>B Saya ingin orang lain memperhatikan dan berkomentar tentang penampilan saya.</v>
      </c>
      <c r="BZ127" s="105" t="str">
        <f>IFERROR(__xludf.DUMMYFUNCTION("""COMPUTED_VALUE"""),"B Saya suka diperhatikan, apabila saya ada di dalam suatu kelompok.")</f>
        <v>B Saya suka diperhatikan, apabila saya ada di dalam suatu kelompok.</v>
      </c>
      <c r="CA127" s="105" t="str">
        <f>IFERROR(__xludf.DUMMYFUNCTION("""COMPUTED_VALUE"""),"A Saya ingin teman-teman dengan gembira memberikan pertolongan kepada saya.")</f>
        <v>A Saya ingin teman-teman dengan gembira memberikan pertolongan kepada saya.</v>
      </c>
      <c r="CB127" s="105" t="str">
        <f>IFERROR(__xludf.DUMMYFUNCTION("""COMPUTED_VALUE"""),"B Saya suka berbicara tentang hal-hal yang telah saya capai.")</f>
        <v>B Saya suka berbicara tentang hal-hal yang telah saya capai.</v>
      </c>
      <c r="CC127" s="105" t="str">
        <f>IFERROR(__xludf.DUMMYFUNCTION("""COMPUTED_VALUE"""),"A Apabila saya berkumpul dalam kelompok, saya ingin dihargai teman-teman.")</f>
        <v>A Apabila saya berkumpul dalam kelompok, saya ingin dihargai teman-teman.</v>
      </c>
      <c r="CD127" s="105" t="str">
        <f>IFERROR(__xludf.DUMMYFUNCTION("""COMPUTED_VALUE"""),"B Saya suka berkata yang artinya sulit dipahami oleh orang lain.")</f>
        <v>B Saya suka berkata yang artinya sulit dipahami oleh orang lain.</v>
      </c>
      <c r="CE127" s="105" t="str">
        <f>IFERROR(__xludf.DUMMYFUNCTION("""COMPUTED_VALUE"""),"B Saya kadang-kadang suka melakukan hal-hal yang dapat dipuji oleh orang lain.")</f>
        <v>B Saya kadang-kadang suka melakukan hal-hal yang dapat dipuji oleh orang lain.</v>
      </c>
      <c r="CF127" s="105" t="str">
        <f>IFERROR(__xludf.DUMMYFUNCTION("""COMPUTED_VALUE"""),"B Saya ingin orang lain memperhatikan dan berkomentar tentang penampilan saya.")</f>
        <v>B Saya ingin orang lain memperhatikan dan berkomentar tentang penampilan saya.</v>
      </c>
      <c r="CG127" s="105" t="str">
        <f>IFERROR(__xludf.DUMMYFUNCTION("""COMPUTED_VALUE"""),"B Saya suka berbicara tentang hal-hal yang telah saya capai.")</f>
        <v>B Saya suka berbicara tentang hal-hal yang telah saya capai.</v>
      </c>
      <c r="CH127" s="105" t="str">
        <f>IFERROR(__xludf.DUMMYFUNCTION("""COMPUTED_VALUE"""),"B Saya suka dengan orang yang berpenampilan menarik.")</f>
        <v>B Saya suka dengan orang yang berpenampilan menarik.</v>
      </c>
      <c r="CI127" s="105" t="str">
        <f>IFERROR(__xludf.DUMMYFUNCTION("""COMPUTED_VALUE"""),"A Saya suka belajar saya teratur dan ada waktu-waktu tertentu untuk belajar.")</f>
        <v>A Saya suka belajar saya teratur dan ada waktu-waktu tertentu untuk belajar.</v>
      </c>
      <c r="CJ127" s="105" t="str">
        <f>IFERROR(__xludf.DUMMYFUNCTION("""COMPUTED_VALUE"""),"A Saya ingin tidak tergantung dari orang lain terhadap apa yang akan saya lakukan.")</f>
        <v>A Saya ingin tidak tergantung dari orang lain terhadap apa yang akan saya lakukan.</v>
      </c>
      <c r="CK127" s="105" t="str">
        <f>IFERROR(__xludf.DUMMYFUNCTION("""COMPUTED_VALUE"""),"B Saya senang ikut beraktivitas bersama teman sebaya saya.")</f>
        <v>B Saya senang ikut beraktivitas bersama teman sebaya saya.</v>
      </c>
      <c r="CL127" s="105" t="str">
        <f>IFERROR(__xludf.DUMMYFUNCTION("""COMPUTED_VALUE"""),"A Saya suka menolong teman-teman saya, apabila mereka dalam kesulitan.")</f>
        <v>A Saya suka menolong teman-teman saya, apabila mereka dalam kesulitan.</v>
      </c>
      <c r="CM127" s="105" t="str">
        <f>IFERROR(__xludf.DUMMYFUNCTION("""COMPUTED_VALUE"""),"A Saya ingin ditunjuk atau dipilih sebagai ketua dalam suatu kelompok.")</f>
        <v>A Saya ingin ditunjuk atau dipilih sebagai ketua dalam suatu kelompok.</v>
      </c>
      <c r="CN127" s="105" t="str">
        <f>IFERROR(__xludf.DUMMYFUNCTION("""COMPUTED_VALUE"""),"A Saya ingin diperlakukan dengan baik oleh teman-teman saya.")</f>
        <v>A Saya ingin diperlakukan dengan baik oleh teman-teman saya.</v>
      </c>
      <c r="CO127" s="105" t="str">
        <f>IFERROR(__xludf.DUMMYFUNCTION("""COMPUTED_VALUE"""),"A Saya suka menceritakan hal-hal lucu agar diperhatikan oleh orang lain.")</f>
        <v>A Saya suka menceritakan hal-hal lucu agar diperhatikan oleh orang lain.</v>
      </c>
      <c r="CP127" s="105" t="str">
        <f>IFERROR(__xludf.DUMMYFUNCTION("""COMPUTED_VALUE"""),"B Saya ingin dianggap menarik oleh orang lain.")</f>
        <v>B Saya ingin dianggap menarik oleh orang lain.</v>
      </c>
      <c r="CQ127" s="105" t="str">
        <f>IFERROR(__xludf.DUMMYFUNCTION("""COMPUTED_VALUE"""),"B Saya merasa kagum pada seseorang.")</f>
        <v>B Saya merasa kagum pada seseorang.</v>
      </c>
      <c r="CR127" s="105" t="str">
        <f>IFERROR(__xludf.DUMMYFUNCTION("""COMPUTED_VALUE"""),"B Saya rasanya ingin mengecam seseorang bila orang itu menjengkelkan.")</f>
        <v>B Saya rasanya ingin mengecam seseorang bila orang itu menjengkelkan.</v>
      </c>
      <c r="CS127" s="105" t="str">
        <f>IFERROR(__xludf.DUMMYFUNCTION("""COMPUTED_VALUE"""),"A Saya ingin terlihat menarik di depan teman-teman saya.")</f>
        <v>A Saya ingin terlihat menarik di depan teman-teman saya.</v>
      </c>
      <c r="CT127" s="105" t="str">
        <f>IFERROR(__xludf.DUMMYFUNCTION("""COMPUTED_VALUE"""),"A Saya ingin orang-orang memperhatikan komentar mengenai penampilan saya.")</f>
        <v>A Saya ingin orang-orang memperhatikan komentar mengenai penampilan saya.</v>
      </c>
      <c r="CU127" s="105" t="str">
        <f>IFERROR(__xludf.DUMMYFUNCTION("""COMPUTED_VALUE"""),"A Saya ingin diperlakukan dengan ramah oleh teman-teman saya.")</f>
        <v>A Saya ingin diperlakukan dengan ramah oleh teman-teman saya.</v>
      </c>
      <c r="CV127" s="105" t="str">
        <f>IFERROR(__xludf.DUMMYFUNCTION("""COMPUTED_VALUE"""),"A Saya ingin ditunjuk atau dipilih sebagai ketua dalam suatu kelompok.")</f>
        <v>A Saya ingin ditunjuk atau dipilih sebagai ketua dalam suatu kelompok.</v>
      </c>
      <c r="CW127" s="105" t="str">
        <f>IFERROR(__xludf.DUMMYFUNCTION("""COMPUTED_VALUE"""),"A Saya suka menolong teman-teman saya, apabila mereka dalam kesulitan.")</f>
        <v>A Saya suka menolong teman-teman saya, apabila mereka dalam kesulitan.</v>
      </c>
      <c r="CX127" s="105" t="str">
        <f>IFERROR(__xludf.DUMMYFUNCTION("""COMPUTED_VALUE"""),"B Saya ingin memperolok-olok orang yang saya anggap melakukan tindakan bodoh.")</f>
        <v>B Saya ingin memperolok-olok orang yang saya anggap melakukan tindakan bodoh.</v>
      </c>
      <c r="CY127" s="105" t="str">
        <f>IFERROR(__xludf.DUMMYFUNCTION("""COMPUTED_VALUE"""),"A Saya ingin tidak tergantung dari orang lain terhadap apa yang akan saya lakukan.")</f>
        <v>A Saya ingin tidak tergantung dari orang lain terhadap apa yang akan saya lakukan.</v>
      </c>
      <c r="CZ127" s="105" t="str">
        <f>IFERROR(__xludf.DUMMYFUNCTION("""COMPUTED_VALUE"""),"A Saya suka merencanakan dan mengatur setiap pekerjaan yang harus saya lakukan.")</f>
        <v>A Saya suka merencanakan dan mengatur setiap pekerjaan yang harus saya lakukan.</v>
      </c>
      <c r="DA127" s="105" t="str">
        <f>IFERROR(__xludf.DUMMYFUNCTION("""COMPUTED_VALUE"""),"B Saya rasanya ingin mengecam seseorang bila orang itu menjengkelkan.")</f>
        <v>B Saya rasanya ingin mengecam seseorang bila orang itu menjengkelkan.</v>
      </c>
      <c r="DB127" s="89" t="s">
        <v>23</v>
      </c>
      <c r="DC127" s="97" t="str">
        <f t="shared" ref="DC127:GX127" si="172">LEFT(F127,1)</f>
        <v>A</v>
      </c>
      <c r="DD127" s="97" t="str">
        <f t="shared" si="172"/>
        <v>A</v>
      </c>
      <c r="DE127" s="97" t="str">
        <f t="shared" si="172"/>
        <v>B</v>
      </c>
      <c r="DF127" s="97" t="str">
        <f t="shared" si="172"/>
        <v>B</v>
      </c>
      <c r="DG127" s="97" t="str">
        <f t="shared" si="172"/>
        <v>A</v>
      </c>
      <c r="DH127" s="97" t="str">
        <f t="shared" si="172"/>
        <v>A</v>
      </c>
      <c r="DI127" s="97" t="str">
        <f t="shared" si="172"/>
        <v>A</v>
      </c>
      <c r="DJ127" s="97" t="str">
        <f t="shared" si="172"/>
        <v>A</v>
      </c>
      <c r="DK127" s="97" t="str">
        <f t="shared" si="172"/>
        <v>A</v>
      </c>
      <c r="DL127" s="97" t="str">
        <f t="shared" si="172"/>
        <v>A</v>
      </c>
      <c r="DM127" s="97" t="str">
        <f t="shared" si="172"/>
        <v>A</v>
      </c>
      <c r="DN127" s="97" t="str">
        <f t="shared" si="172"/>
        <v>B</v>
      </c>
      <c r="DO127" s="97" t="str">
        <f t="shared" si="172"/>
        <v>B</v>
      </c>
      <c r="DP127" s="97" t="str">
        <f t="shared" si="172"/>
        <v>A</v>
      </c>
      <c r="DQ127" s="97" t="str">
        <f t="shared" si="172"/>
        <v>A</v>
      </c>
      <c r="DR127" s="97" t="str">
        <f t="shared" si="172"/>
        <v>A</v>
      </c>
      <c r="DS127" s="97" t="str">
        <f t="shared" si="172"/>
        <v>B</v>
      </c>
      <c r="DT127" s="97" t="str">
        <f t="shared" si="172"/>
        <v>B</v>
      </c>
      <c r="DU127" s="97" t="str">
        <f t="shared" si="172"/>
        <v>A</v>
      </c>
      <c r="DV127" s="97" t="str">
        <f t="shared" si="172"/>
        <v>B</v>
      </c>
      <c r="DW127" s="97" t="str">
        <f t="shared" si="172"/>
        <v>A</v>
      </c>
      <c r="DX127" s="97" t="str">
        <f t="shared" si="172"/>
        <v>B</v>
      </c>
      <c r="DY127" s="97" t="str">
        <f t="shared" si="172"/>
        <v>A</v>
      </c>
      <c r="DZ127" s="97" t="str">
        <f t="shared" si="172"/>
        <v>B</v>
      </c>
      <c r="EA127" s="97" t="str">
        <f t="shared" si="172"/>
        <v>A</v>
      </c>
      <c r="EB127" s="97" t="str">
        <f t="shared" si="172"/>
        <v>A</v>
      </c>
      <c r="EC127" s="97" t="str">
        <f t="shared" si="172"/>
        <v>A</v>
      </c>
      <c r="ED127" s="97" t="str">
        <f t="shared" si="172"/>
        <v>A</v>
      </c>
      <c r="EE127" s="97" t="str">
        <f t="shared" si="172"/>
        <v>B</v>
      </c>
      <c r="EF127" s="97" t="str">
        <f t="shared" si="172"/>
        <v>B</v>
      </c>
      <c r="EG127" s="97" t="str">
        <f t="shared" si="172"/>
        <v>B</v>
      </c>
      <c r="EH127" s="97" t="str">
        <f t="shared" si="172"/>
        <v>A</v>
      </c>
      <c r="EI127" s="97" t="str">
        <f t="shared" si="172"/>
        <v>A</v>
      </c>
      <c r="EJ127" s="97" t="str">
        <f t="shared" si="172"/>
        <v>A</v>
      </c>
      <c r="EK127" s="97" t="str">
        <f t="shared" si="172"/>
        <v>A</v>
      </c>
      <c r="EL127" s="97" t="str">
        <f t="shared" si="172"/>
        <v>A</v>
      </c>
      <c r="EM127" s="97" t="str">
        <f t="shared" si="172"/>
        <v>B</v>
      </c>
      <c r="EN127" s="97" t="str">
        <f t="shared" si="172"/>
        <v>A</v>
      </c>
      <c r="EO127" s="97" t="str">
        <f t="shared" si="172"/>
        <v>A</v>
      </c>
      <c r="EP127" s="97" t="str">
        <f t="shared" si="172"/>
        <v>A</v>
      </c>
      <c r="EQ127" s="97" t="str">
        <f t="shared" si="172"/>
        <v>B</v>
      </c>
      <c r="ER127" s="97" t="str">
        <f t="shared" si="172"/>
        <v>B</v>
      </c>
      <c r="ES127" s="97" t="str">
        <f t="shared" si="172"/>
        <v>B</v>
      </c>
      <c r="ET127" s="97" t="str">
        <f t="shared" si="172"/>
        <v>B</v>
      </c>
      <c r="EU127" s="97" t="str">
        <f t="shared" si="172"/>
        <v>A</v>
      </c>
      <c r="EV127" s="97" t="str">
        <f t="shared" si="172"/>
        <v>B</v>
      </c>
      <c r="EW127" s="97" t="str">
        <f t="shared" si="172"/>
        <v>A</v>
      </c>
      <c r="EX127" s="97" t="str">
        <f t="shared" si="172"/>
        <v>B</v>
      </c>
      <c r="EY127" s="97" t="str">
        <f t="shared" si="172"/>
        <v>B</v>
      </c>
      <c r="EZ127" s="97" t="str">
        <f t="shared" si="172"/>
        <v>B</v>
      </c>
      <c r="FA127" s="97" t="str">
        <f t="shared" si="172"/>
        <v>A</v>
      </c>
      <c r="FB127" s="97" t="str">
        <f t="shared" si="172"/>
        <v>A</v>
      </c>
      <c r="FC127" s="97" t="str">
        <f t="shared" si="172"/>
        <v>A</v>
      </c>
      <c r="FD127" s="97" t="str">
        <f t="shared" si="172"/>
        <v>A</v>
      </c>
      <c r="FE127" s="97" t="str">
        <f t="shared" si="172"/>
        <v>B</v>
      </c>
      <c r="FF127" s="97" t="str">
        <f t="shared" si="172"/>
        <v>A</v>
      </c>
      <c r="FG127" s="97" t="str">
        <f t="shared" si="172"/>
        <v>B</v>
      </c>
      <c r="FH127" s="97" t="str">
        <f t="shared" si="172"/>
        <v>B</v>
      </c>
      <c r="FI127" s="97" t="str">
        <f t="shared" si="172"/>
        <v>A</v>
      </c>
      <c r="FJ127" s="97" t="str">
        <f t="shared" si="172"/>
        <v>A</v>
      </c>
      <c r="FK127" s="97" t="str">
        <f t="shared" si="172"/>
        <v>B</v>
      </c>
      <c r="FL127" s="97" t="str">
        <f t="shared" si="172"/>
        <v>B</v>
      </c>
      <c r="FM127" s="97" t="str">
        <f t="shared" si="172"/>
        <v>B</v>
      </c>
      <c r="FN127" s="97" t="str">
        <f t="shared" si="172"/>
        <v>B</v>
      </c>
      <c r="FO127" s="97" t="str">
        <f t="shared" si="172"/>
        <v>B</v>
      </c>
      <c r="FP127" s="97" t="str">
        <f t="shared" si="172"/>
        <v>B</v>
      </c>
      <c r="FQ127" s="97" t="str">
        <f t="shared" si="172"/>
        <v>A</v>
      </c>
      <c r="FR127" s="97" t="str">
        <f t="shared" si="172"/>
        <v>B</v>
      </c>
      <c r="FS127" s="97" t="str">
        <f t="shared" si="172"/>
        <v>B</v>
      </c>
      <c r="FT127" s="97" t="str">
        <f t="shared" si="172"/>
        <v>B</v>
      </c>
      <c r="FU127" s="97" t="str">
        <f t="shared" si="172"/>
        <v>B</v>
      </c>
      <c r="FV127" s="97" t="str">
        <f t="shared" si="172"/>
        <v>B</v>
      </c>
      <c r="FW127" s="97" t="str">
        <f t="shared" si="172"/>
        <v>B</v>
      </c>
      <c r="FX127" s="97" t="str">
        <f t="shared" si="172"/>
        <v>A</v>
      </c>
      <c r="FY127" s="97" t="str">
        <f t="shared" si="172"/>
        <v>B</v>
      </c>
      <c r="FZ127" s="97" t="str">
        <f t="shared" si="172"/>
        <v>A</v>
      </c>
      <c r="GA127" s="97" t="str">
        <f t="shared" si="172"/>
        <v>B</v>
      </c>
      <c r="GB127" s="97" t="str">
        <f t="shared" si="172"/>
        <v>B</v>
      </c>
      <c r="GC127" s="97" t="str">
        <f t="shared" si="172"/>
        <v>B</v>
      </c>
      <c r="GD127" s="97" t="str">
        <f t="shared" si="172"/>
        <v>B</v>
      </c>
      <c r="GE127" s="97" t="str">
        <f t="shared" si="172"/>
        <v>B</v>
      </c>
      <c r="GF127" s="97" t="str">
        <f t="shared" si="172"/>
        <v>A</v>
      </c>
      <c r="GG127" s="97" t="str">
        <f t="shared" si="172"/>
        <v>A</v>
      </c>
      <c r="GH127" s="97" t="str">
        <f t="shared" si="172"/>
        <v>B</v>
      </c>
      <c r="GI127" s="97" t="str">
        <f t="shared" si="172"/>
        <v>A</v>
      </c>
      <c r="GJ127" s="97" t="str">
        <f t="shared" si="172"/>
        <v>A</v>
      </c>
      <c r="GK127" s="97" t="str">
        <f t="shared" si="172"/>
        <v>A</v>
      </c>
      <c r="GL127" s="97" t="str">
        <f t="shared" si="172"/>
        <v>A</v>
      </c>
      <c r="GM127" s="97" t="str">
        <f t="shared" si="172"/>
        <v>B</v>
      </c>
      <c r="GN127" s="97" t="str">
        <f t="shared" si="172"/>
        <v>B</v>
      </c>
      <c r="GO127" s="97" t="str">
        <f t="shared" si="172"/>
        <v>B</v>
      </c>
      <c r="GP127" s="97" t="str">
        <f t="shared" si="172"/>
        <v>A</v>
      </c>
      <c r="GQ127" s="97" t="str">
        <f t="shared" si="172"/>
        <v>A</v>
      </c>
      <c r="GR127" s="97" t="str">
        <f t="shared" si="172"/>
        <v>A</v>
      </c>
      <c r="GS127" s="97" t="str">
        <f t="shared" si="172"/>
        <v>A</v>
      </c>
      <c r="GT127" s="97" t="str">
        <f t="shared" si="172"/>
        <v>A</v>
      </c>
      <c r="GU127" s="97" t="str">
        <f t="shared" si="172"/>
        <v>B</v>
      </c>
      <c r="GV127" s="97" t="str">
        <f t="shared" si="172"/>
        <v>A</v>
      </c>
      <c r="GW127" s="97" t="str">
        <f t="shared" si="172"/>
        <v>A</v>
      </c>
      <c r="GX127" s="97" t="str">
        <f t="shared" si="172"/>
        <v>B</v>
      </c>
      <c r="GY127" s="98"/>
      <c r="GZ127" s="97">
        <f t="shared" si="3"/>
        <v>52</v>
      </c>
      <c r="HA127" s="97">
        <f t="shared" si="4"/>
        <v>48</v>
      </c>
      <c r="HB127" s="90">
        <f t="shared" si="5"/>
        <v>100</v>
      </c>
      <c r="HC127" s="99"/>
      <c r="HD127" s="97">
        <f t="shared" si="6"/>
        <v>3</v>
      </c>
      <c r="HE127" s="97">
        <f t="shared" si="7"/>
        <v>2</v>
      </c>
      <c r="HF127" s="90">
        <f t="shared" si="8"/>
        <v>5</v>
      </c>
      <c r="HG127" s="99"/>
      <c r="HH127" s="97">
        <f t="shared" si="9"/>
        <v>5</v>
      </c>
      <c r="HI127" s="97">
        <f t="shared" si="10"/>
        <v>5</v>
      </c>
      <c r="HJ127" s="90">
        <f t="shared" si="11"/>
        <v>10</v>
      </c>
      <c r="HK127" s="99"/>
      <c r="HL127" s="97">
        <f t="shared" si="12"/>
        <v>3</v>
      </c>
      <c r="HM127" s="97">
        <f t="shared" si="13"/>
        <v>4</v>
      </c>
      <c r="HN127" s="90">
        <f t="shared" si="14"/>
        <v>7</v>
      </c>
      <c r="HO127" s="99"/>
      <c r="HP127" s="97">
        <f t="shared" si="15"/>
        <v>0</v>
      </c>
      <c r="HQ127" s="97">
        <f t="shared" si="16"/>
        <v>2</v>
      </c>
      <c r="HR127" s="90">
        <f t="shared" si="17"/>
        <v>2</v>
      </c>
      <c r="HS127" s="99"/>
      <c r="HT127" s="97">
        <f t="shared" si="18"/>
        <v>8</v>
      </c>
      <c r="HU127" s="97">
        <f t="shared" si="19"/>
        <v>8</v>
      </c>
      <c r="HV127" s="90">
        <f t="shared" si="20"/>
        <v>16</v>
      </c>
      <c r="HW127" s="99"/>
      <c r="HX127" s="97">
        <f t="shared" si="21"/>
        <v>6</v>
      </c>
      <c r="HY127" s="97">
        <f t="shared" si="22"/>
        <v>3</v>
      </c>
      <c r="HZ127" s="90">
        <f t="shared" si="23"/>
        <v>9</v>
      </c>
      <c r="IA127" s="99"/>
      <c r="IB127" s="97">
        <f t="shared" si="24"/>
        <v>9</v>
      </c>
      <c r="IC127" s="97">
        <f t="shared" si="25"/>
        <v>9</v>
      </c>
      <c r="ID127" s="90">
        <f t="shared" si="26"/>
        <v>18</v>
      </c>
      <c r="IE127" s="99"/>
      <c r="IF127" s="97">
        <f t="shared" si="27"/>
        <v>6</v>
      </c>
      <c r="IG127" s="97">
        <f t="shared" si="28"/>
        <v>8</v>
      </c>
      <c r="IH127" s="90">
        <f t="shared" si="29"/>
        <v>14</v>
      </c>
      <c r="II127" s="99"/>
      <c r="IJ127" s="97">
        <f t="shared" si="30"/>
        <v>4</v>
      </c>
      <c r="IK127" s="97">
        <f t="shared" si="31"/>
        <v>4</v>
      </c>
      <c r="IL127" s="90">
        <f t="shared" si="32"/>
        <v>8</v>
      </c>
      <c r="IM127" s="99"/>
      <c r="IN127" s="97">
        <f t="shared" si="33"/>
        <v>3</v>
      </c>
      <c r="IO127" s="97">
        <f t="shared" si="34"/>
        <v>3</v>
      </c>
      <c r="IP127" s="90">
        <f t="shared" si="35"/>
        <v>6</v>
      </c>
      <c r="IS127" s="100">
        <f t="shared" si="36"/>
        <v>5</v>
      </c>
      <c r="IT127" s="100">
        <f t="shared" si="37"/>
        <v>10</v>
      </c>
      <c r="IU127" s="100">
        <f t="shared" si="38"/>
        <v>7</v>
      </c>
      <c r="IV127" s="100">
        <f t="shared" si="39"/>
        <v>2</v>
      </c>
      <c r="IW127" s="100">
        <f t="shared" si="40"/>
        <v>16</v>
      </c>
      <c r="IX127" s="100">
        <f t="shared" si="41"/>
        <v>9</v>
      </c>
      <c r="IY127" s="100">
        <f t="shared" si="42"/>
        <v>18</v>
      </c>
      <c r="IZ127" s="100">
        <f t="shared" si="43"/>
        <v>14</v>
      </c>
      <c r="JA127" s="100">
        <f t="shared" si="44"/>
        <v>8</v>
      </c>
      <c r="JB127" s="101">
        <f t="shared" si="45"/>
        <v>6</v>
      </c>
      <c r="JC127" s="102">
        <f t="shared" si="46"/>
        <v>95</v>
      </c>
      <c r="JD127" s="67">
        <f t="shared" si="50"/>
        <v>2</v>
      </c>
      <c r="JE127" s="67">
        <f t="shared" si="47"/>
        <v>2</v>
      </c>
      <c r="JF127" s="67">
        <f t="shared" si="48"/>
        <v>4</v>
      </c>
    </row>
    <row r="128">
      <c r="A128" s="104">
        <f>IFERROR(__xludf.DUMMYFUNCTION("""COMPUTED_VALUE"""),45969.45757409722)</f>
        <v>45969.45757</v>
      </c>
      <c r="B128" s="105" t="str">
        <f>IFERROR(__xludf.DUMMYFUNCTION("""COMPUTED_VALUE"""),"Alfarizy Fauzan wijaya")</f>
        <v>Alfarizy Fauzan wijaya</v>
      </c>
      <c r="C128" s="7" t="str">
        <f>IFERROR(__xludf.DUMMYFUNCTION("""COMPUTED_VALUE"""),"A250068")</f>
        <v>A250068</v>
      </c>
      <c r="D128" s="7" t="str">
        <f>IFERROR(__xludf.DUMMYFUNCTION("""COMPUTED_VALUE"""),"MTs Putra")</f>
        <v>MTs Putra</v>
      </c>
      <c r="E128" s="7" t="str">
        <f>IFERROR(__xludf.DUMMYFUNCTION("""COMPUTED_VALUE"""),"Ya")</f>
        <v>Ya</v>
      </c>
      <c r="F128" s="105" t="str">
        <f>IFERROR(__xludf.DUMMYFUNCTION("""COMPUTED_VALUE"""),"B Saya ingin melakukan apa saja sebaik mungkin.")</f>
        <v>B Saya ingin melakukan apa saja sebaik mungkin.</v>
      </c>
      <c r="G128" s="105" t="str">
        <f>IFERROR(__xludf.DUMMYFUNCTION("""COMPUTED_VALUE"""),"B Saya ingin menyelesaikan tugas yang segera dikumpulkan.")</f>
        <v>B Saya ingin menyelesaikan tugas yang segera dikumpulkan.</v>
      </c>
      <c r="H128" s="105" t="str">
        <f>IFERROR(__xludf.DUMMYFUNCTION("""COMPUTED_VALUE"""),"A Saya ingin berbuat sesuai kata hati saya.")</f>
        <v>A Saya ingin berbuat sesuai kata hati saya.</v>
      </c>
      <c r="I128" s="105" t="str">
        <f>IFERROR(__xludf.DUMMYFUNCTION("""COMPUTED_VALUE"""),"B Saya ingin bisa melakukan dengan baik meskipun tugas yang sulit.")</f>
        <v>B Saya ingin bisa melakukan dengan baik meskipun tugas yang sulit.</v>
      </c>
      <c r="J128" s="105" t="str">
        <f>IFERROR(__xludf.DUMMYFUNCTION("""COMPUTED_VALUE"""),"B Saya ingin mengerjakan tugas sebaik mungkin.")</f>
        <v>B Saya ingin mengerjakan tugas sebaik mungkin.</v>
      </c>
      <c r="K128" s="105" t="str">
        <f>IFERROR(__xludf.DUMMYFUNCTION("""COMPUTED_VALUE"""),"B Saya ingin mengatakan telah melakukan dengan baik sesuatu tugas yang sulit.")</f>
        <v>B Saya ingin mengatakan telah melakukan dengan baik sesuatu tugas yang sulit.</v>
      </c>
      <c r="L128" s="105" t="str">
        <f>IFERROR(__xludf.DUMMYFUNCTION("""COMPUTED_VALUE"""),"B Saya ingin mengatakan telah melakukan dengan baik sesuatu tugas yang sulit")</f>
        <v>B Saya ingin mengatakan telah melakukan dengan baik sesuatu tugas yang sulit</v>
      </c>
      <c r="M128" s="105" t="str">
        <f>IFERROR(__xludf.DUMMYFUNCTION("""COMPUTED_VALUE"""),"B Saya ingin mengerjakan segala tugas lebih baik daripada orang lain.")</f>
        <v>B Saya ingin mengerjakan segala tugas lebih baik daripada orang lain.</v>
      </c>
      <c r="N128" s="105" t="str">
        <f>IFERROR(__xludf.DUMMYFUNCTION("""COMPUTED_VALUE"""),"B Saya suka memecahkan persoalan yang sukar bagi orang lain.")</f>
        <v>B Saya suka memecahkan persoalan yang sukar bagi orang lain.</v>
      </c>
      <c r="O128" s="105" t="str">
        <f>IFERROR(__xludf.DUMMYFUNCTION("""COMPUTED_VALUE"""),"B Saya suka melakukan tugas sebaik mungkin.")</f>
        <v>B Saya suka melakukan tugas sebaik mungkin.</v>
      </c>
      <c r="P128" s="105" t="str">
        <f>IFERROR(__xludf.DUMMYFUNCTION("""COMPUTED_VALUE"""),"A Saya suka bercerita tentang hal-hal yang menegangkan atau menantang.")</f>
        <v>A Saya suka bercerita tentang hal-hal yang menegangkan atau menantang.</v>
      </c>
      <c r="Q128" s="105" t="str">
        <f>IFERROR(__xludf.DUMMYFUNCTION("""COMPUTED_VALUE"""),"B Saya merencanakan keperluan yang dibutuhkan sebelum bepergian.")</f>
        <v>B Saya merencanakan keperluan yang dibutuhkan sebelum bepergian.</v>
      </c>
      <c r="R128" s="105" t="str">
        <f>IFERROR(__xludf.DUMMYFUNCTION("""COMPUTED_VALUE"""),"B Saya suka barang-barang saya tersusun rapi dan teratur.")</f>
        <v>B Saya suka barang-barang saya tersusun rapi dan teratur.</v>
      </c>
      <c r="S128" s="105" t="str">
        <f>IFERROR(__xludf.DUMMYFUNCTION("""COMPUTED_VALUE"""),"A Saya ingin agar teman-teman pengertian bila saya mengalami kesukaran.")</f>
        <v>A Saya ingin agar teman-teman pengertian bila saya mengalami kesukaran.</v>
      </c>
      <c r="T128" s="105" t="str">
        <f>IFERROR(__xludf.DUMMYFUNCTION("""COMPUTED_VALUE"""),"B Saya ingin agar hidup saya teratur sesuai cita-cita saya.")</f>
        <v>B Saya ingin agar hidup saya teratur sesuai cita-cita saya.</v>
      </c>
      <c r="U128" s="105" t="str">
        <f>IFERROR(__xludf.DUMMYFUNCTION("""COMPUTED_VALUE"""),"B Saya suka menyimpan catatan secara rapi.")</f>
        <v>B Saya suka menyimpan catatan secara rapi.</v>
      </c>
      <c r="V128" s="105" t="str">
        <f>IFERROR(__xludf.DUMMYFUNCTION("""COMPUTED_VALUE"""),"B Saya suka belajar saya teratur dan ada waktu-waktu tertentu untuk belajar.")</f>
        <v>B Saya suka belajar saya teratur dan ada waktu-waktu tertentu untuk belajar.</v>
      </c>
      <c r="W128" s="105" t="str">
        <f>IFERROR(__xludf.DUMMYFUNCTION("""COMPUTED_VALUE"""),"A Saya suka melakukan kegiatan sesuai kondisi yang saya inginkan.")</f>
        <v>A Saya suka melakukan kegiatan sesuai kondisi yang saya inginkan.</v>
      </c>
      <c r="X128" s="105" t="str">
        <f>IFERROR(__xludf.DUMMYFUNCTION("""COMPUTED_VALUE"""),"A Saya suka merencanakan dan mengatur setiap apa yang harus saya lakukan.")</f>
        <v>A Saya suka merencanakan dan mengatur setiap apa yang harus saya lakukan.</v>
      </c>
      <c r="Y128" s="105" t="str">
        <f>IFERROR(__xludf.DUMMYFUNCTION("""COMPUTED_VALUE"""),"A Saya suka menyelesaikan tugas-tugas yang membutuhkan ketrampilan dan usaha.")</f>
        <v>A Saya suka menyelesaikan tugas-tugas yang membutuhkan ketrampilan dan usaha.</v>
      </c>
      <c r="Z128" s="105" t="str">
        <f>IFERROR(__xludf.DUMMYFUNCTION("""COMPUTED_VALUE"""),"A Saya ingin berhasil dengan belajar yang saya lakukan.")</f>
        <v>A Saya ingin berhasil dengan belajar yang saya lakukan.</v>
      </c>
      <c r="AA128" s="105" t="str">
        <f>IFERROR(__xludf.DUMMYFUNCTION("""COMPUTED_VALUE"""),"A Saya suka menyelesaikan tugas yang telah saya rencanakan.")</f>
        <v>A Saya suka menyelesaikan tugas yang telah saya rencanakan.</v>
      </c>
      <c r="AB128" s="105" t="str">
        <f>IFERROR(__xludf.DUMMYFUNCTION("""COMPUTED_VALUE"""),"B Saya ingin menyelesaikan pekerjaan satu persatu sebelum memulai yang lain.")</f>
        <v>B Saya ingin menyelesaikan pekerjaan satu persatu sebelum memulai yang lain.</v>
      </c>
      <c r="AC128" s="105" t="str">
        <f>IFERROR(__xludf.DUMMYFUNCTION("""COMPUTED_VALUE"""),"A Saya suka menyelesaikan setiap tugas meskipun membutuhkan waktu lama.")</f>
        <v>A Saya suka menyelesaikan setiap tugas meskipun membutuhkan waktu lama.</v>
      </c>
      <c r="AD128" s="105" t="str">
        <f>IFERROR(__xludf.DUMMYFUNCTION("""COMPUTED_VALUE"""),"A Saya suka bermurah hati terhadap teman-teman saya.")</f>
        <v>A Saya suka bermurah hati terhadap teman-teman saya.</v>
      </c>
      <c r="AE128" s="105" t="str">
        <f>IFERROR(__xludf.DUMMYFUNCTION("""COMPUTED_VALUE"""),"B Saya suka melakukan hal-hal yang dianggap orang lain tidak sesuai.")</f>
        <v>B Saya suka melakukan hal-hal yang dianggap orang lain tidak sesuai.</v>
      </c>
      <c r="AF128" s="105" t="str">
        <f>IFERROR(__xludf.DUMMYFUNCTION("""COMPUTED_VALUE"""),"A Saya ingin agar teman-teman mengerti bila saya mengalami kesukaran.")</f>
        <v>A Saya ingin agar teman-teman mengerti bila saya mengalami kesukaran.</v>
      </c>
      <c r="AG128" s="105" t="str">
        <f>IFERROR(__xludf.DUMMYFUNCTION("""COMPUTED_VALUE"""),"B Saya ingin berhasil dengan tugas yang saya lakukan.")</f>
        <v>B Saya ingin berhasil dengan tugas yang saya lakukan.</v>
      </c>
      <c r="AH128" s="105" t="str">
        <f>IFERROR(__xludf.DUMMYFUNCTION("""COMPUTED_VALUE"""),"B Saya ingin merasa bebas untuk melakukan apa yang saya kehendaki.")</f>
        <v>B Saya ingin merasa bebas untuk melakukan apa yang saya kehendaki.</v>
      </c>
      <c r="AI128" s="105" t="str">
        <f>IFERROR(__xludf.DUMMYFUNCTION("""COMPUTED_VALUE"""),"B Saya suka melakukan kegiatan sesuai kondisi yang saya inginkan.")</f>
        <v>B Saya suka melakukan kegiatan sesuai kondisi yang saya inginkan.</v>
      </c>
      <c r="AJ128" s="105" t="str">
        <f>IFERROR(__xludf.DUMMYFUNCTION("""COMPUTED_VALUE"""),"B Saya suka bertahan menghadapi satu masalah meskipun belum tentu berhasil.")</f>
        <v>B Saya suka bertahan menghadapi satu masalah meskipun belum tentu berhasil.</v>
      </c>
      <c r="AK128" s="105" t="str">
        <f>IFERROR(__xludf.DUMMYFUNCTION("""COMPUTED_VALUE"""),"B Bila saya harus melakukan suatu tugas, saya ingin mengerjakan sampai selesai.")</f>
        <v>B Bila saya harus melakukan suatu tugas, saya ingin mengerjakan sampai selesai.</v>
      </c>
      <c r="AL128" s="105" t="str">
        <f>IFERROR(__xludf.DUMMYFUNCTION("""COMPUTED_VALUE"""),"B Saya ingin menghindarkan gangguan bila saya sedang belajar.")</f>
        <v>B Saya ingin menghindarkan gangguan bila saya sedang belajar.</v>
      </c>
      <c r="AM128" s="105" t="str">
        <f>IFERROR(__xludf.DUMMYFUNCTION("""COMPUTED_VALUE"""),"B Saya suka belajar sampai malam untuk menyelesaikan suatu tugas.")</f>
        <v>B Saya suka belajar sampai malam untuk menyelesaikan suatu tugas.</v>
      </c>
      <c r="AN128" s="105" t="str">
        <f>IFERROR(__xludf.DUMMYFUNCTION("""COMPUTED_VALUE"""),"A Saya tidak suka pada orang yang semena-mena.")</f>
        <v>A Saya tidak suka pada orang yang semena-mena.</v>
      </c>
      <c r="AO128" s="105" t="str">
        <f>IFERROR(__xludf.DUMMYFUNCTION("""COMPUTED_VALUE"""),"B Saya suka menyelesaikan setiap tugas meskipun membutuhkan waktu lama.")</f>
        <v>B Saya suka menyelesaikan setiap tugas meskipun membutuhkan waktu lama.</v>
      </c>
      <c r="AP128" s="105" t="str">
        <f>IFERROR(__xludf.DUMMYFUNCTION("""COMPUTED_VALUE"""),"A Saya ingin mengerjakannya tugas sampai selesai.")</f>
        <v>A Saya ingin mengerjakannya tugas sampai selesai.</v>
      </c>
      <c r="AQ128" s="105" t="str">
        <f>IFERROR(__xludf.DUMMYFUNCTION("""COMPUTED_VALUE"""),"B Bila saya harus melakukan suatu tugas, saya ingin mengerjakan sampai selesai.")</f>
        <v>B Bila saya harus melakukan suatu tugas, saya ingin mengerjakan sampai selesai.</v>
      </c>
      <c r="AR128" s="105" t="str">
        <f>IFERROR(__xludf.DUMMYFUNCTION("""COMPUTED_VALUE"""),"A Saya suka menyimpan catatan secara rapi.")</f>
        <v>A Saya suka menyimpan catatan secara rapi.</v>
      </c>
      <c r="AS128" s="105" t="str">
        <f>IFERROR(__xludf.DUMMYFUNCTION("""COMPUTED_VALUE"""),"B Saya suka belajar sampai malam untuk menyelesaikan suatu tugas.")</f>
        <v>B Saya suka belajar sampai malam untuk menyelesaikan suatu tugas.</v>
      </c>
      <c r="AT128" s="105" t="str">
        <f>IFERROR(__xludf.DUMMYFUNCTION("""COMPUTED_VALUE"""),"A Saya ingin bisa melakukan dengan baik sesuatu pekerjaan sulit.")</f>
        <v>A Saya ingin bisa melakukan dengan baik sesuatu pekerjaan sulit.</v>
      </c>
      <c r="AU128" s="105" t="str">
        <f>IFERROR(__xludf.DUMMYFUNCTION("""COMPUTED_VALUE"""),"B Saya suka bermurah hati terhadap teman-teman saya.")</f>
        <v>B Saya suka bermurah hati terhadap teman-teman saya.</v>
      </c>
      <c r="AV128" s="105" t="str">
        <f>IFERROR(__xludf.DUMMYFUNCTION("""COMPUTED_VALUE"""),"B Saya suka menolong teman-teman saya.")</f>
        <v>B Saya suka menolong teman-teman saya.</v>
      </c>
      <c r="AW128" s="105" t="str">
        <f>IFERROR(__xludf.DUMMYFUNCTION("""COMPUTED_VALUE"""),"A Saya ingin mengerjakan tugas sampai selesai.")</f>
        <v>A Saya ingin mengerjakan tugas sampai selesai.</v>
      </c>
      <c r="AX128" s="105" t="str">
        <f>IFERROR(__xludf.DUMMYFUNCTION("""COMPUTED_VALUE"""),"B Saya suka memaafkan teman-teman saya yang menyakiti hati saya.")</f>
        <v>B Saya suka memaafkan teman-teman saya yang menyakiti hati saya.</v>
      </c>
      <c r="AY128" s="105" t="str">
        <f>IFERROR(__xludf.DUMMYFUNCTION("""COMPUTED_VALUE"""),"B Saya suka menolong teman-teman saya apabila mereka dalam kesulitan.")</f>
        <v>B Saya suka menolong teman-teman saya apabila mereka dalam kesulitan.</v>
      </c>
      <c r="AZ128" s="105" t="str">
        <f>IFERROR(__xludf.DUMMYFUNCTION("""COMPUTED_VALUE"""),"B Saya suka menunjukkan simpati saya kepada teman-teman saya.")</f>
        <v>B Saya suka menunjukkan simpati saya kepada teman-teman saya.</v>
      </c>
      <c r="BA128" s="105" t="str">
        <f>IFERROR(__xludf.DUMMYFUNCTION("""COMPUTED_VALUE"""),"B Saya suka memperlakukan orang lain dengan baik dan ramah.")</f>
        <v>B Saya suka memperlakukan orang lain dengan baik dan ramah.</v>
      </c>
      <c r="BB128" s="105" t="str">
        <f>IFERROR(__xludf.DUMMYFUNCTION("""COMPUTED_VALUE"""),"B Saya suka bermurah hati terhadap teman-teman saya.")</f>
        <v>B Saya suka bermurah hati terhadap teman-teman saya.</v>
      </c>
      <c r="BC128" s="105" t="str">
        <f>IFERROR(__xludf.DUMMYFUNCTION("""COMPUTED_VALUE"""),"B Saya suka membantu orang lain yang menurut saya perlu dikasihani.")</f>
        <v>B Saya suka membantu orang lain yang menurut saya perlu dikasihani.</v>
      </c>
      <c r="BD128" s="105" t="str">
        <f>IFERROR(__xludf.DUMMYFUNCTION("""COMPUTED_VALUE"""),"B Saya suka bersikukuh dengan pendirian saya.")</f>
        <v>B Saya suka bersikukuh dengan pendirian saya.</v>
      </c>
      <c r="BE128" s="105" t="str">
        <f>IFERROR(__xludf.DUMMYFUNCTION("""COMPUTED_VALUE"""),"B Saya ingin orang lain melakukan apa yang saya kehendaki.")</f>
        <v>B Saya ingin orang lain melakukan apa yang saya kehendaki.</v>
      </c>
      <c r="BF128" s="105" t="str">
        <f>IFERROR(__xludf.DUMMYFUNCTION("""COMPUTED_VALUE"""),"B Bila saya dalam kelompok, saya ingin menentukan apa yang akan kita lakukan.")</f>
        <v>B Bila saya dalam kelompok, saya ingin menentukan apa yang akan kita lakukan.</v>
      </c>
      <c r="BG128" s="105" t="str">
        <f>IFERROR(__xludf.DUMMYFUNCTION("""COMPUTED_VALUE"""),"B Saya suka mengarahkan kepada orang lain apa yang harus dilakukan.")</f>
        <v>B Saya suka mengarahkan kepada orang lain apa yang harus dilakukan.</v>
      </c>
      <c r="BH128" s="105" t="str">
        <f>IFERROR(__xludf.DUMMYFUNCTION("""COMPUTED_VALUE"""),"B Apabila saya berkumpul dalam kelompok, saya ingin dihargai teman-teman.")</f>
        <v>B Apabila saya berkumpul dalam kelompok, saya ingin dihargai teman-teman.</v>
      </c>
      <c r="BI128" s="105" t="str">
        <f>IFERROR(__xludf.DUMMYFUNCTION("""COMPUTED_VALUE"""),"A Saya suka bermurah hati terhadap teman-teman saya.")</f>
        <v>A Saya suka bermurah hati terhadap teman-teman saya.</v>
      </c>
      <c r="BJ128" s="105" t="str">
        <f>IFERROR(__xludf.DUMMYFUNCTION("""COMPUTED_VALUE"""),"A Saya ingin mengerjakan tugas sampai selesai.")</f>
        <v>A Saya ingin mengerjakan tugas sampai selesai.</v>
      </c>
      <c r="BK128" s="105" t="str">
        <f>IFERROR(__xludf.DUMMYFUNCTION("""COMPUTED_VALUE"""),"A Saya ingin menyelesaikan pekerjaan satu persatu sebelum memulai yang lain.")</f>
        <v>A Saya ingin menyelesaikan pekerjaan satu persatu sebelum memulai yang lain.</v>
      </c>
      <c r="BL128" s="105" t="str">
        <f>IFERROR(__xludf.DUMMYFUNCTION("""COMPUTED_VALUE"""),"A Saya suka belajar saya teratur dan ada waktu-waktu tertentu untuk belajar.")</f>
        <v>A Saya suka belajar saya teratur dan ada waktu-waktu tertentu untuk belajar.</v>
      </c>
      <c r="BM128" s="105" t="str">
        <f>IFERROR(__xludf.DUMMYFUNCTION("""COMPUTED_VALUE"""),"A Saya suka melakukan pekerjaan sebaik mungkin.")</f>
        <v>A Saya suka melakukan pekerjaan sebaik mungkin.</v>
      </c>
      <c r="BN128" s="105" t="str">
        <f>IFERROR(__xludf.DUMMYFUNCTION("""COMPUTED_VALUE"""),"A Saya suka mengerjakan teka-teki atau memecahkan persoalan sampai selesai.")</f>
        <v>A Saya suka mengerjakan teka-teki atau memecahkan persoalan sampai selesai.</v>
      </c>
      <c r="BO128" s="105" t="str">
        <f>IFERROR(__xludf.DUMMYFUNCTION("""COMPUTED_VALUE"""),"B Saya ingin diperlakukan dengan baik oleh teman-teman saya.")</f>
        <v>B Saya ingin diperlakukan dengan baik oleh teman-teman saya.</v>
      </c>
      <c r="BP128" s="105" t="str">
        <f>IFERROR(__xludf.DUMMYFUNCTION("""COMPUTED_VALUE"""),"A Saya ingin menyelesaikan sesuatu yang sangat penting artinya.")</f>
        <v>A Saya ingin menyelesaikan sesuatu yang sangat penting artinya.</v>
      </c>
      <c r="BQ128" s="105" t="str">
        <f>IFERROR(__xludf.DUMMYFUNCTION("""COMPUTED_VALUE"""),"A Saya ingin mengerjakannya tugas sampai selesai.")</f>
        <v>A Saya ingin mengerjakannya tugas sampai selesai.</v>
      </c>
      <c r="BR128" s="105" t="str">
        <f>IFERROR(__xludf.DUMMYFUNCTION("""COMPUTED_VALUE"""),"A Saya suka memaafkan teman-teman saya yang menyakiti hati saya.")</f>
        <v>A Saya suka memaafkan teman-teman saya yang menyakiti hati saya.</v>
      </c>
      <c r="BS128" s="105" t="str">
        <f>IFERROR(__xludf.DUMMYFUNCTION("""COMPUTED_VALUE"""),"B Saya ingin teman-teman saya membantu saya bila saya mengalami kesulitan")</f>
        <v>B Saya ingin teman-teman saya membantu saya bila saya mengalami kesulitan</v>
      </c>
      <c r="BT128" s="105" t="str">
        <f>IFERROR(__xludf.DUMMYFUNCTION("""COMPUTED_VALUE"""),"A Saya ingin teman-teman saya merasa kasihan pada saya apabila saya sakit.")</f>
        <v>A Saya ingin teman-teman saya merasa kasihan pada saya apabila saya sakit.</v>
      </c>
      <c r="BU128" s="105" t="str">
        <f>IFERROR(__xludf.DUMMYFUNCTION("""COMPUTED_VALUE"""),"B Saya ingin agar teman-teman saya merasa kasihan pada saya apabila saya sakit.")</f>
        <v>B Saya ingin agar teman-teman saya merasa kasihan pada saya apabila saya sakit.</v>
      </c>
      <c r="BV128" s="105" t="str">
        <f>IFERROR(__xludf.DUMMYFUNCTION("""COMPUTED_VALUE"""),"B Saya ingin teman-teman dengan gembira memberikan pertolongan kepada saya.")</f>
        <v>B Saya ingin teman-teman dengan gembira memberikan pertolongan kepada saya.</v>
      </c>
      <c r="BW128" s="105" t="str">
        <f>IFERROR(__xludf.DUMMYFUNCTION("""COMPUTED_VALUE"""),"B Saya ingin diperlakukan dengan baik oleh teman-teman saya.")</f>
        <v>B Saya ingin diperlakukan dengan baik oleh teman-teman saya.</v>
      </c>
      <c r="BX128" s="105" t="str">
        <f>IFERROR(__xludf.DUMMYFUNCTION("""COMPUTED_VALUE"""),"B Saya kadang-kadang suka melakukan hal-hal yang dapat dipuji oleh orang lain.")</f>
        <v>B Saya kadang-kadang suka melakukan hal-hal yang dapat dipuji oleh orang lain.</v>
      </c>
      <c r="BY128" s="105" t="str">
        <f>IFERROR(__xludf.DUMMYFUNCTION("""COMPUTED_VALUE"""),"B Saya ingin orang lain memperhatikan dan berkomentar tentang penampilan saya.")</f>
        <v>B Saya ingin orang lain memperhatikan dan berkomentar tentang penampilan saya.</v>
      </c>
      <c r="BZ128" s="105" t="str">
        <f>IFERROR(__xludf.DUMMYFUNCTION("""COMPUTED_VALUE"""),"A Saya suka berkata yang artinya sulit dipahami oleh orang lain.")</f>
        <v>A Saya suka berkata yang artinya sulit dipahami oleh orang lain.</v>
      </c>
      <c r="CA128" s="105" t="str">
        <f>IFERROR(__xludf.DUMMYFUNCTION("""COMPUTED_VALUE"""),"A Saya ingin teman-teman dengan gembira memberikan pertolongan kepada saya.")</f>
        <v>A Saya ingin teman-teman dengan gembira memberikan pertolongan kepada saya.</v>
      </c>
      <c r="CB128" s="105" t="str">
        <f>IFERROR(__xludf.DUMMYFUNCTION("""COMPUTED_VALUE"""),"B Saya suka berbicara tentang hal-hal yang telah saya capai.")</f>
        <v>B Saya suka berbicara tentang hal-hal yang telah saya capai.</v>
      </c>
      <c r="CC128" s="105" t="str">
        <f>IFERROR(__xludf.DUMMYFUNCTION("""COMPUTED_VALUE"""),"A Apabila saya berkumpul dalam kelompok, saya ingin dihargai teman-teman.")</f>
        <v>A Apabila saya berkumpul dalam kelompok, saya ingin dihargai teman-teman.</v>
      </c>
      <c r="CD128" s="105" t="str">
        <f>IFERROR(__xludf.DUMMYFUNCTION("""COMPUTED_VALUE"""),"A Saya suka menyelesaikan setiap tugas meskipun membutuhkan waktu lama.")</f>
        <v>A Saya suka menyelesaikan setiap tugas meskipun membutuhkan waktu lama.</v>
      </c>
      <c r="CE128" s="105" t="str">
        <f>IFERROR(__xludf.DUMMYFUNCTION("""COMPUTED_VALUE"""),"A Saya suka menyelesaikan setiap tugas belajar yang telah saya mulai.")</f>
        <v>A Saya suka menyelesaikan setiap tugas belajar yang telah saya mulai.</v>
      </c>
      <c r="CF128" s="105" t="str">
        <f>IFERROR(__xludf.DUMMYFUNCTION("""COMPUTED_VALUE"""),"A Saya ingin agar hidup saya teratur sesuai cita-cita saya.")</f>
        <v>A Saya ingin agar hidup saya teratur sesuai cita-cita saya.</v>
      </c>
      <c r="CG128" s="105" t="str">
        <f>IFERROR(__xludf.DUMMYFUNCTION("""COMPUTED_VALUE"""),"A Saya ingin berhasil dalam apa yang saya lakukan.")</f>
        <v>A Saya ingin berhasil dalam apa yang saya lakukan.</v>
      </c>
      <c r="CH128" s="105" t="str">
        <f>IFERROR(__xludf.DUMMYFUNCTION("""COMPUTED_VALUE"""),"A Saya ingin bisa melakukan dengan baik sesuatu pekerjaan sulit.")</f>
        <v>A Saya ingin bisa melakukan dengan baik sesuatu pekerjaan sulit.</v>
      </c>
      <c r="CI128" s="105" t="str">
        <f>IFERROR(__xludf.DUMMYFUNCTION("""COMPUTED_VALUE"""),"A Saya suka belajar saya teratur dan ada waktu-waktu tertentu untuk belajar.")</f>
        <v>A Saya suka belajar saya teratur dan ada waktu-waktu tertentu untuk belajar.</v>
      </c>
      <c r="CJ128" s="105" t="str">
        <f>IFERROR(__xludf.DUMMYFUNCTION("""COMPUTED_VALUE"""),"A Saya ingin tidak tergantung dari orang lain terhadap apa yang akan saya lakukan.")</f>
        <v>A Saya ingin tidak tergantung dari orang lain terhadap apa yang akan saya lakukan.</v>
      </c>
      <c r="CK128" s="105" t="str">
        <f>IFERROR(__xludf.DUMMYFUNCTION("""COMPUTED_VALUE"""),"B Saya senang ikut beraktivitas bersama teman sebaya saya.")</f>
        <v>B Saya senang ikut beraktivitas bersama teman sebaya saya.</v>
      </c>
      <c r="CL128" s="105" t="str">
        <f>IFERROR(__xludf.DUMMYFUNCTION("""COMPUTED_VALUE"""),"A Saya suka menolong teman-teman saya, apabila mereka dalam kesulitan.")</f>
        <v>A Saya suka menolong teman-teman saya, apabila mereka dalam kesulitan.</v>
      </c>
      <c r="CM128" s="105" t="str">
        <f>IFERROR(__xludf.DUMMYFUNCTION("""COMPUTED_VALUE"""),"B Saya merasa kagum pada seseorang.")</f>
        <v>B Saya merasa kagum pada seseorang.</v>
      </c>
      <c r="CN128" s="105" t="str">
        <f>IFERROR(__xludf.DUMMYFUNCTION("""COMPUTED_VALUE"""),"A Saya ingin diperlakukan dengan baik oleh teman-teman saya.")</f>
        <v>A Saya ingin diperlakukan dengan baik oleh teman-teman saya.</v>
      </c>
      <c r="CO128" s="105" t="str">
        <f>IFERROR(__xludf.DUMMYFUNCTION("""COMPUTED_VALUE"""),"B Saya suka memuji orang yang saya kagumi.")</f>
        <v>B Saya suka memuji orang yang saya kagumi.</v>
      </c>
      <c r="CP128" s="105" t="str">
        <f>IFERROR(__xludf.DUMMYFUNCTION("""COMPUTED_VALUE"""),"B Saya ingin dianggap menarik oleh orang lain.")</f>
        <v>B Saya ingin dianggap menarik oleh orang lain.</v>
      </c>
      <c r="CQ128" s="105" t="str">
        <f>IFERROR(__xludf.DUMMYFUNCTION("""COMPUTED_VALUE"""),"B Saya merasa kagum pada seseorang.")</f>
        <v>B Saya merasa kagum pada seseorang.</v>
      </c>
      <c r="CR128" s="105" t="str">
        <f>IFERROR(__xludf.DUMMYFUNCTION("""COMPUTED_VALUE"""),"B Saya rasanya ingin mengecam seseorang bila orang itu menjengkelkan.")</f>
        <v>B Saya rasanya ingin mengecam seseorang bila orang itu menjengkelkan.</v>
      </c>
      <c r="CS128" s="105" t="str">
        <f>IFERROR(__xludf.DUMMYFUNCTION("""COMPUTED_VALUE"""),"A Saya ingin terlihat menarik di depan teman-teman saya.")</f>
        <v>A Saya ingin terlihat menarik di depan teman-teman saya.</v>
      </c>
      <c r="CT128" s="105" t="str">
        <f>IFERROR(__xludf.DUMMYFUNCTION("""COMPUTED_VALUE"""),"A Saya ingin orang-orang memperhatikan komentar mengenai penampilan saya.")</f>
        <v>A Saya ingin orang-orang memperhatikan komentar mengenai penampilan saya.</v>
      </c>
      <c r="CU128" s="105" t="str">
        <f>IFERROR(__xludf.DUMMYFUNCTION("""COMPUTED_VALUE"""),"A Saya ingin diperlakukan dengan ramah oleh teman-teman saya.")</f>
        <v>A Saya ingin diperlakukan dengan ramah oleh teman-teman saya.</v>
      </c>
      <c r="CV128" s="105" t="str">
        <f>IFERROR(__xludf.DUMMYFUNCTION("""COMPUTED_VALUE"""),"A Saya ingin ditunjuk atau dipilih sebagai ketua dalam suatu kelompok.")</f>
        <v>A Saya ingin ditunjuk atau dipilih sebagai ketua dalam suatu kelompok.</v>
      </c>
      <c r="CW128" s="105" t="str">
        <f>IFERROR(__xludf.DUMMYFUNCTION("""COMPUTED_VALUE"""),"A Saya suka menolong teman-teman saya, apabila mereka dalam kesulitan.")</f>
        <v>A Saya suka menolong teman-teman saya, apabila mereka dalam kesulitan.</v>
      </c>
      <c r="CX128" s="105" t="str">
        <f>IFERROR(__xludf.DUMMYFUNCTION("""COMPUTED_VALUE"""),"A Saya suka belajar sampai malam untuk menyelesaikan suatu tugas.")</f>
        <v>A Saya suka belajar sampai malam untuk menyelesaikan suatu tugas.</v>
      </c>
      <c r="CY128" s="105" t="str">
        <f>IFERROR(__xludf.DUMMYFUNCTION("""COMPUTED_VALUE"""),"A Saya ingin tidak tergantung dari orang lain terhadap apa yang akan saya lakukan.")</f>
        <v>A Saya ingin tidak tergantung dari orang lain terhadap apa yang akan saya lakukan.</v>
      </c>
      <c r="CZ128" s="105" t="str">
        <f>IFERROR(__xludf.DUMMYFUNCTION("""COMPUTED_VALUE"""),"A Saya suka merencanakan dan mengatur setiap pekerjaan yang harus saya lakukan.")</f>
        <v>A Saya suka merencanakan dan mengatur setiap pekerjaan yang harus saya lakukan.</v>
      </c>
      <c r="DA128" s="105" t="str">
        <f>IFERROR(__xludf.DUMMYFUNCTION("""COMPUTED_VALUE"""),"A Saya ingin melakukan apa saja sebaik mungkin.")</f>
        <v>A Saya ingin melakukan apa saja sebaik mungkin.</v>
      </c>
      <c r="DB128" s="89" t="s">
        <v>23</v>
      </c>
      <c r="DC128" s="97" t="str">
        <f t="shared" ref="DC128:GX128" si="173">LEFT(F128,1)</f>
        <v>B</v>
      </c>
      <c r="DD128" s="97" t="str">
        <f t="shared" si="173"/>
        <v>B</v>
      </c>
      <c r="DE128" s="97" t="str">
        <f t="shared" si="173"/>
        <v>A</v>
      </c>
      <c r="DF128" s="97" t="str">
        <f t="shared" si="173"/>
        <v>B</v>
      </c>
      <c r="DG128" s="97" t="str">
        <f t="shared" si="173"/>
        <v>B</v>
      </c>
      <c r="DH128" s="97" t="str">
        <f t="shared" si="173"/>
        <v>B</v>
      </c>
      <c r="DI128" s="97" t="str">
        <f t="shared" si="173"/>
        <v>B</v>
      </c>
      <c r="DJ128" s="97" t="str">
        <f t="shared" si="173"/>
        <v>B</v>
      </c>
      <c r="DK128" s="97" t="str">
        <f t="shared" si="173"/>
        <v>B</v>
      </c>
      <c r="DL128" s="97" t="str">
        <f t="shared" si="173"/>
        <v>B</v>
      </c>
      <c r="DM128" s="97" t="str">
        <f t="shared" si="173"/>
        <v>A</v>
      </c>
      <c r="DN128" s="97" t="str">
        <f t="shared" si="173"/>
        <v>B</v>
      </c>
      <c r="DO128" s="97" t="str">
        <f t="shared" si="173"/>
        <v>B</v>
      </c>
      <c r="DP128" s="97" t="str">
        <f t="shared" si="173"/>
        <v>A</v>
      </c>
      <c r="DQ128" s="97" t="str">
        <f t="shared" si="173"/>
        <v>B</v>
      </c>
      <c r="DR128" s="97" t="str">
        <f t="shared" si="173"/>
        <v>B</v>
      </c>
      <c r="DS128" s="97" t="str">
        <f t="shared" si="173"/>
        <v>B</v>
      </c>
      <c r="DT128" s="97" t="str">
        <f t="shared" si="173"/>
        <v>A</v>
      </c>
      <c r="DU128" s="97" t="str">
        <f t="shared" si="173"/>
        <v>A</v>
      </c>
      <c r="DV128" s="97" t="str">
        <f t="shared" si="173"/>
        <v>A</v>
      </c>
      <c r="DW128" s="97" t="str">
        <f t="shared" si="173"/>
        <v>A</v>
      </c>
      <c r="DX128" s="97" t="str">
        <f t="shared" si="173"/>
        <v>A</v>
      </c>
      <c r="DY128" s="97" t="str">
        <f t="shared" si="173"/>
        <v>B</v>
      </c>
      <c r="DZ128" s="97" t="str">
        <f t="shared" si="173"/>
        <v>A</v>
      </c>
      <c r="EA128" s="97" t="str">
        <f t="shared" si="173"/>
        <v>A</v>
      </c>
      <c r="EB128" s="97" t="str">
        <f t="shared" si="173"/>
        <v>B</v>
      </c>
      <c r="EC128" s="97" t="str">
        <f t="shared" si="173"/>
        <v>A</v>
      </c>
      <c r="ED128" s="97" t="str">
        <f t="shared" si="173"/>
        <v>B</v>
      </c>
      <c r="EE128" s="97" t="str">
        <f t="shared" si="173"/>
        <v>B</v>
      </c>
      <c r="EF128" s="97" t="str">
        <f t="shared" si="173"/>
        <v>B</v>
      </c>
      <c r="EG128" s="97" t="str">
        <f t="shared" si="173"/>
        <v>B</v>
      </c>
      <c r="EH128" s="97" t="str">
        <f t="shared" si="173"/>
        <v>B</v>
      </c>
      <c r="EI128" s="97" t="str">
        <f t="shared" si="173"/>
        <v>B</v>
      </c>
      <c r="EJ128" s="97" t="str">
        <f t="shared" si="173"/>
        <v>B</v>
      </c>
      <c r="EK128" s="97" t="str">
        <f t="shared" si="173"/>
        <v>A</v>
      </c>
      <c r="EL128" s="97" t="str">
        <f t="shared" si="173"/>
        <v>B</v>
      </c>
      <c r="EM128" s="97" t="str">
        <f t="shared" si="173"/>
        <v>A</v>
      </c>
      <c r="EN128" s="97" t="str">
        <f t="shared" si="173"/>
        <v>B</v>
      </c>
      <c r="EO128" s="97" t="str">
        <f t="shared" si="173"/>
        <v>A</v>
      </c>
      <c r="EP128" s="97" t="str">
        <f t="shared" si="173"/>
        <v>B</v>
      </c>
      <c r="EQ128" s="97" t="str">
        <f t="shared" si="173"/>
        <v>A</v>
      </c>
      <c r="ER128" s="97" t="str">
        <f t="shared" si="173"/>
        <v>B</v>
      </c>
      <c r="ES128" s="97" t="str">
        <f t="shared" si="173"/>
        <v>B</v>
      </c>
      <c r="ET128" s="97" t="str">
        <f t="shared" si="173"/>
        <v>A</v>
      </c>
      <c r="EU128" s="97" t="str">
        <f t="shared" si="173"/>
        <v>B</v>
      </c>
      <c r="EV128" s="97" t="str">
        <f t="shared" si="173"/>
        <v>B</v>
      </c>
      <c r="EW128" s="97" t="str">
        <f t="shared" si="173"/>
        <v>B</v>
      </c>
      <c r="EX128" s="97" t="str">
        <f t="shared" si="173"/>
        <v>B</v>
      </c>
      <c r="EY128" s="97" t="str">
        <f t="shared" si="173"/>
        <v>B</v>
      </c>
      <c r="EZ128" s="97" t="str">
        <f t="shared" si="173"/>
        <v>B</v>
      </c>
      <c r="FA128" s="97" t="str">
        <f t="shared" si="173"/>
        <v>B</v>
      </c>
      <c r="FB128" s="97" t="str">
        <f t="shared" si="173"/>
        <v>B</v>
      </c>
      <c r="FC128" s="97" t="str">
        <f t="shared" si="173"/>
        <v>B</v>
      </c>
      <c r="FD128" s="97" t="str">
        <f t="shared" si="173"/>
        <v>B</v>
      </c>
      <c r="FE128" s="97" t="str">
        <f t="shared" si="173"/>
        <v>B</v>
      </c>
      <c r="FF128" s="97" t="str">
        <f t="shared" si="173"/>
        <v>A</v>
      </c>
      <c r="FG128" s="97" t="str">
        <f t="shared" si="173"/>
        <v>A</v>
      </c>
      <c r="FH128" s="97" t="str">
        <f t="shared" si="173"/>
        <v>A</v>
      </c>
      <c r="FI128" s="97" t="str">
        <f t="shared" si="173"/>
        <v>A</v>
      </c>
      <c r="FJ128" s="97" t="str">
        <f t="shared" si="173"/>
        <v>A</v>
      </c>
      <c r="FK128" s="97" t="str">
        <f t="shared" si="173"/>
        <v>A</v>
      </c>
      <c r="FL128" s="97" t="str">
        <f t="shared" si="173"/>
        <v>B</v>
      </c>
      <c r="FM128" s="97" t="str">
        <f t="shared" si="173"/>
        <v>A</v>
      </c>
      <c r="FN128" s="97" t="str">
        <f t="shared" si="173"/>
        <v>A</v>
      </c>
      <c r="FO128" s="97" t="str">
        <f t="shared" si="173"/>
        <v>A</v>
      </c>
      <c r="FP128" s="97" t="str">
        <f t="shared" si="173"/>
        <v>B</v>
      </c>
      <c r="FQ128" s="97" t="str">
        <f t="shared" si="173"/>
        <v>A</v>
      </c>
      <c r="FR128" s="97" t="str">
        <f t="shared" si="173"/>
        <v>B</v>
      </c>
      <c r="FS128" s="97" t="str">
        <f t="shared" si="173"/>
        <v>B</v>
      </c>
      <c r="FT128" s="97" t="str">
        <f t="shared" si="173"/>
        <v>B</v>
      </c>
      <c r="FU128" s="97" t="str">
        <f t="shared" si="173"/>
        <v>B</v>
      </c>
      <c r="FV128" s="97" t="str">
        <f t="shared" si="173"/>
        <v>B</v>
      </c>
      <c r="FW128" s="97" t="str">
        <f t="shared" si="173"/>
        <v>A</v>
      </c>
      <c r="FX128" s="97" t="str">
        <f t="shared" si="173"/>
        <v>A</v>
      </c>
      <c r="FY128" s="97" t="str">
        <f t="shared" si="173"/>
        <v>B</v>
      </c>
      <c r="FZ128" s="97" t="str">
        <f t="shared" si="173"/>
        <v>A</v>
      </c>
      <c r="GA128" s="97" t="str">
        <f t="shared" si="173"/>
        <v>A</v>
      </c>
      <c r="GB128" s="97" t="str">
        <f t="shared" si="173"/>
        <v>A</v>
      </c>
      <c r="GC128" s="97" t="str">
        <f t="shared" si="173"/>
        <v>A</v>
      </c>
      <c r="GD128" s="97" t="str">
        <f t="shared" si="173"/>
        <v>A</v>
      </c>
      <c r="GE128" s="97" t="str">
        <f t="shared" si="173"/>
        <v>A</v>
      </c>
      <c r="GF128" s="97" t="str">
        <f t="shared" si="173"/>
        <v>A</v>
      </c>
      <c r="GG128" s="97" t="str">
        <f t="shared" si="173"/>
        <v>A</v>
      </c>
      <c r="GH128" s="97" t="str">
        <f t="shared" si="173"/>
        <v>B</v>
      </c>
      <c r="GI128" s="97" t="str">
        <f t="shared" si="173"/>
        <v>A</v>
      </c>
      <c r="GJ128" s="97" t="str">
        <f t="shared" si="173"/>
        <v>B</v>
      </c>
      <c r="GK128" s="97" t="str">
        <f t="shared" si="173"/>
        <v>A</v>
      </c>
      <c r="GL128" s="97" t="str">
        <f t="shared" si="173"/>
        <v>B</v>
      </c>
      <c r="GM128" s="97" t="str">
        <f t="shared" si="173"/>
        <v>B</v>
      </c>
      <c r="GN128" s="97" t="str">
        <f t="shared" si="173"/>
        <v>B</v>
      </c>
      <c r="GO128" s="97" t="str">
        <f t="shared" si="173"/>
        <v>B</v>
      </c>
      <c r="GP128" s="97" t="str">
        <f t="shared" si="173"/>
        <v>A</v>
      </c>
      <c r="GQ128" s="97" t="str">
        <f t="shared" si="173"/>
        <v>A</v>
      </c>
      <c r="GR128" s="97" t="str">
        <f t="shared" si="173"/>
        <v>A</v>
      </c>
      <c r="GS128" s="97" t="str">
        <f t="shared" si="173"/>
        <v>A</v>
      </c>
      <c r="GT128" s="97" t="str">
        <f t="shared" si="173"/>
        <v>A</v>
      </c>
      <c r="GU128" s="97" t="str">
        <f t="shared" si="173"/>
        <v>A</v>
      </c>
      <c r="GV128" s="97" t="str">
        <f t="shared" si="173"/>
        <v>A</v>
      </c>
      <c r="GW128" s="97" t="str">
        <f t="shared" si="173"/>
        <v>A</v>
      </c>
      <c r="GX128" s="97" t="str">
        <f t="shared" si="173"/>
        <v>A</v>
      </c>
      <c r="GY128" s="98"/>
      <c r="GZ128" s="97">
        <f t="shared" si="3"/>
        <v>47</v>
      </c>
      <c r="HA128" s="97">
        <f t="shared" si="4"/>
        <v>53</v>
      </c>
      <c r="HB128" s="90">
        <f t="shared" si="5"/>
        <v>100</v>
      </c>
      <c r="HC128" s="99"/>
      <c r="HD128" s="97">
        <f t="shared" si="6"/>
        <v>8</v>
      </c>
      <c r="HE128" s="97">
        <f t="shared" si="7"/>
        <v>8</v>
      </c>
      <c r="HF128" s="90">
        <f t="shared" si="8"/>
        <v>16</v>
      </c>
      <c r="HG128" s="99"/>
      <c r="HH128" s="97">
        <f t="shared" si="9"/>
        <v>6</v>
      </c>
      <c r="HI128" s="97">
        <f t="shared" si="10"/>
        <v>5</v>
      </c>
      <c r="HJ128" s="90">
        <f t="shared" si="11"/>
        <v>11</v>
      </c>
      <c r="HK128" s="99"/>
      <c r="HL128" s="97">
        <f t="shared" si="12"/>
        <v>7</v>
      </c>
      <c r="HM128" s="97">
        <f t="shared" si="13"/>
        <v>5</v>
      </c>
      <c r="HN128" s="90">
        <f t="shared" si="14"/>
        <v>12</v>
      </c>
      <c r="HO128" s="99"/>
      <c r="HP128" s="97">
        <f t="shared" si="15"/>
        <v>6</v>
      </c>
      <c r="HQ128" s="97">
        <f t="shared" si="16"/>
        <v>7</v>
      </c>
      <c r="HR128" s="90">
        <f t="shared" si="17"/>
        <v>13</v>
      </c>
      <c r="HS128" s="99"/>
      <c r="HT128" s="97">
        <f t="shared" si="18"/>
        <v>6</v>
      </c>
      <c r="HU128" s="97">
        <f t="shared" si="19"/>
        <v>8</v>
      </c>
      <c r="HV128" s="90">
        <f t="shared" si="20"/>
        <v>14</v>
      </c>
      <c r="HW128" s="99"/>
      <c r="HX128" s="97">
        <f t="shared" si="21"/>
        <v>2</v>
      </c>
      <c r="HY128" s="97">
        <f t="shared" si="22"/>
        <v>5</v>
      </c>
      <c r="HZ128" s="90">
        <f t="shared" si="23"/>
        <v>7</v>
      </c>
      <c r="IA128" s="99"/>
      <c r="IB128" s="97">
        <f t="shared" si="24"/>
        <v>5</v>
      </c>
      <c r="IC128" s="97">
        <f t="shared" si="25"/>
        <v>5</v>
      </c>
      <c r="ID128" s="90">
        <f t="shared" si="26"/>
        <v>10</v>
      </c>
      <c r="IE128" s="99"/>
      <c r="IF128" s="97">
        <f t="shared" si="27"/>
        <v>1</v>
      </c>
      <c r="IG128" s="97">
        <f t="shared" si="28"/>
        <v>3</v>
      </c>
      <c r="IH128" s="90">
        <f t="shared" si="29"/>
        <v>4</v>
      </c>
      <c r="II128" s="99"/>
      <c r="IJ128" s="97">
        <f t="shared" si="30"/>
        <v>1</v>
      </c>
      <c r="IK128" s="97">
        <f t="shared" si="31"/>
        <v>5</v>
      </c>
      <c r="IL128" s="90">
        <f t="shared" si="32"/>
        <v>6</v>
      </c>
      <c r="IM128" s="99"/>
      <c r="IN128" s="97">
        <f t="shared" si="33"/>
        <v>1</v>
      </c>
      <c r="IO128" s="97">
        <f t="shared" si="34"/>
        <v>1</v>
      </c>
      <c r="IP128" s="90">
        <f t="shared" si="35"/>
        <v>2</v>
      </c>
      <c r="IS128" s="100">
        <f t="shared" si="36"/>
        <v>16</v>
      </c>
      <c r="IT128" s="100">
        <f t="shared" si="37"/>
        <v>11</v>
      </c>
      <c r="IU128" s="100">
        <f t="shared" si="38"/>
        <v>12</v>
      </c>
      <c r="IV128" s="100">
        <f t="shared" si="39"/>
        <v>13</v>
      </c>
      <c r="IW128" s="100">
        <f t="shared" si="40"/>
        <v>14</v>
      </c>
      <c r="IX128" s="100">
        <f t="shared" si="41"/>
        <v>7</v>
      </c>
      <c r="IY128" s="100">
        <f t="shared" si="42"/>
        <v>10</v>
      </c>
      <c r="IZ128" s="100">
        <f t="shared" si="43"/>
        <v>4</v>
      </c>
      <c r="JA128" s="100">
        <f t="shared" si="44"/>
        <v>6</v>
      </c>
      <c r="JB128" s="101">
        <f t="shared" si="45"/>
        <v>2</v>
      </c>
      <c r="JC128" s="102">
        <f t="shared" si="46"/>
        <v>95</v>
      </c>
      <c r="JD128" s="67">
        <f t="shared" si="50"/>
        <v>0</v>
      </c>
      <c r="JE128" s="67">
        <f t="shared" si="47"/>
        <v>1</v>
      </c>
      <c r="JF128" s="67">
        <f t="shared" si="48"/>
        <v>1</v>
      </c>
    </row>
    <row r="129">
      <c r="A129" s="104">
        <f>IFERROR(__xludf.DUMMYFUNCTION("""COMPUTED_VALUE"""),45969.84819392361)</f>
        <v>45969.84819</v>
      </c>
      <c r="B129" s="105" t="str">
        <f>IFERROR(__xludf.DUMMYFUNCTION("""COMPUTED_VALUE"""),"Unaysah")</f>
        <v>Unaysah</v>
      </c>
      <c r="C129" s="7" t="str">
        <f>IFERROR(__xludf.DUMMYFUNCTION("""COMPUTED_VALUE"""),"F250002")</f>
        <v>F250002</v>
      </c>
      <c r="D129" s="7" t="str">
        <f>IFERROR(__xludf.DUMMYFUNCTION("""COMPUTED_VALUE"""),"IL Putri")</f>
        <v>IL Putri</v>
      </c>
      <c r="E129" s="7" t="str">
        <f>IFERROR(__xludf.DUMMYFUNCTION("""COMPUTED_VALUE"""),"Ya")</f>
        <v>Ya</v>
      </c>
      <c r="F129" s="105" t="str">
        <f>IFERROR(__xludf.DUMMYFUNCTION("""COMPUTED_VALUE"""),"B Saya ingin melakukan apa saja sebaik mungkin.")</f>
        <v>B Saya ingin melakukan apa saja sebaik mungkin.</v>
      </c>
      <c r="G129" s="105" t="str">
        <f>IFERROR(__xludf.DUMMYFUNCTION("""COMPUTED_VALUE"""),"A Saya ingin setiap tulisan saya teliti, rapi, dan tersusun dengan baik.")</f>
        <v>A Saya ingin setiap tulisan saya teliti, rapi, dan tersusun dengan baik.</v>
      </c>
      <c r="H129" s="105" t="str">
        <f>IFERROR(__xludf.DUMMYFUNCTION("""COMPUTED_VALUE"""),"B Saya ingin menjadi orang yang diakui dalam suatu pekerjaan atau bidang khusus.")</f>
        <v>B Saya ingin menjadi orang yang diakui dalam suatu pekerjaan atau bidang khusus.</v>
      </c>
      <c r="I129" s="105" t="str">
        <f>IFERROR(__xludf.DUMMYFUNCTION("""COMPUTED_VALUE"""),"B Saya ingin bisa melakukan dengan baik meskipun tugas yang sulit.")</f>
        <v>B Saya ingin bisa melakukan dengan baik meskipun tugas yang sulit.</v>
      </c>
      <c r="J129" s="105" t="str">
        <f>IFERROR(__xludf.DUMMYFUNCTION("""COMPUTED_VALUE"""),"A Saya suka membantu teman-teman saya apabila mereka mengalami kesulitan.")</f>
        <v>A Saya suka membantu teman-teman saya apabila mereka mengalami kesulitan.</v>
      </c>
      <c r="K129" s="105" t="str">
        <f>IFERROR(__xludf.DUMMYFUNCTION("""COMPUTED_VALUE"""),"A Saya ingin menjadi pemimpin dalam suatu kelompok.")</f>
        <v>A Saya ingin menjadi pemimpin dalam suatu kelompok.</v>
      </c>
      <c r="L129" s="105" t="str">
        <f>IFERROR(__xludf.DUMMYFUNCTION("""COMPUTED_VALUE"""),"A Saya ingin menjadi pemimpin dalam suatu kelompok")</f>
        <v>A Saya ingin menjadi pemimpin dalam suatu kelompok</v>
      </c>
      <c r="M129" s="105" t="str">
        <f>IFERROR(__xludf.DUMMYFUNCTION("""COMPUTED_VALUE"""),"B Saya ingin mengerjakan segala tugas lebih baik daripada orang lain.")</f>
        <v>B Saya ingin mengerjakan segala tugas lebih baik daripada orang lain.</v>
      </c>
      <c r="N129" s="105" t="str">
        <f>IFERROR(__xludf.DUMMYFUNCTION("""COMPUTED_VALUE"""),"B Saya suka memecahkan persoalan yang sukar bagi orang lain.")</f>
        <v>B Saya suka memecahkan persoalan yang sukar bagi orang lain.</v>
      </c>
      <c r="O129" s="105" t="str">
        <f>IFERROR(__xludf.DUMMYFUNCTION("""COMPUTED_VALUE"""),"B Saya suka melakukan tugas sebaik mungkin.")</f>
        <v>B Saya suka melakukan tugas sebaik mungkin.</v>
      </c>
      <c r="P129" s="105" t="str">
        <f>IFERROR(__xludf.DUMMYFUNCTION("""COMPUTED_VALUE"""),"B Saya ingin setiap belajar itu teratur dan direncanakan.")</f>
        <v>B Saya ingin setiap belajar itu teratur dan direncanakan.</v>
      </c>
      <c r="Q129" s="105" t="str">
        <f>IFERROR(__xludf.DUMMYFUNCTION("""COMPUTED_VALUE"""),"B Saya merencanakan keperluan yang dibutuhkan sebelum bepergian.")</f>
        <v>B Saya merencanakan keperluan yang dibutuhkan sebelum bepergian.</v>
      </c>
      <c r="R129" s="105" t="str">
        <f>IFERROR(__xludf.DUMMYFUNCTION("""COMPUTED_VALUE"""),"B Saya suka barang-barang saya tersusun rapi dan teratur.")</f>
        <v>B Saya suka barang-barang saya tersusun rapi dan teratur.</v>
      </c>
      <c r="S129" s="105" t="str">
        <f>IFERROR(__xludf.DUMMYFUNCTION("""COMPUTED_VALUE"""),"B Saya suka membuat perencanaan sebelum memulai tugas yang sulit.")</f>
        <v>B Saya suka membuat perencanaan sebelum memulai tugas yang sulit.</v>
      </c>
      <c r="T129" s="105" t="str">
        <f>IFERROR(__xludf.DUMMYFUNCTION("""COMPUTED_VALUE"""),"B Saya ingin agar hidup saya teratur sesuai cita-cita saya.")</f>
        <v>B Saya ingin agar hidup saya teratur sesuai cita-cita saya.</v>
      </c>
      <c r="U129" s="105" t="str">
        <f>IFERROR(__xludf.DUMMYFUNCTION("""COMPUTED_VALUE"""),"A Saya suka memberikan bantuan kepada teman-teman saya.")</f>
        <v>A Saya suka memberikan bantuan kepada teman-teman saya.</v>
      </c>
      <c r="V129" s="105" t="str">
        <f>IFERROR(__xludf.DUMMYFUNCTION("""COMPUTED_VALUE"""),"B Saya suka belajar saya teratur dan ada waktu-waktu tertentu untuk belajar.")</f>
        <v>B Saya suka belajar saya teratur dan ada waktu-waktu tertentu untuk belajar.</v>
      </c>
      <c r="W129" s="105" t="str">
        <f>IFERROR(__xludf.DUMMYFUNCTION("""COMPUTED_VALUE"""),"B Saya ingin kegiatan itu teratur dan direncanakan.")</f>
        <v>B Saya ingin kegiatan itu teratur dan direncanakan.</v>
      </c>
      <c r="X129" s="105" t="str">
        <f>IFERROR(__xludf.DUMMYFUNCTION("""COMPUTED_VALUE"""),"B Saya ingin agar hidup saya teratur sesuai cita-cita saya.")</f>
        <v>B Saya ingin agar hidup saya teratur sesuai cita-cita saya.</v>
      </c>
      <c r="Y129" s="105" t="str">
        <f>IFERROR(__xludf.DUMMYFUNCTION("""COMPUTED_VALUE"""),"A Saya suka menyelesaikan tugas-tugas yang membutuhkan ketrampilan dan usaha.")</f>
        <v>A Saya suka menyelesaikan tugas-tugas yang membutuhkan ketrampilan dan usaha.</v>
      </c>
      <c r="Z129" s="105" t="str">
        <f>IFERROR(__xludf.DUMMYFUNCTION("""COMPUTED_VALUE"""),"A Saya ingin berhasil dengan belajar yang saya lakukan.")</f>
        <v>A Saya ingin berhasil dengan belajar yang saya lakukan.</v>
      </c>
      <c r="AA129" s="105" t="str">
        <f>IFERROR(__xludf.DUMMYFUNCTION("""COMPUTED_VALUE"""),"B Saya tidak suka pada orang yang berbuat seenaknya sendiri.")</f>
        <v>B Saya tidak suka pada orang yang berbuat seenaknya sendiri.</v>
      </c>
      <c r="AB129" s="105" t="str">
        <f>IFERROR(__xludf.DUMMYFUNCTION("""COMPUTED_VALUE"""),"A Saya ingin tidak tergantung dari orang lain terhadap apa yang akan saya lakukan.")</f>
        <v>A Saya ingin tidak tergantung dari orang lain terhadap apa yang akan saya lakukan.</v>
      </c>
      <c r="AC129" s="105" t="str">
        <f>IFERROR(__xludf.DUMMYFUNCTION("""COMPUTED_VALUE"""),"A Saya suka menyelesaikan setiap tugas meskipun membutuhkan waktu lama.")</f>
        <v>A Saya suka menyelesaikan setiap tugas meskipun membutuhkan waktu lama.</v>
      </c>
      <c r="AD129" s="105" t="str">
        <f>IFERROR(__xludf.DUMMYFUNCTION("""COMPUTED_VALUE"""),"A Saya suka bermurah hati terhadap teman-teman saya.")</f>
        <v>A Saya suka bermurah hati terhadap teman-teman saya.</v>
      </c>
      <c r="AE129" s="105" t="str">
        <f>IFERROR(__xludf.DUMMYFUNCTION("""COMPUTED_VALUE"""),"A Saya ingin dianggap sebagai pemimpin oleh teman di kelompok.")</f>
        <v>A Saya ingin dianggap sebagai pemimpin oleh teman di kelompok.</v>
      </c>
      <c r="AF129" s="105" t="str">
        <f>IFERROR(__xludf.DUMMYFUNCTION("""COMPUTED_VALUE"""),"B Saya suka melakukan hal-hal dengan cara saya sendiri.")</f>
        <v>B Saya suka melakukan hal-hal dengan cara saya sendiri.</v>
      </c>
      <c r="AG129" s="105" t="str">
        <f>IFERROR(__xludf.DUMMYFUNCTION("""COMPUTED_VALUE"""),"A Saya mengajari orang lain bagaimana mereka harus melakukan pekerjaan mereka.")</f>
        <v>A Saya mengajari orang lain bagaimana mereka harus melakukan pekerjaan mereka.</v>
      </c>
      <c r="AH129" s="105" t="str">
        <f>IFERROR(__xludf.DUMMYFUNCTION("""COMPUTED_VALUE"""),"A Saya suka membaca buku-buku tentang pergaulan remaja.")</f>
        <v>A Saya suka membaca buku-buku tentang pergaulan remaja.</v>
      </c>
      <c r="AI129" s="105" t="str">
        <f>IFERROR(__xludf.DUMMYFUNCTION("""COMPUTED_VALUE"""),"B Saya suka melakukan kegiatan sesuai kondisi yang saya inginkan.")</f>
        <v>B Saya suka melakukan kegiatan sesuai kondisi yang saya inginkan.</v>
      </c>
      <c r="AJ129" s="105" t="str">
        <f>IFERROR(__xludf.DUMMYFUNCTION("""COMPUTED_VALUE"""),"B Saya suka bertahan menghadapi satu masalah meskipun belum tentu berhasil.")</f>
        <v>B Saya suka bertahan menghadapi satu masalah meskipun belum tentu berhasil.</v>
      </c>
      <c r="AK129" s="105" t="str">
        <f>IFERROR(__xludf.DUMMYFUNCTION("""COMPUTED_VALUE"""),"B Bila saya harus melakukan suatu tugas, saya ingin mengerjakan sampai selesai.")</f>
        <v>B Bila saya harus melakukan suatu tugas, saya ingin mengerjakan sampai selesai.</v>
      </c>
      <c r="AL129" s="105" t="str">
        <f>IFERROR(__xludf.DUMMYFUNCTION("""COMPUTED_VALUE"""),"B Saya ingin menghindarkan gangguan bila saya sedang belajar.")</f>
        <v>B Saya ingin menghindarkan gangguan bila saya sedang belajar.</v>
      </c>
      <c r="AM129" s="105" t="str">
        <f>IFERROR(__xludf.DUMMYFUNCTION("""COMPUTED_VALUE"""),"B Saya suka belajar sampai malam untuk menyelesaikan suatu tugas.")</f>
        <v>B Saya suka belajar sampai malam untuk menyelesaikan suatu tugas.</v>
      </c>
      <c r="AN129" s="105" t="str">
        <f>IFERROR(__xludf.DUMMYFUNCTION("""COMPUTED_VALUE"""),"A Saya tidak suka pada orang yang semena-mena.")</f>
        <v>A Saya tidak suka pada orang yang semena-mena.</v>
      </c>
      <c r="AO129" s="105" t="str">
        <f>IFERROR(__xludf.DUMMYFUNCTION("""COMPUTED_VALUE"""),"A Saya suka berlaku sangat ramah terhadap teman-teman saya.")</f>
        <v>A Saya suka berlaku sangat ramah terhadap teman-teman saya.</v>
      </c>
      <c r="AP129" s="105" t="str">
        <f>IFERROR(__xludf.DUMMYFUNCTION("""COMPUTED_VALUE"""),"A Saya ingin mengerjakannya tugas sampai selesai.")</f>
        <v>A Saya ingin mengerjakannya tugas sampai selesai.</v>
      </c>
      <c r="AQ129" s="105" t="str">
        <f>IFERROR(__xludf.DUMMYFUNCTION("""COMPUTED_VALUE"""),"B Bila saya harus melakukan suatu tugas, saya ingin mengerjakan sampai selesai.")</f>
        <v>B Bila saya harus melakukan suatu tugas, saya ingin mengerjakan sampai selesai.</v>
      </c>
      <c r="AR129" s="105" t="str">
        <f>IFERROR(__xludf.DUMMYFUNCTION("""COMPUTED_VALUE"""),"B Saya suka belajar keras pada tiap pelajaran yang saya hadapi.")</f>
        <v>B Saya suka belajar keras pada tiap pelajaran yang saya hadapi.</v>
      </c>
      <c r="AS129" s="105" t="str">
        <f>IFERROR(__xludf.DUMMYFUNCTION("""COMPUTED_VALUE"""),"A Saya ingin dapat menyelesaikan persoalan yang dianggap sukar bagi orang lain.")</f>
        <v>A Saya ingin dapat menyelesaikan persoalan yang dianggap sukar bagi orang lain.</v>
      </c>
      <c r="AT129" s="105" t="str">
        <f>IFERROR(__xludf.DUMMYFUNCTION("""COMPUTED_VALUE"""),"B Saya suka membantu orang lain yang menurut saya perlu dikasihani.")</f>
        <v>B Saya suka membantu orang lain yang menurut saya perlu dikasihani.</v>
      </c>
      <c r="AU129" s="105" t="str">
        <f>IFERROR(__xludf.DUMMYFUNCTION("""COMPUTED_VALUE"""),"A Saya ingin menyelesaikan pekerjaan satu persatu sebelum memulai yang lain.")</f>
        <v>A Saya ingin menyelesaikan pekerjaan satu persatu sebelum memulai yang lain.</v>
      </c>
      <c r="AV129" s="105" t="str">
        <f>IFERROR(__xludf.DUMMYFUNCTION("""COMPUTED_VALUE"""),"B Saya suka menolong teman-teman saya.")</f>
        <v>B Saya suka menolong teman-teman saya.</v>
      </c>
      <c r="AW129" s="105" t="str">
        <f>IFERROR(__xludf.DUMMYFUNCTION("""COMPUTED_VALUE"""),"B Saya ingin teman-teman saya percaya bahwa saya bisa menolong mereka.")</f>
        <v>B Saya ingin teman-teman saya percaya bahwa saya bisa menolong mereka.</v>
      </c>
      <c r="AX129" s="105" t="str">
        <f>IFERROR(__xludf.DUMMYFUNCTION("""COMPUTED_VALUE"""),"A Saya suka menolong teman-teman saya apabila mereka dalam kesulitan.")</f>
        <v>A Saya suka menolong teman-teman saya apabila mereka dalam kesulitan.</v>
      </c>
      <c r="AY129" s="105" t="str">
        <f>IFERROR(__xludf.DUMMYFUNCTION("""COMPUTED_VALUE"""),"B Saya suka menolong teman-teman saya apabila mereka dalam kesulitan.")</f>
        <v>B Saya suka menolong teman-teman saya apabila mereka dalam kesulitan.</v>
      </c>
      <c r="AZ129" s="105" t="str">
        <f>IFERROR(__xludf.DUMMYFUNCTION("""COMPUTED_VALUE"""),"B Saya suka menunjukkan simpati saya kepada teman-teman saya.")</f>
        <v>B Saya suka menunjukkan simpati saya kepada teman-teman saya.</v>
      </c>
      <c r="BA129" s="105" t="str">
        <f>IFERROR(__xludf.DUMMYFUNCTION("""COMPUTED_VALUE"""),"B Saya suka memperlakukan orang lain dengan baik dan ramah.")</f>
        <v>B Saya suka memperlakukan orang lain dengan baik dan ramah.</v>
      </c>
      <c r="BB129" s="105" t="str">
        <f>IFERROR(__xludf.DUMMYFUNCTION("""COMPUTED_VALUE"""),"B Saya suka bermurah hati terhadap teman-teman saya.")</f>
        <v>B Saya suka bermurah hati terhadap teman-teman saya.</v>
      </c>
      <c r="BC129" s="105" t="str">
        <f>IFERROR(__xludf.DUMMYFUNCTION("""COMPUTED_VALUE"""),"B Saya suka membantu orang lain yang menurut saya perlu dikasihani.")</f>
        <v>B Saya suka membantu orang lain yang menurut saya perlu dikasihani.</v>
      </c>
      <c r="BD129" s="105" t="str">
        <f>IFERROR(__xludf.DUMMYFUNCTION("""COMPUTED_VALUE"""),"B Saya suka bersikukuh dengan pendirian saya.")</f>
        <v>B Saya suka bersikukuh dengan pendirian saya.</v>
      </c>
      <c r="BE129" s="105" t="str">
        <f>IFERROR(__xludf.DUMMYFUNCTION("""COMPUTED_VALUE"""),"B Saya ingin orang lain melakukan apa yang saya kehendaki.")</f>
        <v>B Saya ingin orang lain melakukan apa yang saya kehendaki.</v>
      </c>
      <c r="BF129" s="105" t="str">
        <f>IFERROR(__xludf.DUMMYFUNCTION("""COMPUTED_VALUE"""),"B Bila saya dalam kelompok, saya ingin menentukan apa yang akan kita lakukan.")</f>
        <v>B Bila saya dalam kelompok, saya ingin menentukan apa yang akan kita lakukan.</v>
      </c>
      <c r="BG129" s="105" t="str">
        <f>IFERROR(__xludf.DUMMYFUNCTION("""COMPUTED_VALUE"""),"B Saya suka mengarahkan kepada orang lain apa yang harus dilakukan.")</f>
        <v>B Saya suka mengarahkan kepada orang lain apa yang harus dilakukan.</v>
      </c>
      <c r="BH129" s="105" t="str">
        <f>IFERROR(__xludf.DUMMYFUNCTION("""COMPUTED_VALUE"""),"A Saya suka menghindar dari situasi yang tidak saya harapkan.")</f>
        <v>A Saya suka menghindar dari situasi yang tidak saya harapkan.</v>
      </c>
      <c r="BI129" s="105" t="str">
        <f>IFERROR(__xludf.DUMMYFUNCTION("""COMPUTED_VALUE"""),"A Saya suka bermurah hati terhadap teman-teman saya.")</f>
        <v>A Saya suka bermurah hati terhadap teman-teman saya.</v>
      </c>
      <c r="BJ129" s="105" t="str">
        <f>IFERROR(__xludf.DUMMYFUNCTION("""COMPUTED_VALUE"""),"A Saya ingin mengerjakan tugas sampai selesai.")</f>
        <v>A Saya ingin mengerjakan tugas sampai selesai.</v>
      </c>
      <c r="BK129" s="105" t="str">
        <f>IFERROR(__xludf.DUMMYFUNCTION("""COMPUTED_VALUE"""),"A Saya ingin menyelesaikan pekerjaan satu persatu sebelum memulai yang lain.")</f>
        <v>A Saya ingin menyelesaikan pekerjaan satu persatu sebelum memulai yang lain.</v>
      </c>
      <c r="BL129" s="105" t="str">
        <f>IFERROR(__xludf.DUMMYFUNCTION("""COMPUTED_VALUE"""),"A Saya suka belajar saya teratur dan ada waktu-waktu tertentu untuk belajar.")</f>
        <v>A Saya suka belajar saya teratur dan ada waktu-waktu tertentu untuk belajar.</v>
      </c>
      <c r="BM129" s="105" t="str">
        <f>IFERROR(__xludf.DUMMYFUNCTION("""COMPUTED_VALUE"""),"A Saya suka melakukan pekerjaan sebaik mungkin.")</f>
        <v>A Saya suka melakukan pekerjaan sebaik mungkin.</v>
      </c>
      <c r="BN129" s="105" t="str">
        <f>IFERROR(__xludf.DUMMYFUNCTION("""COMPUTED_VALUE"""),"A Saya suka mengerjakan teka-teki atau memecahkan persoalan sampai selesai.")</f>
        <v>A Saya suka mengerjakan teka-teki atau memecahkan persoalan sampai selesai.</v>
      </c>
      <c r="BO129" s="105" t="str">
        <f>IFERROR(__xludf.DUMMYFUNCTION("""COMPUTED_VALUE"""),"A Saya suka membuat perencanaan sebelum memulai belajar yang sulit.")</f>
        <v>A Saya suka membuat perencanaan sebelum memulai belajar yang sulit.</v>
      </c>
      <c r="BP129" s="105" t="str">
        <f>IFERROR(__xludf.DUMMYFUNCTION("""COMPUTED_VALUE"""),"A Saya ingin menyelesaikan sesuatu yang sangat penting artinya.")</f>
        <v>A Saya ingin menyelesaikan sesuatu yang sangat penting artinya.</v>
      </c>
      <c r="BQ129" s="105" t="str">
        <f>IFERROR(__xludf.DUMMYFUNCTION("""COMPUTED_VALUE"""),"A Saya ingin mengerjakannya tugas sampai selesai.")</f>
        <v>A Saya ingin mengerjakannya tugas sampai selesai.</v>
      </c>
      <c r="BR129" s="105" t="str">
        <f>IFERROR(__xludf.DUMMYFUNCTION("""COMPUTED_VALUE"""),"A Saya suka memaafkan teman-teman saya yang menyakiti hati saya.")</f>
        <v>A Saya suka memaafkan teman-teman saya yang menyakiti hati saya.</v>
      </c>
      <c r="BS129" s="105" t="str">
        <f>IFERROR(__xludf.DUMMYFUNCTION("""COMPUTED_VALUE"""),"B Saya ingin teman-teman saya membantu saya bila saya mengalami kesulitan")</f>
        <v>B Saya ingin teman-teman saya membantu saya bila saya mengalami kesulitan</v>
      </c>
      <c r="BT129" s="105" t="str">
        <f>IFERROR(__xludf.DUMMYFUNCTION("""COMPUTED_VALUE"""),"B Saya ingin teman-teman banyak menunjukkan rasa sayang mereka terhadap saya.")</f>
        <v>B Saya ingin teman-teman banyak menunjukkan rasa sayang mereka terhadap saya.</v>
      </c>
      <c r="BU129" s="105" t="str">
        <f>IFERROR(__xludf.DUMMYFUNCTION("""COMPUTED_VALUE"""),"A Saya kadang-kadang suka melakukan hal-hal yang dapat dipuji oleh orang lain.")</f>
        <v>A Saya kadang-kadang suka melakukan hal-hal yang dapat dipuji oleh orang lain.</v>
      </c>
      <c r="BV129" s="105" t="str">
        <f>IFERROR(__xludf.DUMMYFUNCTION("""COMPUTED_VALUE"""),"B Saya ingin teman-teman dengan gembira memberikan pertolongan kepada saya.")</f>
        <v>B Saya ingin teman-teman dengan gembira memberikan pertolongan kepada saya.</v>
      </c>
      <c r="BW129" s="105" t="str">
        <f>IFERROR(__xludf.DUMMYFUNCTION("""COMPUTED_VALUE"""),"B Saya ingin diperlakukan dengan baik oleh teman-teman saya.")</f>
        <v>B Saya ingin diperlakukan dengan baik oleh teman-teman saya.</v>
      </c>
      <c r="BX129" s="105" t="str">
        <f>IFERROR(__xludf.DUMMYFUNCTION("""COMPUTED_VALUE"""),"B Saya kadang-kadang suka melakukan hal-hal yang dapat dipuji oleh orang lain.")</f>
        <v>B Saya kadang-kadang suka melakukan hal-hal yang dapat dipuji oleh orang lain.</v>
      </c>
      <c r="BY129" s="105" t="str">
        <f>IFERROR(__xludf.DUMMYFUNCTION("""COMPUTED_VALUE"""),"B Saya ingin orang lain memperhatikan dan berkomentar tentang penampilan saya.")</f>
        <v>B Saya ingin orang lain memperhatikan dan berkomentar tentang penampilan saya.</v>
      </c>
      <c r="BZ129" s="105" t="str">
        <f>IFERROR(__xludf.DUMMYFUNCTION("""COMPUTED_VALUE"""),"B Saya suka diperhatikan, apabila saya ada di dalam suatu kelompok.")</f>
        <v>B Saya suka diperhatikan, apabila saya ada di dalam suatu kelompok.</v>
      </c>
      <c r="CA129" s="105" t="str">
        <f>IFERROR(__xludf.DUMMYFUNCTION("""COMPUTED_VALUE"""),"A Saya ingin teman-teman dengan gembira memberikan pertolongan kepada saya.")</f>
        <v>A Saya ingin teman-teman dengan gembira memberikan pertolongan kepada saya.</v>
      </c>
      <c r="CB129" s="105" t="str">
        <f>IFERROR(__xludf.DUMMYFUNCTION("""COMPUTED_VALUE"""),"B Saya suka berbicara tentang hal-hal yang telah saya capai.")</f>
        <v>B Saya suka berbicara tentang hal-hal yang telah saya capai.</v>
      </c>
      <c r="CC129" s="105" t="str">
        <f>IFERROR(__xludf.DUMMYFUNCTION("""COMPUTED_VALUE"""),"A Apabila saya berkumpul dalam kelompok, saya ingin dihargai teman-teman.")</f>
        <v>A Apabila saya berkumpul dalam kelompok, saya ingin dihargai teman-teman.</v>
      </c>
      <c r="CD129" s="105" t="str">
        <f>IFERROR(__xludf.DUMMYFUNCTION("""COMPUTED_VALUE"""),"A Saya suka menyelesaikan setiap tugas meskipun membutuhkan waktu lama.")</f>
        <v>A Saya suka menyelesaikan setiap tugas meskipun membutuhkan waktu lama.</v>
      </c>
      <c r="CE129" s="105" t="str">
        <f>IFERROR(__xludf.DUMMYFUNCTION("""COMPUTED_VALUE"""),"A Saya suka menyelesaikan setiap tugas belajar yang telah saya mulai.")</f>
        <v>A Saya suka menyelesaikan setiap tugas belajar yang telah saya mulai.</v>
      </c>
      <c r="CF129" s="105" t="str">
        <f>IFERROR(__xludf.DUMMYFUNCTION("""COMPUTED_VALUE"""),"A Saya ingin agar hidup saya teratur sesuai cita-cita saya.")</f>
        <v>A Saya ingin agar hidup saya teratur sesuai cita-cita saya.</v>
      </c>
      <c r="CG129" s="105" t="str">
        <f>IFERROR(__xludf.DUMMYFUNCTION("""COMPUTED_VALUE"""),"A Saya ingin berhasil dalam apa yang saya lakukan.")</f>
        <v>A Saya ingin berhasil dalam apa yang saya lakukan.</v>
      </c>
      <c r="CH129" s="105" t="str">
        <f>IFERROR(__xludf.DUMMYFUNCTION("""COMPUTED_VALUE"""),"A Saya ingin bisa melakukan dengan baik sesuatu pekerjaan sulit.")</f>
        <v>A Saya ingin bisa melakukan dengan baik sesuatu pekerjaan sulit.</v>
      </c>
      <c r="CI129" s="105" t="str">
        <f>IFERROR(__xludf.DUMMYFUNCTION("""COMPUTED_VALUE"""),"A Saya suka belajar saya teratur dan ada waktu-waktu tertentu untuk belajar.")</f>
        <v>A Saya suka belajar saya teratur dan ada waktu-waktu tertentu untuk belajar.</v>
      </c>
      <c r="CJ129" s="105" t="str">
        <f>IFERROR(__xludf.DUMMYFUNCTION("""COMPUTED_VALUE"""),"A Saya ingin tidak tergantung dari orang lain terhadap apa yang akan saya lakukan.")</f>
        <v>A Saya ingin tidak tergantung dari orang lain terhadap apa yang akan saya lakukan.</v>
      </c>
      <c r="CK129" s="105" t="str">
        <f>IFERROR(__xludf.DUMMYFUNCTION("""COMPUTED_VALUE"""),"B Saya senang ikut beraktivitas bersama teman sebaya saya.")</f>
        <v>B Saya senang ikut beraktivitas bersama teman sebaya saya.</v>
      </c>
      <c r="CL129" s="105" t="str">
        <f>IFERROR(__xludf.DUMMYFUNCTION("""COMPUTED_VALUE"""),"A Saya suka menolong teman-teman saya, apabila mereka dalam kesulitan.")</f>
        <v>A Saya suka menolong teman-teman saya, apabila mereka dalam kesulitan.</v>
      </c>
      <c r="CM129" s="105" t="str">
        <f>IFERROR(__xludf.DUMMYFUNCTION("""COMPUTED_VALUE"""),"B Saya merasa kagum pada seseorang.")</f>
        <v>B Saya merasa kagum pada seseorang.</v>
      </c>
      <c r="CN129" s="105" t="str">
        <f>IFERROR(__xludf.DUMMYFUNCTION("""COMPUTED_VALUE"""),"A Saya ingin diperlakukan dengan baik oleh teman-teman saya.")</f>
        <v>A Saya ingin diperlakukan dengan baik oleh teman-teman saya.</v>
      </c>
      <c r="CO129" s="105" t="str">
        <f>IFERROR(__xludf.DUMMYFUNCTION("""COMPUTED_VALUE"""),"B Saya suka memuji orang yang saya kagumi.")</f>
        <v>B Saya suka memuji orang yang saya kagumi.</v>
      </c>
      <c r="CP129" s="105" t="str">
        <f>IFERROR(__xludf.DUMMYFUNCTION("""COMPUTED_VALUE"""),"B Saya ingin dianggap menarik oleh orang lain.")</f>
        <v>B Saya ingin dianggap menarik oleh orang lain.</v>
      </c>
      <c r="CQ129" s="105" t="str">
        <f>IFERROR(__xludf.DUMMYFUNCTION("""COMPUTED_VALUE"""),"B Saya merasa kagum pada seseorang.")</f>
        <v>B Saya merasa kagum pada seseorang.</v>
      </c>
      <c r="CR129" s="105" t="str">
        <f>IFERROR(__xludf.DUMMYFUNCTION("""COMPUTED_VALUE"""),"B Saya rasanya ingin mengecam seseorang bila orang itu menjengkelkan.")</f>
        <v>B Saya rasanya ingin mengecam seseorang bila orang itu menjengkelkan.</v>
      </c>
      <c r="CS129" s="105" t="str">
        <f>IFERROR(__xludf.DUMMYFUNCTION("""COMPUTED_VALUE"""),"A Saya ingin terlihat menarik di depan teman-teman saya.")</f>
        <v>A Saya ingin terlihat menarik di depan teman-teman saya.</v>
      </c>
      <c r="CT129" s="105" t="str">
        <f>IFERROR(__xludf.DUMMYFUNCTION("""COMPUTED_VALUE"""),"A Saya ingin orang-orang memperhatikan komentar mengenai penampilan saya.")</f>
        <v>A Saya ingin orang-orang memperhatikan komentar mengenai penampilan saya.</v>
      </c>
      <c r="CU129" s="105" t="str">
        <f>IFERROR(__xludf.DUMMYFUNCTION("""COMPUTED_VALUE"""),"A Saya ingin diperlakukan dengan ramah oleh teman-teman saya.")</f>
        <v>A Saya ingin diperlakukan dengan ramah oleh teman-teman saya.</v>
      </c>
      <c r="CV129" s="105" t="str">
        <f>IFERROR(__xludf.DUMMYFUNCTION("""COMPUTED_VALUE"""),"B Saya menyerang pendirian-pendirian yang bertentangan dengan pendirian saya.")</f>
        <v>B Saya menyerang pendirian-pendirian yang bertentangan dengan pendirian saya.</v>
      </c>
      <c r="CW129" s="105" t="str">
        <f>IFERROR(__xludf.DUMMYFUNCTION("""COMPUTED_VALUE"""),"A Saya suka menolong teman-teman saya, apabila mereka dalam kesulitan.")</f>
        <v>A Saya suka menolong teman-teman saya, apabila mereka dalam kesulitan.</v>
      </c>
      <c r="CX129" s="105" t="str">
        <f>IFERROR(__xludf.DUMMYFUNCTION("""COMPUTED_VALUE"""),"A Saya suka belajar sampai malam untuk menyelesaikan suatu tugas.")</f>
        <v>A Saya suka belajar sampai malam untuk menyelesaikan suatu tugas.</v>
      </c>
      <c r="CY129" s="105" t="str">
        <f>IFERROR(__xludf.DUMMYFUNCTION("""COMPUTED_VALUE"""),"A Saya ingin tidak tergantung dari orang lain terhadap apa yang akan saya lakukan.")</f>
        <v>A Saya ingin tidak tergantung dari orang lain terhadap apa yang akan saya lakukan.</v>
      </c>
      <c r="CZ129" s="105" t="str">
        <f>IFERROR(__xludf.DUMMYFUNCTION("""COMPUTED_VALUE"""),"A Saya suka merencanakan dan mengatur setiap pekerjaan yang harus saya lakukan.")</f>
        <v>A Saya suka merencanakan dan mengatur setiap pekerjaan yang harus saya lakukan.</v>
      </c>
      <c r="DA129" s="105" t="str">
        <f>IFERROR(__xludf.DUMMYFUNCTION("""COMPUTED_VALUE"""),"A Saya ingin melakukan apa saja sebaik mungkin.")</f>
        <v>A Saya ingin melakukan apa saja sebaik mungkin.</v>
      </c>
      <c r="DB129" s="89" t="s">
        <v>23</v>
      </c>
      <c r="DC129" s="97" t="str">
        <f t="shared" ref="DC129:GX129" si="174">LEFT(F129,1)</f>
        <v>B</v>
      </c>
      <c r="DD129" s="97" t="str">
        <f t="shared" si="174"/>
        <v>A</v>
      </c>
      <c r="DE129" s="97" t="str">
        <f t="shared" si="174"/>
        <v>B</v>
      </c>
      <c r="DF129" s="97" t="str">
        <f t="shared" si="174"/>
        <v>B</v>
      </c>
      <c r="DG129" s="97" t="str">
        <f t="shared" si="174"/>
        <v>A</v>
      </c>
      <c r="DH129" s="97" t="str">
        <f t="shared" si="174"/>
        <v>A</v>
      </c>
      <c r="DI129" s="97" t="str">
        <f t="shared" si="174"/>
        <v>A</v>
      </c>
      <c r="DJ129" s="97" t="str">
        <f t="shared" si="174"/>
        <v>B</v>
      </c>
      <c r="DK129" s="97" t="str">
        <f t="shared" si="174"/>
        <v>B</v>
      </c>
      <c r="DL129" s="97" t="str">
        <f t="shared" si="174"/>
        <v>B</v>
      </c>
      <c r="DM129" s="97" t="str">
        <f t="shared" si="174"/>
        <v>B</v>
      </c>
      <c r="DN129" s="97" t="str">
        <f t="shared" si="174"/>
        <v>B</v>
      </c>
      <c r="DO129" s="97" t="str">
        <f t="shared" si="174"/>
        <v>B</v>
      </c>
      <c r="DP129" s="97" t="str">
        <f t="shared" si="174"/>
        <v>B</v>
      </c>
      <c r="DQ129" s="97" t="str">
        <f t="shared" si="174"/>
        <v>B</v>
      </c>
      <c r="DR129" s="97" t="str">
        <f t="shared" si="174"/>
        <v>A</v>
      </c>
      <c r="DS129" s="97" t="str">
        <f t="shared" si="174"/>
        <v>B</v>
      </c>
      <c r="DT129" s="97" t="str">
        <f t="shared" si="174"/>
        <v>B</v>
      </c>
      <c r="DU129" s="97" t="str">
        <f t="shared" si="174"/>
        <v>B</v>
      </c>
      <c r="DV129" s="97" t="str">
        <f t="shared" si="174"/>
        <v>A</v>
      </c>
      <c r="DW129" s="97" t="str">
        <f t="shared" si="174"/>
        <v>A</v>
      </c>
      <c r="DX129" s="97" t="str">
        <f t="shared" si="174"/>
        <v>B</v>
      </c>
      <c r="DY129" s="97" t="str">
        <f t="shared" si="174"/>
        <v>A</v>
      </c>
      <c r="DZ129" s="97" t="str">
        <f t="shared" si="174"/>
        <v>A</v>
      </c>
      <c r="EA129" s="97" t="str">
        <f t="shared" si="174"/>
        <v>A</v>
      </c>
      <c r="EB129" s="97" t="str">
        <f t="shared" si="174"/>
        <v>A</v>
      </c>
      <c r="EC129" s="97" t="str">
        <f t="shared" si="174"/>
        <v>B</v>
      </c>
      <c r="ED129" s="97" t="str">
        <f t="shared" si="174"/>
        <v>A</v>
      </c>
      <c r="EE129" s="97" t="str">
        <f t="shared" si="174"/>
        <v>A</v>
      </c>
      <c r="EF129" s="97" t="str">
        <f t="shared" si="174"/>
        <v>B</v>
      </c>
      <c r="EG129" s="97" t="str">
        <f t="shared" si="174"/>
        <v>B</v>
      </c>
      <c r="EH129" s="97" t="str">
        <f t="shared" si="174"/>
        <v>B</v>
      </c>
      <c r="EI129" s="97" t="str">
        <f t="shared" si="174"/>
        <v>B</v>
      </c>
      <c r="EJ129" s="97" t="str">
        <f t="shared" si="174"/>
        <v>B</v>
      </c>
      <c r="EK129" s="97" t="str">
        <f t="shared" si="174"/>
        <v>A</v>
      </c>
      <c r="EL129" s="97" t="str">
        <f t="shared" si="174"/>
        <v>A</v>
      </c>
      <c r="EM129" s="97" t="str">
        <f t="shared" si="174"/>
        <v>A</v>
      </c>
      <c r="EN129" s="97" t="str">
        <f t="shared" si="174"/>
        <v>B</v>
      </c>
      <c r="EO129" s="97" t="str">
        <f t="shared" si="174"/>
        <v>B</v>
      </c>
      <c r="EP129" s="97" t="str">
        <f t="shared" si="174"/>
        <v>A</v>
      </c>
      <c r="EQ129" s="97" t="str">
        <f t="shared" si="174"/>
        <v>B</v>
      </c>
      <c r="ER129" s="97" t="str">
        <f t="shared" si="174"/>
        <v>A</v>
      </c>
      <c r="ES129" s="97" t="str">
        <f t="shared" si="174"/>
        <v>B</v>
      </c>
      <c r="ET129" s="97" t="str">
        <f t="shared" si="174"/>
        <v>B</v>
      </c>
      <c r="EU129" s="97" t="str">
        <f t="shared" si="174"/>
        <v>A</v>
      </c>
      <c r="EV129" s="97" t="str">
        <f t="shared" si="174"/>
        <v>B</v>
      </c>
      <c r="EW129" s="97" t="str">
        <f t="shared" si="174"/>
        <v>B</v>
      </c>
      <c r="EX129" s="97" t="str">
        <f t="shared" si="174"/>
        <v>B</v>
      </c>
      <c r="EY129" s="97" t="str">
        <f t="shared" si="174"/>
        <v>B</v>
      </c>
      <c r="EZ129" s="97" t="str">
        <f t="shared" si="174"/>
        <v>B</v>
      </c>
      <c r="FA129" s="97" t="str">
        <f t="shared" si="174"/>
        <v>B</v>
      </c>
      <c r="FB129" s="97" t="str">
        <f t="shared" si="174"/>
        <v>B</v>
      </c>
      <c r="FC129" s="97" t="str">
        <f t="shared" si="174"/>
        <v>B</v>
      </c>
      <c r="FD129" s="97" t="str">
        <f t="shared" si="174"/>
        <v>B</v>
      </c>
      <c r="FE129" s="97" t="str">
        <f t="shared" si="174"/>
        <v>A</v>
      </c>
      <c r="FF129" s="97" t="str">
        <f t="shared" si="174"/>
        <v>A</v>
      </c>
      <c r="FG129" s="97" t="str">
        <f t="shared" si="174"/>
        <v>A</v>
      </c>
      <c r="FH129" s="97" t="str">
        <f t="shared" si="174"/>
        <v>A</v>
      </c>
      <c r="FI129" s="97" t="str">
        <f t="shared" si="174"/>
        <v>A</v>
      </c>
      <c r="FJ129" s="97" t="str">
        <f t="shared" si="174"/>
        <v>A</v>
      </c>
      <c r="FK129" s="97" t="str">
        <f t="shared" si="174"/>
        <v>A</v>
      </c>
      <c r="FL129" s="97" t="str">
        <f t="shared" si="174"/>
        <v>A</v>
      </c>
      <c r="FM129" s="97" t="str">
        <f t="shared" si="174"/>
        <v>A</v>
      </c>
      <c r="FN129" s="97" t="str">
        <f t="shared" si="174"/>
        <v>A</v>
      </c>
      <c r="FO129" s="97" t="str">
        <f t="shared" si="174"/>
        <v>A</v>
      </c>
      <c r="FP129" s="97" t="str">
        <f t="shared" si="174"/>
        <v>B</v>
      </c>
      <c r="FQ129" s="97" t="str">
        <f t="shared" si="174"/>
        <v>B</v>
      </c>
      <c r="FR129" s="97" t="str">
        <f t="shared" si="174"/>
        <v>A</v>
      </c>
      <c r="FS129" s="97" t="str">
        <f t="shared" si="174"/>
        <v>B</v>
      </c>
      <c r="FT129" s="97" t="str">
        <f t="shared" si="174"/>
        <v>B</v>
      </c>
      <c r="FU129" s="97" t="str">
        <f t="shared" si="174"/>
        <v>B</v>
      </c>
      <c r="FV129" s="97" t="str">
        <f t="shared" si="174"/>
        <v>B</v>
      </c>
      <c r="FW129" s="97" t="str">
        <f t="shared" si="174"/>
        <v>B</v>
      </c>
      <c r="FX129" s="97" t="str">
        <f t="shared" si="174"/>
        <v>A</v>
      </c>
      <c r="FY129" s="97" t="str">
        <f t="shared" si="174"/>
        <v>B</v>
      </c>
      <c r="FZ129" s="97" t="str">
        <f t="shared" si="174"/>
        <v>A</v>
      </c>
      <c r="GA129" s="97" t="str">
        <f t="shared" si="174"/>
        <v>A</v>
      </c>
      <c r="GB129" s="97" t="str">
        <f t="shared" si="174"/>
        <v>A</v>
      </c>
      <c r="GC129" s="97" t="str">
        <f t="shared" si="174"/>
        <v>A</v>
      </c>
      <c r="GD129" s="97" t="str">
        <f t="shared" si="174"/>
        <v>A</v>
      </c>
      <c r="GE129" s="97" t="str">
        <f t="shared" si="174"/>
        <v>A</v>
      </c>
      <c r="GF129" s="97" t="str">
        <f t="shared" si="174"/>
        <v>A</v>
      </c>
      <c r="GG129" s="97" t="str">
        <f t="shared" si="174"/>
        <v>A</v>
      </c>
      <c r="GH129" s="97" t="str">
        <f t="shared" si="174"/>
        <v>B</v>
      </c>
      <c r="GI129" s="97" t="str">
        <f t="shared" si="174"/>
        <v>A</v>
      </c>
      <c r="GJ129" s="97" t="str">
        <f t="shared" si="174"/>
        <v>B</v>
      </c>
      <c r="GK129" s="97" t="str">
        <f t="shared" si="174"/>
        <v>A</v>
      </c>
      <c r="GL129" s="97" t="str">
        <f t="shared" si="174"/>
        <v>B</v>
      </c>
      <c r="GM129" s="97" t="str">
        <f t="shared" si="174"/>
        <v>B</v>
      </c>
      <c r="GN129" s="97" t="str">
        <f t="shared" si="174"/>
        <v>B</v>
      </c>
      <c r="GO129" s="97" t="str">
        <f t="shared" si="174"/>
        <v>B</v>
      </c>
      <c r="GP129" s="97" t="str">
        <f t="shared" si="174"/>
        <v>A</v>
      </c>
      <c r="GQ129" s="97" t="str">
        <f t="shared" si="174"/>
        <v>A</v>
      </c>
      <c r="GR129" s="97" t="str">
        <f t="shared" si="174"/>
        <v>A</v>
      </c>
      <c r="GS129" s="97" t="str">
        <f t="shared" si="174"/>
        <v>B</v>
      </c>
      <c r="GT129" s="97" t="str">
        <f t="shared" si="174"/>
        <v>A</v>
      </c>
      <c r="GU129" s="97" t="str">
        <f t="shared" si="174"/>
        <v>A</v>
      </c>
      <c r="GV129" s="97" t="str">
        <f t="shared" si="174"/>
        <v>A</v>
      </c>
      <c r="GW129" s="97" t="str">
        <f t="shared" si="174"/>
        <v>A</v>
      </c>
      <c r="GX129" s="97" t="str">
        <f t="shared" si="174"/>
        <v>A</v>
      </c>
      <c r="GY129" s="98"/>
      <c r="GZ129" s="97">
        <f t="shared" si="3"/>
        <v>50</v>
      </c>
      <c r="HA129" s="97">
        <f t="shared" si="4"/>
        <v>50</v>
      </c>
      <c r="HB129" s="90">
        <f t="shared" si="5"/>
        <v>100</v>
      </c>
      <c r="HC129" s="99"/>
      <c r="HD129" s="97">
        <f t="shared" si="6"/>
        <v>8</v>
      </c>
      <c r="HE129" s="97">
        <f t="shared" si="7"/>
        <v>5</v>
      </c>
      <c r="HF129" s="90">
        <f t="shared" si="8"/>
        <v>13</v>
      </c>
      <c r="HG129" s="99"/>
      <c r="HH129" s="97">
        <f t="shared" si="9"/>
        <v>7</v>
      </c>
      <c r="HI129" s="97">
        <f t="shared" si="10"/>
        <v>8</v>
      </c>
      <c r="HJ129" s="90">
        <f t="shared" si="11"/>
        <v>15</v>
      </c>
      <c r="HK129" s="99"/>
      <c r="HL129" s="97">
        <f t="shared" si="12"/>
        <v>5</v>
      </c>
      <c r="HM129" s="97">
        <f t="shared" si="13"/>
        <v>3</v>
      </c>
      <c r="HN129" s="90">
        <f t="shared" si="14"/>
        <v>8</v>
      </c>
      <c r="HO129" s="99"/>
      <c r="HP129" s="97">
        <f t="shared" si="15"/>
        <v>5</v>
      </c>
      <c r="HQ129" s="97">
        <f t="shared" si="16"/>
        <v>6</v>
      </c>
      <c r="HR129" s="90">
        <f t="shared" si="17"/>
        <v>11</v>
      </c>
      <c r="HS129" s="99"/>
      <c r="HT129" s="97">
        <f t="shared" si="18"/>
        <v>9</v>
      </c>
      <c r="HU129" s="97">
        <f t="shared" si="19"/>
        <v>8</v>
      </c>
      <c r="HV129" s="90">
        <f t="shared" si="20"/>
        <v>17</v>
      </c>
      <c r="HW129" s="99"/>
      <c r="HX129" s="97">
        <f t="shared" si="21"/>
        <v>3</v>
      </c>
      <c r="HY129" s="97">
        <f t="shared" si="22"/>
        <v>4</v>
      </c>
      <c r="HZ129" s="90">
        <f t="shared" si="23"/>
        <v>7</v>
      </c>
      <c r="IA129" s="99"/>
      <c r="IB129" s="97">
        <f t="shared" si="24"/>
        <v>4</v>
      </c>
      <c r="IC129" s="97">
        <f t="shared" si="25"/>
        <v>4</v>
      </c>
      <c r="ID129" s="90">
        <f t="shared" si="26"/>
        <v>8</v>
      </c>
      <c r="IE129" s="99"/>
      <c r="IF129" s="97">
        <f t="shared" si="27"/>
        <v>3</v>
      </c>
      <c r="IG129" s="97">
        <f t="shared" si="28"/>
        <v>4</v>
      </c>
      <c r="IH129" s="90">
        <f t="shared" si="29"/>
        <v>7</v>
      </c>
      <c r="II129" s="99"/>
      <c r="IJ129" s="97">
        <f t="shared" si="30"/>
        <v>2</v>
      </c>
      <c r="IK129" s="97">
        <f t="shared" si="31"/>
        <v>5</v>
      </c>
      <c r="IL129" s="90">
        <f t="shared" si="32"/>
        <v>7</v>
      </c>
      <c r="IM129" s="99"/>
      <c r="IN129" s="97">
        <f t="shared" si="33"/>
        <v>0</v>
      </c>
      <c r="IO129" s="97">
        <f t="shared" si="34"/>
        <v>2</v>
      </c>
      <c r="IP129" s="90">
        <f t="shared" si="35"/>
        <v>2</v>
      </c>
      <c r="IS129" s="100">
        <f t="shared" si="36"/>
        <v>13</v>
      </c>
      <c r="IT129" s="100">
        <f t="shared" si="37"/>
        <v>15</v>
      </c>
      <c r="IU129" s="100">
        <f t="shared" si="38"/>
        <v>8</v>
      </c>
      <c r="IV129" s="100">
        <f t="shared" si="39"/>
        <v>11</v>
      </c>
      <c r="IW129" s="100">
        <f t="shared" si="40"/>
        <v>17</v>
      </c>
      <c r="IX129" s="100">
        <f t="shared" si="41"/>
        <v>7</v>
      </c>
      <c r="IY129" s="100">
        <f t="shared" si="42"/>
        <v>8</v>
      </c>
      <c r="IZ129" s="100">
        <f t="shared" si="43"/>
        <v>7</v>
      </c>
      <c r="JA129" s="100">
        <f t="shared" si="44"/>
        <v>7</v>
      </c>
      <c r="JB129" s="101">
        <f t="shared" si="45"/>
        <v>2</v>
      </c>
      <c r="JC129" s="102">
        <f t="shared" si="46"/>
        <v>95</v>
      </c>
      <c r="JD129" s="67">
        <f t="shared" si="50"/>
        <v>0</v>
      </c>
      <c r="JE129" s="67">
        <f t="shared" si="47"/>
        <v>0</v>
      </c>
      <c r="JF129" s="67">
        <f t="shared" si="48"/>
        <v>0</v>
      </c>
    </row>
    <row r="130">
      <c r="A130" s="104">
        <f>IFERROR(__xludf.DUMMYFUNCTION("""COMPUTED_VALUE"""),45970.479568807874)</f>
        <v>45970.47957</v>
      </c>
      <c r="B130" s="105" t="str">
        <f>IFERROR(__xludf.DUMMYFUNCTION("""COMPUTED_VALUE"""),"URWATULWUTSQO")</f>
        <v>URWATULWUTSQO</v>
      </c>
      <c r="C130" s="7" t="str">
        <f>IFERROR(__xludf.DUMMYFUNCTION("""COMPUTED_VALUE"""),"A250082")</f>
        <v>A250082</v>
      </c>
      <c r="D130" s="7" t="str">
        <f>IFERROR(__xludf.DUMMYFUNCTION("""COMPUTED_VALUE"""),"MTs Putra")</f>
        <v>MTs Putra</v>
      </c>
      <c r="E130" s="7" t="str">
        <f>IFERROR(__xludf.DUMMYFUNCTION("""COMPUTED_VALUE"""),"Ya")</f>
        <v>Ya</v>
      </c>
      <c r="F130" s="105" t="str">
        <f>IFERROR(__xludf.DUMMYFUNCTION("""COMPUTED_VALUE"""),"B Saya ingin melakukan apa saja sebaik mungkin.")</f>
        <v>B Saya ingin melakukan apa saja sebaik mungkin.</v>
      </c>
      <c r="G130" s="105" t="str">
        <f>IFERROR(__xludf.DUMMYFUNCTION("""COMPUTED_VALUE"""),"A Saya ingin setiap tulisan saya teliti, rapi, dan tersusun dengan baik.")</f>
        <v>A Saya ingin setiap tulisan saya teliti, rapi, dan tersusun dengan baik.</v>
      </c>
      <c r="H130" s="105" t="str">
        <f>IFERROR(__xludf.DUMMYFUNCTION("""COMPUTED_VALUE"""),"B Saya ingin menjadi orang yang diakui dalam suatu pekerjaan atau bidang khusus.")</f>
        <v>B Saya ingin menjadi orang yang diakui dalam suatu pekerjaan atau bidang khusus.</v>
      </c>
      <c r="I130" s="105" t="str">
        <f>IFERROR(__xludf.DUMMYFUNCTION("""COMPUTED_VALUE"""),"B Saya ingin bisa melakukan dengan baik meskipun tugas yang sulit.")</f>
        <v>B Saya ingin bisa melakukan dengan baik meskipun tugas yang sulit.</v>
      </c>
      <c r="J130" s="105" t="str">
        <f>IFERROR(__xludf.DUMMYFUNCTION("""COMPUTED_VALUE"""),"A Saya suka membantu teman-teman saya apabila mereka mengalami kesulitan.")</f>
        <v>A Saya suka membantu teman-teman saya apabila mereka mengalami kesulitan.</v>
      </c>
      <c r="K130" s="105" t="str">
        <f>IFERROR(__xludf.DUMMYFUNCTION("""COMPUTED_VALUE"""),"B Saya ingin mengatakan telah melakukan dengan baik sesuatu tugas yang sulit.")</f>
        <v>B Saya ingin mengatakan telah melakukan dengan baik sesuatu tugas yang sulit.</v>
      </c>
      <c r="L130" s="105" t="str">
        <f>IFERROR(__xludf.DUMMYFUNCTION("""COMPUTED_VALUE"""),"B Saya ingin mengatakan telah melakukan dengan baik sesuatu tugas yang sulit")</f>
        <v>B Saya ingin mengatakan telah melakukan dengan baik sesuatu tugas yang sulit</v>
      </c>
      <c r="M130" s="105" t="str">
        <f>IFERROR(__xludf.DUMMYFUNCTION("""COMPUTED_VALUE"""),"B Saya ingin mengerjakan segala tugas lebih baik daripada orang lain.")</f>
        <v>B Saya ingin mengerjakan segala tugas lebih baik daripada orang lain.</v>
      </c>
      <c r="N130" s="105" t="str">
        <f>IFERROR(__xludf.DUMMYFUNCTION("""COMPUTED_VALUE"""),"B Saya suka memecahkan persoalan yang sukar bagi orang lain.")</f>
        <v>B Saya suka memecahkan persoalan yang sukar bagi orang lain.</v>
      </c>
      <c r="O130" s="105" t="str">
        <f>IFERROR(__xludf.DUMMYFUNCTION("""COMPUTED_VALUE"""),"B Saya suka melakukan tugas sebaik mungkin.")</f>
        <v>B Saya suka melakukan tugas sebaik mungkin.</v>
      </c>
      <c r="P130" s="105" t="str">
        <f>IFERROR(__xludf.DUMMYFUNCTION("""COMPUTED_VALUE"""),"B Saya ingin setiap belajar itu teratur dan direncanakan.")</f>
        <v>B Saya ingin setiap belajar itu teratur dan direncanakan.</v>
      </c>
      <c r="Q130" s="105" t="str">
        <f>IFERROR(__xludf.DUMMYFUNCTION("""COMPUTED_VALUE"""),"B Saya merencanakan keperluan yang dibutuhkan sebelum bepergian.")</f>
        <v>B Saya merencanakan keperluan yang dibutuhkan sebelum bepergian.</v>
      </c>
      <c r="R130" s="105" t="str">
        <f>IFERROR(__xludf.DUMMYFUNCTION("""COMPUTED_VALUE"""),"B Saya suka barang-barang saya tersusun rapi dan teratur.")</f>
        <v>B Saya suka barang-barang saya tersusun rapi dan teratur.</v>
      </c>
      <c r="S130" s="105" t="str">
        <f>IFERROR(__xludf.DUMMYFUNCTION("""COMPUTED_VALUE"""),"A Saya ingin agar teman-teman pengertian bila saya mengalami kesukaran.")</f>
        <v>A Saya ingin agar teman-teman pengertian bila saya mengalami kesukaran.</v>
      </c>
      <c r="T130" s="105" t="str">
        <f>IFERROR(__xludf.DUMMYFUNCTION("""COMPUTED_VALUE"""),"A Saya ingin menjadi salah seorang pemimpin dalam kelompok yang saya kenal.")</f>
        <v>A Saya ingin menjadi salah seorang pemimpin dalam kelompok yang saya kenal.</v>
      </c>
      <c r="U130" s="105" t="str">
        <f>IFERROR(__xludf.DUMMYFUNCTION("""COMPUTED_VALUE"""),"A Saya suka memberikan bantuan kepada teman-teman saya.")</f>
        <v>A Saya suka memberikan bantuan kepada teman-teman saya.</v>
      </c>
      <c r="V130" s="105" t="str">
        <f>IFERROR(__xludf.DUMMYFUNCTION("""COMPUTED_VALUE"""),"B Saya suka belajar saya teratur dan ada waktu-waktu tertentu untuk belajar.")</f>
        <v>B Saya suka belajar saya teratur dan ada waktu-waktu tertentu untuk belajar.</v>
      </c>
      <c r="W130" s="105" t="str">
        <f>IFERROR(__xludf.DUMMYFUNCTION("""COMPUTED_VALUE"""),"B Saya ingin kegiatan itu teratur dan direncanakan.")</f>
        <v>B Saya ingin kegiatan itu teratur dan direncanakan.</v>
      </c>
      <c r="X130" s="105" t="str">
        <f>IFERROR(__xludf.DUMMYFUNCTION("""COMPUTED_VALUE"""),"A Saya suka merencanakan dan mengatur setiap apa yang harus saya lakukan.")</f>
        <v>A Saya suka merencanakan dan mengatur setiap apa yang harus saya lakukan.</v>
      </c>
      <c r="Y130" s="105" t="str">
        <f>IFERROR(__xludf.DUMMYFUNCTION("""COMPUTED_VALUE"""),"A Saya suka menyelesaikan tugas-tugas yang membutuhkan ketrampilan dan usaha.")</f>
        <v>A Saya suka menyelesaikan tugas-tugas yang membutuhkan ketrampilan dan usaha.</v>
      </c>
      <c r="Z130" s="105" t="str">
        <f>IFERROR(__xludf.DUMMYFUNCTION("""COMPUTED_VALUE"""),"A Saya ingin berhasil dengan belajar yang saya lakukan.")</f>
        <v>A Saya ingin berhasil dengan belajar yang saya lakukan.</v>
      </c>
      <c r="AA130" s="105" t="str">
        <f>IFERROR(__xludf.DUMMYFUNCTION("""COMPUTED_VALUE"""),"B Saya tidak suka pada orang yang berbuat seenaknya sendiri.")</f>
        <v>B Saya tidak suka pada orang yang berbuat seenaknya sendiri.</v>
      </c>
      <c r="AB130" s="105" t="str">
        <f>IFERROR(__xludf.DUMMYFUNCTION("""COMPUTED_VALUE"""),"A Saya ingin tidak tergantung dari orang lain terhadap apa yang akan saya lakukan.")</f>
        <v>A Saya ingin tidak tergantung dari orang lain terhadap apa yang akan saya lakukan.</v>
      </c>
      <c r="AC130" s="105" t="str">
        <f>IFERROR(__xludf.DUMMYFUNCTION("""COMPUTED_VALUE"""),"A Saya suka menyelesaikan setiap tugas meskipun membutuhkan waktu lama.")</f>
        <v>A Saya suka menyelesaikan setiap tugas meskipun membutuhkan waktu lama.</v>
      </c>
      <c r="AD130" s="105" t="str">
        <f>IFERROR(__xludf.DUMMYFUNCTION("""COMPUTED_VALUE"""),"A Saya suka bermurah hati terhadap teman-teman saya.")</f>
        <v>A Saya suka bermurah hati terhadap teman-teman saya.</v>
      </c>
      <c r="AE130" s="105" t="str">
        <f>IFERROR(__xludf.DUMMYFUNCTION("""COMPUTED_VALUE"""),"A Saya ingin dianggap sebagai pemimpin oleh teman di kelompok.")</f>
        <v>A Saya ingin dianggap sebagai pemimpin oleh teman di kelompok.</v>
      </c>
      <c r="AF130" s="105" t="str">
        <f>IFERROR(__xludf.DUMMYFUNCTION("""COMPUTED_VALUE"""),"A Saya ingin agar teman-teman mengerti bila saya mengalami kesukaran.")</f>
        <v>A Saya ingin agar teman-teman mengerti bila saya mengalami kesukaran.</v>
      </c>
      <c r="AG130" s="105" t="str">
        <f>IFERROR(__xludf.DUMMYFUNCTION("""COMPUTED_VALUE"""),"B Saya ingin berhasil dengan tugas yang saya lakukan.")</f>
        <v>B Saya ingin berhasil dengan tugas yang saya lakukan.</v>
      </c>
      <c r="AH130" s="105" t="str">
        <f>IFERROR(__xludf.DUMMYFUNCTION("""COMPUTED_VALUE"""),"B Saya ingin merasa bebas untuk melakukan apa yang saya kehendaki.")</f>
        <v>B Saya ingin merasa bebas untuk melakukan apa yang saya kehendaki.</v>
      </c>
      <c r="AI130" s="105" t="str">
        <f>IFERROR(__xludf.DUMMYFUNCTION("""COMPUTED_VALUE"""),"B Saya suka melakukan kegiatan sesuai kondisi yang saya inginkan.")</f>
        <v>B Saya suka melakukan kegiatan sesuai kondisi yang saya inginkan.</v>
      </c>
      <c r="AJ130" s="105" t="str">
        <f>IFERROR(__xludf.DUMMYFUNCTION("""COMPUTED_VALUE"""),"B Saya suka bertahan menghadapi satu masalah meskipun belum tentu berhasil.")</f>
        <v>B Saya suka bertahan menghadapi satu masalah meskipun belum tentu berhasil.</v>
      </c>
      <c r="AK130" s="105" t="str">
        <f>IFERROR(__xludf.DUMMYFUNCTION("""COMPUTED_VALUE"""),"B Bila saya harus melakukan suatu tugas, saya ingin mengerjakan sampai selesai.")</f>
        <v>B Bila saya harus melakukan suatu tugas, saya ingin mengerjakan sampai selesai.</v>
      </c>
      <c r="AL130" s="105" t="str">
        <f>IFERROR(__xludf.DUMMYFUNCTION("""COMPUTED_VALUE"""),"B Saya ingin menghindarkan gangguan bila saya sedang belajar.")</f>
        <v>B Saya ingin menghindarkan gangguan bila saya sedang belajar.</v>
      </c>
      <c r="AM130" s="105" t="str">
        <f>IFERROR(__xludf.DUMMYFUNCTION("""COMPUTED_VALUE"""),"B Saya suka belajar sampai malam untuk menyelesaikan suatu tugas.")</f>
        <v>B Saya suka belajar sampai malam untuk menyelesaikan suatu tugas.</v>
      </c>
      <c r="AN130" s="105" t="str">
        <f>IFERROR(__xludf.DUMMYFUNCTION("""COMPUTED_VALUE"""),"A Saya tidak suka pada orang yang semena-mena.")</f>
        <v>A Saya tidak suka pada orang yang semena-mena.</v>
      </c>
      <c r="AO130" s="105" t="str">
        <f>IFERROR(__xludf.DUMMYFUNCTION("""COMPUTED_VALUE"""),"B Saya suka menyelesaikan setiap tugas meskipun membutuhkan waktu lama.")</f>
        <v>B Saya suka menyelesaikan setiap tugas meskipun membutuhkan waktu lama.</v>
      </c>
      <c r="AP130" s="105" t="str">
        <f>IFERROR(__xludf.DUMMYFUNCTION("""COMPUTED_VALUE"""),"B Saya suka bertahan menghadapi satu masalah meskipun belum tentu berhasil.")</f>
        <v>B Saya suka bertahan menghadapi satu masalah meskipun belum tentu berhasil.</v>
      </c>
      <c r="AQ130" s="105" t="str">
        <f>IFERROR(__xludf.DUMMYFUNCTION("""COMPUTED_VALUE"""),"B Bila saya harus melakukan suatu tugas, saya ingin mengerjakan sampai selesai.")</f>
        <v>B Bila saya harus melakukan suatu tugas, saya ingin mengerjakan sampai selesai.</v>
      </c>
      <c r="AR130" s="105" t="str">
        <f>IFERROR(__xludf.DUMMYFUNCTION("""COMPUTED_VALUE"""),"B Saya suka belajar keras pada tiap pelajaran yang saya hadapi.")</f>
        <v>B Saya suka belajar keras pada tiap pelajaran yang saya hadapi.</v>
      </c>
      <c r="AS130" s="105" t="str">
        <f>IFERROR(__xludf.DUMMYFUNCTION("""COMPUTED_VALUE"""),"A Saya ingin dapat menyelesaikan persoalan yang dianggap sukar bagi orang lain.")</f>
        <v>A Saya ingin dapat menyelesaikan persoalan yang dianggap sukar bagi orang lain.</v>
      </c>
      <c r="AT130" s="105" t="str">
        <f>IFERROR(__xludf.DUMMYFUNCTION("""COMPUTED_VALUE"""),"B Saya suka membantu orang lain yang menurut saya perlu dikasihani.")</f>
        <v>B Saya suka membantu orang lain yang menurut saya perlu dikasihani.</v>
      </c>
      <c r="AU130" s="105" t="str">
        <f>IFERROR(__xludf.DUMMYFUNCTION("""COMPUTED_VALUE"""),"B Saya suka bermurah hati terhadap teman-teman saya.")</f>
        <v>B Saya suka bermurah hati terhadap teman-teman saya.</v>
      </c>
      <c r="AV130" s="105" t="str">
        <f>IFERROR(__xludf.DUMMYFUNCTION("""COMPUTED_VALUE"""),"B Saya suka menolong teman-teman saya.")</f>
        <v>B Saya suka menolong teman-teman saya.</v>
      </c>
      <c r="AW130" s="105" t="str">
        <f>IFERROR(__xludf.DUMMYFUNCTION("""COMPUTED_VALUE"""),"B Saya ingin teman-teman saya percaya bahwa saya bisa menolong mereka.")</f>
        <v>B Saya ingin teman-teman saya percaya bahwa saya bisa menolong mereka.</v>
      </c>
      <c r="AX130" s="105" t="str">
        <f>IFERROR(__xludf.DUMMYFUNCTION("""COMPUTED_VALUE"""),"B Saya suka memaafkan teman-teman saya yang menyakiti hati saya.")</f>
        <v>B Saya suka memaafkan teman-teman saya yang menyakiti hati saya.</v>
      </c>
      <c r="AY130" s="105" t="str">
        <f>IFERROR(__xludf.DUMMYFUNCTION("""COMPUTED_VALUE"""),"B Saya suka menolong teman-teman saya apabila mereka dalam kesulitan.")</f>
        <v>B Saya suka menolong teman-teman saya apabila mereka dalam kesulitan.</v>
      </c>
      <c r="AZ130" s="105" t="str">
        <f>IFERROR(__xludf.DUMMYFUNCTION("""COMPUTED_VALUE"""),"A Saya ingin agar teman-teman saya bersimpati dan menghibur saya bila saya sedih.")</f>
        <v>A Saya ingin agar teman-teman saya bersimpati dan menghibur saya bila saya sedih.</v>
      </c>
      <c r="BA130" s="105" t="str">
        <f>IFERROR(__xludf.DUMMYFUNCTION("""COMPUTED_VALUE"""),"A Saya suka menyatakan pendapat saya tentang berbagai hal.")</f>
        <v>A Saya suka menyatakan pendapat saya tentang berbagai hal.</v>
      </c>
      <c r="BB130" s="105" t="str">
        <f>IFERROR(__xludf.DUMMYFUNCTION("""COMPUTED_VALUE"""),"B Saya suka bermurah hati terhadap teman-teman saya.")</f>
        <v>B Saya suka bermurah hati terhadap teman-teman saya.</v>
      </c>
      <c r="BC130" s="105" t="str">
        <f>IFERROR(__xludf.DUMMYFUNCTION("""COMPUTED_VALUE"""),"B Saya suka membantu orang lain yang menurut saya perlu dikasihani.")</f>
        <v>B Saya suka membantu orang lain yang menurut saya perlu dikasihani.</v>
      </c>
      <c r="BD130" s="105" t="str">
        <f>IFERROR(__xludf.DUMMYFUNCTION("""COMPUTED_VALUE"""),"B Saya suka bersikukuh dengan pendirian saya.")</f>
        <v>B Saya suka bersikukuh dengan pendirian saya.</v>
      </c>
      <c r="BE130" s="105" t="str">
        <f>IFERROR(__xludf.DUMMYFUNCTION("""COMPUTED_VALUE"""),"B Saya ingin orang lain melakukan apa yang saya kehendaki.")</f>
        <v>B Saya ingin orang lain melakukan apa yang saya kehendaki.</v>
      </c>
      <c r="BF130" s="105" t="str">
        <f>IFERROR(__xludf.DUMMYFUNCTION("""COMPUTED_VALUE"""),"B Bila saya dalam kelompok, saya ingin menentukan apa yang akan kita lakukan.")</f>
        <v>B Bila saya dalam kelompok, saya ingin menentukan apa yang akan kita lakukan.</v>
      </c>
      <c r="BG130" s="105" t="str">
        <f>IFERROR(__xludf.DUMMYFUNCTION("""COMPUTED_VALUE"""),"B Saya suka mengarahkan kepada orang lain apa yang harus dilakukan.")</f>
        <v>B Saya suka mengarahkan kepada orang lain apa yang harus dilakukan.</v>
      </c>
      <c r="BH130" s="105" t="str">
        <f>IFERROR(__xludf.DUMMYFUNCTION("""COMPUTED_VALUE"""),"B Apabila saya berkumpul dalam kelompok, saya ingin dihargai teman-teman.")</f>
        <v>B Apabila saya berkumpul dalam kelompok, saya ingin dihargai teman-teman.</v>
      </c>
      <c r="BI130" s="105" t="str">
        <f>IFERROR(__xludf.DUMMYFUNCTION("""COMPUTED_VALUE"""),"A Saya suka bermurah hati terhadap teman-teman saya.")</f>
        <v>A Saya suka bermurah hati terhadap teman-teman saya.</v>
      </c>
      <c r="BJ130" s="105" t="str">
        <f>IFERROR(__xludf.DUMMYFUNCTION("""COMPUTED_VALUE"""),"B Saya ingin menjadi pemimpin dalam kelompok di mana saya ada di situ")</f>
        <v>B Saya ingin menjadi pemimpin dalam kelompok di mana saya ada di situ</v>
      </c>
      <c r="BK130" s="105" t="str">
        <f>IFERROR(__xludf.DUMMYFUNCTION("""COMPUTED_VALUE"""),"B Saya senang untuk diminta menyelesaikan pertentangan-pertentangan.")</f>
        <v>B Saya senang untuk diminta menyelesaikan pertentangan-pertentangan.</v>
      </c>
      <c r="BL130" s="105" t="str">
        <f>IFERROR(__xludf.DUMMYFUNCTION("""COMPUTED_VALUE"""),"A Saya suka belajar saya teratur dan ada waktu-waktu tertentu untuk belajar.")</f>
        <v>A Saya suka belajar saya teratur dan ada waktu-waktu tertentu untuk belajar.</v>
      </c>
      <c r="BM130" s="105" t="str">
        <f>IFERROR(__xludf.DUMMYFUNCTION("""COMPUTED_VALUE"""),"A Saya suka melakukan pekerjaan sebaik mungkin.")</f>
        <v>A Saya suka melakukan pekerjaan sebaik mungkin.</v>
      </c>
      <c r="BN130" s="105" t="str">
        <f>IFERROR(__xludf.DUMMYFUNCTION("""COMPUTED_VALUE"""),"A Saya suka mengerjakan teka-teki atau memecahkan persoalan sampai selesai.")</f>
        <v>A Saya suka mengerjakan teka-teki atau memecahkan persoalan sampai selesai.</v>
      </c>
      <c r="BO130" s="105" t="str">
        <f>IFERROR(__xludf.DUMMYFUNCTION("""COMPUTED_VALUE"""),"B Saya ingin diperlakukan dengan baik oleh teman-teman saya.")</f>
        <v>B Saya ingin diperlakukan dengan baik oleh teman-teman saya.</v>
      </c>
      <c r="BP130" s="105" t="str">
        <f>IFERROR(__xludf.DUMMYFUNCTION("""COMPUTED_VALUE"""),"A Saya ingin menyelesaikan sesuatu yang sangat penting artinya.")</f>
        <v>A Saya ingin menyelesaikan sesuatu yang sangat penting artinya.</v>
      </c>
      <c r="BQ130" s="105" t="str">
        <f>IFERROR(__xludf.DUMMYFUNCTION("""COMPUTED_VALUE"""),"A Saya ingin mengerjakannya tugas sampai selesai.")</f>
        <v>A Saya ingin mengerjakannya tugas sampai selesai.</v>
      </c>
      <c r="BR130" s="105" t="str">
        <f>IFERROR(__xludf.DUMMYFUNCTION("""COMPUTED_VALUE"""),"A Saya suka memaafkan teman-teman saya yang menyakiti hati saya.")</f>
        <v>A Saya suka memaafkan teman-teman saya yang menyakiti hati saya.</v>
      </c>
      <c r="BS130" s="105" t="str">
        <f>IFERROR(__xludf.DUMMYFUNCTION("""COMPUTED_VALUE"""),"B Saya ingin teman-teman saya membantu saya bila saya mengalami kesulitan")</f>
        <v>B Saya ingin teman-teman saya membantu saya bila saya mengalami kesulitan</v>
      </c>
      <c r="BT130" s="105" t="str">
        <f>IFERROR(__xludf.DUMMYFUNCTION("""COMPUTED_VALUE"""),"A Saya ingin teman-teman saya merasa kasihan pada saya apabila saya sakit.")</f>
        <v>A Saya ingin teman-teman saya merasa kasihan pada saya apabila saya sakit.</v>
      </c>
      <c r="BU130" s="105" t="str">
        <f>IFERROR(__xludf.DUMMYFUNCTION("""COMPUTED_VALUE"""),"A Saya kadang-kadang suka melakukan hal-hal yang dapat dipuji oleh orang lain.")</f>
        <v>A Saya kadang-kadang suka melakukan hal-hal yang dapat dipuji oleh orang lain.</v>
      </c>
      <c r="BV130" s="105" t="str">
        <f>IFERROR(__xludf.DUMMYFUNCTION("""COMPUTED_VALUE"""),"B Saya ingin teman-teman dengan gembira memberikan pertolongan kepada saya.")</f>
        <v>B Saya ingin teman-teman dengan gembira memberikan pertolongan kepada saya.</v>
      </c>
      <c r="BW130" s="105" t="str">
        <f>IFERROR(__xludf.DUMMYFUNCTION("""COMPUTED_VALUE"""),"B Saya ingin diperlakukan dengan baik oleh teman-teman saya.")</f>
        <v>B Saya ingin diperlakukan dengan baik oleh teman-teman saya.</v>
      </c>
      <c r="BX130" s="105" t="str">
        <f>IFERROR(__xludf.DUMMYFUNCTION("""COMPUTED_VALUE"""),"A Saya ingin memperolok-olok orang yang saya anggap melakukan tindakan bodoh.")</f>
        <v>A Saya ingin memperolok-olok orang yang saya anggap melakukan tindakan bodoh.</v>
      </c>
      <c r="BY130" s="105" t="str">
        <f>IFERROR(__xludf.DUMMYFUNCTION("""COMPUTED_VALUE"""),"A Saya suka melamun atau membayangkan hal-hal yang tidak jelas.")</f>
        <v>A Saya suka melamun atau membayangkan hal-hal yang tidak jelas.</v>
      </c>
      <c r="BZ130" s="105" t="str">
        <f>IFERROR(__xludf.DUMMYFUNCTION("""COMPUTED_VALUE"""),"A Saya suka berkata yang artinya sulit dipahami oleh orang lain.")</f>
        <v>A Saya suka berkata yang artinya sulit dipahami oleh orang lain.</v>
      </c>
      <c r="CA130" s="105" t="str">
        <f>IFERROR(__xludf.DUMMYFUNCTION("""COMPUTED_VALUE"""),"B Saya suka mengajukan pertanyaan agar orang lain memperhatikan saya.")</f>
        <v>B Saya suka mengajukan pertanyaan agar orang lain memperhatikan saya.</v>
      </c>
      <c r="CB130" s="105" t="str">
        <f>IFERROR(__xludf.DUMMYFUNCTION("""COMPUTED_VALUE"""),"B Saya suka berbicara tentang hal-hal yang telah saya capai.")</f>
        <v>B Saya suka berbicara tentang hal-hal yang telah saya capai.</v>
      </c>
      <c r="CC130" s="105" t="str">
        <f>IFERROR(__xludf.DUMMYFUNCTION("""COMPUTED_VALUE"""),"B Saya suka menceritakan hal-hal lucu agar diperhatikan oleh orang lain.")</f>
        <v>B Saya suka menceritakan hal-hal lucu agar diperhatikan oleh orang lain.</v>
      </c>
      <c r="CD130" s="105" t="str">
        <f>IFERROR(__xludf.DUMMYFUNCTION("""COMPUTED_VALUE"""),"A Saya suka menyelesaikan setiap tugas meskipun membutuhkan waktu lama.")</f>
        <v>A Saya suka menyelesaikan setiap tugas meskipun membutuhkan waktu lama.</v>
      </c>
      <c r="CE130" s="105" t="str">
        <f>IFERROR(__xludf.DUMMYFUNCTION("""COMPUTED_VALUE"""),"B Saya kadang-kadang suka melakukan hal-hal yang dapat dipuji oleh orang lain.")</f>
        <v>B Saya kadang-kadang suka melakukan hal-hal yang dapat dipuji oleh orang lain.</v>
      </c>
      <c r="CF130" s="105" t="str">
        <f>IFERROR(__xludf.DUMMYFUNCTION("""COMPUTED_VALUE"""),"A Saya ingin agar hidup saya teratur sesuai cita-cita saya.")</f>
        <v>A Saya ingin agar hidup saya teratur sesuai cita-cita saya.</v>
      </c>
      <c r="CG130" s="105" t="str">
        <f>IFERROR(__xludf.DUMMYFUNCTION("""COMPUTED_VALUE"""),"A Saya ingin berhasil dalam apa yang saya lakukan.")</f>
        <v>A Saya ingin berhasil dalam apa yang saya lakukan.</v>
      </c>
      <c r="CH130" s="105" t="str">
        <f>IFERROR(__xludf.DUMMYFUNCTION("""COMPUTED_VALUE"""),"A Saya ingin bisa melakukan dengan baik sesuatu pekerjaan sulit.")</f>
        <v>A Saya ingin bisa melakukan dengan baik sesuatu pekerjaan sulit.</v>
      </c>
      <c r="CI130" s="105" t="str">
        <f>IFERROR(__xludf.DUMMYFUNCTION("""COMPUTED_VALUE"""),"A Saya suka belajar saya teratur dan ada waktu-waktu tertentu untuk belajar.")</f>
        <v>A Saya suka belajar saya teratur dan ada waktu-waktu tertentu untuk belajar.</v>
      </c>
      <c r="CJ130" s="105" t="str">
        <f>IFERROR(__xludf.DUMMYFUNCTION("""COMPUTED_VALUE"""),"A Saya ingin tidak tergantung dari orang lain terhadap apa yang akan saya lakukan.")</f>
        <v>A Saya ingin tidak tergantung dari orang lain terhadap apa yang akan saya lakukan.</v>
      </c>
      <c r="CK130" s="105" t="str">
        <f>IFERROR(__xludf.DUMMYFUNCTION("""COMPUTED_VALUE"""),"A Saya suka bertahan menghadapi satu masalah, meskipun belum tentu berhasil.")</f>
        <v>A Saya suka bertahan menghadapi satu masalah, meskipun belum tentu berhasil.</v>
      </c>
      <c r="CL130" s="105" t="str">
        <f>IFERROR(__xludf.DUMMYFUNCTION("""COMPUTED_VALUE"""),"A Saya suka menolong teman-teman saya, apabila mereka dalam kesulitan.")</f>
        <v>A Saya suka menolong teman-teman saya, apabila mereka dalam kesulitan.</v>
      </c>
      <c r="CM130" s="105" t="str">
        <f>IFERROR(__xludf.DUMMYFUNCTION("""COMPUTED_VALUE"""),"A Saya ingin ditunjuk atau dipilih sebagai ketua dalam suatu kelompok.")</f>
        <v>A Saya ingin ditunjuk atau dipilih sebagai ketua dalam suatu kelompok.</v>
      </c>
      <c r="CN130" s="105" t="str">
        <f>IFERROR(__xludf.DUMMYFUNCTION("""COMPUTED_VALUE"""),"A Saya ingin diperlakukan dengan baik oleh teman-teman saya.")</f>
        <v>A Saya ingin diperlakukan dengan baik oleh teman-teman saya.</v>
      </c>
      <c r="CO130" s="105" t="str">
        <f>IFERROR(__xludf.DUMMYFUNCTION("""COMPUTED_VALUE"""),"A Saya suka menceritakan hal-hal lucu agar diperhatikan oleh orang lain.")</f>
        <v>A Saya suka menceritakan hal-hal lucu agar diperhatikan oleh orang lain.</v>
      </c>
      <c r="CP130" s="105" t="str">
        <f>IFERROR(__xludf.DUMMYFUNCTION("""COMPUTED_VALUE"""),"A Saya suka melamun atau membayangkan sesuatu sendirian.")</f>
        <v>A Saya suka melamun atau membayangkan sesuatu sendirian.</v>
      </c>
      <c r="CQ130" s="105" t="str">
        <f>IFERROR(__xludf.DUMMYFUNCTION("""COMPUTED_VALUE"""),"A Saya ingin menggertak orang bila saya berbeda pendapat dengan mereka.")</f>
        <v>A Saya ingin menggertak orang bila saya berbeda pendapat dengan mereka.</v>
      </c>
      <c r="CR130" s="105" t="str">
        <f>IFERROR(__xludf.DUMMYFUNCTION("""COMPUTED_VALUE"""),"B Saya rasanya ingin mengecam seseorang bila orang itu menjengkelkan.")</f>
        <v>B Saya rasanya ingin mengecam seseorang bila orang itu menjengkelkan.</v>
      </c>
      <c r="CS130" s="105" t="str">
        <f>IFERROR(__xludf.DUMMYFUNCTION("""COMPUTED_VALUE"""),"A Saya ingin terlihat menarik di depan teman-teman saya.")</f>
        <v>A Saya ingin terlihat menarik di depan teman-teman saya.</v>
      </c>
      <c r="CT130" s="105" t="str">
        <f>IFERROR(__xludf.DUMMYFUNCTION("""COMPUTED_VALUE"""),"A Saya ingin orang-orang memperhatikan komentar mengenai penampilan saya.")</f>
        <v>A Saya ingin orang-orang memperhatikan komentar mengenai penampilan saya.</v>
      </c>
      <c r="CU130" s="105" t="str">
        <f>IFERROR(__xludf.DUMMYFUNCTION("""COMPUTED_VALUE"""),"A Saya ingin diperlakukan dengan ramah oleh teman-teman saya.")</f>
        <v>A Saya ingin diperlakukan dengan ramah oleh teman-teman saya.</v>
      </c>
      <c r="CV130" s="105" t="str">
        <f>IFERROR(__xludf.DUMMYFUNCTION("""COMPUTED_VALUE"""),"A Saya ingin ditunjuk atau dipilih sebagai ketua dalam suatu kelompok.")</f>
        <v>A Saya ingin ditunjuk atau dipilih sebagai ketua dalam suatu kelompok.</v>
      </c>
      <c r="CW130" s="105" t="str">
        <f>IFERROR(__xludf.DUMMYFUNCTION("""COMPUTED_VALUE"""),"B Saya mengatakan kepada orang lain bagaimana pendapat saya terhadap mereka.")</f>
        <v>B Saya mengatakan kepada orang lain bagaimana pendapat saya terhadap mereka.</v>
      </c>
      <c r="CX130" s="105" t="str">
        <f>IFERROR(__xludf.DUMMYFUNCTION("""COMPUTED_VALUE"""),"A Saya suka belajar sampai malam untuk menyelesaikan suatu tugas.")</f>
        <v>A Saya suka belajar sampai malam untuk menyelesaikan suatu tugas.</v>
      </c>
      <c r="CY130" s="105" t="str">
        <f>IFERROR(__xludf.DUMMYFUNCTION("""COMPUTED_VALUE"""),"A Saya ingin tidak tergantung dari orang lain terhadap apa yang akan saya lakukan.")</f>
        <v>A Saya ingin tidak tergantung dari orang lain terhadap apa yang akan saya lakukan.</v>
      </c>
      <c r="CZ130" s="105" t="str">
        <f>IFERROR(__xludf.DUMMYFUNCTION("""COMPUTED_VALUE"""),"A Saya suka merencanakan dan mengatur setiap pekerjaan yang harus saya lakukan.")</f>
        <v>A Saya suka merencanakan dan mengatur setiap pekerjaan yang harus saya lakukan.</v>
      </c>
      <c r="DA130" s="105" t="str">
        <f>IFERROR(__xludf.DUMMYFUNCTION("""COMPUTED_VALUE"""),"A Saya ingin melakukan apa saja sebaik mungkin.")</f>
        <v>A Saya ingin melakukan apa saja sebaik mungkin.</v>
      </c>
      <c r="DB130" s="89" t="s">
        <v>23</v>
      </c>
      <c r="DC130" s="97" t="str">
        <f t="shared" ref="DC130:GX130" si="175">LEFT(F130,1)</f>
        <v>B</v>
      </c>
      <c r="DD130" s="97" t="str">
        <f t="shared" si="175"/>
        <v>A</v>
      </c>
      <c r="DE130" s="97" t="str">
        <f t="shared" si="175"/>
        <v>B</v>
      </c>
      <c r="DF130" s="97" t="str">
        <f t="shared" si="175"/>
        <v>B</v>
      </c>
      <c r="DG130" s="97" t="str">
        <f t="shared" si="175"/>
        <v>A</v>
      </c>
      <c r="DH130" s="97" t="str">
        <f t="shared" si="175"/>
        <v>B</v>
      </c>
      <c r="DI130" s="97" t="str">
        <f t="shared" si="175"/>
        <v>B</v>
      </c>
      <c r="DJ130" s="97" t="str">
        <f t="shared" si="175"/>
        <v>B</v>
      </c>
      <c r="DK130" s="97" t="str">
        <f t="shared" si="175"/>
        <v>B</v>
      </c>
      <c r="DL130" s="97" t="str">
        <f t="shared" si="175"/>
        <v>B</v>
      </c>
      <c r="DM130" s="97" t="str">
        <f t="shared" si="175"/>
        <v>B</v>
      </c>
      <c r="DN130" s="97" t="str">
        <f t="shared" si="175"/>
        <v>B</v>
      </c>
      <c r="DO130" s="97" t="str">
        <f t="shared" si="175"/>
        <v>B</v>
      </c>
      <c r="DP130" s="97" t="str">
        <f t="shared" si="175"/>
        <v>A</v>
      </c>
      <c r="DQ130" s="97" t="str">
        <f t="shared" si="175"/>
        <v>A</v>
      </c>
      <c r="DR130" s="97" t="str">
        <f t="shared" si="175"/>
        <v>A</v>
      </c>
      <c r="DS130" s="97" t="str">
        <f t="shared" si="175"/>
        <v>B</v>
      </c>
      <c r="DT130" s="97" t="str">
        <f t="shared" si="175"/>
        <v>B</v>
      </c>
      <c r="DU130" s="97" t="str">
        <f t="shared" si="175"/>
        <v>A</v>
      </c>
      <c r="DV130" s="97" t="str">
        <f t="shared" si="175"/>
        <v>A</v>
      </c>
      <c r="DW130" s="97" t="str">
        <f t="shared" si="175"/>
        <v>A</v>
      </c>
      <c r="DX130" s="97" t="str">
        <f t="shared" si="175"/>
        <v>B</v>
      </c>
      <c r="DY130" s="97" t="str">
        <f t="shared" si="175"/>
        <v>A</v>
      </c>
      <c r="DZ130" s="97" t="str">
        <f t="shared" si="175"/>
        <v>A</v>
      </c>
      <c r="EA130" s="97" t="str">
        <f t="shared" si="175"/>
        <v>A</v>
      </c>
      <c r="EB130" s="97" t="str">
        <f t="shared" si="175"/>
        <v>A</v>
      </c>
      <c r="EC130" s="97" t="str">
        <f t="shared" si="175"/>
        <v>A</v>
      </c>
      <c r="ED130" s="97" t="str">
        <f t="shared" si="175"/>
        <v>B</v>
      </c>
      <c r="EE130" s="97" t="str">
        <f t="shared" si="175"/>
        <v>B</v>
      </c>
      <c r="EF130" s="97" t="str">
        <f t="shared" si="175"/>
        <v>B</v>
      </c>
      <c r="EG130" s="97" t="str">
        <f t="shared" si="175"/>
        <v>B</v>
      </c>
      <c r="EH130" s="97" t="str">
        <f t="shared" si="175"/>
        <v>B</v>
      </c>
      <c r="EI130" s="97" t="str">
        <f t="shared" si="175"/>
        <v>B</v>
      </c>
      <c r="EJ130" s="97" t="str">
        <f t="shared" si="175"/>
        <v>B</v>
      </c>
      <c r="EK130" s="97" t="str">
        <f t="shared" si="175"/>
        <v>A</v>
      </c>
      <c r="EL130" s="97" t="str">
        <f t="shared" si="175"/>
        <v>B</v>
      </c>
      <c r="EM130" s="97" t="str">
        <f t="shared" si="175"/>
        <v>B</v>
      </c>
      <c r="EN130" s="97" t="str">
        <f t="shared" si="175"/>
        <v>B</v>
      </c>
      <c r="EO130" s="97" t="str">
        <f t="shared" si="175"/>
        <v>B</v>
      </c>
      <c r="EP130" s="97" t="str">
        <f t="shared" si="175"/>
        <v>A</v>
      </c>
      <c r="EQ130" s="97" t="str">
        <f t="shared" si="175"/>
        <v>B</v>
      </c>
      <c r="ER130" s="97" t="str">
        <f t="shared" si="175"/>
        <v>B</v>
      </c>
      <c r="ES130" s="97" t="str">
        <f t="shared" si="175"/>
        <v>B</v>
      </c>
      <c r="ET130" s="97" t="str">
        <f t="shared" si="175"/>
        <v>B</v>
      </c>
      <c r="EU130" s="97" t="str">
        <f t="shared" si="175"/>
        <v>B</v>
      </c>
      <c r="EV130" s="97" t="str">
        <f t="shared" si="175"/>
        <v>B</v>
      </c>
      <c r="EW130" s="97" t="str">
        <f t="shared" si="175"/>
        <v>A</v>
      </c>
      <c r="EX130" s="97" t="str">
        <f t="shared" si="175"/>
        <v>A</v>
      </c>
      <c r="EY130" s="97" t="str">
        <f t="shared" si="175"/>
        <v>B</v>
      </c>
      <c r="EZ130" s="97" t="str">
        <f t="shared" si="175"/>
        <v>B</v>
      </c>
      <c r="FA130" s="97" t="str">
        <f t="shared" si="175"/>
        <v>B</v>
      </c>
      <c r="FB130" s="97" t="str">
        <f t="shared" si="175"/>
        <v>B</v>
      </c>
      <c r="FC130" s="97" t="str">
        <f t="shared" si="175"/>
        <v>B</v>
      </c>
      <c r="FD130" s="97" t="str">
        <f t="shared" si="175"/>
        <v>B</v>
      </c>
      <c r="FE130" s="97" t="str">
        <f t="shared" si="175"/>
        <v>B</v>
      </c>
      <c r="FF130" s="97" t="str">
        <f t="shared" si="175"/>
        <v>A</v>
      </c>
      <c r="FG130" s="97" t="str">
        <f t="shared" si="175"/>
        <v>B</v>
      </c>
      <c r="FH130" s="97" t="str">
        <f t="shared" si="175"/>
        <v>B</v>
      </c>
      <c r="FI130" s="97" t="str">
        <f t="shared" si="175"/>
        <v>A</v>
      </c>
      <c r="FJ130" s="97" t="str">
        <f t="shared" si="175"/>
        <v>A</v>
      </c>
      <c r="FK130" s="97" t="str">
        <f t="shared" si="175"/>
        <v>A</v>
      </c>
      <c r="FL130" s="97" t="str">
        <f t="shared" si="175"/>
        <v>B</v>
      </c>
      <c r="FM130" s="97" t="str">
        <f t="shared" si="175"/>
        <v>A</v>
      </c>
      <c r="FN130" s="97" t="str">
        <f t="shared" si="175"/>
        <v>A</v>
      </c>
      <c r="FO130" s="97" t="str">
        <f t="shared" si="175"/>
        <v>A</v>
      </c>
      <c r="FP130" s="97" t="str">
        <f t="shared" si="175"/>
        <v>B</v>
      </c>
      <c r="FQ130" s="97" t="str">
        <f t="shared" si="175"/>
        <v>A</v>
      </c>
      <c r="FR130" s="97" t="str">
        <f t="shared" si="175"/>
        <v>A</v>
      </c>
      <c r="FS130" s="97" t="str">
        <f t="shared" si="175"/>
        <v>B</v>
      </c>
      <c r="FT130" s="97" t="str">
        <f t="shared" si="175"/>
        <v>B</v>
      </c>
      <c r="FU130" s="97" t="str">
        <f t="shared" si="175"/>
        <v>A</v>
      </c>
      <c r="FV130" s="97" t="str">
        <f t="shared" si="175"/>
        <v>A</v>
      </c>
      <c r="FW130" s="97" t="str">
        <f t="shared" si="175"/>
        <v>A</v>
      </c>
      <c r="FX130" s="97" t="str">
        <f t="shared" si="175"/>
        <v>B</v>
      </c>
      <c r="FY130" s="97" t="str">
        <f t="shared" si="175"/>
        <v>B</v>
      </c>
      <c r="FZ130" s="97" t="str">
        <f t="shared" si="175"/>
        <v>B</v>
      </c>
      <c r="GA130" s="97" t="str">
        <f t="shared" si="175"/>
        <v>A</v>
      </c>
      <c r="GB130" s="97" t="str">
        <f t="shared" si="175"/>
        <v>B</v>
      </c>
      <c r="GC130" s="97" t="str">
        <f t="shared" si="175"/>
        <v>A</v>
      </c>
      <c r="GD130" s="97" t="str">
        <f t="shared" si="175"/>
        <v>A</v>
      </c>
      <c r="GE130" s="97" t="str">
        <f t="shared" si="175"/>
        <v>A</v>
      </c>
      <c r="GF130" s="97" t="str">
        <f t="shared" si="175"/>
        <v>A</v>
      </c>
      <c r="GG130" s="97" t="str">
        <f t="shared" si="175"/>
        <v>A</v>
      </c>
      <c r="GH130" s="97" t="str">
        <f t="shared" si="175"/>
        <v>A</v>
      </c>
      <c r="GI130" s="97" t="str">
        <f t="shared" si="175"/>
        <v>A</v>
      </c>
      <c r="GJ130" s="97" t="str">
        <f t="shared" si="175"/>
        <v>A</v>
      </c>
      <c r="GK130" s="97" t="str">
        <f t="shared" si="175"/>
        <v>A</v>
      </c>
      <c r="GL130" s="97" t="str">
        <f t="shared" si="175"/>
        <v>A</v>
      </c>
      <c r="GM130" s="97" t="str">
        <f t="shared" si="175"/>
        <v>A</v>
      </c>
      <c r="GN130" s="97" t="str">
        <f t="shared" si="175"/>
        <v>A</v>
      </c>
      <c r="GO130" s="97" t="str">
        <f t="shared" si="175"/>
        <v>B</v>
      </c>
      <c r="GP130" s="97" t="str">
        <f t="shared" si="175"/>
        <v>A</v>
      </c>
      <c r="GQ130" s="97" t="str">
        <f t="shared" si="175"/>
        <v>A</v>
      </c>
      <c r="GR130" s="97" t="str">
        <f t="shared" si="175"/>
        <v>A</v>
      </c>
      <c r="GS130" s="97" t="str">
        <f t="shared" si="175"/>
        <v>A</v>
      </c>
      <c r="GT130" s="97" t="str">
        <f t="shared" si="175"/>
        <v>B</v>
      </c>
      <c r="GU130" s="97" t="str">
        <f t="shared" si="175"/>
        <v>A</v>
      </c>
      <c r="GV130" s="97" t="str">
        <f t="shared" si="175"/>
        <v>A</v>
      </c>
      <c r="GW130" s="97" t="str">
        <f t="shared" si="175"/>
        <v>A</v>
      </c>
      <c r="GX130" s="97" t="str">
        <f t="shared" si="175"/>
        <v>A</v>
      </c>
      <c r="GY130" s="98"/>
      <c r="GZ130" s="97">
        <f t="shared" si="3"/>
        <v>50</v>
      </c>
      <c r="HA130" s="97">
        <f t="shared" si="4"/>
        <v>50</v>
      </c>
      <c r="HB130" s="90">
        <f t="shared" si="5"/>
        <v>100</v>
      </c>
      <c r="HC130" s="99"/>
      <c r="HD130" s="97">
        <f t="shared" si="6"/>
        <v>8</v>
      </c>
      <c r="HE130" s="97">
        <f t="shared" si="7"/>
        <v>7</v>
      </c>
      <c r="HF130" s="90">
        <f t="shared" si="8"/>
        <v>15</v>
      </c>
      <c r="HG130" s="99"/>
      <c r="HH130" s="97">
        <f t="shared" si="9"/>
        <v>5</v>
      </c>
      <c r="HI130" s="97">
        <f t="shared" si="10"/>
        <v>5</v>
      </c>
      <c r="HJ130" s="90">
        <f t="shared" si="11"/>
        <v>10</v>
      </c>
      <c r="HK130" s="99"/>
      <c r="HL130" s="97">
        <f t="shared" si="12"/>
        <v>3</v>
      </c>
      <c r="HM130" s="97">
        <f t="shared" si="13"/>
        <v>4</v>
      </c>
      <c r="HN130" s="90">
        <f t="shared" si="14"/>
        <v>7</v>
      </c>
      <c r="HO130" s="99"/>
      <c r="HP130" s="97">
        <f t="shared" si="15"/>
        <v>5</v>
      </c>
      <c r="HQ130" s="97">
        <f t="shared" si="16"/>
        <v>8</v>
      </c>
      <c r="HR130" s="90">
        <f t="shared" si="17"/>
        <v>13</v>
      </c>
      <c r="HS130" s="99"/>
      <c r="HT130" s="97">
        <f t="shared" si="18"/>
        <v>6</v>
      </c>
      <c r="HU130" s="97">
        <f t="shared" si="19"/>
        <v>8</v>
      </c>
      <c r="HV130" s="90">
        <f t="shared" si="20"/>
        <v>14</v>
      </c>
      <c r="HW130" s="99"/>
      <c r="HX130" s="97">
        <f t="shared" si="21"/>
        <v>5</v>
      </c>
      <c r="HY130" s="97">
        <f t="shared" si="22"/>
        <v>7</v>
      </c>
      <c r="HZ130" s="90">
        <f t="shared" si="23"/>
        <v>12</v>
      </c>
      <c r="IA130" s="99"/>
      <c r="IB130" s="97">
        <f t="shared" si="24"/>
        <v>5</v>
      </c>
      <c r="IC130" s="97">
        <f t="shared" si="25"/>
        <v>4</v>
      </c>
      <c r="ID130" s="90">
        <f t="shared" si="26"/>
        <v>9</v>
      </c>
      <c r="IE130" s="99"/>
      <c r="IF130" s="97">
        <f t="shared" si="27"/>
        <v>4</v>
      </c>
      <c r="IG130" s="97">
        <f t="shared" si="28"/>
        <v>4</v>
      </c>
      <c r="IH130" s="90">
        <f t="shared" si="29"/>
        <v>8</v>
      </c>
      <c r="II130" s="99"/>
      <c r="IJ130" s="97">
        <f t="shared" si="30"/>
        <v>2</v>
      </c>
      <c r="IK130" s="97">
        <f t="shared" si="31"/>
        <v>0</v>
      </c>
      <c r="IL130" s="90">
        <f t="shared" si="32"/>
        <v>2</v>
      </c>
      <c r="IM130" s="99"/>
      <c r="IN130" s="97">
        <f t="shared" si="33"/>
        <v>2</v>
      </c>
      <c r="IO130" s="97">
        <f t="shared" si="34"/>
        <v>2</v>
      </c>
      <c r="IP130" s="90">
        <f t="shared" si="35"/>
        <v>4</v>
      </c>
      <c r="IS130" s="100">
        <f t="shared" si="36"/>
        <v>15</v>
      </c>
      <c r="IT130" s="100">
        <f t="shared" si="37"/>
        <v>10</v>
      </c>
      <c r="IU130" s="100">
        <f t="shared" si="38"/>
        <v>7</v>
      </c>
      <c r="IV130" s="100">
        <f t="shared" si="39"/>
        <v>13</v>
      </c>
      <c r="IW130" s="100">
        <f t="shared" si="40"/>
        <v>14</v>
      </c>
      <c r="IX130" s="100">
        <f t="shared" si="41"/>
        <v>12</v>
      </c>
      <c r="IY130" s="100">
        <f t="shared" si="42"/>
        <v>9</v>
      </c>
      <c r="IZ130" s="100">
        <f t="shared" si="43"/>
        <v>8</v>
      </c>
      <c r="JA130" s="100">
        <f t="shared" si="44"/>
        <v>2</v>
      </c>
      <c r="JB130" s="101">
        <f t="shared" si="45"/>
        <v>4</v>
      </c>
      <c r="JC130" s="102">
        <f t="shared" si="46"/>
        <v>94</v>
      </c>
      <c r="JD130" s="67">
        <f t="shared" si="50"/>
        <v>0</v>
      </c>
      <c r="JE130" s="67">
        <f t="shared" si="47"/>
        <v>1</v>
      </c>
      <c r="JF130" s="67">
        <f t="shared" si="48"/>
        <v>1</v>
      </c>
    </row>
    <row r="131">
      <c r="A131" s="104">
        <f>IFERROR(__xludf.DUMMYFUNCTION("""COMPUTED_VALUE"""),45970.654018518515)</f>
        <v>45970.65402</v>
      </c>
      <c r="B131" s="105" t="str">
        <f>IFERROR(__xludf.DUMMYFUNCTION("""COMPUTED_VALUE"""),"Bisma adhi saputra")</f>
        <v>Bisma adhi saputra</v>
      </c>
      <c r="C131" s="7" t="str">
        <f>IFERROR(__xludf.DUMMYFUNCTION("""COMPUTED_VALUE"""),"B250028")</f>
        <v>B250028</v>
      </c>
      <c r="D131" s="7" t="str">
        <f>IFERROR(__xludf.DUMMYFUNCTION("""COMPUTED_VALUE"""),"IL Putra")</f>
        <v>IL Putra</v>
      </c>
      <c r="E131" s="7" t="str">
        <f>IFERROR(__xludf.DUMMYFUNCTION("""COMPUTED_VALUE"""),"Ya")</f>
        <v>Ya</v>
      </c>
      <c r="F131" s="105" t="str">
        <f>IFERROR(__xludf.DUMMYFUNCTION("""COMPUTED_VALUE"""),"A Saya ingin mengerjakan segala tugas lebih baik daripada orang lain.")</f>
        <v>A Saya ingin mengerjakan segala tugas lebih baik daripada orang lain.</v>
      </c>
      <c r="G131" s="105" t="str">
        <f>IFERROR(__xludf.DUMMYFUNCTION("""COMPUTED_VALUE"""),"A Saya ingin setiap tulisan saya teliti, rapi, dan tersusun dengan baik.")</f>
        <v>A Saya ingin setiap tulisan saya teliti, rapi, dan tersusun dengan baik.</v>
      </c>
      <c r="H131" s="105" t="str">
        <f>IFERROR(__xludf.DUMMYFUNCTION("""COMPUTED_VALUE"""),"A Saya ingin berbuat sesuai kata hati saya.")</f>
        <v>A Saya ingin berbuat sesuai kata hati saya.</v>
      </c>
      <c r="I131" s="105" t="str">
        <f>IFERROR(__xludf.DUMMYFUNCTION("""COMPUTED_VALUE"""),"B Saya ingin bisa melakukan dengan baik meskipun tugas yang sulit.")</f>
        <v>B Saya ingin bisa melakukan dengan baik meskipun tugas yang sulit.</v>
      </c>
      <c r="J131" s="105" t="str">
        <f>IFERROR(__xludf.DUMMYFUNCTION("""COMPUTED_VALUE"""),"A Saya suka membantu teman-teman saya apabila mereka mengalami kesulitan.")</f>
        <v>A Saya suka membantu teman-teman saya apabila mereka mengalami kesulitan.</v>
      </c>
      <c r="K131" s="105" t="str">
        <f>IFERROR(__xludf.DUMMYFUNCTION("""COMPUTED_VALUE"""),"A Saya ingin menjadi pemimpin dalam suatu kelompok.")</f>
        <v>A Saya ingin menjadi pemimpin dalam suatu kelompok.</v>
      </c>
      <c r="L131" s="105" t="str">
        <f>IFERROR(__xludf.DUMMYFUNCTION("""COMPUTED_VALUE"""),"A Saya ingin menjadi pemimpin dalam suatu kelompok")</f>
        <v>A Saya ingin menjadi pemimpin dalam suatu kelompok</v>
      </c>
      <c r="M131" s="105" t="str">
        <f>IFERROR(__xludf.DUMMYFUNCTION("""COMPUTED_VALUE"""),"A Saya suka berbicara tentang hal-hal yang telah berhasil saya lakukan.")</f>
        <v>A Saya suka berbicara tentang hal-hal yang telah berhasil saya lakukan.</v>
      </c>
      <c r="N131" s="105" t="str">
        <f>IFERROR(__xludf.DUMMYFUNCTION("""COMPUTED_VALUE"""),"A Saya suka pergi dengan pakaian rapi agar lebih menarik perhatian orang lain.")</f>
        <v>A Saya suka pergi dengan pakaian rapi agar lebih menarik perhatian orang lain.</v>
      </c>
      <c r="O131" s="105" t="str">
        <f>IFERROR(__xludf.DUMMYFUNCTION("""COMPUTED_VALUE"""),"A Saya marah saat ada teman memperolok-olok hal-hal yang saya anggap bodoh.")</f>
        <v>A Saya marah saat ada teman memperolok-olok hal-hal yang saya anggap bodoh.</v>
      </c>
      <c r="P131" s="105" t="str">
        <f>IFERROR(__xludf.DUMMYFUNCTION("""COMPUTED_VALUE"""),"B Saya ingin setiap belajar itu teratur dan direncanakan.")</f>
        <v>B Saya ingin setiap belajar itu teratur dan direncanakan.</v>
      </c>
      <c r="Q131" s="105" t="str">
        <f>IFERROR(__xludf.DUMMYFUNCTION("""COMPUTED_VALUE"""),"A Saya mulai suka dengan lawan jenis.")</f>
        <v>A Saya mulai suka dengan lawan jenis.</v>
      </c>
      <c r="R131" s="105" t="str">
        <f>IFERROR(__xludf.DUMMYFUNCTION("""COMPUTED_VALUE"""),"B Saya suka barang-barang saya tersusun rapi dan teratur.")</f>
        <v>B Saya suka barang-barang saya tersusun rapi dan teratur.</v>
      </c>
      <c r="S131" s="105" t="str">
        <f>IFERROR(__xludf.DUMMYFUNCTION("""COMPUTED_VALUE"""),"A Saya ingin agar teman-teman pengertian bila saya mengalami kesukaran.")</f>
        <v>A Saya ingin agar teman-teman pengertian bila saya mengalami kesukaran.</v>
      </c>
      <c r="T131" s="105" t="str">
        <f>IFERROR(__xludf.DUMMYFUNCTION("""COMPUTED_VALUE"""),"B Saya ingin agar hidup saya teratur sesuai cita-cita saya.")</f>
        <v>B Saya ingin agar hidup saya teratur sesuai cita-cita saya.</v>
      </c>
      <c r="U131" s="105" t="str">
        <f>IFERROR(__xludf.DUMMYFUNCTION("""COMPUTED_VALUE"""),"A Saya suka memberikan bantuan kepada teman-teman saya.")</f>
        <v>A Saya suka memberikan bantuan kepada teman-teman saya.</v>
      </c>
      <c r="V131" s="105" t="str">
        <f>IFERROR(__xludf.DUMMYFUNCTION("""COMPUTED_VALUE"""),"B Saya suka belajar saya teratur dan ada waktu-waktu tertentu untuk belajar.")</f>
        <v>B Saya suka belajar saya teratur dan ada waktu-waktu tertentu untuk belajar.</v>
      </c>
      <c r="W131" s="105" t="str">
        <f>IFERROR(__xludf.DUMMYFUNCTION("""COMPUTED_VALUE"""),"B Saya ingin kegiatan itu teratur dan direncanakan.")</f>
        <v>B Saya ingin kegiatan itu teratur dan direncanakan.</v>
      </c>
      <c r="X131" s="105" t="str">
        <f>IFERROR(__xludf.DUMMYFUNCTION("""COMPUTED_VALUE"""),"B Saya ingin agar hidup saya teratur sesuai cita-cita saya.")</f>
        <v>B Saya ingin agar hidup saya teratur sesuai cita-cita saya.</v>
      </c>
      <c r="Y131" s="105" t="str">
        <f>IFERROR(__xludf.DUMMYFUNCTION("""COMPUTED_VALUE"""),"B Saya senang merencanakan untuk masa depan.")</f>
        <v>B Saya senang merencanakan untuk masa depan.</v>
      </c>
      <c r="Z131" s="105" t="str">
        <f>IFERROR(__xludf.DUMMYFUNCTION("""COMPUTED_VALUE"""),"A Saya ingin berhasil dengan belajar yang saya lakukan.")</f>
        <v>A Saya ingin berhasil dengan belajar yang saya lakukan.</v>
      </c>
      <c r="AA131" s="105" t="str">
        <f>IFERROR(__xludf.DUMMYFUNCTION("""COMPUTED_VALUE"""),"B Saya tidak suka pada orang yang berbuat seenaknya sendiri.")</f>
        <v>B Saya tidak suka pada orang yang berbuat seenaknya sendiri.</v>
      </c>
      <c r="AB131" s="105" t="str">
        <f>IFERROR(__xludf.DUMMYFUNCTION("""COMPUTED_VALUE"""),"B Saya ingin menyelesaikan pekerjaan satu persatu sebelum memulai yang lain.")</f>
        <v>B Saya ingin menyelesaikan pekerjaan satu persatu sebelum memulai yang lain.</v>
      </c>
      <c r="AC131" s="105" t="str">
        <f>IFERROR(__xludf.DUMMYFUNCTION("""COMPUTED_VALUE"""),"A Saya suka menyelesaikan setiap tugas meskipun membutuhkan waktu lama.")</f>
        <v>A Saya suka menyelesaikan setiap tugas meskipun membutuhkan waktu lama.</v>
      </c>
      <c r="AD131" s="105" t="str">
        <f>IFERROR(__xludf.DUMMYFUNCTION("""COMPUTED_VALUE"""),"A Saya suka bermurah hati terhadap teman-teman saya.")</f>
        <v>A Saya suka bermurah hati terhadap teman-teman saya.</v>
      </c>
      <c r="AE131" s="105" t="str">
        <f>IFERROR(__xludf.DUMMYFUNCTION("""COMPUTED_VALUE"""),"A Saya ingin dianggap sebagai pemimpin oleh teman di kelompok.")</f>
        <v>A Saya ingin dianggap sebagai pemimpin oleh teman di kelompok.</v>
      </c>
      <c r="AF131" s="105" t="str">
        <f>IFERROR(__xludf.DUMMYFUNCTION("""COMPUTED_VALUE"""),"A Saya ingin agar teman-teman mengerti bila saya mengalami kesukaran.")</f>
        <v>A Saya ingin agar teman-teman mengerti bila saya mengalami kesukaran.</v>
      </c>
      <c r="AG131" s="105" t="str">
        <f>IFERROR(__xludf.DUMMYFUNCTION("""COMPUTED_VALUE"""),"B Saya ingin berhasil dengan tugas yang saya lakukan.")</f>
        <v>B Saya ingin berhasil dengan tugas yang saya lakukan.</v>
      </c>
      <c r="AH131" s="105" t="str">
        <f>IFERROR(__xludf.DUMMYFUNCTION("""COMPUTED_VALUE"""),"A Saya suka membaca buku-buku tentang pergaulan remaja.")</f>
        <v>A Saya suka membaca buku-buku tentang pergaulan remaja.</v>
      </c>
      <c r="AI131" s="105" t="str">
        <f>IFERROR(__xludf.DUMMYFUNCTION("""COMPUTED_VALUE"""),"A Saya ingin menghardik orang lain bila saya berbeda pendapat dengan mereka.")</f>
        <v>A Saya ingin menghardik orang lain bila saya berbeda pendapat dengan mereka.</v>
      </c>
      <c r="AJ131" s="105" t="str">
        <f>IFERROR(__xludf.DUMMYFUNCTION("""COMPUTED_VALUE"""),"A Saya rasanya ingin membalas dendam bila seseorang menghina saya.")</f>
        <v>A Saya rasanya ingin membalas dendam bila seseorang menghina saya.</v>
      </c>
      <c r="AK131" s="105" t="str">
        <f>IFERROR(__xludf.DUMMYFUNCTION("""COMPUTED_VALUE"""),"B Bila saya harus melakukan suatu tugas, saya ingin mengerjakan sampai selesai.")</f>
        <v>B Bila saya harus melakukan suatu tugas, saya ingin mengerjakan sampai selesai.</v>
      </c>
      <c r="AL131" s="105" t="str">
        <f>IFERROR(__xludf.DUMMYFUNCTION("""COMPUTED_VALUE"""),"B Saya ingin menghindarkan gangguan bila saya sedang belajar.")</f>
        <v>B Saya ingin menghindarkan gangguan bila saya sedang belajar.</v>
      </c>
      <c r="AM131" s="105" t="str">
        <f>IFERROR(__xludf.DUMMYFUNCTION("""COMPUTED_VALUE"""),"A Saya ingin teman-teman saya merasa kasihan pada saya apabila saya sakit.")</f>
        <v>A Saya ingin teman-teman saya merasa kasihan pada saya apabila saya sakit.</v>
      </c>
      <c r="AN131" s="105" t="str">
        <f>IFERROR(__xludf.DUMMYFUNCTION("""COMPUTED_VALUE"""),"A Saya tidak suka pada orang yang semena-mena.")</f>
        <v>A Saya tidak suka pada orang yang semena-mena.</v>
      </c>
      <c r="AO131" s="105" t="str">
        <f>IFERROR(__xludf.DUMMYFUNCTION("""COMPUTED_VALUE"""),"B Saya suka menyelesaikan setiap tugas meskipun membutuhkan waktu lama.")</f>
        <v>B Saya suka menyelesaikan setiap tugas meskipun membutuhkan waktu lama.</v>
      </c>
      <c r="AP131" s="105" t="str">
        <f>IFERROR(__xludf.DUMMYFUNCTION("""COMPUTED_VALUE"""),"A Saya ingin mengerjakannya tugas sampai selesai.")</f>
        <v>A Saya ingin mengerjakannya tugas sampai selesai.</v>
      </c>
      <c r="AQ131" s="105" t="str">
        <f>IFERROR(__xludf.DUMMYFUNCTION("""COMPUTED_VALUE"""),"A Saya ingin bisa mengerjakan segala sesuatu lebih baik daripada orang-orang lain.")</f>
        <v>A Saya ingin bisa mengerjakan segala sesuatu lebih baik daripada orang-orang lain.</v>
      </c>
      <c r="AR131" s="105" t="str">
        <f>IFERROR(__xludf.DUMMYFUNCTION("""COMPUTED_VALUE"""),"A Saya suka menyimpan catatan secara rapi.")</f>
        <v>A Saya suka menyimpan catatan secara rapi.</v>
      </c>
      <c r="AS131" s="105" t="str">
        <f>IFERROR(__xludf.DUMMYFUNCTION("""COMPUTED_VALUE"""),"A Saya ingin dapat menyelesaikan persoalan yang dianggap sukar bagi orang lain.")</f>
        <v>A Saya ingin dapat menyelesaikan persoalan yang dianggap sukar bagi orang lain.</v>
      </c>
      <c r="AT131" s="105" t="str">
        <f>IFERROR(__xludf.DUMMYFUNCTION("""COMPUTED_VALUE"""),"B Saya suka membantu orang lain yang menurut saya perlu dikasihani.")</f>
        <v>B Saya suka membantu orang lain yang menurut saya perlu dikasihani.</v>
      </c>
      <c r="AU131" s="105" t="str">
        <f>IFERROR(__xludf.DUMMYFUNCTION("""COMPUTED_VALUE"""),"A Saya ingin menyelesaikan pekerjaan satu persatu sebelum memulai yang lain.")</f>
        <v>A Saya ingin menyelesaikan pekerjaan satu persatu sebelum memulai yang lain.</v>
      </c>
      <c r="AV131" s="105" t="str">
        <f>IFERROR(__xludf.DUMMYFUNCTION("""COMPUTED_VALUE"""),"B Saya suka menolong teman-teman saya.")</f>
        <v>B Saya suka menolong teman-teman saya.</v>
      </c>
      <c r="AW131" s="105" t="str">
        <f>IFERROR(__xludf.DUMMYFUNCTION("""COMPUTED_VALUE"""),"A Saya ingin mengerjakan tugas sampai selesai.")</f>
        <v>A Saya ingin mengerjakan tugas sampai selesai.</v>
      </c>
      <c r="AX131" s="105" t="str">
        <f>IFERROR(__xludf.DUMMYFUNCTION("""COMPUTED_VALUE"""),"A Saya suka menolong teman-teman saya apabila mereka dalam kesulitan.")</f>
        <v>A Saya suka menolong teman-teman saya apabila mereka dalam kesulitan.</v>
      </c>
      <c r="AY131" s="105" t="str">
        <f>IFERROR(__xludf.DUMMYFUNCTION("""COMPUTED_VALUE"""),"A Saya rasanya ingin marah saat tidak sesuai dengan hati.")</f>
        <v>A Saya rasanya ingin marah saat tidak sesuai dengan hati.</v>
      </c>
      <c r="AZ131" s="105" t="str">
        <f>IFERROR(__xludf.DUMMYFUNCTION("""COMPUTED_VALUE"""),"B Saya suka menunjukkan simpati saya kepada teman-teman saya.")</f>
        <v>B Saya suka menunjukkan simpati saya kepada teman-teman saya.</v>
      </c>
      <c r="BA131" s="105" t="str">
        <f>IFERROR(__xludf.DUMMYFUNCTION("""COMPUTED_VALUE"""),"A Saya suka menyatakan pendapat saya tentang berbagai hal.")</f>
        <v>A Saya suka menyatakan pendapat saya tentang berbagai hal.</v>
      </c>
      <c r="BB131" s="105" t="str">
        <f>IFERROR(__xludf.DUMMYFUNCTION("""COMPUTED_VALUE"""),"B Saya suka bermurah hati terhadap teman-teman saya.")</f>
        <v>B Saya suka bermurah hati terhadap teman-teman saya.</v>
      </c>
      <c r="BC131" s="105" t="str">
        <f>IFERROR(__xludf.DUMMYFUNCTION("""COMPUTED_VALUE"""),"A Saya rasanya ingin mengecam seseorang bila orang itu menjengkelkan.")</f>
        <v>A Saya rasanya ingin mengecam seseorang bila orang itu menjengkelkan.</v>
      </c>
      <c r="BD131" s="105" t="str">
        <f>IFERROR(__xludf.DUMMYFUNCTION("""COMPUTED_VALUE"""),"A Saya rasanya ingin menyalahkan orang lain bila keadaan tidak baik bagi saya.")</f>
        <v>A Saya rasanya ingin menyalahkan orang lain bila keadaan tidak baik bagi saya.</v>
      </c>
      <c r="BE131" s="105" t="str">
        <f>IFERROR(__xludf.DUMMYFUNCTION("""COMPUTED_VALUE"""),"B Saya ingin orang lain melakukan apa yang saya kehendaki.")</f>
        <v>B Saya ingin orang lain melakukan apa yang saya kehendaki.</v>
      </c>
      <c r="BF131" s="105" t="str">
        <f>IFERROR(__xludf.DUMMYFUNCTION("""COMPUTED_VALUE"""),"B Bila saya dalam kelompok, saya ingin menentukan apa yang akan kita lakukan.")</f>
        <v>B Bila saya dalam kelompok, saya ingin menentukan apa yang akan kita lakukan.</v>
      </c>
      <c r="BG131" s="105" t="str">
        <f>IFERROR(__xludf.DUMMYFUNCTION("""COMPUTED_VALUE"""),"B Saya suka mengarahkan kepada orang lain apa yang harus dilakukan.")</f>
        <v>B Saya suka mengarahkan kepada orang lain apa yang harus dilakukan.</v>
      </c>
      <c r="BH131" s="105" t="str">
        <f>IFERROR(__xludf.DUMMYFUNCTION("""COMPUTED_VALUE"""),"B Apabila saya berkumpul dalam kelompok, saya ingin dihargai teman-teman.")</f>
        <v>B Apabila saya berkumpul dalam kelompok, saya ingin dihargai teman-teman.</v>
      </c>
      <c r="BI131" s="105" t="str">
        <f>IFERROR(__xludf.DUMMYFUNCTION("""COMPUTED_VALUE"""),"A Saya suka bermurah hati terhadap teman-teman saya.")</f>
        <v>A Saya suka bermurah hati terhadap teman-teman saya.</v>
      </c>
      <c r="BJ131" s="105" t="str">
        <f>IFERROR(__xludf.DUMMYFUNCTION("""COMPUTED_VALUE"""),"A Saya ingin mengerjakan tugas sampai selesai.")</f>
        <v>A Saya ingin mengerjakan tugas sampai selesai.</v>
      </c>
      <c r="BK131" s="105" t="str">
        <f>IFERROR(__xludf.DUMMYFUNCTION("""COMPUTED_VALUE"""),"A Saya ingin menyelesaikan pekerjaan satu persatu sebelum memulai yang lain.")</f>
        <v>A Saya ingin menyelesaikan pekerjaan satu persatu sebelum memulai yang lain.</v>
      </c>
      <c r="BL131" s="105" t="str">
        <f>IFERROR(__xludf.DUMMYFUNCTION("""COMPUTED_VALUE"""),"A Saya suka belajar saya teratur dan ada waktu-waktu tertentu untuk belajar.")</f>
        <v>A Saya suka belajar saya teratur dan ada waktu-waktu tertentu untuk belajar.</v>
      </c>
      <c r="BM131" s="105" t="str">
        <f>IFERROR(__xludf.DUMMYFUNCTION("""COMPUTED_VALUE"""),"A Saya suka melakukan pekerjaan sebaik mungkin.")</f>
        <v>A Saya suka melakukan pekerjaan sebaik mungkin.</v>
      </c>
      <c r="BN131" s="105" t="str">
        <f>IFERROR(__xludf.DUMMYFUNCTION("""COMPUTED_VALUE"""),"B Saya ingin teman-teman memberi dorongan bila saya menghadapi kegagalan.")</f>
        <v>B Saya ingin teman-teman memberi dorongan bila saya menghadapi kegagalan.</v>
      </c>
      <c r="BO131" s="105" t="str">
        <f>IFERROR(__xludf.DUMMYFUNCTION("""COMPUTED_VALUE"""),"B Saya ingin diperlakukan dengan baik oleh teman-teman saya.")</f>
        <v>B Saya ingin diperlakukan dengan baik oleh teman-teman saya.</v>
      </c>
      <c r="BP131" s="105" t="str">
        <f>IFERROR(__xludf.DUMMYFUNCTION("""COMPUTED_VALUE"""),"A Saya ingin menyelesaikan sesuatu yang sangat penting artinya.")</f>
        <v>A Saya ingin menyelesaikan sesuatu yang sangat penting artinya.</v>
      </c>
      <c r="BQ131" s="105" t="str">
        <f>IFERROR(__xludf.DUMMYFUNCTION("""COMPUTED_VALUE"""),"A Saya ingin mengerjakannya tugas sampai selesai.")</f>
        <v>A Saya ingin mengerjakannya tugas sampai selesai.</v>
      </c>
      <c r="BR131" s="105" t="str">
        <f>IFERROR(__xludf.DUMMYFUNCTION("""COMPUTED_VALUE"""),"B Saya ingin agar teman-teman saya bersimpati dan menghibur saya bila saya sedih.")</f>
        <v>B Saya ingin agar teman-teman saya bersimpati dan menghibur saya bila saya sedih.</v>
      </c>
      <c r="BS131" s="105" t="str">
        <f>IFERROR(__xludf.DUMMYFUNCTION("""COMPUTED_VALUE"""),"B Saya ingin teman-teman saya membantu saya bila saya mengalami kesulitan")</f>
        <v>B Saya ingin teman-teman saya membantu saya bila saya mengalami kesulitan</v>
      </c>
      <c r="BT131" s="105" t="str">
        <f>IFERROR(__xludf.DUMMYFUNCTION("""COMPUTED_VALUE"""),"B Saya ingin teman-teman banyak menunjukkan rasa sayang mereka terhadap saya.")</f>
        <v>B Saya ingin teman-teman banyak menunjukkan rasa sayang mereka terhadap saya.</v>
      </c>
      <c r="BU131" s="105" t="str">
        <f>IFERROR(__xludf.DUMMYFUNCTION("""COMPUTED_VALUE"""),"A Saya kadang-kadang suka melakukan hal-hal yang dapat dipuji oleh orang lain.")</f>
        <v>A Saya kadang-kadang suka melakukan hal-hal yang dapat dipuji oleh orang lain.</v>
      </c>
      <c r="BV131" s="105" t="str">
        <f>IFERROR(__xludf.DUMMYFUNCTION("""COMPUTED_VALUE"""),"A Saya ingin dianggap menarik oleh orang lain.")</f>
        <v>A Saya ingin dianggap menarik oleh orang lain.</v>
      </c>
      <c r="BW131" s="105" t="str">
        <f>IFERROR(__xludf.DUMMYFUNCTION("""COMPUTED_VALUE"""),"B Saya ingin diperlakukan dengan baik oleh teman-teman saya.")</f>
        <v>B Saya ingin diperlakukan dengan baik oleh teman-teman saya.</v>
      </c>
      <c r="BX131" s="105" t="str">
        <f>IFERROR(__xludf.DUMMYFUNCTION("""COMPUTED_VALUE"""),"B Saya kadang-kadang suka melakukan hal-hal yang dapat dipuji oleh orang lain.")</f>
        <v>B Saya kadang-kadang suka melakukan hal-hal yang dapat dipuji oleh orang lain.</v>
      </c>
      <c r="BY131" s="105" t="str">
        <f>IFERROR(__xludf.DUMMYFUNCTION("""COMPUTED_VALUE"""),"A Saya suka melamun atau membayangkan hal-hal yang tidak jelas.")</f>
        <v>A Saya suka melamun atau membayangkan hal-hal yang tidak jelas.</v>
      </c>
      <c r="BZ131" s="105" t="str">
        <f>IFERROR(__xludf.DUMMYFUNCTION("""COMPUTED_VALUE"""),"B Saya suka diperhatikan, apabila saya ada di dalam suatu kelompok.")</f>
        <v>B Saya suka diperhatikan, apabila saya ada di dalam suatu kelompok.</v>
      </c>
      <c r="CA131" s="105" t="str">
        <f>IFERROR(__xludf.DUMMYFUNCTION("""COMPUTED_VALUE"""),"B Saya suka mengajukan pertanyaan agar orang lain memperhatikan saya.")</f>
        <v>B Saya suka mengajukan pertanyaan agar orang lain memperhatikan saya.</v>
      </c>
      <c r="CB131" s="105" t="str">
        <f>IFERROR(__xludf.DUMMYFUNCTION("""COMPUTED_VALUE"""),"B Saya suka berbicara tentang hal-hal yang telah saya capai.")</f>
        <v>B Saya suka berbicara tentang hal-hal yang telah saya capai.</v>
      </c>
      <c r="CC131" s="105" t="str">
        <f>IFERROR(__xludf.DUMMYFUNCTION("""COMPUTED_VALUE"""),"A Apabila saya berkumpul dalam kelompok, saya ingin dihargai teman-teman.")</f>
        <v>A Apabila saya berkumpul dalam kelompok, saya ingin dihargai teman-teman.</v>
      </c>
      <c r="CD131" s="105" t="str">
        <f>IFERROR(__xludf.DUMMYFUNCTION("""COMPUTED_VALUE"""),"A Saya suka menyelesaikan setiap tugas meskipun membutuhkan waktu lama.")</f>
        <v>A Saya suka menyelesaikan setiap tugas meskipun membutuhkan waktu lama.</v>
      </c>
      <c r="CE131" s="105" t="str">
        <f>IFERROR(__xludf.DUMMYFUNCTION("""COMPUTED_VALUE"""),"A Saya suka menyelesaikan setiap tugas belajar yang telah saya mulai.")</f>
        <v>A Saya suka menyelesaikan setiap tugas belajar yang telah saya mulai.</v>
      </c>
      <c r="CF131" s="105" t="str">
        <f>IFERROR(__xludf.DUMMYFUNCTION("""COMPUTED_VALUE"""),"A Saya ingin agar hidup saya teratur sesuai cita-cita saya.")</f>
        <v>A Saya ingin agar hidup saya teratur sesuai cita-cita saya.</v>
      </c>
      <c r="CG131" s="105" t="str">
        <f>IFERROR(__xludf.DUMMYFUNCTION("""COMPUTED_VALUE"""),"A Saya ingin berhasil dalam apa yang saya lakukan.")</f>
        <v>A Saya ingin berhasil dalam apa yang saya lakukan.</v>
      </c>
      <c r="CH131" s="105" t="str">
        <f>IFERROR(__xludf.DUMMYFUNCTION("""COMPUTED_VALUE"""),"A Saya ingin bisa melakukan dengan baik sesuatu pekerjaan sulit.")</f>
        <v>A Saya ingin bisa melakukan dengan baik sesuatu pekerjaan sulit.</v>
      </c>
      <c r="CI131" s="105" t="str">
        <f>IFERROR(__xludf.DUMMYFUNCTION("""COMPUTED_VALUE"""),"A Saya suka belajar saya teratur dan ada waktu-waktu tertentu untuk belajar.")</f>
        <v>A Saya suka belajar saya teratur dan ada waktu-waktu tertentu untuk belajar.</v>
      </c>
      <c r="CJ131" s="105" t="str">
        <f>IFERROR(__xludf.DUMMYFUNCTION("""COMPUTED_VALUE"""),"A Saya ingin tidak tergantung dari orang lain terhadap apa yang akan saya lakukan.")</f>
        <v>A Saya ingin tidak tergantung dari orang lain terhadap apa yang akan saya lakukan.</v>
      </c>
      <c r="CK131" s="105" t="str">
        <f>IFERROR(__xludf.DUMMYFUNCTION("""COMPUTED_VALUE"""),"A Saya suka bertahan menghadapi satu masalah, meskipun belum tentu berhasil.")</f>
        <v>A Saya suka bertahan menghadapi satu masalah, meskipun belum tentu berhasil.</v>
      </c>
      <c r="CL131" s="105" t="str">
        <f>IFERROR(__xludf.DUMMYFUNCTION("""COMPUTED_VALUE"""),"A Saya suka menolong teman-teman saya, apabila mereka dalam kesulitan.")</f>
        <v>A Saya suka menolong teman-teman saya, apabila mereka dalam kesulitan.</v>
      </c>
      <c r="CM131" s="105" t="str">
        <f>IFERROR(__xludf.DUMMYFUNCTION("""COMPUTED_VALUE"""),"B Saya merasa kagum pada seseorang.")</f>
        <v>B Saya merasa kagum pada seseorang.</v>
      </c>
      <c r="CN131" s="105" t="str">
        <f>IFERROR(__xludf.DUMMYFUNCTION("""COMPUTED_VALUE"""),"A Saya ingin diperlakukan dengan baik oleh teman-teman saya.")</f>
        <v>A Saya ingin diperlakukan dengan baik oleh teman-teman saya.</v>
      </c>
      <c r="CO131" s="105" t="str">
        <f>IFERROR(__xludf.DUMMYFUNCTION("""COMPUTED_VALUE"""),"A Saya suka menceritakan hal-hal lucu agar diperhatikan oleh orang lain.")</f>
        <v>A Saya suka menceritakan hal-hal lucu agar diperhatikan oleh orang lain.</v>
      </c>
      <c r="CP131" s="105" t="str">
        <f>IFERROR(__xludf.DUMMYFUNCTION("""COMPUTED_VALUE"""),"A Saya suka melamun atau membayangkan sesuatu sendirian.")</f>
        <v>A Saya suka melamun atau membayangkan sesuatu sendirian.</v>
      </c>
      <c r="CQ131" s="105" t="str">
        <f>IFERROR(__xludf.DUMMYFUNCTION("""COMPUTED_VALUE"""),"B Saya merasa kagum pada seseorang.")</f>
        <v>B Saya merasa kagum pada seseorang.</v>
      </c>
      <c r="CR131" s="105" t="str">
        <f>IFERROR(__xludf.DUMMYFUNCTION("""COMPUTED_VALUE"""),"B Saya rasanya ingin mengecam seseorang bila orang itu menjengkelkan.")</f>
        <v>B Saya rasanya ingin mengecam seseorang bila orang itu menjengkelkan.</v>
      </c>
      <c r="CS131" s="105" t="str">
        <f>IFERROR(__xludf.DUMMYFUNCTION("""COMPUTED_VALUE"""),"B Saya rasanya ingin membalas dendam bila seseorang menghina saya.")</f>
        <v>B Saya rasanya ingin membalas dendam bila seseorang menghina saya.</v>
      </c>
      <c r="CT131" s="105" t="str">
        <f>IFERROR(__xludf.DUMMYFUNCTION("""COMPUTED_VALUE"""),"A Saya ingin orang-orang memperhatikan komentar mengenai penampilan saya.")</f>
        <v>A Saya ingin orang-orang memperhatikan komentar mengenai penampilan saya.</v>
      </c>
      <c r="CU131" s="105" t="str">
        <f>IFERROR(__xludf.DUMMYFUNCTION("""COMPUTED_VALUE"""),"A Saya ingin diperlakukan dengan ramah oleh teman-teman saya.")</f>
        <v>A Saya ingin diperlakukan dengan ramah oleh teman-teman saya.</v>
      </c>
      <c r="CV131" s="105" t="str">
        <f>IFERROR(__xludf.DUMMYFUNCTION("""COMPUTED_VALUE"""),"A Saya ingin ditunjuk atau dipilih sebagai ketua dalam suatu kelompok.")</f>
        <v>A Saya ingin ditunjuk atau dipilih sebagai ketua dalam suatu kelompok.</v>
      </c>
      <c r="CW131" s="105" t="str">
        <f>IFERROR(__xludf.DUMMYFUNCTION("""COMPUTED_VALUE"""),"A Saya suka menolong teman-teman saya, apabila mereka dalam kesulitan.")</f>
        <v>A Saya suka menolong teman-teman saya, apabila mereka dalam kesulitan.</v>
      </c>
      <c r="CX131" s="105" t="str">
        <f>IFERROR(__xludf.DUMMYFUNCTION("""COMPUTED_VALUE"""),"A Saya suka belajar sampai malam untuk menyelesaikan suatu tugas.")</f>
        <v>A Saya suka belajar sampai malam untuk menyelesaikan suatu tugas.</v>
      </c>
      <c r="CY131" s="105" t="str">
        <f>IFERROR(__xludf.DUMMYFUNCTION("""COMPUTED_VALUE"""),"A Saya ingin tidak tergantung dari orang lain terhadap apa yang akan saya lakukan.")</f>
        <v>A Saya ingin tidak tergantung dari orang lain terhadap apa yang akan saya lakukan.</v>
      </c>
      <c r="CZ131" s="105" t="str">
        <f>IFERROR(__xludf.DUMMYFUNCTION("""COMPUTED_VALUE"""),"A Saya suka merencanakan dan mengatur setiap pekerjaan yang harus saya lakukan.")</f>
        <v>A Saya suka merencanakan dan mengatur setiap pekerjaan yang harus saya lakukan.</v>
      </c>
      <c r="DA131" s="105" t="str">
        <f>IFERROR(__xludf.DUMMYFUNCTION("""COMPUTED_VALUE"""),"A Saya ingin melakukan apa saja sebaik mungkin.")</f>
        <v>A Saya ingin melakukan apa saja sebaik mungkin.</v>
      </c>
      <c r="DB131" s="89" t="s">
        <v>23</v>
      </c>
      <c r="DC131" s="97" t="str">
        <f t="shared" ref="DC131:GX131" si="176">LEFT(F131,1)</f>
        <v>A</v>
      </c>
      <c r="DD131" s="97" t="str">
        <f t="shared" si="176"/>
        <v>A</v>
      </c>
      <c r="DE131" s="97" t="str">
        <f t="shared" si="176"/>
        <v>A</v>
      </c>
      <c r="DF131" s="97" t="str">
        <f t="shared" si="176"/>
        <v>B</v>
      </c>
      <c r="DG131" s="97" t="str">
        <f t="shared" si="176"/>
        <v>A</v>
      </c>
      <c r="DH131" s="97" t="str">
        <f t="shared" si="176"/>
        <v>A</v>
      </c>
      <c r="DI131" s="97" t="str">
        <f t="shared" si="176"/>
        <v>A</v>
      </c>
      <c r="DJ131" s="97" t="str">
        <f t="shared" si="176"/>
        <v>A</v>
      </c>
      <c r="DK131" s="97" t="str">
        <f t="shared" si="176"/>
        <v>A</v>
      </c>
      <c r="DL131" s="97" t="str">
        <f t="shared" si="176"/>
        <v>A</v>
      </c>
      <c r="DM131" s="97" t="str">
        <f t="shared" si="176"/>
        <v>B</v>
      </c>
      <c r="DN131" s="97" t="str">
        <f t="shared" si="176"/>
        <v>A</v>
      </c>
      <c r="DO131" s="97" t="str">
        <f t="shared" si="176"/>
        <v>B</v>
      </c>
      <c r="DP131" s="97" t="str">
        <f t="shared" si="176"/>
        <v>A</v>
      </c>
      <c r="DQ131" s="97" t="str">
        <f t="shared" si="176"/>
        <v>B</v>
      </c>
      <c r="DR131" s="97" t="str">
        <f t="shared" si="176"/>
        <v>A</v>
      </c>
      <c r="DS131" s="97" t="str">
        <f t="shared" si="176"/>
        <v>B</v>
      </c>
      <c r="DT131" s="97" t="str">
        <f t="shared" si="176"/>
        <v>B</v>
      </c>
      <c r="DU131" s="97" t="str">
        <f t="shared" si="176"/>
        <v>B</v>
      </c>
      <c r="DV131" s="97" t="str">
        <f t="shared" si="176"/>
        <v>B</v>
      </c>
      <c r="DW131" s="97" t="str">
        <f t="shared" si="176"/>
        <v>A</v>
      </c>
      <c r="DX131" s="97" t="str">
        <f t="shared" si="176"/>
        <v>B</v>
      </c>
      <c r="DY131" s="97" t="str">
        <f t="shared" si="176"/>
        <v>B</v>
      </c>
      <c r="DZ131" s="97" t="str">
        <f t="shared" si="176"/>
        <v>A</v>
      </c>
      <c r="EA131" s="97" t="str">
        <f t="shared" si="176"/>
        <v>A</v>
      </c>
      <c r="EB131" s="97" t="str">
        <f t="shared" si="176"/>
        <v>A</v>
      </c>
      <c r="EC131" s="97" t="str">
        <f t="shared" si="176"/>
        <v>A</v>
      </c>
      <c r="ED131" s="97" t="str">
        <f t="shared" si="176"/>
        <v>B</v>
      </c>
      <c r="EE131" s="97" t="str">
        <f t="shared" si="176"/>
        <v>A</v>
      </c>
      <c r="EF131" s="97" t="str">
        <f t="shared" si="176"/>
        <v>A</v>
      </c>
      <c r="EG131" s="97" t="str">
        <f t="shared" si="176"/>
        <v>A</v>
      </c>
      <c r="EH131" s="97" t="str">
        <f t="shared" si="176"/>
        <v>B</v>
      </c>
      <c r="EI131" s="97" t="str">
        <f t="shared" si="176"/>
        <v>B</v>
      </c>
      <c r="EJ131" s="97" t="str">
        <f t="shared" si="176"/>
        <v>A</v>
      </c>
      <c r="EK131" s="97" t="str">
        <f t="shared" si="176"/>
        <v>A</v>
      </c>
      <c r="EL131" s="97" t="str">
        <f t="shared" si="176"/>
        <v>B</v>
      </c>
      <c r="EM131" s="97" t="str">
        <f t="shared" si="176"/>
        <v>A</v>
      </c>
      <c r="EN131" s="97" t="str">
        <f t="shared" si="176"/>
        <v>A</v>
      </c>
      <c r="EO131" s="97" t="str">
        <f t="shared" si="176"/>
        <v>A</v>
      </c>
      <c r="EP131" s="97" t="str">
        <f t="shared" si="176"/>
        <v>A</v>
      </c>
      <c r="EQ131" s="97" t="str">
        <f t="shared" si="176"/>
        <v>B</v>
      </c>
      <c r="ER131" s="97" t="str">
        <f t="shared" si="176"/>
        <v>A</v>
      </c>
      <c r="ES131" s="97" t="str">
        <f t="shared" si="176"/>
        <v>B</v>
      </c>
      <c r="ET131" s="97" t="str">
        <f t="shared" si="176"/>
        <v>A</v>
      </c>
      <c r="EU131" s="97" t="str">
        <f t="shared" si="176"/>
        <v>A</v>
      </c>
      <c r="EV131" s="97" t="str">
        <f t="shared" si="176"/>
        <v>A</v>
      </c>
      <c r="EW131" s="97" t="str">
        <f t="shared" si="176"/>
        <v>B</v>
      </c>
      <c r="EX131" s="97" t="str">
        <f t="shared" si="176"/>
        <v>A</v>
      </c>
      <c r="EY131" s="97" t="str">
        <f t="shared" si="176"/>
        <v>B</v>
      </c>
      <c r="EZ131" s="97" t="str">
        <f t="shared" si="176"/>
        <v>A</v>
      </c>
      <c r="FA131" s="97" t="str">
        <f t="shared" si="176"/>
        <v>A</v>
      </c>
      <c r="FB131" s="97" t="str">
        <f t="shared" si="176"/>
        <v>B</v>
      </c>
      <c r="FC131" s="97" t="str">
        <f t="shared" si="176"/>
        <v>B</v>
      </c>
      <c r="FD131" s="97" t="str">
        <f t="shared" si="176"/>
        <v>B</v>
      </c>
      <c r="FE131" s="97" t="str">
        <f t="shared" si="176"/>
        <v>B</v>
      </c>
      <c r="FF131" s="97" t="str">
        <f t="shared" si="176"/>
        <v>A</v>
      </c>
      <c r="FG131" s="97" t="str">
        <f t="shared" si="176"/>
        <v>A</v>
      </c>
      <c r="FH131" s="97" t="str">
        <f t="shared" si="176"/>
        <v>A</v>
      </c>
      <c r="FI131" s="97" t="str">
        <f t="shared" si="176"/>
        <v>A</v>
      </c>
      <c r="FJ131" s="97" t="str">
        <f t="shared" si="176"/>
        <v>A</v>
      </c>
      <c r="FK131" s="97" t="str">
        <f t="shared" si="176"/>
        <v>B</v>
      </c>
      <c r="FL131" s="97" t="str">
        <f t="shared" si="176"/>
        <v>B</v>
      </c>
      <c r="FM131" s="97" t="str">
        <f t="shared" si="176"/>
        <v>A</v>
      </c>
      <c r="FN131" s="97" t="str">
        <f t="shared" si="176"/>
        <v>A</v>
      </c>
      <c r="FO131" s="97" t="str">
        <f t="shared" si="176"/>
        <v>B</v>
      </c>
      <c r="FP131" s="97" t="str">
        <f t="shared" si="176"/>
        <v>B</v>
      </c>
      <c r="FQ131" s="97" t="str">
        <f t="shared" si="176"/>
        <v>B</v>
      </c>
      <c r="FR131" s="97" t="str">
        <f t="shared" si="176"/>
        <v>A</v>
      </c>
      <c r="FS131" s="97" t="str">
        <f t="shared" si="176"/>
        <v>A</v>
      </c>
      <c r="FT131" s="97" t="str">
        <f t="shared" si="176"/>
        <v>B</v>
      </c>
      <c r="FU131" s="97" t="str">
        <f t="shared" si="176"/>
        <v>B</v>
      </c>
      <c r="FV131" s="97" t="str">
        <f t="shared" si="176"/>
        <v>A</v>
      </c>
      <c r="FW131" s="97" t="str">
        <f t="shared" si="176"/>
        <v>B</v>
      </c>
      <c r="FX131" s="97" t="str">
        <f t="shared" si="176"/>
        <v>B</v>
      </c>
      <c r="FY131" s="97" t="str">
        <f t="shared" si="176"/>
        <v>B</v>
      </c>
      <c r="FZ131" s="97" t="str">
        <f t="shared" si="176"/>
        <v>A</v>
      </c>
      <c r="GA131" s="97" t="str">
        <f t="shared" si="176"/>
        <v>A</v>
      </c>
      <c r="GB131" s="97" t="str">
        <f t="shared" si="176"/>
        <v>A</v>
      </c>
      <c r="GC131" s="97" t="str">
        <f t="shared" si="176"/>
        <v>A</v>
      </c>
      <c r="GD131" s="97" t="str">
        <f t="shared" si="176"/>
        <v>A</v>
      </c>
      <c r="GE131" s="97" t="str">
        <f t="shared" si="176"/>
        <v>A</v>
      </c>
      <c r="GF131" s="97" t="str">
        <f t="shared" si="176"/>
        <v>A</v>
      </c>
      <c r="GG131" s="97" t="str">
        <f t="shared" si="176"/>
        <v>A</v>
      </c>
      <c r="GH131" s="97" t="str">
        <f t="shared" si="176"/>
        <v>A</v>
      </c>
      <c r="GI131" s="97" t="str">
        <f t="shared" si="176"/>
        <v>A</v>
      </c>
      <c r="GJ131" s="97" t="str">
        <f t="shared" si="176"/>
        <v>B</v>
      </c>
      <c r="GK131" s="97" t="str">
        <f t="shared" si="176"/>
        <v>A</v>
      </c>
      <c r="GL131" s="97" t="str">
        <f t="shared" si="176"/>
        <v>A</v>
      </c>
      <c r="GM131" s="97" t="str">
        <f t="shared" si="176"/>
        <v>A</v>
      </c>
      <c r="GN131" s="97" t="str">
        <f t="shared" si="176"/>
        <v>B</v>
      </c>
      <c r="GO131" s="97" t="str">
        <f t="shared" si="176"/>
        <v>B</v>
      </c>
      <c r="GP131" s="97" t="str">
        <f t="shared" si="176"/>
        <v>B</v>
      </c>
      <c r="GQ131" s="97" t="str">
        <f t="shared" si="176"/>
        <v>A</v>
      </c>
      <c r="GR131" s="97" t="str">
        <f t="shared" si="176"/>
        <v>A</v>
      </c>
      <c r="GS131" s="97" t="str">
        <f t="shared" si="176"/>
        <v>A</v>
      </c>
      <c r="GT131" s="97" t="str">
        <f t="shared" si="176"/>
        <v>A</v>
      </c>
      <c r="GU131" s="97" t="str">
        <f t="shared" si="176"/>
        <v>A</v>
      </c>
      <c r="GV131" s="97" t="str">
        <f t="shared" si="176"/>
        <v>A</v>
      </c>
      <c r="GW131" s="97" t="str">
        <f t="shared" si="176"/>
        <v>A</v>
      </c>
      <c r="GX131" s="97" t="str">
        <f t="shared" si="176"/>
        <v>A</v>
      </c>
      <c r="GY131" s="98"/>
      <c r="GZ131" s="97">
        <f t="shared" si="3"/>
        <v>64</v>
      </c>
      <c r="HA131" s="97">
        <f t="shared" si="4"/>
        <v>36</v>
      </c>
      <c r="HB131" s="90">
        <f t="shared" si="5"/>
        <v>100</v>
      </c>
      <c r="HC131" s="99"/>
      <c r="HD131" s="97">
        <f t="shared" si="6"/>
        <v>6</v>
      </c>
      <c r="HE131" s="97">
        <f t="shared" si="7"/>
        <v>1</v>
      </c>
      <c r="HF131" s="90">
        <f t="shared" si="8"/>
        <v>7</v>
      </c>
      <c r="HG131" s="99"/>
      <c r="HH131" s="97">
        <f t="shared" si="9"/>
        <v>7</v>
      </c>
      <c r="HI131" s="97">
        <f t="shared" si="10"/>
        <v>7</v>
      </c>
      <c r="HJ131" s="90">
        <f t="shared" si="11"/>
        <v>14</v>
      </c>
      <c r="HK131" s="99"/>
      <c r="HL131" s="97">
        <f t="shared" si="12"/>
        <v>7</v>
      </c>
      <c r="HM131" s="97">
        <f t="shared" si="13"/>
        <v>3</v>
      </c>
      <c r="HN131" s="90">
        <f t="shared" si="14"/>
        <v>10</v>
      </c>
      <c r="HO131" s="99"/>
      <c r="HP131" s="97">
        <f t="shared" si="15"/>
        <v>7</v>
      </c>
      <c r="HQ131" s="97">
        <f t="shared" si="16"/>
        <v>3</v>
      </c>
      <c r="HR131" s="90">
        <f t="shared" si="17"/>
        <v>10</v>
      </c>
      <c r="HS131" s="99"/>
      <c r="HT131" s="97">
        <f t="shared" si="18"/>
        <v>7</v>
      </c>
      <c r="HU131" s="97">
        <f t="shared" si="19"/>
        <v>4</v>
      </c>
      <c r="HV131" s="90">
        <f t="shared" si="20"/>
        <v>11</v>
      </c>
      <c r="HW131" s="99"/>
      <c r="HX131" s="97">
        <f t="shared" si="21"/>
        <v>5</v>
      </c>
      <c r="HY131" s="97">
        <f t="shared" si="22"/>
        <v>4</v>
      </c>
      <c r="HZ131" s="90">
        <f t="shared" si="23"/>
        <v>9</v>
      </c>
      <c r="IA131" s="99"/>
      <c r="IB131" s="97">
        <f t="shared" si="24"/>
        <v>6</v>
      </c>
      <c r="IC131" s="97">
        <f t="shared" si="25"/>
        <v>6</v>
      </c>
      <c r="ID131" s="90">
        <f t="shared" si="26"/>
        <v>12</v>
      </c>
      <c r="IE131" s="99"/>
      <c r="IF131" s="97">
        <f t="shared" si="27"/>
        <v>5</v>
      </c>
      <c r="IG131" s="97">
        <f t="shared" si="28"/>
        <v>4</v>
      </c>
      <c r="IH131" s="90">
        <f t="shared" si="29"/>
        <v>9</v>
      </c>
      <c r="II131" s="99"/>
      <c r="IJ131" s="97">
        <f t="shared" si="30"/>
        <v>5</v>
      </c>
      <c r="IK131" s="97">
        <f t="shared" si="31"/>
        <v>2</v>
      </c>
      <c r="IL131" s="90">
        <f t="shared" si="32"/>
        <v>7</v>
      </c>
      <c r="IM131" s="99"/>
      <c r="IN131" s="97">
        <f t="shared" si="33"/>
        <v>5</v>
      </c>
      <c r="IO131" s="97">
        <f t="shared" si="34"/>
        <v>2</v>
      </c>
      <c r="IP131" s="90">
        <f t="shared" si="35"/>
        <v>7</v>
      </c>
      <c r="IS131" s="100">
        <f t="shared" si="36"/>
        <v>7</v>
      </c>
      <c r="IT131" s="100">
        <f t="shared" si="37"/>
        <v>14</v>
      </c>
      <c r="IU131" s="100">
        <f t="shared" si="38"/>
        <v>10</v>
      </c>
      <c r="IV131" s="100">
        <f t="shared" si="39"/>
        <v>10</v>
      </c>
      <c r="IW131" s="100">
        <f t="shared" si="40"/>
        <v>11</v>
      </c>
      <c r="IX131" s="100">
        <f t="shared" si="41"/>
        <v>9</v>
      </c>
      <c r="IY131" s="100">
        <f t="shared" si="42"/>
        <v>12</v>
      </c>
      <c r="IZ131" s="100">
        <f t="shared" si="43"/>
        <v>9</v>
      </c>
      <c r="JA131" s="100">
        <f t="shared" si="44"/>
        <v>7</v>
      </c>
      <c r="JB131" s="101">
        <f t="shared" si="45"/>
        <v>7</v>
      </c>
      <c r="JC131" s="102">
        <f t="shared" si="46"/>
        <v>96</v>
      </c>
      <c r="JD131" s="67">
        <f t="shared" si="50"/>
        <v>0</v>
      </c>
      <c r="JE131" s="67">
        <f t="shared" si="47"/>
        <v>1</v>
      </c>
      <c r="JF131" s="67">
        <f t="shared" si="48"/>
        <v>1</v>
      </c>
    </row>
    <row r="132">
      <c r="A132" s="104">
        <f>IFERROR(__xludf.DUMMYFUNCTION("""COMPUTED_VALUE"""),45970.74104388889)</f>
        <v>45970.74104</v>
      </c>
      <c r="B132" s="105" t="str">
        <f>IFERROR(__xludf.DUMMYFUNCTION("""COMPUTED_VALUE"""),"Aisha Alifa Noor Attarini")</f>
        <v>Aisha Alifa Noor Attarini</v>
      </c>
      <c r="C132" s="7" t="str">
        <f>IFERROR(__xludf.DUMMYFUNCTION("""COMPUTED_VALUE"""),"D250023")</f>
        <v>D250023</v>
      </c>
      <c r="D132" s="7" t="str">
        <f>IFERROR(__xludf.DUMMYFUNCTION("""COMPUTED_VALUE"""),"MTs Putri")</f>
        <v>MTs Putri</v>
      </c>
      <c r="E132" s="7" t="str">
        <f>IFERROR(__xludf.DUMMYFUNCTION("""COMPUTED_VALUE"""),"Ya")</f>
        <v>Ya</v>
      </c>
      <c r="F132" s="105" t="str">
        <f>IFERROR(__xludf.DUMMYFUNCTION("""COMPUTED_VALUE"""),"A Saya ingin mengerjakan segala tugas lebih baik daripada orang lain.")</f>
        <v>A Saya ingin mengerjakan segala tugas lebih baik daripada orang lain.</v>
      </c>
      <c r="G132" s="105" t="str">
        <f>IFERROR(__xludf.DUMMYFUNCTION("""COMPUTED_VALUE"""),"A Saya ingin setiap tulisan saya teliti, rapi, dan tersusun dengan baik.")</f>
        <v>A Saya ingin setiap tulisan saya teliti, rapi, dan tersusun dengan baik.</v>
      </c>
      <c r="H132" s="105" t="str">
        <f>IFERROR(__xludf.DUMMYFUNCTION("""COMPUTED_VALUE"""),"B Saya ingin menjadi orang yang diakui dalam suatu pekerjaan atau bidang khusus.")</f>
        <v>B Saya ingin menjadi orang yang diakui dalam suatu pekerjaan atau bidang khusus.</v>
      </c>
      <c r="I132" s="105" t="str">
        <f>IFERROR(__xludf.DUMMYFUNCTION("""COMPUTED_VALUE"""),"B Saya ingin bisa melakukan dengan baik meskipun tugas yang sulit.")</f>
        <v>B Saya ingin bisa melakukan dengan baik meskipun tugas yang sulit.</v>
      </c>
      <c r="J132" s="105" t="str">
        <f>IFERROR(__xludf.DUMMYFUNCTION("""COMPUTED_VALUE"""),"A Saya suka membantu teman-teman saya apabila mereka mengalami kesulitan.")</f>
        <v>A Saya suka membantu teman-teman saya apabila mereka mengalami kesulitan.</v>
      </c>
      <c r="K132" s="105" t="str">
        <f>IFERROR(__xludf.DUMMYFUNCTION("""COMPUTED_VALUE"""),"B Saya ingin mengatakan telah melakukan dengan baik sesuatu tugas yang sulit.")</f>
        <v>B Saya ingin mengatakan telah melakukan dengan baik sesuatu tugas yang sulit.</v>
      </c>
      <c r="L132" s="105" t="str">
        <f>IFERROR(__xludf.DUMMYFUNCTION("""COMPUTED_VALUE"""),"B Saya ingin mengatakan telah melakukan dengan baik sesuatu tugas yang sulit")</f>
        <v>B Saya ingin mengatakan telah melakukan dengan baik sesuatu tugas yang sulit</v>
      </c>
      <c r="M132" s="105" t="str">
        <f>IFERROR(__xludf.DUMMYFUNCTION("""COMPUTED_VALUE"""),"B Saya ingin mengerjakan segala tugas lebih baik daripada orang lain.")</f>
        <v>B Saya ingin mengerjakan segala tugas lebih baik daripada orang lain.</v>
      </c>
      <c r="N132" s="105" t="str">
        <f>IFERROR(__xludf.DUMMYFUNCTION("""COMPUTED_VALUE"""),"B Saya suka memecahkan persoalan yang sukar bagi orang lain.")</f>
        <v>B Saya suka memecahkan persoalan yang sukar bagi orang lain.</v>
      </c>
      <c r="O132" s="105" t="str">
        <f>IFERROR(__xludf.DUMMYFUNCTION("""COMPUTED_VALUE"""),"B Saya suka melakukan tugas sebaik mungkin.")</f>
        <v>B Saya suka melakukan tugas sebaik mungkin.</v>
      </c>
      <c r="P132" s="105" t="str">
        <f>IFERROR(__xludf.DUMMYFUNCTION("""COMPUTED_VALUE"""),"B Saya ingin setiap belajar itu teratur dan direncanakan.")</f>
        <v>B Saya ingin setiap belajar itu teratur dan direncanakan.</v>
      </c>
      <c r="Q132" s="105" t="str">
        <f>IFERROR(__xludf.DUMMYFUNCTION("""COMPUTED_VALUE"""),"B Saya merencanakan keperluan yang dibutuhkan sebelum bepergian.")</f>
        <v>B Saya merencanakan keperluan yang dibutuhkan sebelum bepergian.</v>
      </c>
      <c r="R132" s="105" t="str">
        <f>IFERROR(__xludf.DUMMYFUNCTION("""COMPUTED_VALUE"""),"B Saya suka barang-barang saya tersusun rapi dan teratur.")</f>
        <v>B Saya suka barang-barang saya tersusun rapi dan teratur.</v>
      </c>
      <c r="S132" s="105" t="str">
        <f>IFERROR(__xludf.DUMMYFUNCTION("""COMPUTED_VALUE"""),"B Saya suka membuat perencanaan sebelum memulai tugas yang sulit.")</f>
        <v>B Saya suka membuat perencanaan sebelum memulai tugas yang sulit.</v>
      </c>
      <c r="T132" s="105" t="str">
        <f>IFERROR(__xludf.DUMMYFUNCTION("""COMPUTED_VALUE"""),"B Saya ingin agar hidup saya teratur sesuai cita-cita saya.")</f>
        <v>B Saya ingin agar hidup saya teratur sesuai cita-cita saya.</v>
      </c>
      <c r="U132" s="105" t="str">
        <f>IFERROR(__xludf.DUMMYFUNCTION("""COMPUTED_VALUE"""),"B Saya suka menyimpan catatan secara rapi.")</f>
        <v>B Saya suka menyimpan catatan secara rapi.</v>
      </c>
      <c r="V132" s="105" t="str">
        <f>IFERROR(__xludf.DUMMYFUNCTION("""COMPUTED_VALUE"""),"B Saya suka belajar saya teratur dan ada waktu-waktu tertentu untuk belajar.")</f>
        <v>B Saya suka belajar saya teratur dan ada waktu-waktu tertentu untuk belajar.</v>
      </c>
      <c r="W132" s="105" t="str">
        <f>IFERROR(__xludf.DUMMYFUNCTION("""COMPUTED_VALUE"""),"B Saya ingin kegiatan itu teratur dan direncanakan.")</f>
        <v>B Saya ingin kegiatan itu teratur dan direncanakan.</v>
      </c>
      <c r="X132" s="105" t="str">
        <f>IFERROR(__xludf.DUMMYFUNCTION("""COMPUTED_VALUE"""),"A Saya suka merencanakan dan mengatur setiap apa yang harus saya lakukan.")</f>
        <v>A Saya suka merencanakan dan mengatur setiap apa yang harus saya lakukan.</v>
      </c>
      <c r="Y132" s="105" t="str">
        <f>IFERROR(__xludf.DUMMYFUNCTION("""COMPUTED_VALUE"""),"B Saya senang merencanakan untuk masa depan.")</f>
        <v>B Saya senang merencanakan untuk masa depan.</v>
      </c>
      <c r="Z132" s="105" t="str">
        <f>IFERROR(__xludf.DUMMYFUNCTION("""COMPUTED_VALUE"""),"A Saya ingin berhasil dengan belajar yang saya lakukan.")</f>
        <v>A Saya ingin berhasil dengan belajar yang saya lakukan.</v>
      </c>
      <c r="AA132" s="105" t="str">
        <f>IFERROR(__xludf.DUMMYFUNCTION("""COMPUTED_VALUE"""),"A Saya suka menyelesaikan tugas yang telah saya rencanakan.")</f>
        <v>A Saya suka menyelesaikan tugas yang telah saya rencanakan.</v>
      </c>
      <c r="AB132" s="105" t="str">
        <f>IFERROR(__xludf.DUMMYFUNCTION("""COMPUTED_VALUE"""),"B Saya ingin menyelesaikan pekerjaan satu persatu sebelum memulai yang lain.")</f>
        <v>B Saya ingin menyelesaikan pekerjaan satu persatu sebelum memulai yang lain.</v>
      </c>
      <c r="AC132" s="105" t="str">
        <f>IFERROR(__xludf.DUMMYFUNCTION("""COMPUTED_VALUE"""),"A Saya suka menyelesaikan setiap tugas meskipun membutuhkan waktu lama.")</f>
        <v>A Saya suka menyelesaikan setiap tugas meskipun membutuhkan waktu lama.</v>
      </c>
      <c r="AD132" s="105" t="str">
        <f>IFERROR(__xludf.DUMMYFUNCTION("""COMPUTED_VALUE"""),"A Saya suka bermurah hati terhadap teman-teman saya.")</f>
        <v>A Saya suka bermurah hati terhadap teman-teman saya.</v>
      </c>
      <c r="AE132" s="105" t="str">
        <f>IFERROR(__xludf.DUMMYFUNCTION("""COMPUTED_VALUE"""),"A Saya ingin dianggap sebagai pemimpin oleh teman di kelompok.")</f>
        <v>A Saya ingin dianggap sebagai pemimpin oleh teman di kelompok.</v>
      </c>
      <c r="AF132" s="105" t="str">
        <f>IFERROR(__xludf.DUMMYFUNCTION("""COMPUTED_VALUE"""),"B Saya suka melakukan hal-hal dengan cara saya sendiri.")</f>
        <v>B Saya suka melakukan hal-hal dengan cara saya sendiri.</v>
      </c>
      <c r="AG132" s="105" t="str">
        <f>IFERROR(__xludf.DUMMYFUNCTION("""COMPUTED_VALUE"""),"B Saya ingin berhasil dengan tugas yang saya lakukan.")</f>
        <v>B Saya ingin berhasil dengan tugas yang saya lakukan.</v>
      </c>
      <c r="AH132" s="105" t="str">
        <f>IFERROR(__xludf.DUMMYFUNCTION("""COMPUTED_VALUE"""),"A Saya suka membaca buku-buku tentang pergaulan remaja.")</f>
        <v>A Saya suka membaca buku-buku tentang pergaulan remaja.</v>
      </c>
      <c r="AI132" s="105" t="str">
        <f>IFERROR(__xludf.DUMMYFUNCTION("""COMPUTED_VALUE"""),"B Saya suka melakukan kegiatan sesuai kondisi yang saya inginkan.")</f>
        <v>B Saya suka melakukan kegiatan sesuai kondisi yang saya inginkan.</v>
      </c>
      <c r="AJ132" s="105" t="str">
        <f>IFERROR(__xludf.DUMMYFUNCTION("""COMPUTED_VALUE"""),"B Saya suka bertahan menghadapi satu masalah meskipun belum tentu berhasil.")</f>
        <v>B Saya suka bertahan menghadapi satu masalah meskipun belum tentu berhasil.</v>
      </c>
      <c r="AK132" s="105" t="str">
        <f>IFERROR(__xludf.DUMMYFUNCTION("""COMPUTED_VALUE"""),"B Bila saya harus melakukan suatu tugas, saya ingin mengerjakan sampai selesai.")</f>
        <v>B Bila saya harus melakukan suatu tugas, saya ingin mengerjakan sampai selesai.</v>
      </c>
      <c r="AL132" s="105" t="str">
        <f>IFERROR(__xludf.DUMMYFUNCTION("""COMPUTED_VALUE"""),"B Saya ingin menghindarkan gangguan bila saya sedang belajar.")</f>
        <v>B Saya ingin menghindarkan gangguan bila saya sedang belajar.</v>
      </c>
      <c r="AM132" s="105" t="str">
        <f>IFERROR(__xludf.DUMMYFUNCTION("""COMPUTED_VALUE"""),"B Saya suka belajar sampai malam untuk menyelesaikan suatu tugas.")</f>
        <v>B Saya suka belajar sampai malam untuk menyelesaikan suatu tugas.</v>
      </c>
      <c r="AN132" s="105" t="str">
        <f>IFERROR(__xludf.DUMMYFUNCTION("""COMPUTED_VALUE"""),"A Saya tidak suka pada orang yang semena-mena.")</f>
        <v>A Saya tidak suka pada orang yang semena-mena.</v>
      </c>
      <c r="AO132" s="105" t="str">
        <f>IFERROR(__xludf.DUMMYFUNCTION("""COMPUTED_VALUE"""),"B Saya suka menyelesaikan setiap tugas meskipun membutuhkan waktu lama.")</f>
        <v>B Saya suka menyelesaikan setiap tugas meskipun membutuhkan waktu lama.</v>
      </c>
      <c r="AP132" s="105" t="str">
        <f>IFERROR(__xludf.DUMMYFUNCTION("""COMPUTED_VALUE"""),"A Saya ingin mengerjakannya tugas sampai selesai.")</f>
        <v>A Saya ingin mengerjakannya tugas sampai selesai.</v>
      </c>
      <c r="AQ132" s="105" t="str">
        <f>IFERROR(__xludf.DUMMYFUNCTION("""COMPUTED_VALUE"""),"B Bila saya harus melakukan suatu tugas, saya ingin mengerjakan sampai selesai.")</f>
        <v>B Bila saya harus melakukan suatu tugas, saya ingin mengerjakan sampai selesai.</v>
      </c>
      <c r="AR132" s="105" t="str">
        <f>IFERROR(__xludf.DUMMYFUNCTION("""COMPUTED_VALUE"""),"B Saya suka belajar keras pada tiap pelajaran yang saya hadapi.")</f>
        <v>B Saya suka belajar keras pada tiap pelajaran yang saya hadapi.</v>
      </c>
      <c r="AS132" s="105" t="str">
        <f>IFERROR(__xludf.DUMMYFUNCTION("""COMPUTED_VALUE"""),"A Saya ingin dapat menyelesaikan persoalan yang dianggap sukar bagi orang lain.")</f>
        <v>A Saya ingin dapat menyelesaikan persoalan yang dianggap sukar bagi orang lain.</v>
      </c>
      <c r="AT132" s="105" t="str">
        <f>IFERROR(__xludf.DUMMYFUNCTION("""COMPUTED_VALUE"""),"A Saya ingin bisa melakukan dengan baik sesuatu pekerjaan sulit.")</f>
        <v>A Saya ingin bisa melakukan dengan baik sesuatu pekerjaan sulit.</v>
      </c>
      <c r="AU132" s="105" t="str">
        <f>IFERROR(__xludf.DUMMYFUNCTION("""COMPUTED_VALUE"""),"A Saya ingin menyelesaikan pekerjaan satu persatu sebelum memulai yang lain.")</f>
        <v>A Saya ingin menyelesaikan pekerjaan satu persatu sebelum memulai yang lain.</v>
      </c>
      <c r="AV132" s="105" t="str">
        <f>IFERROR(__xludf.DUMMYFUNCTION("""COMPUTED_VALUE"""),"A Saya ingin merasa bebas untuk melakukan apa yang saya kehendaki.")</f>
        <v>A Saya ingin merasa bebas untuk melakukan apa yang saya kehendaki.</v>
      </c>
      <c r="AW132" s="105" t="str">
        <f>IFERROR(__xludf.DUMMYFUNCTION("""COMPUTED_VALUE"""),"A Saya ingin mengerjakan tugas sampai selesai.")</f>
        <v>A Saya ingin mengerjakan tugas sampai selesai.</v>
      </c>
      <c r="AX132" s="105" t="str">
        <f>IFERROR(__xludf.DUMMYFUNCTION("""COMPUTED_VALUE"""),"A Saya suka menolong teman-teman saya apabila mereka dalam kesulitan.")</f>
        <v>A Saya suka menolong teman-teman saya apabila mereka dalam kesulitan.</v>
      </c>
      <c r="AY132" s="105" t="str">
        <f>IFERROR(__xludf.DUMMYFUNCTION("""COMPUTED_VALUE"""),"B Saya suka menolong teman-teman saya apabila mereka dalam kesulitan.")</f>
        <v>B Saya suka menolong teman-teman saya apabila mereka dalam kesulitan.</v>
      </c>
      <c r="AZ132" s="105" t="str">
        <f>IFERROR(__xludf.DUMMYFUNCTION("""COMPUTED_VALUE"""),"A Saya ingin agar teman-teman saya bersimpati dan menghibur saya bila saya sedih.")</f>
        <v>A Saya ingin agar teman-teman saya bersimpati dan menghibur saya bila saya sedih.</v>
      </c>
      <c r="BA132" s="105" t="str">
        <f>IFERROR(__xludf.DUMMYFUNCTION("""COMPUTED_VALUE"""),"A Saya suka menyatakan pendapat saya tentang berbagai hal.")</f>
        <v>A Saya suka menyatakan pendapat saya tentang berbagai hal.</v>
      </c>
      <c r="BB132" s="105" t="str">
        <f>IFERROR(__xludf.DUMMYFUNCTION("""COMPUTED_VALUE"""),"B Saya suka bermurah hati terhadap teman-teman saya.")</f>
        <v>B Saya suka bermurah hati terhadap teman-teman saya.</v>
      </c>
      <c r="BC132" s="105" t="str">
        <f>IFERROR(__xludf.DUMMYFUNCTION("""COMPUTED_VALUE"""),"B Saya suka membantu orang lain yang menurut saya perlu dikasihani.")</f>
        <v>B Saya suka membantu orang lain yang menurut saya perlu dikasihani.</v>
      </c>
      <c r="BD132" s="105" t="str">
        <f>IFERROR(__xludf.DUMMYFUNCTION("""COMPUTED_VALUE"""),"B Saya suka bersikukuh dengan pendirian saya.")</f>
        <v>B Saya suka bersikukuh dengan pendirian saya.</v>
      </c>
      <c r="BE132" s="105" t="str">
        <f>IFERROR(__xludf.DUMMYFUNCTION("""COMPUTED_VALUE"""),"B Saya ingin orang lain melakukan apa yang saya kehendaki.")</f>
        <v>B Saya ingin orang lain melakukan apa yang saya kehendaki.</v>
      </c>
      <c r="BF132" s="105" t="str">
        <f>IFERROR(__xludf.DUMMYFUNCTION("""COMPUTED_VALUE"""),"A Saya ingin orang lain memperhatikan dan berkomentar tentang penampilan saya.")</f>
        <v>A Saya ingin orang lain memperhatikan dan berkomentar tentang penampilan saya.</v>
      </c>
      <c r="BG132" s="105" t="str">
        <f>IFERROR(__xludf.DUMMYFUNCTION("""COMPUTED_VALUE"""),"A Saya ingin teman-teman banyak menunjukkan rasa sayang mereka terhadap saya.")</f>
        <v>A Saya ingin teman-teman banyak menunjukkan rasa sayang mereka terhadap saya.</v>
      </c>
      <c r="BH132" s="105" t="str">
        <f>IFERROR(__xludf.DUMMYFUNCTION("""COMPUTED_VALUE"""),"B Apabila saya berkumpul dalam kelompok, saya ingin dihargai teman-teman.")</f>
        <v>B Apabila saya berkumpul dalam kelompok, saya ingin dihargai teman-teman.</v>
      </c>
      <c r="BI132" s="105" t="str">
        <f>IFERROR(__xludf.DUMMYFUNCTION("""COMPUTED_VALUE"""),"A Saya suka bermurah hati terhadap teman-teman saya.")</f>
        <v>A Saya suka bermurah hati terhadap teman-teman saya.</v>
      </c>
      <c r="BJ132" s="105" t="str">
        <f>IFERROR(__xludf.DUMMYFUNCTION("""COMPUTED_VALUE"""),"A Saya ingin mengerjakan tugas sampai selesai.")</f>
        <v>A Saya ingin mengerjakan tugas sampai selesai.</v>
      </c>
      <c r="BK132" s="105" t="str">
        <f>IFERROR(__xludf.DUMMYFUNCTION("""COMPUTED_VALUE"""),"A Saya ingin menyelesaikan pekerjaan satu persatu sebelum memulai yang lain.")</f>
        <v>A Saya ingin menyelesaikan pekerjaan satu persatu sebelum memulai yang lain.</v>
      </c>
      <c r="BL132" s="105" t="str">
        <f>IFERROR(__xludf.DUMMYFUNCTION("""COMPUTED_VALUE"""),"A Saya suka belajar saya teratur dan ada waktu-waktu tertentu untuk belajar.")</f>
        <v>A Saya suka belajar saya teratur dan ada waktu-waktu tertentu untuk belajar.</v>
      </c>
      <c r="BM132" s="105" t="str">
        <f>IFERROR(__xludf.DUMMYFUNCTION("""COMPUTED_VALUE"""),"A Saya suka melakukan pekerjaan sebaik mungkin.")</f>
        <v>A Saya suka melakukan pekerjaan sebaik mungkin.</v>
      </c>
      <c r="BN132" s="105" t="str">
        <f>IFERROR(__xludf.DUMMYFUNCTION("""COMPUTED_VALUE"""),"A Saya suka mengerjakan teka-teki atau memecahkan persoalan sampai selesai.")</f>
        <v>A Saya suka mengerjakan teka-teki atau memecahkan persoalan sampai selesai.</v>
      </c>
      <c r="BO132" s="105" t="str">
        <f>IFERROR(__xludf.DUMMYFUNCTION("""COMPUTED_VALUE"""),"A Saya suka membuat perencanaan sebelum memulai belajar yang sulit.")</f>
        <v>A Saya suka membuat perencanaan sebelum memulai belajar yang sulit.</v>
      </c>
      <c r="BP132" s="105" t="str">
        <f>IFERROR(__xludf.DUMMYFUNCTION("""COMPUTED_VALUE"""),"B Saya ingin teman-teman saya merasa kasihan pada saya apabila saya sakit.")</f>
        <v>B Saya ingin teman-teman saya merasa kasihan pada saya apabila saya sakit.</v>
      </c>
      <c r="BQ132" s="105" t="str">
        <f>IFERROR(__xludf.DUMMYFUNCTION("""COMPUTED_VALUE"""),"A Saya ingin mengerjakannya tugas sampai selesai.")</f>
        <v>A Saya ingin mengerjakannya tugas sampai selesai.</v>
      </c>
      <c r="BR132" s="105" t="str">
        <f>IFERROR(__xludf.DUMMYFUNCTION("""COMPUTED_VALUE"""),"B Saya ingin agar teman-teman saya bersimpati dan menghibur saya bila saya sedih.")</f>
        <v>B Saya ingin agar teman-teman saya bersimpati dan menghibur saya bila saya sedih.</v>
      </c>
      <c r="BS132" s="105" t="str">
        <f>IFERROR(__xludf.DUMMYFUNCTION("""COMPUTED_VALUE"""),"B Saya ingin teman-teman saya membantu saya bila saya mengalami kesulitan")</f>
        <v>B Saya ingin teman-teman saya membantu saya bila saya mengalami kesulitan</v>
      </c>
      <c r="BT132" s="105" t="str">
        <f>IFERROR(__xludf.DUMMYFUNCTION("""COMPUTED_VALUE"""),"B Saya ingin teman-teman banyak menunjukkan rasa sayang mereka terhadap saya.")</f>
        <v>B Saya ingin teman-teman banyak menunjukkan rasa sayang mereka terhadap saya.</v>
      </c>
      <c r="BU132" s="105" t="str">
        <f>IFERROR(__xludf.DUMMYFUNCTION("""COMPUTED_VALUE"""),"B Saya ingin agar teman-teman saya merasa kasihan pada saya apabila saya sakit.")</f>
        <v>B Saya ingin agar teman-teman saya merasa kasihan pada saya apabila saya sakit.</v>
      </c>
      <c r="BV132" s="105" t="str">
        <f>IFERROR(__xludf.DUMMYFUNCTION("""COMPUTED_VALUE"""),"A Saya ingin dianggap menarik oleh orang lain.")</f>
        <v>A Saya ingin dianggap menarik oleh orang lain.</v>
      </c>
      <c r="BW132" s="105" t="str">
        <f>IFERROR(__xludf.DUMMYFUNCTION("""COMPUTED_VALUE"""),"B Saya ingin diperlakukan dengan baik oleh teman-teman saya.")</f>
        <v>B Saya ingin diperlakukan dengan baik oleh teman-teman saya.</v>
      </c>
      <c r="BX132" s="105" t="str">
        <f>IFERROR(__xludf.DUMMYFUNCTION("""COMPUTED_VALUE"""),"B Saya kadang-kadang suka melakukan hal-hal yang dapat dipuji oleh orang lain.")</f>
        <v>B Saya kadang-kadang suka melakukan hal-hal yang dapat dipuji oleh orang lain.</v>
      </c>
      <c r="BY132" s="105" t="str">
        <f>IFERROR(__xludf.DUMMYFUNCTION("""COMPUTED_VALUE"""),"B Saya ingin orang lain memperhatikan dan berkomentar tentang penampilan saya.")</f>
        <v>B Saya ingin orang lain memperhatikan dan berkomentar tentang penampilan saya.</v>
      </c>
      <c r="BZ132" s="105" t="str">
        <f>IFERROR(__xludf.DUMMYFUNCTION("""COMPUTED_VALUE"""),"B Saya suka diperhatikan, apabila saya ada di dalam suatu kelompok.")</f>
        <v>B Saya suka diperhatikan, apabila saya ada di dalam suatu kelompok.</v>
      </c>
      <c r="CA132" s="105" t="str">
        <f>IFERROR(__xludf.DUMMYFUNCTION("""COMPUTED_VALUE"""),"B Saya suka mengajukan pertanyaan agar orang lain memperhatikan saya.")</f>
        <v>B Saya suka mengajukan pertanyaan agar orang lain memperhatikan saya.</v>
      </c>
      <c r="CB132" s="105" t="str">
        <f>IFERROR(__xludf.DUMMYFUNCTION("""COMPUTED_VALUE"""),"B Saya suka berbicara tentang hal-hal yang telah saya capai.")</f>
        <v>B Saya suka berbicara tentang hal-hal yang telah saya capai.</v>
      </c>
      <c r="CC132" s="105" t="str">
        <f>IFERROR(__xludf.DUMMYFUNCTION("""COMPUTED_VALUE"""),"A Apabila saya berkumpul dalam kelompok, saya ingin dihargai teman-teman.")</f>
        <v>A Apabila saya berkumpul dalam kelompok, saya ingin dihargai teman-teman.</v>
      </c>
      <c r="CD132" s="105" t="str">
        <f>IFERROR(__xludf.DUMMYFUNCTION("""COMPUTED_VALUE"""),"A Saya suka menyelesaikan setiap tugas meskipun membutuhkan waktu lama.")</f>
        <v>A Saya suka menyelesaikan setiap tugas meskipun membutuhkan waktu lama.</v>
      </c>
      <c r="CE132" s="105" t="str">
        <f>IFERROR(__xludf.DUMMYFUNCTION("""COMPUTED_VALUE"""),"B Saya kadang-kadang suka melakukan hal-hal yang dapat dipuji oleh orang lain.")</f>
        <v>B Saya kadang-kadang suka melakukan hal-hal yang dapat dipuji oleh orang lain.</v>
      </c>
      <c r="CF132" s="105" t="str">
        <f>IFERROR(__xludf.DUMMYFUNCTION("""COMPUTED_VALUE"""),"A Saya ingin agar hidup saya teratur sesuai cita-cita saya.")</f>
        <v>A Saya ingin agar hidup saya teratur sesuai cita-cita saya.</v>
      </c>
      <c r="CG132" s="105" t="str">
        <f>IFERROR(__xludf.DUMMYFUNCTION("""COMPUTED_VALUE"""),"A Saya ingin berhasil dalam apa yang saya lakukan.")</f>
        <v>A Saya ingin berhasil dalam apa yang saya lakukan.</v>
      </c>
      <c r="CH132" s="105" t="str">
        <f>IFERROR(__xludf.DUMMYFUNCTION("""COMPUTED_VALUE"""),"A Saya ingin bisa melakukan dengan baik sesuatu pekerjaan sulit.")</f>
        <v>A Saya ingin bisa melakukan dengan baik sesuatu pekerjaan sulit.</v>
      </c>
      <c r="CI132" s="105" t="str">
        <f>IFERROR(__xludf.DUMMYFUNCTION("""COMPUTED_VALUE"""),"A Saya suka belajar saya teratur dan ada waktu-waktu tertentu untuk belajar.")</f>
        <v>A Saya suka belajar saya teratur dan ada waktu-waktu tertentu untuk belajar.</v>
      </c>
      <c r="CJ132" s="105" t="str">
        <f>IFERROR(__xludf.DUMMYFUNCTION("""COMPUTED_VALUE"""),"A Saya ingin tidak tergantung dari orang lain terhadap apa yang akan saya lakukan.")</f>
        <v>A Saya ingin tidak tergantung dari orang lain terhadap apa yang akan saya lakukan.</v>
      </c>
      <c r="CK132" s="105" t="str">
        <f>IFERROR(__xludf.DUMMYFUNCTION("""COMPUTED_VALUE"""),"B Saya senang ikut beraktivitas bersama teman sebaya saya.")</f>
        <v>B Saya senang ikut beraktivitas bersama teman sebaya saya.</v>
      </c>
      <c r="CL132" s="105" t="str">
        <f>IFERROR(__xludf.DUMMYFUNCTION("""COMPUTED_VALUE"""),"A Saya suka menolong teman-teman saya, apabila mereka dalam kesulitan.")</f>
        <v>A Saya suka menolong teman-teman saya, apabila mereka dalam kesulitan.</v>
      </c>
      <c r="CM132" s="105" t="str">
        <f>IFERROR(__xludf.DUMMYFUNCTION("""COMPUTED_VALUE"""),"A Saya ingin ditunjuk atau dipilih sebagai ketua dalam suatu kelompok.")</f>
        <v>A Saya ingin ditunjuk atau dipilih sebagai ketua dalam suatu kelompok.</v>
      </c>
      <c r="CN132" s="105" t="str">
        <f>IFERROR(__xludf.DUMMYFUNCTION("""COMPUTED_VALUE"""),"B Saya suka mendengarkan atau menceritakan hal-hal yang tidak pantas.")</f>
        <v>B Saya suka mendengarkan atau menceritakan hal-hal yang tidak pantas.</v>
      </c>
      <c r="CO132" s="105" t="str">
        <f>IFERROR(__xludf.DUMMYFUNCTION("""COMPUTED_VALUE"""),"A Saya suka menceritakan hal-hal lucu agar diperhatikan oleh orang lain.")</f>
        <v>A Saya suka menceritakan hal-hal lucu agar diperhatikan oleh orang lain.</v>
      </c>
      <c r="CP132" s="105" t="str">
        <f>IFERROR(__xludf.DUMMYFUNCTION("""COMPUTED_VALUE"""),"B Saya ingin dianggap menarik oleh orang lain.")</f>
        <v>B Saya ingin dianggap menarik oleh orang lain.</v>
      </c>
      <c r="CQ132" s="105" t="str">
        <f>IFERROR(__xludf.DUMMYFUNCTION("""COMPUTED_VALUE"""),"B Saya merasa kagum pada seseorang.")</f>
        <v>B Saya merasa kagum pada seseorang.</v>
      </c>
      <c r="CR132" s="105" t="str">
        <f>IFERROR(__xludf.DUMMYFUNCTION("""COMPUTED_VALUE"""),"B Saya rasanya ingin mengecam seseorang bila orang itu menjengkelkan.")</f>
        <v>B Saya rasanya ingin mengecam seseorang bila orang itu menjengkelkan.</v>
      </c>
      <c r="CS132" s="105" t="str">
        <f>IFERROR(__xludf.DUMMYFUNCTION("""COMPUTED_VALUE"""),"A Saya ingin terlihat menarik di depan teman-teman saya.")</f>
        <v>A Saya ingin terlihat menarik di depan teman-teman saya.</v>
      </c>
      <c r="CT132" s="105" t="str">
        <f>IFERROR(__xludf.DUMMYFUNCTION("""COMPUTED_VALUE"""),"A Saya ingin orang-orang memperhatikan komentar mengenai penampilan saya.")</f>
        <v>A Saya ingin orang-orang memperhatikan komentar mengenai penampilan saya.</v>
      </c>
      <c r="CU132" s="105" t="str">
        <f>IFERROR(__xludf.DUMMYFUNCTION("""COMPUTED_VALUE"""),"A Saya ingin diperlakukan dengan ramah oleh teman-teman saya.")</f>
        <v>A Saya ingin diperlakukan dengan ramah oleh teman-teman saya.</v>
      </c>
      <c r="CV132" s="105" t="str">
        <f>IFERROR(__xludf.DUMMYFUNCTION("""COMPUTED_VALUE"""),"A Saya ingin ditunjuk atau dipilih sebagai ketua dalam suatu kelompok.")</f>
        <v>A Saya ingin ditunjuk atau dipilih sebagai ketua dalam suatu kelompok.</v>
      </c>
      <c r="CW132" s="105" t="str">
        <f>IFERROR(__xludf.DUMMYFUNCTION("""COMPUTED_VALUE"""),"A Saya suka menolong teman-teman saya, apabila mereka dalam kesulitan.")</f>
        <v>A Saya suka menolong teman-teman saya, apabila mereka dalam kesulitan.</v>
      </c>
      <c r="CX132" s="105" t="str">
        <f>IFERROR(__xludf.DUMMYFUNCTION("""COMPUTED_VALUE"""),"A Saya suka belajar sampai malam untuk menyelesaikan suatu tugas.")</f>
        <v>A Saya suka belajar sampai malam untuk menyelesaikan suatu tugas.</v>
      </c>
      <c r="CY132" s="105" t="str">
        <f>IFERROR(__xludf.DUMMYFUNCTION("""COMPUTED_VALUE"""),"A Saya ingin tidak tergantung dari orang lain terhadap apa yang akan saya lakukan.")</f>
        <v>A Saya ingin tidak tergantung dari orang lain terhadap apa yang akan saya lakukan.</v>
      </c>
      <c r="CZ132" s="105" t="str">
        <f>IFERROR(__xludf.DUMMYFUNCTION("""COMPUTED_VALUE"""),"A Saya suka merencanakan dan mengatur setiap pekerjaan yang harus saya lakukan.")</f>
        <v>A Saya suka merencanakan dan mengatur setiap pekerjaan yang harus saya lakukan.</v>
      </c>
      <c r="DA132" s="105" t="str">
        <f>IFERROR(__xludf.DUMMYFUNCTION("""COMPUTED_VALUE"""),"A Saya ingin melakukan apa saja sebaik mungkin.")</f>
        <v>A Saya ingin melakukan apa saja sebaik mungkin.</v>
      </c>
      <c r="DB132" s="89" t="s">
        <v>23</v>
      </c>
      <c r="DC132" s="97" t="str">
        <f t="shared" ref="DC132:GX132" si="177">LEFT(F132,1)</f>
        <v>A</v>
      </c>
      <c r="DD132" s="97" t="str">
        <f t="shared" si="177"/>
        <v>A</v>
      </c>
      <c r="DE132" s="97" t="str">
        <f t="shared" si="177"/>
        <v>B</v>
      </c>
      <c r="DF132" s="97" t="str">
        <f t="shared" si="177"/>
        <v>B</v>
      </c>
      <c r="DG132" s="97" t="str">
        <f t="shared" si="177"/>
        <v>A</v>
      </c>
      <c r="DH132" s="97" t="str">
        <f t="shared" si="177"/>
        <v>B</v>
      </c>
      <c r="DI132" s="97" t="str">
        <f t="shared" si="177"/>
        <v>B</v>
      </c>
      <c r="DJ132" s="97" t="str">
        <f t="shared" si="177"/>
        <v>B</v>
      </c>
      <c r="DK132" s="97" t="str">
        <f t="shared" si="177"/>
        <v>B</v>
      </c>
      <c r="DL132" s="97" t="str">
        <f t="shared" si="177"/>
        <v>B</v>
      </c>
      <c r="DM132" s="97" t="str">
        <f t="shared" si="177"/>
        <v>B</v>
      </c>
      <c r="DN132" s="97" t="str">
        <f t="shared" si="177"/>
        <v>B</v>
      </c>
      <c r="DO132" s="97" t="str">
        <f t="shared" si="177"/>
        <v>B</v>
      </c>
      <c r="DP132" s="97" t="str">
        <f t="shared" si="177"/>
        <v>B</v>
      </c>
      <c r="DQ132" s="97" t="str">
        <f t="shared" si="177"/>
        <v>B</v>
      </c>
      <c r="DR132" s="97" t="str">
        <f t="shared" si="177"/>
        <v>B</v>
      </c>
      <c r="DS132" s="97" t="str">
        <f t="shared" si="177"/>
        <v>B</v>
      </c>
      <c r="DT132" s="97" t="str">
        <f t="shared" si="177"/>
        <v>B</v>
      </c>
      <c r="DU132" s="97" t="str">
        <f t="shared" si="177"/>
        <v>A</v>
      </c>
      <c r="DV132" s="97" t="str">
        <f t="shared" si="177"/>
        <v>B</v>
      </c>
      <c r="DW132" s="97" t="str">
        <f t="shared" si="177"/>
        <v>A</v>
      </c>
      <c r="DX132" s="97" t="str">
        <f t="shared" si="177"/>
        <v>A</v>
      </c>
      <c r="DY132" s="97" t="str">
        <f t="shared" si="177"/>
        <v>B</v>
      </c>
      <c r="DZ132" s="97" t="str">
        <f t="shared" si="177"/>
        <v>A</v>
      </c>
      <c r="EA132" s="97" t="str">
        <f t="shared" si="177"/>
        <v>A</v>
      </c>
      <c r="EB132" s="97" t="str">
        <f t="shared" si="177"/>
        <v>A</v>
      </c>
      <c r="EC132" s="97" t="str">
        <f t="shared" si="177"/>
        <v>B</v>
      </c>
      <c r="ED132" s="97" t="str">
        <f t="shared" si="177"/>
        <v>B</v>
      </c>
      <c r="EE132" s="97" t="str">
        <f t="shared" si="177"/>
        <v>A</v>
      </c>
      <c r="EF132" s="97" t="str">
        <f t="shared" si="177"/>
        <v>B</v>
      </c>
      <c r="EG132" s="97" t="str">
        <f t="shared" si="177"/>
        <v>B</v>
      </c>
      <c r="EH132" s="97" t="str">
        <f t="shared" si="177"/>
        <v>B</v>
      </c>
      <c r="EI132" s="97" t="str">
        <f t="shared" si="177"/>
        <v>B</v>
      </c>
      <c r="EJ132" s="97" t="str">
        <f t="shared" si="177"/>
        <v>B</v>
      </c>
      <c r="EK132" s="97" t="str">
        <f t="shared" si="177"/>
        <v>A</v>
      </c>
      <c r="EL132" s="97" t="str">
        <f t="shared" si="177"/>
        <v>B</v>
      </c>
      <c r="EM132" s="97" t="str">
        <f t="shared" si="177"/>
        <v>A</v>
      </c>
      <c r="EN132" s="97" t="str">
        <f t="shared" si="177"/>
        <v>B</v>
      </c>
      <c r="EO132" s="97" t="str">
        <f t="shared" si="177"/>
        <v>B</v>
      </c>
      <c r="EP132" s="97" t="str">
        <f t="shared" si="177"/>
        <v>A</v>
      </c>
      <c r="EQ132" s="97" t="str">
        <f t="shared" si="177"/>
        <v>A</v>
      </c>
      <c r="ER132" s="97" t="str">
        <f t="shared" si="177"/>
        <v>A</v>
      </c>
      <c r="ES132" s="97" t="str">
        <f t="shared" si="177"/>
        <v>A</v>
      </c>
      <c r="ET132" s="97" t="str">
        <f t="shared" si="177"/>
        <v>A</v>
      </c>
      <c r="EU132" s="97" t="str">
        <f t="shared" si="177"/>
        <v>A</v>
      </c>
      <c r="EV132" s="97" t="str">
        <f t="shared" si="177"/>
        <v>B</v>
      </c>
      <c r="EW132" s="97" t="str">
        <f t="shared" si="177"/>
        <v>A</v>
      </c>
      <c r="EX132" s="97" t="str">
        <f t="shared" si="177"/>
        <v>A</v>
      </c>
      <c r="EY132" s="97" t="str">
        <f t="shared" si="177"/>
        <v>B</v>
      </c>
      <c r="EZ132" s="97" t="str">
        <f t="shared" si="177"/>
        <v>B</v>
      </c>
      <c r="FA132" s="97" t="str">
        <f t="shared" si="177"/>
        <v>B</v>
      </c>
      <c r="FB132" s="97" t="str">
        <f t="shared" si="177"/>
        <v>B</v>
      </c>
      <c r="FC132" s="97" t="str">
        <f t="shared" si="177"/>
        <v>A</v>
      </c>
      <c r="FD132" s="97" t="str">
        <f t="shared" si="177"/>
        <v>A</v>
      </c>
      <c r="FE132" s="97" t="str">
        <f t="shared" si="177"/>
        <v>B</v>
      </c>
      <c r="FF132" s="97" t="str">
        <f t="shared" si="177"/>
        <v>A</v>
      </c>
      <c r="FG132" s="97" t="str">
        <f t="shared" si="177"/>
        <v>A</v>
      </c>
      <c r="FH132" s="97" t="str">
        <f t="shared" si="177"/>
        <v>A</v>
      </c>
      <c r="FI132" s="97" t="str">
        <f t="shared" si="177"/>
        <v>A</v>
      </c>
      <c r="FJ132" s="97" t="str">
        <f t="shared" si="177"/>
        <v>A</v>
      </c>
      <c r="FK132" s="97" t="str">
        <f t="shared" si="177"/>
        <v>A</v>
      </c>
      <c r="FL132" s="97" t="str">
        <f t="shared" si="177"/>
        <v>A</v>
      </c>
      <c r="FM132" s="97" t="str">
        <f t="shared" si="177"/>
        <v>B</v>
      </c>
      <c r="FN132" s="97" t="str">
        <f t="shared" si="177"/>
        <v>A</v>
      </c>
      <c r="FO132" s="97" t="str">
        <f t="shared" si="177"/>
        <v>B</v>
      </c>
      <c r="FP132" s="97" t="str">
        <f t="shared" si="177"/>
        <v>B</v>
      </c>
      <c r="FQ132" s="97" t="str">
        <f t="shared" si="177"/>
        <v>B</v>
      </c>
      <c r="FR132" s="97" t="str">
        <f t="shared" si="177"/>
        <v>B</v>
      </c>
      <c r="FS132" s="97" t="str">
        <f t="shared" si="177"/>
        <v>A</v>
      </c>
      <c r="FT132" s="97" t="str">
        <f t="shared" si="177"/>
        <v>B</v>
      </c>
      <c r="FU132" s="97" t="str">
        <f t="shared" si="177"/>
        <v>B</v>
      </c>
      <c r="FV132" s="97" t="str">
        <f t="shared" si="177"/>
        <v>B</v>
      </c>
      <c r="FW132" s="97" t="str">
        <f t="shared" si="177"/>
        <v>B</v>
      </c>
      <c r="FX132" s="97" t="str">
        <f t="shared" si="177"/>
        <v>B</v>
      </c>
      <c r="FY132" s="97" t="str">
        <f t="shared" si="177"/>
        <v>B</v>
      </c>
      <c r="FZ132" s="97" t="str">
        <f t="shared" si="177"/>
        <v>A</v>
      </c>
      <c r="GA132" s="97" t="str">
        <f t="shared" si="177"/>
        <v>A</v>
      </c>
      <c r="GB132" s="97" t="str">
        <f t="shared" si="177"/>
        <v>B</v>
      </c>
      <c r="GC132" s="97" t="str">
        <f t="shared" si="177"/>
        <v>A</v>
      </c>
      <c r="GD132" s="97" t="str">
        <f t="shared" si="177"/>
        <v>A</v>
      </c>
      <c r="GE132" s="97" t="str">
        <f t="shared" si="177"/>
        <v>A</v>
      </c>
      <c r="GF132" s="97" t="str">
        <f t="shared" si="177"/>
        <v>A</v>
      </c>
      <c r="GG132" s="97" t="str">
        <f t="shared" si="177"/>
        <v>A</v>
      </c>
      <c r="GH132" s="97" t="str">
        <f t="shared" si="177"/>
        <v>B</v>
      </c>
      <c r="GI132" s="97" t="str">
        <f t="shared" si="177"/>
        <v>A</v>
      </c>
      <c r="GJ132" s="97" t="str">
        <f t="shared" si="177"/>
        <v>A</v>
      </c>
      <c r="GK132" s="97" t="str">
        <f t="shared" si="177"/>
        <v>B</v>
      </c>
      <c r="GL132" s="97" t="str">
        <f t="shared" si="177"/>
        <v>A</v>
      </c>
      <c r="GM132" s="97" t="str">
        <f t="shared" si="177"/>
        <v>B</v>
      </c>
      <c r="GN132" s="97" t="str">
        <f t="shared" si="177"/>
        <v>B</v>
      </c>
      <c r="GO132" s="97" t="str">
        <f t="shared" si="177"/>
        <v>B</v>
      </c>
      <c r="GP132" s="97" t="str">
        <f t="shared" si="177"/>
        <v>A</v>
      </c>
      <c r="GQ132" s="97" t="str">
        <f t="shared" si="177"/>
        <v>A</v>
      </c>
      <c r="GR132" s="97" t="str">
        <f t="shared" si="177"/>
        <v>A</v>
      </c>
      <c r="GS132" s="97" t="str">
        <f t="shared" si="177"/>
        <v>A</v>
      </c>
      <c r="GT132" s="97" t="str">
        <f t="shared" si="177"/>
        <v>A</v>
      </c>
      <c r="GU132" s="97" t="str">
        <f t="shared" si="177"/>
        <v>A</v>
      </c>
      <c r="GV132" s="97" t="str">
        <f t="shared" si="177"/>
        <v>A</v>
      </c>
      <c r="GW132" s="97" t="str">
        <f t="shared" si="177"/>
        <v>A</v>
      </c>
      <c r="GX132" s="97" t="str">
        <f t="shared" si="177"/>
        <v>A</v>
      </c>
      <c r="GY132" s="98"/>
      <c r="GZ132" s="97">
        <f t="shared" si="3"/>
        <v>50</v>
      </c>
      <c r="HA132" s="97">
        <f t="shared" si="4"/>
        <v>50</v>
      </c>
      <c r="HB132" s="90">
        <f t="shared" si="5"/>
        <v>100</v>
      </c>
      <c r="HC132" s="99"/>
      <c r="HD132" s="97">
        <f t="shared" si="6"/>
        <v>8</v>
      </c>
      <c r="HE132" s="97">
        <f t="shared" si="7"/>
        <v>7</v>
      </c>
      <c r="HF132" s="90">
        <f t="shared" si="8"/>
        <v>15</v>
      </c>
      <c r="HG132" s="99"/>
      <c r="HH132" s="97">
        <f t="shared" si="9"/>
        <v>8</v>
      </c>
      <c r="HI132" s="97">
        <f t="shared" si="10"/>
        <v>9</v>
      </c>
      <c r="HJ132" s="90">
        <f t="shared" si="11"/>
        <v>17</v>
      </c>
      <c r="HK132" s="99"/>
      <c r="HL132" s="97">
        <f t="shared" si="12"/>
        <v>4</v>
      </c>
      <c r="HM132" s="97">
        <f t="shared" si="13"/>
        <v>4</v>
      </c>
      <c r="HN132" s="90">
        <f t="shared" si="14"/>
        <v>8</v>
      </c>
      <c r="HO132" s="99"/>
      <c r="HP132" s="97">
        <f t="shared" si="15"/>
        <v>6</v>
      </c>
      <c r="HQ132" s="97">
        <f t="shared" si="16"/>
        <v>7</v>
      </c>
      <c r="HR132" s="90">
        <f t="shared" si="17"/>
        <v>13</v>
      </c>
      <c r="HS132" s="99"/>
      <c r="HT132" s="97">
        <f t="shared" si="18"/>
        <v>6</v>
      </c>
      <c r="HU132" s="97">
        <f t="shared" si="19"/>
        <v>3</v>
      </c>
      <c r="HV132" s="90">
        <f t="shared" si="20"/>
        <v>9</v>
      </c>
      <c r="HW132" s="99"/>
      <c r="HX132" s="97">
        <f t="shared" si="21"/>
        <v>4</v>
      </c>
      <c r="HY132" s="97">
        <f t="shared" si="22"/>
        <v>3</v>
      </c>
      <c r="HZ132" s="90">
        <f t="shared" si="23"/>
        <v>7</v>
      </c>
      <c r="IA132" s="99"/>
      <c r="IB132" s="97">
        <f t="shared" si="24"/>
        <v>3</v>
      </c>
      <c r="IC132" s="97">
        <f t="shared" si="25"/>
        <v>6</v>
      </c>
      <c r="ID132" s="90">
        <f t="shared" si="26"/>
        <v>9</v>
      </c>
      <c r="IE132" s="99"/>
      <c r="IF132" s="97">
        <f t="shared" si="27"/>
        <v>4</v>
      </c>
      <c r="IG132" s="97">
        <f t="shared" si="28"/>
        <v>6</v>
      </c>
      <c r="IH132" s="90">
        <f t="shared" si="29"/>
        <v>10</v>
      </c>
      <c r="II132" s="99"/>
      <c r="IJ132" s="97">
        <f t="shared" si="30"/>
        <v>3</v>
      </c>
      <c r="IK132" s="97">
        <f t="shared" si="31"/>
        <v>4</v>
      </c>
      <c r="IL132" s="90">
        <f t="shared" si="32"/>
        <v>7</v>
      </c>
      <c r="IM132" s="99"/>
      <c r="IN132" s="97">
        <f t="shared" si="33"/>
        <v>0</v>
      </c>
      <c r="IO132" s="97">
        <f t="shared" si="34"/>
        <v>1</v>
      </c>
      <c r="IP132" s="90">
        <f t="shared" si="35"/>
        <v>1</v>
      </c>
      <c r="IS132" s="100">
        <f t="shared" si="36"/>
        <v>15</v>
      </c>
      <c r="IT132" s="100">
        <f t="shared" si="37"/>
        <v>17</v>
      </c>
      <c r="IU132" s="100">
        <f t="shared" si="38"/>
        <v>8</v>
      </c>
      <c r="IV132" s="100">
        <f t="shared" si="39"/>
        <v>13</v>
      </c>
      <c r="IW132" s="100">
        <f t="shared" si="40"/>
        <v>9</v>
      </c>
      <c r="IX132" s="100">
        <f t="shared" si="41"/>
        <v>7</v>
      </c>
      <c r="IY132" s="100">
        <f t="shared" si="42"/>
        <v>9</v>
      </c>
      <c r="IZ132" s="100">
        <f t="shared" si="43"/>
        <v>10</v>
      </c>
      <c r="JA132" s="100">
        <f t="shared" si="44"/>
        <v>7</v>
      </c>
      <c r="JB132" s="101">
        <f t="shared" si="45"/>
        <v>1</v>
      </c>
      <c r="JC132" s="102">
        <f t="shared" si="46"/>
        <v>96</v>
      </c>
      <c r="JD132" s="67">
        <f t="shared" si="50"/>
        <v>0</v>
      </c>
      <c r="JE132" s="67">
        <f t="shared" si="47"/>
        <v>1</v>
      </c>
      <c r="JF132" s="67">
        <f t="shared" si="48"/>
        <v>1</v>
      </c>
    </row>
    <row r="133">
      <c r="A133" s="104">
        <f>IFERROR(__xludf.DUMMYFUNCTION("""COMPUTED_VALUE"""),45971.562132534724)</f>
        <v>45971.56213</v>
      </c>
      <c r="B133" s="105" t="str">
        <f>IFERROR(__xludf.DUMMYFUNCTION("""COMPUTED_VALUE"""),"Muhammad Naufal Rafif Athallah ")</f>
        <v>Muhammad Naufal Rafif Athallah </v>
      </c>
      <c r="C133" s="7" t="str">
        <f>IFERROR(__xludf.DUMMYFUNCTION("""COMPUTED_VALUE"""),"B250016")</f>
        <v>B250016</v>
      </c>
      <c r="D133" s="7" t="str">
        <f>IFERROR(__xludf.DUMMYFUNCTION("""COMPUTED_VALUE"""),"SMA")</f>
        <v>SMA</v>
      </c>
      <c r="E133" s="7" t="str">
        <f>IFERROR(__xludf.DUMMYFUNCTION("""COMPUTED_VALUE"""),"Ya")</f>
        <v>Ya</v>
      </c>
      <c r="F133" s="105" t="str">
        <f>IFERROR(__xludf.DUMMYFUNCTION("""COMPUTED_VALUE"""),"B Saya ingin melakukan apa saja sebaik mungkin.")</f>
        <v>B Saya ingin melakukan apa saja sebaik mungkin.</v>
      </c>
      <c r="G133" s="105" t="str">
        <f>IFERROR(__xludf.DUMMYFUNCTION("""COMPUTED_VALUE"""),"A Saya ingin setiap tulisan saya teliti, rapi, dan tersusun dengan baik.")</f>
        <v>A Saya ingin setiap tulisan saya teliti, rapi, dan tersusun dengan baik.</v>
      </c>
      <c r="H133" s="105" t="str">
        <f>IFERROR(__xludf.DUMMYFUNCTION("""COMPUTED_VALUE"""),"B Saya ingin menjadi orang yang diakui dalam suatu pekerjaan atau bidang khusus.")</f>
        <v>B Saya ingin menjadi orang yang diakui dalam suatu pekerjaan atau bidang khusus.</v>
      </c>
      <c r="I133" s="105" t="str">
        <f>IFERROR(__xludf.DUMMYFUNCTION("""COMPUTED_VALUE"""),"B Saya ingin bisa melakukan dengan baik meskipun tugas yang sulit.")</f>
        <v>B Saya ingin bisa melakukan dengan baik meskipun tugas yang sulit.</v>
      </c>
      <c r="J133" s="105" t="str">
        <f>IFERROR(__xludf.DUMMYFUNCTION("""COMPUTED_VALUE"""),"B Saya ingin mengerjakan tugas sebaik mungkin.")</f>
        <v>B Saya ingin mengerjakan tugas sebaik mungkin.</v>
      </c>
      <c r="K133" s="105" t="str">
        <f>IFERROR(__xludf.DUMMYFUNCTION("""COMPUTED_VALUE"""),"A Saya ingin menjadi pemimpin dalam suatu kelompok.")</f>
        <v>A Saya ingin menjadi pemimpin dalam suatu kelompok.</v>
      </c>
      <c r="L133" s="105" t="str">
        <f>IFERROR(__xludf.DUMMYFUNCTION("""COMPUTED_VALUE"""),"B Saya ingin mengatakan telah melakukan dengan baik sesuatu tugas yang sulit")</f>
        <v>B Saya ingin mengatakan telah melakukan dengan baik sesuatu tugas yang sulit</v>
      </c>
      <c r="M133" s="105" t="str">
        <f>IFERROR(__xludf.DUMMYFUNCTION("""COMPUTED_VALUE"""),"B Saya ingin mengerjakan segala tugas lebih baik daripada orang lain.")</f>
        <v>B Saya ingin mengerjakan segala tugas lebih baik daripada orang lain.</v>
      </c>
      <c r="N133" s="105" t="str">
        <f>IFERROR(__xludf.DUMMYFUNCTION("""COMPUTED_VALUE"""),"B Saya suka memecahkan persoalan yang sukar bagi orang lain.")</f>
        <v>B Saya suka memecahkan persoalan yang sukar bagi orang lain.</v>
      </c>
      <c r="O133" s="105" t="str">
        <f>IFERROR(__xludf.DUMMYFUNCTION("""COMPUTED_VALUE"""),"B Saya suka melakukan tugas sebaik mungkin.")</f>
        <v>B Saya suka melakukan tugas sebaik mungkin.</v>
      </c>
      <c r="P133" s="105" t="str">
        <f>IFERROR(__xludf.DUMMYFUNCTION("""COMPUTED_VALUE"""),"B Saya ingin setiap belajar itu teratur dan direncanakan.")</f>
        <v>B Saya ingin setiap belajar itu teratur dan direncanakan.</v>
      </c>
      <c r="Q133" s="105" t="str">
        <f>IFERROR(__xludf.DUMMYFUNCTION("""COMPUTED_VALUE"""),"B Saya merencanakan keperluan yang dibutuhkan sebelum bepergian.")</f>
        <v>B Saya merencanakan keperluan yang dibutuhkan sebelum bepergian.</v>
      </c>
      <c r="R133" s="105" t="str">
        <f>IFERROR(__xludf.DUMMYFUNCTION("""COMPUTED_VALUE"""),"B Saya suka barang-barang saya tersusun rapi dan teratur.")</f>
        <v>B Saya suka barang-barang saya tersusun rapi dan teratur.</v>
      </c>
      <c r="S133" s="105" t="str">
        <f>IFERROR(__xludf.DUMMYFUNCTION("""COMPUTED_VALUE"""),"A Saya ingin agar teman-teman pengertian bila saya mengalami kesukaran.")</f>
        <v>A Saya ingin agar teman-teman pengertian bila saya mengalami kesukaran.</v>
      </c>
      <c r="T133" s="105" t="str">
        <f>IFERROR(__xludf.DUMMYFUNCTION("""COMPUTED_VALUE"""),"B Saya ingin agar hidup saya teratur sesuai cita-cita saya.")</f>
        <v>B Saya ingin agar hidup saya teratur sesuai cita-cita saya.</v>
      </c>
      <c r="U133" s="105" t="str">
        <f>IFERROR(__xludf.DUMMYFUNCTION("""COMPUTED_VALUE"""),"B Saya suka menyimpan catatan secara rapi.")</f>
        <v>B Saya suka menyimpan catatan secara rapi.</v>
      </c>
      <c r="V133" s="105" t="str">
        <f>IFERROR(__xludf.DUMMYFUNCTION("""COMPUTED_VALUE"""),"A Saya suka belajar sampai malam untuk menyelesaikan suatu tugas.")</f>
        <v>A Saya suka belajar sampai malam untuk menyelesaikan suatu tugas.</v>
      </c>
      <c r="W133" s="105" t="str">
        <f>IFERROR(__xludf.DUMMYFUNCTION("""COMPUTED_VALUE"""),"B Saya ingin kegiatan itu teratur dan direncanakan.")</f>
        <v>B Saya ingin kegiatan itu teratur dan direncanakan.</v>
      </c>
      <c r="X133" s="105" t="str">
        <f>IFERROR(__xludf.DUMMYFUNCTION("""COMPUTED_VALUE"""),"B Saya ingin agar hidup saya teratur sesuai cita-cita saya.")</f>
        <v>B Saya ingin agar hidup saya teratur sesuai cita-cita saya.</v>
      </c>
      <c r="Y133" s="105" t="str">
        <f>IFERROR(__xludf.DUMMYFUNCTION("""COMPUTED_VALUE"""),"B Saya senang merencanakan untuk masa depan.")</f>
        <v>B Saya senang merencanakan untuk masa depan.</v>
      </c>
      <c r="Z133" s="105" t="str">
        <f>IFERROR(__xludf.DUMMYFUNCTION("""COMPUTED_VALUE"""),"A Saya ingin berhasil dengan belajar yang saya lakukan.")</f>
        <v>A Saya ingin berhasil dengan belajar yang saya lakukan.</v>
      </c>
      <c r="AA133" s="105" t="str">
        <f>IFERROR(__xludf.DUMMYFUNCTION("""COMPUTED_VALUE"""),"B Saya tidak suka pada orang yang berbuat seenaknya sendiri.")</f>
        <v>B Saya tidak suka pada orang yang berbuat seenaknya sendiri.</v>
      </c>
      <c r="AB133" s="105" t="str">
        <f>IFERROR(__xludf.DUMMYFUNCTION("""COMPUTED_VALUE"""),"B Saya ingin menyelesaikan pekerjaan satu persatu sebelum memulai yang lain.")</f>
        <v>B Saya ingin menyelesaikan pekerjaan satu persatu sebelum memulai yang lain.</v>
      </c>
      <c r="AC133" s="105" t="str">
        <f>IFERROR(__xludf.DUMMYFUNCTION("""COMPUTED_VALUE"""),"A Saya suka menyelesaikan setiap tugas meskipun membutuhkan waktu lama.")</f>
        <v>A Saya suka menyelesaikan setiap tugas meskipun membutuhkan waktu lama.</v>
      </c>
      <c r="AD133" s="105" t="str">
        <f>IFERROR(__xludf.DUMMYFUNCTION("""COMPUTED_VALUE"""),"B Saya suka menyatakan pendapat saya tentang berbagai hal.")</f>
        <v>B Saya suka menyatakan pendapat saya tentang berbagai hal.</v>
      </c>
      <c r="AE133" s="105" t="str">
        <f>IFERROR(__xludf.DUMMYFUNCTION("""COMPUTED_VALUE"""),"A Saya ingin dianggap sebagai pemimpin oleh teman di kelompok.")</f>
        <v>A Saya ingin dianggap sebagai pemimpin oleh teman di kelompok.</v>
      </c>
      <c r="AF133" s="105" t="str">
        <f>IFERROR(__xludf.DUMMYFUNCTION("""COMPUTED_VALUE"""),"A Saya ingin agar teman-teman mengerti bila saya mengalami kesukaran.")</f>
        <v>A Saya ingin agar teman-teman mengerti bila saya mengalami kesukaran.</v>
      </c>
      <c r="AG133" s="105" t="str">
        <f>IFERROR(__xludf.DUMMYFUNCTION("""COMPUTED_VALUE"""),"A Saya mengajari orang lain bagaimana mereka harus melakukan pekerjaan mereka.")</f>
        <v>A Saya mengajari orang lain bagaimana mereka harus melakukan pekerjaan mereka.</v>
      </c>
      <c r="AH133" s="105" t="str">
        <f>IFERROR(__xludf.DUMMYFUNCTION("""COMPUTED_VALUE"""),"B Saya ingin merasa bebas untuk melakukan apa yang saya kehendaki.")</f>
        <v>B Saya ingin merasa bebas untuk melakukan apa yang saya kehendaki.</v>
      </c>
      <c r="AI133" s="105" t="str">
        <f>IFERROR(__xludf.DUMMYFUNCTION("""COMPUTED_VALUE"""),"B Saya suka melakukan kegiatan sesuai kondisi yang saya inginkan.")</f>
        <v>B Saya suka melakukan kegiatan sesuai kondisi yang saya inginkan.</v>
      </c>
      <c r="AJ133" s="105" t="str">
        <f>IFERROR(__xludf.DUMMYFUNCTION("""COMPUTED_VALUE"""),"A Saya rasanya ingin membalas dendam bila seseorang menghina saya.")</f>
        <v>A Saya rasanya ingin membalas dendam bila seseorang menghina saya.</v>
      </c>
      <c r="AK133" s="105" t="str">
        <f>IFERROR(__xludf.DUMMYFUNCTION("""COMPUTED_VALUE"""),"B Bila saya harus melakukan suatu tugas, saya ingin mengerjakan sampai selesai.")</f>
        <v>B Bila saya harus melakukan suatu tugas, saya ingin mengerjakan sampai selesai.</v>
      </c>
      <c r="AL133" s="105" t="str">
        <f>IFERROR(__xludf.DUMMYFUNCTION("""COMPUTED_VALUE"""),"B Saya ingin menghindarkan gangguan bila saya sedang belajar.")</f>
        <v>B Saya ingin menghindarkan gangguan bila saya sedang belajar.</v>
      </c>
      <c r="AM133" s="105" t="str">
        <f>IFERROR(__xludf.DUMMYFUNCTION("""COMPUTED_VALUE"""),"A Saya ingin teman-teman saya merasa kasihan pada saya apabila saya sakit.")</f>
        <v>A Saya ingin teman-teman saya merasa kasihan pada saya apabila saya sakit.</v>
      </c>
      <c r="AN133" s="105" t="str">
        <f>IFERROR(__xludf.DUMMYFUNCTION("""COMPUTED_VALUE"""),"B Saya ingin bekerja berjam-jam tanpa diganggu.")</f>
        <v>B Saya ingin bekerja berjam-jam tanpa diganggu.</v>
      </c>
      <c r="AO133" s="105" t="str">
        <f>IFERROR(__xludf.DUMMYFUNCTION("""COMPUTED_VALUE"""),"A Saya suka berlaku sangat ramah terhadap teman-teman saya.")</f>
        <v>A Saya suka berlaku sangat ramah terhadap teman-teman saya.</v>
      </c>
      <c r="AP133" s="105" t="str">
        <f>IFERROR(__xludf.DUMMYFUNCTION("""COMPUTED_VALUE"""),"A Saya ingin mengerjakannya tugas sampai selesai.")</f>
        <v>A Saya ingin mengerjakannya tugas sampai selesai.</v>
      </c>
      <c r="AQ133" s="105" t="str">
        <f>IFERROR(__xludf.DUMMYFUNCTION("""COMPUTED_VALUE"""),"A Saya ingin bisa mengerjakan segala sesuatu lebih baik daripada orang-orang lain.")</f>
        <v>A Saya ingin bisa mengerjakan segala sesuatu lebih baik daripada orang-orang lain.</v>
      </c>
      <c r="AR133" s="105" t="str">
        <f>IFERROR(__xludf.DUMMYFUNCTION("""COMPUTED_VALUE"""),"B Saya suka belajar keras pada tiap pelajaran yang saya hadapi.")</f>
        <v>B Saya suka belajar keras pada tiap pelajaran yang saya hadapi.</v>
      </c>
      <c r="AS133" s="105" t="str">
        <f>IFERROR(__xludf.DUMMYFUNCTION("""COMPUTED_VALUE"""),"A Saya ingin dapat menyelesaikan persoalan yang dianggap sukar bagi orang lain.")</f>
        <v>A Saya ingin dapat menyelesaikan persoalan yang dianggap sukar bagi orang lain.</v>
      </c>
      <c r="AT133" s="105" t="str">
        <f>IFERROR(__xludf.DUMMYFUNCTION("""COMPUTED_VALUE"""),"A Saya ingin bisa melakukan dengan baik sesuatu pekerjaan sulit.")</f>
        <v>A Saya ingin bisa melakukan dengan baik sesuatu pekerjaan sulit.</v>
      </c>
      <c r="AU133" s="105" t="str">
        <f>IFERROR(__xludf.DUMMYFUNCTION("""COMPUTED_VALUE"""),"A Saya ingin menyelesaikan pekerjaan satu persatu sebelum memulai yang lain.")</f>
        <v>A Saya ingin menyelesaikan pekerjaan satu persatu sebelum memulai yang lain.</v>
      </c>
      <c r="AV133" s="105" t="str">
        <f>IFERROR(__xludf.DUMMYFUNCTION("""COMPUTED_VALUE"""),"B Saya suka menolong teman-teman saya.")</f>
        <v>B Saya suka menolong teman-teman saya.</v>
      </c>
      <c r="AW133" s="105" t="str">
        <f>IFERROR(__xludf.DUMMYFUNCTION("""COMPUTED_VALUE"""),"B Saya ingin teman-teman saya percaya bahwa saya bisa menolong mereka.")</f>
        <v>B Saya ingin teman-teman saya percaya bahwa saya bisa menolong mereka.</v>
      </c>
      <c r="AX133" s="105" t="str">
        <f>IFERROR(__xludf.DUMMYFUNCTION("""COMPUTED_VALUE"""),"B Saya suka memaafkan teman-teman saya yang menyakiti hati saya.")</f>
        <v>B Saya suka memaafkan teman-teman saya yang menyakiti hati saya.</v>
      </c>
      <c r="AY133" s="105" t="str">
        <f>IFERROR(__xludf.DUMMYFUNCTION("""COMPUTED_VALUE"""),"B Saya suka menolong teman-teman saya apabila mereka dalam kesulitan.")</f>
        <v>B Saya suka menolong teman-teman saya apabila mereka dalam kesulitan.</v>
      </c>
      <c r="AZ133" s="105" t="str">
        <f>IFERROR(__xludf.DUMMYFUNCTION("""COMPUTED_VALUE"""),"B Saya suka menunjukkan simpati saya kepada teman-teman saya.")</f>
        <v>B Saya suka menunjukkan simpati saya kepada teman-teman saya.</v>
      </c>
      <c r="BA133" s="105" t="str">
        <f>IFERROR(__xludf.DUMMYFUNCTION("""COMPUTED_VALUE"""),"B Saya suka memperlakukan orang lain dengan baik dan ramah.")</f>
        <v>B Saya suka memperlakukan orang lain dengan baik dan ramah.</v>
      </c>
      <c r="BB133" s="105" t="str">
        <f>IFERROR(__xludf.DUMMYFUNCTION("""COMPUTED_VALUE"""),"A Saya berkeinginan untuk bersama orang yang menarik bagi saya.")</f>
        <v>A Saya berkeinginan untuk bersama orang yang menarik bagi saya.</v>
      </c>
      <c r="BC133" s="105" t="str">
        <f>IFERROR(__xludf.DUMMYFUNCTION("""COMPUTED_VALUE"""),"B Saya suka membantu orang lain yang menurut saya perlu dikasihani.")</f>
        <v>B Saya suka membantu orang lain yang menurut saya perlu dikasihani.</v>
      </c>
      <c r="BD133" s="105" t="str">
        <f>IFERROR(__xludf.DUMMYFUNCTION("""COMPUTED_VALUE"""),"B Saya suka bersikukuh dengan pendirian saya.")</f>
        <v>B Saya suka bersikukuh dengan pendirian saya.</v>
      </c>
      <c r="BE133" s="105" t="str">
        <f>IFERROR(__xludf.DUMMYFUNCTION("""COMPUTED_VALUE"""),"B Saya ingin orang lain melakukan apa yang saya kehendaki.")</f>
        <v>B Saya ingin orang lain melakukan apa yang saya kehendaki.</v>
      </c>
      <c r="BF133" s="105" t="str">
        <f>IFERROR(__xludf.DUMMYFUNCTION("""COMPUTED_VALUE"""),"B Bila saya dalam kelompok, saya ingin menentukan apa yang akan kita lakukan.")</f>
        <v>B Bila saya dalam kelompok, saya ingin menentukan apa yang akan kita lakukan.</v>
      </c>
      <c r="BG133" s="105" t="str">
        <f>IFERROR(__xludf.DUMMYFUNCTION("""COMPUTED_VALUE"""),"B Saya suka mengarahkan kepada orang lain apa yang harus dilakukan.")</f>
        <v>B Saya suka mengarahkan kepada orang lain apa yang harus dilakukan.</v>
      </c>
      <c r="BH133" s="105" t="str">
        <f>IFERROR(__xludf.DUMMYFUNCTION("""COMPUTED_VALUE"""),"B Apabila saya berkumpul dalam kelompok, saya ingin dihargai teman-teman.")</f>
        <v>B Apabila saya berkumpul dalam kelompok, saya ingin dihargai teman-teman.</v>
      </c>
      <c r="BI133" s="105" t="str">
        <f>IFERROR(__xludf.DUMMYFUNCTION("""COMPUTED_VALUE"""),"A Saya suka bermurah hati terhadap teman-teman saya.")</f>
        <v>A Saya suka bermurah hati terhadap teman-teman saya.</v>
      </c>
      <c r="BJ133" s="105" t="str">
        <f>IFERROR(__xludf.DUMMYFUNCTION("""COMPUTED_VALUE"""),"A Saya ingin mengerjakan tugas sampai selesai.")</f>
        <v>A Saya ingin mengerjakan tugas sampai selesai.</v>
      </c>
      <c r="BK133" s="105" t="str">
        <f>IFERROR(__xludf.DUMMYFUNCTION("""COMPUTED_VALUE"""),"B Saya senang untuk diminta menyelesaikan pertentangan-pertentangan.")</f>
        <v>B Saya senang untuk diminta menyelesaikan pertentangan-pertentangan.</v>
      </c>
      <c r="BL133" s="105" t="str">
        <f>IFERROR(__xludf.DUMMYFUNCTION("""COMPUTED_VALUE"""),"B Saya suka bersikukuh dengan pendirian saya.")</f>
        <v>B Saya suka bersikukuh dengan pendirian saya.</v>
      </c>
      <c r="BM133" s="105" t="str">
        <f>IFERROR(__xludf.DUMMYFUNCTION("""COMPUTED_VALUE"""),"A Saya suka melakukan pekerjaan sebaik mungkin.")</f>
        <v>A Saya suka melakukan pekerjaan sebaik mungkin.</v>
      </c>
      <c r="BN133" s="105" t="str">
        <f>IFERROR(__xludf.DUMMYFUNCTION("""COMPUTED_VALUE"""),"B Saya ingin teman-teman memberi dorongan bila saya menghadapi kegagalan.")</f>
        <v>B Saya ingin teman-teman memberi dorongan bila saya menghadapi kegagalan.</v>
      </c>
      <c r="BO133" s="105" t="str">
        <f>IFERROR(__xludf.DUMMYFUNCTION("""COMPUTED_VALUE"""),"A Saya suka membuat perencanaan sebelum memulai belajar yang sulit.")</f>
        <v>A Saya suka membuat perencanaan sebelum memulai belajar yang sulit.</v>
      </c>
      <c r="BP133" s="105" t="str">
        <f>IFERROR(__xludf.DUMMYFUNCTION("""COMPUTED_VALUE"""),"A Saya ingin menyelesaikan sesuatu yang sangat penting artinya.")</f>
        <v>A Saya ingin menyelesaikan sesuatu yang sangat penting artinya.</v>
      </c>
      <c r="BQ133" s="105" t="str">
        <f>IFERROR(__xludf.DUMMYFUNCTION("""COMPUTED_VALUE"""),"B Saya ingin agar teman-teman menceritakan diri saya apabila saya sakit.")</f>
        <v>B Saya ingin agar teman-teman menceritakan diri saya apabila saya sakit.</v>
      </c>
      <c r="BR133" s="105" t="str">
        <f>IFERROR(__xludf.DUMMYFUNCTION("""COMPUTED_VALUE"""),"B Saya ingin agar teman-teman saya bersimpati dan menghibur saya bila saya sedih.")</f>
        <v>B Saya ingin agar teman-teman saya bersimpati dan menghibur saya bila saya sedih.</v>
      </c>
      <c r="BS133" s="105" t="str">
        <f>IFERROR(__xludf.DUMMYFUNCTION("""COMPUTED_VALUE"""),"B Saya ingin teman-teman saya membantu saya bila saya mengalami kesulitan")</f>
        <v>B Saya ingin teman-teman saya membantu saya bila saya mengalami kesulitan</v>
      </c>
      <c r="BT133" s="105" t="str">
        <f>IFERROR(__xludf.DUMMYFUNCTION("""COMPUTED_VALUE"""),"A Saya ingin teman-teman saya merasa kasihan pada saya apabila saya sakit.")</f>
        <v>A Saya ingin teman-teman saya merasa kasihan pada saya apabila saya sakit.</v>
      </c>
      <c r="BU133" s="105" t="str">
        <f>IFERROR(__xludf.DUMMYFUNCTION("""COMPUTED_VALUE"""),"B Saya ingin agar teman-teman saya merasa kasihan pada saya apabila saya sakit.")</f>
        <v>B Saya ingin agar teman-teman saya merasa kasihan pada saya apabila saya sakit.</v>
      </c>
      <c r="BV133" s="105" t="str">
        <f>IFERROR(__xludf.DUMMYFUNCTION("""COMPUTED_VALUE"""),"B Saya ingin teman-teman dengan gembira memberikan pertolongan kepada saya.")</f>
        <v>B Saya ingin teman-teman dengan gembira memberikan pertolongan kepada saya.</v>
      </c>
      <c r="BW133" s="105" t="str">
        <f>IFERROR(__xludf.DUMMYFUNCTION("""COMPUTED_VALUE"""),"B Saya ingin diperlakukan dengan baik oleh teman-teman saya.")</f>
        <v>B Saya ingin diperlakukan dengan baik oleh teman-teman saya.</v>
      </c>
      <c r="BX133" s="105" t="str">
        <f>IFERROR(__xludf.DUMMYFUNCTION("""COMPUTED_VALUE"""),"B Saya kadang-kadang suka melakukan hal-hal yang dapat dipuji oleh orang lain.")</f>
        <v>B Saya kadang-kadang suka melakukan hal-hal yang dapat dipuji oleh orang lain.</v>
      </c>
      <c r="BY133" s="105" t="str">
        <f>IFERROR(__xludf.DUMMYFUNCTION("""COMPUTED_VALUE"""),"B Saya ingin orang lain memperhatikan dan berkomentar tentang penampilan saya.")</f>
        <v>B Saya ingin orang lain memperhatikan dan berkomentar tentang penampilan saya.</v>
      </c>
      <c r="BZ133" s="105" t="str">
        <f>IFERROR(__xludf.DUMMYFUNCTION("""COMPUTED_VALUE"""),"B Saya suka diperhatikan, apabila saya ada di dalam suatu kelompok.")</f>
        <v>B Saya suka diperhatikan, apabila saya ada di dalam suatu kelompok.</v>
      </c>
      <c r="CA133" s="105" t="str">
        <f>IFERROR(__xludf.DUMMYFUNCTION("""COMPUTED_VALUE"""),"B Saya suka mengajukan pertanyaan agar orang lain memperhatikan saya.")</f>
        <v>B Saya suka mengajukan pertanyaan agar orang lain memperhatikan saya.</v>
      </c>
      <c r="CB133" s="105" t="str">
        <f>IFERROR(__xludf.DUMMYFUNCTION("""COMPUTED_VALUE"""),"B Saya suka berbicara tentang hal-hal yang telah saya capai.")</f>
        <v>B Saya suka berbicara tentang hal-hal yang telah saya capai.</v>
      </c>
      <c r="CC133" s="105" t="str">
        <f>IFERROR(__xludf.DUMMYFUNCTION("""COMPUTED_VALUE"""),"B Saya suka menceritakan hal-hal lucu agar diperhatikan oleh orang lain.")</f>
        <v>B Saya suka menceritakan hal-hal lucu agar diperhatikan oleh orang lain.</v>
      </c>
      <c r="CD133" s="105" t="str">
        <f>IFERROR(__xludf.DUMMYFUNCTION("""COMPUTED_VALUE"""),"A Saya suka menyelesaikan setiap tugas meskipun membutuhkan waktu lama.")</f>
        <v>A Saya suka menyelesaikan setiap tugas meskipun membutuhkan waktu lama.</v>
      </c>
      <c r="CE133" s="105" t="str">
        <f>IFERROR(__xludf.DUMMYFUNCTION("""COMPUTED_VALUE"""),"A Saya suka menyelesaikan setiap tugas belajar yang telah saya mulai.")</f>
        <v>A Saya suka menyelesaikan setiap tugas belajar yang telah saya mulai.</v>
      </c>
      <c r="CF133" s="105" t="str">
        <f>IFERROR(__xludf.DUMMYFUNCTION("""COMPUTED_VALUE"""),"A Saya ingin agar hidup saya teratur sesuai cita-cita saya.")</f>
        <v>A Saya ingin agar hidup saya teratur sesuai cita-cita saya.</v>
      </c>
      <c r="CG133" s="105" t="str">
        <f>IFERROR(__xludf.DUMMYFUNCTION("""COMPUTED_VALUE"""),"A Saya ingin berhasil dalam apa yang saya lakukan.")</f>
        <v>A Saya ingin berhasil dalam apa yang saya lakukan.</v>
      </c>
      <c r="CH133" s="105" t="str">
        <f>IFERROR(__xludf.DUMMYFUNCTION("""COMPUTED_VALUE"""),"A Saya ingin bisa melakukan dengan baik sesuatu pekerjaan sulit.")</f>
        <v>A Saya ingin bisa melakukan dengan baik sesuatu pekerjaan sulit.</v>
      </c>
      <c r="CI133" s="105" t="str">
        <f>IFERROR(__xludf.DUMMYFUNCTION("""COMPUTED_VALUE"""),"A Saya suka belajar saya teratur dan ada waktu-waktu tertentu untuk belajar.")</f>
        <v>A Saya suka belajar saya teratur dan ada waktu-waktu tertentu untuk belajar.</v>
      </c>
      <c r="CJ133" s="105" t="str">
        <f>IFERROR(__xludf.DUMMYFUNCTION("""COMPUTED_VALUE"""),"A Saya ingin tidak tergantung dari orang lain terhadap apa yang akan saya lakukan.")</f>
        <v>A Saya ingin tidak tergantung dari orang lain terhadap apa yang akan saya lakukan.</v>
      </c>
      <c r="CK133" s="105" t="str">
        <f>IFERROR(__xludf.DUMMYFUNCTION("""COMPUTED_VALUE"""),"B Saya senang ikut beraktivitas bersama teman sebaya saya.")</f>
        <v>B Saya senang ikut beraktivitas bersama teman sebaya saya.</v>
      </c>
      <c r="CL133" s="105" t="str">
        <f>IFERROR(__xludf.DUMMYFUNCTION("""COMPUTED_VALUE"""),"A Saya suka menolong teman-teman saya, apabila mereka dalam kesulitan.")</f>
        <v>A Saya suka menolong teman-teman saya, apabila mereka dalam kesulitan.</v>
      </c>
      <c r="CM133" s="105" t="str">
        <f>IFERROR(__xludf.DUMMYFUNCTION("""COMPUTED_VALUE"""),"B Saya merasa kagum pada seseorang.")</f>
        <v>B Saya merasa kagum pada seseorang.</v>
      </c>
      <c r="CN133" s="105" t="str">
        <f>IFERROR(__xludf.DUMMYFUNCTION("""COMPUTED_VALUE"""),"A Saya ingin diperlakukan dengan baik oleh teman-teman saya.")</f>
        <v>A Saya ingin diperlakukan dengan baik oleh teman-teman saya.</v>
      </c>
      <c r="CO133" s="105" t="str">
        <f>IFERROR(__xludf.DUMMYFUNCTION("""COMPUTED_VALUE"""),"B Saya suka memuji orang yang saya kagumi.")</f>
        <v>B Saya suka memuji orang yang saya kagumi.</v>
      </c>
      <c r="CP133" s="105" t="str">
        <f>IFERROR(__xludf.DUMMYFUNCTION("""COMPUTED_VALUE"""),"A Saya suka melamun atau membayangkan sesuatu sendirian.")</f>
        <v>A Saya suka melamun atau membayangkan sesuatu sendirian.</v>
      </c>
      <c r="CQ133" s="105" t="str">
        <f>IFERROR(__xludf.DUMMYFUNCTION("""COMPUTED_VALUE"""),"A Saya ingin menggertak orang bila saya berbeda pendapat dengan mereka.")</f>
        <v>A Saya ingin menggertak orang bila saya berbeda pendapat dengan mereka.</v>
      </c>
      <c r="CR133" s="105" t="str">
        <f>IFERROR(__xludf.DUMMYFUNCTION("""COMPUTED_VALUE"""),"B Saya rasanya ingin mengecam seseorang bila orang itu menjengkelkan.")</f>
        <v>B Saya rasanya ingin mengecam seseorang bila orang itu menjengkelkan.</v>
      </c>
      <c r="CS133" s="105" t="str">
        <f>IFERROR(__xludf.DUMMYFUNCTION("""COMPUTED_VALUE"""),"A Saya ingin terlihat menarik di depan teman-teman saya.")</f>
        <v>A Saya ingin terlihat menarik di depan teman-teman saya.</v>
      </c>
      <c r="CT133" s="105" t="str">
        <f>IFERROR(__xludf.DUMMYFUNCTION("""COMPUTED_VALUE"""),"A Saya ingin orang-orang memperhatikan komentar mengenai penampilan saya.")</f>
        <v>A Saya ingin orang-orang memperhatikan komentar mengenai penampilan saya.</v>
      </c>
      <c r="CU133" s="105" t="str">
        <f>IFERROR(__xludf.DUMMYFUNCTION("""COMPUTED_VALUE"""),"B Saya ingin menyalahkan orang lain bila keadaan tidak baik bagi saya.")</f>
        <v>B Saya ingin menyalahkan orang lain bila keadaan tidak baik bagi saya.</v>
      </c>
      <c r="CV133" s="105" t="str">
        <f>IFERROR(__xludf.DUMMYFUNCTION("""COMPUTED_VALUE"""),"A Saya ingin ditunjuk atau dipilih sebagai ketua dalam suatu kelompok.")</f>
        <v>A Saya ingin ditunjuk atau dipilih sebagai ketua dalam suatu kelompok.</v>
      </c>
      <c r="CW133" s="105" t="str">
        <f>IFERROR(__xludf.DUMMYFUNCTION("""COMPUTED_VALUE"""),"A Saya suka menolong teman-teman saya, apabila mereka dalam kesulitan.")</f>
        <v>A Saya suka menolong teman-teman saya, apabila mereka dalam kesulitan.</v>
      </c>
      <c r="CX133" s="105" t="str">
        <f>IFERROR(__xludf.DUMMYFUNCTION("""COMPUTED_VALUE"""),"A Saya suka belajar sampai malam untuk menyelesaikan suatu tugas.")</f>
        <v>A Saya suka belajar sampai malam untuk menyelesaikan suatu tugas.</v>
      </c>
      <c r="CY133" s="105" t="str">
        <f>IFERROR(__xludf.DUMMYFUNCTION("""COMPUTED_VALUE"""),"A Saya ingin tidak tergantung dari orang lain terhadap apa yang akan saya lakukan.")</f>
        <v>A Saya ingin tidak tergantung dari orang lain terhadap apa yang akan saya lakukan.</v>
      </c>
      <c r="CZ133" s="105" t="str">
        <f>IFERROR(__xludf.DUMMYFUNCTION("""COMPUTED_VALUE"""),"A Saya suka merencanakan dan mengatur setiap pekerjaan yang harus saya lakukan.")</f>
        <v>A Saya suka merencanakan dan mengatur setiap pekerjaan yang harus saya lakukan.</v>
      </c>
      <c r="DA133" s="105" t="str">
        <f>IFERROR(__xludf.DUMMYFUNCTION("""COMPUTED_VALUE"""),"A Saya ingin melakukan apa saja sebaik mungkin.")</f>
        <v>A Saya ingin melakukan apa saja sebaik mungkin.</v>
      </c>
      <c r="DB133" s="89" t="s">
        <v>23</v>
      </c>
      <c r="DC133" s="97" t="str">
        <f t="shared" ref="DC133:GX133" si="178">LEFT(F133,1)</f>
        <v>B</v>
      </c>
      <c r="DD133" s="97" t="str">
        <f t="shared" si="178"/>
        <v>A</v>
      </c>
      <c r="DE133" s="97" t="str">
        <f t="shared" si="178"/>
        <v>B</v>
      </c>
      <c r="DF133" s="97" t="str">
        <f t="shared" si="178"/>
        <v>B</v>
      </c>
      <c r="DG133" s="97" t="str">
        <f t="shared" si="178"/>
        <v>B</v>
      </c>
      <c r="DH133" s="97" t="str">
        <f t="shared" si="178"/>
        <v>A</v>
      </c>
      <c r="DI133" s="97" t="str">
        <f t="shared" si="178"/>
        <v>B</v>
      </c>
      <c r="DJ133" s="97" t="str">
        <f t="shared" si="178"/>
        <v>B</v>
      </c>
      <c r="DK133" s="97" t="str">
        <f t="shared" si="178"/>
        <v>B</v>
      </c>
      <c r="DL133" s="97" t="str">
        <f t="shared" si="178"/>
        <v>B</v>
      </c>
      <c r="DM133" s="97" t="str">
        <f t="shared" si="178"/>
        <v>B</v>
      </c>
      <c r="DN133" s="97" t="str">
        <f t="shared" si="178"/>
        <v>B</v>
      </c>
      <c r="DO133" s="97" t="str">
        <f t="shared" si="178"/>
        <v>B</v>
      </c>
      <c r="DP133" s="97" t="str">
        <f t="shared" si="178"/>
        <v>A</v>
      </c>
      <c r="DQ133" s="97" t="str">
        <f t="shared" si="178"/>
        <v>B</v>
      </c>
      <c r="DR133" s="97" t="str">
        <f t="shared" si="178"/>
        <v>B</v>
      </c>
      <c r="DS133" s="97" t="str">
        <f t="shared" si="178"/>
        <v>A</v>
      </c>
      <c r="DT133" s="97" t="str">
        <f t="shared" si="178"/>
        <v>B</v>
      </c>
      <c r="DU133" s="97" t="str">
        <f t="shared" si="178"/>
        <v>B</v>
      </c>
      <c r="DV133" s="97" t="str">
        <f t="shared" si="178"/>
        <v>B</v>
      </c>
      <c r="DW133" s="97" t="str">
        <f t="shared" si="178"/>
        <v>A</v>
      </c>
      <c r="DX133" s="97" t="str">
        <f t="shared" si="178"/>
        <v>B</v>
      </c>
      <c r="DY133" s="97" t="str">
        <f t="shared" si="178"/>
        <v>B</v>
      </c>
      <c r="DZ133" s="97" t="str">
        <f t="shared" si="178"/>
        <v>A</v>
      </c>
      <c r="EA133" s="97" t="str">
        <f t="shared" si="178"/>
        <v>B</v>
      </c>
      <c r="EB133" s="97" t="str">
        <f t="shared" si="178"/>
        <v>A</v>
      </c>
      <c r="EC133" s="97" t="str">
        <f t="shared" si="178"/>
        <v>A</v>
      </c>
      <c r="ED133" s="97" t="str">
        <f t="shared" si="178"/>
        <v>A</v>
      </c>
      <c r="EE133" s="97" t="str">
        <f t="shared" si="178"/>
        <v>B</v>
      </c>
      <c r="EF133" s="97" t="str">
        <f t="shared" si="178"/>
        <v>B</v>
      </c>
      <c r="EG133" s="97" t="str">
        <f t="shared" si="178"/>
        <v>A</v>
      </c>
      <c r="EH133" s="97" t="str">
        <f t="shared" si="178"/>
        <v>B</v>
      </c>
      <c r="EI133" s="97" t="str">
        <f t="shared" si="178"/>
        <v>B</v>
      </c>
      <c r="EJ133" s="97" t="str">
        <f t="shared" si="178"/>
        <v>A</v>
      </c>
      <c r="EK133" s="97" t="str">
        <f t="shared" si="178"/>
        <v>B</v>
      </c>
      <c r="EL133" s="97" t="str">
        <f t="shared" si="178"/>
        <v>A</v>
      </c>
      <c r="EM133" s="97" t="str">
        <f t="shared" si="178"/>
        <v>A</v>
      </c>
      <c r="EN133" s="97" t="str">
        <f t="shared" si="178"/>
        <v>A</v>
      </c>
      <c r="EO133" s="97" t="str">
        <f t="shared" si="178"/>
        <v>B</v>
      </c>
      <c r="EP133" s="97" t="str">
        <f t="shared" si="178"/>
        <v>A</v>
      </c>
      <c r="EQ133" s="97" t="str">
        <f t="shared" si="178"/>
        <v>A</v>
      </c>
      <c r="ER133" s="97" t="str">
        <f t="shared" si="178"/>
        <v>A</v>
      </c>
      <c r="ES133" s="97" t="str">
        <f t="shared" si="178"/>
        <v>B</v>
      </c>
      <c r="ET133" s="97" t="str">
        <f t="shared" si="178"/>
        <v>B</v>
      </c>
      <c r="EU133" s="97" t="str">
        <f t="shared" si="178"/>
        <v>B</v>
      </c>
      <c r="EV133" s="97" t="str">
        <f t="shared" si="178"/>
        <v>B</v>
      </c>
      <c r="EW133" s="97" t="str">
        <f t="shared" si="178"/>
        <v>B</v>
      </c>
      <c r="EX133" s="97" t="str">
        <f t="shared" si="178"/>
        <v>B</v>
      </c>
      <c r="EY133" s="97" t="str">
        <f t="shared" si="178"/>
        <v>A</v>
      </c>
      <c r="EZ133" s="97" t="str">
        <f t="shared" si="178"/>
        <v>B</v>
      </c>
      <c r="FA133" s="97" t="str">
        <f t="shared" si="178"/>
        <v>B</v>
      </c>
      <c r="FB133" s="97" t="str">
        <f t="shared" si="178"/>
        <v>B</v>
      </c>
      <c r="FC133" s="97" t="str">
        <f t="shared" si="178"/>
        <v>B</v>
      </c>
      <c r="FD133" s="97" t="str">
        <f t="shared" si="178"/>
        <v>B</v>
      </c>
      <c r="FE133" s="97" t="str">
        <f t="shared" si="178"/>
        <v>B</v>
      </c>
      <c r="FF133" s="97" t="str">
        <f t="shared" si="178"/>
        <v>A</v>
      </c>
      <c r="FG133" s="97" t="str">
        <f t="shared" si="178"/>
        <v>A</v>
      </c>
      <c r="FH133" s="97" t="str">
        <f t="shared" si="178"/>
        <v>B</v>
      </c>
      <c r="FI133" s="97" t="str">
        <f t="shared" si="178"/>
        <v>B</v>
      </c>
      <c r="FJ133" s="97" t="str">
        <f t="shared" si="178"/>
        <v>A</v>
      </c>
      <c r="FK133" s="97" t="str">
        <f t="shared" si="178"/>
        <v>B</v>
      </c>
      <c r="FL133" s="97" t="str">
        <f t="shared" si="178"/>
        <v>A</v>
      </c>
      <c r="FM133" s="97" t="str">
        <f t="shared" si="178"/>
        <v>A</v>
      </c>
      <c r="FN133" s="97" t="str">
        <f t="shared" si="178"/>
        <v>B</v>
      </c>
      <c r="FO133" s="97" t="str">
        <f t="shared" si="178"/>
        <v>B</v>
      </c>
      <c r="FP133" s="97" t="str">
        <f t="shared" si="178"/>
        <v>B</v>
      </c>
      <c r="FQ133" s="97" t="str">
        <f t="shared" si="178"/>
        <v>A</v>
      </c>
      <c r="FR133" s="97" t="str">
        <f t="shared" si="178"/>
        <v>B</v>
      </c>
      <c r="FS133" s="97" t="str">
        <f t="shared" si="178"/>
        <v>B</v>
      </c>
      <c r="FT133" s="97" t="str">
        <f t="shared" si="178"/>
        <v>B</v>
      </c>
      <c r="FU133" s="97" t="str">
        <f t="shared" si="178"/>
        <v>B</v>
      </c>
      <c r="FV133" s="97" t="str">
        <f t="shared" si="178"/>
        <v>B</v>
      </c>
      <c r="FW133" s="97" t="str">
        <f t="shared" si="178"/>
        <v>B</v>
      </c>
      <c r="FX133" s="97" t="str">
        <f t="shared" si="178"/>
        <v>B</v>
      </c>
      <c r="FY133" s="97" t="str">
        <f t="shared" si="178"/>
        <v>B</v>
      </c>
      <c r="FZ133" s="97" t="str">
        <f t="shared" si="178"/>
        <v>B</v>
      </c>
      <c r="GA133" s="97" t="str">
        <f t="shared" si="178"/>
        <v>A</v>
      </c>
      <c r="GB133" s="97" t="str">
        <f t="shared" si="178"/>
        <v>A</v>
      </c>
      <c r="GC133" s="97" t="str">
        <f t="shared" si="178"/>
        <v>A</v>
      </c>
      <c r="GD133" s="97" t="str">
        <f t="shared" si="178"/>
        <v>A</v>
      </c>
      <c r="GE133" s="97" t="str">
        <f t="shared" si="178"/>
        <v>A</v>
      </c>
      <c r="GF133" s="97" t="str">
        <f t="shared" si="178"/>
        <v>A</v>
      </c>
      <c r="GG133" s="97" t="str">
        <f t="shared" si="178"/>
        <v>A</v>
      </c>
      <c r="GH133" s="97" t="str">
        <f t="shared" si="178"/>
        <v>B</v>
      </c>
      <c r="GI133" s="97" t="str">
        <f t="shared" si="178"/>
        <v>A</v>
      </c>
      <c r="GJ133" s="97" t="str">
        <f t="shared" si="178"/>
        <v>B</v>
      </c>
      <c r="GK133" s="97" t="str">
        <f t="shared" si="178"/>
        <v>A</v>
      </c>
      <c r="GL133" s="97" t="str">
        <f t="shared" si="178"/>
        <v>B</v>
      </c>
      <c r="GM133" s="97" t="str">
        <f t="shared" si="178"/>
        <v>A</v>
      </c>
      <c r="GN133" s="97" t="str">
        <f t="shared" si="178"/>
        <v>A</v>
      </c>
      <c r="GO133" s="97" t="str">
        <f t="shared" si="178"/>
        <v>B</v>
      </c>
      <c r="GP133" s="97" t="str">
        <f t="shared" si="178"/>
        <v>A</v>
      </c>
      <c r="GQ133" s="97" t="str">
        <f t="shared" si="178"/>
        <v>A</v>
      </c>
      <c r="GR133" s="97" t="str">
        <f t="shared" si="178"/>
        <v>B</v>
      </c>
      <c r="GS133" s="97" t="str">
        <f t="shared" si="178"/>
        <v>A</v>
      </c>
      <c r="GT133" s="97" t="str">
        <f t="shared" si="178"/>
        <v>A</v>
      </c>
      <c r="GU133" s="97" t="str">
        <f t="shared" si="178"/>
        <v>A</v>
      </c>
      <c r="GV133" s="97" t="str">
        <f t="shared" si="178"/>
        <v>A</v>
      </c>
      <c r="GW133" s="97" t="str">
        <f t="shared" si="178"/>
        <v>A</v>
      </c>
      <c r="GX133" s="97" t="str">
        <f t="shared" si="178"/>
        <v>A</v>
      </c>
      <c r="GY133" s="98"/>
      <c r="GZ133" s="97">
        <f t="shared" si="3"/>
        <v>43</v>
      </c>
      <c r="HA133" s="97">
        <f t="shared" si="4"/>
        <v>57</v>
      </c>
      <c r="HB133" s="90">
        <f t="shared" si="5"/>
        <v>100</v>
      </c>
      <c r="HC133" s="99"/>
      <c r="HD133" s="97">
        <f t="shared" si="6"/>
        <v>7</v>
      </c>
      <c r="HE133" s="97">
        <f t="shared" si="7"/>
        <v>7</v>
      </c>
      <c r="HF133" s="90">
        <f t="shared" si="8"/>
        <v>14</v>
      </c>
      <c r="HG133" s="99"/>
      <c r="HH133" s="97">
        <f t="shared" si="9"/>
        <v>6</v>
      </c>
      <c r="HI133" s="97">
        <f t="shared" si="10"/>
        <v>8</v>
      </c>
      <c r="HJ133" s="90">
        <f t="shared" si="11"/>
        <v>14</v>
      </c>
      <c r="HK133" s="99"/>
      <c r="HL133" s="97">
        <f t="shared" si="12"/>
        <v>5</v>
      </c>
      <c r="HM133" s="97">
        <f t="shared" si="13"/>
        <v>5</v>
      </c>
      <c r="HN133" s="90">
        <f t="shared" si="14"/>
        <v>10</v>
      </c>
      <c r="HO133" s="99"/>
      <c r="HP133" s="97">
        <f t="shared" si="15"/>
        <v>5</v>
      </c>
      <c r="HQ133" s="97">
        <f t="shared" si="16"/>
        <v>4</v>
      </c>
      <c r="HR133" s="90">
        <f t="shared" si="17"/>
        <v>9</v>
      </c>
      <c r="HS133" s="99"/>
      <c r="HT133" s="97">
        <f t="shared" si="18"/>
        <v>4</v>
      </c>
      <c r="HU133" s="97">
        <f t="shared" si="19"/>
        <v>7</v>
      </c>
      <c r="HV133" s="90">
        <f t="shared" si="20"/>
        <v>11</v>
      </c>
      <c r="HW133" s="99"/>
      <c r="HX133" s="97">
        <f t="shared" si="21"/>
        <v>3</v>
      </c>
      <c r="HY133" s="97">
        <f t="shared" si="22"/>
        <v>7</v>
      </c>
      <c r="HZ133" s="90">
        <f t="shared" si="23"/>
        <v>10</v>
      </c>
      <c r="IA133" s="99"/>
      <c r="IB133" s="97">
        <f t="shared" si="24"/>
        <v>4</v>
      </c>
      <c r="IC133" s="97">
        <f t="shared" si="25"/>
        <v>7</v>
      </c>
      <c r="ID133" s="90">
        <f t="shared" si="26"/>
        <v>11</v>
      </c>
      <c r="IE133" s="99"/>
      <c r="IF133" s="97">
        <f t="shared" si="27"/>
        <v>2</v>
      </c>
      <c r="IG133" s="97">
        <f t="shared" si="28"/>
        <v>6</v>
      </c>
      <c r="IH133" s="90">
        <f t="shared" si="29"/>
        <v>8</v>
      </c>
      <c r="II133" s="99"/>
      <c r="IJ133" s="97">
        <f t="shared" si="30"/>
        <v>2</v>
      </c>
      <c r="IK133" s="97">
        <f t="shared" si="31"/>
        <v>3</v>
      </c>
      <c r="IL133" s="90">
        <f t="shared" si="32"/>
        <v>5</v>
      </c>
      <c r="IM133" s="99"/>
      <c r="IN133" s="97">
        <f t="shared" si="33"/>
        <v>2</v>
      </c>
      <c r="IO133" s="97">
        <f t="shared" si="34"/>
        <v>2</v>
      </c>
      <c r="IP133" s="90">
        <f t="shared" si="35"/>
        <v>4</v>
      </c>
      <c r="IS133" s="100">
        <f t="shared" si="36"/>
        <v>14</v>
      </c>
      <c r="IT133" s="100">
        <f t="shared" si="37"/>
        <v>14</v>
      </c>
      <c r="IU133" s="100">
        <f t="shared" si="38"/>
        <v>10</v>
      </c>
      <c r="IV133" s="100">
        <f t="shared" si="39"/>
        <v>9</v>
      </c>
      <c r="IW133" s="100">
        <f t="shared" si="40"/>
        <v>11</v>
      </c>
      <c r="IX133" s="100">
        <f t="shared" si="41"/>
        <v>10</v>
      </c>
      <c r="IY133" s="100">
        <f t="shared" si="42"/>
        <v>11</v>
      </c>
      <c r="IZ133" s="100">
        <f t="shared" si="43"/>
        <v>8</v>
      </c>
      <c r="JA133" s="100">
        <f t="shared" si="44"/>
        <v>5</v>
      </c>
      <c r="JB133" s="101">
        <f t="shared" si="45"/>
        <v>4</v>
      </c>
      <c r="JC133" s="102">
        <f t="shared" si="46"/>
        <v>96</v>
      </c>
      <c r="JD133" s="67">
        <f t="shared" si="50"/>
        <v>0</v>
      </c>
      <c r="JE133" s="67">
        <f t="shared" si="47"/>
        <v>2</v>
      </c>
      <c r="JF133" s="67">
        <f t="shared" si="48"/>
        <v>2</v>
      </c>
    </row>
    <row r="134">
      <c r="A134" s="104">
        <f>IFERROR(__xludf.DUMMYFUNCTION("""COMPUTED_VALUE"""),45971.62928753472)</f>
        <v>45971.62929</v>
      </c>
      <c r="B134" s="105" t="str">
        <f>IFERROR(__xludf.DUMMYFUNCTION("""COMPUTED_VALUE"""),"Najla ulfa")</f>
        <v>Najla ulfa</v>
      </c>
      <c r="C134" s="7" t="str">
        <f>IFERROR(__xludf.DUMMYFUNCTION("""COMPUTED_VALUE"""),"E250009")</f>
        <v>E250009</v>
      </c>
      <c r="D134" s="7" t="str">
        <f>IFERROR(__xludf.DUMMYFUNCTION("""COMPUTED_VALUE"""),"IL Putri")</f>
        <v>IL Putri</v>
      </c>
      <c r="E134" s="7" t="str">
        <f>IFERROR(__xludf.DUMMYFUNCTION("""COMPUTED_VALUE"""),"Ya")</f>
        <v>Ya</v>
      </c>
      <c r="F134" s="105" t="str">
        <f>IFERROR(__xludf.DUMMYFUNCTION("""COMPUTED_VALUE"""),"B Saya ingin melakukan apa saja sebaik mungkin.")</f>
        <v>B Saya ingin melakukan apa saja sebaik mungkin.</v>
      </c>
      <c r="G134" s="105" t="str">
        <f>IFERROR(__xludf.DUMMYFUNCTION("""COMPUTED_VALUE"""),"A Saya ingin setiap tulisan saya teliti, rapi, dan tersusun dengan baik.")</f>
        <v>A Saya ingin setiap tulisan saya teliti, rapi, dan tersusun dengan baik.</v>
      </c>
      <c r="H134" s="105" t="str">
        <f>IFERROR(__xludf.DUMMYFUNCTION("""COMPUTED_VALUE"""),"B Saya ingin menjadi orang yang diakui dalam suatu pekerjaan atau bidang khusus.")</f>
        <v>B Saya ingin menjadi orang yang diakui dalam suatu pekerjaan atau bidang khusus.</v>
      </c>
      <c r="I134" s="105" t="str">
        <f>IFERROR(__xludf.DUMMYFUNCTION("""COMPUTED_VALUE"""),"A Saya suka belajar keras pada tiap pelajaran yang saya hadapi.")</f>
        <v>A Saya suka belajar keras pada tiap pelajaran yang saya hadapi.</v>
      </c>
      <c r="J134" s="105" t="str">
        <f>IFERROR(__xludf.DUMMYFUNCTION("""COMPUTED_VALUE"""),"A Saya suka membantu teman-teman saya apabila mereka mengalami kesulitan.")</f>
        <v>A Saya suka membantu teman-teman saya apabila mereka mengalami kesulitan.</v>
      </c>
      <c r="K134" s="105" t="str">
        <f>IFERROR(__xludf.DUMMYFUNCTION("""COMPUTED_VALUE"""),"B Saya ingin mengatakan telah melakukan dengan baik sesuatu tugas yang sulit.")</f>
        <v>B Saya ingin mengatakan telah melakukan dengan baik sesuatu tugas yang sulit.</v>
      </c>
      <c r="L134" s="105" t="str">
        <f>IFERROR(__xludf.DUMMYFUNCTION("""COMPUTED_VALUE"""),"B Saya ingin mengatakan telah melakukan dengan baik sesuatu tugas yang sulit")</f>
        <v>B Saya ingin mengatakan telah melakukan dengan baik sesuatu tugas yang sulit</v>
      </c>
      <c r="M134" s="105" t="str">
        <f>IFERROR(__xludf.DUMMYFUNCTION("""COMPUTED_VALUE"""),"A Saya suka berbicara tentang hal-hal yang telah berhasil saya lakukan.")</f>
        <v>A Saya suka berbicara tentang hal-hal yang telah berhasil saya lakukan.</v>
      </c>
      <c r="N134" s="105" t="str">
        <f>IFERROR(__xludf.DUMMYFUNCTION("""COMPUTED_VALUE"""),"A Saya suka pergi dengan pakaian rapi agar lebih menarik perhatian orang lain.")</f>
        <v>A Saya suka pergi dengan pakaian rapi agar lebih menarik perhatian orang lain.</v>
      </c>
      <c r="O134" s="105" t="str">
        <f>IFERROR(__xludf.DUMMYFUNCTION("""COMPUTED_VALUE"""),"A Saya marah saat ada teman memperolok-olok hal-hal yang saya anggap bodoh.")</f>
        <v>A Saya marah saat ada teman memperolok-olok hal-hal yang saya anggap bodoh.</v>
      </c>
      <c r="P134" s="105" t="str">
        <f>IFERROR(__xludf.DUMMYFUNCTION("""COMPUTED_VALUE"""),"B Saya ingin setiap belajar itu teratur dan direncanakan.")</f>
        <v>B Saya ingin setiap belajar itu teratur dan direncanakan.</v>
      </c>
      <c r="Q134" s="105" t="str">
        <f>IFERROR(__xludf.DUMMYFUNCTION("""COMPUTED_VALUE"""),"B Saya merencanakan keperluan yang dibutuhkan sebelum bepergian.")</f>
        <v>B Saya merencanakan keperluan yang dibutuhkan sebelum bepergian.</v>
      </c>
      <c r="R134" s="105" t="str">
        <f>IFERROR(__xludf.DUMMYFUNCTION("""COMPUTED_VALUE"""),"B Saya suka barang-barang saya tersusun rapi dan teratur.")</f>
        <v>B Saya suka barang-barang saya tersusun rapi dan teratur.</v>
      </c>
      <c r="S134" s="105" t="str">
        <f>IFERROR(__xludf.DUMMYFUNCTION("""COMPUTED_VALUE"""),"B Saya suka membuat perencanaan sebelum memulai tugas yang sulit.")</f>
        <v>B Saya suka membuat perencanaan sebelum memulai tugas yang sulit.</v>
      </c>
      <c r="T134" s="105" t="str">
        <f>IFERROR(__xludf.DUMMYFUNCTION("""COMPUTED_VALUE"""),"B Saya ingin agar hidup saya teratur sesuai cita-cita saya.")</f>
        <v>B Saya ingin agar hidup saya teratur sesuai cita-cita saya.</v>
      </c>
      <c r="U134" s="105" t="str">
        <f>IFERROR(__xludf.DUMMYFUNCTION("""COMPUTED_VALUE"""),"B Saya suka menyimpan catatan secara rapi.")</f>
        <v>B Saya suka menyimpan catatan secara rapi.</v>
      </c>
      <c r="V134" s="105" t="str">
        <f>IFERROR(__xludf.DUMMYFUNCTION("""COMPUTED_VALUE"""),"B Saya suka belajar saya teratur dan ada waktu-waktu tertentu untuk belajar.")</f>
        <v>B Saya suka belajar saya teratur dan ada waktu-waktu tertentu untuk belajar.</v>
      </c>
      <c r="W134" s="105" t="str">
        <f>IFERROR(__xludf.DUMMYFUNCTION("""COMPUTED_VALUE"""),"A Saya suka melakukan kegiatan sesuai kondisi yang saya inginkan.")</f>
        <v>A Saya suka melakukan kegiatan sesuai kondisi yang saya inginkan.</v>
      </c>
      <c r="X134" s="105" t="str">
        <f>IFERROR(__xludf.DUMMYFUNCTION("""COMPUTED_VALUE"""),"B Saya ingin agar hidup saya teratur sesuai cita-cita saya.")</f>
        <v>B Saya ingin agar hidup saya teratur sesuai cita-cita saya.</v>
      </c>
      <c r="Y134" s="105" t="str">
        <f>IFERROR(__xludf.DUMMYFUNCTION("""COMPUTED_VALUE"""),"B Saya senang merencanakan untuk masa depan.")</f>
        <v>B Saya senang merencanakan untuk masa depan.</v>
      </c>
      <c r="Z134" s="105" t="str">
        <f>IFERROR(__xludf.DUMMYFUNCTION("""COMPUTED_VALUE"""),"A Saya ingin berhasil dengan belajar yang saya lakukan.")</f>
        <v>A Saya ingin berhasil dengan belajar yang saya lakukan.</v>
      </c>
      <c r="AA134" s="105" t="str">
        <f>IFERROR(__xludf.DUMMYFUNCTION("""COMPUTED_VALUE"""),"B Saya tidak suka pada orang yang berbuat seenaknya sendiri.")</f>
        <v>B Saya tidak suka pada orang yang berbuat seenaknya sendiri.</v>
      </c>
      <c r="AB134" s="105" t="str">
        <f>IFERROR(__xludf.DUMMYFUNCTION("""COMPUTED_VALUE"""),"B Saya ingin menyelesaikan pekerjaan satu persatu sebelum memulai yang lain.")</f>
        <v>B Saya ingin menyelesaikan pekerjaan satu persatu sebelum memulai yang lain.</v>
      </c>
      <c r="AC134" s="105" t="str">
        <f>IFERROR(__xludf.DUMMYFUNCTION("""COMPUTED_VALUE"""),"B Saya suka melakukan kegiatan sesuai kondisi yang saya inginkan.")</f>
        <v>B Saya suka melakukan kegiatan sesuai kondisi yang saya inginkan.</v>
      </c>
      <c r="AD134" s="105" t="str">
        <f>IFERROR(__xludf.DUMMYFUNCTION("""COMPUTED_VALUE"""),"A Saya suka bermurah hati terhadap teman-teman saya.")</f>
        <v>A Saya suka bermurah hati terhadap teman-teman saya.</v>
      </c>
      <c r="AE134" s="105" t="str">
        <f>IFERROR(__xludf.DUMMYFUNCTION("""COMPUTED_VALUE"""),"B Saya suka melakukan hal-hal yang dianggap orang lain tidak sesuai.")</f>
        <v>B Saya suka melakukan hal-hal yang dianggap orang lain tidak sesuai.</v>
      </c>
      <c r="AF134" s="105" t="str">
        <f>IFERROR(__xludf.DUMMYFUNCTION("""COMPUTED_VALUE"""),"B Saya suka melakukan hal-hal dengan cara saya sendiri.")</f>
        <v>B Saya suka melakukan hal-hal dengan cara saya sendiri.</v>
      </c>
      <c r="AG134" s="105" t="str">
        <f>IFERROR(__xludf.DUMMYFUNCTION("""COMPUTED_VALUE"""),"B Saya ingin berhasil dengan tugas yang saya lakukan.")</f>
        <v>B Saya ingin berhasil dengan tugas yang saya lakukan.</v>
      </c>
      <c r="AH134" s="105" t="str">
        <f>IFERROR(__xludf.DUMMYFUNCTION("""COMPUTED_VALUE"""),"A Saya suka membaca buku-buku tentang pergaulan remaja.")</f>
        <v>A Saya suka membaca buku-buku tentang pergaulan remaja.</v>
      </c>
      <c r="AI134" s="105" t="str">
        <f>IFERROR(__xludf.DUMMYFUNCTION("""COMPUTED_VALUE"""),"B Saya suka melakukan kegiatan sesuai kondisi yang saya inginkan.")</f>
        <v>B Saya suka melakukan kegiatan sesuai kondisi yang saya inginkan.</v>
      </c>
      <c r="AJ134" s="105" t="str">
        <f>IFERROR(__xludf.DUMMYFUNCTION("""COMPUTED_VALUE"""),"B Saya suka bertahan menghadapi satu masalah meskipun belum tentu berhasil.")</f>
        <v>B Saya suka bertahan menghadapi satu masalah meskipun belum tentu berhasil.</v>
      </c>
      <c r="AK134" s="105" t="str">
        <f>IFERROR(__xludf.DUMMYFUNCTION("""COMPUTED_VALUE"""),"B Bila saya harus melakukan suatu tugas, saya ingin mengerjakan sampai selesai.")</f>
        <v>B Bila saya harus melakukan suatu tugas, saya ingin mengerjakan sampai selesai.</v>
      </c>
      <c r="AL134" s="105" t="str">
        <f>IFERROR(__xludf.DUMMYFUNCTION("""COMPUTED_VALUE"""),"B Saya ingin menghindarkan gangguan bila saya sedang belajar.")</f>
        <v>B Saya ingin menghindarkan gangguan bila saya sedang belajar.</v>
      </c>
      <c r="AM134" s="105" t="str">
        <f>IFERROR(__xludf.DUMMYFUNCTION("""COMPUTED_VALUE"""),"B Saya suka belajar sampai malam untuk menyelesaikan suatu tugas.")</f>
        <v>B Saya suka belajar sampai malam untuk menyelesaikan suatu tugas.</v>
      </c>
      <c r="AN134" s="105" t="str">
        <f>IFERROR(__xludf.DUMMYFUNCTION("""COMPUTED_VALUE"""),"A Saya tidak suka pada orang yang semena-mena.")</f>
        <v>A Saya tidak suka pada orang yang semena-mena.</v>
      </c>
      <c r="AO134" s="105" t="str">
        <f>IFERROR(__xludf.DUMMYFUNCTION("""COMPUTED_VALUE"""),"A Saya suka berlaku sangat ramah terhadap teman-teman saya.")</f>
        <v>A Saya suka berlaku sangat ramah terhadap teman-teman saya.</v>
      </c>
      <c r="AP134" s="105" t="str">
        <f>IFERROR(__xludf.DUMMYFUNCTION("""COMPUTED_VALUE"""),"A Saya ingin mengerjakannya tugas sampai selesai.")</f>
        <v>A Saya ingin mengerjakannya tugas sampai selesai.</v>
      </c>
      <c r="AQ134" s="105" t="str">
        <f>IFERROR(__xludf.DUMMYFUNCTION("""COMPUTED_VALUE"""),"B Bila saya harus melakukan suatu tugas, saya ingin mengerjakan sampai selesai.")</f>
        <v>B Bila saya harus melakukan suatu tugas, saya ingin mengerjakan sampai selesai.</v>
      </c>
      <c r="AR134" s="105" t="str">
        <f>IFERROR(__xludf.DUMMYFUNCTION("""COMPUTED_VALUE"""),"A Saya suka menyimpan catatan secara rapi.")</f>
        <v>A Saya suka menyimpan catatan secara rapi.</v>
      </c>
      <c r="AS134" s="105" t="str">
        <f>IFERROR(__xludf.DUMMYFUNCTION("""COMPUTED_VALUE"""),"A Saya ingin dapat menyelesaikan persoalan yang dianggap sukar bagi orang lain.")</f>
        <v>A Saya ingin dapat menyelesaikan persoalan yang dianggap sukar bagi orang lain.</v>
      </c>
      <c r="AT134" s="105" t="str">
        <f>IFERROR(__xludf.DUMMYFUNCTION("""COMPUTED_VALUE"""),"B Saya suka membantu orang lain yang menurut saya perlu dikasihani.")</f>
        <v>B Saya suka membantu orang lain yang menurut saya perlu dikasihani.</v>
      </c>
      <c r="AU134" s="105" t="str">
        <f>IFERROR(__xludf.DUMMYFUNCTION("""COMPUTED_VALUE"""),"B Saya suka bermurah hati terhadap teman-teman saya.")</f>
        <v>B Saya suka bermurah hati terhadap teman-teman saya.</v>
      </c>
      <c r="AV134" s="105" t="str">
        <f>IFERROR(__xludf.DUMMYFUNCTION("""COMPUTED_VALUE"""),"B Saya suka menolong teman-teman saya.")</f>
        <v>B Saya suka menolong teman-teman saya.</v>
      </c>
      <c r="AW134" s="105" t="str">
        <f>IFERROR(__xludf.DUMMYFUNCTION("""COMPUTED_VALUE"""),"A Saya ingin mengerjakan tugas sampai selesai.")</f>
        <v>A Saya ingin mengerjakan tugas sampai selesai.</v>
      </c>
      <c r="AX134" s="105" t="str">
        <f>IFERROR(__xludf.DUMMYFUNCTION("""COMPUTED_VALUE"""),"A Saya suka menolong teman-teman saya apabila mereka dalam kesulitan.")</f>
        <v>A Saya suka menolong teman-teman saya apabila mereka dalam kesulitan.</v>
      </c>
      <c r="AY134" s="105" t="str">
        <f>IFERROR(__xludf.DUMMYFUNCTION("""COMPUTED_VALUE"""),"B Saya suka menolong teman-teman saya apabila mereka dalam kesulitan.")</f>
        <v>B Saya suka menolong teman-teman saya apabila mereka dalam kesulitan.</v>
      </c>
      <c r="AZ134" s="105" t="str">
        <f>IFERROR(__xludf.DUMMYFUNCTION("""COMPUTED_VALUE"""),"A Saya ingin agar teman-teman saya bersimpati dan menghibur saya bila saya sedih.")</f>
        <v>A Saya ingin agar teman-teman saya bersimpati dan menghibur saya bila saya sedih.</v>
      </c>
      <c r="BA134" s="105" t="str">
        <f>IFERROR(__xludf.DUMMYFUNCTION("""COMPUTED_VALUE"""),"B Saya suka memperlakukan orang lain dengan baik dan ramah.")</f>
        <v>B Saya suka memperlakukan orang lain dengan baik dan ramah.</v>
      </c>
      <c r="BB134" s="105" t="str">
        <f>IFERROR(__xludf.DUMMYFUNCTION("""COMPUTED_VALUE"""),"B Saya suka bermurah hati terhadap teman-teman saya.")</f>
        <v>B Saya suka bermurah hati terhadap teman-teman saya.</v>
      </c>
      <c r="BC134" s="105" t="str">
        <f>IFERROR(__xludf.DUMMYFUNCTION("""COMPUTED_VALUE"""),"B Saya suka membantu orang lain yang menurut saya perlu dikasihani.")</f>
        <v>B Saya suka membantu orang lain yang menurut saya perlu dikasihani.</v>
      </c>
      <c r="BD134" s="105" t="str">
        <f>IFERROR(__xludf.DUMMYFUNCTION("""COMPUTED_VALUE"""),"A Saya rasanya ingin menyalahkan orang lain bila keadaan tidak baik bagi saya.")</f>
        <v>A Saya rasanya ingin menyalahkan orang lain bila keadaan tidak baik bagi saya.</v>
      </c>
      <c r="BE134" s="105" t="str">
        <f>IFERROR(__xludf.DUMMYFUNCTION("""COMPUTED_VALUE"""),"B Saya ingin orang lain melakukan apa yang saya kehendaki.")</f>
        <v>B Saya ingin orang lain melakukan apa yang saya kehendaki.</v>
      </c>
      <c r="BF134" s="105" t="str">
        <f>IFERROR(__xludf.DUMMYFUNCTION("""COMPUTED_VALUE"""),"A Saya ingin orang lain memperhatikan dan berkomentar tentang penampilan saya.")</f>
        <v>A Saya ingin orang lain memperhatikan dan berkomentar tentang penampilan saya.</v>
      </c>
      <c r="BG134" s="105" t="str">
        <f>IFERROR(__xludf.DUMMYFUNCTION("""COMPUTED_VALUE"""),"A Saya ingin teman-teman banyak menunjukkan rasa sayang mereka terhadap saya.")</f>
        <v>A Saya ingin teman-teman banyak menunjukkan rasa sayang mereka terhadap saya.</v>
      </c>
      <c r="BH134" s="105" t="str">
        <f>IFERROR(__xludf.DUMMYFUNCTION("""COMPUTED_VALUE"""),"B Apabila saya berkumpul dalam kelompok, saya ingin dihargai teman-teman.")</f>
        <v>B Apabila saya berkumpul dalam kelompok, saya ingin dihargai teman-teman.</v>
      </c>
      <c r="BI134" s="105" t="str">
        <f>IFERROR(__xludf.DUMMYFUNCTION("""COMPUTED_VALUE"""),"A Saya suka bermurah hati terhadap teman-teman saya.")</f>
        <v>A Saya suka bermurah hati terhadap teman-teman saya.</v>
      </c>
      <c r="BJ134" s="105" t="str">
        <f>IFERROR(__xludf.DUMMYFUNCTION("""COMPUTED_VALUE"""),"A Saya ingin mengerjakan tugas sampai selesai.")</f>
        <v>A Saya ingin mengerjakan tugas sampai selesai.</v>
      </c>
      <c r="BK134" s="105" t="str">
        <f>IFERROR(__xludf.DUMMYFUNCTION("""COMPUTED_VALUE"""),"A Saya ingin menyelesaikan pekerjaan satu persatu sebelum memulai yang lain.")</f>
        <v>A Saya ingin menyelesaikan pekerjaan satu persatu sebelum memulai yang lain.</v>
      </c>
      <c r="BL134" s="105" t="str">
        <f>IFERROR(__xludf.DUMMYFUNCTION("""COMPUTED_VALUE"""),"A Saya suka belajar saya teratur dan ada waktu-waktu tertentu untuk belajar.")</f>
        <v>A Saya suka belajar saya teratur dan ada waktu-waktu tertentu untuk belajar.</v>
      </c>
      <c r="BM134" s="105" t="str">
        <f>IFERROR(__xludf.DUMMYFUNCTION("""COMPUTED_VALUE"""),"A Saya suka melakukan pekerjaan sebaik mungkin.")</f>
        <v>A Saya suka melakukan pekerjaan sebaik mungkin.</v>
      </c>
      <c r="BN134" s="105" t="str">
        <f>IFERROR(__xludf.DUMMYFUNCTION("""COMPUTED_VALUE"""),"B Saya ingin teman-teman memberi dorongan bila saya menghadapi kegagalan.")</f>
        <v>B Saya ingin teman-teman memberi dorongan bila saya menghadapi kegagalan.</v>
      </c>
      <c r="BO134" s="105" t="str">
        <f>IFERROR(__xludf.DUMMYFUNCTION("""COMPUTED_VALUE"""),"A Saya suka membuat perencanaan sebelum memulai belajar yang sulit.")</f>
        <v>A Saya suka membuat perencanaan sebelum memulai belajar yang sulit.</v>
      </c>
      <c r="BP134" s="105" t="str">
        <f>IFERROR(__xludf.DUMMYFUNCTION("""COMPUTED_VALUE"""),"A Saya ingin menyelesaikan sesuatu yang sangat penting artinya.")</f>
        <v>A Saya ingin menyelesaikan sesuatu yang sangat penting artinya.</v>
      </c>
      <c r="BQ134" s="105" t="str">
        <f>IFERROR(__xludf.DUMMYFUNCTION("""COMPUTED_VALUE"""),"A Saya ingin mengerjakannya tugas sampai selesai.")</f>
        <v>A Saya ingin mengerjakannya tugas sampai selesai.</v>
      </c>
      <c r="BR134" s="105" t="str">
        <f>IFERROR(__xludf.DUMMYFUNCTION("""COMPUTED_VALUE"""),"A Saya suka memaafkan teman-teman saya yang menyakiti hati saya.")</f>
        <v>A Saya suka memaafkan teman-teman saya yang menyakiti hati saya.</v>
      </c>
      <c r="BS134" s="105" t="str">
        <f>IFERROR(__xludf.DUMMYFUNCTION("""COMPUTED_VALUE"""),"B Saya ingin teman-teman saya membantu saya bila saya mengalami kesulitan")</f>
        <v>B Saya ingin teman-teman saya membantu saya bila saya mengalami kesulitan</v>
      </c>
      <c r="BT134" s="105" t="str">
        <f>IFERROR(__xludf.DUMMYFUNCTION("""COMPUTED_VALUE"""),"B Saya ingin teman-teman banyak menunjukkan rasa sayang mereka terhadap saya.")</f>
        <v>B Saya ingin teman-teman banyak menunjukkan rasa sayang mereka terhadap saya.</v>
      </c>
      <c r="BU134" s="105" t="str">
        <f>IFERROR(__xludf.DUMMYFUNCTION("""COMPUTED_VALUE"""),"A Saya kadang-kadang suka melakukan hal-hal yang dapat dipuji oleh orang lain.")</f>
        <v>A Saya kadang-kadang suka melakukan hal-hal yang dapat dipuji oleh orang lain.</v>
      </c>
      <c r="BV134" s="105" t="str">
        <f>IFERROR(__xludf.DUMMYFUNCTION("""COMPUTED_VALUE"""),"B Saya ingin teman-teman dengan gembira memberikan pertolongan kepada saya.")</f>
        <v>B Saya ingin teman-teman dengan gembira memberikan pertolongan kepada saya.</v>
      </c>
      <c r="BW134" s="105" t="str">
        <f>IFERROR(__xludf.DUMMYFUNCTION("""COMPUTED_VALUE"""),"B Saya ingin diperlakukan dengan baik oleh teman-teman saya.")</f>
        <v>B Saya ingin diperlakukan dengan baik oleh teman-teman saya.</v>
      </c>
      <c r="BX134" s="105" t="str">
        <f>IFERROR(__xludf.DUMMYFUNCTION("""COMPUTED_VALUE"""),"B Saya kadang-kadang suka melakukan hal-hal yang dapat dipuji oleh orang lain.")</f>
        <v>B Saya kadang-kadang suka melakukan hal-hal yang dapat dipuji oleh orang lain.</v>
      </c>
      <c r="BY134" s="105" t="str">
        <f>IFERROR(__xludf.DUMMYFUNCTION("""COMPUTED_VALUE"""),"A Saya suka melamun atau membayangkan hal-hal yang tidak jelas.")</f>
        <v>A Saya suka melamun atau membayangkan hal-hal yang tidak jelas.</v>
      </c>
      <c r="BZ134" s="105" t="str">
        <f>IFERROR(__xludf.DUMMYFUNCTION("""COMPUTED_VALUE"""),"A Saya suka berkata yang artinya sulit dipahami oleh orang lain.")</f>
        <v>A Saya suka berkata yang artinya sulit dipahami oleh orang lain.</v>
      </c>
      <c r="CA134" s="105" t="str">
        <f>IFERROR(__xludf.DUMMYFUNCTION("""COMPUTED_VALUE"""),"A Saya ingin teman-teman dengan gembira memberikan pertolongan kepada saya.")</f>
        <v>A Saya ingin teman-teman dengan gembira memberikan pertolongan kepada saya.</v>
      </c>
      <c r="CB134" s="105" t="str">
        <f>IFERROR(__xludf.DUMMYFUNCTION("""COMPUTED_VALUE"""),"B Saya suka berbicara tentang hal-hal yang telah saya capai.")</f>
        <v>B Saya suka berbicara tentang hal-hal yang telah saya capai.</v>
      </c>
      <c r="CC134" s="105" t="str">
        <f>IFERROR(__xludf.DUMMYFUNCTION("""COMPUTED_VALUE"""),"B Saya suka menceritakan hal-hal lucu agar diperhatikan oleh orang lain.")</f>
        <v>B Saya suka menceritakan hal-hal lucu agar diperhatikan oleh orang lain.</v>
      </c>
      <c r="CD134" s="105" t="str">
        <f>IFERROR(__xludf.DUMMYFUNCTION("""COMPUTED_VALUE"""),"A Saya suka menyelesaikan setiap tugas meskipun membutuhkan waktu lama.")</f>
        <v>A Saya suka menyelesaikan setiap tugas meskipun membutuhkan waktu lama.</v>
      </c>
      <c r="CE134" s="105" t="str">
        <f>IFERROR(__xludf.DUMMYFUNCTION("""COMPUTED_VALUE"""),"A Saya suka menyelesaikan setiap tugas belajar yang telah saya mulai.")</f>
        <v>A Saya suka menyelesaikan setiap tugas belajar yang telah saya mulai.</v>
      </c>
      <c r="CF134" s="105" t="str">
        <f>IFERROR(__xludf.DUMMYFUNCTION("""COMPUTED_VALUE"""),"A Saya ingin agar hidup saya teratur sesuai cita-cita saya.")</f>
        <v>A Saya ingin agar hidup saya teratur sesuai cita-cita saya.</v>
      </c>
      <c r="CG134" s="105" t="str">
        <f>IFERROR(__xludf.DUMMYFUNCTION("""COMPUTED_VALUE"""),"A Saya ingin berhasil dalam apa yang saya lakukan.")</f>
        <v>A Saya ingin berhasil dalam apa yang saya lakukan.</v>
      </c>
      <c r="CH134" s="105" t="str">
        <f>IFERROR(__xludf.DUMMYFUNCTION("""COMPUTED_VALUE"""),"A Saya ingin bisa melakukan dengan baik sesuatu pekerjaan sulit.")</f>
        <v>A Saya ingin bisa melakukan dengan baik sesuatu pekerjaan sulit.</v>
      </c>
      <c r="CI134" s="105" t="str">
        <f>IFERROR(__xludf.DUMMYFUNCTION("""COMPUTED_VALUE"""),"A Saya suka belajar saya teratur dan ada waktu-waktu tertentu untuk belajar.")</f>
        <v>A Saya suka belajar saya teratur dan ada waktu-waktu tertentu untuk belajar.</v>
      </c>
      <c r="CJ134" s="105" t="str">
        <f>IFERROR(__xludf.DUMMYFUNCTION("""COMPUTED_VALUE"""),"A Saya ingin tidak tergantung dari orang lain terhadap apa yang akan saya lakukan.")</f>
        <v>A Saya ingin tidak tergantung dari orang lain terhadap apa yang akan saya lakukan.</v>
      </c>
      <c r="CK134" s="105" t="str">
        <f>IFERROR(__xludf.DUMMYFUNCTION("""COMPUTED_VALUE"""),"B Saya senang ikut beraktivitas bersama teman sebaya saya.")</f>
        <v>B Saya senang ikut beraktivitas bersama teman sebaya saya.</v>
      </c>
      <c r="CL134" s="105" t="str">
        <f>IFERROR(__xludf.DUMMYFUNCTION("""COMPUTED_VALUE"""),"A Saya suka menolong teman-teman saya, apabila mereka dalam kesulitan.")</f>
        <v>A Saya suka menolong teman-teman saya, apabila mereka dalam kesulitan.</v>
      </c>
      <c r="CM134" s="105" t="str">
        <f>IFERROR(__xludf.DUMMYFUNCTION("""COMPUTED_VALUE"""),"B Saya merasa kagum pada seseorang.")</f>
        <v>B Saya merasa kagum pada seseorang.</v>
      </c>
      <c r="CN134" s="105" t="str">
        <f>IFERROR(__xludf.DUMMYFUNCTION("""COMPUTED_VALUE"""),"A Saya ingin diperlakukan dengan baik oleh teman-teman saya.")</f>
        <v>A Saya ingin diperlakukan dengan baik oleh teman-teman saya.</v>
      </c>
      <c r="CO134" s="105" t="str">
        <f>IFERROR(__xludf.DUMMYFUNCTION("""COMPUTED_VALUE"""),"B Saya suka memuji orang yang saya kagumi.")</f>
        <v>B Saya suka memuji orang yang saya kagumi.</v>
      </c>
      <c r="CP134" s="105" t="str">
        <f>IFERROR(__xludf.DUMMYFUNCTION("""COMPUTED_VALUE"""),"A Saya suka melamun atau membayangkan sesuatu sendirian.")</f>
        <v>A Saya suka melamun atau membayangkan sesuatu sendirian.</v>
      </c>
      <c r="CQ134" s="105" t="str">
        <f>IFERROR(__xludf.DUMMYFUNCTION("""COMPUTED_VALUE"""),"B Saya merasa kagum pada seseorang.")</f>
        <v>B Saya merasa kagum pada seseorang.</v>
      </c>
      <c r="CR134" s="105" t="str">
        <f>IFERROR(__xludf.DUMMYFUNCTION("""COMPUTED_VALUE"""),"B Saya rasanya ingin mengecam seseorang bila orang itu menjengkelkan.")</f>
        <v>B Saya rasanya ingin mengecam seseorang bila orang itu menjengkelkan.</v>
      </c>
      <c r="CS134" s="105" t="str">
        <f>IFERROR(__xludf.DUMMYFUNCTION("""COMPUTED_VALUE"""),"A Saya ingin terlihat menarik di depan teman-teman saya.")</f>
        <v>A Saya ingin terlihat menarik di depan teman-teman saya.</v>
      </c>
      <c r="CT134" s="105" t="str">
        <f>IFERROR(__xludf.DUMMYFUNCTION("""COMPUTED_VALUE"""),"A Saya ingin orang-orang memperhatikan komentar mengenai penampilan saya.")</f>
        <v>A Saya ingin orang-orang memperhatikan komentar mengenai penampilan saya.</v>
      </c>
      <c r="CU134" s="105" t="str">
        <f>IFERROR(__xludf.DUMMYFUNCTION("""COMPUTED_VALUE"""),"A Saya ingin diperlakukan dengan ramah oleh teman-teman saya.")</f>
        <v>A Saya ingin diperlakukan dengan ramah oleh teman-teman saya.</v>
      </c>
      <c r="CV134" s="105" t="str">
        <f>IFERROR(__xludf.DUMMYFUNCTION("""COMPUTED_VALUE"""),"A Saya ingin ditunjuk atau dipilih sebagai ketua dalam suatu kelompok.")</f>
        <v>A Saya ingin ditunjuk atau dipilih sebagai ketua dalam suatu kelompok.</v>
      </c>
      <c r="CW134" s="105" t="str">
        <f>IFERROR(__xludf.DUMMYFUNCTION("""COMPUTED_VALUE"""),"A Saya suka menolong teman-teman saya, apabila mereka dalam kesulitan.")</f>
        <v>A Saya suka menolong teman-teman saya, apabila mereka dalam kesulitan.</v>
      </c>
      <c r="CX134" s="105" t="str">
        <f>IFERROR(__xludf.DUMMYFUNCTION("""COMPUTED_VALUE"""),"A Saya suka belajar sampai malam untuk menyelesaikan suatu tugas.")</f>
        <v>A Saya suka belajar sampai malam untuk menyelesaikan suatu tugas.</v>
      </c>
      <c r="CY134" s="105" t="str">
        <f>IFERROR(__xludf.DUMMYFUNCTION("""COMPUTED_VALUE"""),"B Saya rasanya ingin membalas dendam bila seseorang menghina saya.")</f>
        <v>B Saya rasanya ingin membalas dendam bila seseorang menghina saya.</v>
      </c>
      <c r="CZ134" s="105" t="str">
        <f>IFERROR(__xludf.DUMMYFUNCTION("""COMPUTED_VALUE"""),"A Saya suka merencanakan dan mengatur setiap pekerjaan yang harus saya lakukan.")</f>
        <v>A Saya suka merencanakan dan mengatur setiap pekerjaan yang harus saya lakukan.</v>
      </c>
      <c r="DA134" s="105" t="str">
        <f>IFERROR(__xludf.DUMMYFUNCTION("""COMPUTED_VALUE"""),"A Saya ingin melakukan apa saja sebaik mungkin.")</f>
        <v>A Saya ingin melakukan apa saja sebaik mungkin.</v>
      </c>
      <c r="DB134" s="89" t="s">
        <v>23</v>
      </c>
      <c r="DC134" s="97" t="str">
        <f t="shared" ref="DC134:GX134" si="179">LEFT(F134,1)</f>
        <v>B</v>
      </c>
      <c r="DD134" s="97" t="str">
        <f t="shared" si="179"/>
        <v>A</v>
      </c>
      <c r="DE134" s="97" t="str">
        <f t="shared" si="179"/>
        <v>B</v>
      </c>
      <c r="DF134" s="97" t="str">
        <f t="shared" si="179"/>
        <v>A</v>
      </c>
      <c r="DG134" s="97" t="str">
        <f t="shared" si="179"/>
        <v>A</v>
      </c>
      <c r="DH134" s="97" t="str">
        <f t="shared" si="179"/>
        <v>B</v>
      </c>
      <c r="DI134" s="97" t="str">
        <f t="shared" si="179"/>
        <v>B</v>
      </c>
      <c r="DJ134" s="97" t="str">
        <f t="shared" si="179"/>
        <v>A</v>
      </c>
      <c r="DK134" s="97" t="str">
        <f t="shared" si="179"/>
        <v>A</v>
      </c>
      <c r="DL134" s="97" t="str">
        <f t="shared" si="179"/>
        <v>A</v>
      </c>
      <c r="DM134" s="97" t="str">
        <f t="shared" si="179"/>
        <v>B</v>
      </c>
      <c r="DN134" s="97" t="str">
        <f t="shared" si="179"/>
        <v>B</v>
      </c>
      <c r="DO134" s="97" t="str">
        <f t="shared" si="179"/>
        <v>B</v>
      </c>
      <c r="DP134" s="97" t="str">
        <f t="shared" si="179"/>
        <v>B</v>
      </c>
      <c r="DQ134" s="97" t="str">
        <f t="shared" si="179"/>
        <v>B</v>
      </c>
      <c r="DR134" s="97" t="str">
        <f t="shared" si="179"/>
        <v>B</v>
      </c>
      <c r="DS134" s="97" t="str">
        <f t="shared" si="179"/>
        <v>B</v>
      </c>
      <c r="DT134" s="97" t="str">
        <f t="shared" si="179"/>
        <v>A</v>
      </c>
      <c r="DU134" s="97" t="str">
        <f t="shared" si="179"/>
        <v>B</v>
      </c>
      <c r="DV134" s="97" t="str">
        <f t="shared" si="179"/>
        <v>B</v>
      </c>
      <c r="DW134" s="97" t="str">
        <f t="shared" si="179"/>
        <v>A</v>
      </c>
      <c r="DX134" s="97" t="str">
        <f t="shared" si="179"/>
        <v>B</v>
      </c>
      <c r="DY134" s="97" t="str">
        <f t="shared" si="179"/>
        <v>B</v>
      </c>
      <c r="DZ134" s="97" t="str">
        <f t="shared" si="179"/>
        <v>B</v>
      </c>
      <c r="EA134" s="97" t="str">
        <f t="shared" si="179"/>
        <v>A</v>
      </c>
      <c r="EB134" s="97" t="str">
        <f t="shared" si="179"/>
        <v>B</v>
      </c>
      <c r="EC134" s="97" t="str">
        <f t="shared" si="179"/>
        <v>B</v>
      </c>
      <c r="ED134" s="97" t="str">
        <f t="shared" si="179"/>
        <v>B</v>
      </c>
      <c r="EE134" s="97" t="str">
        <f t="shared" si="179"/>
        <v>A</v>
      </c>
      <c r="EF134" s="97" t="str">
        <f t="shared" si="179"/>
        <v>B</v>
      </c>
      <c r="EG134" s="97" t="str">
        <f t="shared" si="179"/>
        <v>B</v>
      </c>
      <c r="EH134" s="97" t="str">
        <f t="shared" si="179"/>
        <v>B</v>
      </c>
      <c r="EI134" s="97" t="str">
        <f t="shared" si="179"/>
        <v>B</v>
      </c>
      <c r="EJ134" s="97" t="str">
        <f t="shared" si="179"/>
        <v>B</v>
      </c>
      <c r="EK134" s="97" t="str">
        <f t="shared" si="179"/>
        <v>A</v>
      </c>
      <c r="EL134" s="97" t="str">
        <f t="shared" si="179"/>
        <v>A</v>
      </c>
      <c r="EM134" s="97" t="str">
        <f t="shared" si="179"/>
        <v>A</v>
      </c>
      <c r="EN134" s="97" t="str">
        <f t="shared" si="179"/>
        <v>B</v>
      </c>
      <c r="EO134" s="97" t="str">
        <f t="shared" si="179"/>
        <v>A</v>
      </c>
      <c r="EP134" s="97" t="str">
        <f t="shared" si="179"/>
        <v>A</v>
      </c>
      <c r="EQ134" s="97" t="str">
        <f t="shared" si="179"/>
        <v>B</v>
      </c>
      <c r="ER134" s="97" t="str">
        <f t="shared" si="179"/>
        <v>B</v>
      </c>
      <c r="ES134" s="97" t="str">
        <f t="shared" si="179"/>
        <v>B</v>
      </c>
      <c r="ET134" s="97" t="str">
        <f t="shared" si="179"/>
        <v>A</v>
      </c>
      <c r="EU134" s="97" t="str">
        <f t="shared" si="179"/>
        <v>A</v>
      </c>
      <c r="EV134" s="97" t="str">
        <f t="shared" si="179"/>
        <v>B</v>
      </c>
      <c r="EW134" s="97" t="str">
        <f t="shared" si="179"/>
        <v>A</v>
      </c>
      <c r="EX134" s="97" t="str">
        <f t="shared" si="179"/>
        <v>B</v>
      </c>
      <c r="EY134" s="97" t="str">
        <f t="shared" si="179"/>
        <v>B</v>
      </c>
      <c r="EZ134" s="97" t="str">
        <f t="shared" si="179"/>
        <v>B</v>
      </c>
      <c r="FA134" s="97" t="str">
        <f t="shared" si="179"/>
        <v>A</v>
      </c>
      <c r="FB134" s="97" t="str">
        <f t="shared" si="179"/>
        <v>B</v>
      </c>
      <c r="FC134" s="97" t="str">
        <f t="shared" si="179"/>
        <v>A</v>
      </c>
      <c r="FD134" s="97" t="str">
        <f t="shared" si="179"/>
        <v>A</v>
      </c>
      <c r="FE134" s="97" t="str">
        <f t="shared" si="179"/>
        <v>B</v>
      </c>
      <c r="FF134" s="97" t="str">
        <f t="shared" si="179"/>
        <v>A</v>
      </c>
      <c r="FG134" s="97" t="str">
        <f t="shared" si="179"/>
        <v>A</v>
      </c>
      <c r="FH134" s="97" t="str">
        <f t="shared" si="179"/>
        <v>A</v>
      </c>
      <c r="FI134" s="97" t="str">
        <f t="shared" si="179"/>
        <v>A</v>
      </c>
      <c r="FJ134" s="97" t="str">
        <f t="shared" si="179"/>
        <v>A</v>
      </c>
      <c r="FK134" s="97" t="str">
        <f t="shared" si="179"/>
        <v>B</v>
      </c>
      <c r="FL134" s="97" t="str">
        <f t="shared" si="179"/>
        <v>A</v>
      </c>
      <c r="FM134" s="97" t="str">
        <f t="shared" si="179"/>
        <v>A</v>
      </c>
      <c r="FN134" s="97" t="str">
        <f t="shared" si="179"/>
        <v>A</v>
      </c>
      <c r="FO134" s="97" t="str">
        <f t="shared" si="179"/>
        <v>A</v>
      </c>
      <c r="FP134" s="97" t="str">
        <f t="shared" si="179"/>
        <v>B</v>
      </c>
      <c r="FQ134" s="97" t="str">
        <f t="shared" si="179"/>
        <v>B</v>
      </c>
      <c r="FR134" s="97" t="str">
        <f t="shared" si="179"/>
        <v>A</v>
      </c>
      <c r="FS134" s="97" t="str">
        <f t="shared" si="179"/>
        <v>B</v>
      </c>
      <c r="FT134" s="97" t="str">
        <f t="shared" si="179"/>
        <v>B</v>
      </c>
      <c r="FU134" s="97" t="str">
        <f t="shared" si="179"/>
        <v>B</v>
      </c>
      <c r="FV134" s="97" t="str">
        <f t="shared" si="179"/>
        <v>A</v>
      </c>
      <c r="FW134" s="97" t="str">
        <f t="shared" si="179"/>
        <v>A</v>
      </c>
      <c r="FX134" s="97" t="str">
        <f t="shared" si="179"/>
        <v>A</v>
      </c>
      <c r="FY134" s="97" t="str">
        <f t="shared" si="179"/>
        <v>B</v>
      </c>
      <c r="FZ134" s="97" t="str">
        <f t="shared" si="179"/>
        <v>B</v>
      </c>
      <c r="GA134" s="97" t="str">
        <f t="shared" si="179"/>
        <v>A</v>
      </c>
      <c r="GB134" s="97" t="str">
        <f t="shared" si="179"/>
        <v>A</v>
      </c>
      <c r="GC134" s="97" t="str">
        <f t="shared" si="179"/>
        <v>A</v>
      </c>
      <c r="GD134" s="97" t="str">
        <f t="shared" si="179"/>
        <v>A</v>
      </c>
      <c r="GE134" s="97" t="str">
        <f t="shared" si="179"/>
        <v>A</v>
      </c>
      <c r="GF134" s="97" t="str">
        <f t="shared" si="179"/>
        <v>A</v>
      </c>
      <c r="GG134" s="97" t="str">
        <f t="shared" si="179"/>
        <v>A</v>
      </c>
      <c r="GH134" s="97" t="str">
        <f t="shared" si="179"/>
        <v>B</v>
      </c>
      <c r="GI134" s="97" t="str">
        <f t="shared" si="179"/>
        <v>A</v>
      </c>
      <c r="GJ134" s="97" t="str">
        <f t="shared" si="179"/>
        <v>B</v>
      </c>
      <c r="GK134" s="97" t="str">
        <f t="shared" si="179"/>
        <v>A</v>
      </c>
      <c r="GL134" s="97" t="str">
        <f t="shared" si="179"/>
        <v>B</v>
      </c>
      <c r="GM134" s="97" t="str">
        <f t="shared" si="179"/>
        <v>A</v>
      </c>
      <c r="GN134" s="97" t="str">
        <f t="shared" si="179"/>
        <v>B</v>
      </c>
      <c r="GO134" s="97" t="str">
        <f t="shared" si="179"/>
        <v>B</v>
      </c>
      <c r="GP134" s="97" t="str">
        <f t="shared" si="179"/>
        <v>A</v>
      </c>
      <c r="GQ134" s="97" t="str">
        <f t="shared" si="179"/>
        <v>A</v>
      </c>
      <c r="GR134" s="97" t="str">
        <f t="shared" si="179"/>
        <v>A</v>
      </c>
      <c r="GS134" s="97" t="str">
        <f t="shared" si="179"/>
        <v>A</v>
      </c>
      <c r="GT134" s="97" t="str">
        <f t="shared" si="179"/>
        <v>A</v>
      </c>
      <c r="GU134" s="97" t="str">
        <f t="shared" si="179"/>
        <v>A</v>
      </c>
      <c r="GV134" s="97" t="str">
        <f t="shared" si="179"/>
        <v>B</v>
      </c>
      <c r="GW134" s="97" t="str">
        <f t="shared" si="179"/>
        <v>A</v>
      </c>
      <c r="GX134" s="97" t="str">
        <f t="shared" si="179"/>
        <v>A</v>
      </c>
      <c r="GY134" s="98"/>
      <c r="GZ134" s="97">
        <f t="shared" si="3"/>
        <v>52</v>
      </c>
      <c r="HA134" s="97">
        <f t="shared" si="4"/>
        <v>48</v>
      </c>
      <c r="HB134" s="90">
        <f t="shared" si="5"/>
        <v>100</v>
      </c>
      <c r="HC134" s="99"/>
      <c r="HD134" s="97">
        <f t="shared" si="6"/>
        <v>6</v>
      </c>
      <c r="HE134" s="97">
        <f t="shared" si="7"/>
        <v>3</v>
      </c>
      <c r="HF134" s="90">
        <f t="shared" si="8"/>
        <v>9</v>
      </c>
      <c r="HG134" s="99"/>
      <c r="HH134" s="97">
        <f t="shared" si="9"/>
        <v>7</v>
      </c>
      <c r="HI134" s="97">
        <f t="shared" si="10"/>
        <v>9</v>
      </c>
      <c r="HJ134" s="90">
        <f t="shared" si="11"/>
        <v>16</v>
      </c>
      <c r="HK134" s="99"/>
      <c r="HL134" s="97">
        <f t="shared" si="12"/>
        <v>5</v>
      </c>
      <c r="HM134" s="97">
        <f t="shared" si="13"/>
        <v>7</v>
      </c>
      <c r="HN134" s="90">
        <f t="shared" si="14"/>
        <v>12</v>
      </c>
      <c r="HO134" s="99"/>
      <c r="HP134" s="97">
        <f t="shared" si="15"/>
        <v>6</v>
      </c>
      <c r="HQ134" s="97">
        <f t="shared" si="16"/>
        <v>5</v>
      </c>
      <c r="HR134" s="90">
        <f t="shared" si="17"/>
        <v>11</v>
      </c>
      <c r="HS134" s="99"/>
      <c r="HT134" s="97">
        <f t="shared" si="18"/>
        <v>7</v>
      </c>
      <c r="HU134" s="97">
        <f t="shared" si="19"/>
        <v>7</v>
      </c>
      <c r="HV134" s="90">
        <f t="shared" si="20"/>
        <v>14</v>
      </c>
      <c r="HW134" s="99"/>
      <c r="HX134" s="97">
        <f t="shared" si="21"/>
        <v>2</v>
      </c>
      <c r="HY134" s="97">
        <f t="shared" si="22"/>
        <v>2</v>
      </c>
      <c r="HZ134" s="90">
        <f t="shared" si="23"/>
        <v>4</v>
      </c>
      <c r="IA134" s="99"/>
      <c r="IB134" s="97">
        <f t="shared" si="24"/>
        <v>5</v>
      </c>
      <c r="IC134" s="97">
        <f t="shared" si="25"/>
        <v>5</v>
      </c>
      <c r="ID134" s="90">
        <f t="shared" si="26"/>
        <v>10</v>
      </c>
      <c r="IE134" s="99"/>
      <c r="IF134" s="97">
        <f t="shared" si="27"/>
        <v>4</v>
      </c>
      <c r="IG134" s="97">
        <f t="shared" si="28"/>
        <v>3</v>
      </c>
      <c r="IH134" s="90">
        <f t="shared" si="29"/>
        <v>7</v>
      </c>
      <c r="II134" s="99"/>
      <c r="IJ134" s="97">
        <f t="shared" si="30"/>
        <v>4</v>
      </c>
      <c r="IK134" s="97">
        <f t="shared" si="31"/>
        <v>4</v>
      </c>
      <c r="IL134" s="90">
        <f t="shared" si="32"/>
        <v>8</v>
      </c>
      <c r="IM134" s="99"/>
      <c r="IN134" s="97">
        <f t="shared" si="33"/>
        <v>2</v>
      </c>
      <c r="IO134" s="97">
        <f t="shared" si="34"/>
        <v>2</v>
      </c>
      <c r="IP134" s="90">
        <f t="shared" si="35"/>
        <v>4</v>
      </c>
      <c r="IS134" s="100">
        <f t="shared" si="36"/>
        <v>9</v>
      </c>
      <c r="IT134" s="100">
        <f t="shared" si="37"/>
        <v>16</v>
      </c>
      <c r="IU134" s="100">
        <f t="shared" si="38"/>
        <v>12</v>
      </c>
      <c r="IV134" s="100">
        <f t="shared" si="39"/>
        <v>11</v>
      </c>
      <c r="IW134" s="100">
        <f t="shared" si="40"/>
        <v>14</v>
      </c>
      <c r="IX134" s="100">
        <f t="shared" si="41"/>
        <v>4</v>
      </c>
      <c r="IY134" s="100">
        <f t="shared" si="42"/>
        <v>10</v>
      </c>
      <c r="IZ134" s="100">
        <f t="shared" si="43"/>
        <v>7</v>
      </c>
      <c r="JA134" s="100">
        <f t="shared" si="44"/>
        <v>8</v>
      </c>
      <c r="JB134" s="101">
        <f t="shared" si="45"/>
        <v>4</v>
      </c>
      <c r="JC134" s="102">
        <f t="shared" si="46"/>
        <v>95</v>
      </c>
      <c r="JD134" s="67">
        <f t="shared" si="50"/>
        <v>0</v>
      </c>
      <c r="JE134" s="67">
        <f t="shared" si="47"/>
        <v>1</v>
      </c>
      <c r="JF134" s="67">
        <f t="shared" si="48"/>
        <v>1</v>
      </c>
    </row>
    <row r="135">
      <c r="A135" s="104">
        <f>IFERROR(__xludf.DUMMYFUNCTION("""COMPUTED_VALUE"""),45971.68731127315)</f>
        <v>45971.68731</v>
      </c>
      <c r="B135" s="105" t="str">
        <f>IFERROR(__xludf.DUMMYFUNCTION("""COMPUTED_VALUE"""),"Rifqi Fathurrohman")</f>
        <v>Rifqi Fathurrohman</v>
      </c>
      <c r="C135" s="7" t="str">
        <f>IFERROR(__xludf.DUMMYFUNCTION("""COMPUTED_VALUE"""),"A250084")</f>
        <v>A250084</v>
      </c>
      <c r="D135" s="7" t="str">
        <f>IFERROR(__xludf.DUMMYFUNCTION("""COMPUTED_VALUE"""),"MTs Putra")</f>
        <v>MTs Putra</v>
      </c>
      <c r="E135" s="7" t="str">
        <f>IFERROR(__xludf.DUMMYFUNCTION("""COMPUTED_VALUE"""),"Ya")</f>
        <v>Ya</v>
      </c>
      <c r="F135" s="105" t="str">
        <f>IFERROR(__xludf.DUMMYFUNCTION("""COMPUTED_VALUE"""),"B Saya ingin melakukan apa saja sebaik mungkin.")</f>
        <v>B Saya ingin melakukan apa saja sebaik mungkin.</v>
      </c>
      <c r="G135" s="105" t="str">
        <f>IFERROR(__xludf.DUMMYFUNCTION("""COMPUTED_VALUE"""),"A Saya ingin setiap tulisan saya teliti, rapi, dan tersusun dengan baik.")</f>
        <v>A Saya ingin setiap tulisan saya teliti, rapi, dan tersusun dengan baik.</v>
      </c>
      <c r="H135" s="105" t="str">
        <f>IFERROR(__xludf.DUMMYFUNCTION("""COMPUTED_VALUE"""),"B Saya ingin menjadi orang yang diakui dalam suatu pekerjaan atau bidang khusus.")</f>
        <v>B Saya ingin menjadi orang yang diakui dalam suatu pekerjaan atau bidang khusus.</v>
      </c>
      <c r="I135" s="105" t="str">
        <f>IFERROR(__xludf.DUMMYFUNCTION("""COMPUTED_VALUE"""),"B Saya ingin bisa melakukan dengan baik meskipun tugas yang sulit.")</f>
        <v>B Saya ingin bisa melakukan dengan baik meskipun tugas yang sulit.</v>
      </c>
      <c r="J135" s="105" t="str">
        <f>IFERROR(__xludf.DUMMYFUNCTION("""COMPUTED_VALUE"""),"A Saya suka membantu teman-teman saya apabila mereka mengalami kesulitan.")</f>
        <v>A Saya suka membantu teman-teman saya apabila mereka mengalami kesulitan.</v>
      </c>
      <c r="K135" s="105" t="str">
        <f>IFERROR(__xludf.DUMMYFUNCTION("""COMPUTED_VALUE"""),"B Saya ingin mengatakan telah melakukan dengan baik sesuatu tugas yang sulit.")</f>
        <v>B Saya ingin mengatakan telah melakukan dengan baik sesuatu tugas yang sulit.</v>
      </c>
      <c r="L135" s="105" t="str">
        <f>IFERROR(__xludf.DUMMYFUNCTION("""COMPUTED_VALUE"""),"B Saya ingin mengatakan telah melakukan dengan baik sesuatu tugas yang sulit")</f>
        <v>B Saya ingin mengatakan telah melakukan dengan baik sesuatu tugas yang sulit</v>
      </c>
      <c r="M135" s="105" t="str">
        <f>IFERROR(__xludf.DUMMYFUNCTION("""COMPUTED_VALUE"""),"A Saya suka berbicara tentang hal-hal yang telah berhasil saya lakukan.")</f>
        <v>A Saya suka berbicara tentang hal-hal yang telah berhasil saya lakukan.</v>
      </c>
      <c r="N135" s="105" t="str">
        <f>IFERROR(__xludf.DUMMYFUNCTION("""COMPUTED_VALUE"""),"B Saya suka memecahkan persoalan yang sukar bagi orang lain.")</f>
        <v>B Saya suka memecahkan persoalan yang sukar bagi orang lain.</v>
      </c>
      <c r="O135" s="105" t="str">
        <f>IFERROR(__xludf.DUMMYFUNCTION("""COMPUTED_VALUE"""),"B Saya suka melakukan tugas sebaik mungkin.")</f>
        <v>B Saya suka melakukan tugas sebaik mungkin.</v>
      </c>
      <c r="P135" s="105" t="str">
        <f>IFERROR(__xludf.DUMMYFUNCTION("""COMPUTED_VALUE"""),"B Saya ingin setiap belajar itu teratur dan direncanakan.")</f>
        <v>B Saya ingin setiap belajar itu teratur dan direncanakan.</v>
      </c>
      <c r="Q135" s="105" t="str">
        <f>IFERROR(__xludf.DUMMYFUNCTION("""COMPUTED_VALUE"""),"B Saya merencanakan keperluan yang dibutuhkan sebelum bepergian.")</f>
        <v>B Saya merencanakan keperluan yang dibutuhkan sebelum bepergian.</v>
      </c>
      <c r="R135" s="105" t="str">
        <f>IFERROR(__xludf.DUMMYFUNCTION("""COMPUTED_VALUE"""),"B Saya suka barang-barang saya tersusun rapi dan teratur.")</f>
        <v>B Saya suka barang-barang saya tersusun rapi dan teratur.</v>
      </c>
      <c r="S135" s="105" t="str">
        <f>IFERROR(__xludf.DUMMYFUNCTION("""COMPUTED_VALUE"""),"B Saya suka membuat perencanaan sebelum memulai tugas yang sulit.")</f>
        <v>B Saya suka membuat perencanaan sebelum memulai tugas yang sulit.</v>
      </c>
      <c r="T135" s="105" t="str">
        <f>IFERROR(__xludf.DUMMYFUNCTION("""COMPUTED_VALUE"""),"B Saya ingin agar hidup saya teratur sesuai cita-cita saya.")</f>
        <v>B Saya ingin agar hidup saya teratur sesuai cita-cita saya.</v>
      </c>
      <c r="U135" s="105" t="str">
        <f>IFERROR(__xludf.DUMMYFUNCTION("""COMPUTED_VALUE"""),"A Saya suka memberikan bantuan kepada teman-teman saya.")</f>
        <v>A Saya suka memberikan bantuan kepada teman-teman saya.</v>
      </c>
      <c r="V135" s="105" t="str">
        <f>IFERROR(__xludf.DUMMYFUNCTION("""COMPUTED_VALUE"""),"B Saya suka belajar saya teratur dan ada waktu-waktu tertentu untuk belajar.")</f>
        <v>B Saya suka belajar saya teratur dan ada waktu-waktu tertentu untuk belajar.</v>
      </c>
      <c r="W135" s="105" t="str">
        <f>IFERROR(__xludf.DUMMYFUNCTION("""COMPUTED_VALUE"""),"A Saya suka melakukan kegiatan sesuai kondisi yang saya inginkan.")</f>
        <v>A Saya suka melakukan kegiatan sesuai kondisi yang saya inginkan.</v>
      </c>
      <c r="X135" s="105" t="str">
        <f>IFERROR(__xludf.DUMMYFUNCTION("""COMPUTED_VALUE"""),"A Saya suka merencanakan dan mengatur setiap apa yang harus saya lakukan.")</f>
        <v>A Saya suka merencanakan dan mengatur setiap apa yang harus saya lakukan.</v>
      </c>
      <c r="Y135" s="105" t="str">
        <f>IFERROR(__xludf.DUMMYFUNCTION("""COMPUTED_VALUE"""),"B Saya senang merencanakan untuk masa depan.")</f>
        <v>B Saya senang merencanakan untuk masa depan.</v>
      </c>
      <c r="Z135" s="105" t="str">
        <f>IFERROR(__xludf.DUMMYFUNCTION("""COMPUTED_VALUE"""),"A Saya ingin berhasil dengan belajar yang saya lakukan.")</f>
        <v>A Saya ingin berhasil dengan belajar yang saya lakukan.</v>
      </c>
      <c r="AA135" s="105" t="str">
        <f>IFERROR(__xludf.DUMMYFUNCTION("""COMPUTED_VALUE"""),"B Saya tidak suka pada orang yang berbuat seenaknya sendiri.")</f>
        <v>B Saya tidak suka pada orang yang berbuat seenaknya sendiri.</v>
      </c>
      <c r="AB135" s="105" t="str">
        <f>IFERROR(__xludf.DUMMYFUNCTION("""COMPUTED_VALUE"""),"B Saya ingin menyelesaikan pekerjaan satu persatu sebelum memulai yang lain.")</f>
        <v>B Saya ingin menyelesaikan pekerjaan satu persatu sebelum memulai yang lain.</v>
      </c>
      <c r="AC135" s="105" t="str">
        <f>IFERROR(__xludf.DUMMYFUNCTION("""COMPUTED_VALUE"""),"A Saya suka menyelesaikan setiap tugas meskipun membutuhkan waktu lama.")</f>
        <v>A Saya suka menyelesaikan setiap tugas meskipun membutuhkan waktu lama.</v>
      </c>
      <c r="AD135" s="105" t="str">
        <f>IFERROR(__xludf.DUMMYFUNCTION("""COMPUTED_VALUE"""),"A Saya suka bermurah hati terhadap teman-teman saya.")</f>
        <v>A Saya suka bermurah hati terhadap teman-teman saya.</v>
      </c>
      <c r="AE135" s="105" t="str">
        <f>IFERROR(__xludf.DUMMYFUNCTION("""COMPUTED_VALUE"""),"A Saya ingin dianggap sebagai pemimpin oleh teman di kelompok.")</f>
        <v>A Saya ingin dianggap sebagai pemimpin oleh teman di kelompok.</v>
      </c>
      <c r="AF135" s="105" t="str">
        <f>IFERROR(__xludf.DUMMYFUNCTION("""COMPUTED_VALUE"""),"B Saya suka melakukan hal-hal dengan cara saya sendiri.")</f>
        <v>B Saya suka melakukan hal-hal dengan cara saya sendiri.</v>
      </c>
      <c r="AG135" s="105" t="str">
        <f>IFERROR(__xludf.DUMMYFUNCTION("""COMPUTED_VALUE"""),"B Saya ingin berhasil dengan tugas yang saya lakukan.")</f>
        <v>B Saya ingin berhasil dengan tugas yang saya lakukan.</v>
      </c>
      <c r="AH135" s="105" t="str">
        <f>IFERROR(__xludf.DUMMYFUNCTION("""COMPUTED_VALUE"""),"A Saya suka membaca buku-buku tentang pergaulan remaja.")</f>
        <v>A Saya suka membaca buku-buku tentang pergaulan remaja.</v>
      </c>
      <c r="AI135" s="105" t="str">
        <f>IFERROR(__xludf.DUMMYFUNCTION("""COMPUTED_VALUE"""),"B Saya suka melakukan kegiatan sesuai kondisi yang saya inginkan.")</f>
        <v>B Saya suka melakukan kegiatan sesuai kondisi yang saya inginkan.</v>
      </c>
      <c r="AJ135" s="105" t="str">
        <f>IFERROR(__xludf.DUMMYFUNCTION("""COMPUTED_VALUE"""),"B Saya suka bertahan menghadapi satu masalah meskipun belum tentu berhasil.")</f>
        <v>B Saya suka bertahan menghadapi satu masalah meskipun belum tentu berhasil.</v>
      </c>
      <c r="AK135" s="105" t="str">
        <f>IFERROR(__xludf.DUMMYFUNCTION("""COMPUTED_VALUE"""),"B Bila saya harus melakukan suatu tugas, saya ingin mengerjakan sampai selesai.")</f>
        <v>B Bila saya harus melakukan suatu tugas, saya ingin mengerjakan sampai selesai.</v>
      </c>
      <c r="AL135" s="105" t="str">
        <f>IFERROR(__xludf.DUMMYFUNCTION("""COMPUTED_VALUE"""),"B Saya ingin menghindarkan gangguan bila saya sedang belajar.")</f>
        <v>B Saya ingin menghindarkan gangguan bila saya sedang belajar.</v>
      </c>
      <c r="AM135" s="105" t="str">
        <f>IFERROR(__xludf.DUMMYFUNCTION("""COMPUTED_VALUE"""),"B Saya suka belajar sampai malam untuk menyelesaikan suatu tugas.")</f>
        <v>B Saya suka belajar sampai malam untuk menyelesaikan suatu tugas.</v>
      </c>
      <c r="AN135" s="105" t="str">
        <f>IFERROR(__xludf.DUMMYFUNCTION("""COMPUTED_VALUE"""),"A Saya tidak suka pada orang yang semena-mena.")</f>
        <v>A Saya tidak suka pada orang yang semena-mena.</v>
      </c>
      <c r="AO135" s="105" t="str">
        <f>IFERROR(__xludf.DUMMYFUNCTION("""COMPUTED_VALUE"""),"A Saya suka berlaku sangat ramah terhadap teman-teman saya.")</f>
        <v>A Saya suka berlaku sangat ramah terhadap teman-teman saya.</v>
      </c>
      <c r="AP135" s="105" t="str">
        <f>IFERROR(__xludf.DUMMYFUNCTION("""COMPUTED_VALUE"""),"A Saya ingin mengerjakannya tugas sampai selesai.")</f>
        <v>A Saya ingin mengerjakannya tugas sampai selesai.</v>
      </c>
      <c r="AQ135" s="105" t="str">
        <f>IFERROR(__xludf.DUMMYFUNCTION("""COMPUTED_VALUE"""),"A Saya ingin bisa mengerjakan segala sesuatu lebih baik daripada orang-orang lain.")</f>
        <v>A Saya ingin bisa mengerjakan segala sesuatu lebih baik daripada orang-orang lain.</v>
      </c>
      <c r="AR135" s="105" t="str">
        <f>IFERROR(__xludf.DUMMYFUNCTION("""COMPUTED_VALUE"""),"A Saya suka menyimpan catatan secara rapi.")</f>
        <v>A Saya suka menyimpan catatan secara rapi.</v>
      </c>
      <c r="AS135" s="105" t="str">
        <f>IFERROR(__xludf.DUMMYFUNCTION("""COMPUTED_VALUE"""),"A Saya ingin dapat menyelesaikan persoalan yang dianggap sukar bagi orang lain.")</f>
        <v>A Saya ingin dapat menyelesaikan persoalan yang dianggap sukar bagi orang lain.</v>
      </c>
      <c r="AT135" s="105" t="str">
        <f>IFERROR(__xludf.DUMMYFUNCTION("""COMPUTED_VALUE"""),"A Saya ingin bisa melakukan dengan baik sesuatu pekerjaan sulit.")</f>
        <v>A Saya ingin bisa melakukan dengan baik sesuatu pekerjaan sulit.</v>
      </c>
      <c r="AU135" s="105" t="str">
        <f>IFERROR(__xludf.DUMMYFUNCTION("""COMPUTED_VALUE"""),"B Saya suka bermurah hati terhadap teman-teman saya.")</f>
        <v>B Saya suka bermurah hati terhadap teman-teman saya.</v>
      </c>
      <c r="AV135" s="105" t="str">
        <f>IFERROR(__xludf.DUMMYFUNCTION("""COMPUTED_VALUE"""),"B Saya suka menolong teman-teman saya.")</f>
        <v>B Saya suka menolong teman-teman saya.</v>
      </c>
      <c r="AW135" s="105" t="str">
        <f>IFERROR(__xludf.DUMMYFUNCTION("""COMPUTED_VALUE"""),"A Saya ingin mengerjakan tugas sampai selesai.")</f>
        <v>A Saya ingin mengerjakan tugas sampai selesai.</v>
      </c>
      <c r="AX135" s="105" t="str">
        <f>IFERROR(__xludf.DUMMYFUNCTION("""COMPUTED_VALUE"""),"B Saya suka memaafkan teman-teman saya yang menyakiti hati saya.")</f>
        <v>B Saya suka memaafkan teman-teman saya yang menyakiti hati saya.</v>
      </c>
      <c r="AY135" s="105" t="str">
        <f>IFERROR(__xludf.DUMMYFUNCTION("""COMPUTED_VALUE"""),"B Saya suka menolong teman-teman saya apabila mereka dalam kesulitan.")</f>
        <v>B Saya suka menolong teman-teman saya apabila mereka dalam kesulitan.</v>
      </c>
      <c r="AZ135" s="105" t="str">
        <f>IFERROR(__xludf.DUMMYFUNCTION("""COMPUTED_VALUE"""),"B Saya suka menunjukkan simpati saya kepada teman-teman saya.")</f>
        <v>B Saya suka menunjukkan simpati saya kepada teman-teman saya.</v>
      </c>
      <c r="BA135" s="105" t="str">
        <f>IFERROR(__xludf.DUMMYFUNCTION("""COMPUTED_VALUE"""),"B Saya suka memperlakukan orang lain dengan baik dan ramah.")</f>
        <v>B Saya suka memperlakukan orang lain dengan baik dan ramah.</v>
      </c>
      <c r="BB135" s="105" t="str">
        <f>IFERROR(__xludf.DUMMYFUNCTION("""COMPUTED_VALUE"""),"B Saya suka bermurah hati terhadap teman-teman saya.")</f>
        <v>B Saya suka bermurah hati terhadap teman-teman saya.</v>
      </c>
      <c r="BC135" s="105" t="str">
        <f>IFERROR(__xludf.DUMMYFUNCTION("""COMPUTED_VALUE"""),"B Saya suka membantu orang lain yang menurut saya perlu dikasihani.")</f>
        <v>B Saya suka membantu orang lain yang menurut saya perlu dikasihani.</v>
      </c>
      <c r="BD135" s="105" t="str">
        <f>IFERROR(__xludf.DUMMYFUNCTION("""COMPUTED_VALUE"""),"B Saya suka bersikukuh dengan pendirian saya.")</f>
        <v>B Saya suka bersikukuh dengan pendirian saya.</v>
      </c>
      <c r="BE135" s="105" t="str">
        <f>IFERROR(__xludf.DUMMYFUNCTION("""COMPUTED_VALUE"""),"B Saya ingin orang lain melakukan apa yang saya kehendaki.")</f>
        <v>B Saya ingin orang lain melakukan apa yang saya kehendaki.</v>
      </c>
      <c r="BF135" s="105" t="str">
        <f>IFERROR(__xludf.DUMMYFUNCTION("""COMPUTED_VALUE"""),"B Bila saya dalam kelompok, saya ingin menentukan apa yang akan kita lakukan.")</f>
        <v>B Bila saya dalam kelompok, saya ingin menentukan apa yang akan kita lakukan.</v>
      </c>
      <c r="BG135" s="105" t="str">
        <f>IFERROR(__xludf.DUMMYFUNCTION("""COMPUTED_VALUE"""),"B Saya suka mengarahkan kepada orang lain apa yang harus dilakukan.")</f>
        <v>B Saya suka mengarahkan kepada orang lain apa yang harus dilakukan.</v>
      </c>
      <c r="BH135" s="105" t="str">
        <f>IFERROR(__xludf.DUMMYFUNCTION("""COMPUTED_VALUE"""),"B Apabila saya berkumpul dalam kelompok, saya ingin dihargai teman-teman.")</f>
        <v>B Apabila saya berkumpul dalam kelompok, saya ingin dihargai teman-teman.</v>
      </c>
      <c r="BI135" s="105" t="str">
        <f>IFERROR(__xludf.DUMMYFUNCTION("""COMPUTED_VALUE"""),"A Saya suka bermurah hati terhadap teman-teman saya.")</f>
        <v>A Saya suka bermurah hati terhadap teman-teman saya.</v>
      </c>
      <c r="BJ135" s="105" t="str">
        <f>IFERROR(__xludf.DUMMYFUNCTION("""COMPUTED_VALUE"""),"B Saya ingin menjadi pemimpin dalam kelompok di mana saya ada di situ")</f>
        <v>B Saya ingin menjadi pemimpin dalam kelompok di mana saya ada di situ</v>
      </c>
      <c r="BK135" s="105" t="str">
        <f>IFERROR(__xludf.DUMMYFUNCTION("""COMPUTED_VALUE"""),"A Saya ingin menyelesaikan pekerjaan satu persatu sebelum memulai yang lain.")</f>
        <v>A Saya ingin menyelesaikan pekerjaan satu persatu sebelum memulai yang lain.</v>
      </c>
      <c r="BL135" s="105" t="str">
        <f>IFERROR(__xludf.DUMMYFUNCTION("""COMPUTED_VALUE"""),"A Saya suka belajar saya teratur dan ada waktu-waktu tertentu untuk belajar.")</f>
        <v>A Saya suka belajar saya teratur dan ada waktu-waktu tertentu untuk belajar.</v>
      </c>
      <c r="BM135" s="105" t="str">
        <f>IFERROR(__xludf.DUMMYFUNCTION("""COMPUTED_VALUE"""),"A Saya suka melakukan pekerjaan sebaik mungkin.")</f>
        <v>A Saya suka melakukan pekerjaan sebaik mungkin.</v>
      </c>
      <c r="BN135" s="105" t="str">
        <f>IFERROR(__xludf.DUMMYFUNCTION("""COMPUTED_VALUE"""),"B Saya ingin teman-teman memberi dorongan bila saya menghadapi kegagalan.")</f>
        <v>B Saya ingin teman-teman memberi dorongan bila saya menghadapi kegagalan.</v>
      </c>
      <c r="BO135" s="105" t="str">
        <f>IFERROR(__xludf.DUMMYFUNCTION("""COMPUTED_VALUE"""),"B Saya ingin diperlakukan dengan baik oleh teman-teman saya.")</f>
        <v>B Saya ingin diperlakukan dengan baik oleh teman-teman saya.</v>
      </c>
      <c r="BP135" s="105" t="str">
        <f>IFERROR(__xludf.DUMMYFUNCTION("""COMPUTED_VALUE"""),"A Saya ingin menyelesaikan sesuatu yang sangat penting artinya.")</f>
        <v>A Saya ingin menyelesaikan sesuatu yang sangat penting artinya.</v>
      </c>
      <c r="BQ135" s="105" t="str">
        <f>IFERROR(__xludf.DUMMYFUNCTION("""COMPUTED_VALUE"""),"A Saya ingin mengerjakannya tugas sampai selesai.")</f>
        <v>A Saya ingin mengerjakannya tugas sampai selesai.</v>
      </c>
      <c r="BR135" s="105" t="str">
        <f>IFERROR(__xludf.DUMMYFUNCTION("""COMPUTED_VALUE"""),"A Saya suka memaafkan teman-teman saya yang menyakiti hati saya.")</f>
        <v>A Saya suka memaafkan teman-teman saya yang menyakiti hati saya.</v>
      </c>
      <c r="BS135" s="105" t="str">
        <f>IFERROR(__xludf.DUMMYFUNCTION("""COMPUTED_VALUE"""),"B Saya ingin teman-teman saya membantu saya bila saya mengalami kesulitan")</f>
        <v>B Saya ingin teman-teman saya membantu saya bila saya mengalami kesulitan</v>
      </c>
      <c r="BT135" s="105" t="str">
        <f>IFERROR(__xludf.DUMMYFUNCTION("""COMPUTED_VALUE"""),"B Saya ingin teman-teman banyak menunjukkan rasa sayang mereka terhadap saya.")</f>
        <v>B Saya ingin teman-teman banyak menunjukkan rasa sayang mereka terhadap saya.</v>
      </c>
      <c r="BU135" s="105" t="str">
        <f>IFERROR(__xludf.DUMMYFUNCTION("""COMPUTED_VALUE"""),"A Saya kadang-kadang suka melakukan hal-hal yang dapat dipuji oleh orang lain.")</f>
        <v>A Saya kadang-kadang suka melakukan hal-hal yang dapat dipuji oleh orang lain.</v>
      </c>
      <c r="BV135" s="105" t="str">
        <f>IFERROR(__xludf.DUMMYFUNCTION("""COMPUTED_VALUE"""),"B Saya ingin teman-teman dengan gembira memberikan pertolongan kepada saya.")</f>
        <v>B Saya ingin teman-teman dengan gembira memberikan pertolongan kepada saya.</v>
      </c>
      <c r="BW135" s="105" t="str">
        <f>IFERROR(__xludf.DUMMYFUNCTION("""COMPUTED_VALUE"""),"B Saya ingin diperlakukan dengan baik oleh teman-teman saya.")</f>
        <v>B Saya ingin diperlakukan dengan baik oleh teman-teman saya.</v>
      </c>
      <c r="BX135" s="105" t="str">
        <f>IFERROR(__xludf.DUMMYFUNCTION("""COMPUTED_VALUE"""),"B Saya kadang-kadang suka melakukan hal-hal yang dapat dipuji oleh orang lain.")</f>
        <v>B Saya kadang-kadang suka melakukan hal-hal yang dapat dipuji oleh orang lain.</v>
      </c>
      <c r="BY135" s="105" t="str">
        <f>IFERROR(__xludf.DUMMYFUNCTION("""COMPUTED_VALUE"""),"B Saya ingin orang lain memperhatikan dan berkomentar tentang penampilan saya.")</f>
        <v>B Saya ingin orang lain memperhatikan dan berkomentar tentang penampilan saya.</v>
      </c>
      <c r="BZ135" s="105" t="str">
        <f>IFERROR(__xludf.DUMMYFUNCTION("""COMPUTED_VALUE"""),"B Saya suka diperhatikan, apabila saya ada di dalam suatu kelompok.")</f>
        <v>B Saya suka diperhatikan, apabila saya ada di dalam suatu kelompok.</v>
      </c>
      <c r="CA135" s="105" t="str">
        <f>IFERROR(__xludf.DUMMYFUNCTION("""COMPUTED_VALUE"""),"B Saya suka mengajukan pertanyaan agar orang lain memperhatikan saya.")</f>
        <v>B Saya suka mengajukan pertanyaan agar orang lain memperhatikan saya.</v>
      </c>
      <c r="CB135" s="105" t="str">
        <f>IFERROR(__xludf.DUMMYFUNCTION("""COMPUTED_VALUE"""),"B Saya suka berbicara tentang hal-hal yang telah saya capai.")</f>
        <v>B Saya suka berbicara tentang hal-hal yang telah saya capai.</v>
      </c>
      <c r="CC135" s="105" t="str">
        <f>IFERROR(__xludf.DUMMYFUNCTION("""COMPUTED_VALUE"""),"A Apabila saya berkumpul dalam kelompok, saya ingin dihargai teman-teman.")</f>
        <v>A Apabila saya berkumpul dalam kelompok, saya ingin dihargai teman-teman.</v>
      </c>
      <c r="CD135" s="105" t="str">
        <f>IFERROR(__xludf.DUMMYFUNCTION("""COMPUTED_VALUE"""),"B Saya suka berkata yang artinya sulit dipahami oleh orang lain.")</f>
        <v>B Saya suka berkata yang artinya sulit dipahami oleh orang lain.</v>
      </c>
      <c r="CE135" s="105" t="str">
        <f>IFERROR(__xludf.DUMMYFUNCTION("""COMPUTED_VALUE"""),"A Saya suka menyelesaikan setiap tugas belajar yang telah saya mulai.")</f>
        <v>A Saya suka menyelesaikan setiap tugas belajar yang telah saya mulai.</v>
      </c>
      <c r="CF135" s="105" t="str">
        <f>IFERROR(__xludf.DUMMYFUNCTION("""COMPUTED_VALUE"""),"A Saya ingin agar hidup saya teratur sesuai cita-cita saya.")</f>
        <v>A Saya ingin agar hidup saya teratur sesuai cita-cita saya.</v>
      </c>
      <c r="CG135" s="105" t="str">
        <f>IFERROR(__xludf.DUMMYFUNCTION("""COMPUTED_VALUE"""),"A Saya ingin berhasil dalam apa yang saya lakukan.")</f>
        <v>A Saya ingin berhasil dalam apa yang saya lakukan.</v>
      </c>
      <c r="CH135" s="105" t="str">
        <f>IFERROR(__xludf.DUMMYFUNCTION("""COMPUTED_VALUE"""),"B Saya suka dengan orang yang berpenampilan menarik.")</f>
        <v>B Saya suka dengan orang yang berpenampilan menarik.</v>
      </c>
      <c r="CI135" s="105" t="str">
        <f>IFERROR(__xludf.DUMMYFUNCTION("""COMPUTED_VALUE"""),"A Saya suka belajar saya teratur dan ada waktu-waktu tertentu untuk belajar.")</f>
        <v>A Saya suka belajar saya teratur dan ada waktu-waktu tertentu untuk belajar.</v>
      </c>
      <c r="CJ135" s="105" t="str">
        <f>IFERROR(__xludf.DUMMYFUNCTION("""COMPUTED_VALUE"""),"B Saya suka kalau bercerita tentang hal-hal pribadi yang seharusnya tidak perlu diketahui orang lain.")</f>
        <v>B Saya suka kalau bercerita tentang hal-hal pribadi yang seharusnya tidak perlu diketahui orang lain.</v>
      </c>
      <c r="CK135" s="105" t="str">
        <f>IFERROR(__xludf.DUMMYFUNCTION("""COMPUTED_VALUE"""),"B Saya senang ikut beraktivitas bersama teman sebaya saya.")</f>
        <v>B Saya senang ikut beraktivitas bersama teman sebaya saya.</v>
      </c>
      <c r="CL135" s="105" t="str">
        <f>IFERROR(__xludf.DUMMYFUNCTION("""COMPUTED_VALUE"""),"B Saya berkeinginan untuk bersama teman yang menurut saya menarik.")</f>
        <v>B Saya berkeinginan untuk bersama teman yang menurut saya menarik.</v>
      </c>
      <c r="CM135" s="105" t="str">
        <f>IFERROR(__xludf.DUMMYFUNCTION("""COMPUTED_VALUE"""),"B Saya merasa kagum pada seseorang.")</f>
        <v>B Saya merasa kagum pada seseorang.</v>
      </c>
      <c r="CN135" s="105" t="str">
        <f>IFERROR(__xludf.DUMMYFUNCTION("""COMPUTED_VALUE"""),"A Saya ingin diperlakukan dengan baik oleh teman-teman saya.")</f>
        <v>A Saya ingin diperlakukan dengan baik oleh teman-teman saya.</v>
      </c>
      <c r="CO135" s="105" t="str">
        <f>IFERROR(__xludf.DUMMYFUNCTION("""COMPUTED_VALUE"""),"B Saya suka memuji orang yang saya kagumi.")</f>
        <v>B Saya suka memuji orang yang saya kagumi.</v>
      </c>
      <c r="CP135" s="105" t="str">
        <f>IFERROR(__xludf.DUMMYFUNCTION("""COMPUTED_VALUE"""),"A Saya suka melamun atau membayangkan sesuatu sendirian.")</f>
        <v>A Saya suka melamun atau membayangkan sesuatu sendirian.</v>
      </c>
      <c r="CQ135" s="105" t="str">
        <f>IFERROR(__xludf.DUMMYFUNCTION("""COMPUTED_VALUE"""),"B Saya merasa kagum pada seseorang.")</f>
        <v>B Saya merasa kagum pada seseorang.</v>
      </c>
      <c r="CR135" s="105" t="str">
        <f>IFERROR(__xludf.DUMMYFUNCTION("""COMPUTED_VALUE"""),"A Saya ingin memperolok-olok orang yang saya anggap melakukan tindakan bodoh.")</f>
        <v>A Saya ingin memperolok-olok orang yang saya anggap melakukan tindakan bodoh.</v>
      </c>
      <c r="CS135" s="105" t="str">
        <f>IFERROR(__xludf.DUMMYFUNCTION("""COMPUTED_VALUE"""),"A Saya ingin terlihat menarik di depan teman-teman saya.")</f>
        <v>A Saya ingin terlihat menarik di depan teman-teman saya.</v>
      </c>
      <c r="CT135" s="105" t="str">
        <f>IFERROR(__xludf.DUMMYFUNCTION("""COMPUTED_VALUE"""),"A Saya ingin orang-orang memperhatikan komentar mengenai penampilan saya.")</f>
        <v>A Saya ingin orang-orang memperhatikan komentar mengenai penampilan saya.</v>
      </c>
      <c r="CU135" s="105" t="str">
        <f>IFERROR(__xludf.DUMMYFUNCTION("""COMPUTED_VALUE"""),"A Saya ingin diperlakukan dengan ramah oleh teman-teman saya.")</f>
        <v>A Saya ingin diperlakukan dengan ramah oleh teman-teman saya.</v>
      </c>
      <c r="CV135" s="105" t="str">
        <f>IFERROR(__xludf.DUMMYFUNCTION("""COMPUTED_VALUE"""),"A Saya ingin ditunjuk atau dipilih sebagai ketua dalam suatu kelompok.")</f>
        <v>A Saya ingin ditunjuk atau dipilih sebagai ketua dalam suatu kelompok.</v>
      </c>
      <c r="CW135" s="105" t="str">
        <f>IFERROR(__xludf.DUMMYFUNCTION("""COMPUTED_VALUE"""),"B Saya mengatakan kepada orang lain bagaimana pendapat saya terhadap mereka.")</f>
        <v>B Saya mengatakan kepada orang lain bagaimana pendapat saya terhadap mereka.</v>
      </c>
      <c r="CX135" s="105" t="str">
        <f>IFERROR(__xludf.DUMMYFUNCTION("""COMPUTED_VALUE"""),"A Saya suka belajar sampai malam untuk menyelesaikan suatu tugas.")</f>
        <v>A Saya suka belajar sampai malam untuk menyelesaikan suatu tugas.</v>
      </c>
      <c r="CY135" s="105" t="str">
        <f>IFERROR(__xludf.DUMMYFUNCTION("""COMPUTED_VALUE"""),"A Saya ingin tidak tergantung dari orang lain terhadap apa yang akan saya lakukan.")</f>
        <v>A Saya ingin tidak tergantung dari orang lain terhadap apa yang akan saya lakukan.</v>
      </c>
      <c r="CZ135" s="105" t="str">
        <f>IFERROR(__xludf.DUMMYFUNCTION("""COMPUTED_VALUE"""),"A Saya suka merencanakan dan mengatur setiap pekerjaan yang harus saya lakukan.")</f>
        <v>A Saya suka merencanakan dan mengatur setiap pekerjaan yang harus saya lakukan.</v>
      </c>
      <c r="DA135" s="105" t="str">
        <f>IFERROR(__xludf.DUMMYFUNCTION("""COMPUTED_VALUE"""),"A Saya ingin melakukan apa saja sebaik mungkin.")</f>
        <v>A Saya ingin melakukan apa saja sebaik mungkin.</v>
      </c>
      <c r="DB135" s="89" t="s">
        <v>23</v>
      </c>
      <c r="DC135" s="97" t="str">
        <f t="shared" ref="DC135:GX135" si="180">LEFT(F135,1)</f>
        <v>B</v>
      </c>
      <c r="DD135" s="97" t="str">
        <f t="shared" si="180"/>
        <v>A</v>
      </c>
      <c r="DE135" s="97" t="str">
        <f t="shared" si="180"/>
        <v>B</v>
      </c>
      <c r="DF135" s="97" t="str">
        <f t="shared" si="180"/>
        <v>B</v>
      </c>
      <c r="DG135" s="97" t="str">
        <f t="shared" si="180"/>
        <v>A</v>
      </c>
      <c r="DH135" s="97" t="str">
        <f t="shared" si="180"/>
        <v>B</v>
      </c>
      <c r="DI135" s="97" t="str">
        <f t="shared" si="180"/>
        <v>B</v>
      </c>
      <c r="DJ135" s="97" t="str">
        <f t="shared" si="180"/>
        <v>A</v>
      </c>
      <c r="DK135" s="97" t="str">
        <f t="shared" si="180"/>
        <v>B</v>
      </c>
      <c r="DL135" s="97" t="str">
        <f t="shared" si="180"/>
        <v>B</v>
      </c>
      <c r="DM135" s="97" t="str">
        <f t="shared" si="180"/>
        <v>B</v>
      </c>
      <c r="DN135" s="97" t="str">
        <f t="shared" si="180"/>
        <v>B</v>
      </c>
      <c r="DO135" s="97" t="str">
        <f t="shared" si="180"/>
        <v>B</v>
      </c>
      <c r="DP135" s="97" t="str">
        <f t="shared" si="180"/>
        <v>B</v>
      </c>
      <c r="DQ135" s="97" t="str">
        <f t="shared" si="180"/>
        <v>B</v>
      </c>
      <c r="DR135" s="97" t="str">
        <f t="shared" si="180"/>
        <v>A</v>
      </c>
      <c r="DS135" s="97" t="str">
        <f t="shared" si="180"/>
        <v>B</v>
      </c>
      <c r="DT135" s="97" t="str">
        <f t="shared" si="180"/>
        <v>A</v>
      </c>
      <c r="DU135" s="97" t="str">
        <f t="shared" si="180"/>
        <v>A</v>
      </c>
      <c r="DV135" s="97" t="str">
        <f t="shared" si="180"/>
        <v>B</v>
      </c>
      <c r="DW135" s="97" t="str">
        <f t="shared" si="180"/>
        <v>A</v>
      </c>
      <c r="DX135" s="97" t="str">
        <f t="shared" si="180"/>
        <v>B</v>
      </c>
      <c r="DY135" s="97" t="str">
        <f t="shared" si="180"/>
        <v>B</v>
      </c>
      <c r="DZ135" s="97" t="str">
        <f t="shared" si="180"/>
        <v>A</v>
      </c>
      <c r="EA135" s="97" t="str">
        <f t="shared" si="180"/>
        <v>A</v>
      </c>
      <c r="EB135" s="97" t="str">
        <f t="shared" si="180"/>
        <v>A</v>
      </c>
      <c r="EC135" s="97" t="str">
        <f t="shared" si="180"/>
        <v>B</v>
      </c>
      <c r="ED135" s="97" t="str">
        <f t="shared" si="180"/>
        <v>B</v>
      </c>
      <c r="EE135" s="97" t="str">
        <f t="shared" si="180"/>
        <v>A</v>
      </c>
      <c r="EF135" s="97" t="str">
        <f t="shared" si="180"/>
        <v>B</v>
      </c>
      <c r="EG135" s="97" t="str">
        <f t="shared" si="180"/>
        <v>B</v>
      </c>
      <c r="EH135" s="97" t="str">
        <f t="shared" si="180"/>
        <v>B</v>
      </c>
      <c r="EI135" s="97" t="str">
        <f t="shared" si="180"/>
        <v>B</v>
      </c>
      <c r="EJ135" s="97" t="str">
        <f t="shared" si="180"/>
        <v>B</v>
      </c>
      <c r="EK135" s="97" t="str">
        <f t="shared" si="180"/>
        <v>A</v>
      </c>
      <c r="EL135" s="97" t="str">
        <f t="shared" si="180"/>
        <v>A</v>
      </c>
      <c r="EM135" s="97" t="str">
        <f t="shared" si="180"/>
        <v>A</v>
      </c>
      <c r="EN135" s="97" t="str">
        <f t="shared" si="180"/>
        <v>A</v>
      </c>
      <c r="EO135" s="97" t="str">
        <f t="shared" si="180"/>
        <v>A</v>
      </c>
      <c r="EP135" s="97" t="str">
        <f t="shared" si="180"/>
        <v>A</v>
      </c>
      <c r="EQ135" s="97" t="str">
        <f t="shared" si="180"/>
        <v>A</v>
      </c>
      <c r="ER135" s="97" t="str">
        <f t="shared" si="180"/>
        <v>B</v>
      </c>
      <c r="ES135" s="97" t="str">
        <f t="shared" si="180"/>
        <v>B</v>
      </c>
      <c r="ET135" s="97" t="str">
        <f t="shared" si="180"/>
        <v>A</v>
      </c>
      <c r="EU135" s="97" t="str">
        <f t="shared" si="180"/>
        <v>B</v>
      </c>
      <c r="EV135" s="97" t="str">
        <f t="shared" si="180"/>
        <v>B</v>
      </c>
      <c r="EW135" s="97" t="str">
        <f t="shared" si="180"/>
        <v>B</v>
      </c>
      <c r="EX135" s="97" t="str">
        <f t="shared" si="180"/>
        <v>B</v>
      </c>
      <c r="EY135" s="97" t="str">
        <f t="shared" si="180"/>
        <v>B</v>
      </c>
      <c r="EZ135" s="97" t="str">
        <f t="shared" si="180"/>
        <v>B</v>
      </c>
      <c r="FA135" s="97" t="str">
        <f t="shared" si="180"/>
        <v>B</v>
      </c>
      <c r="FB135" s="97" t="str">
        <f t="shared" si="180"/>
        <v>B</v>
      </c>
      <c r="FC135" s="97" t="str">
        <f t="shared" si="180"/>
        <v>B</v>
      </c>
      <c r="FD135" s="97" t="str">
        <f t="shared" si="180"/>
        <v>B</v>
      </c>
      <c r="FE135" s="97" t="str">
        <f t="shared" si="180"/>
        <v>B</v>
      </c>
      <c r="FF135" s="97" t="str">
        <f t="shared" si="180"/>
        <v>A</v>
      </c>
      <c r="FG135" s="97" t="str">
        <f t="shared" si="180"/>
        <v>B</v>
      </c>
      <c r="FH135" s="97" t="str">
        <f t="shared" si="180"/>
        <v>A</v>
      </c>
      <c r="FI135" s="97" t="str">
        <f t="shared" si="180"/>
        <v>A</v>
      </c>
      <c r="FJ135" s="97" t="str">
        <f t="shared" si="180"/>
        <v>A</v>
      </c>
      <c r="FK135" s="97" t="str">
        <f t="shared" si="180"/>
        <v>B</v>
      </c>
      <c r="FL135" s="97" t="str">
        <f t="shared" si="180"/>
        <v>B</v>
      </c>
      <c r="FM135" s="97" t="str">
        <f t="shared" si="180"/>
        <v>A</v>
      </c>
      <c r="FN135" s="97" t="str">
        <f t="shared" si="180"/>
        <v>A</v>
      </c>
      <c r="FO135" s="97" t="str">
        <f t="shared" si="180"/>
        <v>A</v>
      </c>
      <c r="FP135" s="97" t="str">
        <f t="shared" si="180"/>
        <v>B</v>
      </c>
      <c r="FQ135" s="97" t="str">
        <f t="shared" si="180"/>
        <v>B</v>
      </c>
      <c r="FR135" s="97" t="str">
        <f t="shared" si="180"/>
        <v>A</v>
      </c>
      <c r="FS135" s="97" t="str">
        <f t="shared" si="180"/>
        <v>B</v>
      </c>
      <c r="FT135" s="97" t="str">
        <f t="shared" si="180"/>
        <v>B</v>
      </c>
      <c r="FU135" s="97" t="str">
        <f t="shared" si="180"/>
        <v>B</v>
      </c>
      <c r="FV135" s="97" t="str">
        <f t="shared" si="180"/>
        <v>B</v>
      </c>
      <c r="FW135" s="97" t="str">
        <f t="shared" si="180"/>
        <v>B</v>
      </c>
      <c r="FX135" s="97" t="str">
        <f t="shared" si="180"/>
        <v>B</v>
      </c>
      <c r="FY135" s="97" t="str">
        <f t="shared" si="180"/>
        <v>B</v>
      </c>
      <c r="FZ135" s="97" t="str">
        <f t="shared" si="180"/>
        <v>A</v>
      </c>
      <c r="GA135" s="97" t="str">
        <f t="shared" si="180"/>
        <v>B</v>
      </c>
      <c r="GB135" s="97" t="str">
        <f t="shared" si="180"/>
        <v>A</v>
      </c>
      <c r="GC135" s="97" t="str">
        <f t="shared" si="180"/>
        <v>A</v>
      </c>
      <c r="GD135" s="97" t="str">
        <f t="shared" si="180"/>
        <v>A</v>
      </c>
      <c r="GE135" s="97" t="str">
        <f t="shared" si="180"/>
        <v>B</v>
      </c>
      <c r="GF135" s="97" t="str">
        <f t="shared" si="180"/>
        <v>A</v>
      </c>
      <c r="GG135" s="97" t="str">
        <f t="shared" si="180"/>
        <v>B</v>
      </c>
      <c r="GH135" s="97" t="str">
        <f t="shared" si="180"/>
        <v>B</v>
      </c>
      <c r="GI135" s="97" t="str">
        <f t="shared" si="180"/>
        <v>B</v>
      </c>
      <c r="GJ135" s="97" t="str">
        <f t="shared" si="180"/>
        <v>B</v>
      </c>
      <c r="GK135" s="97" t="str">
        <f t="shared" si="180"/>
        <v>A</v>
      </c>
      <c r="GL135" s="97" t="str">
        <f t="shared" si="180"/>
        <v>B</v>
      </c>
      <c r="GM135" s="97" t="str">
        <f t="shared" si="180"/>
        <v>A</v>
      </c>
      <c r="GN135" s="97" t="str">
        <f t="shared" si="180"/>
        <v>B</v>
      </c>
      <c r="GO135" s="97" t="str">
        <f t="shared" si="180"/>
        <v>A</v>
      </c>
      <c r="GP135" s="97" t="str">
        <f t="shared" si="180"/>
        <v>A</v>
      </c>
      <c r="GQ135" s="97" t="str">
        <f t="shared" si="180"/>
        <v>A</v>
      </c>
      <c r="GR135" s="97" t="str">
        <f t="shared" si="180"/>
        <v>A</v>
      </c>
      <c r="GS135" s="97" t="str">
        <f t="shared" si="180"/>
        <v>A</v>
      </c>
      <c r="GT135" s="97" t="str">
        <f t="shared" si="180"/>
        <v>B</v>
      </c>
      <c r="GU135" s="97" t="str">
        <f t="shared" si="180"/>
        <v>A</v>
      </c>
      <c r="GV135" s="97" t="str">
        <f t="shared" si="180"/>
        <v>A</v>
      </c>
      <c r="GW135" s="97" t="str">
        <f t="shared" si="180"/>
        <v>A</v>
      </c>
      <c r="GX135" s="97" t="str">
        <f t="shared" si="180"/>
        <v>A</v>
      </c>
      <c r="GY135" s="98"/>
      <c r="GZ135" s="97">
        <f t="shared" si="3"/>
        <v>43</v>
      </c>
      <c r="HA135" s="97">
        <f t="shared" si="4"/>
        <v>57</v>
      </c>
      <c r="HB135" s="90">
        <f t="shared" si="5"/>
        <v>100</v>
      </c>
      <c r="HC135" s="99"/>
      <c r="HD135" s="97">
        <f t="shared" si="6"/>
        <v>6</v>
      </c>
      <c r="HE135" s="97">
        <f t="shared" si="7"/>
        <v>6</v>
      </c>
      <c r="HF135" s="90">
        <f t="shared" si="8"/>
        <v>12</v>
      </c>
      <c r="HG135" s="99"/>
      <c r="HH135" s="97">
        <f t="shared" si="9"/>
        <v>6</v>
      </c>
      <c r="HI135" s="97">
        <f t="shared" si="10"/>
        <v>7</v>
      </c>
      <c r="HJ135" s="90">
        <f t="shared" si="11"/>
        <v>13</v>
      </c>
      <c r="HK135" s="99"/>
      <c r="HL135" s="97">
        <f t="shared" si="12"/>
        <v>6</v>
      </c>
      <c r="HM135" s="97">
        <f t="shared" si="13"/>
        <v>5</v>
      </c>
      <c r="HN135" s="90">
        <f t="shared" si="14"/>
        <v>11</v>
      </c>
      <c r="HO135" s="99"/>
      <c r="HP135" s="97">
        <f t="shared" si="15"/>
        <v>4</v>
      </c>
      <c r="HQ135" s="97">
        <f t="shared" si="16"/>
        <v>4</v>
      </c>
      <c r="HR135" s="90">
        <f t="shared" si="17"/>
        <v>8</v>
      </c>
      <c r="HS135" s="99"/>
      <c r="HT135" s="97">
        <f t="shared" si="18"/>
        <v>7</v>
      </c>
      <c r="HU135" s="97">
        <f t="shared" si="19"/>
        <v>8</v>
      </c>
      <c r="HV135" s="90">
        <f t="shared" si="20"/>
        <v>15</v>
      </c>
      <c r="HW135" s="99"/>
      <c r="HX135" s="97">
        <f t="shared" si="21"/>
        <v>3</v>
      </c>
      <c r="HY135" s="97">
        <f t="shared" si="22"/>
        <v>6</v>
      </c>
      <c r="HZ135" s="90">
        <f t="shared" si="23"/>
        <v>9</v>
      </c>
      <c r="IA135" s="99"/>
      <c r="IB135" s="97">
        <f t="shared" si="24"/>
        <v>2</v>
      </c>
      <c r="IC135" s="97">
        <f t="shared" si="25"/>
        <v>6</v>
      </c>
      <c r="ID135" s="90">
        <f t="shared" si="26"/>
        <v>8</v>
      </c>
      <c r="IE135" s="99"/>
      <c r="IF135" s="97">
        <f t="shared" si="27"/>
        <v>3</v>
      </c>
      <c r="IG135" s="97">
        <f t="shared" si="28"/>
        <v>6</v>
      </c>
      <c r="IH135" s="90">
        <f t="shared" si="29"/>
        <v>9</v>
      </c>
      <c r="II135" s="99"/>
      <c r="IJ135" s="97">
        <f t="shared" si="30"/>
        <v>2</v>
      </c>
      <c r="IK135" s="97">
        <f t="shared" si="31"/>
        <v>7</v>
      </c>
      <c r="IL135" s="90">
        <f t="shared" si="32"/>
        <v>9</v>
      </c>
      <c r="IM135" s="99"/>
      <c r="IN135" s="97">
        <f t="shared" si="33"/>
        <v>0</v>
      </c>
      <c r="IO135" s="97">
        <f t="shared" si="34"/>
        <v>1</v>
      </c>
      <c r="IP135" s="90">
        <f t="shared" si="35"/>
        <v>1</v>
      </c>
      <c r="IS135" s="100">
        <f t="shared" si="36"/>
        <v>12</v>
      </c>
      <c r="IT135" s="100">
        <f t="shared" si="37"/>
        <v>13</v>
      </c>
      <c r="IU135" s="100">
        <f t="shared" si="38"/>
        <v>11</v>
      </c>
      <c r="IV135" s="100">
        <f t="shared" si="39"/>
        <v>8</v>
      </c>
      <c r="IW135" s="100">
        <f t="shared" si="40"/>
        <v>15</v>
      </c>
      <c r="IX135" s="100">
        <f t="shared" si="41"/>
        <v>9</v>
      </c>
      <c r="IY135" s="100">
        <f t="shared" si="42"/>
        <v>8</v>
      </c>
      <c r="IZ135" s="100">
        <f t="shared" si="43"/>
        <v>9</v>
      </c>
      <c r="JA135" s="100">
        <f t="shared" si="44"/>
        <v>9</v>
      </c>
      <c r="JB135" s="101">
        <f t="shared" si="45"/>
        <v>1</v>
      </c>
      <c r="JC135" s="102">
        <f t="shared" si="46"/>
        <v>95</v>
      </c>
      <c r="JD135" s="67">
        <f t="shared" si="50"/>
        <v>0</v>
      </c>
      <c r="JE135" s="67">
        <f t="shared" si="47"/>
        <v>0</v>
      </c>
      <c r="JF135" s="67">
        <f t="shared" si="48"/>
        <v>0</v>
      </c>
    </row>
    <row r="136">
      <c r="A136" s="104">
        <f>IFERROR(__xludf.DUMMYFUNCTION("""COMPUTED_VALUE"""),45971.828149305555)</f>
        <v>45971.82815</v>
      </c>
      <c r="B136" s="105" t="str">
        <f>IFERROR(__xludf.DUMMYFUNCTION("""COMPUTED_VALUE"""),"Zihan Muzainah Zein ")</f>
        <v>Zihan Muzainah Zein </v>
      </c>
      <c r="C136" s="7" t="str">
        <f>IFERROR(__xludf.DUMMYFUNCTION("""COMPUTED_VALUE"""),"D250031")</f>
        <v>D250031</v>
      </c>
      <c r="D136" s="7" t="str">
        <f>IFERROR(__xludf.DUMMYFUNCTION("""COMPUTED_VALUE"""),"MTs Putri")</f>
        <v>MTs Putri</v>
      </c>
      <c r="E136" s="7" t="str">
        <f>IFERROR(__xludf.DUMMYFUNCTION("""COMPUTED_VALUE"""),"Ya")</f>
        <v>Ya</v>
      </c>
      <c r="F136" s="105" t="str">
        <f>IFERROR(__xludf.DUMMYFUNCTION("""COMPUTED_VALUE"""),"B Saya ingin melakukan apa saja sebaik mungkin.")</f>
        <v>B Saya ingin melakukan apa saja sebaik mungkin.</v>
      </c>
      <c r="G136" s="105" t="str">
        <f>IFERROR(__xludf.DUMMYFUNCTION("""COMPUTED_VALUE"""),"A Saya ingin setiap tulisan saya teliti, rapi, dan tersusun dengan baik.")</f>
        <v>A Saya ingin setiap tulisan saya teliti, rapi, dan tersusun dengan baik.</v>
      </c>
      <c r="H136" s="105" t="str">
        <f>IFERROR(__xludf.DUMMYFUNCTION("""COMPUTED_VALUE"""),"A Saya ingin berbuat sesuai kata hati saya.")</f>
        <v>A Saya ingin berbuat sesuai kata hati saya.</v>
      </c>
      <c r="I136" s="105" t="str">
        <f>IFERROR(__xludf.DUMMYFUNCTION("""COMPUTED_VALUE"""),"A Saya suka belajar keras pada tiap pelajaran yang saya hadapi.")</f>
        <v>A Saya suka belajar keras pada tiap pelajaran yang saya hadapi.</v>
      </c>
      <c r="J136" s="105" t="str">
        <f>IFERROR(__xludf.DUMMYFUNCTION("""COMPUTED_VALUE"""),"A Saya suka membantu teman-teman saya apabila mereka mengalami kesulitan.")</f>
        <v>A Saya suka membantu teman-teman saya apabila mereka mengalami kesulitan.</v>
      </c>
      <c r="K136" s="105" t="str">
        <f>IFERROR(__xludf.DUMMYFUNCTION("""COMPUTED_VALUE"""),"B Saya ingin mengatakan telah melakukan dengan baik sesuatu tugas yang sulit.")</f>
        <v>B Saya ingin mengatakan telah melakukan dengan baik sesuatu tugas yang sulit.</v>
      </c>
      <c r="L136" s="105" t="str">
        <f>IFERROR(__xludf.DUMMYFUNCTION("""COMPUTED_VALUE"""),"B Saya ingin mengatakan telah melakukan dengan baik sesuatu tugas yang sulit")</f>
        <v>B Saya ingin mengatakan telah melakukan dengan baik sesuatu tugas yang sulit</v>
      </c>
      <c r="M136" s="105" t="str">
        <f>IFERROR(__xludf.DUMMYFUNCTION("""COMPUTED_VALUE"""),"B Saya ingin mengerjakan segala tugas lebih baik daripada orang lain.")</f>
        <v>B Saya ingin mengerjakan segala tugas lebih baik daripada orang lain.</v>
      </c>
      <c r="N136" s="105" t="str">
        <f>IFERROR(__xludf.DUMMYFUNCTION("""COMPUTED_VALUE"""),"B Saya suka memecahkan persoalan yang sukar bagi orang lain.")</f>
        <v>B Saya suka memecahkan persoalan yang sukar bagi orang lain.</v>
      </c>
      <c r="O136" s="105" t="str">
        <f>IFERROR(__xludf.DUMMYFUNCTION("""COMPUTED_VALUE"""),"B Saya suka melakukan tugas sebaik mungkin.")</f>
        <v>B Saya suka melakukan tugas sebaik mungkin.</v>
      </c>
      <c r="P136" s="105" t="str">
        <f>IFERROR(__xludf.DUMMYFUNCTION("""COMPUTED_VALUE"""),"B Saya ingin setiap belajar itu teratur dan direncanakan.")</f>
        <v>B Saya ingin setiap belajar itu teratur dan direncanakan.</v>
      </c>
      <c r="Q136" s="105" t="str">
        <f>IFERROR(__xludf.DUMMYFUNCTION("""COMPUTED_VALUE"""),"B Saya merencanakan keperluan yang dibutuhkan sebelum bepergian.")</f>
        <v>B Saya merencanakan keperluan yang dibutuhkan sebelum bepergian.</v>
      </c>
      <c r="R136" s="105" t="str">
        <f>IFERROR(__xludf.DUMMYFUNCTION("""COMPUTED_VALUE"""),"B Saya suka barang-barang saya tersusun rapi dan teratur.")</f>
        <v>B Saya suka barang-barang saya tersusun rapi dan teratur.</v>
      </c>
      <c r="S136" s="105" t="str">
        <f>IFERROR(__xludf.DUMMYFUNCTION("""COMPUTED_VALUE"""),"B Saya suka membuat perencanaan sebelum memulai tugas yang sulit.")</f>
        <v>B Saya suka membuat perencanaan sebelum memulai tugas yang sulit.</v>
      </c>
      <c r="T136" s="105" t="str">
        <f>IFERROR(__xludf.DUMMYFUNCTION("""COMPUTED_VALUE"""),"B Saya ingin agar hidup saya teratur sesuai cita-cita saya.")</f>
        <v>B Saya ingin agar hidup saya teratur sesuai cita-cita saya.</v>
      </c>
      <c r="U136" s="105" t="str">
        <f>IFERROR(__xludf.DUMMYFUNCTION("""COMPUTED_VALUE"""),"A Saya suka memberikan bantuan kepada teman-teman saya.")</f>
        <v>A Saya suka memberikan bantuan kepada teman-teman saya.</v>
      </c>
      <c r="V136" s="105" t="str">
        <f>IFERROR(__xludf.DUMMYFUNCTION("""COMPUTED_VALUE"""),"B Saya suka belajar saya teratur dan ada waktu-waktu tertentu untuk belajar.")</f>
        <v>B Saya suka belajar saya teratur dan ada waktu-waktu tertentu untuk belajar.</v>
      </c>
      <c r="W136" s="105" t="str">
        <f>IFERROR(__xludf.DUMMYFUNCTION("""COMPUTED_VALUE"""),"B Saya ingin kegiatan itu teratur dan direncanakan.")</f>
        <v>B Saya ingin kegiatan itu teratur dan direncanakan.</v>
      </c>
      <c r="X136" s="105" t="str">
        <f>IFERROR(__xludf.DUMMYFUNCTION("""COMPUTED_VALUE"""),"B Saya ingin agar hidup saya teratur sesuai cita-cita saya.")</f>
        <v>B Saya ingin agar hidup saya teratur sesuai cita-cita saya.</v>
      </c>
      <c r="Y136" s="105" t="str">
        <f>IFERROR(__xludf.DUMMYFUNCTION("""COMPUTED_VALUE"""),"A Saya suka menyelesaikan tugas-tugas yang membutuhkan ketrampilan dan usaha.")</f>
        <v>A Saya suka menyelesaikan tugas-tugas yang membutuhkan ketrampilan dan usaha.</v>
      </c>
      <c r="Z136" s="105" t="str">
        <f>IFERROR(__xludf.DUMMYFUNCTION("""COMPUTED_VALUE"""),"A Saya ingin berhasil dengan belajar yang saya lakukan.")</f>
        <v>A Saya ingin berhasil dengan belajar yang saya lakukan.</v>
      </c>
      <c r="AA136" s="105" t="str">
        <f>IFERROR(__xludf.DUMMYFUNCTION("""COMPUTED_VALUE"""),"A Saya suka menyelesaikan tugas yang telah saya rencanakan.")</f>
        <v>A Saya suka menyelesaikan tugas yang telah saya rencanakan.</v>
      </c>
      <c r="AB136" s="105" t="str">
        <f>IFERROR(__xludf.DUMMYFUNCTION("""COMPUTED_VALUE"""),"B Saya ingin menyelesaikan pekerjaan satu persatu sebelum memulai yang lain.")</f>
        <v>B Saya ingin menyelesaikan pekerjaan satu persatu sebelum memulai yang lain.</v>
      </c>
      <c r="AC136" s="105" t="str">
        <f>IFERROR(__xludf.DUMMYFUNCTION("""COMPUTED_VALUE"""),"B Saya suka melakukan kegiatan sesuai kondisi yang saya inginkan.")</f>
        <v>B Saya suka melakukan kegiatan sesuai kondisi yang saya inginkan.</v>
      </c>
      <c r="AD136" s="105" t="str">
        <f>IFERROR(__xludf.DUMMYFUNCTION("""COMPUTED_VALUE"""),"B Saya suka menyatakan pendapat saya tentang berbagai hal.")</f>
        <v>B Saya suka menyatakan pendapat saya tentang berbagai hal.</v>
      </c>
      <c r="AE136" s="105" t="str">
        <f>IFERROR(__xludf.DUMMYFUNCTION("""COMPUTED_VALUE"""),"B Saya suka melakukan hal-hal yang dianggap orang lain tidak sesuai.")</f>
        <v>B Saya suka melakukan hal-hal yang dianggap orang lain tidak sesuai.</v>
      </c>
      <c r="AF136" s="105" t="str">
        <f>IFERROR(__xludf.DUMMYFUNCTION("""COMPUTED_VALUE"""),"B Saya suka melakukan hal-hal dengan cara saya sendiri.")</f>
        <v>B Saya suka melakukan hal-hal dengan cara saya sendiri.</v>
      </c>
      <c r="AG136" s="105" t="str">
        <f>IFERROR(__xludf.DUMMYFUNCTION("""COMPUTED_VALUE"""),"A Saya mengajari orang lain bagaimana mereka harus melakukan pekerjaan mereka.")</f>
        <v>A Saya mengajari orang lain bagaimana mereka harus melakukan pekerjaan mereka.</v>
      </c>
      <c r="AH136" s="105" t="str">
        <f>IFERROR(__xludf.DUMMYFUNCTION("""COMPUTED_VALUE"""),"B Saya ingin merasa bebas untuk melakukan apa yang saya kehendaki.")</f>
        <v>B Saya ingin merasa bebas untuk melakukan apa yang saya kehendaki.</v>
      </c>
      <c r="AI136" s="105" t="str">
        <f>IFERROR(__xludf.DUMMYFUNCTION("""COMPUTED_VALUE"""),"B Saya suka melakukan kegiatan sesuai kondisi yang saya inginkan.")</f>
        <v>B Saya suka melakukan kegiatan sesuai kondisi yang saya inginkan.</v>
      </c>
      <c r="AJ136" s="105" t="str">
        <f>IFERROR(__xludf.DUMMYFUNCTION("""COMPUTED_VALUE"""),"B Saya suka bertahan menghadapi satu masalah meskipun belum tentu berhasil.")</f>
        <v>B Saya suka bertahan menghadapi satu masalah meskipun belum tentu berhasil.</v>
      </c>
      <c r="AK136" s="105" t="str">
        <f>IFERROR(__xludf.DUMMYFUNCTION("""COMPUTED_VALUE"""),"B Bila saya harus melakukan suatu tugas, saya ingin mengerjakan sampai selesai.")</f>
        <v>B Bila saya harus melakukan suatu tugas, saya ingin mengerjakan sampai selesai.</v>
      </c>
      <c r="AL136" s="105" t="str">
        <f>IFERROR(__xludf.DUMMYFUNCTION("""COMPUTED_VALUE"""),"B Saya ingin menghindarkan gangguan bila saya sedang belajar.")</f>
        <v>B Saya ingin menghindarkan gangguan bila saya sedang belajar.</v>
      </c>
      <c r="AM136" s="105" t="str">
        <f>IFERROR(__xludf.DUMMYFUNCTION("""COMPUTED_VALUE"""),"B Saya suka belajar sampai malam untuk menyelesaikan suatu tugas.")</f>
        <v>B Saya suka belajar sampai malam untuk menyelesaikan suatu tugas.</v>
      </c>
      <c r="AN136" s="105" t="str">
        <f>IFERROR(__xludf.DUMMYFUNCTION("""COMPUTED_VALUE"""),"A Saya tidak suka pada orang yang semena-mena.")</f>
        <v>A Saya tidak suka pada orang yang semena-mena.</v>
      </c>
      <c r="AO136" s="105" t="str">
        <f>IFERROR(__xludf.DUMMYFUNCTION("""COMPUTED_VALUE"""),"A Saya suka berlaku sangat ramah terhadap teman-teman saya.")</f>
        <v>A Saya suka berlaku sangat ramah terhadap teman-teman saya.</v>
      </c>
      <c r="AP136" s="105" t="str">
        <f>IFERROR(__xludf.DUMMYFUNCTION("""COMPUTED_VALUE"""),"B Saya suka bertahan menghadapi satu masalah meskipun belum tentu berhasil.")</f>
        <v>B Saya suka bertahan menghadapi satu masalah meskipun belum tentu berhasil.</v>
      </c>
      <c r="AQ136" s="105" t="str">
        <f>IFERROR(__xludf.DUMMYFUNCTION("""COMPUTED_VALUE"""),"A Saya ingin bisa mengerjakan segala sesuatu lebih baik daripada orang-orang lain.")</f>
        <v>A Saya ingin bisa mengerjakan segala sesuatu lebih baik daripada orang-orang lain.</v>
      </c>
      <c r="AR136" s="105" t="str">
        <f>IFERROR(__xludf.DUMMYFUNCTION("""COMPUTED_VALUE"""),"A Saya suka menyimpan catatan secara rapi.")</f>
        <v>A Saya suka menyimpan catatan secara rapi.</v>
      </c>
      <c r="AS136" s="105" t="str">
        <f>IFERROR(__xludf.DUMMYFUNCTION("""COMPUTED_VALUE"""),"A Saya ingin dapat menyelesaikan persoalan yang dianggap sukar bagi orang lain.")</f>
        <v>A Saya ingin dapat menyelesaikan persoalan yang dianggap sukar bagi orang lain.</v>
      </c>
      <c r="AT136" s="105" t="str">
        <f>IFERROR(__xludf.DUMMYFUNCTION("""COMPUTED_VALUE"""),"A Saya ingin bisa melakukan dengan baik sesuatu pekerjaan sulit.")</f>
        <v>A Saya ingin bisa melakukan dengan baik sesuatu pekerjaan sulit.</v>
      </c>
      <c r="AU136" s="105" t="str">
        <f>IFERROR(__xludf.DUMMYFUNCTION("""COMPUTED_VALUE"""),"A Saya ingin menyelesaikan pekerjaan satu persatu sebelum memulai yang lain.")</f>
        <v>A Saya ingin menyelesaikan pekerjaan satu persatu sebelum memulai yang lain.</v>
      </c>
      <c r="AV136" s="105" t="str">
        <f>IFERROR(__xludf.DUMMYFUNCTION("""COMPUTED_VALUE"""),"B Saya suka menolong teman-teman saya.")</f>
        <v>B Saya suka menolong teman-teman saya.</v>
      </c>
      <c r="AW136" s="105" t="str">
        <f>IFERROR(__xludf.DUMMYFUNCTION("""COMPUTED_VALUE"""),"B Saya ingin teman-teman saya percaya bahwa saya bisa menolong mereka.")</f>
        <v>B Saya ingin teman-teman saya percaya bahwa saya bisa menolong mereka.</v>
      </c>
      <c r="AX136" s="105" t="str">
        <f>IFERROR(__xludf.DUMMYFUNCTION("""COMPUTED_VALUE"""),"B Saya suka memaafkan teman-teman saya yang menyakiti hati saya.")</f>
        <v>B Saya suka memaafkan teman-teman saya yang menyakiti hati saya.</v>
      </c>
      <c r="AY136" s="105" t="str">
        <f>IFERROR(__xludf.DUMMYFUNCTION("""COMPUTED_VALUE"""),"B Saya suka menolong teman-teman saya apabila mereka dalam kesulitan.")</f>
        <v>B Saya suka menolong teman-teman saya apabila mereka dalam kesulitan.</v>
      </c>
      <c r="AZ136" s="105" t="str">
        <f>IFERROR(__xludf.DUMMYFUNCTION("""COMPUTED_VALUE"""),"A Saya ingin agar teman-teman saya bersimpati dan menghibur saya bila saya sedih.")</f>
        <v>A Saya ingin agar teman-teman saya bersimpati dan menghibur saya bila saya sedih.</v>
      </c>
      <c r="BA136" s="105" t="str">
        <f>IFERROR(__xludf.DUMMYFUNCTION("""COMPUTED_VALUE"""),"B Saya suka memperlakukan orang lain dengan baik dan ramah.")</f>
        <v>B Saya suka memperlakukan orang lain dengan baik dan ramah.</v>
      </c>
      <c r="BB136" s="105" t="str">
        <f>IFERROR(__xludf.DUMMYFUNCTION("""COMPUTED_VALUE"""),"B Saya suka bermurah hati terhadap teman-teman saya.")</f>
        <v>B Saya suka bermurah hati terhadap teman-teman saya.</v>
      </c>
      <c r="BC136" s="105" t="str">
        <f>IFERROR(__xludf.DUMMYFUNCTION("""COMPUTED_VALUE"""),"B Saya suka membantu orang lain yang menurut saya perlu dikasihani.")</f>
        <v>B Saya suka membantu orang lain yang menurut saya perlu dikasihani.</v>
      </c>
      <c r="BD136" s="105" t="str">
        <f>IFERROR(__xludf.DUMMYFUNCTION("""COMPUTED_VALUE"""),"B Saya suka bersikukuh dengan pendirian saya.")</f>
        <v>B Saya suka bersikukuh dengan pendirian saya.</v>
      </c>
      <c r="BE136" s="105" t="str">
        <f>IFERROR(__xludf.DUMMYFUNCTION("""COMPUTED_VALUE"""),"B Saya ingin orang lain melakukan apa yang saya kehendaki.")</f>
        <v>B Saya ingin orang lain melakukan apa yang saya kehendaki.</v>
      </c>
      <c r="BF136" s="105" t="str">
        <f>IFERROR(__xludf.DUMMYFUNCTION("""COMPUTED_VALUE"""),"B Bila saya dalam kelompok, saya ingin menentukan apa yang akan kita lakukan.")</f>
        <v>B Bila saya dalam kelompok, saya ingin menentukan apa yang akan kita lakukan.</v>
      </c>
      <c r="BG136" s="105" t="str">
        <f>IFERROR(__xludf.DUMMYFUNCTION("""COMPUTED_VALUE"""),"A Saya ingin teman-teman banyak menunjukkan rasa sayang mereka terhadap saya.")</f>
        <v>A Saya ingin teman-teman banyak menunjukkan rasa sayang mereka terhadap saya.</v>
      </c>
      <c r="BH136" s="105" t="str">
        <f>IFERROR(__xludf.DUMMYFUNCTION("""COMPUTED_VALUE"""),"A Saya suka menghindar dari situasi yang tidak saya harapkan.")</f>
        <v>A Saya suka menghindar dari situasi yang tidak saya harapkan.</v>
      </c>
      <c r="BI136" s="105" t="str">
        <f>IFERROR(__xludf.DUMMYFUNCTION("""COMPUTED_VALUE"""),"A Saya suka bermurah hati terhadap teman-teman saya.")</f>
        <v>A Saya suka bermurah hati terhadap teman-teman saya.</v>
      </c>
      <c r="BJ136" s="105" t="str">
        <f>IFERROR(__xludf.DUMMYFUNCTION("""COMPUTED_VALUE"""),"A Saya ingin mengerjakan tugas sampai selesai.")</f>
        <v>A Saya ingin mengerjakan tugas sampai selesai.</v>
      </c>
      <c r="BK136" s="105" t="str">
        <f>IFERROR(__xludf.DUMMYFUNCTION("""COMPUTED_VALUE"""),"A Saya ingin menyelesaikan pekerjaan satu persatu sebelum memulai yang lain.")</f>
        <v>A Saya ingin menyelesaikan pekerjaan satu persatu sebelum memulai yang lain.</v>
      </c>
      <c r="BL136" s="105" t="str">
        <f>IFERROR(__xludf.DUMMYFUNCTION("""COMPUTED_VALUE"""),"B Saya suka bersikukuh dengan pendirian saya.")</f>
        <v>B Saya suka bersikukuh dengan pendirian saya.</v>
      </c>
      <c r="BM136" s="105" t="str">
        <f>IFERROR(__xludf.DUMMYFUNCTION("""COMPUTED_VALUE"""),"A Saya suka melakukan pekerjaan sebaik mungkin.")</f>
        <v>A Saya suka melakukan pekerjaan sebaik mungkin.</v>
      </c>
      <c r="BN136" s="105" t="str">
        <f>IFERROR(__xludf.DUMMYFUNCTION("""COMPUTED_VALUE"""),"A Saya suka mengerjakan teka-teki atau memecahkan persoalan sampai selesai.")</f>
        <v>A Saya suka mengerjakan teka-teki atau memecahkan persoalan sampai selesai.</v>
      </c>
      <c r="BO136" s="105" t="str">
        <f>IFERROR(__xludf.DUMMYFUNCTION("""COMPUTED_VALUE"""),"A Saya suka membuat perencanaan sebelum memulai belajar yang sulit.")</f>
        <v>A Saya suka membuat perencanaan sebelum memulai belajar yang sulit.</v>
      </c>
      <c r="BP136" s="105" t="str">
        <f>IFERROR(__xludf.DUMMYFUNCTION("""COMPUTED_VALUE"""),"A Saya ingin menyelesaikan sesuatu yang sangat penting artinya.")</f>
        <v>A Saya ingin menyelesaikan sesuatu yang sangat penting artinya.</v>
      </c>
      <c r="BQ136" s="105" t="str">
        <f>IFERROR(__xludf.DUMMYFUNCTION("""COMPUTED_VALUE"""),"A Saya ingin mengerjakannya tugas sampai selesai.")</f>
        <v>A Saya ingin mengerjakannya tugas sampai selesai.</v>
      </c>
      <c r="BR136" s="105" t="str">
        <f>IFERROR(__xludf.DUMMYFUNCTION("""COMPUTED_VALUE"""),"B Saya ingin agar teman-teman saya bersimpati dan menghibur saya bila saya sedih.")</f>
        <v>B Saya ingin agar teman-teman saya bersimpati dan menghibur saya bila saya sedih.</v>
      </c>
      <c r="BS136" s="105" t="str">
        <f>IFERROR(__xludf.DUMMYFUNCTION("""COMPUTED_VALUE"""),"B Saya ingin teman-teman saya membantu saya bila saya mengalami kesulitan")</f>
        <v>B Saya ingin teman-teman saya membantu saya bila saya mengalami kesulitan</v>
      </c>
      <c r="BT136" s="105" t="str">
        <f>IFERROR(__xludf.DUMMYFUNCTION("""COMPUTED_VALUE"""),"B Saya ingin teman-teman banyak menunjukkan rasa sayang mereka terhadap saya.")</f>
        <v>B Saya ingin teman-teman banyak menunjukkan rasa sayang mereka terhadap saya.</v>
      </c>
      <c r="BU136" s="105" t="str">
        <f>IFERROR(__xludf.DUMMYFUNCTION("""COMPUTED_VALUE"""),"A Saya kadang-kadang suka melakukan hal-hal yang dapat dipuji oleh orang lain.")</f>
        <v>A Saya kadang-kadang suka melakukan hal-hal yang dapat dipuji oleh orang lain.</v>
      </c>
      <c r="BV136" s="105" t="str">
        <f>IFERROR(__xludf.DUMMYFUNCTION("""COMPUTED_VALUE"""),"B Saya ingin teman-teman dengan gembira memberikan pertolongan kepada saya.")</f>
        <v>B Saya ingin teman-teman dengan gembira memberikan pertolongan kepada saya.</v>
      </c>
      <c r="BW136" s="105" t="str">
        <f>IFERROR(__xludf.DUMMYFUNCTION("""COMPUTED_VALUE"""),"B Saya ingin diperlakukan dengan baik oleh teman-teman saya.")</f>
        <v>B Saya ingin diperlakukan dengan baik oleh teman-teman saya.</v>
      </c>
      <c r="BX136" s="105" t="str">
        <f>IFERROR(__xludf.DUMMYFUNCTION("""COMPUTED_VALUE"""),"B Saya kadang-kadang suka melakukan hal-hal yang dapat dipuji oleh orang lain.")</f>
        <v>B Saya kadang-kadang suka melakukan hal-hal yang dapat dipuji oleh orang lain.</v>
      </c>
      <c r="BY136" s="105" t="str">
        <f>IFERROR(__xludf.DUMMYFUNCTION("""COMPUTED_VALUE"""),"B Saya ingin orang lain memperhatikan dan berkomentar tentang penampilan saya.")</f>
        <v>B Saya ingin orang lain memperhatikan dan berkomentar tentang penampilan saya.</v>
      </c>
      <c r="BZ136" s="105" t="str">
        <f>IFERROR(__xludf.DUMMYFUNCTION("""COMPUTED_VALUE"""),"B Saya suka diperhatikan, apabila saya ada di dalam suatu kelompok.")</f>
        <v>B Saya suka diperhatikan, apabila saya ada di dalam suatu kelompok.</v>
      </c>
      <c r="CA136" s="105" t="str">
        <f>IFERROR(__xludf.DUMMYFUNCTION("""COMPUTED_VALUE"""),"A Saya ingin teman-teman dengan gembira memberikan pertolongan kepada saya.")</f>
        <v>A Saya ingin teman-teman dengan gembira memberikan pertolongan kepada saya.</v>
      </c>
      <c r="CB136" s="105" t="str">
        <f>IFERROR(__xludf.DUMMYFUNCTION("""COMPUTED_VALUE"""),"A Saya suka menghindar dari tanggung jawab yang tidak saya inginkan.")</f>
        <v>A Saya suka menghindar dari tanggung jawab yang tidak saya inginkan.</v>
      </c>
      <c r="CC136" s="105" t="str">
        <f>IFERROR(__xludf.DUMMYFUNCTION("""COMPUTED_VALUE"""),"A Apabila saya berkumpul dalam kelompok, saya ingin dihargai teman-teman.")</f>
        <v>A Apabila saya berkumpul dalam kelompok, saya ingin dihargai teman-teman.</v>
      </c>
      <c r="CD136" s="105" t="str">
        <f>IFERROR(__xludf.DUMMYFUNCTION("""COMPUTED_VALUE"""),"A Saya suka menyelesaikan setiap tugas meskipun membutuhkan waktu lama.")</f>
        <v>A Saya suka menyelesaikan setiap tugas meskipun membutuhkan waktu lama.</v>
      </c>
      <c r="CE136" s="105" t="str">
        <f>IFERROR(__xludf.DUMMYFUNCTION("""COMPUTED_VALUE"""),"A Saya suka menyelesaikan setiap tugas belajar yang telah saya mulai.")</f>
        <v>A Saya suka menyelesaikan setiap tugas belajar yang telah saya mulai.</v>
      </c>
      <c r="CF136" s="105" t="str">
        <f>IFERROR(__xludf.DUMMYFUNCTION("""COMPUTED_VALUE"""),"A Saya ingin agar hidup saya teratur sesuai cita-cita saya.")</f>
        <v>A Saya ingin agar hidup saya teratur sesuai cita-cita saya.</v>
      </c>
      <c r="CG136" s="105" t="str">
        <f>IFERROR(__xludf.DUMMYFUNCTION("""COMPUTED_VALUE"""),"A Saya ingin berhasil dalam apa yang saya lakukan.")</f>
        <v>A Saya ingin berhasil dalam apa yang saya lakukan.</v>
      </c>
      <c r="CH136" s="105" t="str">
        <f>IFERROR(__xludf.DUMMYFUNCTION("""COMPUTED_VALUE"""),"A Saya ingin bisa melakukan dengan baik sesuatu pekerjaan sulit.")</f>
        <v>A Saya ingin bisa melakukan dengan baik sesuatu pekerjaan sulit.</v>
      </c>
      <c r="CI136" s="105" t="str">
        <f>IFERROR(__xludf.DUMMYFUNCTION("""COMPUTED_VALUE"""),"A Saya suka belajar saya teratur dan ada waktu-waktu tertentu untuk belajar.")</f>
        <v>A Saya suka belajar saya teratur dan ada waktu-waktu tertentu untuk belajar.</v>
      </c>
      <c r="CJ136" s="105" t="str">
        <f>IFERROR(__xludf.DUMMYFUNCTION("""COMPUTED_VALUE"""),"A Saya ingin tidak tergantung dari orang lain terhadap apa yang akan saya lakukan.")</f>
        <v>A Saya ingin tidak tergantung dari orang lain terhadap apa yang akan saya lakukan.</v>
      </c>
      <c r="CK136" s="105" t="str">
        <f>IFERROR(__xludf.DUMMYFUNCTION("""COMPUTED_VALUE"""),"B Saya senang ikut beraktivitas bersama teman sebaya saya.")</f>
        <v>B Saya senang ikut beraktivitas bersama teman sebaya saya.</v>
      </c>
      <c r="CL136" s="105" t="str">
        <f>IFERROR(__xludf.DUMMYFUNCTION("""COMPUTED_VALUE"""),"A Saya suka menolong teman-teman saya, apabila mereka dalam kesulitan.")</f>
        <v>A Saya suka menolong teman-teman saya, apabila mereka dalam kesulitan.</v>
      </c>
      <c r="CM136" s="105" t="str">
        <f>IFERROR(__xludf.DUMMYFUNCTION("""COMPUTED_VALUE"""),"B Saya merasa kagum pada seseorang.")</f>
        <v>B Saya merasa kagum pada seseorang.</v>
      </c>
      <c r="CN136" s="105" t="str">
        <f>IFERROR(__xludf.DUMMYFUNCTION("""COMPUTED_VALUE"""),"A Saya ingin diperlakukan dengan baik oleh teman-teman saya.")</f>
        <v>A Saya ingin diperlakukan dengan baik oleh teman-teman saya.</v>
      </c>
      <c r="CO136" s="105" t="str">
        <f>IFERROR(__xludf.DUMMYFUNCTION("""COMPUTED_VALUE"""),"A Saya suka menceritakan hal-hal lucu agar diperhatikan oleh orang lain.")</f>
        <v>A Saya suka menceritakan hal-hal lucu agar diperhatikan oleh orang lain.</v>
      </c>
      <c r="CP136" s="105" t="str">
        <f>IFERROR(__xludf.DUMMYFUNCTION("""COMPUTED_VALUE"""),"A Saya suka melamun atau membayangkan sesuatu sendirian.")</f>
        <v>A Saya suka melamun atau membayangkan sesuatu sendirian.</v>
      </c>
      <c r="CQ136" s="105" t="str">
        <f>IFERROR(__xludf.DUMMYFUNCTION("""COMPUTED_VALUE"""),"B Saya merasa kagum pada seseorang.")</f>
        <v>B Saya merasa kagum pada seseorang.</v>
      </c>
      <c r="CR136" s="105" t="str">
        <f>IFERROR(__xludf.DUMMYFUNCTION("""COMPUTED_VALUE"""),"A Saya ingin memperolok-olok orang yang saya anggap melakukan tindakan bodoh.")</f>
        <v>A Saya ingin memperolok-olok orang yang saya anggap melakukan tindakan bodoh.</v>
      </c>
      <c r="CS136" s="105" t="str">
        <f>IFERROR(__xludf.DUMMYFUNCTION("""COMPUTED_VALUE"""),"A Saya ingin terlihat menarik di depan teman-teman saya.")</f>
        <v>A Saya ingin terlihat menarik di depan teman-teman saya.</v>
      </c>
      <c r="CT136" s="105" t="str">
        <f>IFERROR(__xludf.DUMMYFUNCTION("""COMPUTED_VALUE"""),"A Saya ingin orang-orang memperhatikan komentar mengenai penampilan saya.")</f>
        <v>A Saya ingin orang-orang memperhatikan komentar mengenai penampilan saya.</v>
      </c>
      <c r="CU136" s="105" t="str">
        <f>IFERROR(__xludf.DUMMYFUNCTION("""COMPUTED_VALUE"""),"A Saya ingin diperlakukan dengan ramah oleh teman-teman saya.")</f>
        <v>A Saya ingin diperlakukan dengan ramah oleh teman-teman saya.</v>
      </c>
      <c r="CV136" s="105" t="str">
        <f>IFERROR(__xludf.DUMMYFUNCTION("""COMPUTED_VALUE"""),"B Saya menyerang pendirian-pendirian yang bertentangan dengan pendirian saya.")</f>
        <v>B Saya menyerang pendirian-pendirian yang bertentangan dengan pendirian saya.</v>
      </c>
      <c r="CW136" s="105" t="str">
        <f>IFERROR(__xludf.DUMMYFUNCTION("""COMPUTED_VALUE"""),"A Saya suka menolong teman-teman saya, apabila mereka dalam kesulitan.")</f>
        <v>A Saya suka menolong teman-teman saya, apabila mereka dalam kesulitan.</v>
      </c>
      <c r="CX136" s="105" t="str">
        <f>IFERROR(__xludf.DUMMYFUNCTION("""COMPUTED_VALUE"""),"A Saya suka belajar sampai malam untuk menyelesaikan suatu tugas.")</f>
        <v>A Saya suka belajar sampai malam untuk menyelesaikan suatu tugas.</v>
      </c>
      <c r="CY136" s="105" t="str">
        <f>IFERROR(__xludf.DUMMYFUNCTION("""COMPUTED_VALUE"""),"A Saya ingin tidak tergantung dari orang lain terhadap apa yang akan saya lakukan.")</f>
        <v>A Saya ingin tidak tergantung dari orang lain terhadap apa yang akan saya lakukan.</v>
      </c>
      <c r="CZ136" s="105" t="str">
        <f>IFERROR(__xludf.DUMMYFUNCTION("""COMPUTED_VALUE"""),"A Saya suka merencanakan dan mengatur setiap pekerjaan yang harus saya lakukan.")</f>
        <v>A Saya suka merencanakan dan mengatur setiap pekerjaan yang harus saya lakukan.</v>
      </c>
      <c r="DA136" s="105" t="str">
        <f>IFERROR(__xludf.DUMMYFUNCTION("""COMPUTED_VALUE"""),"A Saya ingin melakukan apa saja sebaik mungkin.")</f>
        <v>A Saya ingin melakukan apa saja sebaik mungkin.</v>
      </c>
      <c r="DB136" s="89" t="s">
        <v>23</v>
      </c>
      <c r="DC136" s="97" t="str">
        <f t="shared" ref="DC136:GX136" si="181">LEFT(F136,1)</f>
        <v>B</v>
      </c>
      <c r="DD136" s="97" t="str">
        <f t="shared" si="181"/>
        <v>A</v>
      </c>
      <c r="DE136" s="97" t="str">
        <f t="shared" si="181"/>
        <v>A</v>
      </c>
      <c r="DF136" s="97" t="str">
        <f t="shared" si="181"/>
        <v>A</v>
      </c>
      <c r="DG136" s="97" t="str">
        <f t="shared" si="181"/>
        <v>A</v>
      </c>
      <c r="DH136" s="97" t="str">
        <f t="shared" si="181"/>
        <v>B</v>
      </c>
      <c r="DI136" s="97" t="str">
        <f t="shared" si="181"/>
        <v>B</v>
      </c>
      <c r="DJ136" s="97" t="str">
        <f t="shared" si="181"/>
        <v>B</v>
      </c>
      <c r="DK136" s="97" t="str">
        <f t="shared" si="181"/>
        <v>B</v>
      </c>
      <c r="DL136" s="97" t="str">
        <f t="shared" si="181"/>
        <v>B</v>
      </c>
      <c r="DM136" s="97" t="str">
        <f t="shared" si="181"/>
        <v>B</v>
      </c>
      <c r="DN136" s="97" t="str">
        <f t="shared" si="181"/>
        <v>B</v>
      </c>
      <c r="DO136" s="97" t="str">
        <f t="shared" si="181"/>
        <v>B</v>
      </c>
      <c r="DP136" s="97" t="str">
        <f t="shared" si="181"/>
        <v>B</v>
      </c>
      <c r="DQ136" s="97" t="str">
        <f t="shared" si="181"/>
        <v>B</v>
      </c>
      <c r="DR136" s="97" t="str">
        <f t="shared" si="181"/>
        <v>A</v>
      </c>
      <c r="DS136" s="97" t="str">
        <f t="shared" si="181"/>
        <v>B</v>
      </c>
      <c r="DT136" s="97" t="str">
        <f t="shared" si="181"/>
        <v>B</v>
      </c>
      <c r="DU136" s="97" t="str">
        <f t="shared" si="181"/>
        <v>B</v>
      </c>
      <c r="DV136" s="97" t="str">
        <f t="shared" si="181"/>
        <v>A</v>
      </c>
      <c r="DW136" s="97" t="str">
        <f t="shared" si="181"/>
        <v>A</v>
      </c>
      <c r="DX136" s="97" t="str">
        <f t="shared" si="181"/>
        <v>A</v>
      </c>
      <c r="DY136" s="97" t="str">
        <f t="shared" si="181"/>
        <v>B</v>
      </c>
      <c r="DZ136" s="97" t="str">
        <f t="shared" si="181"/>
        <v>B</v>
      </c>
      <c r="EA136" s="97" t="str">
        <f t="shared" si="181"/>
        <v>B</v>
      </c>
      <c r="EB136" s="97" t="str">
        <f t="shared" si="181"/>
        <v>B</v>
      </c>
      <c r="EC136" s="97" t="str">
        <f t="shared" si="181"/>
        <v>B</v>
      </c>
      <c r="ED136" s="97" t="str">
        <f t="shared" si="181"/>
        <v>A</v>
      </c>
      <c r="EE136" s="97" t="str">
        <f t="shared" si="181"/>
        <v>B</v>
      </c>
      <c r="EF136" s="97" t="str">
        <f t="shared" si="181"/>
        <v>B</v>
      </c>
      <c r="EG136" s="97" t="str">
        <f t="shared" si="181"/>
        <v>B</v>
      </c>
      <c r="EH136" s="97" t="str">
        <f t="shared" si="181"/>
        <v>B</v>
      </c>
      <c r="EI136" s="97" t="str">
        <f t="shared" si="181"/>
        <v>B</v>
      </c>
      <c r="EJ136" s="97" t="str">
        <f t="shared" si="181"/>
        <v>B</v>
      </c>
      <c r="EK136" s="97" t="str">
        <f t="shared" si="181"/>
        <v>A</v>
      </c>
      <c r="EL136" s="97" t="str">
        <f t="shared" si="181"/>
        <v>A</v>
      </c>
      <c r="EM136" s="97" t="str">
        <f t="shared" si="181"/>
        <v>B</v>
      </c>
      <c r="EN136" s="97" t="str">
        <f t="shared" si="181"/>
        <v>A</v>
      </c>
      <c r="EO136" s="97" t="str">
        <f t="shared" si="181"/>
        <v>A</v>
      </c>
      <c r="EP136" s="97" t="str">
        <f t="shared" si="181"/>
        <v>A</v>
      </c>
      <c r="EQ136" s="97" t="str">
        <f t="shared" si="181"/>
        <v>A</v>
      </c>
      <c r="ER136" s="97" t="str">
        <f t="shared" si="181"/>
        <v>A</v>
      </c>
      <c r="ES136" s="97" t="str">
        <f t="shared" si="181"/>
        <v>B</v>
      </c>
      <c r="ET136" s="97" t="str">
        <f t="shared" si="181"/>
        <v>B</v>
      </c>
      <c r="EU136" s="97" t="str">
        <f t="shared" si="181"/>
        <v>B</v>
      </c>
      <c r="EV136" s="97" t="str">
        <f t="shared" si="181"/>
        <v>B</v>
      </c>
      <c r="EW136" s="97" t="str">
        <f t="shared" si="181"/>
        <v>A</v>
      </c>
      <c r="EX136" s="97" t="str">
        <f t="shared" si="181"/>
        <v>B</v>
      </c>
      <c r="EY136" s="97" t="str">
        <f t="shared" si="181"/>
        <v>B</v>
      </c>
      <c r="EZ136" s="97" t="str">
        <f t="shared" si="181"/>
        <v>B</v>
      </c>
      <c r="FA136" s="97" t="str">
        <f t="shared" si="181"/>
        <v>B</v>
      </c>
      <c r="FB136" s="97" t="str">
        <f t="shared" si="181"/>
        <v>B</v>
      </c>
      <c r="FC136" s="97" t="str">
        <f t="shared" si="181"/>
        <v>B</v>
      </c>
      <c r="FD136" s="97" t="str">
        <f t="shared" si="181"/>
        <v>A</v>
      </c>
      <c r="FE136" s="97" t="str">
        <f t="shared" si="181"/>
        <v>A</v>
      </c>
      <c r="FF136" s="97" t="str">
        <f t="shared" si="181"/>
        <v>A</v>
      </c>
      <c r="FG136" s="97" t="str">
        <f t="shared" si="181"/>
        <v>A</v>
      </c>
      <c r="FH136" s="97" t="str">
        <f t="shared" si="181"/>
        <v>A</v>
      </c>
      <c r="FI136" s="97" t="str">
        <f t="shared" si="181"/>
        <v>B</v>
      </c>
      <c r="FJ136" s="97" t="str">
        <f t="shared" si="181"/>
        <v>A</v>
      </c>
      <c r="FK136" s="97" t="str">
        <f t="shared" si="181"/>
        <v>A</v>
      </c>
      <c r="FL136" s="97" t="str">
        <f t="shared" si="181"/>
        <v>A</v>
      </c>
      <c r="FM136" s="97" t="str">
        <f t="shared" si="181"/>
        <v>A</v>
      </c>
      <c r="FN136" s="97" t="str">
        <f t="shared" si="181"/>
        <v>A</v>
      </c>
      <c r="FO136" s="97" t="str">
        <f t="shared" si="181"/>
        <v>B</v>
      </c>
      <c r="FP136" s="97" t="str">
        <f t="shared" si="181"/>
        <v>B</v>
      </c>
      <c r="FQ136" s="97" t="str">
        <f t="shared" si="181"/>
        <v>B</v>
      </c>
      <c r="FR136" s="97" t="str">
        <f t="shared" si="181"/>
        <v>A</v>
      </c>
      <c r="FS136" s="97" t="str">
        <f t="shared" si="181"/>
        <v>B</v>
      </c>
      <c r="FT136" s="97" t="str">
        <f t="shared" si="181"/>
        <v>B</v>
      </c>
      <c r="FU136" s="97" t="str">
        <f t="shared" si="181"/>
        <v>B</v>
      </c>
      <c r="FV136" s="97" t="str">
        <f t="shared" si="181"/>
        <v>B</v>
      </c>
      <c r="FW136" s="97" t="str">
        <f t="shared" si="181"/>
        <v>B</v>
      </c>
      <c r="FX136" s="97" t="str">
        <f t="shared" si="181"/>
        <v>A</v>
      </c>
      <c r="FY136" s="97" t="str">
        <f t="shared" si="181"/>
        <v>A</v>
      </c>
      <c r="FZ136" s="97" t="str">
        <f t="shared" si="181"/>
        <v>A</v>
      </c>
      <c r="GA136" s="97" t="str">
        <f t="shared" si="181"/>
        <v>A</v>
      </c>
      <c r="GB136" s="97" t="str">
        <f t="shared" si="181"/>
        <v>A</v>
      </c>
      <c r="GC136" s="97" t="str">
        <f t="shared" si="181"/>
        <v>A</v>
      </c>
      <c r="GD136" s="97" t="str">
        <f t="shared" si="181"/>
        <v>A</v>
      </c>
      <c r="GE136" s="97" t="str">
        <f t="shared" si="181"/>
        <v>A</v>
      </c>
      <c r="GF136" s="97" t="str">
        <f t="shared" si="181"/>
        <v>A</v>
      </c>
      <c r="GG136" s="97" t="str">
        <f t="shared" si="181"/>
        <v>A</v>
      </c>
      <c r="GH136" s="97" t="str">
        <f t="shared" si="181"/>
        <v>B</v>
      </c>
      <c r="GI136" s="97" t="str">
        <f t="shared" si="181"/>
        <v>A</v>
      </c>
      <c r="GJ136" s="97" t="str">
        <f t="shared" si="181"/>
        <v>B</v>
      </c>
      <c r="GK136" s="97" t="str">
        <f t="shared" si="181"/>
        <v>A</v>
      </c>
      <c r="GL136" s="97" t="str">
        <f t="shared" si="181"/>
        <v>A</v>
      </c>
      <c r="GM136" s="97" t="str">
        <f t="shared" si="181"/>
        <v>A</v>
      </c>
      <c r="GN136" s="97" t="str">
        <f t="shared" si="181"/>
        <v>B</v>
      </c>
      <c r="GO136" s="97" t="str">
        <f t="shared" si="181"/>
        <v>A</v>
      </c>
      <c r="GP136" s="97" t="str">
        <f t="shared" si="181"/>
        <v>A</v>
      </c>
      <c r="GQ136" s="97" t="str">
        <f t="shared" si="181"/>
        <v>A</v>
      </c>
      <c r="GR136" s="97" t="str">
        <f t="shared" si="181"/>
        <v>A</v>
      </c>
      <c r="GS136" s="97" t="str">
        <f t="shared" si="181"/>
        <v>B</v>
      </c>
      <c r="GT136" s="97" t="str">
        <f t="shared" si="181"/>
        <v>A</v>
      </c>
      <c r="GU136" s="97" t="str">
        <f t="shared" si="181"/>
        <v>A</v>
      </c>
      <c r="GV136" s="97" t="str">
        <f t="shared" si="181"/>
        <v>A</v>
      </c>
      <c r="GW136" s="97" t="str">
        <f t="shared" si="181"/>
        <v>A</v>
      </c>
      <c r="GX136" s="97" t="str">
        <f t="shared" si="181"/>
        <v>A</v>
      </c>
      <c r="GY136" s="98"/>
      <c r="GZ136" s="97">
        <f t="shared" si="3"/>
        <v>51</v>
      </c>
      <c r="HA136" s="97">
        <f t="shared" si="4"/>
        <v>49</v>
      </c>
      <c r="HB136" s="90">
        <f t="shared" si="5"/>
        <v>100</v>
      </c>
      <c r="HC136" s="99"/>
      <c r="HD136" s="97">
        <f t="shared" si="6"/>
        <v>9</v>
      </c>
      <c r="HE136" s="97">
        <f t="shared" si="7"/>
        <v>5</v>
      </c>
      <c r="HF136" s="90">
        <f t="shared" si="8"/>
        <v>14</v>
      </c>
      <c r="HG136" s="99"/>
      <c r="HH136" s="97">
        <f t="shared" si="9"/>
        <v>8</v>
      </c>
      <c r="HI136" s="97">
        <f t="shared" si="10"/>
        <v>8</v>
      </c>
      <c r="HJ136" s="90">
        <f t="shared" si="11"/>
        <v>16</v>
      </c>
      <c r="HK136" s="99"/>
      <c r="HL136" s="97">
        <f t="shared" si="12"/>
        <v>7</v>
      </c>
      <c r="HM136" s="97">
        <f t="shared" si="13"/>
        <v>7</v>
      </c>
      <c r="HN136" s="90">
        <f t="shared" si="14"/>
        <v>14</v>
      </c>
      <c r="HO136" s="99"/>
      <c r="HP136" s="97">
        <f t="shared" si="15"/>
        <v>5</v>
      </c>
      <c r="HQ136" s="97">
        <f t="shared" si="16"/>
        <v>5</v>
      </c>
      <c r="HR136" s="90">
        <f t="shared" si="17"/>
        <v>10</v>
      </c>
      <c r="HS136" s="99"/>
      <c r="HT136" s="97">
        <f t="shared" si="18"/>
        <v>7</v>
      </c>
      <c r="HU136" s="97">
        <f t="shared" si="19"/>
        <v>7</v>
      </c>
      <c r="HV136" s="90">
        <f t="shared" si="20"/>
        <v>14</v>
      </c>
      <c r="HW136" s="99"/>
      <c r="HX136" s="97">
        <f t="shared" si="21"/>
        <v>2</v>
      </c>
      <c r="HY136" s="97">
        <f t="shared" si="22"/>
        <v>4</v>
      </c>
      <c r="HZ136" s="90">
        <f t="shared" si="23"/>
        <v>6</v>
      </c>
      <c r="IA136" s="99"/>
      <c r="IB136" s="97">
        <f t="shared" si="24"/>
        <v>5</v>
      </c>
      <c r="IC136" s="97">
        <f t="shared" si="25"/>
        <v>5</v>
      </c>
      <c r="ID136" s="90">
        <f t="shared" si="26"/>
        <v>10</v>
      </c>
      <c r="IE136" s="99"/>
      <c r="IF136" s="97">
        <f t="shared" si="27"/>
        <v>4</v>
      </c>
      <c r="IG136" s="97">
        <f t="shared" si="28"/>
        <v>3</v>
      </c>
      <c r="IH136" s="90">
        <f t="shared" si="29"/>
        <v>7</v>
      </c>
      <c r="II136" s="99"/>
      <c r="IJ136" s="97">
        <f t="shared" si="30"/>
        <v>1</v>
      </c>
      <c r="IK136" s="97">
        <f t="shared" si="31"/>
        <v>3</v>
      </c>
      <c r="IL136" s="90">
        <f t="shared" si="32"/>
        <v>4</v>
      </c>
      <c r="IM136" s="99"/>
      <c r="IN136" s="97">
        <f t="shared" si="33"/>
        <v>0</v>
      </c>
      <c r="IO136" s="97">
        <f t="shared" si="34"/>
        <v>1</v>
      </c>
      <c r="IP136" s="90">
        <f t="shared" si="35"/>
        <v>1</v>
      </c>
      <c r="IS136" s="100">
        <f t="shared" si="36"/>
        <v>14</v>
      </c>
      <c r="IT136" s="100">
        <f t="shared" si="37"/>
        <v>16</v>
      </c>
      <c r="IU136" s="100">
        <f t="shared" si="38"/>
        <v>14</v>
      </c>
      <c r="IV136" s="100">
        <f t="shared" si="39"/>
        <v>10</v>
      </c>
      <c r="IW136" s="100">
        <f t="shared" si="40"/>
        <v>14</v>
      </c>
      <c r="IX136" s="100">
        <f t="shared" si="41"/>
        <v>6</v>
      </c>
      <c r="IY136" s="100">
        <f t="shared" si="42"/>
        <v>10</v>
      </c>
      <c r="IZ136" s="100">
        <f t="shared" si="43"/>
        <v>7</v>
      </c>
      <c r="JA136" s="100">
        <f t="shared" si="44"/>
        <v>4</v>
      </c>
      <c r="JB136" s="101">
        <f t="shared" si="45"/>
        <v>1</v>
      </c>
      <c r="JC136" s="102">
        <f t="shared" si="46"/>
        <v>96</v>
      </c>
      <c r="JD136" s="67">
        <f t="shared" si="50"/>
        <v>0</v>
      </c>
      <c r="JE136" s="67">
        <f t="shared" si="47"/>
        <v>1</v>
      </c>
      <c r="JF136" s="67">
        <f t="shared" si="48"/>
        <v>1</v>
      </c>
    </row>
    <row r="137">
      <c r="A137" s="104">
        <f>IFERROR(__xludf.DUMMYFUNCTION("""COMPUTED_VALUE"""),45972.43691297453)</f>
        <v>45972.43691</v>
      </c>
      <c r="B137" s="105" t="str">
        <f>IFERROR(__xludf.DUMMYFUNCTION("""COMPUTED_VALUE"""),"Muhammad Syauqi Abdul Haq ")</f>
        <v>Muhammad Syauqi Abdul Haq </v>
      </c>
      <c r="C137" s="7" t="str">
        <f>IFERROR(__xludf.DUMMYFUNCTION("""COMPUTED_VALUE"""),"A250069")</f>
        <v>A250069</v>
      </c>
      <c r="D137" s="7" t="str">
        <f>IFERROR(__xludf.DUMMYFUNCTION("""COMPUTED_VALUE"""),"MTs Putra")</f>
        <v>MTs Putra</v>
      </c>
      <c r="E137" s="7" t="str">
        <f>IFERROR(__xludf.DUMMYFUNCTION("""COMPUTED_VALUE"""),"Ya")</f>
        <v>Ya</v>
      </c>
      <c r="F137" s="105" t="str">
        <f>IFERROR(__xludf.DUMMYFUNCTION("""COMPUTED_VALUE"""),"B Saya ingin melakukan apa saja sebaik mungkin.")</f>
        <v>B Saya ingin melakukan apa saja sebaik mungkin.</v>
      </c>
      <c r="G137" s="105" t="str">
        <f>IFERROR(__xludf.DUMMYFUNCTION("""COMPUTED_VALUE"""),"B Saya ingin menyelesaikan tugas yang segera dikumpulkan.")</f>
        <v>B Saya ingin menyelesaikan tugas yang segera dikumpulkan.</v>
      </c>
      <c r="H137" s="105" t="str">
        <f>IFERROR(__xludf.DUMMYFUNCTION("""COMPUTED_VALUE"""),"B Saya ingin menjadi orang yang diakui dalam suatu pekerjaan atau bidang khusus.")</f>
        <v>B Saya ingin menjadi orang yang diakui dalam suatu pekerjaan atau bidang khusus.</v>
      </c>
      <c r="I137" s="105" t="str">
        <f>IFERROR(__xludf.DUMMYFUNCTION("""COMPUTED_VALUE"""),"B Saya ingin bisa melakukan dengan baik meskipun tugas yang sulit.")</f>
        <v>B Saya ingin bisa melakukan dengan baik meskipun tugas yang sulit.</v>
      </c>
      <c r="J137" s="105" t="str">
        <f>IFERROR(__xludf.DUMMYFUNCTION("""COMPUTED_VALUE"""),"B Saya ingin mengerjakan tugas sebaik mungkin.")</f>
        <v>B Saya ingin mengerjakan tugas sebaik mungkin.</v>
      </c>
      <c r="K137" s="105" t="str">
        <f>IFERROR(__xludf.DUMMYFUNCTION("""COMPUTED_VALUE"""),"B Saya ingin mengatakan telah melakukan dengan baik sesuatu tugas yang sulit.")</f>
        <v>B Saya ingin mengatakan telah melakukan dengan baik sesuatu tugas yang sulit.</v>
      </c>
      <c r="L137" s="105" t="str">
        <f>IFERROR(__xludf.DUMMYFUNCTION("""COMPUTED_VALUE"""),"B Saya ingin mengatakan telah melakukan dengan baik sesuatu tugas yang sulit")</f>
        <v>B Saya ingin mengatakan telah melakukan dengan baik sesuatu tugas yang sulit</v>
      </c>
      <c r="M137" s="105" t="str">
        <f>IFERROR(__xludf.DUMMYFUNCTION("""COMPUTED_VALUE"""),"A Saya suka berbicara tentang hal-hal yang telah berhasil saya lakukan.")</f>
        <v>A Saya suka berbicara tentang hal-hal yang telah berhasil saya lakukan.</v>
      </c>
      <c r="N137" s="105" t="str">
        <f>IFERROR(__xludf.DUMMYFUNCTION("""COMPUTED_VALUE"""),"A Saya suka pergi dengan pakaian rapi agar lebih menarik perhatian orang lain.")</f>
        <v>A Saya suka pergi dengan pakaian rapi agar lebih menarik perhatian orang lain.</v>
      </c>
      <c r="O137" s="105" t="str">
        <f>IFERROR(__xludf.DUMMYFUNCTION("""COMPUTED_VALUE"""),"A Saya marah saat ada teman memperolok-olok hal-hal yang saya anggap bodoh.")</f>
        <v>A Saya marah saat ada teman memperolok-olok hal-hal yang saya anggap bodoh.</v>
      </c>
      <c r="P137" s="105" t="str">
        <f>IFERROR(__xludf.DUMMYFUNCTION("""COMPUTED_VALUE"""),"A Saya suka bercerita tentang hal-hal yang menegangkan atau menantang.")</f>
        <v>A Saya suka bercerita tentang hal-hal yang menegangkan atau menantang.</v>
      </c>
      <c r="Q137" s="105" t="str">
        <f>IFERROR(__xludf.DUMMYFUNCTION("""COMPUTED_VALUE"""),"B Saya merencanakan keperluan yang dibutuhkan sebelum bepergian.")</f>
        <v>B Saya merencanakan keperluan yang dibutuhkan sebelum bepergian.</v>
      </c>
      <c r="R137" s="105" t="str">
        <f>IFERROR(__xludf.DUMMYFUNCTION("""COMPUTED_VALUE"""),"B Saya suka barang-barang saya tersusun rapi dan teratur.")</f>
        <v>B Saya suka barang-barang saya tersusun rapi dan teratur.</v>
      </c>
      <c r="S137" s="105" t="str">
        <f>IFERROR(__xludf.DUMMYFUNCTION("""COMPUTED_VALUE"""),"A Saya ingin agar teman-teman pengertian bila saya mengalami kesukaran.")</f>
        <v>A Saya ingin agar teman-teman pengertian bila saya mengalami kesukaran.</v>
      </c>
      <c r="T137" s="105" t="str">
        <f>IFERROR(__xludf.DUMMYFUNCTION("""COMPUTED_VALUE"""),"A Saya ingin menjadi salah seorang pemimpin dalam kelompok yang saya kenal.")</f>
        <v>A Saya ingin menjadi salah seorang pemimpin dalam kelompok yang saya kenal.</v>
      </c>
      <c r="U137" s="105" t="str">
        <f>IFERROR(__xludf.DUMMYFUNCTION("""COMPUTED_VALUE"""),"A Saya suka memberikan bantuan kepada teman-teman saya.")</f>
        <v>A Saya suka memberikan bantuan kepada teman-teman saya.</v>
      </c>
      <c r="V137" s="105" t="str">
        <f>IFERROR(__xludf.DUMMYFUNCTION("""COMPUTED_VALUE"""),"A Saya suka belajar sampai malam untuk menyelesaikan suatu tugas.")</f>
        <v>A Saya suka belajar sampai malam untuk menyelesaikan suatu tugas.</v>
      </c>
      <c r="W137" s="105" t="str">
        <f>IFERROR(__xludf.DUMMYFUNCTION("""COMPUTED_VALUE"""),"A Saya suka melakukan kegiatan sesuai kondisi yang saya inginkan.")</f>
        <v>A Saya suka melakukan kegiatan sesuai kondisi yang saya inginkan.</v>
      </c>
      <c r="X137" s="105" t="str">
        <f>IFERROR(__xludf.DUMMYFUNCTION("""COMPUTED_VALUE"""),"A Saya suka merencanakan dan mengatur setiap apa yang harus saya lakukan.")</f>
        <v>A Saya suka merencanakan dan mengatur setiap apa yang harus saya lakukan.</v>
      </c>
      <c r="Y137" s="105" t="str">
        <f>IFERROR(__xludf.DUMMYFUNCTION("""COMPUTED_VALUE"""),"A Saya suka menyelesaikan tugas-tugas yang membutuhkan ketrampilan dan usaha.")</f>
        <v>A Saya suka menyelesaikan tugas-tugas yang membutuhkan ketrampilan dan usaha.</v>
      </c>
      <c r="Z137" s="105" t="str">
        <f>IFERROR(__xludf.DUMMYFUNCTION("""COMPUTED_VALUE"""),"B Saya ingin merasa bebas untuk melakukan apa yang saya inginkan.")</f>
        <v>B Saya ingin merasa bebas untuk melakukan apa yang saya inginkan.</v>
      </c>
      <c r="AA137" s="105" t="str">
        <f>IFERROR(__xludf.DUMMYFUNCTION("""COMPUTED_VALUE"""),"B Saya tidak suka pada orang yang berbuat seenaknya sendiri.")</f>
        <v>B Saya tidak suka pada orang yang berbuat seenaknya sendiri.</v>
      </c>
      <c r="AB137" s="105" t="str">
        <f>IFERROR(__xludf.DUMMYFUNCTION("""COMPUTED_VALUE"""),"B Saya ingin menyelesaikan pekerjaan satu persatu sebelum memulai yang lain.")</f>
        <v>B Saya ingin menyelesaikan pekerjaan satu persatu sebelum memulai yang lain.</v>
      </c>
      <c r="AC137" s="105" t="str">
        <f>IFERROR(__xludf.DUMMYFUNCTION("""COMPUTED_VALUE"""),"A Saya suka menyelesaikan setiap tugas meskipun membutuhkan waktu lama.")</f>
        <v>A Saya suka menyelesaikan setiap tugas meskipun membutuhkan waktu lama.</v>
      </c>
      <c r="AD137" s="105" t="str">
        <f>IFERROR(__xludf.DUMMYFUNCTION("""COMPUTED_VALUE"""),"B Saya suka menyatakan pendapat saya tentang berbagai hal.")</f>
        <v>B Saya suka menyatakan pendapat saya tentang berbagai hal.</v>
      </c>
      <c r="AE137" s="105" t="str">
        <f>IFERROR(__xludf.DUMMYFUNCTION("""COMPUTED_VALUE"""),"B Saya suka melakukan hal-hal yang dianggap orang lain tidak sesuai.")</f>
        <v>B Saya suka melakukan hal-hal yang dianggap orang lain tidak sesuai.</v>
      </c>
      <c r="AF137" s="105" t="str">
        <f>IFERROR(__xludf.DUMMYFUNCTION("""COMPUTED_VALUE"""),"B Saya suka melakukan hal-hal dengan cara saya sendiri.")</f>
        <v>B Saya suka melakukan hal-hal dengan cara saya sendiri.</v>
      </c>
      <c r="AG137" s="105" t="str">
        <f>IFERROR(__xludf.DUMMYFUNCTION("""COMPUTED_VALUE"""),"B Saya ingin berhasil dengan tugas yang saya lakukan.")</f>
        <v>B Saya ingin berhasil dengan tugas yang saya lakukan.</v>
      </c>
      <c r="AH137" s="105" t="str">
        <f>IFERROR(__xludf.DUMMYFUNCTION("""COMPUTED_VALUE"""),"B Saya ingin merasa bebas untuk melakukan apa yang saya kehendaki.")</f>
        <v>B Saya ingin merasa bebas untuk melakukan apa yang saya kehendaki.</v>
      </c>
      <c r="AI137" s="105" t="str">
        <f>IFERROR(__xludf.DUMMYFUNCTION("""COMPUTED_VALUE"""),"B Saya suka melakukan kegiatan sesuai kondisi yang saya inginkan.")</f>
        <v>B Saya suka melakukan kegiatan sesuai kondisi yang saya inginkan.</v>
      </c>
      <c r="AJ137" s="105" t="str">
        <f>IFERROR(__xludf.DUMMYFUNCTION("""COMPUTED_VALUE"""),"A Saya rasanya ingin membalas dendam bila seseorang menghina saya.")</f>
        <v>A Saya rasanya ingin membalas dendam bila seseorang menghina saya.</v>
      </c>
      <c r="AK137" s="105" t="str">
        <f>IFERROR(__xludf.DUMMYFUNCTION("""COMPUTED_VALUE"""),"B Bila saya harus melakukan suatu tugas, saya ingin mengerjakan sampai selesai.")</f>
        <v>B Bila saya harus melakukan suatu tugas, saya ingin mengerjakan sampai selesai.</v>
      </c>
      <c r="AL137" s="105" t="str">
        <f>IFERROR(__xludf.DUMMYFUNCTION("""COMPUTED_VALUE"""),"B Saya ingin menghindarkan gangguan bila saya sedang belajar.")</f>
        <v>B Saya ingin menghindarkan gangguan bila saya sedang belajar.</v>
      </c>
      <c r="AM137" s="105" t="str">
        <f>IFERROR(__xludf.DUMMYFUNCTION("""COMPUTED_VALUE"""),"A Saya ingin teman-teman saya merasa kasihan pada saya apabila saya sakit.")</f>
        <v>A Saya ingin teman-teman saya merasa kasihan pada saya apabila saya sakit.</v>
      </c>
      <c r="AN137" s="105" t="str">
        <f>IFERROR(__xludf.DUMMYFUNCTION("""COMPUTED_VALUE"""),"A Saya tidak suka pada orang yang semena-mena.")</f>
        <v>A Saya tidak suka pada orang yang semena-mena.</v>
      </c>
      <c r="AO137" s="105" t="str">
        <f>IFERROR(__xludf.DUMMYFUNCTION("""COMPUTED_VALUE"""),"B Saya suka menyelesaikan setiap tugas meskipun membutuhkan waktu lama.")</f>
        <v>B Saya suka menyelesaikan setiap tugas meskipun membutuhkan waktu lama.</v>
      </c>
      <c r="AP137" s="105" t="str">
        <f>IFERROR(__xludf.DUMMYFUNCTION("""COMPUTED_VALUE"""),"A Saya ingin mengerjakannya tugas sampai selesai.")</f>
        <v>A Saya ingin mengerjakannya tugas sampai selesai.</v>
      </c>
      <c r="AQ137" s="105" t="str">
        <f>IFERROR(__xludf.DUMMYFUNCTION("""COMPUTED_VALUE"""),"A Saya ingin bisa mengerjakan segala sesuatu lebih baik daripada orang-orang lain.")</f>
        <v>A Saya ingin bisa mengerjakan segala sesuatu lebih baik daripada orang-orang lain.</v>
      </c>
      <c r="AR137" s="105" t="str">
        <f>IFERROR(__xludf.DUMMYFUNCTION("""COMPUTED_VALUE"""),"B Saya suka belajar keras pada tiap pelajaran yang saya hadapi.")</f>
        <v>B Saya suka belajar keras pada tiap pelajaran yang saya hadapi.</v>
      </c>
      <c r="AS137" s="105" t="str">
        <f>IFERROR(__xludf.DUMMYFUNCTION("""COMPUTED_VALUE"""),"B Saya suka belajar sampai malam untuk menyelesaikan suatu tugas.")</f>
        <v>B Saya suka belajar sampai malam untuk menyelesaikan suatu tugas.</v>
      </c>
      <c r="AT137" s="105" t="str">
        <f>IFERROR(__xludf.DUMMYFUNCTION("""COMPUTED_VALUE"""),"A Saya ingin bisa melakukan dengan baik sesuatu pekerjaan sulit.")</f>
        <v>A Saya ingin bisa melakukan dengan baik sesuatu pekerjaan sulit.</v>
      </c>
      <c r="AU137" s="105" t="str">
        <f>IFERROR(__xludf.DUMMYFUNCTION("""COMPUTED_VALUE"""),"A Saya ingin menyelesaikan pekerjaan satu persatu sebelum memulai yang lain.")</f>
        <v>A Saya ingin menyelesaikan pekerjaan satu persatu sebelum memulai yang lain.</v>
      </c>
      <c r="AV137" s="105" t="str">
        <f>IFERROR(__xludf.DUMMYFUNCTION("""COMPUTED_VALUE"""),"B Saya suka menolong teman-teman saya.")</f>
        <v>B Saya suka menolong teman-teman saya.</v>
      </c>
      <c r="AW137" s="105" t="str">
        <f>IFERROR(__xludf.DUMMYFUNCTION("""COMPUTED_VALUE"""),"B Saya ingin teman-teman saya percaya bahwa saya bisa menolong mereka.")</f>
        <v>B Saya ingin teman-teman saya percaya bahwa saya bisa menolong mereka.</v>
      </c>
      <c r="AX137" s="105" t="str">
        <f>IFERROR(__xludf.DUMMYFUNCTION("""COMPUTED_VALUE"""),"A Saya suka menolong teman-teman saya apabila mereka dalam kesulitan.")</f>
        <v>A Saya suka menolong teman-teman saya apabila mereka dalam kesulitan.</v>
      </c>
      <c r="AY137" s="105" t="str">
        <f>IFERROR(__xludf.DUMMYFUNCTION("""COMPUTED_VALUE"""),"A Saya rasanya ingin marah saat tidak sesuai dengan hati.")</f>
        <v>A Saya rasanya ingin marah saat tidak sesuai dengan hati.</v>
      </c>
      <c r="AZ137" s="105" t="str">
        <f>IFERROR(__xludf.DUMMYFUNCTION("""COMPUTED_VALUE"""),"B Saya suka menunjukkan simpati saya kepada teman-teman saya.")</f>
        <v>B Saya suka menunjukkan simpati saya kepada teman-teman saya.</v>
      </c>
      <c r="BA137" s="105" t="str">
        <f>IFERROR(__xludf.DUMMYFUNCTION("""COMPUTED_VALUE"""),"A Saya suka menyatakan pendapat saya tentang berbagai hal.")</f>
        <v>A Saya suka menyatakan pendapat saya tentang berbagai hal.</v>
      </c>
      <c r="BB137" s="105" t="str">
        <f>IFERROR(__xludf.DUMMYFUNCTION("""COMPUTED_VALUE"""),"B Saya suka bermurah hati terhadap teman-teman saya.")</f>
        <v>B Saya suka bermurah hati terhadap teman-teman saya.</v>
      </c>
      <c r="BC137" s="105" t="str">
        <f>IFERROR(__xludf.DUMMYFUNCTION("""COMPUTED_VALUE"""),"B Saya suka membantu orang lain yang menurut saya perlu dikasihani.")</f>
        <v>B Saya suka membantu orang lain yang menurut saya perlu dikasihani.</v>
      </c>
      <c r="BD137" s="105" t="str">
        <f>IFERROR(__xludf.DUMMYFUNCTION("""COMPUTED_VALUE"""),"A Saya rasanya ingin menyalahkan orang lain bila keadaan tidak baik bagi saya.")</f>
        <v>A Saya rasanya ingin menyalahkan orang lain bila keadaan tidak baik bagi saya.</v>
      </c>
      <c r="BE137" s="105" t="str">
        <f>IFERROR(__xludf.DUMMYFUNCTION("""COMPUTED_VALUE"""),"B Saya ingin orang lain melakukan apa yang saya kehendaki.")</f>
        <v>B Saya ingin orang lain melakukan apa yang saya kehendaki.</v>
      </c>
      <c r="BF137" s="105" t="str">
        <f>IFERROR(__xludf.DUMMYFUNCTION("""COMPUTED_VALUE"""),"A Saya ingin orang lain memperhatikan dan berkomentar tentang penampilan saya.")</f>
        <v>A Saya ingin orang lain memperhatikan dan berkomentar tentang penampilan saya.</v>
      </c>
      <c r="BG137" s="105" t="str">
        <f>IFERROR(__xludf.DUMMYFUNCTION("""COMPUTED_VALUE"""),"B Saya suka mengarahkan kepada orang lain apa yang harus dilakukan.")</f>
        <v>B Saya suka mengarahkan kepada orang lain apa yang harus dilakukan.</v>
      </c>
      <c r="BH137" s="105" t="str">
        <f>IFERROR(__xludf.DUMMYFUNCTION("""COMPUTED_VALUE"""),"A Saya suka menghindar dari situasi yang tidak saya harapkan.")</f>
        <v>A Saya suka menghindar dari situasi yang tidak saya harapkan.</v>
      </c>
      <c r="BI137" s="105" t="str">
        <f>IFERROR(__xludf.DUMMYFUNCTION("""COMPUTED_VALUE"""),"A Saya suka bermurah hati terhadap teman-teman saya.")</f>
        <v>A Saya suka bermurah hati terhadap teman-teman saya.</v>
      </c>
      <c r="BJ137" s="105" t="str">
        <f>IFERROR(__xludf.DUMMYFUNCTION("""COMPUTED_VALUE"""),"A Saya ingin mengerjakan tugas sampai selesai.")</f>
        <v>A Saya ingin mengerjakan tugas sampai selesai.</v>
      </c>
      <c r="BK137" s="105" t="str">
        <f>IFERROR(__xludf.DUMMYFUNCTION("""COMPUTED_VALUE"""),"A Saya ingin menyelesaikan pekerjaan satu persatu sebelum memulai yang lain.")</f>
        <v>A Saya ingin menyelesaikan pekerjaan satu persatu sebelum memulai yang lain.</v>
      </c>
      <c r="BL137" s="105" t="str">
        <f>IFERROR(__xludf.DUMMYFUNCTION("""COMPUTED_VALUE"""),"A Saya suka belajar saya teratur dan ada waktu-waktu tertentu untuk belajar.")</f>
        <v>A Saya suka belajar saya teratur dan ada waktu-waktu tertentu untuk belajar.</v>
      </c>
      <c r="BM137" s="105" t="str">
        <f>IFERROR(__xludf.DUMMYFUNCTION("""COMPUTED_VALUE"""),"A Saya suka melakukan pekerjaan sebaik mungkin.")</f>
        <v>A Saya suka melakukan pekerjaan sebaik mungkin.</v>
      </c>
      <c r="BN137" s="105" t="str">
        <f>IFERROR(__xludf.DUMMYFUNCTION("""COMPUTED_VALUE"""),"B Saya ingin teman-teman memberi dorongan bila saya menghadapi kegagalan.")</f>
        <v>B Saya ingin teman-teman memberi dorongan bila saya menghadapi kegagalan.</v>
      </c>
      <c r="BO137" s="105" t="str">
        <f>IFERROR(__xludf.DUMMYFUNCTION("""COMPUTED_VALUE"""),"B Saya ingin diperlakukan dengan baik oleh teman-teman saya.")</f>
        <v>B Saya ingin diperlakukan dengan baik oleh teman-teman saya.</v>
      </c>
      <c r="BP137" s="105" t="str">
        <f>IFERROR(__xludf.DUMMYFUNCTION("""COMPUTED_VALUE"""),"A Saya ingin menyelesaikan sesuatu yang sangat penting artinya.")</f>
        <v>A Saya ingin menyelesaikan sesuatu yang sangat penting artinya.</v>
      </c>
      <c r="BQ137" s="105" t="str">
        <f>IFERROR(__xludf.DUMMYFUNCTION("""COMPUTED_VALUE"""),"A Saya ingin mengerjakannya tugas sampai selesai.")</f>
        <v>A Saya ingin mengerjakannya tugas sampai selesai.</v>
      </c>
      <c r="BR137" s="105" t="str">
        <f>IFERROR(__xludf.DUMMYFUNCTION("""COMPUTED_VALUE"""),"A Saya suka memaafkan teman-teman saya yang menyakiti hati saya.")</f>
        <v>A Saya suka memaafkan teman-teman saya yang menyakiti hati saya.</v>
      </c>
      <c r="BS137" s="105" t="str">
        <f>IFERROR(__xludf.DUMMYFUNCTION("""COMPUTED_VALUE"""),"B Saya ingin teman-teman saya membantu saya bila saya mengalami kesulitan")</f>
        <v>B Saya ingin teman-teman saya membantu saya bila saya mengalami kesulitan</v>
      </c>
      <c r="BT137" s="105" t="str">
        <f>IFERROR(__xludf.DUMMYFUNCTION("""COMPUTED_VALUE"""),"A Saya ingin teman-teman saya merasa kasihan pada saya apabila saya sakit.")</f>
        <v>A Saya ingin teman-teman saya merasa kasihan pada saya apabila saya sakit.</v>
      </c>
      <c r="BU137" s="105" t="str">
        <f>IFERROR(__xludf.DUMMYFUNCTION("""COMPUTED_VALUE"""),"B Saya ingin agar teman-teman saya merasa kasihan pada saya apabila saya sakit.")</f>
        <v>B Saya ingin agar teman-teman saya merasa kasihan pada saya apabila saya sakit.</v>
      </c>
      <c r="BV137" s="105" t="str">
        <f>IFERROR(__xludf.DUMMYFUNCTION("""COMPUTED_VALUE"""),"B Saya ingin teman-teman dengan gembira memberikan pertolongan kepada saya.")</f>
        <v>B Saya ingin teman-teman dengan gembira memberikan pertolongan kepada saya.</v>
      </c>
      <c r="BW137" s="105" t="str">
        <f>IFERROR(__xludf.DUMMYFUNCTION("""COMPUTED_VALUE"""),"B Saya ingin diperlakukan dengan baik oleh teman-teman saya.")</f>
        <v>B Saya ingin diperlakukan dengan baik oleh teman-teman saya.</v>
      </c>
      <c r="BX137" s="105" t="str">
        <f>IFERROR(__xludf.DUMMYFUNCTION("""COMPUTED_VALUE"""),"B Saya kadang-kadang suka melakukan hal-hal yang dapat dipuji oleh orang lain.")</f>
        <v>B Saya kadang-kadang suka melakukan hal-hal yang dapat dipuji oleh orang lain.</v>
      </c>
      <c r="BY137" s="105" t="str">
        <f>IFERROR(__xludf.DUMMYFUNCTION("""COMPUTED_VALUE"""),"A Saya suka melamun atau membayangkan hal-hal yang tidak jelas.")</f>
        <v>A Saya suka melamun atau membayangkan hal-hal yang tidak jelas.</v>
      </c>
      <c r="BZ137" s="105" t="str">
        <f>IFERROR(__xludf.DUMMYFUNCTION("""COMPUTED_VALUE"""),"B Saya suka diperhatikan, apabila saya ada di dalam suatu kelompok.")</f>
        <v>B Saya suka diperhatikan, apabila saya ada di dalam suatu kelompok.</v>
      </c>
      <c r="CA137" s="105" t="str">
        <f>IFERROR(__xludf.DUMMYFUNCTION("""COMPUTED_VALUE"""),"A Saya ingin teman-teman dengan gembira memberikan pertolongan kepada saya.")</f>
        <v>A Saya ingin teman-teman dengan gembira memberikan pertolongan kepada saya.</v>
      </c>
      <c r="CB137" s="105" t="str">
        <f>IFERROR(__xludf.DUMMYFUNCTION("""COMPUTED_VALUE"""),"A Saya suka menghindar dari tanggung jawab yang tidak saya inginkan.")</f>
        <v>A Saya suka menghindar dari tanggung jawab yang tidak saya inginkan.</v>
      </c>
      <c r="CC137" s="105" t="str">
        <f>IFERROR(__xludf.DUMMYFUNCTION("""COMPUTED_VALUE"""),"B Saya suka menceritakan hal-hal lucu agar diperhatikan oleh orang lain.")</f>
        <v>B Saya suka menceritakan hal-hal lucu agar diperhatikan oleh orang lain.</v>
      </c>
      <c r="CD137" s="105" t="str">
        <f>IFERROR(__xludf.DUMMYFUNCTION("""COMPUTED_VALUE"""),"A Saya suka menyelesaikan setiap tugas meskipun membutuhkan waktu lama.")</f>
        <v>A Saya suka menyelesaikan setiap tugas meskipun membutuhkan waktu lama.</v>
      </c>
      <c r="CE137" s="105" t="str">
        <f>IFERROR(__xludf.DUMMYFUNCTION("""COMPUTED_VALUE"""),"A Saya suka menyelesaikan setiap tugas belajar yang telah saya mulai.")</f>
        <v>A Saya suka menyelesaikan setiap tugas belajar yang telah saya mulai.</v>
      </c>
      <c r="CF137" s="105" t="str">
        <f>IFERROR(__xludf.DUMMYFUNCTION("""COMPUTED_VALUE"""),"A Saya ingin agar hidup saya teratur sesuai cita-cita saya.")</f>
        <v>A Saya ingin agar hidup saya teratur sesuai cita-cita saya.</v>
      </c>
      <c r="CG137" s="105" t="str">
        <f>IFERROR(__xludf.DUMMYFUNCTION("""COMPUTED_VALUE"""),"A Saya ingin berhasil dalam apa yang saya lakukan.")</f>
        <v>A Saya ingin berhasil dalam apa yang saya lakukan.</v>
      </c>
      <c r="CH137" s="105" t="str">
        <f>IFERROR(__xludf.DUMMYFUNCTION("""COMPUTED_VALUE"""),"A Saya ingin bisa melakukan dengan baik sesuatu pekerjaan sulit.")</f>
        <v>A Saya ingin bisa melakukan dengan baik sesuatu pekerjaan sulit.</v>
      </c>
      <c r="CI137" s="105" t="str">
        <f>IFERROR(__xludf.DUMMYFUNCTION("""COMPUTED_VALUE"""),"A Saya suka belajar saya teratur dan ada waktu-waktu tertentu untuk belajar.")</f>
        <v>A Saya suka belajar saya teratur dan ada waktu-waktu tertentu untuk belajar.</v>
      </c>
      <c r="CJ137" s="105" t="str">
        <f>IFERROR(__xludf.DUMMYFUNCTION("""COMPUTED_VALUE"""),"A Saya ingin tidak tergantung dari orang lain terhadap apa yang akan saya lakukan.")</f>
        <v>A Saya ingin tidak tergantung dari orang lain terhadap apa yang akan saya lakukan.</v>
      </c>
      <c r="CK137" s="105" t="str">
        <f>IFERROR(__xludf.DUMMYFUNCTION("""COMPUTED_VALUE"""),"B Saya senang ikut beraktivitas bersama teman sebaya saya.")</f>
        <v>B Saya senang ikut beraktivitas bersama teman sebaya saya.</v>
      </c>
      <c r="CL137" s="105" t="str">
        <f>IFERROR(__xludf.DUMMYFUNCTION("""COMPUTED_VALUE"""),"A Saya suka menolong teman-teman saya, apabila mereka dalam kesulitan.")</f>
        <v>A Saya suka menolong teman-teman saya, apabila mereka dalam kesulitan.</v>
      </c>
      <c r="CM137" s="105" t="str">
        <f>IFERROR(__xludf.DUMMYFUNCTION("""COMPUTED_VALUE"""),"B Saya merasa kagum pada seseorang.")</f>
        <v>B Saya merasa kagum pada seseorang.</v>
      </c>
      <c r="CN137" s="105" t="str">
        <f>IFERROR(__xludf.DUMMYFUNCTION("""COMPUTED_VALUE"""),"A Saya ingin diperlakukan dengan baik oleh teman-teman saya.")</f>
        <v>A Saya ingin diperlakukan dengan baik oleh teman-teman saya.</v>
      </c>
      <c r="CO137" s="105" t="str">
        <f>IFERROR(__xludf.DUMMYFUNCTION("""COMPUTED_VALUE"""),"B Saya suka memuji orang yang saya kagumi.")</f>
        <v>B Saya suka memuji orang yang saya kagumi.</v>
      </c>
      <c r="CP137" s="105" t="str">
        <f>IFERROR(__xludf.DUMMYFUNCTION("""COMPUTED_VALUE"""),"A Saya suka melamun atau membayangkan sesuatu sendirian.")</f>
        <v>A Saya suka melamun atau membayangkan sesuatu sendirian.</v>
      </c>
      <c r="CQ137" s="105" t="str">
        <f>IFERROR(__xludf.DUMMYFUNCTION("""COMPUTED_VALUE"""),"B Saya merasa kagum pada seseorang.")</f>
        <v>B Saya merasa kagum pada seseorang.</v>
      </c>
      <c r="CR137" s="105" t="str">
        <f>IFERROR(__xludf.DUMMYFUNCTION("""COMPUTED_VALUE"""),"B Saya rasanya ingin mengecam seseorang bila orang itu menjengkelkan.")</f>
        <v>B Saya rasanya ingin mengecam seseorang bila orang itu menjengkelkan.</v>
      </c>
      <c r="CS137" s="105" t="str">
        <f>IFERROR(__xludf.DUMMYFUNCTION("""COMPUTED_VALUE"""),"B Saya rasanya ingin membalas dendam bila seseorang menghina saya.")</f>
        <v>B Saya rasanya ingin membalas dendam bila seseorang menghina saya.</v>
      </c>
      <c r="CT137" s="105" t="str">
        <f>IFERROR(__xludf.DUMMYFUNCTION("""COMPUTED_VALUE"""),"A Saya ingin orang-orang memperhatikan komentar mengenai penampilan saya.")</f>
        <v>A Saya ingin orang-orang memperhatikan komentar mengenai penampilan saya.</v>
      </c>
      <c r="CU137" s="105" t="str">
        <f>IFERROR(__xludf.DUMMYFUNCTION("""COMPUTED_VALUE"""),"A Saya ingin diperlakukan dengan ramah oleh teman-teman saya.")</f>
        <v>A Saya ingin diperlakukan dengan ramah oleh teman-teman saya.</v>
      </c>
      <c r="CV137" s="105" t="str">
        <f>IFERROR(__xludf.DUMMYFUNCTION("""COMPUTED_VALUE"""),"B Saya menyerang pendirian-pendirian yang bertentangan dengan pendirian saya.")</f>
        <v>B Saya menyerang pendirian-pendirian yang bertentangan dengan pendirian saya.</v>
      </c>
      <c r="CW137" s="105" t="str">
        <f>IFERROR(__xludf.DUMMYFUNCTION("""COMPUTED_VALUE"""),"A Saya suka menolong teman-teman saya, apabila mereka dalam kesulitan.")</f>
        <v>A Saya suka menolong teman-teman saya, apabila mereka dalam kesulitan.</v>
      </c>
      <c r="CX137" s="105" t="str">
        <f>IFERROR(__xludf.DUMMYFUNCTION("""COMPUTED_VALUE"""),"A Saya suka belajar sampai malam untuk menyelesaikan suatu tugas.")</f>
        <v>A Saya suka belajar sampai malam untuk menyelesaikan suatu tugas.</v>
      </c>
      <c r="CY137" s="105" t="str">
        <f>IFERROR(__xludf.DUMMYFUNCTION("""COMPUTED_VALUE"""),"A Saya ingin tidak tergantung dari orang lain terhadap apa yang akan saya lakukan.")</f>
        <v>A Saya ingin tidak tergantung dari orang lain terhadap apa yang akan saya lakukan.</v>
      </c>
      <c r="CZ137" s="105" t="str">
        <f>IFERROR(__xludf.DUMMYFUNCTION("""COMPUTED_VALUE"""),"A Saya suka merencanakan dan mengatur setiap pekerjaan yang harus saya lakukan.")</f>
        <v>A Saya suka merencanakan dan mengatur setiap pekerjaan yang harus saya lakukan.</v>
      </c>
      <c r="DA137" s="105" t="str">
        <f>IFERROR(__xludf.DUMMYFUNCTION("""COMPUTED_VALUE"""),"A Saya ingin melakukan apa saja sebaik mungkin.")</f>
        <v>A Saya ingin melakukan apa saja sebaik mungkin.</v>
      </c>
      <c r="DB137" s="89" t="s">
        <v>23</v>
      </c>
      <c r="DC137" s="97" t="str">
        <f t="shared" ref="DC137:GX137" si="182">LEFT(F137,1)</f>
        <v>B</v>
      </c>
      <c r="DD137" s="97" t="str">
        <f t="shared" si="182"/>
        <v>B</v>
      </c>
      <c r="DE137" s="97" t="str">
        <f t="shared" si="182"/>
        <v>B</v>
      </c>
      <c r="DF137" s="97" t="str">
        <f t="shared" si="182"/>
        <v>B</v>
      </c>
      <c r="DG137" s="97" t="str">
        <f t="shared" si="182"/>
        <v>B</v>
      </c>
      <c r="DH137" s="97" t="str">
        <f t="shared" si="182"/>
        <v>B</v>
      </c>
      <c r="DI137" s="97" t="str">
        <f t="shared" si="182"/>
        <v>B</v>
      </c>
      <c r="DJ137" s="97" t="str">
        <f t="shared" si="182"/>
        <v>A</v>
      </c>
      <c r="DK137" s="97" t="str">
        <f t="shared" si="182"/>
        <v>A</v>
      </c>
      <c r="DL137" s="97" t="str">
        <f t="shared" si="182"/>
        <v>A</v>
      </c>
      <c r="DM137" s="97" t="str">
        <f t="shared" si="182"/>
        <v>A</v>
      </c>
      <c r="DN137" s="97" t="str">
        <f t="shared" si="182"/>
        <v>B</v>
      </c>
      <c r="DO137" s="97" t="str">
        <f t="shared" si="182"/>
        <v>B</v>
      </c>
      <c r="DP137" s="97" t="str">
        <f t="shared" si="182"/>
        <v>A</v>
      </c>
      <c r="DQ137" s="97" t="str">
        <f t="shared" si="182"/>
        <v>A</v>
      </c>
      <c r="DR137" s="97" t="str">
        <f t="shared" si="182"/>
        <v>A</v>
      </c>
      <c r="DS137" s="97" t="str">
        <f t="shared" si="182"/>
        <v>A</v>
      </c>
      <c r="DT137" s="97" t="str">
        <f t="shared" si="182"/>
        <v>A</v>
      </c>
      <c r="DU137" s="97" t="str">
        <f t="shared" si="182"/>
        <v>A</v>
      </c>
      <c r="DV137" s="97" t="str">
        <f t="shared" si="182"/>
        <v>A</v>
      </c>
      <c r="DW137" s="97" t="str">
        <f t="shared" si="182"/>
        <v>B</v>
      </c>
      <c r="DX137" s="97" t="str">
        <f t="shared" si="182"/>
        <v>B</v>
      </c>
      <c r="DY137" s="97" t="str">
        <f t="shared" si="182"/>
        <v>B</v>
      </c>
      <c r="DZ137" s="97" t="str">
        <f t="shared" si="182"/>
        <v>A</v>
      </c>
      <c r="EA137" s="97" t="str">
        <f t="shared" si="182"/>
        <v>B</v>
      </c>
      <c r="EB137" s="97" t="str">
        <f t="shared" si="182"/>
        <v>B</v>
      </c>
      <c r="EC137" s="97" t="str">
        <f t="shared" si="182"/>
        <v>B</v>
      </c>
      <c r="ED137" s="97" t="str">
        <f t="shared" si="182"/>
        <v>B</v>
      </c>
      <c r="EE137" s="97" t="str">
        <f t="shared" si="182"/>
        <v>B</v>
      </c>
      <c r="EF137" s="97" t="str">
        <f t="shared" si="182"/>
        <v>B</v>
      </c>
      <c r="EG137" s="97" t="str">
        <f t="shared" si="182"/>
        <v>A</v>
      </c>
      <c r="EH137" s="97" t="str">
        <f t="shared" si="182"/>
        <v>B</v>
      </c>
      <c r="EI137" s="97" t="str">
        <f t="shared" si="182"/>
        <v>B</v>
      </c>
      <c r="EJ137" s="97" t="str">
        <f t="shared" si="182"/>
        <v>A</v>
      </c>
      <c r="EK137" s="97" t="str">
        <f t="shared" si="182"/>
        <v>A</v>
      </c>
      <c r="EL137" s="97" t="str">
        <f t="shared" si="182"/>
        <v>B</v>
      </c>
      <c r="EM137" s="97" t="str">
        <f t="shared" si="182"/>
        <v>A</v>
      </c>
      <c r="EN137" s="97" t="str">
        <f t="shared" si="182"/>
        <v>A</v>
      </c>
      <c r="EO137" s="97" t="str">
        <f t="shared" si="182"/>
        <v>B</v>
      </c>
      <c r="EP137" s="97" t="str">
        <f t="shared" si="182"/>
        <v>B</v>
      </c>
      <c r="EQ137" s="97" t="str">
        <f t="shared" si="182"/>
        <v>A</v>
      </c>
      <c r="ER137" s="97" t="str">
        <f t="shared" si="182"/>
        <v>A</v>
      </c>
      <c r="ES137" s="97" t="str">
        <f t="shared" si="182"/>
        <v>B</v>
      </c>
      <c r="ET137" s="97" t="str">
        <f t="shared" si="182"/>
        <v>B</v>
      </c>
      <c r="EU137" s="97" t="str">
        <f t="shared" si="182"/>
        <v>A</v>
      </c>
      <c r="EV137" s="97" t="str">
        <f t="shared" si="182"/>
        <v>A</v>
      </c>
      <c r="EW137" s="97" t="str">
        <f t="shared" si="182"/>
        <v>B</v>
      </c>
      <c r="EX137" s="97" t="str">
        <f t="shared" si="182"/>
        <v>A</v>
      </c>
      <c r="EY137" s="97" t="str">
        <f t="shared" si="182"/>
        <v>B</v>
      </c>
      <c r="EZ137" s="97" t="str">
        <f t="shared" si="182"/>
        <v>B</v>
      </c>
      <c r="FA137" s="97" t="str">
        <f t="shared" si="182"/>
        <v>A</v>
      </c>
      <c r="FB137" s="97" t="str">
        <f t="shared" si="182"/>
        <v>B</v>
      </c>
      <c r="FC137" s="97" t="str">
        <f t="shared" si="182"/>
        <v>A</v>
      </c>
      <c r="FD137" s="97" t="str">
        <f t="shared" si="182"/>
        <v>B</v>
      </c>
      <c r="FE137" s="97" t="str">
        <f t="shared" si="182"/>
        <v>A</v>
      </c>
      <c r="FF137" s="97" t="str">
        <f t="shared" si="182"/>
        <v>A</v>
      </c>
      <c r="FG137" s="97" t="str">
        <f t="shared" si="182"/>
        <v>A</v>
      </c>
      <c r="FH137" s="97" t="str">
        <f t="shared" si="182"/>
        <v>A</v>
      </c>
      <c r="FI137" s="97" t="str">
        <f t="shared" si="182"/>
        <v>A</v>
      </c>
      <c r="FJ137" s="97" t="str">
        <f t="shared" si="182"/>
        <v>A</v>
      </c>
      <c r="FK137" s="97" t="str">
        <f t="shared" si="182"/>
        <v>B</v>
      </c>
      <c r="FL137" s="97" t="str">
        <f t="shared" si="182"/>
        <v>B</v>
      </c>
      <c r="FM137" s="97" t="str">
        <f t="shared" si="182"/>
        <v>A</v>
      </c>
      <c r="FN137" s="97" t="str">
        <f t="shared" si="182"/>
        <v>A</v>
      </c>
      <c r="FO137" s="97" t="str">
        <f t="shared" si="182"/>
        <v>A</v>
      </c>
      <c r="FP137" s="97" t="str">
        <f t="shared" si="182"/>
        <v>B</v>
      </c>
      <c r="FQ137" s="97" t="str">
        <f t="shared" si="182"/>
        <v>A</v>
      </c>
      <c r="FR137" s="97" t="str">
        <f t="shared" si="182"/>
        <v>B</v>
      </c>
      <c r="FS137" s="97" t="str">
        <f t="shared" si="182"/>
        <v>B</v>
      </c>
      <c r="FT137" s="97" t="str">
        <f t="shared" si="182"/>
        <v>B</v>
      </c>
      <c r="FU137" s="97" t="str">
        <f t="shared" si="182"/>
        <v>B</v>
      </c>
      <c r="FV137" s="97" t="str">
        <f t="shared" si="182"/>
        <v>A</v>
      </c>
      <c r="FW137" s="97" t="str">
        <f t="shared" si="182"/>
        <v>B</v>
      </c>
      <c r="FX137" s="97" t="str">
        <f t="shared" si="182"/>
        <v>A</v>
      </c>
      <c r="FY137" s="97" t="str">
        <f t="shared" si="182"/>
        <v>A</v>
      </c>
      <c r="FZ137" s="97" t="str">
        <f t="shared" si="182"/>
        <v>B</v>
      </c>
      <c r="GA137" s="97" t="str">
        <f t="shared" si="182"/>
        <v>A</v>
      </c>
      <c r="GB137" s="97" t="str">
        <f t="shared" si="182"/>
        <v>A</v>
      </c>
      <c r="GC137" s="97" t="str">
        <f t="shared" si="182"/>
        <v>A</v>
      </c>
      <c r="GD137" s="97" t="str">
        <f t="shared" si="182"/>
        <v>A</v>
      </c>
      <c r="GE137" s="97" t="str">
        <f t="shared" si="182"/>
        <v>A</v>
      </c>
      <c r="GF137" s="97" t="str">
        <f t="shared" si="182"/>
        <v>A</v>
      </c>
      <c r="GG137" s="97" t="str">
        <f t="shared" si="182"/>
        <v>A</v>
      </c>
      <c r="GH137" s="97" t="str">
        <f t="shared" si="182"/>
        <v>B</v>
      </c>
      <c r="GI137" s="97" t="str">
        <f t="shared" si="182"/>
        <v>A</v>
      </c>
      <c r="GJ137" s="97" t="str">
        <f t="shared" si="182"/>
        <v>B</v>
      </c>
      <c r="GK137" s="97" t="str">
        <f t="shared" si="182"/>
        <v>A</v>
      </c>
      <c r="GL137" s="97" t="str">
        <f t="shared" si="182"/>
        <v>B</v>
      </c>
      <c r="GM137" s="97" t="str">
        <f t="shared" si="182"/>
        <v>A</v>
      </c>
      <c r="GN137" s="97" t="str">
        <f t="shared" si="182"/>
        <v>B</v>
      </c>
      <c r="GO137" s="97" t="str">
        <f t="shared" si="182"/>
        <v>B</v>
      </c>
      <c r="GP137" s="97" t="str">
        <f t="shared" si="182"/>
        <v>B</v>
      </c>
      <c r="GQ137" s="97" t="str">
        <f t="shared" si="182"/>
        <v>A</v>
      </c>
      <c r="GR137" s="97" t="str">
        <f t="shared" si="182"/>
        <v>A</v>
      </c>
      <c r="GS137" s="97" t="str">
        <f t="shared" si="182"/>
        <v>B</v>
      </c>
      <c r="GT137" s="97" t="str">
        <f t="shared" si="182"/>
        <v>A</v>
      </c>
      <c r="GU137" s="97" t="str">
        <f t="shared" si="182"/>
        <v>A</v>
      </c>
      <c r="GV137" s="97" t="str">
        <f t="shared" si="182"/>
        <v>A</v>
      </c>
      <c r="GW137" s="97" t="str">
        <f t="shared" si="182"/>
        <v>A</v>
      </c>
      <c r="GX137" s="97" t="str">
        <f t="shared" si="182"/>
        <v>A</v>
      </c>
      <c r="GY137" s="98"/>
      <c r="GZ137" s="97">
        <f t="shared" si="3"/>
        <v>54</v>
      </c>
      <c r="HA137" s="97">
        <f t="shared" si="4"/>
        <v>46</v>
      </c>
      <c r="HB137" s="90">
        <f t="shared" si="5"/>
        <v>100</v>
      </c>
      <c r="HC137" s="99"/>
      <c r="HD137" s="97">
        <f t="shared" si="6"/>
        <v>6</v>
      </c>
      <c r="HE137" s="97">
        <f t="shared" si="7"/>
        <v>6</v>
      </c>
      <c r="HF137" s="90">
        <f t="shared" si="8"/>
        <v>12</v>
      </c>
      <c r="HG137" s="99"/>
      <c r="HH137" s="97">
        <f t="shared" si="9"/>
        <v>5</v>
      </c>
      <c r="HI137" s="97">
        <f t="shared" si="10"/>
        <v>2</v>
      </c>
      <c r="HJ137" s="90">
        <f t="shared" si="11"/>
        <v>7</v>
      </c>
      <c r="HK137" s="99"/>
      <c r="HL137" s="97">
        <f t="shared" si="12"/>
        <v>7</v>
      </c>
      <c r="HM137" s="97">
        <f t="shared" si="13"/>
        <v>9</v>
      </c>
      <c r="HN137" s="90">
        <f t="shared" si="14"/>
        <v>16</v>
      </c>
      <c r="HO137" s="99"/>
      <c r="HP137" s="97">
        <f t="shared" si="15"/>
        <v>6</v>
      </c>
      <c r="HQ137" s="97">
        <f t="shared" si="16"/>
        <v>5</v>
      </c>
      <c r="HR137" s="90">
        <f t="shared" si="17"/>
        <v>11</v>
      </c>
      <c r="HS137" s="99"/>
      <c r="HT137" s="97">
        <f t="shared" si="18"/>
        <v>5</v>
      </c>
      <c r="HU137" s="97">
        <f t="shared" si="19"/>
        <v>5</v>
      </c>
      <c r="HV137" s="90">
        <f t="shared" si="20"/>
        <v>10</v>
      </c>
      <c r="HW137" s="99"/>
      <c r="HX137" s="97">
        <f t="shared" si="21"/>
        <v>4</v>
      </c>
      <c r="HY137" s="97">
        <f t="shared" si="22"/>
        <v>2</v>
      </c>
      <c r="HZ137" s="90">
        <f t="shared" si="23"/>
        <v>6</v>
      </c>
      <c r="IA137" s="99"/>
      <c r="IB137" s="97">
        <f t="shared" si="24"/>
        <v>5</v>
      </c>
      <c r="IC137" s="97">
        <f t="shared" si="25"/>
        <v>6</v>
      </c>
      <c r="ID137" s="90">
        <f t="shared" si="26"/>
        <v>11</v>
      </c>
      <c r="IE137" s="99"/>
      <c r="IF137" s="97">
        <f t="shared" si="27"/>
        <v>4</v>
      </c>
      <c r="IG137" s="97">
        <f t="shared" si="28"/>
        <v>3</v>
      </c>
      <c r="IH137" s="90">
        <f t="shared" si="29"/>
        <v>7</v>
      </c>
      <c r="II137" s="99"/>
      <c r="IJ137" s="97">
        <f t="shared" si="30"/>
        <v>2</v>
      </c>
      <c r="IK137" s="97">
        <f t="shared" si="31"/>
        <v>4</v>
      </c>
      <c r="IL137" s="90">
        <f t="shared" si="32"/>
        <v>6</v>
      </c>
      <c r="IM137" s="99"/>
      <c r="IN137" s="97">
        <f t="shared" si="33"/>
        <v>4</v>
      </c>
      <c r="IO137" s="97">
        <f t="shared" si="34"/>
        <v>3</v>
      </c>
      <c r="IP137" s="90">
        <f t="shared" si="35"/>
        <v>7</v>
      </c>
      <c r="IS137" s="100">
        <f t="shared" si="36"/>
        <v>12</v>
      </c>
      <c r="IT137" s="100">
        <f t="shared" si="37"/>
        <v>7</v>
      </c>
      <c r="IU137" s="100">
        <f t="shared" si="38"/>
        <v>16</v>
      </c>
      <c r="IV137" s="100">
        <f t="shared" si="39"/>
        <v>11</v>
      </c>
      <c r="IW137" s="100">
        <f t="shared" si="40"/>
        <v>10</v>
      </c>
      <c r="IX137" s="100">
        <f t="shared" si="41"/>
        <v>6</v>
      </c>
      <c r="IY137" s="100">
        <f t="shared" si="42"/>
        <v>11</v>
      </c>
      <c r="IZ137" s="100">
        <f t="shared" si="43"/>
        <v>7</v>
      </c>
      <c r="JA137" s="100">
        <f t="shared" si="44"/>
        <v>6</v>
      </c>
      <c r="JB137" s="101">
        <f t="shared" si="45"/>
        <v>7</v>
      </c>
      <c r="JC137" s="102">
        <f t="shared" si="46"/>
        <v>93</v>
      </c>
      <c r="JD137" s="67">
        <f t="shared" si="50"/>
        <v>0</v>
      </c>
      <c r="JE137" s="67">
        <f t="shared" si="47"/>
        <v>1</v>
      </c>
      <c r="JF137" s="67">
        <f t="shared" si="48"/>
        <v>1</v>
      </c>
    </row>
    <row r="138">
      <c r="A138" s="104">
        <f>IFERROR(__xludf.DUMMYFUNCTION("""COMPUTED_VALUE"""),45972.61903886574)</f>
        <v>45972.61904</v>
      </c>
      <c r="B138" s="105" t="str">
        <f>IFERROR(__xludf.DUMMYFUNCTION("""COMPUTED_VALUE"""),"AL RAFFI HAFIZH IRHAM ZAKARIA")</f>
        <v>AL RAFFI HAFIZH IRHAM ZAKARIA</v>
      </c>
      <c r="C138" s="7" t="str">
        <f>IFERROR(__xludf.DUMMYFUNCTION("""COMPUTED_VALUE"""),"C250025")</f>
        <v>C250025</v>
      </c>
      <c r="D138" s="7" t="str">
        <f>IFERROR(__xludf.DUMMYFUNCTION("""COMPUTED_VALUE"""),"IL Putra")</f>
        <v>IL Putra</v>
      </c>
      <c r="E138" s="7" t="str">
        <f>IFERROR(__xludf.DUMMYFUNCTION("""COMPUTED_VALUE"""),"Ya")</f>
        <v>Ya</v>
      </c>
      <c r="F138" s="105" t="str">
        <f>IFERROR(__xludf.DUMMYFUNCTION("""COMPUTED_VALUE"""),"B Saya ingin melakukan apa saja sebaik mungkin.")</f>
        <v>B Saya ingin melakukan apa saja sebaik mungkin.</v>
      </c>
      <c r="G138" s="105" t="str">
        <f>IFERROR(__xludf.DUMMYFUNCTION("""COMPUTED_VALUE"""),"A Saya ingin setiap tulisan saya teliti, rapi, dan tersusun dengan baik.")</f>
        <v>A Saya ingin setiap tulisan saya teliti, rapi, dan tersusun dengan baik.</v>
      </c>
      <c r="H138" s="105" t="str">
        <f>IFERROR(__xludf.DUMMYFUNCTION("""COMPUTED_VALUE"""),"A Saya ingin berbuat sesuai kata hati saya.")</f>
        <v>A Saya ingin berbuat sesuai kata hati saya.</v>
      </c>
      <c r="I138" s="105" t="str">
        <f>IFERROR(__xludf.DUMMYFUNCTION("""COMPUTED_VALUE"""),"B Saya ingin bisa melakukan dengan baik meskipun tugas yang sulit.")</f>
        <v>B Saya ingin bisa melakukan dengan baik meskipun tugas yang sulit.</v>
      </c>
      <c r="J138" s="105" t="str">
        <f>IFERROR(__xludf.DUMMYFUNCTION("""COMPUTED_VALUE"""),"A Saya suka membantu teman-teman saya apabila mereka mengalami kesulitan.")</f>
        <v>A Saya suka membantu teman-teman saya apabila mereka mengalami kesulitan.</v>
      </c>
      <c r="K138" s="105" t="str">
        <f>IFERROR(__xludf.DUMMYFUNCTION("""COMPUTED_VALUE"""),"B Saya ingin mengatakan telah melakukan dengan baik sesuatu tugas yang sulit.")</f>
        <v>B Saya ingin mengatakan telah melakukan dengan baik sesuatu tugas yang sulit.</v>
      </c>
      <c r="L138" s="105" t="str">
        <f>IFERROR(__xludf.DUMMYFUNCTION("""COMPUTED_VALUE"""),"B Saya ingin mengatakan telah melakukan dengan baik sesuatu tugas yang sulit")</f>
        <v>B Saya ingin mengatakan telah melakukan dengan baik sesuatu tugas yang sulit</v>
      </c>
      <c r="M138" s="105" t="str">
        <f>IFERROR(__xludf.DUMMYFUNCTION("""COMPUTED_VALUE"""),"A Saya suka berbicara tentang hal-hal yang telah berhasil saya lakukan.")</f>
        <v>A Saya suka berbicara tentang hal-hal yang telah berhasil saya lakukan.</v>
      </c>
      <c r="N138" s="105" t="str">
        <f>IFERROR(__xludf.DUMMYFUNCTION("""COMPUTED_VALUE"""),"A Saya suka pergi dengan pakaian rapi agar lebih menarik perhatian orang lain.")</f>
        <v>A Saya suka pergi dengan pakaian rapi agar lebih menarik perhatian orang lain.</v>
      </c>
      <c r="O138" s="105" t="str">
        <f>IFERROR(__xludf.DUMMYFUNCTION("""COMPUTED_VALUE"""),"A Saya marah saat ada teman memperolok-olok hal-hal yang saya anggap bodoh.")</f>
        <v>A Saya marah saat ada teman memperolok-olok hal-hal yang saya anggap bodoh.</v>
      </c>
      <c r="P138" s="105" t="str">
        <f>IFERROR(__xludf.DUMMYFUNCTION("""COMPUTED_VALUE"""),"A Saya suka bercerita tentang hal-hal yang menegangkan atau menantang.")</f>
        <v>A Saya suka bercerita tentang hal-hal yang menegangkan atau menantang.</v>
      </c>
      <c r="Q138" s="105" t="str">
        <f>IFERROR(__xludf.DUMMYFUNCTION("""COMPUTED_VALUE"""),"B Saya merencanakan keperluan yang dibutuhkan sebelum bepergian.")</f>
        <v>B Saya merencanakan keperluan yang dibutuhkan sebelum bepergian.</v>
      </c>
      <c r="R138" s="105" t="str">
        <f>IFERROR(__xludf.DUMMYFUNCTION("""COMPUTED_VALUE"""),"B Saya suka barang-barang saya tersusun rapi dan teratur.")</f>
        <v>B Saya suka barang-barang saya tersusun rapi dan teratur.</v>
      </c>
      <c r="S138" s="105" t="str">
        <f>IFERROR(__xludf.DUMMYFUNCTION("""COMPUTED_VALUE"""),"A Saya ingin agar teman-teman pengertian bila saya mengalami kesukaran.")</f>
        <v>A Saya ingin agar teman-teman pengertian bila saya mengalami kesukaran.</v>
      </c>
      <c r="T138" s="105" t="str">
        <f>IFERROR(__xludf.DUMMYFUNCTION("""COMPUTED_VALUE"""),"B Saya ingin agar hidup saya teratur sesuai cita-cita saya.")</f>
        <v>B Saya ingin agar hidup saya teratur sesuai cita-cita saya.</v>
      </c>
      <c r="U138" s="105" t="str">
        <f>IFERROR(__xludf.DUMMYFUNCTION("""COMPUTED_VALUE"""),"B Saya suka menyimpan catatan secara rapi.")</f>
        <v>B Saya suka menyimpan catatan secara rapi.</v>
      </c>
      <c r="V138" s="105" t="str">
        <f>IFERROR(__xludf.DUMMYFUNCTION("""COMPUTED_VALUE"""),"B Saya suka belajar saya teratur dan ada waktu-waktu tertentu untuk belajar.")</f>
        <v>B Saya suka belajar saya teratur dan ada waktu-waktu tertentu untuk belajar.</v>
      </c>
      <c r="W138" s="105" t="str">
        <f>IFERROR(__xludf.DUMMYFUNCTION("""COMPUTED_VALUE"""),"A Saya suka melakukan kegiatan sesuai kondisi yang saya inginkan.")</f>
        <v>A Saya suka melakukan kegiatan sesuai kondisi yang saya inginkan.</v>
      </c>
      <c r="X138" s="105" t="str">
        <f>IFERROR(__xludf.DUMMYFUNCTION("""COMPUTED_VALUE"""),"A Saya suka merencanakan dan mengatur setiap apa yang harus saya lakukan.")</f>
        <v>A Saya suka merencanakan dan mengatur setiap apa yang harus saya lakukan.</v>
      </c>
      <c r="Y138" s="105" t="str">
        <f>IFERROR(__xludf.DUMMYFUNCTION("""COMPUTED_VALUE"""),"B Saya senang merencanakan untuk masa depan.")</f>
        <v>B Saya senang merencanakan untuk masa depan.</v>
      </c>
      <c r="Z138" s="105" t="str">
        <f>IFERROR(__xludf.DUMMYFUNCTION("""COMPUTED_VALUE"""),"A Saya ingin berhasil dengan belajar yang saya lakukan.")</f>
        <v>A Saya ingin berhasil dengan belajar yang saya lakukan.</v>
      </c>
      <c r="AA138" s="105" t="str">
        <f>IFERROR(__xludf.DUMMYFUNCTION("""COMPUTED_VALUE"""),"B Saya tidak suka pada orang yang berbuat seenaknya sendiri.")</f>
        <v>B Saya tidak suka pada orang yang berbuat seenaknya sendiri.</v>
      </c>
      <c r="AB138" s="105" t="str">
        <f>IFERROR(__xludf.DUMMYFUNCTION("""COMPUTED_VALUE"""),"A Saya ingin tidak tergantung dari orang lain terhadap apa yang akan saya lakukan.")</f>
        <v>A Saya ingin tidak tergantung dari orang lain terhadap apa yang akan saya lakukan.</v>
      </c>
      <c r="AC138" s="105" t="str">
        <f>IFERROR(__xludf.DUMMYFUNCTION("""COMPUTED_VALUE"""),"B Saya suka melakukan kegiatan sesuai kondisi yang saya inginkan.")</f>
        <v>B Saya suka melakukan kegiatan sesuai kondisi yang saya inginkan.</v>
      </c>
      <c r="AD138" s="105" t="str">
        <f>IFERROR(__xludf.DUMMYFUNCTION("""COMPUTED_VALUE"""),"B Saya suka menyatakan pendapat saya tentang berbagai hal.")</f>
        <v>B Saya suka menyatakan pendapat saya tentang berbagai hal.</v>
      </c>
      <c r="AE138" s="105" t="str">
        <f>IFERROR(__xludf.DUMMYFUNCTION("""COMPUTED_VALUE"""),"B Saya suka melakukan hal-hal yang dianggap orang lain tidak sesuai.")</f>
        <v>B Saya suka melakukan hal-hal yang dianggap orang lain tidak sesuai.</v>
      </c>
      <c r="AF138" s="105" t="str">
        <f>IFERROR(__xludf.DUMMYFUNCTION("""COMPUTED_VALUE"""),"B Saya suka melakukan hal-hal dengan cara saya sendiri.")</f>
        <v>B Saya suka melakukan hal-hal dengan cara saya sendiri.</v>
      </c>
      <c r="AG138" s="105" t="str">
        <f>IFERROR(__xludf.DUMMYFUNCTION("""COMPUTED_VALUE"""),"A Saya mengajari orang lain bagaimana mereka harus melakukan pekerjaan mereka.")</f>
        <v>A Saya mengajari orang lain bagaimana mereka harus melakukan pekerjaan mereka.</v>
      </c>
      <c r="AH138" s="105" t="str">
        <f>IFERROR(__xludf.DUMMYFUNCTION("""COMPUTED_VALUE"""),"A Saya suka membaca buku-buku tentang pergaulan remaja.")</f>
        <v>A Saya suka membaca buku-buku tentang pergaulan remaja.</v>
      </c>
      <c r="AI138" s="105" t="str">
        <f>IFERROR(__xludf.DUMMYFUNCTION("""COMPUTED_VALUE"""),"B Saya suka melakukan kegiatan sesuai kondisi yang saya inginkan.")</f>
        <v>B Saya suka melakukan kegiatan sesuai kondisi yang saya inginkan.</v>
      </c>
      <c r="AJ138" s="105" t="str">
        <f>IFERROR(__xludf.DUMMYFUNCTION("""COMPUTED_VALUE"""),"B Saya suka bertahan menghadapi satu masalah meskipun belum tentu berhasil.")</f>
        <v>B Saya suka bertahan menghadapi satu masalah meskipun belum tentu berhasil.</v>
      </c>
      <c r="AK138" s="105" t="str">
        <f>IFERROR(__xludf.DUMMYFUNCTION("""COMPUTED_VALUE"""),"A Saya suka bercerita tentang hal-hal pribadi yang seharusnya tidak perlu diketahui orang lain.")</f>
        <v>A Saya suka bercerita tentang hal-hal pribadi yang seharusnya tidak perlu diketahui orang lain.</v>
      </c>
      <c r="AL138" s="105" t="str">
        <f>IFERROR(__xludf.DUMMYFUNCTION("""COMPUTED_VALUE"""),"A Saya suka berbicara tentang hal-hal yang telah saya capai.")</f>
        <v>A Saya suka berbicara tentang hal-hal yang telah saya capai.</v>
      </c>
      <c r="AM138" s="105" t="str">
        <f>IFERROR(__xludf.DUMMYFUNCTION("""COMPUTED_VALUE"""),"A Saya ingin teman-teman saya merasa kasihan pada saya apabila saya sakit.")</f>
        <v>A Saya ingin teman-teman saya merasa kasihan pada saya apabila saya sakit.</v>
      </c>
      <c r="AN138" s="105" t="str">
        <f>IFERROR(__xludf.DUMMYFUNCTION("""COMPUTED_VALUE"""),"A Saya tidak suka pada orang yang semena-mena.")</f>
        <v>A Saya tidak suka pada orang yang semena-mena.</v>
      </c>
      <c r="AO138" s="105" t="str">
        <f>IFERROR(__xludf.DUMMYFUNCTION("""COMPUTED_VALUE"""),"A Saya suka berlaku sangat ramah terhadap teman-teman saya.")</f>
        <v>A Saya suka berlaku sangat ramah terhadap teman-teman saya.</v>
      </c>
      <c r="AP138" s="105" t="str">
        <f>IFERROR(__xludf.DUMMYFUNCTION("""COMPUTED_VALUE"""),"B Saya suka bertahan menghadapi satu masalah meskipun belum tentu berhasil.")</f>
        <v>B Saya suka bertahan menghadapi satu masalah meskipun belum tentu berhasil.</v>
      </c>
      <c r="AQ138" s="105" t="str">
        <f>IFERROR(__xludf.DUMMYFUNCTION("""COMPUTED_VALUE"""),"A Saya ingin bisa mengerjakan segala sesuatu lebih baik daripada orang-orang lain.")</f>
        <v>A Saya ingin bisa mengerjakan segala sesuatu lebih baik daripada orang-orang lain.</v>
      </c>
      <c r="AR138" s="105" t="str">
        <f>IFERROR(__xludf.DUMMYFUNCTION("""COMPUTED_VALUE"""),"A Saya suka menyimpan catatan secara rapi.")</f>
        <v>A Saya suka menyimpan catatan secara rapi.</v>
      </c>
      <c r="AS138" s="105" t="str">
        <f>IFERROR(__xludf.DUMMYFUNCTION("""COMPUTED_VALUE"""),"A Saya ingin dapat menyelesaikan persoalan yang dianggap sukar bagi orang lain.")</f>
        <v>A Saya ingin dapat menyelesaikan persoalan yang dianggap sukar bagi orang lain.</v>
      </c>
      <c r="AT138" s="105" t="str">
        <f>IFERROR(__xludf.DUMMYFUNCTION("""COMPUTED_VALUE"""),"B Saya suka membantu orang lain yang menurut saya perlu dikasihani.")</f>
        <v>B Saya suka membantu orang lain yang menurut saya perlu dikasihani.</v>
      </c>
      <c r="AU138" s="105" t="str">
        <f>IFERROR(__xludf.DUMMYFUNCTION("""COMPUTED_VALUE"""),"B Saya suka bermurah hati terhadap teman-teman saya.")</f>
        <v>B Saya suka bermurah hati terhadap teman-teman saya.</v>
      </c>
      <c r="AV138" s="105" t="str">
        <f>IFERROR(__xludf.DUMMYFUNCTION("""COMPUTED_VALUE"""),"B Saya suka menolong teman-teman saya.")</f>
        <v>B Saya suka menolong teman-teman saya.</v>
      </c>
      <c r="AW138" s="105" t="str">
        <f>IFERROR(__xludf.DUMMYFUNCTION("""COMPUTED_VALUE"""),"B Saya ingin teman-teman saya percaya bahwa saya bisa menolong mereka.")</f>
        <v>B Saya ingin teman-teman saya percaya bahwa saya bisa menolong mereka.</v>
      </c>
      <c r="AX138" s="105" t="str">
        <f>IFERROR(__xludf.DUMMYFUNCTION("""COMPUTED_VALUE"""),"A Saya suka menolong teman-teman saya apabila mereka dalam kesulitan.")</f>
        <v>A Saya suka menolong teman-teman saya apabila mereka dalam kesulitan.</v>
      </c>
      <c r="AY138" s="105" t="str">
        <f>IFERROR(__xludf.DUMMYFUNCTION("""COMPUTED_VALUE"""),"A Saya rasanya ingin marah saat tidak sesuai dengan hati.")</f>
        <v>A Saya rasanya ingin marah saat tidak sesuai dengan hati.</v>
      </c>
      <c r="AZ138" s="105" t="str">
        <f>IFERROR(__xludf.DUMMYFUNCTION("""COMPUTED_VALUE"""),"A Saya ingin agar teman-teman saya bersimpati dan menghibur saya bila saya sedih.")</f>
        <v>A Saya ingin agar teman-teman saya bersimpati dan menghibur saya bila saya sedih.</v>
      </c>
      <c r="BA138" s="105" t="str">
        <f>IFERROR(__xludf.DUMMYFUNCTION("""COMPUTED_VALUE"""),"B Saya suka memperlakukan orang lain dengan baik dan ramah.")</f>
        <v>B Saya suka memperlakukan orang lain dengan baik dan ramah.</v>
      </c>
      <c r="BB138" s="105" t="str">
        <f>IFERROR(__xludf.DUMMYFUNCTION("""COMPUTED_VALUE"""),"B Saya suka bermurah hati terhadap teman-teman saya.")</f>
        <v>B Saya suka bermurah hati terhadap teman-teman saya.</v>
      </c>
      <c r="BC138" s="105" t="str">
        <f>IFERROR(__xludf.DUMMYFUNCTION("""COMPUTED_VALUE"""),"A Saya rasanya ingin mengecam seseorang bila orang itu menjengkelkan.")</f>
        <v>A Saya rasanya ingin mengecam seseorang bila orang itu menjengkelkan.</v>
      </c>
      <c r="BD138" s="105" t="str">
        <f>IFERROR(__xludf.DUMMYFUNCTION("""COMPUTED_VALUE"""),"B Saya suka bersikukuh dengan pendirian saya.")</f>
        <v>B Saya suka bersikukuh dengan pendirian saya.</v>
      </c>
      <c r="BE138" s="105" t="str">
        <f>IFERROR(__xludf.DUMMYFUNCTION("""COMPUTED_VALUE"""),"B Saya ingin orang lain melakukan apa yang saya kehendaki.")</f>
        <v>B Saya ingin orang lain melakukan apa yang saya kehendaki.</v>
      </c>
      <c r="BF138" s="105" t="str">
        <f>IFERROR(__xludf.DUMMYFUNCTION("""COMPUTED_VALUE"""),"A Saya ingin orang lain memperhatikan dan berkomentar tentang penampilan saya.")</f>
        <v>A Saya ingin orang lain memperhatikan dan berkomentar tentang penampilan saya.</v>
      </c>
      <c r="BG138" s="105" t="str">
        <f>IFERROR(__xludf.DUMMYFUNCTION("""COMPUTED_VALUE"""),"A Saya ingin teman-teman banyak menunjukkan rasa sayang mereka terhadap saya.")</f>
        <v>A Saya ingin teman-teman banyak menunjukkan rasa sayang mereka terhadap saya.</v>
      </c>
      <c r="BH138" s="105" t="str">
        <f>IFERROR(__xludf.DUMMYFUNCTION("""COMPUTED_VALUE"""),"A Saya suka menghindar dari situasi yang tidak saya harapkan.")</f>
        <v>A Saya suka menghindar dari situasi yang tidak saya harapkan.</v>
      </c>
      <c r="BI138" s="105" t="str">
        <f>IFERROR(__xludf.DUMMYFUNCTION("""COMPUTED_VALUE"""),"A Saya suka bermurah hati terhadap teman-teman saya.")</f>
        <v>A Saya suka bermurah hati terhadap teman-teman saya.</v>
      </c>
      <c r="BJ138" s="105" t="str">
        <f>IFERROR(__xludf.DUMMYFUNCTION("""COMPUTED_VALUE"""),"A Saya ingin mengerjakan tugas sampai selesai.")</f>
        <v>A Saya ingin mengerjakan tugas sampai selesai.</v>
      </c>
      <c r="BK138" s="105" t="str">
        <f>IFERROR(__xludf.DUMMYFUNCTION("""COMPUTED_VALUE"""),"A Saya ingin menyelesaikan pekerjaan satu persatu sebelum memulai yang lain.")</f>
        <v>A Saya ingin menyelesaikan pekerjaan satu persatu sebelum memulai yang lain.</v>
      </c>
      <c r="BL138" s="105" t="str">
        <f>IFERROR(__xludf.DUMMYFUNCTION("""COMPUTED_VALUE"""),"B Saya suka bersikukuh dengan pendirian saya.")</f>
        <v>B Saya suka bersikukuh dengan pendirian saya.</v>
      </c>
      <c r="BM138" s="105" t="str">
        <f>IFERROR(__xludf.DUMMYFUNCTION("""COMPUTED_VALUE"""),"A Saya suka melakukan pekerjaan sebaik mungkin.")</f>
        <v>A Saya suka melakukan pekerjaan sebaik mungkin.</v>
      </c>
      <c r="BN138" s="105" t="str">
        <f>IFERROR(__xludf.DUMMYFUNCTION("""COMPUTED_VALUE"""),"B Saya ingin teman-teman memberi dorongan bila saya menghadapi kegagalan.")</f>
        <v>B Saya ingin teman-teman memberi dorongan bila saya menghadapi kegagalan.</v>
      </c>
      <c r="BO138" s="105" t="str">
        <f>IFERROR(__xludf.DUMMYFUNCTION("""COMPUTED_VALUE"""),"B Saya ingin diperlakukan dengan baik oleh teman-teman saya.")</f>
        <v>B Saya ingin diperlakukan dengan baik oleh teman-teman saya.</v>
      </c>
      <c r="BP138" s="105" t="str">
        <f>IFERROR(__xludf.DUMMYFUNCTION("""COMPUTED_VALUE"""),"B Saya ingin teman-teman saya merasa kasihan pada saya apabila saya sakit.")</f>
        <v>B Saya ingin teman-teman saya merasa kasihan pada saya apabila saya sakit.</v>
      </c>
      <c r="BQ138" s="105" t="str">
        <f>IFERROR(__xludf.DUMMYFUNCTION("""COMPUTED_VALUE"""),"B Saya ingin agar teman-teman menceritakan diri saya apabila saya sakit.")</f>
        <v>B Saya ingin agar teman-teman menceritakan diri saya apabila saya sakit.</v>
      </c>
      <c r="BR138" s="105" t="str">
        <f>IFERROR(__xludf.DUMMYFUNCTION("""COMPUTED_VALUE"""),"B Saya ingin agar teman-teman saya bersimpati dan menghibur saya bila saya sedih.")</f>
        <v>B Saya ingin agar teman-teman saya bersimpati dan menghibur saya bila saya sedih.</v>
      </c>
      <c r="BS138" s="105" t="str">
        <f>IFERROR(__xludf.DUMMYFUNCTION("""COMPUTED_VALUE"""),"B Saya ingin teman-teman saya membantu saya bila saya mengalami kesulitan")</f>
        <v>B Saya ingin teman-teman saya membantu saya bila saya mengalami kesulitan</v>
      </c>
      <c r="BT138" s="105" t="str">
        <f>IFERROR(__xludf.DUMMYFUNCTION("""COMPUTED_VALUE"""),"A Saya ingin teman-teman saya merasa kasihan pada saya apabila saya sakit.")</f>
        <v>A Saya ingin teman-teman saya merasa kasihan pada saya apabila saya sakit.</v>
      </c>
      <c r="BU138" s="105" t="str">
        <f>IFERROR(__xludf.DUMMYFUNCTION("""COMPUTED_VALUE"""),"A Saya kadang-kadang suka melakukan hal-hal yang dapat dipuji oleh orang lain.")</f>
        <v>A Saya kadang-kadang suka melakukan hal-hal yang dapat dipuji oleh orang lain.</v>
      </c>
      <c r="BV138" s="105" t="str">
        <f>IFERROR(__xludf.DUMMYFUNCTION("""COMPUTED_VALUE"""),"B Saya ingin teman-teman dengan gembira memberikan pertolongan kepada saya.")</f>
        <v>B Saya ingin teman-teman dengan gembira memberikan pertolongan kepada saya.</v>
      </c>
      <c r="BW138" s="105" t="str">
        <f>IFERROR(__xludf.DUMMYFUNCTION("""COMPUTED_VALUE"""),"A Saya akan menyerang pendapat yang bertentangan dengan pendirian saya.")</f>
        <v>A Saya akan menyerang pendapat yang bertentangan dengan pendirian saya.</v>
      </c>
      <c r="BX138" s="105" t="str">
        <f>IFERROR(__xludf.DUMMYFUNCTION("""COMPUTED_VALUE"""),"B Saya kadang-kadang suka melakukan hal-hal yang dapat dipuji oleh orang lain.")</f>
        <v>B Saya kadang-kadang suka melakukan hal-hal yang dapat dipuji oleh orang lain.</v>
      </c>
      <c r="BY138" s="105" t="str">
        <f>IFERROR(__xludf.DUMMYFUNCTION("""COMPUTED_VALUE"""),"A Saya suka melamun atau membayangkan hal-hal yang tidak jelas.")</f>
        <v>A Saya suka melamun atau membayangkan hal-hal yang tidak jelas.</v>
      </c>
      <c r="BZ138" s="105" t="str">
        <f>IFERROR(__xludf.DUMMYFUNCTION("""COMPUTED_VALUE"""),"A Saya suka berkata yang artinya sulit dipahami oleh orang lain.")</f>
        <v>A Saya suka berkata yang artinya sulit dipahami oleh orang lain.</v>
      </c>
      <c r="CA138" s="105" t="str">
        <f>IFERROR(__xludf.DUMMYFUNCTION("""COMPUTED_VALUE"""),"A Saya ingin teman-teman dengan gembira memberikan pertolongan kepada saya.")</f>
        <v>A Saya ingin teman-teman dengan gembira memberikan pertolongan kepada saya.</v>
      </c>
      <c r="CB138" s="105" t="str">
        <f>IFERROR(__xludf.DUMMYFUNCTION("""COMPUTED_VALUE"""),"B Saya suka berbicara tentang hal-hal yang telah saya capai.")</f>
        <v>B Saya suka berbicara tentang hal-hal yang telah saya capai.</v>
      </c>
      <c r="CC138" s="105" t="str">
        <f>IFERROR(__xludf.DUMMYFUNCTION("""COMPUTED_VALUE"""),"B Saya suka menceritakan hal-hal lucu agar diperhatikan oleh orang lain.")</f>
        <v>B Saya suka menceritakan hal-hal lucu agar diperhatikan oleh orang lain.</v>
      </c>
      <c r="CD138" s="105" t="str">
        <f>IFERROR(__xludf.DUMMYFUNCTION("""COMPUTED_VALUE"""),"B Saya suka berkata yang artinya sulit dipahami oleh orang lain.")</f>
        <v>B Saya suka berkata yang artinya sulit dipahami oleh orang lain.</v>
      </c>
      <c r="CE138" s="105" t="str">
        <f>IFERROR(__xludf.DUMMYFUNCTION("""COMPUTED_VALUE"""),"B Saya kadang-kadang suka melakukan hal-hal yang dapat dipuji oleh orang lain.")</f>
        <v>B Saya kadang-kadang suka melakukan hal-hal yang dapat dipuji oleh orang lain.</v>
      </c>
      <c r="CF138" s="105" t="str">
        <f>IFERROR(__xludf.DUMMYFUNCTION("""COMPUTED_VALUE"""),"A Saya ingin agar hidup saya teratur sesuai cita-cita saya.")</f>
        <v>A Saya ingin agar hidup saya teratur sesuai cita-cita saya.</v>
      </c>
      <c r="CG138" s="105" t="str">
        <f>IFERROR(__xludf.DUMMYFUNCTION("""COMPUTED_VALUE"""),"A Saya ingin berhasil dalam apa yang saya lakukan.")</f>
        <v>A Saya ingin berhasil dalam apa yang saya lakukan.</v>
      </c>
      <c r="CH138" s="105" t="str">
        <f>IFERROR(__xludf.DUMMYFUNCTION("""COMPUTED_VALUE"""),"B Saya suka dengan orang yang berpenampilan menarik.")</f>
        <v>B Saya suka dengan orang yang berpenampilan menarik.</v>
      </c>
      <c r="CI138" s="105" t="str">
        <f>IFERROR(__xludf.DUMMYFUNCTION("""COMPUTED_VALUE"""),"B Saya ingin dianggap menarik oleh orang lain.")</f>
        <v>B Saya ingin dianggap menarik oleh orang lain.</v>
      </c>
      <c r="CJ138" s="105" t="str">
        <f>IFERROR(__xludf.DUMMYFUNCTION("""COMPUTED_VALUE"""),"A Saya ingin tidak tergantung dari orang lain terhadap apa yang akan saya lakukan.")</f>
        <v>A Saya ingin tidak tergantung dari orang lain terhadap apa yang akan saya lakukan.</v>
      </c>
      <c r="CK138" s="105" t="str">
        <f>IFERROR(__xludf.DUMMYFUNCTION("""COMPUTED_VALUE"""),"A Saya suka bertahan menghadapi satu masalah, meskipun belum tentu berhasil.")</f>
        <v>A Saya suka bertahan menghadapi satu masalah, meskipun belum tentu berhasil.</v>
      </c>
      <c r="CL138" s="105" t="str">
        <f>IFERROR(__xludf.DUMMYFUNCTION("""COMPUTED_VALUE"""),"A Saya suka menolong teman-teman saya, apabila mereka dalam kesulitan.")</f>
        <v>A Saya suka menolong teman-teman saya, apabila mereka dalam kesulitan.</v>
      </c>
      <c r="CM138" s="105" t="str">
        <f>IFERROR(__xludf.DUMMYFUNCTION("""COMPUTED_VALUE"""),"B Saya merasa kagum pada seseorang.")</f>
        <v>B Saya merasa kagum pada seseorang.</v>
      </c>
      <c r="CN138" s="105" t="str">
        <f>IFERROR(__xludf.DUMMYFUNCTION("""COMPUTED_VALUE"""),"A Saya ingin diperlakukan dengan baik oleh teman-teman saya.")</f>
        <v>A Saya ingin diperlakukan dengan baik oleh teman-teman saya.</v>
      </c>
      <c r="CO138" s="105" t="str">
        <f>IFERROR(__xludf.DUMMYFUNCTION("""COMPUTED_VALUE"""),"B Saya suka memuji orang yang saya kagumi.")</f>
        <v>B Saya suka memuji orang yang saya kagumi.</v>
      </c>
      <c r="CP138" s="105" t="str">
        <f>IFERROR(__xludf.DUMMYFUNCTION("""COMPUTED_VALUE"""),"A Saya suka melamun atau membayangkan sesuatu sendirian.")</f>
        <v>A Saya suka melamun atau membayangkan sesuatu sendirian.</v>
      </c>
      <c r="CQ138" s="105" t="str">
        <f>IFERROR(__xludf.DUMMYFUNCTION("""COMPUTED_VALUE"""),"B Saya merasa kagum pada seseorang.")</f>
        <v>B Saya merasa kagum pada seseorang.</v>
      </c>
      <c r="CR138" s="105" t="str">
        <f>IFERROR(__xludf.DUMMYFUNCTION("""COMPUTED_VALUE"""),"B Saya rasanya ingin mengecam seseorang bila orang itu menjengkelkan.")</f>
        <v>B Saya rasanya ingin mengecam seseorang bila orang itu menjengkelkan.</v>
      </c>
      <c r="CS138" s="105" t="str">
        <f>IFERROR(__xludf.DUMMYFUNCTION("""COMPUTED_VALUE"""),"B Saya rasanya ingin membalas dendam bila seseorang menghina saya.")</f>
        <v>B Saya rasanya ingin membalas dendam bila seseorang menghina saya.</v>
      </c>
      <c r="CT138" s="105" t="str">
        <f>IFERROR(__xludf.DUMMYFUNCTION("""COMPUTED_VALUE"""),"B Saya saat marah rasanya ingin melemparkan dan merusak barang-barang.")</f>
        <v>B Saya saat marah rasanya ingin melemparkan dan merusak barang-barang.</v>
      </c>
      <c r="CU138" s="105" t="str">
        <f>IFERROR(__xludf.DUMMYFUNCTION("""COMPUTED_VALUE"""),"A Saya ingin diperlakukan dengan ramah oleh teman-teman saya.")</f>
        <v>A Saya ingin diperlakukan dengan ramah oleh teman-teman saya.</v>
      </c>
      <c r="CV138" s="105" t="str">
        <f>IFERROR(__xludf.DUMMYFUNCTION("""COMPUTED_VALUE"""),"B Saya menyerang pendirian-pendirian yang bertentangan dengan pendirian saya.")</f>
        <v>B Saya menyerang pendirian-pendirian yang bertentangan dengan pendirian saya.</v>
      </c>
      <c r="CW138" s="105" t="str">
        <f>IFERROR(__xludf.DUMMYFUNCTION("""COMPUTED_VALUE"""),"B Saya mengatakan kepada orang lain bagaimana pendapat saya terhadap mereka.")</f>
        <v>B Saya mengatakan kepada orang lain bagaimana pendapat saya terhadap mereka.</v>
      </c>
      <c r="CX138" s="105" t="str">
        <f>IFERROR(__xludf.DUMMYFUNCTION("""COMPUTED_VALUE"""),"B Saya ingin memperolok-olok orang yang saya anggap melakukan tindakan bodoh.")</f>
        <v>B Saya ingin memperolok-olok orang yang saya anggap melakukan tindakan bodoh.</v>
      </c>
      <c r="CY138" s="105" t="str">
        <f>IFERROR(__xludf.DUMMYFUNCTION("""COMPUTED_VALUE"""),"A Saya ingin tidak tergantung dari orang lain terhadap apa yang akan saya lakukan.")</f>
        <v>A Saya ingin tidak tergantung dari orang lain terhadap apa yang akan saya lakukan.</v>
      </c>
      <c r="CZ138" s="105" t="str">
        <f>IFERROR(__xludf.DUMMYFUNCTION("""COMPUTED_VALUE"""),"A Saya suka merencanakan dan mengatur setiap pekerjaan yang harus saya lakukan.")</f>
        <v>A Saya suka merencanakan dan mengatur setiap pekerjaan yang harus saya lakukan.</v>
      </c>
      <c r="DA138" s="105" t="str">
        <f>IFERROR(__xludf.DUMMYFUNCTION("""COMPUTED_VALUE"""),"A Saya ingin melakukan apa saja sebaik mungkin.")</f>
        <v>A Saya ingin melakukan apa saja sebaik mungkin.</v>
      </c>
      <c r="DB138" s="89" t="s">
        <v>23</v>
      </c>
      <c r="DC138" s="97" t="str">
        <f t="shared" ref="DC138:GX138" si="183">LEFT(F138,1)</f>
        <v>B</v>
      </c>
      <c r="DD138" s="97" t="str">
        <f t="shared" si="183"/>
        <v>A</v>
      </c>
      <c r="DE138" s="97" t="str">
        <f t="shared" si="183"/>
        <v>A</v>
      </c>
      <c r="DF138" s="97" t="str">
        <f t="shared" si="183"/>
        <v>B</v>
      </c>
      <c r="DG138" s="97" t="str">
        <f t="shared" si="183"/>
        <v>A</v>
      </c>
      <c r="DH138" s="97" t="str">
        <f t="shared" si="183"/>
        <v>B</v>
      </c>
      <c r="DI138" s="97" t="str">
        <f t="shared" si="183"/>
        <v>B</v>
      </c>
      <c r="DJ138" s="97" t="str">
        <f t="shared" si="183"/>
        <v>A</v>
      </c>
      <c r="DK138" s="97" t="str">
        <f t="shared" si="183"/>
        <v>A</v>
      </c>
      <c r="DL138" s="97" t="str">
        <f t="shared" si="183"/>
        <v>A</v>
      </c>
      <c r="DM138" s="97" t="str">
        <f t="shared" si="183"/>
        <v>A</v>
      </c>
      <c r="DN138" s="97" t="str">
        <f t="shared" si="183"/>
        <v>B</v>
      </c>
      <c r="DO138" s="97" t="str">
        <f t="shared" si="183"/>
        <v>B</v>
      </c>
      <c r="DP138" s="97" t="str">
        <f t="shared" si="183"/>
        <v>A</v>
      </c>
      <c r="DQ138" s="97" t="str">
        <f t="shared" si="183"/>
        <v>B</v>
      </c>
      <c r="DR138" s="97" t="str">
        <f t="shared" si="183"/>
        <v>B</v>
      </c>
      <c r="DS138" s="97" t="str">
        <f t="shared" si="183"/>
        <v>B</v>
      </c>
      <c r="DT138" s="97" t="str">
        <f t="shared" si="183"/>
        <v>A</v>
      </c>
      <c r="DU138" s="97" t="str">
        <f t="shared" si="183"/>
        <v>A</v>
      </c>
      <c r="DV138" s="97" t="str">
        <f t="shared" si="183"/>
        <v>B</v>
      </c>
      <c r="DW138" s="97" t="str">
        <f t="shared" si="183"/>
        <v>A</v>
      </c>
      <c r="DX138" s="97" t="str">
        <f t="shared" si="183"/>
        <v>B</v>
      </c>
      <c r="DY138" s="97" t="str">
        <f t="shared" si="183"/>
        <v>A</v>
      </c>
      <c r="DZ138" s="97" t="str">
        <f t="shared" si="183"/>
        <v>B</v>
      </c>
      <c r="EA138" s="97" t="str">
        <f t="shared" si="183"/>
        <v>B</v>
      </c>
      <c r="EB138" s="97" t="str">
        <f t="shared" si="183"/>
        <v>B</v>
      </c>
      <c r="EC138" s="97" t="str">
        <f t="shared" si="183"/>
        <v>B</v>
      </c>
      <c r="ED138" s="97" t="str">
        <f t="shared" si="183"/>
        <v>A</v>
      </c>
      <c r="EE138" s="97" t="str">
        <f t="shared" si="183"/>
        <v>A</v>
      </c>
      <c r="EF138" s="97" t="str">
        <f t="shared" si="183"/>
        <v>B</v>
      </c>
      <c r="EG138" s="97" t="str">
        <f t="shared" si="183"/>
        <v>B</v>
      </c>
      <c r="EH138" s="97" t="str">
        <f t="shared" si="183"/>
        <v>A</v>
      </c>
      <c r="EI138" s="97" t="str">
        <f t="shared" si="183"/>
        <v>A</v>
      </c>
      <c r="EJ138" s="97" t="str">
        <f t="shared" si="183"/>
        <v>A</v>
      </c>
      <c r="EK138" s="97" t="str">
        <f t="shared" si="183"/>
        <v>A</v>
      </c>
      <c r="EL138" s="97" t="str">
        <f t="shared" si="183"/>
        <v>A</v>
      </c>
      <c r="EM138" s="97" t="str">
        <f t="shared" si="183"/>
        <v>B</v>
      </c>
      <c r="EN138" s="97" t="str">
        <f t="shared" si="183"/>
        <v>A</v>
      </c>
      <c r="EO138" s="97" t="str">
        <f t="shared" si="183"/>
        <v>A</v>
      </c>
      <c r="EP138" s="97" t="str">
        <f t="shared" si="183"/>
        <v>A</v>
      </c>
      <c r="EQ138" s="97" t="str">
        <f t="shared" si="183"/>
        <v>B</v>
      </c>
      <c r="ER138" s="97" t="str">
        <f t="shared" si="183"/>
        <v>B</v>
      </c>
      <c r="ES138" s="97" t="str">
        <f t="shared" si="183"/>
        <v>B</v>
      </c>
      <c r="ET138" s="97" t="str">
        <f t="shared" si="183"/>
        <v>B</v>
      </c>
      <c r="EU138" s="97" t="str">
        <f t="shared" si="183"/>
        <v>A</v>
      </c>
      <c r="EV138" s="97" t="str">
        <f t="shared" si="183"/>
        <v>A</v>
      </c>
      <c r="EW138" s="97" t="str">
        <f t="shared" si="183"/>
        <v>A</v>
      </c>
      <c r="EX138" s="97" t="str">
        <f t="shared" si="183"/>
        <v>B</v>
      </c>
      <c r="EY138" s="97" t="str">
        <f t="shared" si="183"/>
        <v>B</v>
      </c>
      <c r="EZ138" s="97" t="str">
        <f t="shared" si="183"/>
        <v>A</v>
      </c>
      <c r="FA138" s="97" t="str">
        <f t="shared" si="183"/>
        <v>B</v>
      </c>
      <c r="FB138" s="97" t="str">
        <f t="shared" si="183"/>
        <v>B</v>
      </c>
      <c r="FC138" s="97" t="str">
        <f t="shared" si="183"/>
        <v>A</v>
      </c>
      <c r="FD138" s="97" t="str">
        <f t="shared" si="183"/>
        <v>A</v>
      </c>
      <c r="FE138" s="97" t="str">
        <f t="shared" si="183"/>
        <v>A</v>
      </c>
      <c r="FF138" s="97" t="str">
        <f t="shared" si="183"/>
        <v>A</v>
      </c>
      <c r="FG138" s="97" t="str">
        <f t="shared" si="183"/>
        <v>A</v>
      </c>
      <c r="FH138" s="97" t="str">
        <f t="shared" si="183"/>
        <v>A</v>
      </c>
      <c r="FI138" s="97" t="str">
        <f t="shared" si="183"/>
        <v>B</v>
      </c>
      <c r="FJ138" s="97" t="str">
        <f t="shared" si="183"/>
        <v>A</v>
      </c>
      <c r="FK138" s="97" t="str">
        <f t="shared" si="183"/>
        <v>B</v>
      </c>
      <c r="FL138" s="97" t="str">
        <f t="shared" si="183"/>
        <v>B</v>
      </c>
      <c r="FM138" s="97" t="str">
        <f t="shared" si="183"/>
        <v>B</v>
      </c>
      <c r="FN138" s="97" t="str">
        <f t="shared" si="183"/>
        <v>B</v>
      </c>
      <c r="FO138" s="97" t="str">
        <f t="shared" si="183"/>
        <v>B</v>
      </c>
      <c r="FP138" s="97" t="str">
        <f t="shared" si="183"/>
        <v>B</v>
      </c>
      <c r="FQ138" s="97" t="str">
        <f t="shared" si="183"/>
        <v>A</v>
      </c>
      <c r="FR138" s="97" t="str">
        <f t="shared" si="183"/>
        <v>A</v>
      </c>
      <c r="FS138" s="97" t="str">
        <f t="shared" si="183"/>
        <v>B</v>
      </c>
      <c r="FT138" s="97" t="str">
        <f t="shared" si="183"/>
        <v>A</v>
      </c>
      <c r="FU138" s="97" t="str">
        <f t="shared" si="183"/>
        <v>B</v>
      </c>
      <c r="FV138" s="97" t="str">
        <f t="shared" si="183"/>
        <v>A</v>
      </c>
      <c r="FW138" s="97" t="str">
        <f t="shared" si="183"/>
        <v>A</v>
      </c>
      <c r="FX138" s="97" t="str">
        <f t="shared" si="183"/>
        <v>A</v>
      </c>
      <c r="FY138" s="97" t="str">
        <f t="shared" si="183"/>
        <v>B</v>
      </c>
      <c r="FZ138" s="97" t="str">
        <f t="shared" si="183"/>
        <v>B</v>
      </c>
      <c r="GA138" s="97" t="str">
        <f t="shared" si="183"/>
        <v>B</v>
      </c>
      <c r="GB138" s="97" t="str">
        <f t="shared" si="183"/>
        <v>B</v>
      </c>
      <c r="GC138" s="97" t="str">
        <f t="shared" si="183"/>
        <v>A</v>
      </c>
      <c r="GD138" s="97" t="str">
        <f t="shared" si="183"/>
        <v>A</v>
      </c>
      <c r="GE138" s="97" t="str">
        <f t="shared" si="183"/>
        <v>B</v>
      </c>
      <c r="GF138" s="97" t="str">
        <f t="shared" si="183"/>
        <v>B</v>
      </c>
      <c r="GG138" s="97" t="str">
        <f t="shared" si="183"/>
        <v>A</v>
      </c>
      <c r="GH138" s="97" t="str">
        <f t="shared" si="183"/>
        <v>A</v>
      </c>
      <c r="GI138" s="97" t="str">
        <f t="shared" si="183"/>
        <v>A</v>
      </c>
      <c r="GJ138" s="97" t="str">
        <f t="shared" si="183"/>
        <v>B</v>
      </c>
      <c r="GK138" s="97" t="str">
        <f t="shared" si="183"/>
        <v>A</v>
      </c>
      <c r="GL138" s="97" t="str">
        <f t="shared" si="183"/>
        <v>B</v>
      </c>
      <c r="GM138" s="97" t="str">
        <f t="shared" si="183"/>
        <v>A</v>
      </c>
      <c r="GN138" s="97" t="str">
        <f t="shared" si="183"/>
        <v>B</v>
      </c>
      <c r="GO138" s="97" t="str">
        <f t="shared" si="183"/>
        <v>B</v>
      </c>
      <c r="GP138" s="97" t="str">
        <f t="shared" si="183"/>
        <v>B</v>
      </c>
      <c r="GQ138" s="97" t="str">
        <f t="shared" si="183"/>
        <v>B</v>
      </c>
      <c r="GR138" s="97" t="str">
        <f t="shared" si="183"/>
        <v>A</v>
      </c>
      <c r="GS138" s="97" t="str">
        <f t="shared" si="183"/>
        <v>B</v>
      </c>
      <c r="GT138" s="97" t="str">
        <f t="shared" si="183"/>
        <v>B</v>
      </c>
      <c r="GU138" s="97" t="str">
        <f t="shared" si="183"/>
        <v>B</v>
      </c>
      <c r="GV138" s="97" t="str">
        <f t="shared" si="183"/>
        <v>A</v>
      </c>
      <c r="GW138" s="97" t="str">
        <f t="shared" si="183"/>
        <v>A</v>
      </c>
      <c r="GX138" s="97" t="str">
        <f t="shared" si="183"/>
        <v>A</v>
      </c>
      <c r="GY138" s="98"/>
      <c r="GZ138" s="97">
        <f t="shared" si="3"/>
        <v>50</v>
      </c>
      <c r="HA138" s="97">
        <f t="shared" si="4"/>
        <v>50</v>
      </c>
      <c r="HB138" s="90">
        <f t="shared" si="5"/>
        <v>100</v>
      </c>
      <c r="HC138" s="99"/>
      <c r="HD138" s="97">
        <f t="shared" si="6"/>
        <v>5</v>
      </c>
      <c r="HE138" s="97">
        <f t="shared" si="7"/>
        <v>3</v>
      </c>
      <c r="HF138" s="90">
        <f t="shared" si="8"/>
        <v>8</v>
      </c>
      <c r="HG138" s="99"/>
      <c r="HH138" s="97">
        <f t="shared" si="9"/>
        <v>4</v>
      </c>
      <c r="HI138" s="97">
        <f t="shared" si="10"/>
        <v>6</v>
      </c>
      <c r="HJ138" s="90">
        <f t="shared" si="11"/>
        <v>10</v>
      </c>
      <c r="HK138" s="99"/>
      <c r="HL138" s="97">
        <f t="shared" si="12"/>
        <v>6</v>
      </c>
      <c r="HM138" s="97">
        <f t="shared" si="13"/>
        <v>6</v>
      </c>
      <c r="HN138" s="90">
        <f t="shared" si="14"/>
        <v>12</v>
      </c>
      <c r="HO138" s="99"/>
      <c r="HP138" s="97">
        <f t="shared" si="15"/>
        <v>2</v>
      </c>
      <c r="HQ138" s="97">
        <f t="shared" si="16"/>
        <v>2</v>
      </c>
      <c r="HR138" s="90">
        <f t="shared" si="17"/>
        <v>4</v>
      </c>
      <c r="HS138" s="99"/>
      <c r="HT138" s="97">
        <f t="shared" si="18"/>
        <v>4</v>
      </c>
      <c r="HU138" s="97">
        <f t="shared" si="19"/>
        <v>6</v>
      </c>
      <c r="HV138" s="90">
        <f t="shared" si="20"/>
        <v>10</v>
      </c>
      <c r="HW138" s="99"/>
      <c r="HX138" s="97">
        <f t="shared" si="21"/>
        <v>2</v>
      </c>
      <c r="HY138" s="97">
        <f t="shared" si="22"/>
        <v>3</v>
      </c>
      <c r="HZ138" s="90">
        <f t="shared" si="23"/>
        <v>5</v>
      </c>
      <c r="IA138" s="99"/>
      <c r="IB138" s="97">
        <f t="shared" si="24"/>
        <v>7</v>
      </c>
      <c r="IC138" s="97">
        <f t="shared" si="25"/>
        <v>7</v>
      </c>
      <c r="ID138" s="90">
        <f t="shared" si="26"/>
        <v>14</v>
      </c>
      <c r="IE138" s="99"/>
      <c r="IF138" s="97">
        <f t="shared" si="27"/>
        <v>5</v>
      </c>
      <c r="IG138" s="97">
        <f t="shared" si="28"/>
        <v>5</v>
      </c>
      <c r="IH138" s="90">
        <f t="shared" si="29"/>
        <v>10</v>
      </c>
      <c r="II138" s="99"/>
      <c r="IJ138" s="97">
        <f t="shared" si="30"/>
        <v>4</v>
      </c>
      <c r="IK138" s="97">
        <f t="shared" si="31"/>
        <v>5</v>
      </c>
      <c r="IL138" s="90">
        <f t="shared" si="32"/>
        <v>9</v>
      </c>
      <c r="IM138" s="99"/>
      <c r="IN138" s="97">
        <f t="shared" si="33"/>
        <v>4</v>
      </c>
      <c r="IO138" s="97">
        <f t="shared" si="34"/>
        <v>6</v>
      </c>
      <c r="IP138" s="90">
        <f t="shared" si="35"/>
        <v>10</v>
      </c>
      <c r="IS138" s="100">
        <f t="shared" si="36"/>
        <v>8</v>
      </c>
      <c r="IT138" s="100">
        <f t="shared" si="37"/>
        <v>10</v>
      </c>
      <c r="IU138" s="100">
        <f t="shared" si="38"/>
        <v>12</v>
      </c>
      <c r="IV138" s="100">
        <f t="shared" si="39"/>
        <v>4</v>
      </c>
      <c r="IW138" s="100">
        <f t="shared" si="40"/>
        <v>10</v>
      </c>
      <c r="IX138" s="100">
        <f t="shared" si="41"/>
        <v>5</v>
      </c>
      <c r="IY138" s="100">
        <f t="shared" si="42"/>
        <v>14</v>
      </c>
      <c r="IZ138" s="100">
        <f t="shared" si="43"/>
        <v>10</v>
      </c>
      <c r="JA138" s="100">
        <f t="shared" si="44"/>
        <v>9</v>
      </c>
      <c r="JB138" s="101">
        <f t="shared" si="45"/>
        <v>10</v>
      </c>
      <c r="JC138" s="102">
        <f t="shared" si="46"/>
        <v>92</v>
      </c>
      <c r="JD138" s="67">
        <f t="shared" si="50"/>
        <v>1</v>
      </c>
      <c r="JE138" s="67">
        <f t="shared" si="47"/>
        <v>3</v>
      </c>
      <c r="JF138" s="67">
        <f t="shared" si="48"/>
        <v>4</v>
      </c>
    </row>
    <row r="139">
      <c r="A139" s="104">
        <f>IFERROR(__xludf.DUMMYFUNCTION("""COMPUTED_VALUE"""),45972.666334837966)</f>
        <v>45972.66633</v>
      </c>
      <c r="B139" s="105" t="str">
        <f>IFERROR(__xludf.DUMMYFUNCTION("""COMPUTED_VALUE""")," Muhammad ghaza")</f>
        <v> Muhammad ghaza</v>
      </c>
      <c r="C139" s="7" t="str">
        <f>IFERROR(__xludf.DUMMYFUNCTION("""COMPUTED_VALUE"""),"C250013")</f>
        <v>C250013</v>
      </c>
      <c r="D139" s="7" t="str">
        <f>IFERROR(__xludf.DUMMYFUNCTION("""COMPUTED_VALUE"""),"SMA")</f>
        <v>SMA</v>
      </c>
      <c r="E139" s="7" t="str">
        <f>IFERROR(__xludf.DUMMYFUNCTION("""COMPUTED_VALUE"""),"Ya")</f>
        <v>Ya</v>
      </c>
      <c r="F139" s="105" t="str">
        <f>IFERROR(__xludf.DUMMYFUNCTION("""COMPUTED_VALUE"""),"B Saya ingin melakukan apa saja sebaik mungkin.")</f>
        <v>B Saya ingin melakukan apa saja sebaik mungkin.</v>
      </c>
      <c r="G139" s="105" t="str">
        <f>IFERROR(__xludf.DUMMYFUNCTION("""COMPUTED_VALUE"""),"B Saya ingin menyelesaikan tugas yang segera dikumpulkan.")</f>
        <v>B Saya ingin menyelesaikan tugas yang segera dikumpulkan.</v>
      </c>
      <c r="H139" s="105" t="str">
        <f>IFERROR(__xludf.DUMMYFUNCTION("""COMPUTED_VALUE"""),"B Saya ingin menjadi orang yang diakui dalam suatu pekerjaan atau bidang khusus.")</f>
        <v>B Saya ingin menjadi orang yang diakui dalam suatu pekerjaan atau bidang khusus.</v>
      </c>
      <c r="I139" s="105" t="str">
        <f>IFERROR(__xludf.DUMMYFUNCTION("""COMPUTED_VALUE"""),"B Saya ingin bisa melakukan dengan baik meskipun tugas yang sulit.")</f>
        <v>B Saya ingin bisa melakukan dengan baik meskipun tugas yang sulit.</v>
      </c>
      <c r="J139" s="105" t="str">
        <f>IFERROR(__xludf.DUMMYFUNCTION("""COMPUTED_VALUE"""),"A Saya suka membantu teman-teman saya apabila mereka mengalami kesulitan.")</f>
        <v>A Saya suka membantu teman-teman saya apabila mereka mengalami kesulitan.</v>
      </c>
      <c r="K139" s="105" t="str">
        <f>IFERROR(__xludf.DUMMYFUNCTION("""COMPUTED_VALUE"""),"B Saya ingin mengatakan telah melakukan dengan baik sesuatu tugas yang sulit.")</f>
        <v>B Saya ingin mengatakan telah melakukan dengan baik sesuatu tugas yang sulit.</v>
      </c>
      <c r="L139" s="105" t="str">
        <f>IFERROR(__xludf.DUMMYFUNCTION("""COMPUTED_VALUE"""),"B Saya ingin mengatakan telah melakukan dengan baik sesuatu tugas yang sulit")</f>
        <v>B Saya ingin mengatakan telah melakukan dengan baik sesuatu tugas yang sulit</v>
      </c>
      <c r="M139" s="105" t="str">
        <f>IFERROR(__xludf.DUMMYFUNCTION("""COMPUTED_VALUE"""),"B Saya ingin mengerjakan segala tugas lebih baik daripada orang lain.")</f>
        <v>B Saya ingin mengerjakan segala tugas lebih baik daripada orang lain.</v>
      </c>
      <c r="N139" s="105" t="str">
        <f>IFERROR(__xludf.DUMMYFUNCTION("""COMPUTED_VALUE"""),"B Saya suka memecahkan persoalan yang sukar bagi orang lain.")</f>
        <v>B Saya suka memecahkan persoalan yang sukar bagi orang lain.</v>
      </c>
      <c r="O139" s="105" t="str">
        <f>IFERROR(__xludf.DUMMYFUNCTION("""COMPUTED_VALUE"""),"B Saya suka melakukan tugas sebaik mungkin.")</f>
        <v>B Saya suka melakukan tugas sebaik mungkin.</v>
      </c>
      <c r="P139" s="105" t="str">
        <f>IFERROR(__xludf.DUMMYFUNCTION("""COMPUTED_VALUE"""),"B Saya ingin setiap belajar itu teratur dan direncanakan.")</f>
        <v>B Saya ingin setiap belajar itu teratur dan direncanakan.</v>
      </c>
      <c r="Q139" s="105" t="str">
        <f>IFERROR(__xludf.DUMMYFUNCTION("""COMPUTED_VALUE"""),"B Saya merencanakan keperluan yang dibutuhkan sebelum bepergian.")</f>
        <v>B Saya merencanakan keperluan yang dibutuhkan sebelum bepergian.</v>
      </c>
      <c r="R139" s="105" t="str">
        <f>IFERROR(__xludf.DUMMYFUNCTION("""COMPUTED_VALUE"""),"B Saya suka barang-barang saya tersusun rapi dan teratur.")</f>
        <v>B Saya suka barang-barang saya tersusun rapi dan teratur.</v>
      </c>
      <c r="S139" s="105" t="str">
        <f>IFERROR(__xludf.DUMMYFUNCTION("""COMPUTED_VALUE"""),"B Saya suka membuat perencanaan sebelum memulai tugas yang sulit.")</f>
        <v>B Saya suka membuat perencanaan sebelum memulai tugas yang sulit.</v>
      </c>
      <c r="T139" s="105" t="str">
        <f>IFERROR(__xludf.DUMMYFUNCTION("""COMPUTED_VALUE"""),"B Saya ingin agar hidup saya teratur sesuai cita-cita saya.")</f>
        <v>B Saya ingin agar hidup saya teratur sesuai cita-cita saya.</v>
      </c>
      <c r="U139" s="105" t="str">
        <f>IFERROR(__xludf.DUMMYFUNCTION("""COMPUTED_VALUE"""),"A Saya suka memberikan bantuan kepada teman-teman saya.")</f>
        <v>A Saya suka memberikan bantuan kepada teman-teman saya.</v>
      </c>
      <c r="V139" s="105" t="str">
        <f>IFERROR(__xludf.DUMMYFUNCTION("""COMPUTED_VALUE"""),"B Saya suka belajar saya teratur dan ada waktu-waktu tertentu untuk belajar.")</f>
        <v>B Saya suka belajar saya teratur dan ada waktu-waktu tertentu untuk belajar.</v>
      </c>
      <c r="W139" s="105" t="str">
        <f>IFERROR(__xludf.DUMMYFUNCTION("""COMPUTED_VALUE"""),"B Saya ingin kegiatan itu teratur dan direncanakan.")</f>
        <v>B Saya ingin kegiatan itu teratur dan direncanakan.</v>
      </c>
      <c r="X139" s="105" t="str">
        <f>IFERROR(__xludf.DUMMYFUNCTION("""COMPUTED_VALUE"""),"B Saya ingin agar hidup saya teratur sesuai cita-cita saya.")</f>
        <v>B Saya ingin agar hidup saya teratur sesuai cita-cita saya.</v>
      </c>
      <c r="Y139" s="105" t="str">
        <f>IFERROR(__xludf.DUMMYFUNCTION("""COMPUTED_VALUE"""),"B Saya senang merencanakan untuk masa depan.")</f>
        <v>B Saya senang merencanakan untuk masa depan.</v>
      </c>
      <c r="Z139" s="105" t="str">
        <f>IFERROR(__xludf.DUMMYFUNCTION("""COMPUTED_VALUE"""),"A Saya ingin berhasil dengan belajar yang saya lakukan.")</f>
        <v>A Saya ingin berhasil dengan belajar yang saya lakukan.</v>
      </c>
      <c r="AA139" s="105" t="str">
        <f>IFERROR(__xludf.DUMMYFUNCTION("""COMPUTED_VALUE"""),"A Saya suka menyelesaikan tugas yang telah saya rencanakan.")</f>
        <v>A Saya suka menyelesaikan tugas yang telah saya rencanakan.</v>
      </c>
      <c r="AB139" s="105" t="str">
        <f>IFERROR(__xludf.DUMMYFUNCTION("""COMPUTED_VALUE"""),"B Saya ingin menyelesaikan pekerjaan satu persatu sebelum memulai yang lain.")</f>
        <v>B Saya ingin menyelesaikan pekerjaan satu persatu sebelum memulai yang lain.</v>
      </c>
      <c r="AC139" s="105" t="str">
        <f>IFERROR(__xludf.DUMMYFUNCTION("""COMPUTED_VALUE"""),"B Saya suka melakukan kegiatan sesuai kondisi yang saya inginkan.")</f>
        <v>B Saya suka melakukan kegiatan sesuai kondisi yang saya inginkan.</v>
      </c>
      <c r="AD139" s="105" t="str">
        <f>IFERROR(__xludf.DUMMYFUNCTION("""COMPUTED_VALUE"""),"B Saya suka menyatakan pendapat saya tentang berbagai hal.")</f>
        <v>B Saya suka menyatakan pendapat saya tentang berbagai hal.</v>
      </c>
      <c r="AE139" s="105" t="str">
        <f>IFERROR(__xludf.DUMMYFUNCTION("""COMPUTED_VALUE"""),"A Saya ingin dianggap sebagai pemimpin oleh teman di kelompok.")</f>
        <v>A Saya ingin dianggap sebagai pemimpin oleh teman di kelompok.</v>
      </c>
      <c r="AF139" s="105" t="str">
        <f>IFERROR(__xludf.DUMMYFUNCTION("""COMPUTED_VALUE"""),"B Saya suka melakukan hal-hal dengan cara saya sendiri.")</f>
        <v>B Saya suka melakukan hal-hal dengan cara saya sendiri.</v>
      </c>
      <c r="AG139" s="105" t="str">
        <f>IFERROR(__xludf.DUMMYFUNCTION("""COMPUTED_VALUE"""),"B Saya ingin berhasil dengan tugas yang saya lakukan.")</f>
        <v>B Saya ingin berhasil dengan tugas yang saya lakukan.</v>
      </c>
      <c r="AH139" s="105" t="str">
        <f>IFERROR(__xludf.DUMMYFUNCTION("""COMPUTED_VALUE"""),"A Saya suka membaca buku-buku tentang pergaulan remaja.")</f>
        <v>A Saya suka membaca buku-buku tentang pergaulan remaja.</v>
      </c>
      <c r="AI139" s="105" t="str">
        <f>IFERROR(__xludf.DUMMYFUNCTION("""COMPUTED_VALUE"""),"B Saya suka melakukan kegiatan sesuai kondisi yang saya inginkan.")</f>
        <v>B Saya suka melakukan kegiatan sesuai kondisi yang saya inginkan.</v>
      </c>
      <c r="AJ139" s="105" t="str">
        <f>IFERROR(__xludf.DUMMYFUNCTION("""COMPUTED_VALUE"""),"B Saya suka bertahan menghadapi satu masalah meskipun belum tentu berhasil.")</f>
        <v>B Saya suka bertahan menghadapi satu masalah meskipun belum tentu berhasil.</v>
      </c>
      <c r="AK139" s="105" t="str">
        <f>IFERROR(__xludf.DUMMYFUNCTION("""COMPUTED_VALUE"""),"B Bila saya harus melakukan suatu tugas, saya ingin mengerjakan sampai selesai.")</f>
        <v>B Bila saya harus melakukan suatu tugas, saya ingin mengerjakan sampai selesai.</v>
      </c>
      <c r="AL139" s="105" t="str">
        <f>IFERROR(__xludf.DUMMYFUNCTION("""COMPUTED_VALUE"""),"B Saya ingin menghindarkan gangguan bila saya sedang belajar.")</f>
        <v>B Saya ingin menghindarkan gangguan bila saya sedang belajar.</v>
      </c>
      <c r="AM139" s="105" t="str">
        <f>IFERROR(__xludf.DUMMYFUNCTION("""COMPUTED_VALUE"""),"B Saya suka belajar sampai malam untuk menyelesaikan suatu tugas.")</f>
        <v>B Saya suka belajar sampai malam untuk menyelesaikan suatu tugas.</v>
      </c>
      <c r="AN139" s="105" t="str">
        <f>IFERROR(__xludf.DUMMYFUNCTION("""COMPUTED_VALUE"""),"B Saya ingin bekerja berjam-jam tanpa diganggu.")</f>
        <v>B Saya ingin bekerja berjam-jam tanpa diganggu.</v>
      </c>
      <c r="AO139" s="105" t="str">
        <f>IFERROR(__xludf.DUMMYFUNCTION("""COMPUTED_VALUE"""),"B Saya suka menyelesaikan setiap tugas meskipun membutuhkan waktu lama.")</f>
        <v>B Saya suka menyelesaikan setiap tugas meskipun membutuhkan waktu lama.</v>
      </c>
      <c r="AP139" s="105" t="str">
        <f>IFERROR(__xludf.DUMMYFUNCTION("""COMPUTED_VALUE"""),"B Saya suka bertahan menghadapi satu masalah meskipun belum tentu berhasil.")</f>
        <v>B Saya suka bertahan menghadapi satu masalah meskipun belum tentu berhasil.</v>
      </c>
      <c r="AQ139" s="105" t="str">
        <f>IFERROR(__xludf.DUMMYFUNCTION("""COMPUTED_VALUE"""),"B Bila saya harus melakukan suatu tugas, saya ingin mengerjakan sampai selesai.")</f>
        <v>B Bila saya harus melakukan suatu tugas, saya ingin mengerjakan sampai selesai.</v>
      </c>
      <c r="AR139" s="105" t="str">
        <f>IFERROR(__xludf.DUMMYFUNCTION("""COMPUTED_VALUE"""),"B Saya suka belajar keras pada tiap pelajaran yang saya hadapi.")</f>
        <v>B Saya suka belajar keras pada tiap pelajaran yang saya hadapi.</v>
      </c>
      <c r="AS139" s="105" t="str">
        <f>IFERROR(__xludf.DUMMYFUNCTION("""COMPUTED_VALUE"""),"B Saya suka belajar sampai malam untuk menyelesaikan suatu tugas.")</f>
        <v>B Saya suka belajar sampai malam untuk menyelesaikan suatu tugas.</v>
      </c>
      <c r="AT139" s="105" t="str">
        <f>IFERROR(__xludf.DUMMYFUNCTION("""COMPUTED_VALUE"""),"B Saya suka membantu orang lain yang menurut saya perlu dikasihani.")</f>
        <v>B Saya suka membantu orang lain yang menurut saya perlu dikasihani.</v>
      </c>
      <c r="AU139" s="105" t="str">
        <f>IFERROR(__xludf.DUMMYFUNCTION("""COMPUTED_VALUE"""),"B Saya suka bermurah hati terhadap teman-teman saya.")</f>
        <v>B Saya suka bermurah hati terhadap teman-teman saya.</v>
      </c>
      <c r="AV139" s="105" t="str">
        <f>IFERROR(__xludf.DUMMYFUNCTION("""COMPUTED_VALUE"""),"B Saya suka menolong teman-teman saya.")</f>
        <v>B Saya suka menolong teman-teman saya.</v>
      </c>
      <c r="AW139" s="105" t="str">
        <f>IFERROR(__xludf.DUMMYFUNCTION("""COMPUTED_VALUE"""),"A Saya ingin mengerjakan tugas sampai selesai.")</f>
        <v>A Saya ingin mengerjakan tugas sampai selesai.</v>
      </c>
      <c r="AX139" s="105" t="str">
        <f>IFERROR(__xludf.DUMMYFUNCTION("""COMPUTED_VALUE"""),"B Saya suka memaafkan teman-teman saya yang menyakiti hati saya.")</f>
        <v>B Saya suka memaafkan teman-teman saya yang menyakiti hati saya.</v>
      </c>
      <c r="AY139" s="105" t="str">
        <f>IFERROR(__xludf.DUMMYFUNCTION("""COMPUTED_VALUE"""),"B Saya suka menolong teman-teman saya apabila mereka dalam kesulitan.")</f>
        <v>B Saya suka menolong teman-teman saya apabila mereka dalam kesulitan.</v>
      </c>
      <c r="AZ139" s="105" t="str">
        <f>IFERROR(__xludf.DUMMYFUNCTION("""COMPUTED_VALUE"""),"B Saya suka menunjukkan simpati saya kepada teman-teman saya.")</f>
        <v>B Saya suka menunjukkan simpati saya kepada teman-teman saya.</v>
      </c>
      <c r="BA139" s="105" t="str">
        <f>IFERROR(__xludf.DUMMYFUNCTION("""COMPUTED_VALUE"""),"B Saya suka memperlakukan orang lain dengan baik dan ramah.")</f>
        <v>B Saya suka memperlakukan orang lain dengan baik dan ramah.</v>
      </c>
      <c r="BB139" s="105" t="str">
        <f>IFERROR(__xludf.DUMMYFUNCTION("""COMPUTED_VALUE"""),"B Saya suka bermurah hati terhadap teman-teman saya.")</f>
        <v>B Saya suka bermurah hati terhadap teman-teman saya.</v>
      </c>
      <c r="BC139" s="105" t="str">
        <f>IFERROR(__xludf.DUMMYFUNCTION("""COMPUTED_VALUE"""),"B Saya suka membantu orang lain yang menurut saya perlu dikasihani.")</f>
        <v>B Saya suka membantu orang lain yang menurut saya perlu dikasihani.</v>
      </c>
      <c r="BD139" s="105" t="str">
        <f>IFERROR(__xludf.DUMMYFUNCTION("""COMPUTED_VALUE"""),"B Saya suka bersikukuh dengan pendirian saya.")</f>
        <v>B Saya suka bersikukuh dengan pendirian saya.</v>
      </c>
      <c r="BE139" s="105" t="str">
        <f>IFERROR(__xludf.DUMMYFUNCTION("""COMPUTED_VALUE"""),"B Saya ingin orang lain melakukan apa yang saya kehendaki.")</f>
        <v>B Saya ingin orang lain melakukan apa yang saya kehendaki.</v>
      </c>
      <c r="BF139" s="105" t="str">
        <f>IFERROR(__xludf.DUMMYFUNCTION("""COMPUTED_VALUE"""),"B Bila saya dalam kelompok, saya ingin menentukan apa yang akan kita lakukan.")</f>
        <v>B Bila saya dalam kelompok, saya ingin menentukan apa yang akan kita lakukan.</v>
      </c>
      <c r="BG139" s="105" t="str">
        <f>IFERROR(__xludf.DUMMYFUNCTION("""COMPUTED_VALUE"""),"B Saya suka mengarahkan kepada orang lain apa yang harus dilakukan.")</f>
        <v>B Saya suka mengarahkan kepada orang lain apa yang harus dilakukan.</v>
      </c>
      <c r="BH139" s="105" t="str">
        <f>IFERROR(__xludf.DUMMYFUNCTION("""COMPUTED_VALUE"""),"B Apabila saya berkumpul dalam kelompok, saya ingin dihargai teman-teman.")</f>
        <v>B Apabila saya berkumpul dalam kelompok, saya ingin dihargai teman-teman.</v>
      </c>
      <c r="BI139" s="105" t="str">
        <f>IFERROR(__xludf.DUMMYFUNCTION("""COMPUTED_VALUE"""),"A Saya suka bermurah hati terhadap teman-teman saya.")</f>
        <v>A Saya suka bermurah hati terhadap teman-teman saya.</v>
      </c>
      <c r="BJ139" s="105" t="str">
        <f>IFERROR(__xludf.DUMMYFUNCTION("""COMPUTED_VALUE"""),"A Saya ingin mengerjakan tugas sampai selesai.")</f>
        <v>A Saya ingin mengerjakan tugas sampai selesai.</v>
      </c>
      <c r="BK139" s="105" t="str">
        <f>IFERROR(__xludf.DUMMYFUNCTION("""COMPUTED_VALUE"""),"A Saya ingin menyelesaikan pekerjaan satu persatu sebelum memulai yang lain.")</f>
        <v>A Saya ingin menyelesaikan pekerjaan satu persatu sebelum memulai yang lain.</v>
      </c>
      <c r="BL139" s="105" t="str">
        <f>IFERROR(__xludf.DUMMYFUNCTION("""COMPUTED_VALUE"""),"B Saya suka bersikukuh dengan pendirian saya.")</f>
        <v>B Saya suka bersikukuh dengan pendirian saya.</v>
      </c>
      <c r="BM139" s="105" t="str">
        <f>IFERROR(__xludf.DUMMYFUNCTION("""COMPUTED_VALUE"""),"A Saya suka melakukan pekerjaan sebaik mungkin.")</f>
        <v>A Saya suka melakukan pekerjaan sebaik mungkin.</v>
      </c>
      <c r="BN139" s="105" t="str">
        <f>IFERROR(__xludf.DUMMYFUNCTION("""COMPUTED_VALUE"""),"B Saya ingin teman-teman memberi dorongan bila saya menghadapi kegagalan.")</f>
        <v>B Saya ingin teman-teman memberi dorongan bila saya menghadapi kegagalan.</v>
      </c>
      <c r="BO139" s="105" t="str">
        <f>IFERROR(__xludf.DUMMYFUNCTION("""COMPUTED_VALUE"""),"B Saya ingin diperlakukan dengan baik oleh teman-teman saya.")</f>
        <v>B Saya ingin diperlakukan dengan baik oleh teman-teman saya.</v>
      </c>
      <c r="BP139" s="105" t="str">
        <f>IFERROR(__xludf.DUMMYFUNCTION("""COMPUTED_VALUE"""),"B Saya ingin teman-teman saya merasa kasihan pada saya apabila saya sakit.")</f>
        <v>B Saya ingin teman-teman saya merasa kasihan pada saya apabila saya sakit.</v>
      </c>
      <c r="BQ139" s="105" t="str">
        <f>IFERROR(__xludf.DUMMYFUNCTION("""COMPUTED_VALUE"""),"A Saya ingin mengerjakannya tugas sampai selesai.")</f>
        <v>A Saya ingin mengerjakannya tugas sampai selesai.</v>
      </c>
      <c r="BR139" s="105" t="str">
        <f>IFERROR(__xludf.DUMMYFUNCTION("""COMPUTED_VALUE"""),"A Saya suka memaafkan teman-teman saya yang menyakiti hati saya.")</f>
        <v>A Saya suka memaafkan teman-teman saya yang menyakiti hati saya.</v>
      </c>
      <c r="BS139" s="105" t="str">
        <f>IFERROR(__xludf.DUMMYFUNCTION("""COMPUTED_VALUE"""),"B Saya ingin teman-teman saya membantu saya bila saya mengalami kesulitan")</f>
        <v>B Saya ingin teman-teman saya membantu saya bila saya mengalami kesulitan</v>
      </c>
      <c r="BT139" s="105" t="str">
        <f>IFERROR(__xludf.DUMMYFUNCTION("""COMPUTED_VALUE"""),"B Saya ingin teman-teman banyak menunjukkan rasa sayang mereka terhadap saya.")</f>
        <v>B Saya ingin teman-teman banyak menunjukkan rasa sayang mereka terhadap saya.</v>
      </c>
      <c r="BU139" s="105" t="str">
        <f>IFERROR(__xludf.DUMMYFUNCTION("""COMPUTED_VALUE"""),"A Saya kadang-kadang suka melakukan hal-hal yang dapat dipuji oleh orang lain.")</f>
        <v>A Saya kadang-kadang suka melakukan hal-hal yang dapat dipuji oleh orang lain.</v>
      </c>
      <c r="BV139" s="105" t="str">
        <f>IFERROR(__xludf.DUMMYFUNCTION("""COMPUTED_VALUE"""),"B Saya ingin teman-teman dengan gembira memberikan pertolongan kepada saya.")</f>
        <v>B Saya ingin teman-teman dengan gembira memberikan pertolongan kepada saya.</v>
      </c>
      <c r="BW139" s="105" t="str">
        <f>IFERROR(__xludf.DUMMYFUNCTION("""COMPUTED_VALUE"""),"B Saya ingin diperlakukan dengan baik oleh teman-teman saya.")</f>
        <v>B Saya ingin diperlakukan dengan baik oleh teman-teman saya.</v>
      </c>
      <c r="BX139" s="105" t="str">
        <f>IFERROR(__xludf.DUMMYFUNCTION("""COMPUTED_VALUE"""),"B Saya kadang-kadang suka melakukan hal-hal yang dapat dipuji oleh orang lain.")</f>
        <v>B Saya kadang-kadang suka melakukan hal-hal yang dapat dipuji oleh orang lain.</v>
      </c>
      <c r="BY139" s="105" t="str">
        <f>IFERROR(__xludf.DUMMYFUNCTION("""COMPUTED_VALUE"""),"B Saya ingin orang lain memperhatikan dan berkomentar tentang penampilan saya.")</f>
        <v>B Saya ingin orang lain memperhatikan dan berkomentar tentang penampilan saya.</v>
      </c>
      <c r="BZ139" s="105" t="str">
        <f>IFERROR(__xludf.DUMMYFUNCTION("""COMPUTED_VALUE"""),"B Saya suka diperhatikan, apabila saya ada di dalam suatu kelompok.")</f>
        <v>B Saya suka diperhatikan, apabila saya ada di dalam suatu kelompok.</v>
      </c>
      <c r="CA139" s="105" t="str">
        <f>IFERROR(__xludf.DUMMYFUNCTION("""COMPUTED_VALUE"""),"A Saya ingin teman-teman dengan gembira memberikan pertolongan kepada saya.")</f>
        <v>A Saya ingin teman-teman dengan gembira memberikan pertolongan kepada saya.</v>
      </c>
      <c r="CB139" s="105" t="str">
        <f>IFERROR(__xludf.DUMMYFUNCTION("""COMPUTED_VALUE"""),"B Saya suka berbicara tentang hal-hal yang telah saya capai.")</f>
        <v>B Saya suka berbicara tentang hal-hal yang telah saya capai.</v>
      </c>
      <c r="CC139" s="105" t="str">
        <f>IFERROR(__xludf.DUMMYFUNCTION("""COMPUTED_VALUE"""),"A Apabila saya berkumpul dalam kelompok, saya ingin dihargai teman-teman.")</f>
        <v>A Apabila saya berkumpul dalam kelompok, saya ingin dihargai teman-teman.</v>
      </c>
      <c r="CD139" s="105" t="str">
        <f>IFERROR(__xludf.DUMMYFUNCTION("""COMPUTED_VALUE"""),"A Saya suka menyelesaikan setiap tugas meskipun membutuhkan waktu lama.")</f>
        <v>A Saya suka menyelesaikan setiap tugas meskipun membutuhkan waktu lama.</v>
      </c>
      <c r="CE139" s="105" t="str">
        <f>IFERROR(__xludf.DUMMYFUNCTION("""COMPUTED_VALUE"""),"B Saya kadang-kadang suka melakukan hal-hal yang dapat dipuji oleh orang lain.")</f>
        <v>B Saya kadang-kadang suka melakukan hal-hal yang dapat dipuji oleh orang lain.</v>
      </c>
      <c r="CF139" s="105" t="str">
        <f>IFERROR(__xludf.DUMMYFUNCTION("""COMPUTED_VALUE"""),"A Saya ingin agar hidup saya teratur sesuai cita-cita saya.")</f>
        <v>A Saya ingin agar hidup saya teratur sesuai cita-cita saya.</v>
      </c>
      <c r="CG139" s="105" t="str">
        <f>IFERROR(__xludf.DUMMYFUNCTION("""COMPUTED_VALUE"""),"B Saya suka berbicara tentang hal-hal yang telah saya capai.")</f>
        <v>B Saya suka berbicara tentang hal-hal yang telah saya capai.</v>
      </c>
      <c r="CH139" s="105" t="str">
        <f>IFERROR(__xludf.DUMMYFUNCTION("""COMPUTED_VALUE"""),"B Saya suka dengan orang yang berpenampilan menarik.")</f>
        <v>B Saya suka dengan orang yang berpenampilan menarik.</v>
      </c>
      <c r="CI139" s="105" t="str">
        <f>IFERROR(__xludf.DUMMYFUNCTION("""COMPUTED_VALUE"""),"B Saya ingin dianggap menarik oleh orang lain.")</f>
        <v>B Saya ingin dianggap menarik oleh orang lain.</v>
      </c>
      <c r="CJ139" s="105" t="str">
        <f>IFERROR(__xludf.DUMMYFUNCTION("""COMPUTED_VALUE"""),"B Saya suka kalau bercerita tentang hal-hal pribadi yang seharusnya tidak perlu diketahui orang lain.")</f>
        <v>B Saya suka kalau bercerita tentang hal-hal pribadi yang seharusnya tidak perlu diketahui orang lain.</v>
      </c>
      <c r="CK139" s="105" t="str">
        <f>IFERROR(__xludf.DUMMYFUNCTION("""COMPUTED_VALUE"""),"B Saya senang ikut beraktivitas bersama teman sebaya saya.")</f>
        <v>B Saya senang ikut beraktivitas bersama teman sebaya saya.</v>
      </c>
      <c r="CL139" s="105" t="str">
        <f>IFERROR(__xludf.DUMMYFUNCTION("""COMPUTED_VALUE"""),"A Saya suka menolong teman-teman saya, apabila mereka dalam kesulitan.")</f>
        <v>A Saya suka menolong teman-teman saya, apabila mereka dalam kesulitan.</v>
      </c>
      <c r="CM139" s="105" t="str">
        <f>IFERROR(__xludf.DUMMYFUNCTION("""COMPUTED_VALUE"""),"A Saya ingin ditunjuk atau dipilih sebagai ketua dalam suatu kelompok.")</f>
        <v>A Saya ingin ditunjuk atau dipilih sebagai ketua dalam suatu kelompok.</v>
      </c>
      <c r="CN139" s="105" t="str">
        <f>IFERROR(__xludf.DUMMYFUNCTION("""COMPUTED_VALUE"""),"A Saya ingin diperlakukan dengan baik oleh teman-teman saya.")</f>
        <v>A Saya ingin diperlakukan dengan baik oleh teman-teman saya.</v>
      </c>
      <c r="CO139" s="105" t="str">
        <f>IFERROR(__xludf.DUMMYFUNCTION("""COMPUTED_VALUE"""),"B Saya suka memuji orang yang saya kagumi.")</f>
        <v>B Saya suka memuji orang yang saya kagumi.</v>
      </c>
      <c r="CP139" s="105" t="str">
        <f>IFERROR(__xludf.DUMMYFUNCTION("""COMPUTED_VALUE"""),"B Saya ingin dianggap menarik oleh orang lain.")</f>
        <v>B Saya ingin dianggap menarik oleh orang lain.</v>
      </c>
      <c r="CQ139" s="105" t="str">
        <f>IFERROR(__xludf.DUMMYFUNCTION("""COMPUTED_VALUE"""),"B Saya merasa kagum pada seseorang.")</f>
        <v>B Saya merasa kagum pada seseorang.</v>
      </c>
      <c r="CR139" s="105" t="str">
        <f>IFERROR(__xludf.DUMMYFUNCTION("""COMPUTED_VALUE"""),"B Saya rasanya ingin mengecam seseorang bila orang itu menjengkelkan.")</f>
        <v>B Saya rasanya ingin mengecam seseorang bila orang itu menjengkelkan.</v>
      </c>
      <c r="CS139" s="105" t="str">
        <f>IFERROR(__xludf.DUMMYFUNCTION("""COMPUTED_VALUE"""),"A Saya ingin terlihat menarik di depan teman-teman saya.")</f>
        <v>A Saya ingin terlihat menarik di depan teman-teman saya.</v>
      </c>
      <c r="CT139" s="105" t="str">
        <f>IFERROR(__xludf.DUMMYFUNCTION("""COMPUTED_VALUE"""),"A Saya ingin orang-orang memperhatikan komentar mengenai penampilan saya.")</f>
        <v>A Saya ingin orang-orang memperhatikan komentar mengenai penampilan saya.</v>
      </c>
      <c r="CU139" s="105" t="str">
        <f>IFERROR(__xludf.DUMMYFUNCTION("""COMPUTED_VALUE"""),"A Saya ingin diperlakukan dengan ramah oleh teman-teman saya.")</f>
        <v>A Saya ingin diperlakukan dengan ramah oleh teman-teman saya.</v>
      </c>
      <c r="CV139" s="105" t="str">
        <f>IFERROR(__xludf.DUMMYFUNCTION("""COMPUTED_VALUE"""),"B Saya menyerang pendirian-pendirian yang bertentangan dengan pendirian saya.")</f>
        <v>B Saya menyerang pendirian-pendirian yang bertentangan dengan pendirian saya.</v>
      </c>
      <c r="CW139" s="105" t="str">
        <f>IFERROR(__xludf.DUMMYFUNCTION("""COMPUTED_VALUE"""),"A Saya suka menolong teman-teman saya, apabila mereka dalam kesulitan.")</f>
        <v>A Saya suka menolong teman-teman saya, apabila mereka dalam kesulitan.</v>
      </c>
      <c r="CX139" s="105" t="str">
        <f>IFERROR(__xludf.DUMMYFUNCTION("""COMPUTED_VALUE"""),"A Saya suka belajar sampai malam untuk menyelesaikan suatu tugas.")</f>
        <v>A Saya suka belajar sampai malam untuk menyelesaikan suatu tugas.</v>
      </c>
      <c r="CY139" s="105" t="str">
        <f>IFERROR(__xludf.DUMMYFUNCTION("""COMPUTED_VALUE"""),"A Saya ingin tidak tergantung dari orang lain terhadap apa yang akan saya lakukan.")</f>
        <v>A Saya ingin tidak tergantung dari orang lain terhadap apa yang akan saya lakukan.</v>
      </c>
      <c r="CZ139" s="105" t="str">
        <f>IFERROR(__xludf.DUMMYFUNCTION("""COMPUTED_VALUE"""),"A Saya suka merencanakan dan mengatur setiap pekerjaan yang harus saya lakukan.")</f>
        <v>A Saya suka merencanakan dan mengatur setiap pekerjaan yang harus saya lakukan.</v>
      </c>
      <c r="DA139" s="105" t="str">
        <f>IFERROR(__xludf.DUMMYFUNCTION("""COMPUTED_VALUE"""),"A Saya ingin melakukan apa saja sebaik mungkin.")</f>
        <v>A Saya ingin melakukan apa saja sebaik mungkin.</v>
      </c>
      <c r="DB139" s="89" t="s">
        <v>23</v>
      </c>
      <c r="DC139" s="97" t="str">
        <f t="shared" ref="DC139:GX139" si="184">LEFT(F139,1)</f>
        <v>B</v>
      </c>
      <c r="DD139" s="97" t="str">
        <f t="shared" si="184"/>
        <v>B</v>
      </c>
      <c r="DE139" s="97" t="str">
        <f t="shared" si="184"/>
        <v>B</v>
      </c>
      <c r="DF139" s="97" t="str">
        <f t="shared" si="184"/>
        <v>B</v>
      </c>
      <c r="DG139" s="97" t="str">
        <f t="shared" si="184"/>
        <v>A</v>
      </c>
      <c r="DH139" s="97" t="str">
        <f t="shared" si="184"/>
        <v>B</v>
      </c>
      <c r="DI139" s="97" t="str">
        <f t="shared" si="184"/>
        <v>B</v>
      </c>
      <c r="DJ139" s="97" t="str">
        <f t="shared" si="184"/>
        <v>B</v>
      </c>
      <c r="DK139" s="97" t="str">
        <f t="shared" si="184"/>
        <v>B</v>
      </c>
      <c r="DL139" s="97" t="str">
        <f t="shared" si="184"/>
        <v>B</v>
      </c>
      <c r="DM139" s="97" t="str">
        <f t="shared" si="184"/>
        <v>B</v>
      </c>
      <c r="DN139" s="97" t="str">
        <f t="shared" si="184"/>
        <v>B</v>
      </c>
      <c r="DO139" s="97" t="str">
        <f t="shared" si="184"/>
        <v>B</v>
      </c>
      <c r="DP139" s="97" t="str">
        <f t="shared" si="184"/>
        <v>B</v>
      </c>
      <c r="DQ139" s="97" t="str">
        <f t="shared" si="184"/>
        <v>B</v>
      </c>
      <c r="DR139" s="97" t="str">
        <f t="shared" si="184"/>
        <v>A</v>
      </c>
      <c r="DS139" s="97" t="str">
        <f t="shared" si="184"/>
        <v>B</v>
      </c>
      <c r="DT139" s="97" t="str">
        <f t="shared" si="184"/>
        <v>B</v>
      </c>
      <c r="DU139" s="97" t="str">
        <f t="shared" si="184"/>
        <v>B</v>
      </c>
      <c r="DV139" s="97" t="str">
        <f t="shared" si="184"/>
        <v>B</v>
      </c>
      <c r="DW139" s="97" t="str">
        <f t="shared" si="184"/>
        <v>A</v>
      </c>
      <c r="DX139" s="97" t="str">
        <f t="shared" si="184"/>
        <v>A</v>
      </c>
      <c r="DY139" s="97" t="str">
        <f t="shared" si="184"/>
        <v>B</v>
      </c>
      <c r="DZ139" s="97" t="str">
        <f t="shared" si="184"/>
        <v>B</v>
      </c>
      <c r="EA139" s="97" t="str">
        <f t="shared" si="184"/>
        <v>B</v>
      </c>
      <c r="EB139" s="97" t="str">
        <f t="shared" si="184"/>
        <v>A</v>
      </c>
      <c r="EC139" s="97" t="str">
        <f t="shared" si="184"/>
        <v>B</v>
      </c>
      <c r="ED139" s="97" t="str">
        <f t="shared" si="184"/>
        <v>B</v>
      </c>
      <c r="EE139" s="97" t="str">
        <f t="shared" si="184"/>
        <v>A</v>
      </c>
      <c r="EF139" s="97" t="str">
        <f t="shared" si="184"/>
        <v>B</v>
      </c>
      <c r="EG139" s="97" t="str">
        <f t="shared" si="184"/>
        <v>B</v>
      </c>
      <c r="EH139" s="97" t="str">
        <f t="shared" si="184"/>
        <v>B</v>
      </c>
      <c r="EI139" s="97" t="str">
        <f t="shared" si="184"/>
        <v>B</v>
      </c>
      <c r="EJ139" s="97" t="str">
        <f t="shared" si="184"/>
        <v>B</v>
      </c>
      <c r="EK139" s="97" t="str">
        <f t="shared" si="184"/>
        <v>B</v>
      </c>
      <c r="EL139" s="97" t="str">
        <f t="shared" si="184"/>
        <v>B</v>
      </c>
      <c r="EM139" s="97" t="str">
        <f t="shared" si="184"/>
        <v>B</v>
      </c>
      <c r="EN139" s="97" t="str">
        <f t="shared" si="184"/>
        <v>B</v>
      </c>
      <c r="EO139" s="97" t="str">
        <f t="shared" si="184"/>
        <v>B</v>
      </c>
      <c r="EP139" s="97" t="str">
        <f t="shared" si="184"/>
        <v>B</v>
      </c>
      <c r="EQ139" s="97" t="str">
        <f t="shared" si="184"/>
        <v>B</v>
      </c>
      <c r="ER139" s="97" t="str">
        <f t="shared" si="184"/>
        <v>B</v>
      </c>
      <c r="ES139" s="97" t="str">
        <f t="shared" si="184"/>
        <v>B</v>
      </c>
      <c r="ET139" s="97" t="str">
        <f t="shared" si="184"/>
        <v>A</v>
      </c>
      <c r="EU139" s="97" t="str">
        <f t="shared" si="184"/>
        <v>B</v>
      </c>
      <c r="EV139" s="97" t="str">
        <f t="shared" si="184"/>
        <v>B</v>
      </c>
      <c r="EW139" s="97" t="str">
        <f t="shared" si="184"/>
        <v>B</v>
      </c>
      <c r="EX139" s="97" t="str">
        <f t="shared" si="184"/>
        <v>B</v>
      </c>
      <c r="EY139" s="97" t="str">
        <f t="shared" si="184"/>
        <v>B</v>
      </c>
      <c r="EZ139" s="97" t="str">
        <f t="shared" si="184"/>
        <v>B</v>
      </c>
      <c r="FA139" s="97" t="str">
        <f t="shared" si="184"/>
        <v>B</v>
      </c>
      <c r="FB139" s="97" t="str">
        <f t="shared" si="184"/>
        <v>B</v>
      </c>
      <c r="FC139" s="97" t="str">
        <f t="shared" si="184"/>
        <v>B</v>
      </c>
      <c r="FD139" s="97" t="str">
        <f t="shared" si="184"/>
        <v>B</v>
      </c>
      <c r="FE139" s="97" t="str">
        <f t="shared" si="184"/>
        <v>B</v>
      </c>
      <c r="FF139" s="97" t="str">
        <f t="shared" si="184"/>
        <v>A</v>
      </c>
      <c r="FG139" s="97" t="str">
        <f t="shared" si="184"/>
        <v>A</v>
      </c>
      <c r="FH139" s="97" t="str">
        <f t="shared" si="184"/>
        <v>A</v>
      </c>
      <c r="FI139" s="97" t="str">
        <f t="shared" si="184"/>
        <v>B</v>
      </c>
      <c r="FJ139" s="97" t="str">
        <f t="shared" si="184"/>
        <v>A</v>
      </c>
      <c r="FK139" s="97" t="str">
        <f t="shared" si="184"/>
        <v>B</v>
      </c>
      <c r="FL139" s="97" t="str">
        <f t="shared" si="184"/>
        <v>B</v>
      </c>
      <c r="FM139" s="97" t="str">
        <f t="shared" si="184"/>
        <v>B</v>
      </c>
      <c r="FN139" s="97" t="str">
        <f t="shared" si="184"/>
        <v>A</v>
      </c>
      <c r="FO139" s="97" t="str">
        <f t="shared" si="184"/>
        <v>A</v>
      </c>
      <c r="FP139" s="97" t="str">
        <f t="shared" si="184"/>
        <v>B</v>
      </c>
      <c r="FQ139" s="97" t="str">
        <f t="shared" si="184"/>
        <v>B</v>
      </c>
      <c r="FR139" s="97" t="str">
        <f t="shared" si="184"/>
        <v>A</v>
      </c>
      <c r="FS139" s="97" t="str">
        <f t="shared" si="184"/>
        <v>B</v>
      </c>
      <c r="FT139" s="97" t="str">
        <f t="shared" si="184"/>
        <v>B</v>
      </c>
      <c r="FU139" s="97" t="str">
        <f t="shared" si="184"/>
        <v>B</v>
      </c>
      <c r="FV139" s="97" t="str">
        <f t="shared" si="184"/>
        <v>B</v>
      </c>
      <c r="FW139" s="97" t="str">
        <f t="shared" si="184"/>
        <v>B</v>
      </c>
      <c r="FX139" s="97" t="str">
        <f t="shared" si="184"/>
        <v>A</v>
      </c>
      <c r="FY139" s="97" t="str">
        <f t="shared" si="184"/>
        <v>B</v>
      </c>
      <c r="FZ139" s="97" t="str">
        <f t="shared" si="184"/>
        <v>A</v>
      </c>
      <c r="GA139" s="97" t="str">
        <f t="shared" si="184"/>
        <v>A</v>
      </c>
      <c r="GB139" s="97" t="str">
        <f t="shared" si="184"/>
        <v>B</v>
      </c>
      <c r="GC139" s="97" t="str">
        <f t="shared" si="184"/>
        <v>A</v>
      </c>
      <c r="GD139" s="97" t="str">
        <f t="shared" si="184"/>
        <v>B</v>
      </c>
      <c r="GE139" s="97" t="str">
        <f t="shared" si="184"/>
        <v>B</v>
      </c>
      <c r="GF139" s="97" t="str">
        <f t="shared" si="184"/>
        <v>B</v>
      </c>
      <c r="GG139" s="97" t="str">
        <f t="shared" si="184"/>
        <v>B</v>
      </c>
      <c r="GH139" s="97" t="str">
        <f t="shared" si="184"/>
        <v>B</v>
      </c>
      <c r="GI139" s="97" t="str">
        <f t="shared" si="184"/>
        <v>A</v>
      </c>
      <c r="GJ139" s="97" t="str">
        <f t="shared" si="184"/>
        <v>A</v>
      </c>
      <c r="GK139" s="97" t="str">
        <f t="shared" si="184"/>
        <v>A</v>
      </c>
      <c r="GL139" s="97" t="str">
        <f t="shared" si="184"/>
        <v>B</v>
      </c>
      <c r="GM139" s="97" t="str">
        <f t="shared" si="184"/>
        <v>B</v>
      </c>
      <c r="GN139" s="97" t="str">
        <f t="shared" si="184"/>
        <v>B</v>
      </c>
      <c r="GO139" s="97" t="str">
        <f t="shared" si="184"/>
        <v>B</v>
      </c>
      <c r="GP139" s="97" t="str">
        <f t="shared" si="184"/>
        <v>A</v>
      </c>
      <c r="GQ139" s="97" t="str">
        <f t="shared" si="184"/>
        <v>A</v>
      </c>
      <c r="GR139" s="97" t="str">
        <f t="shared" si="184"/>
        <v>A</v>
      </c>
      <c r="GS139" s="97" t="str">
        <f t="shared" si="184"/>
        <v>B</v>
      </c>
      <c r="GT139" s="97" t="str">
        <f t="shared" si="184"/>
        <v>A</v>
      </c>
      <c r="GU139" s="97" t="str">
        <f t="shared" si="184"/>
        <v>A</v>
      </c>
      <c r="GV139" s="97" t="str">
        <f t="shared" si="184"/>
        <v>A</v>
      </c>
      <c r="GW139" s="97" t="str">
        <f t="shared" si="184"/>
        <v>A</v>
      </c>
      <c r="GX139" s="97" t="str">
        <f t="shared" si="184"/>
        <v>A</v>
      </c>
      <c r="GY139" s="98"/>
      <c r="GZ139" s="97">
        <f t="shared" si="3"/>
        <v>29</v>
      </c>
      <c r="HA139" s="97">
        <f t="shared" si="4"/>
        <v>71</v>
      </c>
      <c r="HB139" s="90">
        <f t="shared" si="5"/>
        <v>100</v>
      </c>
      <c r="HC139" s="99"/>
      <c r="HD139" s="97">
        <f t="shared" si="6"/>
        <v>3</v>
      </c>
      <c r="HE139" s="97">
        <f t="shared" si="7"/>
        <v>8</v>
      </c>
      <c r="HF139" s="90">
        <f t="shared" si="8"/>
        <v>11</v>
      </c>
      <c r="HG139" s="99"/>
      <c r="HH139" s="97">
        <f t="shared" si="9"/>
        <v>3</v>
      </c>
      <c r="HI139" s="97">
        <f t="shared" si="10"/>
        <v>9</v>
      </c>
      <c r="HJ139" s="90">
        <f t="shared" si="11"/>
        <v>12</v>
      </c>
      <c r="HK139" s="99"/>
      <c r="HL139" s="97">
        <f t="shared" si="12"/>
        <v>2</v>
      </c>
      <c r="HM139" s="97">
        <f t="shared" si="13"/>
        <v>6</v>
      </c>
      <c r="HN139" s="90">
        <f t="shared" si="14"/>
        <v>8</v>
      </c>
      <c r="HO139" s="99"/>
      <c r="HP139" s="97">
        <f t="shared" si="15"/>
        <v>5</v>
      </c>
      <c r="HQ139" s="97">
        <f t="shared" si="16"/>
        <v>10</v>
      </c>
      <c r="HR139" s="90">
        <f t="shared" si="17"/>
        <v>15</v>
      </c>
      <c r="HS139" s="99"/>
      <c r="HT139" s="97">
        <f t="shared" si="18"/>
        <v>7</v>
      </c>
      <c r="HU139" s="97">
        <f t="shared" si="19"/>
        <v>9</v>
      </c>
      <c r="HV139" s="90">
        <f t="shared" si="20"/>
        <v>16</v>
      </c>
      <c r="HW139" s="99"/>
      <c r="HX139" s="97">
        <f t="shared" si="21"/>
        <v>2</v>
      </c>
      <c r="HY139" s="97">
        <f t="shared" si="22"/>
        <v>6</v>
      </c>
      <c r="HZ139" s="90">
        <f t="shared" si="23"/>
        <v>8</v>
      </c>
      <c r="IA139" s="99"/>
      <c r="IB139" s="97">
        <f t="shared" si="24"/>
        <v>3</v>
      </c>
      <c r="IC139" s="97">
        <f t="shared" si="25"/>
        <v>7</v>
      </c>
      <c r="ID139" s="90">
        <f t="shared" si="26"/>
        <v>10</v>
      </c>
      <c r="IE139" s="99"/>
      <c r="IF139" s="97">
        <f t="shared" si="27"/>
        <v>2</v>
      </c>
      <c r="IG139" s="97">
        <f t="shared" si="28"/>
        <v>6</v>
      </c>
      <c r="IH139" s="90">
        <f t="shared" si="29"/>
        <v>8</v>
      </c>
      <c r="II139" s="99"/>
      <c r="IJ139" s="97">
        <f t="shared" si="30"/>
        <v>2</v>
      </c>
      <c r="IK139" s="97">
        <f t="shared" si="31"/>
        <v>7</v>
      </c>
      <c r="IL139" s="90">
        <f t="shared" si="32"/>
        <v>9</v>
      </c>
      <c r="IM139" s="99"/>
      <c r="IN139" s="97">
        <f t="shared" si="33"/>
        <v>0</v>
      </c>
      <c r="IO139" s="97">
        <f t="shared" si="34"/>
        <v>2</v>
      </c>
      <c r="IP139" s="90">
        <f t="shared" si="35"/>
        <v>2</v>
      </c>
      <c r="IS139" s="100">
        <f t="shared" si="36"/>
        <v>11</v>
      </c>
      <c r="IT139" s="100">
        <f t="shared" si="37"/>
        <v>12</v>
      </c>
      <c r="IU139" s="100">
        <f t="shared" si="38"/>
        <v>8</v>
      </c>
      <c r="IV139" s="100">
        <f t="shared" si="39"/>
        <v>15</v>
      </c>
      <c r="IW139" s="100">
        <f t="shared" si="40"/>
        <v>16</v>
      </c>
      <c r="IX139" s="100">
        <f t="shared" si="41"/>
        <v>8</v>
      </c>
      <c r="IY139" s="100">
        <f t="shared" si="42"/>
        <v>10</v>
      </c>
      <c r="IZ139" s="100">
        <f t="shared" si="43"/>
        <v>8</v>
      </c>
      <c r="JA139" s="100">
        <f t="shared" si="44"/>
        <v>9</v>
      </c>
      <c r="JB139" s="101">
        <f t="shared" si="45"/>
        <v>2</v>
      </c>
      <c r="JC139" s="102">
        <f t="shared" si="46"/>
        <v>99</v>
      </c>
      <c r="JD139" s="67">
        <f t="shared" si="50"/>
        <v>0</v>
      </c>
      <c r="JE139" s="67">
        <f t="shared" si="47"/>
        <v>1</v>
      </c>
      <c r="JF139" s="67">
        <f t="shared" si="48"/>
        <v>1</v>
      </c>
    </row>
    <row r="140">
      <c r="A140" s="104">
        <f>IFERROR(__xludf.DUMMYFUNCTION("""COMPUTED_VALUE"""),45972.700736099534)</f>
        <v>45972.70074</v>
      </c>
      <c r="B140" s="105" t="str">
        <f>IFERROR(__xludf.DUMMYFUNCTION("""COMPUTED_VALUE"""),"Khubaib Abdul Aziz ")</f>
        <v>Khubaib Abdul Aziz </v>
      </c>
      <c r="C140" s="7" t="str">
        <f>IFERROR(__xludf.DUMMYFUNCTION("""COMPUTED_VALUE"""),"C250022")</f>
        <v>C250022</v>
      </c>
      <c r="D140" s="7" t="str">
        <f>IFERROR(__xludf.DUMMYFUNCTION("""COMPUTED_VALUE"""),"SMA")</f>
        <v>SMA</v>
      </c>
      <c r="E140" s="7" t="str">
        <f>IFERROR(__xludf.DUMMYFUNCTION("""COMPUTED_VALUE"""),"Ya")</f>
        <v>Ya</v>
      </c>
      <c r="F140" s="105" t="str">
        <f>IFERROR(__xludf.DUMMYFUNCTION("""COMPUTED_VALUE"""),"A Saya ingin mengerjakan segala tugas lebih baik daripada orang lain.")</f>
        <v>A Saya ingin mengerjakan segala tugas lebih baik daripada orang lain.</v>
      </c>
      <c r="G140" s="105" t="str">
        <f>IFERROR(__xludf.DUMMYFUNCTION("""COMPUTED_VALUE"""),"A Saya ingin setiap tulisan saya teliti, rapi, dan tersusun dengan baik.")</f>
        <v>A Saya ingin setiap tulisan saya teliti, rapi, dan tersusun dengan baik.</v>
      </c>
      <c r="H140" s="105" t="str">
        <f>IFERROR(__xludf.DUMMYFUNCTION("""COMPUTED_VALUE"""),"B Saya ingin menjadi orang yang diakui dalam suatu pekerjaan atau bidang khusus.")</f>
        <v>B Saya ingin menjadi orang yang diakui dalam suatu pekerjaan atau bidang khusus.</v>
      </c>
      <c r="I140" s="105" t="str">
        <f>IFERROR(__xludf.DUMMYFUNCTION("""COMPUTED_VALUE"""),"B Saya ingin bisa melakukan dengan baik meskipun tugas yang sulit.")</f>
        <v>B Saya ingin bisa melakukan dengan baik meskipun tugas yang sulit.</v>
      </c>
      <c r="J140" s="105" t="str">
        <f>IFERROR(__xludf.DUMMYFUNCTION("""COMPUTED_VALUE"""),"A Saya suka membantu teman-teman saya apabila mereka mengalami kesulitan.")</f>
        <v>A Saya suka membantu teman-teman saya apabila mereka mengalami kesulitan.</v>
      </c>
      <c r="K140" s="105" t="str">
        <f>IFERROR(__xludf.DUMMYFUNCTION("""COMPUTED_VALUE"""),"A Saya ingin menjadi pemimpin dalam suatu kelompok.")</f>
        <v>A Saya ingin menjadi pemimpin dalam suatu kelompok.</v>
      </c>
      <c r="L140" s="105" t="str">
        <f>IFERROR(__xludf.DUMMYFUNCTION("""COMPUTED_VALUE"""),"A Saya ingin menjadi pemimpin dalam suatu kelompok")</f>
        <v>A Saya ingin menjadi pemimpin dalam suatu kelompok</v>
      </c>
      <c r="M140" s="105" t="str">
        <f>IFERROR(__xludf.DUMMYFUNCTION("""COMPUTED_VALUE"""),"B Saya ingin mengerjakan segala tugas lebih baik daripada orang lain.")</f>
        <v>B Saya ingin mengerjakan segala tugas lebih baik daripada orang lain.</v>
      </c>
      <c r="N140" s="105" t="str">
        <f>IFERROR(__xludf.DUMMYFUNCTION("""COMPUTED_VALUE"""),"A Saya suka pergi dengan pakaian rapi agar lebih menarik perhatian orang lain.")</f>
        <v>A Saya suka pergi dengan pakaian rapi agar lebih menarik perhatian orang lain.</v>
      </c>
      <c r="O140" s="105" t="str">
        <f>IFERROR(__xludf.DUMMYFUNCTION("""COMPUTED_VALUE"""),"A Saya marah saat ada teman memperolok-olok hal-hal yang saya anggap bodoh.")</f>
        <v>A Saya marah saat ada teman memperolok-olok hal-hal yang saya anggap bodoh.</v>
      </c>
      <c r="P140" s="105" t="str">
        <f>IFERROR(__xludf.DUMMYFUNCTION("""COMPUTED_VALUE"""),"A Saya suka bercerita tentang hal-hal yang menegangkan atau menantang.")</f>
        <v>A Saya suka bercerita tentang hal-hal yang menegangkan atau menantang.</v>
      </c>
      <c r="Q140" s="105" t="str">
        <f>IFERROR(__xludf.DUMMYFUNCTION("""COMPUTED_VALUE"""),"A Saya mulai suka dengan lawan jenis.")</f>
        <v>A Saya mulai suka dengan lawan jenis.</v>
      </c>
      <c r="R140" s="105" t="str">
        <f>IFERROR(__xludf.DUMMYFUNCTION("""COMPUTED_VALUE"""),"A Saya ingin orang-orang memperhatikan penampilan saya.")</f>
        <v>A Saya ingin orang-orang memperhatikan penampilan saya.</v>
      </c>
      <c r="S140" s="105" t="str">
        <f>IFERROR(__xludf.DUMMYFUNCTION("""COMPUTED_VALUE"""),"A Saya ingin agar teman-teman pengertian bila saya mengalami kesukaran.")</f>
        <v>A Saya ingin agar teman-teman pengertian bila saya mengalami kesukaran.</v>
      </c>
      <c r="T140" s="105" t="str">
        <f>IFERROR(__xludf.DUMMYFUNCTION("""COMPUTED_VALUE"""),"A Saya ingin menjadi salah seorang pemimpin dalam kelompok yang saya kenal.")</f>
        <v>A Saya ingin menjadi salah seorang pemimpin dalam kelompok yang saya kenal.</v>
      </c>
      <c r="U140" s="105" t="str">
        <f>IFERROR(__xludf.DUMMYFUNCTION("""COMPUTED_VALUE"""),"A Saya suka memberikan bantuan kepada teman-teman saya.")</f>
        <v>A Saya suka memberikan bantuan kepada teman-teman saya.</v>
      </c>
      <c r="V140" s="105" t="str">
        <f>IFERROR(__xludf.DUMMYFUNCTION("""COMPUTED_VALUE"""),"B Saya suka belajar saya teratur dan ada waktu-waktu tertentu untuk belajar.")</f>
        <v>B Saya suka belajar saya teratur dan ada waktu-waktu tertentu untuk belajar.</v>
      </c>
      <c r="W140" s="105" t="str">
        <f>IFERROR(__xludf.DUMMYFUNCTION("""COMPUTED_VALUE"""),"B Saya ingin kegiatan itu teratur dan direncanakan.")</f>
        <v>B Saya ingin kegiatan itu teratur dan direncanakan.</v>
      </c>
      <c r="X140" s="105" t="str">
        <f>IFERROR(__xludf.DUMMYFUNCTION("""COMPUTED_VALUE"""),"A Saya suka merencanakan dan mengatur setiap apa yang harus saya lakukan.")</f>
        <v>A Saya suka merencanakan dan mengatur setiap apa yang harus saya lakukan.</v>
      </c>
      <c r="Y140" s="105" t="str">
        <f>IFERROR(__xludf.DUMMYFUNCTION("""COMPUTED_VALUE"""),"B Saya senang merencanakan untuk masa depan.")</f>
        <v>B Saya senang merencanakan untuk masa depan.</v>
      </c>
      <c r="Z140" s="105" t="str">
        <f>IFERROR(__xludf.DUMMYFUNCTION("""COMPUTED_VALUE"""),"A Saya ingin berhasil dengan belajar yang saya lakukan.")</f>
        <v>A Saya ingin berhasil dengan belajar yang saya lakukan.</v>
      </c>
      <c r="AA140" s="105" t="str">
        <f>IFERROR(__xludf.DUMMYFUNCTION("""COMPUTED_VALUE"""),"B Saya tidak suka pada orang yang berbuat seenaknya sendiri.")</f>
        <v>B Saya tidak suka pada orang yang berbuat seenaknya sendiri.</v>
      </c>
      <c r="AB140" s="105" t="str">
        <f>IFERROR(__xludf.DUMMYFUNCTION("""COMPUTED_VALUE"""),"A Saya ingin tidak tergantung dari orang lain terhadap apa yang akan saya lakukan.")</f>
        <v>A Saya ingin tidak tergantung dari orang lain terhadap apa yang akan saya lakukan.</v>
      </c>
      <c r="AC140" s="105" t="str">
        <f>IFERROR(__xludf.DUMMYFUNCTION("""COMPUTED_VALUE"""),"A Saya suka menyelesaikan setiap tugas meskipun membutuhkan waktu lama.")</f>
        <v>A Saya suka menyelesaikan setiap tugas meskipun membutuhkan waktu lama.</v>
      </c>
      <c r="AD140" s="105" t="str">
        <f>IFERROR(__xludf.DUMMYFUNCTION("""COMPUTED_VALUE"""),"A Saya suka bermurah hati terhadap teman-teman saya.")</f>
        <v>A Saya suka bermurah hati terhadap teman-teman saya.</v>
      </c>
      <c r="AE140" s="105" t="str">
        <f>IFERROR(__xludf.DUMMYFUNCTION("""COMPUTED_VALUE"""),"A Saya ingin dianggap sebagai pemimpin oleh teman di kelompok.")</f>
        <v>A Saya ingin dianggap sebagai pemimpin oleh teman di kelompok.</v>
      </c>
      <c r="AF140" s="105" t="str">
        <f>IFERROR(__xludf.DUMMYFUNCTION("""COMPUTED_VALUE"""),"B Saya suka melakukan hal-hal dengan cara saya sendiri.")</f>
        <v>B Saya suka melakukan hal-hal dengan cara saya sendiri.</v>
      </c>
      <c r="AG140" s="105" t="str">
        <f>IFERROR(__xludf.DUMMYFUNCTION("""COMPUTED_VALUE"""),"B Saya ingin berhasil dengan tugas yang saya lakukan.")</f>
        <v>B Saya ingin berhasil dengan tugas yang saya lakukan.</v>
      </c>
      <c r="AH140" s="105" t="str">
        <f>IFERROR(__xludf.DUMMYFUNCTION("""COMPUTED_VALUE"""),"A Saya suka membaca buku-buku tentang pergaulan remaja.")</f>
        <v>A Saya suka membaca buku-buku tentang pergaulan remaja.</v>
      </c>
      <c r="AI140" s="105" t="str">
        <f>IFERROR(__xludf.DUMMYFUNCTION("""COMPUTED_VALUE"""),"B Saya suka melakukan kegiatan sesuai kondisi yang saya inginkan.")</f>
        <v>B Saya suka melakukan kegiatan sesuai kondisi yang saya inginkan.</v>
      </c>
      <c r="AJ140" s="105" t="str">
        <f>IFERROR(__xludf.DUMMYFUNCTION("""COMPUTED_VALUE"""),"B Saya suka bertahan menghadapi satu masalah meskipun belum tentu berhasil.")</f>
        <v>B Saya suka bertahan menghadapi satu masalah meskipun belum tentu berhasil.</v>
      </c>
      <c r="AK140" s="105" t="str">
        <f>IFERROR(__xludf.DUMMYFUNCTION("""COMPUTED_VALUE"""),"B Bila saya harus melakukan suatu tugas, saya ingin mengerjakan sampai selesai.")</f>
        <v>B Bila saya harus melakukan suatu tugas, saya ingin mengerjakan sampai selesai.</v>
      </c>
      <c r="AL140" s="105" t="str">
        <f>IFERROR(__xludf.DUMMYFUNCTION("""COMPUTED_VALUE"""),"B Saya ingin menghindarkan gangguan bila saya sedang belajar.")</f>
        <v>B Saya ingin menghindarkan gangguan bila saya sedang belajar.</v>
      </c>
      <c r="AM140" s="105" t="str">
        <f>IFERROR(__xludf.DUMMYFUNCTION("""COMPUTED_VALUE"""),"A Saya ingin teman-teman saya merasa kasihan pada saya apabila saya sakit.")</f>
        <v>A Saya ingin teman-teman saya merasa kasihan pada saya apabila saya sakit.</v>
      </c>
      <c r="AN140" s="105" t="str">
        <f>IFERROR(__xludf.DUMMYFUNCTION("""COMPUTED_VALUE"""),"A Saya tidak suka pada orang yang semena-mena.")</f>
        <v>A Saya tidak suka pada orang yang semena-mena.</v>
      </c>
      <c r="AO140" s="105" t="str">
        <f>IFERROR(__xludf.DUMMYFUNCTION("""COMPUTED_VALUE"""),"A Saya suka berlaku sangat ramah terhadap teman-teman saya.")</f>
        <v>A Saya suka berlaku sangat ramah terhadap teman-teman saya.</v>
      </c>
      <c r="AP140" s="105" t="str">
        <f>IFERROR(__xludf.DUMMYFUNCTION("""COMPUTED_VALUE"""),"B Saya suka bertahan menghadapi satu masalah meskipun belum tentu berhasil.")</f>
        <v>B Saya suka bertahan menghadapi satu masalah meskipun belum tentu berhasil.</v>
      </c>
      <c r="AQ140" s="105" t="str">
        <f>IFERROR(__xludf.DUMMYFUNCTION("""COMPUTED_VALUE"""),"A Saya ingin bisa mengerjakan segala sesuatu lebih baik daripada orang-orang lain.")</f>
        <v>A Saya ingin bisa mengerjakan segala sesuatu lebih baik daripada orang-orang lain.</v>
      </c>
      <c r="AR140" s="105" t="str">
        <f>IFERROR(__xludf.DUMMYFUNCTION("""COMPUTED_VALUE"""),"A Saya suka menyimpan catatan secara rapi.")</f>
        <v>A Saya suka menyimpan catatan secara rapi.</v>
      </c>
      <c r="AS140" s="105" t="str">
        <f>IFERROR(__xludf.DUMMYFUNCTION("""COMPUTED_VALUE"""),"A Saya ingin dapat menyelesaikan persoalan yang dianggap sukar bagi orang lain.")</f>
        <v>A Saya ingin dapat menyelesaikan persoalan yang dianggap sukar bagi orang lain.</v>
      </c>
      <c r="AT140" s="105" t="str">
        <f>IFERROR(__xludf.DUMMYFUNCTION("""COMPUTED_VALUE"""),"B Saya suka membantu orang lain yang menurut saya perlu dikasihani.")</f>
        <v>B Saya suka membantu orang lain yang menurut saya perlu dikasihani.</v>
      </c>
      <c r="AU140" s="105" t="str">
        <f>IFERROR(__xludf.DUMMYFUNCTION("""COMPUTED_VALUE"""),"B Saya suka bermurah hati terhadap teman-teman saya.")</f>
        <v>B Saya suka bermurah hati terhadap teman-teman saya.</v>
      </c>
      <c r="AV140" s="105" t="str">
        <f>IFERROR(__xludf.DUMMYFUNCTION("""COMPUTED_VALUE"""),"B Saya suka menolong teman-teman saya.")</f>
        <v>B Saya suka menolong teman-teman saya.</v>
      </c>
      <c r="AW140" s="105" t="str">
        <f>IFERROR(__xludf.DUMMYFUNCTION("""COMPUTED_VALUE"""),"B Saya ingin teman-teman saya percaya bahwa saya bisa menolong mereka.")</f>
        <v>B Saya ingin teman-teman saya percaya bahwa saya bisa menolong mereka.</v>
      </c>
      <c r="AX140" s="105" t="str">
        <f>IFERROR(__xludf.DUMMYFUNCTION("""COMPUTED_VALUE"""),"B Saya suka memaafkan teman-teman saya yang menyakiti hati saya.")</f>
        <v>B Saya suka memaafkan teman-teman saya yang menyakiti hati saya.</v>
      </c>
      <c r="AY140" s="105" t="str">
        <f>IFERROR(__xludf.DUMMYFUNCTION("""COMPUTED_VALUE"""),"B Saya suka menolong teman-teman saya apabila mereka dalam kesulitan.")</f>
        <v>B Saya suka menolong teman-teman saya apabila mereka dalam kesulitan.</v>
      </c>
      <c r="AZ140" s="105" t="str">
        <f>IFERROR(__xludf.DUMMYFUNCTION("""COMPUTED_VALUE"""),"A Saya ingin agar teman-teman saya bersimpati dan menghibur saya bila saya sedih.")</f>
        <v>A Saya ingin agar teman-teman saya bersimpati dan menghibur saya bila saya sedih.</v>
      </c>
      <c r="BA140" s="105" t="str">
        <f>IFERROR(__xludf.DUMMYFUNCTION("""COMPUTED_VALUE"""),"B Saya suka memperlakukan orang lain dengan baik dan ramah.")</f>
        <v>B Saya suka memperlakukan orang lain dengan baik dan ramah.</v>
      </c>
      <c r="BB140" s="105" t="str">
        <f>IFERROR(__xludf.DUMMYFUNCTION("""COMPUTED_VALUE"""),"B Saya suka bermurah hati terhadap teman-teman saya.")</f>
        <v>B Saya suka bermurah hati terhadap teman-teman saya.</v>
      </c>
      <c r="BC140" s="105" t="str">
        <f>IFERROR(__xludf.DUMMYFUNCTION("""COMPUTED_VALUE"""),"B Saya suka membantu orang lain yang menurut saya perlu dikasihani.")</f>
        <v>B Saya suka membantu orang lain yang menurut saya perlu dikasihani.</v>
      </c>
      <c r="BD140" s="105" t="str">
        <f>IFERROR(__xludf.DUMMYFUNCTION("""COMPUTED_VALUE"""),"A Saya rasanya ingin menyalahkan orang lain bila keadaan tidak baik bagi saya.")</f>
        <v>A Saya rasanya ingin menyalahkan orang lain bila keadaan tidak baik bagi saya.</v>
      </c>
      <c r="BE140" s="105" t="str">
        <f>IFERROR(__xludf.DUMMYFUNCTION("""COMPUTED_VALUE"""),"A Saya suka mendengarkan atau menceritakan hal-hal yang sebaiknya tidak diceritakan.")</f>
        <v>A Saya suka mendengarkan atau menceritakan hal-hal yang sebaiknya tidak diceritakan.</v>
      </c>
      <c r="BF140" s="105" t="str">
        <f>IFERROR(__xludf.DUMMYFUNCTION("""COMPUTED_VALUE"""),"B Bila saya dalam kelompok, saya ingin menentukan apa yang akan kita lakukan.")</f>
        <v>B Bila saya dalam kelompok, saya ingin menentukan apa yang akan kita lakukan.</v>
      </c>
      <c r="BG140" s="105" t="str">
        <f>IFERROR(__xludf.DUMMYFUNCTION("""COMPUTED_VALUE"""),"A Saya ingin teman-teman banyak menunjukkan rasa sayang mereka terhadap saya.")</f>
        <v>A Saya ingin teman-teman banyak menunjukkan rasa sayang mereka terhadap saya.</v>
      </c>
      <c r="BH140" s="105" t="str">
        <f>IFERROR(__xludf.DUMMYFUNCTION("""COMPUTED_VALUE"""),"B Apabila saya berkumpul dalam kelompok, saya ingin dihargai teman-teman.")</f>
        <v>B Apabila saya berkumpul dalam kelompok, saya ingin dihargai teman-teman.</v>
      </c>
      <c r="BI140" s="105" t="str">
        <f>IFERROR(__xludf.DUMMYFUNCTION("""COMPUTED_VALUE"""),"A Saya suka bermurah hati terhadap teman-teman saya.")</f>
        <v>A Saya suka bermurah hati terhadap teman-teman saya.</v>
      </c>
      <c r="BJ140" s="105" t="str">
        <f>IFERROR(__xludf.DUMMYFUNCTION("""COMPUTED_VALUE"""),"B Saya ingin menjadi pemimpin dalam kelompok di mana saya ada di situ")</f>
        <v>B Saya ingin menjadi pemimpin dalam kelompok di mana saya ada di situ</v>
      </c>
      <c r="BK140" s="105" t="str">
        <f>IFERROR(__xludf.DUMMYFUNCTION("""COMPUTED_VALUE"""),"A Saya ingin menyelesaikan pekerjaan satu persatu sebelum memulai yang lain.")</f>
        <v>A Saya ingin menyelesaikan pekerjaan satu persatu sebelum memulai yang lain.</v>
      </c>
      <c r="BL140" s="105" t="str">
        <f>IFERROR(__xludf.DUMMYFUNCTION("""COMPUTED_VALUE"""),"A Saya suka belajar saya teratur dan ada waktu-waktu tertentu untuk belajar.")</f>
        <v>A Saya suka belajar saya teratur dan ada waktu-waktu tertentu untuk belajar.</v>
      </c>
      <c r="BM140" s="105" t="str">
        <f>IFERROR(__xludf.DUMMYFUNCTION("""COMPUTED_VALUE"""),"B Saya ingin orang lain melakukan apa yang saya kehendaki.")</f>
        <v>B Saya ingin orang lain melakukan apa yang saya kehendaki.</v>
      </c>
      <c r="BN140" s="105" t="str">
        <f>IFERROR(__xludf.DUMMYFUNCTION("""COMPUTED_VALUE"""),"A Saya suka mengerjakan teka-teki atau memecahkan persoalan sampai selesai.")</f>
        <v>A Saya suka mengerjakan teka-teki atau memecahkan persoalan sampai selesai.</v>
      </c>
      <c r="BO140" s="105" t="str">
        <f>IFERROR(__xludf.DUMMYFUNCTION("""COMPUTED_VALUE"""),"B Saya ingin diperlakukan dengan baik oleh teman-teman saya.")</f>
        <v>B Saya ingin diperlakukan dengan baik oleh teman-teman saya.</v>
      </c>
      <c r="BP140" s="105" t="str">
        <f>IFERROR(__xludf.DUMMYFUNCTION("""COMPUTED_VALUE"""),"B Saya ingin teman-teman saya merasa kasihan pada saya apabila saya sakit.")</f>
        <v>B Saya ingin teman-teman saya merasa kasihan pada saya apabila saya sakit.</v>
      </c>
      <c r="BQ140" s="105" t="str">
        <f>IFERROR(__xludf.DUMMYFUNCTION("""COMPUTED_VALUE"""),"A Saya ingin mengerjakannya tugas sampai selesai.")</f>
        <v>A Saya ingin mengerjakannya tugas sampai selesai.</v>
      </c>
      <c r="BR140" s="105" t="str">
        <f>IFERROR(__xludf.DUMMYFUNCTION("""COMPUTED_VALUE"""),"A Saya suka memaafkan teman-teman saya yang menyakiti hati saya.")</f>
        <v>A Saya suka memaafkan teman-teman saya yang menyakiti hati saya.</v>
      </c>
      <c r="BS140" s="105" t="str">
        <f>IFERROR(__xludf.DUMMYFUNCTION("""COMPUTED_VALUE"""),"B Saya ingin teman-teman saya membantu saya bila saya mengalami kesulitan")</f>
        <v>B Saya ingin teman-teman saya membantu saya bila saya mengalami kesulitan</v>
      </c>
      <c r="BT140" s="105" t="str">
        <f>IFERROR(__xludf.DUMMYFUNCTION("""COMPUTED_VALUE"""),"A Saya ingin teman-teman saya merasa kasihan pada saya apabila saya sakit.")</f>
        <v>A Saya ingin teman-teman saya merasa kasihan pada saya apabila saya sakit.</v>
      </c>
      <c r="BU140" s="105" t="str">
        <f>IFERROR(__xludf.DUMMYFUNCTION("""COMPUTED_VALUE"""),"B Saya ingin agar teman-teman saya merasa kasihan pada saya apabila saya sakit.")</f>
        <v>B Saya ingin agar teman-teman saya merasa kasihan pada saya apabila saya sakit.</v>
      </c>
      <c r="BV140" s="105" t="str">
        <f>IFERROR(__xludf.DUMMYFUNCTION("""COMPUTED_VALUE"""),"B Saya ingin teman-teman dengan gembira memberikan pertolongan kepada saya.")</f>
        <v>B Saya ingin teman-teman dengan gembira memberikan pertolongan kepada saya.</v>
      </c>
      <c r="BW140" s="105" t="str">
        <f>IFERROR(__xludf.DUMMYFUNCTION("""COMPUTED_VALUE"""),"B Saya ingin diperlakukan dengan baik oleh teman-teman saya.")</f>
        <v>B Saya ingin diperlakukan dengan baik oleh teman-teman saya.</v>
      </c>
      <c r="BX140" s="105" t="str">
        <f>IFERROR(__xludf.DUMMYFUNCTION("""COMPUTED_VALUE"""),"B Saya kadang-kadang suka melakukan hal-hal yang dapat dipuji oleh orang lain.")</f>
        <v>B Saya kadang-kadang suka melakukan hal-hal yang dapat dipuji oleh orang lain.</v>
      </c>
      <c r="BY140" s="105" t="str">
        <f>IFERROR(__xludf.DUMMYFUNCTION("""COMPUTED_VALUE"""),"B Saya ingin orang lain memperhatikan dan berkomentar tentang penampilan saya.")</f>
        <v>B Saya ingin orang lain memperhatikan dan berkomentar tentang penampilan saya.</v>
      </c>
      <c r="BZ140" s="105" t="str">
        <f>IFERROR(__xludf.DUMMYFUNCTION("""COMPUTED_VALUE"""),"B Saya suka diperhatikan, apabila saya ada di dalam suatu kelompok.")</f>
        <v>B Saya suka diperhatikan, apabila saya ada di dalam suatu kelompok.</v>
      </c>
      <c r="CA140" s="105" t="str">
        <f>IFERROR(__xludf.DUMMYFUNCTION("""COMPUTED_VALUE"""),"A Saya ingin teman-teman dengan gembira memberikan pertolongan kepada saya.")</f>
        <v>A Saya ingin teman-teman dengan gembira memberikan pertolongan kepada saya.</v>
      </c>
      <c r="CB140" s="105" t="str">
        <f>IFERROR(__xludf.DUMMYFUNCTION("""COMPUTED_VALUE"""),"A Saya suka menghindar dari tanggung jawab yang tidak saya inginkan.")</f>
        <v>A Saya suka menghindar dari tanggung jawab yang tidak saya inginkan.</v>
      </c>
      <c r="CC140" s="105" t="str">
        <f>IFERROR(__xludf.DUMMYFUNCTION("""COMPUTED_VALUE"""),"A Apabila saya berkumpul dalam kelompok, saya ingin dihargai teman-teman.")</f>
        <v>A Apabila saya berkumpul dalam kelompok, saya ingin dihargai teman-teman.</v>
      </c>
      <c r="CD140" s="105" t="str">
        <f>IFERROR(__xludf.DUMMYFUNCTION("""COMPUTED_VALUE"""),"A Saya suka menyelesaikan setiap tugas meskipun membutuhkan waktu lama.")</f>
        <v>A Saya suka menyelesaikan setiap tugas meskipun membutuhkan waktu lama.</v>
      </c>
      <c r="CE140" s="105" t="str">
        <f>IFERROR(__xludf.DUMMYFUNCTION("""COMPUTED_VALUE"""),"A Saya suka menyelesaikan setiap tugas belajar yang telah saya mulai.")</f>
        <v>A Saya suka menyelesaikan setiap tugas belajar yang telah saya mulai.</v>
      </c>
      <c r="CF140" s="105" t="str">
        <f>IFERROR(__xludf.DUMMYFUNCTION("""COMPUTED_VALUE"""),"A Saya ingin agar hidup saya teratur sesuai cita-cita saya.")</f>
        <v>A Saya ingin agar hidup saya teratur sesuai cita-cita saya.</v>
      </c>
      <c r="CG140" s="105" t="str">
        <f>IFERROR(__xludf.DUMMYFUNCTION("""COMPUTED_VALUE"""),"A Saya ingin berhasil dalam apa yang saya lakukan.")</f>
        <v>A Saya ingin berhasil dalam apa yang saya lakukan.</v>
      </c>
      <c r="CH140" s="105" t="str">
        <f>IFERROR(__xludf.DUMMYFUNCTION("""COMPUTED_VALUE"""),"A Saya ingin bisa melakukan dengan baik sesuatu pekerjaan sulit.")</f>
        <v>A Saya ingin bisa melakukan dengan baik sesuatu pekerjaan sulit.</v>
      </c>
      <c r="CI140" s="105" t="str">
        <f>IFERROR(__xludf.DUMMYFUNCTION("""COMPUTED_VALUE"""),"A Saya suka belajar saya teratur dan ada waktu-waktu tertentu untuk belajar.")</f>
        <v>A Saya suka belajar saya teratur dan ada waktu-waktu tertentu untuk belajar.</v>
      </c>
      <c r="CJ140" s="105" t="str">
        <f>IFERROR(__xludf.DUMMYFUNCTION("""COMPUTED_VALUE"""),"A Saya ingin tidak tergantung dari orang lain terhadap apa yang akan saya lakukan.")</f>
        <v>A Saya ingin tidak tergantung dari orang lain terhadap apa yang akan saya lakukan.</v>
      </c>
      <c r="CK140" s="105" t="str">
        <f>IFERROR(__xludf.DUMMYFUNCTION("""COMPUTED_VALUE"""),"B Saya senang ikut beraktivitas bersama teman sebaya saya.")</f>
        <v>B Saya senang ikut beraktivitas bersama teman sebaya saya.</v>
      </c>
      <c r="CL140" s="105" t="str">
        <f>IFERROR(__xludf.DUMMYFUNCTION("""COMPUTED_VALUE"""),"A Saya suka menolong teman-teman saya, apabila mereka dalam kesulitan.")</f>
        <v>A Saya suka menolong teman-teman saya, apabila mereka dalam kesulitan.</v>
      </c>
      <c r="CM140" s="105" t="str">
        <f>IFERROR(__xludf.DUMMYFUNCTION("""COMPUTED_VALUE"""),"A Saya ingin ditunjuk atau dipilih sebagai ketua dalam suatu kelompok.")</f>
        <v>A Saya ingin ditunjuk atau dipilih sebagai ketua dalam suatu kelompok.</v>
      </c>
      <c r="CN140" s="105" t="str">
        <f>IFERROR(__xludf.DUMMYFUNCTION("""COMPUTED_VALUE"""),"A Saya ingin diperlakukan dengan baik oleh teman-teman saya.")</f>
        <v>A Saya ingin diperlakukan dengan baik oleh teman-teman saya.</v>
      </c>
      <c r="CO140" s="105" t="str">
        <f>IFERROR(__xludf.DUMMYFUNCTION("""COMPUTED_VALUE"""),"A Saya suka menceritakan hal-hal lucu agar diperhatikan oleh orang lain.")</f>
        <v>A Saya suka menceritakan hal-hal lucu agar diperhatikan oleh orang lain.</v>
      </c>
      <c r="CP140" s="105" t="str">
        <f>IFERROR(__xludf.DUMMYFUNCTION("""COMPUTED_VALUE"""),"B Saya ingin dianggap menarik oleh orang lain.")</f>
        <v>B Saya ingin dianggap menarik oleh orang lain.</v>
      </c>
      <c r="CQ140" s="105" t="str">
        <f>IFERROR(__xludf.DUMMYFUNCTION("""COMPUTED_VALUE"""),"B Saya merasa kagum pada seseorang.")</f>
        <v>B Saya merasa kagum pada seseorang.</v>
      </c>
      <c r="CR140" s="105" t="str">
        <f>IFERROR(__xludf.DUMMYFUNCTION("""COMPUTED_VALUE"""),"B Saya rasanya ingin mengecam seseorang bila orang itu menjengkelkan.")</f>
        <v>B Saya rasanya ingin mengecam seseorang bila orang itu menjengkelkan.</v>
      </c>
      <c r="CS140" s="105" t="str">
        <f>IFERROR(__xludf.DUMMYFUNCTION("""COMPUTED_VALUE"""),"A Saya ingin terlihat menarik di depan teman-teman saya.")</f>
        <v>A Saya ingin terlihat menarik di depan teman-teman saya.</v>
      </c>
      <c r="CT140" s="105" t="str">
        <f>IFERROR(__xludf.DUMMYFUNCTION("""COMPUTED_VALUE"""),"A Saya ingin orang-orang memperhatikan komentar mengenai penampilan saya.")</f>
        <v>A Saya ingin orang-orang memperhatikan komentar mengenai penampilan saya.</v>
      </c>
      <c r="CU140" s="105" t="str">
        <f>IFERROR(__xludf.DUMMYFUNCTION("""COMPUTED_VALUE"""),"A Saya ingin diperlakukan dengan ramah oleh teman-teman saya.")</f>
        <v>A Saya ingin diperlakukan dengan ramah oleh teman-teman saya.</v>
      </c>
      <c r="CV140" s="105" t="str">
        <f>IFERROR(__xludf.DUMMYFUNCTION("""COMPUTED_VALUE"""),"A Saya ingin ditunjuk atau dipilih sebagai ketua dalam suatu kelompok.")</f>
        <v>A Saya ingin ditunjuk atau dipilih sebagai ketua dalam suatu kelompok.</v>
      </c>
      <c r="CW140" s="105" t="str">
        <f>IFERROR(__xludf.DUMMYFUNCTION("""COMPUTED_VALUE"""),"A Saya suka menolong teman-teman saya, apabila mereka dalam kesulitan.")</f>
        <v>A Saya suka menolong teman-teman saya, apabila mereka dalam kesulitan.</v>
      </c>
      <c r="CX140" s="105" t="str">
        <f>IFERROR(__xludf.DUMMYFUNCTION("""COMPUTED_VALUE"""),"A Saya suka belajar sampai malam untuk menyelesaikan suatu tugas.")</f>
        <v>A Saya suka belajar sampai malam untuk menyelesaikan suatu tugas.</v>
      </c>
      <c r="CY140" s="105" t="str">
        <f>IFERROR(__xludf.DUMMYFUNCTION("""COMPUTED_VALUE"""),"A Saya ingin tidak tergantung dari orang lain terhadap apa yang akan saya lakukan.")</f>
        <v>A Saya ingin tidak tergantung dari orang lain terhadap apa yang akan saya lakukan.</v>
      </c>
      <c r="CZ140" s="105" t="str">
        <f>IFERROR(__xludf.DUMMYFUNCTION("""COMPUTED_VALUE"""),"A Saya suka merencanakan dan mengatur setiap pekerjaan yang harus saya lakukan.")</f>
        <v>A Saya suka merencanakan dan mengatur setiap pekerjaan yang harus saya lakukan.</v>
      </c>
      <c r="DA140" s="105" t="str">
        <f>IFERROR(__xludf.DUMMYFUNCTION("""COMPUTED_VALUE"""),"A Saya ingin melakukan apa saja sebaik mungkin.")</f>
        <v>A Saya ingin melakukan apa saja sebaik mungkin.</v>
      </c>
      <c r="DB140" s="89" t="s">
        <v>23</v>
      </c>
      <c r="DC140" s="97" t="str">
        <f t="shared" ref="DC140:GX140" si="185">LEFT(F140,1)</f>
        <v>A</v>
      </c>
      <c r="DD140" s="97" t="str">
        <f t="shared" si="185"/>
        <v>A</v>
      </c>
      <c r="DE140" s="97" t="str">
        <f t="shared" si="185"/>
        <v>B</v>
      </c>
      <c r="DF140" s="97" t="str">
        <f t="shared" si="185"/>
        <v>B</v>
      </c>
      <c r="DG140" s="97" t="str">
        <f t="shared" si="185"/>
        <v>A</v>
      </c>
      <c r="DH140" s="97" t="str">
        <f t="shared" si="185"/>
        <v>A</v>
      </c>
      <c r="DI140" s="97" t="str">
        <f t="shared" si="185"/>
        <v>A</v>
      </c>
      <c r="DJ140" s="97" t="str">
        <f t="shared" si="185"/>
        <v>B</v>
      </c>
      <c r="DK140" s="97" t="str">
        <f t="shared" si="185"/>
        <v>A</v>
      </c>
      <c r="DL140" s="97" t="str">
        <f t="shared" si="185"/>
        <v>A</v>
      </c>
      <c r="DM140" s="97" t="str">
        <f t="shared" si="185"/>
        <v>A</v>
      </c>
      <c r="DN140" s="97" t="str">
        <f t="shared" si="185"/>
        <v>A</v>
      </c>
      <c r="DO140" s="97" t="str">
        <f t="shared" si="185"/>
        <v>A</v>
      </c>
      <c r="DP140" s="97" t="str">
        <f t="shared" si="185"/>
        <v>A</v>
      </c>
      <c r="DQ140" s="97" t="str">
        <f t="shared" si="185"/>
        <v>A</v>
      </c>
      <c r="DR140" s="97" t="str">
        <f t="shared" si="185"/>
        <v>A</v>
      </c>
      <c r="DS140" s="97" t="str">
        <f t="shared" si="185"/>
        <v>B</v>
      </c>
      <c r="DT140" s="97" t="str">
        <f t="shared" si="185"/>
        <v>B</v>
      </c>
      <c r="DU140" s="97" t="str">
        <f t="shared" si="185"/>
        <v>A</v>
      </c>
      <c r="DV140" s="97" t="str">
        <f t="shared" si="185"/>
        <v>B</v>
      </c>
      <c r="DW140" s="97" t="str">
        <f t="shared" si="185"/>
        <v>A</v>
      </c>
      <c r="DX140" s="97" t="str">
        <f t="shared" si="185"/>
        <v>B</v>
      </c>
      <c r="DY140" s="97" t="str">
        <f t="shared" si="185"/>
        <v>A</v>
      </c>
      <c r="DZ140" s="97" t="str">
        <f t="shared" si="185"/>
        <v>A</v>
      </c>
      <c r="EA140" s="97" t="str">
        <f t="shared" si="185"/>
        <v>A</v>
      </c>
      <c r="EB140" s="97" t="str">
        <f t="shared" si="185"/>
        <v>A</v>
      </c>
      <c r="EC140" s="97" t="str">
        <f t="shared" si="185"/>
        <v>B</v>
      </c>
      <c r="ED140" s="97" t="str">
        <f t="shared" si="185"/>
        <v>B</v>
      </c>
      <c r="EE140" s="97" t="str">
        <f t="shared" si="185"/>
        <v>A</v>
      </c>
      <c r="EF140" s="97" t="str">
        <f t="shared" si="185"/>
        <v>B</v>
      </c>
      <c r="EG140" s="97" t="str">
        <f t="shared" si="185"/>
        <v>B</v>
      </c>
      <c r="EH140" s="97" t="str">
        <f t="shared" si="185"/>
        <v>B</v>
      </c>
      <c r="EI140" s="97" t="str">
        <f t="shared" si="185"/>
        <v>B</v>
      </c>
      <c r="EJ140" s="97" t="str">
        <f t="shared" si="185"/>
        <v>A</v>
      </c>
      <c r="EK140" s="97" t="str">
        <f t="shared" si="185"/>
        <v>A</v>
      </c>
      <c r="EL140" s="97" t="str">
        <f t="shared" si="185"/>
        <v>A</v>
      </c>
      <c r="EM140" s="97" t="str">
        <f t="shared" si="185"/>
        <v>B</v>
      </c>
      <c r="EN140" s="97" t="str">
        <f t="shared" si="185"/>
        <v>A</v>
      </c>
      <c r="EO140" s="97" t="str">
        <f t="shared" si="185"/>
        <v>A</v>
      </c>
      <c r="EP140" s="97" t="str">
        <f t="shared" si="185"/>
        <v>A</v>
      </c>
      <c r="EQ140" s="97" t="str">
        <f t="shared" si="185"/>
        <v>B</v>
      </c>
      <c r="ER140" s="97" t="str">
        <f t="shared" si="185"/>
        <v>B</v>
      </c>
      <c r="ES140" s="97" t="str">
        <f t="shared" si="185"/>
        <v>B</v>
      </c>
      <c r="ET140" s="97" t="str">
        <f t="shared" si="185"/>
        <v>B</v>
      </c>
      <c r="EU140" s="97" t="str">
        <f t="shared" si="185"/>
        <v>B</v>
      </c>
      <c r="EV140" s="97" t="str">
        <f t="shared" si="185"/>
        <v>B</v>
      </c>
      <c r="EW140" s="97" t="str">
        <f t="shared" si="185"/>
        <v>A</v>
      </c>
      <c r="EX140" s="97" t="str">
        <f t="shared" si="185"/>
        <v>B</v>
      </c>
      <c r="EY140" s="97" t="str">
        <f t="shared" si="185"/>
        <v>B</v>
      </c>
      <c r="EZ140" s="97" t="str">
        <f t="shared" si="185"/>
        <v>B</v>
      </c>
      <c r="FA140" s="97" t="str">
        <f t="shared" si="185"/>
        <v>A</v>
      </c>
      <c r="FB140" s="97" t="str">
        <f t="shared" si="185"/>
        <v>A</v>
      </c>
      <c r="FC140" s="97" t="str">
        <f t="shared" si="185"/>
        <v>B</v>
      </c>
      <c r="FD140" s="97" t="str">
        <f t="shared" si="185"/>
        <v>A</v>
      </c>
      <c r="FE140" s="97" t="str">
        <f t="shared" si="185"/>
        <v>B</v>
      </c>
      <c r="FF140" s="97" t="str">
        <f t="shared" si="185"/>
        <v>A</v>
      </c>
      <c r="FG140" s="97" t="str">
        <f t="shared" si="185"/>
        <v>B</v>
      </c>
      <c r="FH140" s="97" t="str">
        <f t="shared" si="185"/>
        <v>A</v>
      </c>
      <c r="FI140" s="97" t="str">
        <f t="shared" si="185"/>
        <v>A</v>
      </c>
      <c r="FJ140" s="97" t="str">
        <f t="shared" si="185"/>
        <v>B</v>
      </c>
      <c r="FK140" s="97" t="str">
        <f t="shared" si="185"/>
        <v>A</v>
      </c>
      <c r="FL140" s="97" t="str">
        <f t="shared" si="185"/>
        <v>B</v>
      </c>
      <c r="FM140" s="97" t="str">
        <f t="shared" si="185"/>
        <v>B</v>
      </c>
      <c r="FN140" s="97" t="str">
        <f t="shared" si="185"/>
        <v>A</v>
      </c>
      <c r="FO140" s="97" t="str">
        <f t="shared" si="185"/>
        <v>A</v>
      </c>
      <c r="FP140" s="97" t="str">
        <f t="shared" si="185"/>
        <v>B</v>
      </c>
      <c r="FQ140" s="97" t="str">
        <f t="shared" si="185"/>
        <v>A</v>
      </c>
      <c r="FR140" s="97" t="str">
        <f t="shared" si="185"/>
        <v>B</v>
      </c>
      <c r="FS140" s="97" t="str">
        <f t="shared" si="185"/>
        <v>B</v>
      </c>
      <c r="FT140" s="97" t="str">
        <f t="shared" si="185"/>
        <v>B</v>
      </c>
      <c r="FU140" s="97" t="str">
        <f t="shared" si="185"/>
        <v>B</v>
      </c>
      <c r="FV140" s="97" t="str">
        <f t="shared" si="185"/>
        <v>B</v>
      </c>
      <c r="FW140" s="97" t="str">
        <f t="shared" si="185"/>
        <v>B</v>
      </c>
      <c r="FX140" s="97" t="str">
        <f t="shared" si="185"/>
        <v>A</v>
      </c>
      <c r="FY140" s="97" t="str">
        <f t="shared" si="185"/>
        <v>A</v>
      </c>
      <c r="FZ140" s="97" t="str">
        <f t="shared" si="185"/>
        <v>A</v>
      </c>
      <c r="GA140" s="97" t="str">
        <f t="shared" si="185"/>
        <v>A</v>
      </c>
      <c r="GB140" s="97" t="str">
        <f t="shared" si="185"/>
        <v>A</v>
      </c>
      <c r="GC140" s="97" t="str">
        <f t="shared" si="185"/>
        <v>A</v>
      </c>
      <c r="GD140" s="97" t="str">
        <f t="shared" si="185"/>
        <v>A</v>
      </c>
      <c r="GE140" s="97" t="str">
        <f t="shared" si="185"/>
        <v>A</v>
      </c>
      <c r="GF140" s="97" t="str">
        <f t="shared" si="185"/>
        <v>A</v>
      </c>
      <c r="GG140" s="97" t="str">
        <f t="shared" si="185"/>
        <v>A</v>
      </c>
      <c r="GH140" s="97" t="str">
        <f t="shared" si="185"/>
        <v>B</v>
      </c>
      <c r="GI140" s="97" t="str">
        <f t="shared" si="185"/>
        <v>A</v>
      </c>
      <c r="GJ140" s="97" t="str">
        <f t="shared" si="185"/>
        <v>A</v>
      </c>
      <c r="GK140" s="97" t="str">
        <f t="shared" si="185"/>
        <v>A</v>
      </c>
      <c r="GL140" s="97" t="str">
        <f t="shared" si="185"/>
        <v>A</v>
      </c>
      <c r="GM140" s="97" t="str">
        <f t="shared" si="185"/>
        <v>B</v>
      </c>
      <c r="GN140" s="97" t="str">
        <f t="shared" si="185"/>
        <v>B</v>
      </c>
      <c r="GO140" s="97" t="str">
        <f t="shared" si="185"/>
        <v>B</v>
      </c>
      <c r="GP140" s="97" t="str">
        <f t="shared" si="185"/>
        <v>A</v>
      </c>
      <c r="GQ140" s="97" t="str">
        <f t="shared" si="185"/>
        <v>A</v>
      </c>
      <c r="GR140" s="97" t="str">
        <f t="shared" si="185"/>
        <v>A</v>
      </c>
      <c r="GS140" s="97" t="str">
        <f t="shared" si="185"/>
        <v>A</v>
      </c>
      <c r="GT140" s="97" t="str">
        <f t="shared" si="185"/>
        <v>A</v>
      </c>
      <c r="GU140" s="97" t="str">
        <f t="shared" si="185"/>
        <v>A</v>
      </c>
      <c r="GV140" s="97" t="str">
        <f t="shared" si="185"/>
        <v>A</v>
      </c>
      <c r="GW140" s="97" t="str">
        <f t="shared" si="185"/>
        <v>A</v>
      </c>
      <c r="GX140" s="97" t="str">
        <f t="shared" si="185"/>
        <v>A</v>
      </c>
      <c r="GY140" s="98"/>
      <c r="GZ140" s="97">
        <f t="shared" si="3"/>
        <v>60</v>
      </c>
      <c r="HA140" s="97">
        <f t="shared" si="4"/>
        <v>40</v>
      </c>
      <c r="HB140" s="90">
        <f t="shared" si="5"/>
        <v>100</v>
      </c>
      <c r="HC140" s="99"/>
      <c r="HD140" s="97">
        <f t="shared" si="6"/>
        <v>6</v>
      </c>
      <c r="HE140" s="97">
        <f t="shared" si="7"/>
        <v>3</v>
      </c>
      <c r="HF140" s="90">
        <f t="shared" si="8"/>
        <v>9</v>
      </c>
      <c r="HG140" s="99"/>
      <c r="HH140" s="97">
        <f t="shared" si="9"/>
        <v>6</v>
      </c>
      <c r="HI140" s="97">
        <f t="shared" si="10"/>
        <v>3</v>
      </c>
      <c r="HJ140" s="90">
        <f t="shared" si="11"/>
        <v>9</v>
      </c>
      <c r="HK140" s="99"/>
      <c r="HL140" s="97">
        <f t="shared" si="12"/>
        <v>5</v>
      </c>
      <c r="HM140" s="97">
        <f t="shared" si="13"/>
        <v>4</v>
      </c>
      <c r="HN140" s="90">
        <f t="shared" si="14"/>
        <v>9</v>
      </c>
      <c r="HO140" s="99"/>
      <c r="HP140" s="97">
        <f t="shared" si="15"/>
        <v>4</v>
      </c>
      <c r="HQ140" s="97">
        <f t="shared" si="16"/>
        <v>4</v>
      </c>
      <c r="HR140" s="90">
        <f t="shared" si="17"/>
        <v>8</v>
      </c>
      <c r="HS140" s="99"/>
      <c r="HT140" s="97">
        <f t="shared" si="18"/>
        <v>9</v>
      </c>
      <c r="HU140" s="97">
        <f t="shared" si="19"/>
        <v>9</v>
      </c>
      <c r="HV140" s="90">
        <f t="shared" si="20"/>
        <v>18</v>
      </c>
      <c r="HW140" s="99"/>
      <c r="HX140" s="97">
        <f t="shared" si="21"/>
        <v>7</v>
      </c>
      <c r="HY140" s="97">
        <f t="shared" si="22"/>
        <v>4</v>
      </c>
      <c r="HZ140" s="90">
        <f t="shared" si="23"/>
        <v>11</v>
      </c>
      <c r="IA140" s="99"/>
      <c r="IB140" s="97">
        <f t="shared" si="24"/>
        <v>8</v>
      </c>
      <c r="IC140" s="97">
        <f t="shared" si="25"/>
        <v>6</v>
      </c>
      <c r="ID140" s="90">
        <f t="shared" si="26"/>
        <v>14</v>
      </c>
      <c r="IE140" s="99"/>
      <c r="IF140" s="97">
        <f t="shared" si="27"/>
        <v>3</v>
      </c>
      <c r="IG140" s="97">
        <f t="shared" si="28"/>
        <v>3</v>
      </c>
      <c r="IH140" s="90">
        <f t="shared" si="29"/>
        <v>6</v>
      </c>
      <c r="II140" s="99"/>
      <c r="IJ140" s="97">
        <f t="shared" si="30"/>
        <v>5</v>
      </c>
      <c r="IK140" s="97">
        <f t="shared" si="31"/>
        <v>3</v>
      </c>
      <c r="IL140" s="90">
        <f t="shared" si="32"/>
        <v>8</v>
      </c>
      <c r="IM140" s="99"/>
      <c r="IN140" s="97">
        <f t="shared" si="33"/>
        <v>3</v>
      </c>
      <c r="IO140" s="97">
        <f t="shared" si="34"/>
        <v>1</v>
      </c>
      <c r="IP140" s="90">
        <f t="shared" si="35"/>
        <v>4</v>
      </c>
      <c r="IS140" s="100">
        <f t="shared" si="36"/>
        <v>9</v>
      </c>
      <c r="IT140" s="100">
        <f t="shared" si="37"/>
        <v>9</v>
      </c>
      <c r="IU140" s="100">
        <f t="shared" si="38"/>
        <v>9</v>
      </c>
      <c r="IV140" s="100">
        <f t="shared" si="39"/>
        <v>8</v>
      </c>
      <c r="IW140" s="100">
        <f t="shared" si="40"/>
        <v>18</v>
      </c>
      <c r="IX140" s="100">
        <f t="shared" si="41"/>
        <v>11</v>
      </c>
      <c r="IY140" s="100">
        <f t="shared" si="42"/>
        <v>14</v>
      </c>
      <c r="IZ140" s="100">
        <f t="shared" si="43"/>
        <v>6</v>
      </c>
      <c r="JA140" s="100">
        <f t="shared" si="44"/>
        <v>8</v>
      </c>
      <c r="JB140" s="101">
        <f t="shared" si="45"/>
        <v>4</v>
      </c>
      <c r="JC140" s="102">
        <f t="shared" si="46"/>
        <v>96</v>
      </c>
      <c r="JD140" s="67">
        <f t="shared" si="50"/>
        <v>0</v>
      </c>
      <c r="JE140" s="67">
        <f t="shared" si="47"/>
        <v>2</v>
      </c>
      <c r="JF140" s="67">
        <f t="shared" si="48"/>
        <v>2</v>
      </c>
    </row>
    <row r="141">
      <c r="A141" s="104">
        <f>IFERROR(__xludf.DUMMYFUNCTION("""COMPUTED_VALUE"""),45972.86087736111)</f>
        <v>45972.86088</v>
      </c>
      <c r="B141" s="105" t="str">
        <f>IFERROR(__xludf.DUMMYFUNCTION("""COMPUTED_VALUE"""),"Faruq Ahmad Asy-Syirbuni")</f>
        <v>Faruq Ahmad Asy-Syirbuni</v>
      </c>
      <c r="C141" s="7" t="str">
        <f>IFERROR(__xludf.DUMMYFUNCTION("""COMPUTED_VALUE"""),"A250026")</f>
        <v>A250026</v>
      </c>
      <c r="D141" s="7" t="str">
        <f>IFERROR(__xludf.DUMMYFUNCTION("""COMPUTED_VALUE"""),"MTs Putra")</f>
        <v>MTs Putra</v>
      </c>
      <c r="E141" s="7" t="str">
        <f>IFERROR(__xludf.DUMMYFUNCTION("""COMPUTED_VALUE"""),"Ya")</f>
        <v>Ya</v>
      </c>
      <c r="F141" s="105" t="str">
        <f>IFERROR(__xludf.DUMMYFUNCTION("""COMPUTED_VALUE"""),"B Saya ingin melakukan apa saja sebaik mungkin.")</f>
        <v>B Saya ingin melakukan apa saja sebaik mungkin.</v>
      </c>
      <c r="G141" s="105" t="str">
        <f>IFERROR(__xludf.DUMMYFUNCTION("""COMPUTED_VALUE"""),"A Saya ingin setiap tulisan saya teliti, rapi, dan tersusun dengan baik.")</f>
        <v>A Saya ingin setiap tulisan saya teliti, rapi, dan tersusun dengan baik.</v>
      </c>
      <c r="H141" s="105" t="str">
        <f>IFERROR(__xludf.DUMMYFUNCTION("""COMPUTED_VALUE"""),"A Saya ingin berbuat sesuai kata hati saya.")</f>
        <v>A Saya ingin berbuat sesuai kata hati saya.</v>
      </c>
      <c r="I141" s="105" t="str">
        <f>IFERROR(__xludf.DUMMYFUNCTION("""COMPUTED_VALUE"""),"B Saya ingin bisa melakukan dengan baik meskipun tugas yang sulit.")</f>
        <v>B Saya ingin bisa melakukan dengan baik meskipun tugas yang sulit.</v>
      </c>
      <c r="J141" s="105" t="str">
        <f>IFERROR(__xludf.DUMMYFUNCTION("""COMPUTED_VALUE"""),"A Saya suka membantu teman-teman saya apabila mereka mengalami kesulitan.")</f>
        <v>A Saya suka membantu teman-teman saya apabila mereka mengalami kesulitan.</v>
      </c>
      <c r="K141" s="105" t="str">
        <f>IFERROR(__xludf.DUMMYFUNCTION("""COMPUTED_VALUE"""),"B Saya ingin mengatakan telah melakukan dengan baik sesuatu tugas yang sulit.")</f>
        <v>B Saya ingin mengatakan telah melakukan dengan baik sesuatu tugas yang sulit.</v>
      </c>
      <c r="L141" s="105" t="str">
        <f>IFERROR(__xludf.DUMMYFUNCTION("""COMPUTED_VALUE"""),"B Saya ingin mengatakan telah melakukan dengan baik sesuatu tugas yang sulit")</f>
        <v>B Saya ingin mengatakan telah melakukan dengan baik sesuatu tugas yang sulit</v>
      </c>
      <c r="M141" s="105" t="str">
        <f>IFERROR(__xludf.DUMMYFUNCTION("""COMPUTED_VALUE"""),"B Saya ingin mengerjakan segala tugas lebih baik daripada orang lain.")</f>
        <v>B Saya ingin mengerjakan segala tugas lebih baik daripada orang lain.</v>
      </c>
      <c r="N141" s="105" t="str">
        <f>IFERROR(__xludf.DUMMYFUNCTION("""COMPUTED_VALUE"""),"A Saya suka pergi dengan pakaian rapi agar lebih menarik perhatian orang lain.")</f>
        <v>A Saya suka pergi dengan pakaian rapi agar lebih menarik perhatian orang lain.</v>
      </c>
      <c r="O141" s="105" t="str">
        <f>IFERROR(__xludf.DUMMYFUNCTION("""COMPUTED_VALUE"""),"B Saya suka melakukan tugas sebaik mungkin.")</f>
        <v>B Saya suka melakukan tugas sebaik mungkin.</v>
      </c>
      <c r="P141" s="105" t="str">
        <f>IFERROR(__xludf.DUMMYFUNCTION("""COMPUTED_VALUE"""),"A Saya suka bercerita tentang hal-hal yang menegangkan atau menantang.")</f>
        <v>A Saya suka bercerita tentang hal-hal yang menegangkan atau menantang.</v>
      </c>
      <c r="Q141" s="105" t="str">
        <f>IFERROR(__xludf.DUMMYFUNCTION("""COMPUTED_VALUE"""),"B Saya merencanakan keperluan yang dibutuhkan sebelum bepergian.")</f>
        <v>B Saya merencanakan keperluan yang dibutuhkan sebelum bepergian.</v>
      </c>
      <c r="R141" s="105" t="str">
        <f>IFERROR(__xludf.DUMMYFUNCTION("""COMPUTED_VALUE"""),"B Saya suka barang-barang saya tersusun rapi dan teratur.")</f>
        <v>B Saya suka barang-barang saya tersusun rapi dan teratur.</v>
      </c>
      <c r="S141" s="105" t="str">
        <f>IFERROR(__xludf.DUMMYFUNCTION("""COMPUTED_VALUE"""),"B Saya suka membuat perencanaan sebelum memulai tugas yang sulit.")</f>
        <v>B Saya suka membuat perencanaan sebelum memulai tugas yang sulit.</v>
      </c>
      <c r="T141" s="105" t="str">
        <f>IFERROR(__xludf.DUMMYFUNCTION("""COMPUTED_VALUE"""),"B Saya ingin agar hidup saya teratur sesuai cita-cita saya.")</f>
        <v>B Saya ingin agar hidup saya teratur sesuai cita-cita saya.</v>
      </c>
      <c r="U141" s="105" t="str">
        <f>IFERROR(__xludf.DUMMYFUNCTION("""COMPUTED_VALUE"""),"B Saya suka menyimpan catatan secara rapi.")</f>
        <v>B Saya suka menyimpan catatan secara rapi.</v>
      </c>
      <c r="V141" s="105" t="str">
        <f>IFERROR(__xludf.DUMMYFUNCTION("""COMPUTED_VALUE"""),"B Saya suka belajar saya teratur dan ada waktu-waktu tertentu untuk belajar.")</f>
        <v>B Saya suka belajar saya teratur dan ada waktu-waktu tertentu untuk belajar.</v>
      </c>
      <c r="W141" s="105" t="str">
        <f>IFERROR(__xludf.DUMMYFUNCTION("""COMPUTED_VALUE"""),"B Saya ingin kegiatan itu teratur dan direncanakan.")</f>
        <v>B Saya ingin kegiatan itu teratur dan direncanakan.</v>
      </c>
      <c r="X141" s="105" t="str">
        <f>IFERROR(__xludf.DUMMYFUNCTION("""COMPUTED_VALUE"""),"A Saya suka merencanakan dan mengatur setiap apa yang harus saya lakukan.")</f>
        <v>A Saya suka merencanakan dan mengatur setiap apa yang harus saya lakukan.</v>
      </c>
      <c r="Y141" s="105" t="str">
        <f>IFERROR(__xludf.DUMMYFUNCTION("""COMPUTED_VALUE"""),"B Saya senang merencanakan untuk masa depan.")</f>
        <v>B Saya senang merencanakan untuk masa depan.</v>
      </c>
      <c r="Z141" s="105" t="str">
        <f>IFERROR(__xludf.DUMMYFUNCTION("""COMPUTED_VALUE"""),"A Saya ingin berhasil dengan belajar yang saya lakukan.")</f>
        <v>A Saya ingin berhasil dengan belajar yang saya lakukan.</v>
      </c>
      <c r="AA141" s="105" t="str">
        <f>IFERROR(__xludf.DUMMYFUNCTION("""COMPUTED_VALUE"""),"B Saya tidak suka pada orang yang berbuat seenaknya sendiri.")</f>
        <v>B Saya tidak suka pada orang yang berbuat seenaknya sendiri.</v>
      </c>
      <c r="AB141" s="105" t="str">
        <f>IFERROR(__xludf.DUMMYFUNCTION("""COMPUTED_VALUE"""),"B Saya ingin menyelesaikan pekerjaan satu persatu sebelum memulai yang lain.")</f>
        <v>B Saya ingin menyelesaikan pekerjaan satu persatu sebelum memulai yang lain.</v>
      </c>
      <c r="AC141" s="105" t="str">
        <f>IFERROR(__xludf.DUMMYFUNCTION("""COMPUTED_VALUE"""),"A Saya suka menyelesaikan setiap tugas meskipun membutuhkan waktu lama.")</f>
        <v>A Saya suka menyelesaikan setiap tugas meskipun membutuhkan waktu lama.</v>
      </c>
      <c r="AD141" s="105" t="str">
        <f>IFERROR(__xludf.DUMMYFUNCTION("""COMPUTED_VALUE"""),"A Saya suka bermurah hati terhadap teman-teman saya.")</f>
        <v>A Saya suka bermurah hati terhadap teman-teman saya.</v>
      </c>
      <c r="AE141" s="105" t="str">
        <f>IFERROR(__xludf.DUMMYFUNCTION("""COMPUTED_VALUE"""),"A Saya ingin dianggap sebagai pemimpin oleh teman di kelompok.")</f>
        <v>A Saya ingin dianggap sebagai pemimpin oleh teman di kelompok.</v>
      </c>
      <c r="AF141" s="105" t="str">
        <f>IFERROR(__xludf.DUMMYFUNCTION("""COMPUTED_VALUE"""),"B Saya suka melakukan hal-hal dengan cara saya sendiri.")</f>
        <v>B Saya suka melakukan hal-hal dengan cara saya sendiri.</v>
      </c>
      <c r="AG141" s="105" t="str">
        <f>IFERROR(__xludf.DUMMYFUNCTION("""COMPUTED_VALUE"""),"B Saya ingin berhasil dengan tugas yang saya lakukan.")</f>
        <v>B Saya ingin berhasil dengan tugas yang saya lakukan.</v>
      </c>
      <c r="AH141" s="105" t="str">
        <f>IFERROR(__xludf.DUMMYFUNCTION("""COMPUTED_VALUE"""),"A Saya suka membaca buku-buku tentang pergaulan remaja.")</f>
        <v>A Saya suka membaca buku-buku tentang pergaulan remaja.</v>
      </c>
      <c r="AI141" s="105" t="str">
        <f>IFERROR(__xludf.DUMMYFUNCTION("""COMPUTED_VALUE"""),"B Saya suka melakukan kegiatan sesuai kondisi yang saya inginkan.")</f>
        <v>B Saya suka melakukan kegiatan sesuai kondisi yang saya inginkan.</v>
      </c>
      <c r="AJ141" s="105" t="str">
        <f>IFERROR(__xludf.DUMMYFUNCTION("""COMPUTED_VALUE"""),"B Saya suka bertahan menghadapi satu masalah meskipun belum tentu berhasil.")</f>
        <v>B Saya suka bertahan menghadapi satu masalah meskipun belum tentu berhasil.</v>
      </c>
      <c r="AK141" s="105" t="str">
        <f>IFERROR(__xludf.DUMMYFUNCTION("""COMPUTED_VALUE"""),"B Bila saya harus melakukan suatu tugas, saya ingin mengerjakan sampai selesai.")</f>
        <v>B Bila saya harus melakukan suatu tugas, saya ingin mengerjakan sampai selesai.</v>
      </c>
      <c r="AL141" s="105" t="str">
        <f>IFERROR(__xludf.DUMMYFUNCTION("""COMPUTED_VALUE"""),"B Saya ingin menghindarkan gangguan bila saya sedang belajar.")</f>
        <v>B Saya ingin menghindarkan gangguan bila saya sedang belajar.</v>
      </c>
      <c r="AM141" s="105" t="str">
        <f>IFERROR(__xludf.DUMMYFUNCTION("""COMPUTED_VALUE"""),"B Saya suka belajar sampai malam untuk menyelesaikan suatu tugas.")</f>
        <v>B Saya suka belajar sampai malam untuk menyelesaikan suatu tugas.</v>
      </c>
      <c r="AN141" s="105" t="str">
        <f>IFERROR(__xludf.DUMMYFUNCTION("""COMPUTED_VALUE"""),"A Saya tidak suka pada orang yang semena-mena.")</f>
        <v>A Saya tidak suka pada orang yang semena-mena.</v>
      </c>
      <c r="AO141" s="105" t="str">
        <f>IFERROR(__xludf.DUMMYFUNCTION("""COMPUTED_VALUE"""),"A Saya suka berlaku sangat ramah terhadap teman-teman saya.")</f>
        <v>A Saya suka berlaku sangat ramah terhadap teman-teman saya.</v>
      </c>
      <c r="AP141" s="105" t="str">
        <f>IFERROR(__xludf.DUMMYFUNCTION("""COMPUTED_VALUE"""),"B Saya suka bertahan menghadapi satu masalah meskipun belum tentu berhasil.")</f>
        <v>B Saya suka bertahan menghadapi satu masalah meskipun belum tentu berhasil.</v>
      </c>
      <c r="AQ141" s="105" t="str">
        <f>IFERROR(__xludf.DUMMYFUNCTION("""COMPUTED_VALUE"""),"B Bila saya harus melakukan suatu tugas, saya ingin mengerjakan sampai selesai.")</f>
        <v>B Bila saya harus melakukan suatu tugas, saya ingin mengerjakan sampai selesai.</v>
      </c>
      <c r="AR141" s="105" t="str">
        <f>IFERROR(__xludf.DUMMYFUNCTION("""COMPUTED_VALUE"""),"A Saya suka menyimpan catatan secara rapi.")</f>
        <v>A Saya suka menyimpan catatan secara rapi.</v>
      </c>
      <c r="AS141" s="105" t="str">
        <f>IFERROR(__xludf.DUMMYFUNCTION("""COMPUTED_VALUE"""),"B Saya suka belajar sampai malam untuk menyelesaikan suatu tugas.")</f>
        <v>B Saya suka belajar sampai malam untuk menyelesaikan suatu tugas.</v>
      </c>
      <c r="AT141" s="105" t="str">
        <f>IFERROR(__xludf.DUMMYFUNCTION("""COMPUTED_VALUE"""),"B Saya suka membantu orang lain yang menurut saya perlu dikasihani.")</f>
        <v>B Saya suka membantu orang lain yang menurut saya perlu dikasihani.</v>
      </c>
      <c r="AU141" s="105" t="str">
        <f>IFERROR(__xludf.DUMMYFUNCTION("""COMPUTED_VALUE"""),"B Saya suka bermurah hati terhadap teman-teman saya.")</f>
        <v>B Saya suka bermurah hati terhadap teman-teman saya.</v>
      </c>
      <c r="AV141" s="105" t="str">
        <f>IFERROR(__xludf.DUMMYFUNCTION("""COMPUTED_VALUE"""),"B Saya suka menolong teman-teman saya.")</f>
        <v>B Saya suka menolong teman-teman saya.</v>
      </c>
      <c r="AW141" s="105" t="str">
        <f>IFERROR(__xludf.DUMMYFUNCTION("""COMPUTED_VALUE"""),"A Saya ingin mengerjakan tugas sampai selesai.")</f>
        <v>A Saya ingin mengerjakan tugas sampai selesai.</v>
      </c>
      <c r="AX141" s="105" t="str">
        <f>IFERROR(__xludf.DUMMYFUNCTION("""COMPUTED_VALUE"""),"A Saya suka menolong teman-teman saya apabila mereka dalam kesulitan.")</f>
        <v>A Saya suka menolong teman-teman saya apabila mereka dalam kesulitan.</v>
      </c>
      <c r="AY141" s="105" t="str">
        <f>IFERROR(__xludf.DUMMYFUNCTION("""COMPUTED_VALUE"""),"B Saya suka menolong teman-teman saya apabila mereka dalam kesulitan.")</f>
        <v>B Saya suka menolong teman-teman saya apabila mereka dalam kesulitan.</v>
      </c>
      <c r="AZ141" s="105" t="str">
        <f>IFERROR(__xludf.DUMMYFUNCTION("""COMPUTED_VALUE"""),"B Saya suka menunjukkan simpati saya kepada teman-teman saya.")</f>
        <v>B Saya suka menunjukkan simpati saya kepada teman-teman saya.</v>
      </c>
      <c r="BA141" s="105" t="str">
        <f>IFERROR(__xludf.DUMMYFUNCTION("""COMPUTED_VALUE"""),"B Saya suka memperlakukan orang lain dengan baik dan ramah.")</f>
        <v>B Saya suka memperlakukan orang lain dengan baik dan ramah.</v>
      </c>
      <c r="BB141" s="105" t="str">
        <f>IFERROR(__xludf.DUMMYFUNCTION("""COMPUTED_VALUE"""),"B Saya suka bermurah hati terhadap teman-teman saya.")</f>
        <v>B Saya suka bermurah hati terhadap teman-teman saya.</v>
      </c>
      <c r="BC141" s="105" t="str">
        <f>IFERROR(__xludf.DUMMYFUNCTION("""COMPUTED_VALUE"""),"B Saya suka membantu orang lain yang menurut saya perlu dikasihani.")</f>
        <v>B Saya suka membantu orang lain yang menurut saya perlu dikasihani.</v>
      </c>
      <c r="BD141" s="105" t="str">
        <f>IFERROR(__xludf.DUMMYFUNCTION("""COMPUTED_VALUE"""),"B Saya suka bersikukuh dengan pendirian saya.")</f>
        <v>B Saya suka bersikukuh dengan pendirian saya.</v>
      </c>
      <c r="BE141" s="105" t="str">
        <f>IFERROR(__xludf.DUMMYFUNCTION("""COMPUTED_VALUE"""),"B Saya ingin orang lain melakukan apa yang saya kehendaki.")</f>
        <v>B Saya ingin orang lain melakukan apa yang saya kehendaki.</v>
      </c>
      <c r="BF141" s="105" t="str">
        <f>IFERROR(__xludf.DUMMYFUNCTION("""COMPUTED_VALUE"""),"B Bila saya dalam kelompok, saya ingin menentukan apa yang akan kita lakukan.")</f>
        <v>B Bila saya dalam kelompok, saya ingin menentukan apa yang akan kita lakukan.</v>
      </c>
      <c r="BG141" s="105" t="str">
        <f>IFERROR(__xludf.DUMMYFUNCTION("""COMPUTED_VALUE"""),"A Saya ingin teman-teman banyak menunjukkan rasa sayang mereka terhadap saya.")</f>
        <v>A Saya ingin teman-teman banyak menunjukkan rasa sayang mereka terhadap saya.</v>
      </c>
      <c r="BH141" s="105" t="str">
        <f>IFERROR(__xludf.DUMMYFUNCTION("""COMPUTED_VALUE"""),"A Saya suka menghindar dari situasi yang tidak saya harapkan.")</f>
        <v>A Saya suka menghindar dari situasi yang tidak saya harapkan.</v>
      </c>
      <c r="BI141" s="105" t="str">
        <f>IFERROR(__xludf.DUMMYFUNCTION("""COMPUTED_VALUE"""),"A Saya suka bermurah hati terhadap teman-teman saya.")</f>
        <v>A Saya suka bermurah hati terhadap teman-teman saya.</v>
      </c>
      <c r="BJ141" s="105" t="str">
        <f>IFERROR(__xludf.DUMMYFUNCTION("""COMPUTED_VALUE"""),"B Saya ingin menjadi pemimpin dalam kelompok di mana saya ada di situ")</f>
        <v>B Saya ingin menjadi pemimpin dalam kelompok di mana saya ada di situ</v>
      </c>
      <c r="BK141" s="105" t="str">
        <f>IFERROR(__xludf.DUMMYFUNCTION("""COMPUTED_VALUE"""),"A Saya ingin menyelesaikan pekerjaan satu persatu sebelum memulai yang lain.")</f>
        <v>A Saya ingin menyelesaikan pekerjaan satu persatu sebelum memulai yang lain.</v>
      </c>
      <c r="BL141" s="105" t="str">
        <f>IFERROR(__xludf.DUMMYFUNCTION("""COMPUTED_VALUE"""),"A Saya suka belajar saya teratur dan ada waktu-waktu tertentu untuk belajar.")</f>
        <v>A Saya suka belajar saya teratur dan ada waktu-waktu tertentu untuk belajar.</v>
      </c>
      <c r="BM141" s="105" t="str">
        <f>IFERROR(__xludf.DUMMYFUNCTION("""COMPUTED_VALUE"""),"A Saya suka melakukan pekerjaan sebaik mungkin.")</f>
        <v>A Saya suka melakukan pekerjaan sebaik mungkin.</v>
      </c>
      <c r="BN141" s="105" t="str">
        <f>IFERROR(__xludf.DUMMYFUNCTION("""COMPUTED_VALUE"""),"A Saya suka mengerjakan teka-teki atau memecahkan persoalan sampai selesai.")</f>
        <v>A Saya suka mengerjakan teka-teki atau memecahkan persoalan sampai selesai.</v>
      </c>
      <c r="BO141" s="105" t="str">
        <f>IFERROR(__xludf.DUMMYFUNCTION("""COMPUTED_VALUE"""),"A Saya suka membuat perencanaan sebelum memulai belajar yang sulit.")</f>
        <v>A Saya suka membuat perencanaan sebelum memulai belajar yang sulit.</v>
      </c>
      <c r="BP141" s="105" t="str">
        <f>IFERROR(__xludf.DUMMYFUNCTION("""COMPUTED_VALUE"""),"A Saya ingin menyelesaikan sesuatu yang sangat penting artinya.")</f>
        <v>A Saya ingin menyelesaikan sesuatu yang sangat penting artinya.</v>
      </c>
      <c r="BQ141" s="105" t="str">
        <f>IFERROR(__xludf.DUMMYFUNCTION("""COMPUTED_VALUE"""),"A Saya ingin mengerjakannya tugas sampai selesai.")</f>
        <v>A Saya ingin mengerjakannya tugas sampai selesai.</v>
      </c>
      <c r="BR141" s="105" t="str">
        <f>IFERROR(__xludf.DUMMYFUNCTION("""COMPUTED_VALUE"""),"A Saya suka memaafkan teman-teman saya yang menyakiti hati saya.")</f>
        <v>A Saya suka memaafkan teman-teman saya yang menyakiti hati saya.</v>
      </c>
      <c r="BS141" s="105" t="str">
        <f>IFERROR(__xludf.DUMMYFUNCTION("""COMPUTED_VALUE"""),"A Saya suka menghindar dari tanggung jawab yang tidak saya inginkan.")</f>
        <v>A Saya suka menghindar dari tanggung jawab yang tidak saya inginkan.</v>
      </c>
      <c r="BT141" s="105" t="str">
        <f>IFERROR(__xludf.DUMMYFUNCTION("""COMPUTED_VALUE"""),"B Saya ingin teman-teman banyak menunjukkan rasa sayang mereka terhadap saya.")</f>
        <v>B Saya ingin teman-teman banyak menunjukkan rasa sayang mereka terhadap saya.</v>
      </c>
      <c r="BU141" s="105" t="str">
        <f>IFERROR(__xludf.DUMMYFUNCTION("""COMPUTED_VALUE"""),"A Saya kadang-kadang suka melakukan hal-hal yang dapat dipuji oleh orang lain.")</f>
        <v>A Saya kadang-kadang suka melakukan hal-hal yang dapat dipuji oleh orang lain.</v>
      </c>
      <c r="BV141" s="105" t="str">
        <f>IFERROR(__xludf.DUMMYFUNCTION("""COMPUTED_VALUE"""),"A Saya ingin dianggap menarik oleh orang lain.")</f>
        <v>A Saya ingin dianggap menarik oleh orang lain.</v>
      </c>
      <c r="BW141" s="105" t="str">
        <f>IFERROR(__xludf.DUMMYFUNCTION("""COMPUTED_VALUE"""),"B Saya ingin diperlakukan dengan baik oleh teman-teman saya.")</f>
        <v>B Saya ingin diperlakukan dengan baik oleh teman-teman saya.</v>
      </c>
      <c r="BX141" s="105" t="str">
        <f>IFERROR(__xludf.DUMMYFUNCTION("""COMPUTED_VALUE"""),"B Saya kadang-kadang suka melakukan hal-hal yang dapat dipuji oleh orang lain.")</f>
        <v>B Saya kadang-kadang suka melakukan hal-hal yang dapat dipuji oleh orang lain.</v>
      </c>
      <c r="BY141" s="105" t="str">
        <f>IFERROR(__xludf.DUMMYFUNCTION("""COMPUTED_VALUE"""),"B Saya ingin orang lain memperhatikan dan berkomentar tentang penampilan saya.")</f>
        <v>B Saya ingin orang lain memperhatikan dan berkomentar tentang penampilan saya.</v>
      </c>
      <c r="BZ141" s="105" t="str">
        <f>IFERROR(__xludf.DUMMYFUNCTION("""COMPUTED_VALUE"""),"A Saya suka berkata yang artinya sulit dipahami oleh orang lain.")</f>
        <v>A Saya suka berkata yang artinya sulit dipahami oleh orang lain.</v>
      </c>
      <c r="CA141" s="105" t="str">
        <f>IFERROR(__xludf.DUMMYFUNCTION("""COMPUTED_VALUE"""),"A Saya ingin teman-teman dengan gembira memberikan pertolongan kepada saya.")</f>
        <v>A Saya ingin teman-teman dengan gembira memberikan pertolongan kepada saya.</v>
      </c>
      <c r="CB141" s="105" t="str">
        <f>IFERROR(__xludf.DUMMYFUNCTION("""COMPUTED_VALUE"""),"B Saya suka berbicara tentang hal-hal yang telah saya capai.")</f>
        <v>B Saya suka berbicara tentang hal-hal yang telah saya capai.</v>
      </c>
      <c r="CC141" s="105" t="str">
        <f>IFERROR(__xludf.DUMMYFUNCTION("""COMPUTED_VALUE"""),"A Apabila saya berkumpul dalam kelompok, saya ingin dihargai teman-teman.")</f>
        <v>A Apabila saya berkumpul dalam kelompok, saya ingin dihargai teman-teman.</v>
      </c>
      <c r="CD141" s="105" t="str">
        <f>IFERROR(__xludf.DUMMYFUNCTION("""COMPUTED_VALUE"""),"B Saya suka berkata yang artinya sulit dipahami oleh orang lain.")</f>
        <v>B Saya suka berkata yang artinya sulit dipahami oleh orang lain.</v>
      </c>
      <c r="CE141" s="105" t="str">
        <f>IFERROR(__xludf.DUMMYFUNCTION("""COMPUTED_VALUE"""),"B Saya kadang-kadang suka melakukan hal-hal yang dapat dipuji oleh orang lain.")</f>
        <v>B Saya kadang-kadang suka melakukan hal-hal yang dapat dipuji oleh orang lain.</v>
      </c>
      <c r="CF141" s="105" t="str">
        <f>IFERROR(__xludf.DUMMYFUNCTION("""COMPUTED_VALUE"""),"A Saya ingin agar hidup saya teratur sesuai cita-cita saya.")</f>
        <v>A Saya ingin agar hidup saya teratur sesuai cita-cita saya.</v>
      </c>
      <c r="CG141" s="105" t="str">
        <f>IFERROR(__xludf.DUMMYFUNCTION("""COMPUTED_VALUE"""),"A Saya ingin berhasil dalam apa yang saya lakukan.")</f>
        <v>A Saya ingin berhasil dalam apa yang saya lakukan.</v>
      </c>
      <c r="CH141" s="105" t="str">
        <f>IFERROR(__xludf.DUMMYFUNCTION("""COMPUTED_VALUE"""),"A Saya ingin bisa melakukan dengan baik sesuatu pekerjaan sulit.")</f>
        <v>A Saya ingin bisa melakukan dengan baik sesuatu pekerjaan sulit.</v>
      </c>
      <c r="CI141" s="105" t="str">
        <f>IFERROR(__xludf.DUMMYFUNCTION("""COMPUTED_VALUE"""),"A Saya suka belajar saya teratur dan ada waktu-waktu tertentu untuk belajar.")</f>
        <v>A Saya suka belajar saya teratur dan ada waktu-waktu tertentu untuk belajar.</v>
      </c>
      <c r="CJ141" s="105" t="str">
        <f>IFERROR(__xludf.DUMMYFUNCTION("""COMPUTED_VALUE"""),"A Saya ingin tidak tergantung dari orang lain terhadap apa yang akan saya lakukan.")</f>
        <v>A Saya ingin tidak tergantung dari orang lain terhadap apa yang akan saya lakukan.</v>
      </c>
      <c r="CK141" s="105" t="str">
        <f>IFERROR(__xludf.DUMMYFUNCTION("""COMPUTED_VALUE"""),"A Saya suka bertahan menghadapi satu masalah, meskipun belum tentu berhasil.")</f>
        <v>A Saya suka bertahan menghadapi satu masalah, meskipun belum tentu berhasil.</v>
      </c>
      <c r="CL141" s="105" t="str">
        <f>IFERROR(__xludf.DUMMYFUNCTION("""COMPUTED_VALUE"""),"A Saya suka menolong teman-teman saya, apabila mereka dalam kesulitan.")</f>
        <v>A Saya suka menolong teman-teman saya, apabila mereka dalam kesulitan.</v>
      </c>
      <c r="CM141" s="105" t="str">
        <f>IFERROR(__xludf.DUMMYFUNCTION("""COMPUTED_VALUE"""),"A Saya ingin ditunjuk atau dipilih sebagai ketua dalam suatu kelompok.")</f>
        <v>A Saya ingin ditunjuk atau dipilih sebagai ketua dalam suatu kelompok.</v>
      </c>
      <c r="CN141" s="105" t="str">
        <f>IFERROR(__xludf.DUMMYFUNCTION("""COMPUTED_VALUE"""),"A Saya ingin diperlakukan dengan baik oleh teman-teman saya.")</f>
        <v>A Saya ingin diperlakukan dengan baik oleh teman-teman saya.</v>
      </c>
      <c r="CO141" s="105" t="str">
        <f>IFERROR(__xludf.DUMMYFUNCTION("""COMPUTED_VALUE"""),"A Saya suka menceritakan hal-hal lucu agar diperhatikan oleh orang lain.")</f>
        <v>A Saya suka menceritakan hal-hal lucu agar diperhatikan oleh orang lain.</v>
      </c>
      <c r="CP141" s="105" t="str">
        <f>IFERROR(__xludf.DUMMYFUNCTION("""COMPUTED_VALUE"""),"B Saya ingin dianggap menarik oleh orang lain.")</f>
        <v>B Saya ingin dianggap menarik oleh orang lain.</v>
      </c>
      <c r="CQ141" s="105" t="str">
        <f>IFERROR(__xludf.DUMMYFUNCTION("""COMPUTED_VALUE"""),"B Saya merasa kagum pada seseorang.")</f>
        <v>B Saya merasa kagum pada seseorang.</v>
      </c>
      <c r="CR141" s="105" t="str">
        <f>IFERROR(__xludf.DUMMYFUNCTION("""COMPUTED_VALUE"""),"A Saya ingin memperolok-olok orang yang saya anggap melakukan tindakan bodoh.")</f>
        <v>A Saya ingin memperolok-olok orang yang saya anggap melakukan tindakan bodoh.</v>
      </c>
      <c r="CS141" s="105" t="str">
        <f>IFERROR(__xludf.DUMMYFUNCTION("""COMPUTED_VALUE"""),"A Saya ingin terlihat menarik di depan teman-teman saya.")</f>
        <v>A Saya ingin terlihat menarik di depan teman-teman saya.</v>
      </c>
      <c r="CT141" s="105" t="str">
        <f>IFERROR(__xludf.DUMMYFUNCTION("""COMPUTED_VALUE"""),"B Saya saat marah rasanya ingin melemparkan dan merusak barang-barang.")</f>
        <v>B Saya saat marah rasanya ingin melemparkan dan merusak barang-barang.</v>
      </c>
      <c r="CU141" s="105" t="str">
        <f>IFERROR(__xludf.DUMMYFUNCTION("""COMPUTED_VALUE"""),"A Saya ingin diperlakukan dengan ramah oleh teman-teman saya.")</f>
        <v>A Saya ingin diperlakukan dengan ramah oleh teman-teman saya.</v>
      </c>
      <c r="CV141" s="105" t="str">
        <f>IFERROR(__xludf.DUMMYFUNCTION("""COMPUTED_VALUE"""),"A Saya ingin ditunjuk atau dipilih sebagai ketua dalam suatu kelompok.")</f>
        <v>A Saya ingin ditunjuk atau dipilih sebagai ketua dalam suatu kelompok.</v>
      </c>
      <c r="CW141" s="105" t="str">
        <f>IFERROR(__xludf.DUMMYFUNCTION("""COMPUTED_VALUE"""),"A Saya suka menolong teman-teman saya, apabila mereka dalam kesulitan.")</f>
        <v>A Saya suka menolong teman-teman saya, apabila mereka dalam kesulitan.</v>
      </c>
      <c r="CX141" s="105" t="str">
        <f>IFERROR(__xludf.DUMMYFUNCTION("""COMPUTED_VALUE"""),"A Saya suka belajar sampai malam untuk menyelesaikan suatu tugas.")</f>
        <v>A Saya suka belajar sampai malam untuk menyelesaikan suatu tugas.</v>
      </c>
      <c r="CY141" s="105" t="str">
        <f>IFERROR(__xludf.DUMMYFUNCTION("""COMPUTED_VALUE"""),"A Saya ingin tidak tergantung dari orang lain terhadap apa yang akan saya lakukan.")</f>
        <v>A Saya ingin tidak tergantung dari orang lain terhadap apa yang akan saya lakukan.</v>
      </c>
      <c r="CZ141" s="105" t="str">
        <f>IFERROR(__xludf.DUMMYFUNCTION("""COMPUTED_VALUE"""),"A Saya suka merencanakan dan mengatur setiap pekerjaan yang harus saya lakukan.")</f>
        <v>A Saya suka merencanakan dan mengatur setiap pekerjaan yang harus saya lakukan.</v>
      </c>
      <c r="DA141" s="105" t="str">
        <f>IFERROR(__xludf.DUMMYFUNCTION("""COMPUTED_VALUE"""),"A Saya ingin melakukan apa saja sebaik mungkin.")</f>
        <v>A Saya ingin melakukan apa saja sebaik mungkin.</v>
      </c>
      <c r="DB141" s="89" t="s">
        <v>23</v>
      </c>
      <c r="DC141" s="97" t="str">
        <f t="shared" ref="DC141:GX141" si="186">LEFT(F141,1)</f>
        <v>B</v>
      </c>
      <c r="DD141" s="97" t="str">
        <f t="shared" si="186"/>
        <v>A</v>
      </c>
      <c r="DE141" s="97" t="str">
        <f t="shared" si="186"/>
        <v>A</v>
      </c>
      <c r="DF141" s="97" t="str">
        <f t="shared" si="186"/>
        <v>B</v>
      </c>
      <c r="DG141" s="97" t="str">
        <f t="shared" si="186"/>
        <v>A</v>
      </c>
      <c r="DH141" s="97" t="str">
        <f t="shared" si="186"/>
        <v>B</v>
      </c>
      <c r="DI141" s="97" t="str">
        <f t="shared" si="186"/>
        <v>B</v>
      </c>
      <c r="DJ141" s="97" t="str">
        <f t="shared" si="186"/>
        <v>B</v>
      </c>
      <c r="DK141" s="97" t="str">
        <f t="shared" si="186"/>
        <v>A</v>
      </c>
      <c r="DL141" s="97" t="str">
        <f t="shared" si="186"/>
        <v>B</v>
      </c>
      <c r="DM141" s="97" t="str">
        <f t="shared" si="186"/>
        <v>A</v>
      </c>
      <c r="DN141" s="97" t="str">
        <f t="shared" si="186"/>
        <v>B</v>
      </c>
      <c r="DO141" s="97" t="str">
        <f t="shared" si="186"/>
        <v>B</v>
      </c>
      <c r="DP141" s="97" t="str">
        <f t="shared" si="186"/>
        <v>B</v>
      </c>
      <c r="DQ141" s="97" t="str">
        <f t="shared" si="186"/>
        <v>B</v>
      </c>
      <c r="DR141" s="97" t="str">
        <f t="shared" si="186"/>
        <v>B</v>
      </c>
      <c r="DS141" s="97" t="str">
        <f t="shared" si="186"/>
        <v>B</v>
      </c>
      <c r="DT141" s="97" t="str">
        <f t="shared" si="186"/>
        <v>B</v>
      </c>
      <c r="DU141" s="97" t="str">
        <f t="shared" si="186"/>
        <v>A</v>
      </c>
      <c r="DV141" s="97" t="str">
        <f t="shared" si="186"/>
        <v>B</v>
      </c>
      <c r="DW141" s="97" t="str">
        <f t="shared" si="186"/>
        <v>A</v>
      </c>
      <c r="DX141" s="97" t="str">
        <f t="shared" si="186"/>
        <v>B</v>
      </c>
      <c r="DY141" s="97" t="str">
        <f t="shared" si="186"/>
        <v>B</v>
      </c>
      <c r="DZ141" s="97" t="str">
        <f t="shared" si="186"/>
        <v>A</v>
      </c>
      <c r="EA141" s="97" t="str">
        <f t="shared" si="186"/>
        <v>A</v>
      </c>
      <c r="EB141" s="97" t="str">
        <f t="shared" si="186"/>
        <v>A</v>
      </c>
      <c r="EC141" s="97" t="str">
        <f t="shared" si="186"/>
        <v>B</v>
      </c>
      <c r="ED141" s="97" t="str">
        <f t="shared" si="186"/>
        <v>B</v>
      </c>
      <c r="EE141" s="97" t="str">
        <f t="shared" si="186"/>
        <v>A</v>
      </c>
      <c r="EF141" s="97" t="str">
        <f t="shared" si="186"/>
        <v>B</v>
      </c>
      <c r="EG141" s="97" t="str">
        <f t="shared" si="186"/>
        <v>B</v>
      </c>
      <c r="EH141" s="97" t="str">
        <f t="shared" si="186"/>
        <v>B</v>
      </c>
      <c r="EI141" s="97" t="str">
        <f t="shared" si="186"/>
        <v>B</v>
      </c>
      <c r="EJ141" s="97" t="str">
        <f t="shared" si="186"/>
        <v>B</v>
      </c>
      <c r="EK141" s="97" t="str">
        <f t="shared" si="186"/>
        <v>A</v>
      </c>
      <c r="EL141" s="97" t="str">
        <f t="shared" si="186"/>
        <v>A</v>
      </c>
      <c r="EM141" s="97" t="str">
        <f t="shared" si="186"/>
        <v>B</v>
      </c>
      <c r="EN141" s="97" t="str">
        <f t="shared" si="186"/>
        <v>B</v>
      </c>
      <c r="EO141" s="97" t="str">
        <f t="shared" si="186"/>
        <v>A</v>
      </c>
      <c r="EP141" s="97" t="str">
        <f t="shared" si="186"/>
        <v>B</v>
      </c>
      <c r="EQ141" s="97" t="str">
        <f t="shared" si="186"/>
        <v>B</v>
      </c>
      <c r="ER141" s="97" t="str">
        <f t="shared" si="186"/>
        <v>B</v>
      </c>
      <c r="ES141" s="97" t="str">
        <f t="shared" si="186"/>
        <v>B</v>
      </c>
      <c r="ET141" s="97" t="str">
        <f t="shared" si="186"/>
        <v>A</v>
      </c>
      <c r="EU141" s="97" t="str">
        <f t="shared" si="186"/>
        <v>A</v>
      </c>
      <c r="EV141" s="97" t="str">
        <f t="shared" si="186"/>
        <v>B</v>
      </c>
      <c r="EW141" s="97" t="str">
        <f t="shared" si="186"/>
        <v>B</v>
      </c>
      <c r="EX141" s="97" t="str">
        <f t="shared" si="186"/>
        <v>B</v>
      </c>
      <c r="EY141" s="97" t="str">
        <f t="shared" si="186"/>
        <v>B</v>
      </c>
      <c r="EZ141" s="97" t="str">
        <f t="shared" si="186"/>
        <v>B</v>
      </c>
      <c r="FA141" s="97" t="str">
        <f t="shared" si="186"/>
        <v>B</v>
      </c>
      <c r="FB141" s="97" t="str">
        <f t="shared" si="186"/>
        <v>B</v>
      </c>
      <c r="FC141" s="97" t="str">
        <f t="shared" si="186"/>
        <v>B</v>
      </c>
      <c r="FD141" s="97" t="str">
        <f t="shared" si="186"/>
        <v>A</v>
      </c>
      <c r="FE141" s="97" t="str">
        <f t="shared" si="186"/>
        <v>A</v>
      </c>
      <c r="FF141" s="97" t="str">
        <f t="shared" si="186"/>
        <v>A</v>
      </c>
      <c r="FG141" s="97" t="str">
        <f t="shared" si="186"/>
        <v>B</v>
      </c>
      <c r="FH141" s="97" t="str">
        <f t="shared" si="186"/>
        <v>A</v>
      </c>
      <c r="FI141" s="97" t="str">
        <f t="shared" si="186"/>
        <v>A</v>
      </c>
      <c r="FJ141" s="97" t="str">
        <f t="shared" si="186"/>
        <v>A</v>
      </c>
      <c r="FK141" s="97" t="str">
        <f t="shared" si="186"/>
        <v>A</v>
      </c>
      <c r="FL141" s="97" t="str">
        <f t="shared" si="186"/>
        <v>A</v>
      </c>
      <c r="FM141" s="97" t="str">
        <f t="shared" si="186"/>
        <v>A</v>
      </c>
      <c r="FN141" s="97" t="str">
        <f t="shared" si="186"/>
        <v>A</v>
      </c>
      <c r="FO141" s="97" t="str">
        <f t="shared" si="186"/>
        <v>A</v>
      </c>
      <c r="FP141" s="97" t="str">
        <f t="shared" si="186"/>
        <v>A</v>
      </c>
      <c r="FQ141" s="97" t="str">
        <f t="shared" si="186"/>
        <v>B</v>
      </c>
      <c r="FR141" s="97" t="str">
        <f t="shared" si="186"/>
        <v>A</v>
      </c>
      <c r="FS141" s="97" t="str">
        <f t="shared" si="186"/>
        <v>A</v>
      </c>
      <c r="FT141" s="97" t="str">
        <f t="shared" si="186"/>
        <v>B</v>
      </c>
      <c r="FU141" s="97" t="str">
        <f t="shared" si="186"/>
        <v>B</v>
      </c>
      <c r="FV141" s="97" t="str">
        <f t="shared" si="186"/>
        <v>B</v>
      </c>
      <c r="FW141" s="97" t="str">
        <f t="shared" si="186"/>
        <v>A</v>
      </c>
      <c r="FX141" s="97" t="str">
        <f t="shared" si="186"/>
        <v>A</v>
      </c>
      <c r="FY141" s="97" t="str">
        <f t="shared" si="186"/>
        <v>B</v>
      </c>
      <c r="FZ141" s="97" t="str">
        <f t="shared" si="186"/>
        <v>A</v>
      </c>
      <c r="GA141" s="97" t="str">
        <f t="shared" si="186"/>
        <v>B</v>
      </c>
      <c r="GB141" s="97" t="str">
        <f t="shared" si="186"/>
        <v>B</v>
      </c>
      <c r="GC141" s="97" t="str">
        <f t="shared" si="186"/>
        <v>A</v>
      </c>
      <c r="GD141" s="97" t="str">
        <f t="shared" si="186"/>
        <v>A</v>
      </c>
      <c r="GE141" s="97" t="str">
        <f t="shared" si="186"/>
        <v>A</v>
      </c>
      <c r="GF141" s="97" t="str">
        <f t="shared" si="186"/>
        <v>A</v>
      </c>
      <c r="GG141" s="97" t="str">
        <f t="shared" si="186"/>
        <v>A</v>
      </c>
      <c r="GH141" s="97" t="str">
        <f t="shared" si="186"/>
        <v>A</v>
      </c>
      <c r="GI141" s="97" t="str">
        <f t="shared" si="186"/>
        <v>A</v>
      </c>
      <c r="GJ141" s="97" t="str">
        <f t="shared" si="186"/>
        <v>A</v>
      </c>
      <c r="GK141" s="97" t="str">
        <f t="shared" si="186"/>
        <v>A</v>
      </c>
      <c r="GL141" s="97" t="str">
        <f t="shared" si="186"/>
        <v>A</v>
      </c>
      <c r="GM141" s="97" t="str">
        <f t="shared" si="186"/>
        <v>B</v>
      </c>
      <c r="GN141" s="97" t="str">
        <f t="shared" si="186"/>
        <v>B</v>
      </c>
      <c r="GO141" s="97" t="str">
        <f t="shared" si="186"/>
        <v>A</v>
      </c>
      <c r="GP141" s="97" t="str">
        <f t="shared" si="186"/>
        <v>A</v>
      </c>
      <c r="GQ141" s="97" t="str">
        <f t="shared" si="186"/>
        <v>B</v>
      </c>
      <c r="GR141" s="97" t="str">
        <f t="shared" si="186"/>
        <v>A</v>
      </c>
      <c r="GS141" s="97" t="str">
        <f t="shared" si="186"/>
        <v>A</v>
      </c>
      <c r="GT141" s="97" t="str">
        <f t="shared" si="186"/>
        <v>A</v>
      </c>
      <c r="GU141" s="97" t="str">
        <f t="shared" si="186"/>
        <v>A</v>
      </c>
      <c r="GV141" s="97" t="str">
        <f t="shared" si="186"/>
        <v>A</v>
      </c>
      <c r="GW141" s="97" t="str">
        <f t="shared" si="186"/>
        <v>A</v>
      </c>
      <c r="GX141" s="97" t="str">
        <f t="shared" si="186"/>
        <v>A</v>
      </c>
      <c r="GY141" s="98"/>
      <c r="GZ141" s="97">
        <f t="shared" si="3"/>
        <v>52</v>
      </c>
      <c r="HA141" s="97">
        <f t="shared" si="4"/>
        <v>48</v>
      </c>
      <c r="HB141" s="90">
        <f t="shared" si="5"/>
        <v>100</v>
      </c>
      <c r="HC141" s="99"/>
      <c r="HD141" s="97">
        <f t="shared" si="6"/>
        <v>6</v>
      </c>
      <c r="HE141" s="97">
        <f t="shared" si="7"/>
        <v>5</v>
      </c>
      <c r="HF141" s="90">
        <f t="shared" si="8"/>
        <v>11</v>
      </c>
      <c r="HG141" s="99"/>
      <c r="HH141" s="97">
        <f t="shared" si="9"/>
        <v>7</v>
      </c>
      <c r="HI141" s="97">
        <f t="shared" si="10"/>
        <v>8</v>
      </c>
      <c r="HJ141" s="90">
        <f t="shared" si="11"/>
        <v>15</v>
      </c>
      <c r="HK141" s="99"/>
      <c r="HL141" s="97">
        <f t="shared" si="12"/>
        <v>5</v>
      </c>
      <c r="HM141" s="97">
        <f t="shared" si="13"/>
        <v>5</v>
      </c>
      <c r="HN141" s="90">
        <f t="shared" si="14"/>
        <v>10</v>
      </c>
      <c r="HO141" s="99"/>
      <c r="HP141" s="97">
        <f t="shared" si="15"/>
        <v>5</v>
      </c>
      <c r="HQ141" s="97">
        <f t="shared" si="16"/>
        <v>7</v>
      </c>
      <c r="HR141" s="90">
        <f t="shared" si="17"/>
        <v>12</v>
      </c>
      <c r="HS141" s="99"/>
      <c r="HT141" s="97">
        <f t="shared" si="18"/>
        <v>8</v>
      </c>
      <c r="HU141" s="97">
        <f t="shared" si="19"/>
        <v>8</v>
      </c>
      <c r="HV141" s="90">
        <f t="shared" si="20"/>
        <v>16</v>
      </c>
      <c r="HW141" s="99"/>
      <c r="HX141" s="97">
        <f t="shared" si="21"/>
        <v>5</v>
      </c>
      <c r="HY141" s="97">
        <f t="shared" si="22"/>
        <v>4</v>
      </c>
      <c r="HZ141" s="90">
        <f t="shared" si="23"/>
        <v>9</v>
      </c>
      <c r="IA141" s="99"/>
      <c r="IB141" s="97">
        <f t="shared" si="24"/>
        <v>4</v>
      </c>
      <c r="IC141" s="97">
        <f t="shared" si="25"/>
        <v>2</v>
      </c>
      <c r="ID141" s="90">
        <f t="shared" si="26"/>
        <v>6</v>
      </c>
      <c r="IE141" s="99"/>
      <c r="IF141" s="97">
        <f t="shared" si="27"/>
        <v>2</v>
      </c>
      <c r="IG141" s="97">
        <f t="shared" si="28"/>
        <v>5</v>
      </c>
      <c r="IH141" s="90">
        <f t="shared" si="29"/>
        <v>7</v>
      </c>
      <c r="II141" s="99"/>
      <c r="IJ141" s="97">
        <f t="shared" si="30"/>
        <v>4</v>
      </c>
      <c r="IK141" s="97">
        <f t="shared" si="31"/>
        <v>2</v>
      </c>
      <c r="IL141" s="90">
        <f t="shared" si="32"/>
        <v>6</v>
      </c>
      <c r="IM141" s="99"/>
      <c r="IN141" s="97">
        <f t="shared" si="33"/>
        <v>1</v>
      </c>
      <c r="IO141" s="97">
        <f t="shared" si="34"/>
        <v>1</v>
      </c>
      <c r="IP141" s="90">
        <f t="shared" si="35"/>
        <v>2</v>
      </c>
      <c r="IS141" s="100">
        <f t="shared" si="36"/>
        <v>11</v>
      </c>
      <c r="IT141" s="100">
        <f t="shared" si="37"/>
        <v>15</v>
      </c>
      <c r="IU141" s="100">
        <f t="shared" si="38"/>
        <v>10</v>
      </c>
      <c r="IV141" s="100">
        <f t="shared" si="39"/>
        <v>12</v>
      </c>
      <c r="IW141" s="100">
        <f t="shared" si="40"/>
        <v>16</v>
      </c>
      <c r="IX141" s="100">
        <f t="shared" si="41"/>
        <v>9</v>
      </c>
      <c r="IY141" s="100">
        <f t="shared" si="42"/>
        <v>6</v>
      </c>
      <c r="IZ141" s="100">
        <f t="shared" si="43"/>
        <v>7</v>
      </c>
      <c r="JA141" s="100">
        <f t="shared" si="44"/>
        <v>6</v>
      </c>
      <c r="JB141" s="101">
        <f t="shared" si="45"/>
        <v>2</v>
      </c>
      <c r="JC141" s="102">
        <f t="shared" si="46"/>
        <v>94</v>
      </c>
      <c r="JD141" s="67">
        <f t="shared" si="50"/>
        <v>0</v>
      </c>
      <c r="JE141" s="67">
        <f t="shared" si="47"/>
        <v>0</v>
      </c>
      <c r="JF141" s="67">
        <f t="shared" si="48"/>
        <v>0</v>
      </c>
    </row>
    <row r="142">
      <c r="A142" s="104">
        <f>IFERROR(__xludf.DUMMYFUNCTION("""COMPUTED_VALUE"""),45972.861746574075)</f>
        <v>45972.86175</v>
      </c>
      <c r="B142" s="105" t="str">
        <f>IFERROR(__xludf.DUMMYFUNCTION("""COMPUTED_VALUE"""),"Nidaul Husna ")</f>
        <v>Nidaul Husna </v>
      </c>
      <c r="C142" s="7" t="str">
        <f>IFERROR(__xludf.DUMMYFUNCTION("""COMPUTED_VALUE"""),"F250003")</f>
        <v>F250003</v>
      </c>
      <c r="D142" s="7" t="str">
        <f>IFERROR(__xludf.DUMMYFUNCTION("""COMPUTED_VALUE"""),"IL Putri")</f>
        <v>IL Putri</v>
      </c>
      <c r="E142" s="7" t="str">
        <f>IFERROR(__xludf.DUMMYFUNCTION("""COMPUTED_VALUE"""),"Ya")</f>
        <v>Ya</v>
      </c>
      <c r="F142" s="105" t="str">
        <f>IFERROR(__xludf.DUMMYFUNCTION("""COMPUTED_VALUE"""),"B Saya ingin melakukan apa saja sebaik mungkin.")</f>
        <v>B Saya ingin melakukan apa saja sebaik mungkin.</v>
      </c>
      <c r="G142" s="105" t="str">
        <f>IFERROR(__xludf.DUMMYFUNCTION("""COMPUTED_VALUE"""),"A Saya ingin setiap tulisan saya teliti, rapi, dan tersusun dengan baik.")</f>
        <v>A Saya ingin setiap tulisan saya teliti, rapi, dan tersusun dengan baik.</v>
      </c>
      <c r="H142" s="105" t="str">
        <f>IFERROR(__xludf.DUMMYFUNCTION("""COMPUTED_VALUE"""),"A Saya ingin berbuat sesuai kata hati saya.")</f>
        <v>A Saya ingin berbuat sesuai kata hati saya.</v>
      </c>
      <c r="I142" s="105" t="str">
        <f>IFERROR(__xludf.DUMMYFUNCTION("""COMPUTED_VALUE"""),"B Saya ingin bisa melakukan dengan baik meskipun tugas yang sulit.")</f>
        <v>B Saya ingin bisa melakukan dengan baik meskipun tugas yang sulit.</v>
      </c>
      <c r="J142" s="105" t="str">
        <f>IFERROR(__xludf.DUMMYFUNCTION("""COMPUTED_VALUE"""),"A Saya suka membantu teman-teman saya apabila mereka mengalami kesulitan.")</f>
        <v>A Saya suka membantu teman-teman saya apabila mereka mengalami kesulitan.</v>
      </c>
      <c r="K142" s="105" t="str">
        <f>IFERROR(__xludf.DUMMYFUNCTION("""COMPUTED_VALUE"""),"A Saya ingin menjadi pemimpin dalam suatu kelompok.")</f>
        <v>A Saya ingin menjadi pemimpin dalam suatu kelompok.</v>
      </c>
      <c r="L142" s="105" t="str">
        <f>IFERROR(__xludf.DUMMYFUNCTION("""COMPUTED_VALUE"""),"A Saya ingin menjadi pemimpin dalam suatu kelompok")</f>
        <v>A Saya ingin menjadi pemimpin dalam suatu kelompok</v>
      </c>
      <c r="M142" s="105" t="str">
        <f>IFERROR(__xludf.DUMMYFUNCTION("""COMPUTED_VALUE"""),"B Saya ingin mengerjakan segala tugas lebih baik daripada orang lain.")</f>
        <v>B Saya ingin mengerjakan segala tugas lebih baik daripada orang lain.</v>
      </c>
      <c r="N142" s="105" t="str">
        <f>IFERROR(__xludf.DUMMYFUNCTION("""COMPUTED_VALUE"""),"B Saya suka memecahkan persoalan yang sukar bagi orang lain.")</f>
        <v>B Saya suka memecahkan persoalan yang sukar bagi orang lain.</v>
      </c>
      <c r="O142" s="105" t="str">
        <f>IFERROR(__xludf.DUMMYFUNCTION("""COMPUTED_VALUE"""),"B Saya suka melakukan tugas sebaik mungkin.")</f>
        <v>B Saya suka melakukan tugas sebaik mungkin.</v>
      </c>
      <c r="P142" s="105" t="str">
        <f>IFERROR(__xludf.DUMMYFUNCTION("""COMPUTED_VALUE"""),"A Saya suka bercerita tentang hal-hal yang menegangkan atau menantang.")</f>
        <v>A Saya suka bercerita tentang hal-hal yang menegangkan atau menantang.</v>
      </c>
      <c r="Q142" s="105" t="str">
        <f>IFERROR(__xludf.DUMMYFUNCTION("""COMPUTED_VALUE"""),"B Saya merencanakan keperluan yang dibutuhkan sebelum bepergian.")</f>
        <v>B Saya merencanakan keperluan yang dibutuhkan sebelum bepergian.</v>
      </c>
      <c r="R142" s="105" t="str">
        <f>IFERROR(__xludf.DUMMYFUNCTION("""COMPUTED_VALUE"""),"A Saya ingin orang-orang memperhatikan penampilan saya.")</f>
        <v>A Saya ingin orang-orang memperhatikan penampilan saya.</v>
      </c>
      <c r="S142" s="105" t="str">
        <f>IFERROR(__xludf.DUMMYFUNCTION("""COMPUTED_VALUE"""),"B Saya suka membuat perencanaan sebelum memulai tugas yang sulit.")</f>
        <v>B Saya suka membuat perencanaan sebelum memulai tugas yang sulit.</v>
      </c>
      <c r="T142" s="105" t="str">
        <f>IFERROR(__xludf.DUMMYFUNCTION("""COMPUTED_VALUE"""),"B Saya ingin agar hidup saya teratur sesuai cita-cita saya.")</f>
        <v>B Saya ingin agar hidup saya teratur sesuai cita-cita saya.</v>
      </c>
      <c r="U142" s="105" t="str">
        <f>IFERROR(__xludf.DUMMYFUNCTION("""COMPUTED_VALUE"""),"A Saya suka memberikan bantuan kepada teman-teman saya.")</f>
        <v>A Saya suka memberikan bantuan kepada teman-teman saya.</v>
      </c>
      <c r="V142" s="105" t="str">
        <f>IFERROR(__xludf.DUMMYFUNCTION("""COMPUTED_VALUE"""),"B Saya suka belajar saya teratur dan ada waktu-waktu tertentu untuk belajar.")</f>
        <v>B Saya suka belajar saya teratur dan ada waktu-waktu tertentu untuk belajar.</v>
      </c>
      <c r="W142" s="105" t="str">
        <f>IFERROR(__xludf.DUMMYFUNCTION("""COMPUTED_VALUE"""),"A Saya suka melakukan kegiatan sesuai kondisi yang saya inginkan.")</f>
        <v>A Saya suka melakukan kegiatan sesuai kondisi yang saya inginkan.</v>
      </c>
      <c r="X142" s="105" t="str">
        <f>IFERROR(__xludf.DUMMYFUNCTION("""COMPUTED_VALUE"""),"B Saya ingin agar hidup saya teratur sesuai cita-cita saya.")</f>
        <v>B Saya ingin agar hidup saya teratur sesuai cita-cita saya.</v>
      </c>
      <c r="Y142" s="105" t="str">
        <f>IFERROR(__xludf.DUMMYFUNCTION("""COMPUTED_VALUE"""),"A Saya suka menyelesaikan tugas-tugas yang membutuhkan ketrampilan dan usaha.")</f>
        <v>A Saya suka menyelesaikan tugas-tugas yang membutuhkan ketrampilan dan usaha.</v>
      </c>
      <c r="Z142" s="105" t="str">
        <f>IFERROR(__xludf.DUMMYFUNCTION("""COMPUTED_VALUE"""),"A Saya ingin berhasil dengan belajar yang saya lakukan.")</f>
        <v>A Saya ingin berhasil dengan belajar yang saya lakukan.</v>
      </c>
      <c r="AA142" s="105" t="str">
        <f>IFERROR(__xludf.DUMMYFUNCTION("""COMPUTED_VALUE"""),"B Saya tidak suka pada orang yang berbuat seenaknya sendiri.")</f>
        <v>B Saya tidak suka pada orang yang berbuat seenaknya sendiri.</v>
      </c>
      <c r="AB142" s="105" t="str">
        <f>IFERROR(__xludf.DUMMYFUNCTION("""COMPUTED_VALUE"""),"A Saya ingin tidak tergantung dari orang lain terhadap apa yang akan saya lakukan.")</f>
        <v>A Saya ingin tidak tergantung dari orang lain terhadap apa yang akan saya lakukan.</v>
      </c>
      <c r="AC142" s="105" t="str">
        <f>IFERROR(__xludf.DUMMYFUNCTION("""COMPUTED_VALUE"""),"A Saya suka menyelesaikan setiap tugas meskipun membutuhkan waktu lama.")</f>
        <v>A Saya suka menyelesaikan setiap tugas meskipun membutuhkan waktu lama.</v>
      </c>
      <c r="AD142" s="105" t="str">
        <f>IFERROR(__xludf.DUMMYFUNCTION("""COMPUTED_VALUE"""),"B Saya suka menyatakan pendapat saya tentang berbagai hal.")</f>
        <v>B Saya suka menyatakan pendapat saya tentang berbagai hal.</v>
      </c>
      <c r="AE142" s="105" t="str">
        <f>IFERROR(__xludf.DUMMYFUNCTION("""COMPUTED_VALUE"""),"A Saya ingin dianggap sebagai pemimpin oleh teman di kelompok.")</f>
        <v>A Saya ingin dianggap sebagai pemimpin oleh teman di kelompok.</v>
      </c>
      <c r="AF142" s="105" t="str">
        <f>IFERROR(__xludf.DUMMYFUNCTION("""COMPUTED_VALUE"""),"B Saya suka melakukan hal-hal dengan cara saya sendiri.")</f>
        <v>B Saya suka melakukan hal-hal dengan cara saya sendiri.</v>
      </c>
      <c r="AG142" s="105" t="str">
        <f>IFERROR(__xludf.DUMMYFUNCTION("""COMPUTED_VALUE"""),"A Saya mengajari orang lain bagaimana mereka harus melakukan pekerjaan mereka.")</f>
        <v>A Saya mengajari orang lain bagaimana mereka harus melakukan pekerjaan mereka.</v>
      </c>
      <c r="AH142" s="105" t="str">
        <f>IFERROR(__xludf.DUMMYFUNCTION("""COMPUTED_VALUE"""),"B Saya ingin merasa bebas untuk melakukan apa yang saya kehendaki.")</f>
        <v>B Saya ingin merasa bebas untuk melakukan apa yang saya kehendaki.</v>
      </c>
      <c r="AI142" s="105" t="str">
        <f>IFERROR(__xludf.DUMMYFUNCTION("""COMPUTED_VALUE"""),"B Saya suka melakukan kegiatan sesuai kondisi yang saya inginkan.")</f>
        <v>B Saya suka melakukan kegiatan sesuai kondisi yang saya inginkan.</v>
      </c>
      <c r="AJ142" s="105" t="str">
        <f>IFERROR(__xludf.DUMMYFUNCTION("""COMPUTED_VALUE"""),"B Saya suka bertahan menghadapi satu masalah meskipun belum tentu berhasil.")</f>
        <v>B Saya suka bertahan menghadapi satu masalah meskipun belum tentu berhasil.</v>
      </c>
      <c r="AK142" s="105" t="str">
        <f>IFERROR(__xludf.DUMMYFUNCTION("""COMPUTED_VALUE"""),"B Bila saya harus melakukan suatu tugas, saya ingin mengerjakan sampai selesai.")</f>
        <v>B Bila saya harus melakukan suatu tugas, saya ingin mengerjakan sampai selesai.</v>
      </c>
      <c r="AL142" s="105" t="str">
        <f>IFERROR(__xludf.DUMMYFUNCTION("""COMPUTED_VALUE"""),"B Saya ingin menghindarkan gangguan bila saya sedang belajar.")</f>
        <v>B Saya ingin menghindarkan gangguan bila saya sedang belajar.</v>
      </c>
      <c r="AM142" s="105" t="str">
        <f>IFERROR(__xludf.DUMMYFUNCTION("""COMPUTED_VALUE"""),"B Saya suka belajar sampai malam untuk menyelesaikan suatu tugas.")</f>
        <v>B Saya suka belajar sampai malam untuk menyelesaikan suatu tugas.</v>
      </c>
      <c r="AN142" s="105" t="str">
        <f>IFERROR(__xludf.DUMMYFUNCTION("""COMPUTED_VALUE"""),"A Saya tidak suka pada orang yang semena-mena.")</f>
        <v>A Saya tidak suka pada orang yang semena-mena.</v>
      </c>
      <c r="AO142" s="105" t="str">
        <f>IFERROR(__xludf.DUMMYFUNCTION("""COMPUTED_VALUE"""),"A Saya suka berlaku sangat ramah terhadap teman-teman saya.")</f>
        <v>A Saya suka berlaku sangat ramah terhadap teman-teman saya.</v>
      </c>
      <c r="AP142" s="105" t="str">
        <f>IFERROR(__xludf.DUMMYFUNCTION("""COMPUTED_VALUE"""),"B Saya suka bertahan menghadapi satu masalah meskipun belum tentu berhasil.")</f>
        <v>B Saya suka bertahan menghadapi satu masalah meskipun belum tentu berhasil.</v>
      </c>
      <c r="AQ142" s="105" t="str">
        <f>IFERROR(__xludf.DUMMYFUNCTION("""COMPUTED_VALUE"""),"B Bila saya harus melakukan suatu tugas, saya ingin mengerjakan sampai selesai.")</f>
        <v>B Bila saya harus melakukan suatu tugas, saya ingin mengerjakan sampai selesai.</v>
      </c>
      <c r="AR142" s="105" t="str">
        <f>IFERROR(__xludf.DUMMYFUNCTION("""COMPUTED_VALUE"""),"B Saya suka belajar keras pada tiap pelajaran yang saya hadapi.")</f>
        <v>B Saya suka belajar keras pada tiap pelajaran yang saya hadapi.</v>
      </c>
      <c r="AS142" s="105" t="str">
        <f>IFERROR(__xludf.DUMMYFUNCTION("""COMPUTED_VALUE"""),"A Saya ingin dapat menyelesaikan persoalan yang dianggap sukar bagi orang lain.")</f>
        <v>A Saya ingin dapat menyelesaikan persoalan yang dianggap sukar bagi orang lain.</v>
      </c>
      <c r="AT142" s="105" t="str">
        <f>IFERROR(__xludf.DUMMYFUNCTION("""COMPUTED_VALUE"""),"A Saya ingin bisa melakukan dengan baik sesuatu pekerjaan sulit.")</f>
        <v>A Saya ingin bisa melakukan dengan baik sesuatu pekerjaan sulit.</v>
      </c>
      <c r="AU142" s="105" t="str">
        <f>IFERROR(__xludf.DUMMYFUNCTION("""COMPUTED_VALUE"""),"A Saya ingin menyelesaikan pekerjaan satu persatu sebelum memulai yang lain.")</f>
        <v>A Saya ingin menyelesaikan pekerjaan satu persatu sebelum memulai yang lain.</v>
      </c>
      <c r="AV142" s="105" t="str">
        <f>IFERROR(__xludf.DUMMYFUNCTION("""COMPUTED_VALUE"""),"B Saya suka menolong teman-teman saya.")</f>
        <v>B Saya suka menolong teman-teman saya.</v>
      </c>
      <c r="AW142" s="105" t="str">
        <f>IFERROR(__xludf.DUMMYFUNCTION("""COMPUTED_VALUE"""),"B Saya ingin teman-teman saya percaya bahwa saya bisa menolong mereka.")</f>
        <v>B Saya ingin teman-teman saya percaya bahwa saya bisa menolong mereka.</v>
      </c>
      <c r="AX142" s="105" t="str">
        <f>IFERROR(__xludf.DUMMYFUNCTION("""COMPUTED_VALUE"""),"A Saya suka menolong teman-teman saya apabila mereka dalam kesulitan.")</f>
        <v>A Saya suka menolong teman-teman saya apabila mereka dalam kesulitan.</v>
      </c>
      <c r="AY142" s="105" t="str">
        <f>IFERROR(__xludf.DUMMYFUNCTION("""COMPUTED_VALUE"""),"B Saya suka menolong teman-teman saya apabila mereka dalam kesulitan.")</f>
        <v>B Saya suka menolong teman-teman saya apabila mereka dalam kesulitan.</v>
      </c>
      <c r="AZ142" s="105" t="str">
        <f>IFERROR(__xludf.DUMMYFUNCTION("""COMPUTED_VALUE"""),"B Saya suka menunjukkan simpati saya kepada teman-teman saya.")</f>
        <v>B Saya suka menunjukkan simpati saya kepada teman-teman saya.</v>
      </c>
      <c r="BA142" s="105" t="str">
        <f>IFERROR(__xludf.DUMMYFUNCTION("""COMPUTED_VALUE"""),"A Saya suka menyatakan pendapat saya tentang berbagai hal.")</f>
        <v>A Saya suka menyatakan pendapat saya tentang berbagai hal.</v>
      </c>
      <c r="BB142" s="105" t="str">
        <f>IFERROR(__xludf.DUMMYFUNCTION("""COMPUTED_VALUE"""),"A Saya berkeinginan untuk bersama orang yang menarik bagi saya.")</f>
        <v>A Saya berkeinginan untuk bersama orang yang menarik bagi saya.</v>
      </c>
      <c r="BC142" s="105" t="str">
        <f>IFERROR(__xludf.DUMMYFUNCTION("""COMPUTED_VALUE"""),"A Saya rasanya ingin mengecam seseorang bila orang itu menjengkelkan.")</f>
        <v>A Saya rasanya ingin mengecam seseorang bila orang itu menjengkelkan.</v>
      </c>
      <c r="BD142" s="105" t="str">
        <f>IFERROR(__xludf.DUMMYFUNCTION("""COMPUTED_VALUE"""),"B Saya suka bersikukuh dengan pendirian saya.")</f>
        <v>B Saya suka bersikukuh dengan pendirian saya.</v>
      </c>
      <c r="BE142" s="105" t="str">
        <f>IFERROR(__xludf.DUMMYFUNCTION("""COMPUTED_VALUE"""),"A Saya suka mendengarkan atau menceritakan hal-hal yang sebaiknya tidak diceritakan.")</f>
        <v>A Saya suka mendengarkan atau menceritakan hal-hal yang sebaiknya tidak diceritakan.</v>
      </c>
      <c r="BF142" s="105" t="str">
        <f>IFERROR(__xludf.DUMMYFUNCTION("""COMPUTED_VALUE"""),"B Bila saya dalam kelompok, saya ingin menentukan apa yang akan kita lakukan.")</f>
        <v>B Bila saya dalam kelompok, saya ingin menentukan apa yang akan kita lakukan.</v>
      </c>
      <c r="BG142" s="105" t="str">
        <f>IFERROR(__xludf.DUMMYFUNCTION("""COMPUTED_VALUE"""),"B Saya suka mengarahkan kepada orang lain apa yang harus dilakukan.")</f>
        <v>B Saya suka mengarahkan kepada orang lain apa yang harus dilakukan.</v>
      </c>
      <c r="BH142" s="105" t="str">
        <f>IFERROR(__xludf.DUMMYFUNCTION("""COMPUTED_VALUE"""),"A Saya suka menghindar dari situasi yang tidak saya harapkan.")</f>
        <v>A Saya suka menghindar dari situasi yang tidak saya harapkan.</v>
      </c>
      <c r="BI142" s="105" t="str">
        <f>IFERROR(__xludf.DUMMYFUNCTION("""COMPUTED_VALUE"""),"A Saya suka bermurah hati terhadap teman-teman saya.")</f>
        <v>A Saya suka bermurah hati terhadap teman-teman saya.</v>
      </c>
      <c r="BJ142" s="105" t="str">
        <f>IFERROR(__xludf.DUMMYFUNCTION("""COMPUTED_VALUE"""),"B Saya ingin menjadi pemimpin dalam kelompok di mana saya ada di situ")</f>
        <v>B Saya ingin menjadi pemimpin dalam kelompok di mana saya ada di situ</v>
      </c>
      <c r="BK142" s="105" t="str">
        <f>IFERROR(__xludf.DUMMYFUNCTION("""COMPUTED_VALUE"""),"B Saya senang untuk diminta menyelesaikan pertentangan-pertentangan.")</f>
        <v>B Saya senang untuk diminta menyelesaikan pertentangan-pertentangan.</v>
      </c>
      <c r="BL142" s="105" t="str">
        <f>IFERROR(__xludf.DUMMYFUNCTION("""COMPUTED_VALUE"""),"A Saya suka belajar saya teratur dan ada waktu-waktu tertentu untuk belajar.")</f>
        <v>A Saya suka belajar saya teratur dan ada waktu-waktu tertentu untuk belajar.</v>
      </c>
      <c r="BM142" s="105" t="str">
        <f>IFERROR(__xludf.DUMMYFUNCTION("""COMPUTED_VALUE"""),"A Saya suka melakukan pekerjaan sebaik mungkin.")</f>
        <v>A Saya suka melakukan pekerjaan sebaik mungkin.</v>
      </c>
      <c r="BN142" s="105" t="str">
        <f>IFERROR(__xludf.DUMMYFUNCTION("""COMPUTED_VALUE"""),"A Saya suka mengerjakan teka-teki atau memecahkan persoalan sampai selesai.")</f>
        <v>A Saya suka mengerjakan teka-teki atau memecahkan persoalan sampai selesai.</v>
      </c>
      <c r="BO142" s="105" t="str">
        <f>IFERROR(__xludf.DUMMYFUNCTION("""COMPUTED_VALUE"""),"A Saya suka membuat perencanaan sebelum memulai belajar yang sulit.")</f>
        <v>A Saya suka membuat perencanaan sebelum memulai belajar yang sulit.</v>
      </c>
      <c r="BP142" s="105" t="str">
        <f>IFERROR(__xludf.DUMMYFUNCTION("""COMPUTED_VALUE"""),"A Saya ingin menyelesaikan sesuatu yang sangat penting artinya.")</f>
        <v>A Saya ingin menyelesaikan sesuatu yang sangat penting artinya.</v>
      </c>
      <c r="BQ142" s="105" t="str">
        <f>IFERROR(__xludf.DUMMYFUNCTION("""COMPUTED_VALUE"""),"A Saya ingin mengerjakannya tugas sampai selesai.")</f>
        <v>A Saya ingin mengerjakannya tugas sampai selesai.</v>
      </c>
      <c r="BR142" s="105" t="str">
        <f>IFERROR(__xludf.DUMMYFUNCTION("""COMPUTED_VALUE"""),"A Saya suka memaafkan teman-teman saya yang menyakiti hati saya.")</f>
        <v>A Saya suka memaafkan teman-teman saya yang menyakiti hati saya.</v>
      </c>
      <c r="BS142" s="105" t="str">
        <f>IFERROR(__xludf.DUMMYFUNCTION("""COMPUTED_VALUE"""),"B Saya ingin teman-teman saya membantu saya bila saya mengalami kesulitan")</f>
        <v>B Saya ingin teman-teman saya membantu saya bila saya mengalami kesulitan</v>
      </c>
      <c r="BT142" s="105" t="str">
        <f>IFERROR(__xludf.DUMMYFUNCTION("""COMPUTED_VALUE"""),"B Saya ingin teman-teman banyak menunjukkan rasa sayang mereka terhadap saya.")</f>
        <v>B Saya ingin teman-teman banyak menunjukkan rasa sayang mereka terhadap saya.</v>
      </c>
      <c r="BU142" s="105" t="str">
        <f>IFERROR(__xludf.DUMMYFUNCTION("""COMPUTED_VALUE"""),"A Saya kadang-kadang suka melakukan hal-hal yang dapat dipuji oleh orang lain.")</f>
        <v>A Saya kadang-kadang suka melakukan hal-hal yang dapat dipuji oleh orang lain.</v>
      </c>
      <c r="BV142" s="105" t="str">
        <f>IFERROR(__xludf.DUMMYFUNCTION("""COMPUTED_VALUE"""),"A Saya ingin dianggap menarik oleh orang lain.")</f>
        <v>A Saya ingin dianggap menarik oleh orang lain.</v>
      </c>
      <c r="BW142" s="105" t="str">
        <f>IFERROR(__xludf.DUMMYFUNCTION("""COMPUTED_VALUE"""),"B Saya ingin diperlakukan dengan baik oleh teman-teman saya.")</f>
        <v>B Saya ingin diperlakukan dengan baik oleh teman-teman saya.</v>
      </c>
      <c r="BX142" s="105" t="str">
        <f>IFERROR(__xludf.DUMMYFUNCTION("""COMPUTED_VALUE"""),"B Saya kadang-kadang suka melakukan hal-hal yang dapat dipuji oleh orang lain.")</f>
        <v>B Saya kadang-kadang suka melakukan hal-hal yang dapat dipuji oleh orang lain.</v>
      </c>
      <c r="BY142" s="105" t="str">
        <f>IFERROR(__xludf.DUMMYFUNCTION("""COMPUTED_VALUE"""),"A Saya suka melamun atau membayangkan hal-hal yang tidak jelas.")</f>
        <v>A Saya suka melamun atau membayangkan hal-hal yang tidak jelas.</v>
      </c>
      <c r="BZ142" s="105" t="str">
        <f>IFERROR(__xludf.DUMMYFUNCTION("""COMPUTED_VALUE"""),"A Saya suka berkata yang artinya sulit dipahami oleh orang lain.")</f>
        <v>A Saya suka berkata yang artinya sulit dipahami oleh orang lain.</v>
      </c>
      <c r="CA142" s="105" t="str">
        <f>IFERROR(__xludf.DUMMYFUNCTION("""COMPUTED_VALUE"""),"A Saya ingin teman-teman dengan gembira memberikan pertolongan kepada saya.")</f>
        <v>A Saya ingin teman-teman dengan gembira memberikan pertolongan kepada saya.</v>
      </c>
      <c r="CB142" s="105" t="str">
        <f>IFERROR(__xludf.DUMMYFUNCTION("""COMPUTED_VALUE"""),"B Saya suka berbicara tentang hal-hal yang telah saya capai.")</f>
        <v>B Saya suka berbicara tentang hal-hal yang telah saya capai.</v>
      </c>
      <c r="CC142" s="105" t="str">
        <f>IFERROR(__xludf.DUMMYFUNCTION("""COMPUTED_VALUE"""),"A Apabila saya berkumpul dalam kelompok, saya ingin dihargai teman-teman.")</f>
        <v>A Apabila saya berkumpul dalam kelompok, saya ingin dihargai teman-teman.</v>
      </c>
      <c r="CD142" s="105" t="str">
        <f>IFERROR(__xludf.DUMMYFUNCTION("""COMPUTED_VALUE"""),"B Saya suka berkata yang artinya sulit dipahami oleh orang lain.")</f>
        <v>B Saya suka berkata yang artinya sulit dipahami oleh orang lain.</v>
      </c>
      <c r="CE142" s="105" t="str">
        <f>IFERROR(__xludf.DUMMYFUNCTION("""COMPUTED_VALUE"""),"A Saya suka menyelesaikan setiap tugas belajar yang telah saya mulai.")</f>
        <v>A Saya suka menyelesaikan setiap tugas belajar yang telah saya mulai.</v>
      </c>
      <c r="CF142" s="105" t="str">
        <f>IFERROR(__xludf.DUMMYFUNCTION("""COMPUTED_VALUE"""),"A Saya ingin agar hidup saya teratur sesuai cita-cita saya.")</f>
        <v>A Saya ingin agar hidup saya teratur sesuai cita-cita saya.</v>
      </c>
      <c r="CG142" s="105" t="str">
        <f>IFERROR(__xludf.DUMMYFUNCTION("""COMPUTED_VALUE"""),"A Saya ingin berhasil dalam apa yang saya lakukan.")</f>
        <v>A Saya ingin berhasil dalam apa yang saya lakukan.</v>
      </c>
      <c r="CH142" s="105" t="str">
        <f>IFERROR(__xludf.DUMMYFUNCTION("""COMPUTED_VALUE"""),"A Saya ingin bisa melakukan dengan baik sesuatu pekerjaan sulit.")</f>
        <v>A Saya ingin bisa melakukan dengan baik sesuatu pekerjaan sulit.</v>
      </c>
      <c r="CI142" s="105" t="str">
        <f>IFERROR(__xludf.DUMMYFUNCTION("""COMPUTED_VALUE"""),"A Saya suka belajar saya teratur dan ada waktu-waktu tertentu untuk belajar.")</f>
        <v>A Saya suka belajar saya teratur dan ada waktu-waktu tertentu untuk belajar.</v>
      </c>
      <c r="CJ142" s="105" t="str">
        <f>IFERROR(__xludf.DUMMYFUNCTION("""COMPUTED_VALUE"""),"A Saya ingin tidak tergantung dari orang lain terhadap apa yang akan saya lakukan.")</f>
        <v>A Saya ingin tidak tergantung dari orang lain terhadap apa yang akan saya lakukan.</v>
      </c>
      <c r="CK142" s="105" t="str">
        <f>IFERROR(__xludf.DUMMYFUNCTION("""COMPUTED_VALUE"""),"A Saya suka bertahan menghadapi satu masalah, meskipun belum tentu berhasil.")</f>
        <v>A Saya suka bertahan menghadapi satu masalah, meskipun belum tentu berhasil.</v>
      </c>
      <c r="CL142" s="105" t="str">
        <f>IFERROR(__xludf.DUMMYFUNCTION("""COMPUTED_VALUE"""),"A Saya suka menolong teman-teman saya, apabila mereka dalam kesulitan.")</f>
        <v>A Saya suka menolong teman-teman saya, apabila mereka dalam kesulitan.</v>
      </c>
      <c r="CM142" s="105" t="str">
        <f>IFERROR(__xludf.DUMMYFUNCTION("""COMPUTED_VALUE"""),"A Saya ingin ditunjuk atau dipilih sebagai ketua dalam suatu kelompok.")</f>
        <v>A Saya ingin ditunjuk atau dipilih sebagai ketua dalam suatu kelompok.</v>
      </c>
      <c r="CN142" s="105" t="str">
        <f>IFERROR(__xludf.DUMMYFUNCTION("""COMPUTED_VALUE"""),"A Saya ingin diperlakukan dengan baik oleh teman-teman saya.")</f>
        <v>A Saya ingin diperlakukan dengan baik oleh teman-teman saya.</v>
      </c>
      <c r="CO142" s="105" t="str">
        <f>IFERROR(__xludf.DUMMYFUNCTION("""COMPUTED_VALUE"""),"B Saya suka memuji orang yang saya kagumi.")</f>
        <v>B Saya suka memuji orang yang saya kagumi.</v>
      </c>
      <c r="CP142" s="105" t="str">
        <f>IFERROR(__xludf.DUMMYFUNCTION("""COMPUTED_VALUE"""),"A Saya suka melamun atau membayangkan sesuatu sendirian.")</f>
        <v>A Saya suka melamun atau membayangkan sesuatu sendirian.</v>
      </c>
      <c r="CQ142" s="105" t="str">
        <f>IFERROR(__xludf.DUMMYFUNCTION("""COMPUTED_VALUE"""),"B Saya merasa kagum pada seseorang.")</f>
        <v>B Saya merasa kagum pada seseorang.</v>
      </c>
      <c r="CR142" s="105" t="str">
        <f>IFERROR(__xludf.DUMMYFUNCTION("""COMPUTED_VALUE"""),"B Saya rasanya ingin mengecam seseorang bila orang itu menjengkelkan.")</f>
        <v>B Saya rasanya ingin mengecam seseorang bila orang itu menjengkelkan.</v>
      </c>
      <c r="CS142" s="105" t="str">
        <f>IFERROR(__xludf.DUMMYFUNCTION("""COMPUTED_VALUE"""),"A Saya ingin terlihat menarik di depan teman-teman saya.")</f>
        <v>A Saya ingin terlihat menarik di depan teman-teman saya.</v>
      </c>
      <c r="CT142" s="105" t="str">
        <f>IFERROR(__xludf.DUMMYFUNCTION("""COMPUTED_VALUE"""),"A Saya ingin orang-orang memperhatikan komentar mengenai penampilan saya.")</f>
        <v>A Saya ingin orang-orang memperhatikan komentar mengenai penampilan saya.</v>
      </c>
      <c r="CU142" s="105" t="str">
        <f>IFERROR(__xludf.DUMMYFUNCTION("""COMPUTED_VALUE"""),"A Saya ingin diperlakukan dengan ramah oleh teman-teman saya.")</f>
        <v>A Saya ingin diperlakukan dengan ramah oleh teman-teman saya.</v>
      </c>
      <c r="CV142" s="105" t="str">
        <f>IFERROR(__xludf.DUMMYFUNCTION("""COMPUTED_VALUE"""),"A Saya ingin ditunjuk atau dipilih sebagai ketua dalam suatu kelompok.")</f>
        <v>A Saya ingin ditunjuk atau dipilih sebagai ketua dalam suatu kelompok.</v>
      </c>
      <c r="CW142" s="105" t="str">
        <f>IFERROR(__xludf.DUMMYFUNCTION("""COMPUTED_VALUE"""),"B Saya mengatakan kepada orang lain bagaimana pendapat saya terhadap mereka.")</f>
        <v>B Saya mengatakan kepada orang lain bagaimana pendapat saya terhadap mereka.</v>
      </c>
      <c r="CX142" s="105" t="str">
        <f>IFERROR(__xludf.DUMMYFUNCTION("""COMPUTED_VALUE"""),"A Saya suka belajar sampai malam untuk menyelesaikan suatu tugas.")</f>
        <v>A Saya suka belajar sampai malam untuk menyelesaikan suatu tugas.</v>
      </c>
      <c r="CY142" s="105" t="str">
        <f>IFERROR(__xludf.DUMMYFUNCTION("""COMPUTED_VALUE"""),"A Saya ingin tidak tergantung dari orang lain terhadap apa yang akan saya lakukan.")</f>
        <v>A Saya ingin tidak tergantung dari orang lain terhadap apa yang akan saya lakukan.</v>
      </c>
      <c r="CZ142" s="105" t="str">
        <f>IFERROR(__xludf.DUMMYFUNCTION("""COMPUTED_VALUE"""),"A Saya suka merencanakan dan mengatur setiap pekerjaan yang harus saya lakukan.")</f>
        <v>A Saya suka merencanakan dan mengatur setiap pekerjaan yang harus saya lakukan.</v>
      </c>
      <c r="DA142" s="105" t="str">
        <f>IFERROR(__xludf.DUMMYFUNCTION("""COMPUTED_VALUE"""),"A Saya ingin melakukan apa saja sebaik mungkin.")</f>
        <v>A Saya ingin melakukan apa saja sebaik mungkin.</v>
      </c>
      <c r="DB142" s="89" t="s">
        <v>23</v>
      </c>
      <c r="DC142" s="97" t="str">
        <f t="shared" ref="DC142:GX142" si="187">LEFT(F142,1)</f>
        <v>B</v>
      </c>
      <c r="DD142" s="97" t="str">
        <f t="shared" si="187"/>
        <v>A</v>
      </c>
      <c r="DE142" s="97" t="str">
        <f t="shared" si="187"/>
        <v>A</v>
      </c>
      <c r="DF142" s="97" t="str">
        <f t="shared" si="187"/>
        <v>B</v>
      </c>
      <c r="DG142" s="97" t="str">
        <f t="shared" si="187"/>
        <v>A</v>
      </c>
      <c r="DH142" s="97" t="str">
        <f t="shared" si="187"/>
        <v>A</v>
      </c>
      <c r="DI142" s="97" t="str">
        <f t="shared" si="187"/>
        <v>A</v>
      </c>
      <c r="DJ142" s="97" t="str">
        <f t="shared" si="187"/>
        <v>B</v>
      </c>
      <c r="DK142" s="97" t="str">
        <f t="shared" si="187"/>
        <v>B</v>
      </c>
      <c r="DL142" s="97" t="str">
        <f t="shared" si="187"/>
        <v>B</v>
      </c>
      <c r="DM142" s="97" t="str">
        <f t="shared" si="187"/>
        <v>A</v>
      </c>
      <c r="DN142" s="97" t="str">
        <f t="shared" si="187"/>
        <v>B</v>
      </c>
      <c r="DO142" s="97" t="str">
        <f t="shared" si="187"/>
        <v>A</v>
      </c>
      <c r="DP142" s="97" t="str">
        <f t="shared" si="187"/>
        <v>B</v>
      </c>
      <c r="DQ142" s="97" t="str">
        <f t="shared" si="187"/>
        <v>B</v>
      </c>
      <c r="DR142" s="97" t="str">
        <f t="shared" si="187"/>
        <v>A</v>
      </c>
      <c r="DS142" s="97" t="str">
        <f t="shared" si="187"/>
        <v>B</v>
      </c>
      <c r="DT142" s="97" t="str">
        <f t="shared" si="187"/>
        <v>A</v>
      </c>
      <c r="DU142" s="97" t="str">
        <f t="shared" si="187"/>
        <v>B</v>
      </c>
      <c r="DV142" s="97" t="str">
        <f t="shared" si="187"/>
        <v>A</v>
      </c>
      <c r="DW142" s="97" t="str">
        <f t="shared" si="187"/>
        <v>A</v>
      </c>
      <c r="DX142" s="97" t="str">
        <f t="shared" si="187"/>
        <v>B</v>
      </c>
      <c r="DY142" s="97" t="str">
        <f t="shared" si="187"/>
        <v>A</v>
      </c>
      <c r="DZ142" s="97" t="str">
        <f t="shared" si="187"/>
        <v>A</v>
      </c>
      <c r="EA142" s="97" t="str">
        <f t="shared" si="187"/>
        <v>B</v>
      </c>
      <c r="EB142" s="97" t="str">
        <f t="shared" si="187"/>
        <v>A</v>
      </c>
      <c r="EC142" s="97" t="str">
        <f t="shared" si="187"/>
        <v>B</v>
      </c>
      <c r="ED142" s="97" t="str">
        <f t="shared" si="187"/>
        <v>A</v>
      </c>
      <c r="EE142" s="97" t="str">
        <f t="shared" si="187"/>
        <v>B</v>
      </c>
      <c r="EF142" s="97" t="str">
        <f t="shared" si="187"/>
        <v>B</v>
      </c>
      <c r="EG142" s="97" t="str">
        <f t="shared" si="187"/>
        <v>B</v>
      </c>
      <c r="EH142" s="97" t="str">
        <f t="shared" si="187"/>
        <v>B</v>
      </c>
      <c r="EI142" s="97" t="str">
        <f t="shared" si="187"/>
        <v>B</v>
      </c>
      <c r="EJ142" s="97" t="str">
        <f t="shared" si="187"/>
        <v>B</v>
      </c>
      <c r="EK142" s="97" t="str">
        <f t="shared" si="187"/>
        <v>A</v>
      </c>
      <c r="EL142" s="97" t="str">
        <f t="shared" si="187"/>
        <v>A</v>
      </c>
      <c r="EM142" s="97" t="str">
        <f t="shared" si="187"/>
        <v>B</v>
      </c>
      <c r="EN142" s="97" t="str">
        <f t="shared" si="187"/>
        <v>B</v>
      </c>
      <c r="EO142" s="97" t="str">
        <f t="shared" si="187"/>
        <v>B</v>
      </c>
      <c r="EP142" s="97" t="str">
        <f t="shared" si="187"/>
        <v>A</v>
      </c>
      <c r="EQ142" s="97" t="str">
        <f t="shared" si="187"/>
        <v>A</v>
      </c>
      <c r="ER142" s="97" t="str">
        <f t="shared" si="187"/>
        <v>A</v>
      </c>
      <c r="ES142" s="97" t="str">
        <f t="shared" si="187"/>
        <v>B</v>
      </c>
      <c r="ET142" s="97" t="str">
        <f t="shared" si="187"/>
        <v>B</v>
      </c>
      <c r="EU142" s="97" t="str">
        <f t="shared" si="187"/>
        <v>A</v>
      </c>
      <c r="EV142" s="97" t="str">
        <f t="shared" si="187"/>
        <v>B</v>
      </c>
      <c r="EW142" s="97" t="str">
        <f t="shared" si="187"/>
        <v>B</v>
      </c>
      <c r="EX142" s="97" t="str">
        <f t="shared" si="187"/>
        <v>A</v>
      </c>
      <c r="EY142" s="97" t="str">
        <f t="shared" si="187"/>
        <v>A</v>
      </c>
      <c r="EZ142" s="97" t="str">
        <f t="shared" si="187"/>
        <v>A</v>
      </c>
      <c r="FA142" s="97" t="str">
        <f t="shared" si="187"/>
        <v>B</v>
      </c>
      <c r="FB142" s="97" t="str">
        <f t="shared" si="187"/>
        <v>A</v>
      </c>
      <c r="FC142" s="97" t="str">
        <f t="shared" si="187"/>
        <v>B</v>
      </c>
      <c r="FD142" s="97" t="str">
        <f t="shared" si="187"/>
        <v>B</v>
      </c>
      <c r="FE142" s="97" t="str">
        <f t="shared" si="187"/>
        <v>A</v>
      </c>
      <c r="FF142" s="97" t="str">
        <f t="shared" si="187"/>
        <v>A</v>
      </c>
      <c r="FG142" s="97" t="str">
        <f t="shared" si="187"/>
        <v>B</v>
      </c>
      <c r="FH142" s="97" t="str">
        <f t="shared" si="187"/>
        <v>B</v>
      </c>
      <c r="FI142" s="97" t="str">
        <f t="shared" si="187"/>
        <v>A</v>
      </c>
      <c r="FJ142" s="97" t="str">
        <f t="shared" si="187"/>
        <v>A</v>
      </c>
      <c r="FK142" s="97" t="str">
        <f t="shared" si="187"/>
        <v>A</v>
      </c>
      <c r="FL142" s="97" t="str">
        <f t="shared" si="187"/>
        <v>A</v>
      </c>
      <c r="FM142" s="97" t="str">
        <f t="shared" si="187"/>
        <v>A</v>
      </c>
      <c r="FN142" s="97" t="str">
        <f t="shared" si="187"/>
        <v>A</v>
      </c>
      <c r="FO142" s="97" t="str">
        <f t="shared" si="187"/>
        <v>A</v>
      </c>
      <c r="FP142" s="97" t="str">
        <f t="shared" si="187"/>
        <v>B</v>
      </c>
      <c r="FQ142" s="97" t="str">
        <f t="shared" si="187"/>
        <v>B</v>
      </c>
      <c r="FR142" s="97" t="str">
        <f t="shared" si="187"/>
        <v>A</v>
      </c>
      <c r="FS142" s="97" t="str">
        <f t="shared" si="187"/>
        <v>A</v>
      </c>
      <c r="FT142" s="97" t="str">
        <f t="shared" si="187"/>
        <v>B</v>
      </c>
      <c r="FU142" s="97" t="str">
        <f t="shared" si="187"/>
        <v>B</v>
      </c>
      <c r="FV142" s="97" t="str">
        <f t="shared" si="187"/>
        <v>A</v>
      </c>
      <c r="FW142" s="97" t="str">
        <f t="shared" si="187"/>
        <v>A</v>
      </c>
      <c r="FX142" s="97" t="str">
        <f t="shared" si="187"/>
        <v>A</v>
      </c>
      <c r="FY142" s="97" t="str">
        <f t="shared" si="187"/>
        <v>B</v>
      </c>
      <c r="FZ142" s="97" t="str">
        <f t="shared" si="187"/>
        <v>A</v>
      </c>
      <c r="GA142" s="97" t="str">
        <f t="shared" si="187"/>
        <v>B</v>
      </c>
      <c r="GB142" s="97" t="str">
        <f t="shared" si="187"/>
        <v>A</v>
      </c>
      <c r="GC142" s="97" t="str">
        <f t="shared" si="187"/>
        <v>A</v>
      </c>
      <c r="GD142" s="97" t="str">
        <f t="shared" si="187"/>
        <v>A</v>
      </c>
      <c r="GE142" s="97" t="str">
        <f t="shared" si="187"/>
        <v>A</v>
      </c>
      <c r="GF142" s="97" t="str">
        <f t="shared" si="187"/>
        <v>A</v>
      </c>
      <c r="GG142" s="97" t="str">
        <f t="shared" si="187"/>
        <v>A</v>
      </c>
      <c r="GH142" s="97" t="str">
        <f t="shared" si="187"/>
        <v>A</v>
      </c>
      <c r="GI142" s="97" t="str">
        <f t="shared" si="187"/>
        <v>A</v>
      </c>
      <c r="GJ142" s="97" t="str">
        <f t="shared" si="187"/>
        <v>A</v>
      </c>
      <c r="GK142" s="97" t="str">
        <f t="shared" si="187"/>
        <v>A</v>
      </c>
      <c r="GL142" s="97" t="str">
        <f t="shared" si="187"/>
        <v>B</v>
      </c>
      <c r="GM142" s="97" t="str">
        <f t="shared" si="187"/>
        <v>A</v>
      </c>
      <c r="GN142" s="97" t="str">
        <f t="shared" si="187"/>
        <v>B</v>
      </c>
      <c r="GO142" s="97" t="str">
        <f t="shared" si="187"/>
        <v>B</v>
      </c>
      <c r="GP142" s="97" t="str">
        <f t="shared" si="187"/>
        <v>A</v>
      </c>
      <c r="GQ142" s="97" t="str">
        <f t="shared" si="187"/>
        <v>A</v>
      </c>
      <c r="GR142" s="97" t="str">
        <f t="shared" si="187"/>
        <v>A</v>
      </c>
      <c r="GS142" s="97" t="str">
        <f t="shared" si="187"/>
        <v>A</v>
      </c>
      <c r="GT142" s="97" t="str">
        <f t="shared" si="187"/>
        <v>B</v>
      </c>
      <c r="GU142" s="97" t="str">
        <f t="shared" si="187"/>
        <v>A</v>
      </c>
      <c r="GV142" s="97" t="str">
        <f t="shared" si="187"/>
        <v>A</v>
      </c>
      <c r="GW142" s="97" t="str">
        <f t="shared" si="187"/>
        <v>A</v>
      </c>
      <c r="GX142" s="97" t="str">
        <f t="shared" si="187"/>
        <v>A</v>
      </c>
      <c r="GY142" s="98"/>
      <c r="GZ142" s="97">
        <f t="shared" si="3"/>
        <v>59</v>
      </c>
      <c r="HA142" s="97">
        <f t="shared" si="4"/>
        <v>41</v>
      </c>
      <c r="HB142" s="90">
        <f t="shared" si="5"/>
        <v>100</v>
      </c>
      <c r="HC142" s="99"/>
      <c r="HD142" s="97">
        <f t="shared" si="6"/>
        <v>9</v>
      </c>
      <c r="HE142" s="97">
        <f t="shared" si="7"/>
        <v>4</v>
      </c>
      <c r="HF142" s="90">
        <f t="shared" si="8"/>
        <v>13</v>
      </c>
      <c r="HG142" s="99"/>
      <c r="HH142" s="97">
        <f t="shared" si="9"/>
        <v>7</v>
      </c>
      <c r="HI142" s="97">
        <f t="shared" si="10"/>
        <v>5</v>
      </c>
      <c r="HJ142" s="90">
        <f t="shared" si="11"/>
        <v>12</v>
      </c>
      <c r="HK142" s="99"/>
      <c r="HL142" s="97">
        <f t="shared" si="12"/>
        <v>6</v>
      </c>
      <c r="HM142" s="97">
        <f t="shared" si="13"/>
        <v>5</v>
      </c>
      <c r="HN142" s="90">
        <f t="shared" si="14"/>
        <v>11</v>
      </c>
      <c r="HO142" s="99"/>
      <c r="HP142" s="97">
        <f t="shared" si="15"/>
        <v>4</v>
      </c>
      <c r="HQ142" s="97">
        <f t="shared" si="16"/>
        <v>7</v>
      </c>
      <c r="HR142" s="90">
        <f t="shared" si="17"/>
        <v>11</v>
      </c>
      <c r="HS142" s="99"/>
      <c r="HT142" s="97">
        <f t="shared" si="18"/>
        <v>7</v>
      </c>
      <c r="HU142" s="97">
        <f t="shared" si="19"/>
        <v>4</v>
      </c>
      <c r="HV142" s="90">
        <f t="shared" si="20"/>
        <v>11</v>
      </c>
      <c r="HW142" s="99"/>
      <c r="HX142" s="97">
        <f t="shared" si="21"/>
        <v>5</v>
      </c>
      <c r="HY142" s="97">
        <f t="shared" si="22"/>
        <v>5</v>
      </c>
      <c r="HZ142" s="90">
        <f t="shared" si="23"/>
        <v>10</v>
      </c>
      <c r="IA142" s="99"/>
      <c r="IB142" s="97">
        <f t="shared" si="24"/>
        <v>4</v>
      </c>
      <c r="IC142" s="97">
        <f t="shared" si="25"/>
        <v>3</v>
      </c>
      <c r="ID142" s="90">
        <f t="shared" si="26"/>
        <v>7</v>
      </c>
      <c r="IE142" s="99"/>
      <c r="IF142" s="97">
        <f t="shared" si="27"/>
        <v>5</v>
      </c>
      <c r="IG142" s="97">
        <f t="shared" si="28"/>
        <v>3</v>
      </c>
      <c r="IH142" s="90">
        <f t="shared" si="29"/>
        <v>8</v>
      </c>
      <c r="II142" s="99"/>
      <c r="IJ142" s="97">
        <f t="shared" si="30"/>
        <v>5</v>
      </c>
      <c r="IK142" s="97">
        <f t="shared" si="31"/>
        <v>2</v>
      </c>
      <c r="IL142" s="90">
        <f t="shared" si="32"/>
        <v>7</v>
      </c>
      <c r="IM142" s="99"/>
      <c r="IN142" s="97">
        <f t="shared" si="33"/>
        <v>2</v>
      </c>
      <c r="IO142" s="97">
        <f t="shared" si="34"/>
        <v>2</v>
      </c>
      <c r="IP142" s="90">
        <f t="shared" si="35"/>
        <v>4</v>
      </c>
      <c r="IS142" s="100">
        <f t="shared" si="36"/>
        <v>13</v>
      </c>
      <c r="IT142" s="100">
        <f t="shared" si="37"/>
        <v>12</v>
      </c>
      <c r="IU142" s="100">
        <f t="shared" si="38"/>
        <v>11</v>
      </c>
      <c r="IV142" s="100">
        <f t="shared" si="39"/>
        <v>11</v>
      </c>
      <c r="IW142" s="100">
        <f t="shared" si="40"/>
        <v>11</v>
      </c>
      <c r="IX142" s="100">
        <f t="shared" si="41"/>
        <v>10</v>
      </c>
      <c r="IY142" s="100">
        <f t="shared" si="42"/>
        <v>7</v>
      </c>
      <c r="IZ142" s="100">
        <f t="shared" si="43"/>
        <v>8</v>
      </c>
      <c r="JA142" s="100">
        <f t="shared" si="44"/>
        <v>7</v>
      </c>
      <c r="JB142" s="101">
        <f t="shared" si="45"/>
        <v>4</v>
      </c>
      <c r="JC142" s="102">
        <f t="shared" si="46"/>
        <v>94</v>
      </c>
      <c r="JD142" s="67">
        <f t="shared" si="50"/>
        <v>0</v>
      </c>
      <c r="JE142" s="67">
        <f t="shared" si="47"/>
        <v>1</v>
      </c>
      <c r="JF142" s="67">
        <f t="shared" si="48"/>
        <v>1</v>
      </c>
    </row>
    <row r="143">
      <c r="A143" s="104">
        <f>IFERROR(__xludf.DUMMYFUNCTION("""COMPUTED_VALUE"""),45972.909939074074)</f>
        <v>45972.90994</v>
      </c>
      <c r="B143" s="105" t="str">
        <f>IFERROR(__xludf.DUMMYFUNCTION("""COMPUTED_VALUE"""),"Achmad Kaisan Sidqi")</f>
        <v>Achmad Kaisan Sidqi</v>
      </c>
      <c r="C143" s="7" t="str">
        <f>IFERROR(__xludf.DUMMYFUNCTION("""COMPUTED_VALUE"""),"C250007")</f>
        <v>C250007</v>
      </c>
      <c r="D143" s="7" t="str">
        <f>IFERROR(__xludf.DUMMYFUNCTION("""COMPUTED_VALUE"""),"SMA")</f>
        <v>SMA</v>
      </c>
      <c r="E143" s="7" t="str">
        <f>IFERROR(__xludf.DUMMYFUNCTION("""COMPUTED_VALUE"""),"Ya")</f>
        <v>Ya</v>
      </c>
      <c r="F143" s="105" t="str">
        <f>IFERROR(__xludf.DUMMYFUNCTION("""COMPUTED_VALUE"""),"B Saya ingin melakukan apa saja sebaik mungkin.")</f>
        <v>B Saya ingin melakukan apa saja sebaik mungkin.</v>
      </c>
      <c r="G143" s="105" t="str">
        <f>IFERROR(__xludf.DUMMYFUNCTION("""COMPUTED_VALUE"""),"A Saya ingin setiap tulisan saya teliti, rapi, dan tersusun dengan baik.")</f>
        <v>A Saya ingin setiap tulisan saya teliti, rapi, dan tersusun dengan baik.</v>
      </c>
      <c r="H143" s="105" t="str">
        <f>IFERROR(__xludf.DUMMYFUNCTION("""COMPUTED_VALUE"""),"A Saya ingin berbuat sesuai kata hati saya.")</f>
        <v>A Saya ingin berbuat sesuai kata hati saya.</v>
      </c>
      <c r="I143" s="105" t="str">
        <f>IFERROR(__xludf.DUMMYFUNCTION("""COMPUTED_VALUE"""),"B Saya ingin bisa melakukan dengan baik meskipun tugas yang sulit.")</f>
        <v>B Saya ingin bisa melakukan dengan baik meskipun tugas yang sulit.</v>
      </c>
      <c r="J143" s="105" t="str">
        <f>IFERROR(__xludf.DUMMYFUNCTION("""COMPUTED_VALUE"""),"A Saya suka membantu teman-teman saya apabila mereka mengalami kesulitan.")</f>
        <v>A Saya suka membantu teman-teman saya apabila mereka mengalami kesulitan.</v>
      </c>
      <c r="K143" s="105" t="str">
        <f>IFERROR(__xludf.DUMMYFUNCTION("""COMPUTED_VALUE"""),"B Saya ingin mengatakan telah melakukan dengan baik sesuatu tugas yang sulit.")</f>
        <v>B Saya ingin mengatakan telah melakukan dengan baik sesuatu tugas yang sulit.</v>
      </c>
      <c r="L143" s="105" t="str">
        <f>IFERROR(__xludf.DUMMYFUNCTION("""COMPUTED_VALUE"""),"B Saya ingin mengatakan telah melakukan dengan baik sesuatu tugas yang sulit")</f>
        <v>B Saya ingin mengatakan telah melakukan dengan baik sesuatu tugas yang sulit</v>
      </c>
      <c r="M143" s="105" t="str">
        <f>IFERROR(__xludf.DUMMYFUNCTION("""COMPUTED_VALUE"""),"A Saya suka berbicara tentang hal-hal yang telah berhasil saya lakukan.")</f>
        <v>A Saya suka berbicara tentang hal-hal yang telah berhasil saya lakukan.</v>
      </c>
      <c r="N143" s="105" t="str">
        <f>IFERROR(__xludf.DUMMYFUNCTION("""COMPUTED_VALUE"""),"B Saya suka memecahkan persoalan yang sukar bagi orang lain.")</f>
        <v>B Saya suka memecahkan persoalan yang sukar bagi orang lain.</v>
      </c>
      <c r="O143" s="105" t="str">
        <f>IFERROR(__xludf.DUMMYFUNCTION("""COMPUTED_VALUE"""),"A Saya marah saat ada teman memperolok-olok hal-hal yang saya anggap bodoh.")</f>
        <v>A Saya marah saat ada teman memperolok-olok hal-hal yang saya anggap bodoh.</v>
      </c>
      <c r="P143" s="105" t="str">
        <f>IFERROR(__xludf.DUMMYFUNCTION("""COMPUTED_VALUE"""),"B Saya ingin setiap belajar itu teratur dan direncanakan.")</f>
        <v>B Saya ingin setiap belajar itu teratur dan direncanakan.</v>
      </c>
      <c r="Q143" s="105" t="str">
        <f>IFERROR(__xludf.DUMMYFUNCTION("""COMPUTED_VALUE"""),"A Saya mulai suka dengan lawan jenis.")</f>
        <v>A Saya mulai suka dengan lawan jenis.</v>
      </c>
      <c r="R143" s="105" t="str">
        <f>IFERROR(__xludf.DUMMYFUNCTION("""COMPUTED_VALUE"""),"B Saya suka barang-barang saya tersusun rapi dan teratur.")</f>
        <v>B Saya suka barang-barang saya tersusun rapi dan teratur.</v>
      </c>
      <c r="S143" s="105" t="str">
        <f>IFERROR(__xludf.DUMMYFUNCTION("""COMPUTED_VALUE"""),"B Saya suka membuat perencanaan sebelum memulai tugas yang sulit.")</f>
        <v>B Saya suka membuat perencanaan sebelum memulai tugas yang sulit.</v>
      </c>
      <c r="T143" s="105" t="str">
        <f>IFERROR(__xludf.DUMMYFUNCTION("""COMPUTED_VALUE"""),"B Saya ingin agar hidup saya teratur sesuai cita-cita saya.")</f>
        <v>B Saya ingin agar hidup saya teratur sesuai cita-cita saya.</v>
      </c>
      <c r="U143" s="105" t="str">
        <f>IFERROR(__xludf.DUMMYFUNCTION("""COMPUTED_VALUE"""),"A Saya suka memberikan bantuan kepada teman-teman saya.")</f>
        <v>A Saya suka memberikan bantuan kepada teman-teman saya.</v>
      </c>
      <c r="V143" s="105" t="str">
        <f>IFERROR(__xludf.DUMMYFUNCTION("""COMPUTED_VALUE"""),"A Saya suka belajar sampai malam untuk menyelesaikan suatu tugas.")</f>
        <v>A Saya suka belajar sampai malam untuk menyelesaikan suatu tugas.</v>
      </c>
      <c r="W143" s="105" t="str">
        <f>IFERROR(__xludf.DUMMYFUNCTION("""COMPUTED_VALUE"""),"A Saya suka melakukan kegiatan sesuai kondisi yang saya inginkan.")</f>
        <v>A Saya suka melakukan kegiatan sesuai kondisi yang saya inginkan.</v>
      </c>
      <c r="X143" s="105" t="str">
        <f>IFERROR(__xludf.DUMMYFUNCTION("""COMPUTED_VALUE"""),"A Saya suka merencanakan dan mengatur setiap apa yang harus saya lakukan.")</f>
        <v>A Saya suka merencanakan dan mengatur setiap apa yang harus saya lakukan.</v>
      </c>
      <c r="Y143" s="105" t="str">
        <f>IFERROR(__xludf.DUMMYFUNCTION("""COMPUTED_VALUE"""),"A Saya suka menyelesaikan tugas-tugas yang membutuhkan ketrampilan dan usaha.")</f>
        <v>A Saya suka menyelesaikan tugas-tugas yang membutuhkan ketrampilan dan usaha.</v>
      </c>
      <c r="Z143" s="105" t="str">
        <f>IFERROR(__xludf.DUMMYFUNCTION("""COMPUTED_VALUE"""),"A Saya ingin berhasil dengan belajar yang saya lakukan.")</f>
        <v>A Saya ingin berhasil dengan belajar yang saya lakukan.</v>
      </c>
      <c r="AA143" s="105" t="str">
        <f>IFERROR(__xludf.DUMMYFUNCTION("""COMPUTED_VALUE"""),"B Saya tidak suka pada orang yang berbuat seenaknya sendiri.")</f>
        <v>B Saya tidak suka pada orang yang berbuat seenaknya sendiri.</v>
      </c>
      <c r="AB143" s="105" t="str">
        <f>IFERROR(__xludf.DUMMYFUNCTION("""COMPUTED_VALUE"""),"A Saya ingin tidak tergantung dari orang lain terhadap apa yang akan saya lakukan.")</f>
        <v>A Saya ingin tidak tergantung dari orang lain terhadap apa yang akan saya lakukan.</v>
      </c>
      <c r="AC143" s="105" t="str">
        <f>IFERROR(__xludf.DUMMYFUNCTION("""COMPUTED_VALUE"""),"A Saya suka menyelesaikan setiap tugas meskipun membutuhkan waktu lama.")</f>
        <v>A Saya suka menyelesaikan setiap tugas meskipun membutuhkan waktu lama.</v>
      </c>
      <c r="AD143" s="105" t="str">
        <f>IFERROR(__xludf.DUMMYFUNCTION("""COMPUTED_VALUE"""),"A Saya suka bermurah hati terhadap teman-teman saya.")</f>
        <v>A Saya suka bermurah hati terhadap teman-teman saya.</v>
      </c>
      <c r="AE143" s="105" t="str">
        <f>IFERROR(__xludf.DUMMYFUNCTION("""COMPUTED_VALUE"""),"B Saya suka melakukan hal-hal yang dianggap orang lain tidak sesuai.")</f>
        <v>B Saya suka melakukan hal-hal yang dianggap orang lain tidak sesuai.</v>
      </c>
      <c r="AF143" s="105" t="str">
        <f>IFERROR(__xludf.DUMMYFUNCTION("""COMPUTED_VALUE"""),"B Saya suka melakukan hal-hal dengan cara saya sendiri.")</f>
        <v>B Saya suka melakukan hal-hal dengan cara saya sendiri.</v>
      </c>
      <c r="AG143" s="105" t="str">
        <f>IFERROR(__xludf.DUMMYFUNCTION("""COMPUTED_VALUE"""),"B Saya ingin berhasil dengan tugas yang saya lakukan.")</f>
        <v>B Saya ingin berhasil dengan tugas yang saya lakukan.</v>
      </c>
      <c r="AH143" s="105" t="str">
        <f>IFERROR(__xludf.DUMMYFUNCTION("""COMPUTED_VALUE"""),"B Saya ingin merasa bebas untuk melakukan apa yang saya kehendaki.")</f>
        <v>B Saya ingin merasa bebas untuk melakukan apa yang saya kehendaki.</v>
      </c>
      <c r="AI143" s="105" t="str">
        <f>IFERROR(__xludf.DUMMYFUNCTION("""COMPUTED_VALUE"""),"B Saya suka melakukan kegiatan sesuai kondisi yang saya inginkan.")</f>
        <v>B Saya suka melakukan kegiatan sesuai kondisi yang saya inginkan.</v>
      </c>
      <c r="AJ143" s="105" t="str">
        <f>IFERROR(__xludf.DUMMYFUNCTION("""COMPUTED_VALUE"""),"A Saya rasanya ingin membalas dendam bila seseorang menghina saya.")</f>
        <v>A Saya rasanya ingin membalas dendam bila seseorang menghina saya.</v>
      </c>
      <c r="AK143" s="105" t="str">
        <f>IFERROR(__xludf.DUMMYFUNCTION("""COMPUTED_VALUE"""),"B Bila saya harus melakukan suatu tugas, saya ingin mengerjakan sampai selesai.")</f>
        <v>B Bila saya harus melakukan suatu tugas, saya ingin mengerjakan sampai selesai.</v>
      </c>
      <c r="AL143" s="105" t="str">
        <f>IFERROR(__xludf.DUMMYFUNCTION("""COMPUTED_VALUE"""),"A Saya suka berbicara tentang hal-hal yang telah saya capai.")</f>
        <v>A Saya suka berbicara tentang hal-hal yang telah saya capai.</v>
      </c>
      <c r="AM143" s="105" t="str">
        <f>IFERROR(__xludf.DUMMYFUNCTION("""COMPUTED_VALUE"""),"B Saya suka belajar sampai malam untuk menyelesaikan suatu tugas.")</f>
        <v>B Saya suka belajar sampai malam untuk menyelesaikan suatu tugas.</v>
      </c>
      <c r="AN143" s="105" t="str">
        <f>IFERROR(__xludf.DUMMYFUNCTION("""COMPUTED_VALUE"""),"A Saya tidak suka pada orang yang semena-mena.")</f>
        <v>A Saya tidak suka pada orang yang semena-mena.</v>
      </c>
      <c r="AO143" s="105" t="str">
        <f>IFERROR(__xludf.DUMMYFUNCTION("""COMPUTED_VALUE"""),"A Saya suka berlaku sangat ramah terhadap teman-teman saya.")</f>
        <v>A Saya suka berlaku sangat ramah terhadap teman-teman saya.</v>
      </c>
      <c r="AP143" s="105" t="str">
        <f>IFERROR(__xludf.DUMMYFUNCTION("""COMPUTED_VALUE"""),"A Saya ingin mengerjakannya tugas sampai selesai.")</f>
        <v>A Saya ingin mengerjakannya tugas sampai selesai.</v>
      </c>
      <c r="AQ143" s="105" t="str">
        <f>IFERROR(__xludf.DUMMYFUNCTION("""COMPUTED_VALUE"""),"B Bila saya harus melakukan suatu tugas, saya ingin mengerjakan sampai selesai.")</f>
        <v>B Bila saya harus melakukan suatu tugas, saya ingin mengerjakan sampai selesai.</v>
      </c>
      <c r="AR143" s="105" t="str">
        <f>IFERROR(__xludf.DUMMYFUNCTION("""COMPUTED_VALUE"""),"B Saya suka belajar keras pada tiap pelajaran yang saya hadapi.")</f>
        <v>B Saya suka belajar keras pada tiap pelajaran yang saya hadapi.</v>
      </c>
      <c r="AS143" s="105" t="str">
        <f>IFERROR(__xludf.DUMMYFUNCTION("""COMPUTED_VALUE"""),"B Saya suka belajar sampai malam untuk menyelesaikan suatu tugas.")</f>
        <v>B Saya suka belajar sampai malam untuk menyelesaikan suatu tugas.</v>
      </c>
      <c r="AT143" s="105" t="str">
        <f>IFERROR(__xludf.DUMMYFUNCTION("""COMPUTED_VALUE"""),"B Saya suka membantu orang lain yang menurut saya perlu dikasihani.")</f>
        <v>B Saya suka membantu orang lain yang menurut saya perlu dikasihani.</v>
      </c>
      <c r="AU143" s="105" t="str">
        <f>IFERROR(__xludf.DUMMYFUNCTION("""COMPUTED_VALUE"""),"B Saya suka bermurah hati terhadap teman-teman saya.")</f>
        <v>B Saya suka bermurah hati terhadap teman-teman saya.</v>
      </c>
      <c r="AV143" s="105" t="str">
        <f>IFERROR(__xludf.DUMMYFUNCTION("""COMPUTED_VALUE"""),"B Saya suka menolong teman-teman saya.")</f>
        <v>B Saya suka menolong teman-teman saya.</v>
      </c>
      <c r="AW143" s="105" t="str">
        <f>IFERROR(__xludf.DUMMYFUNCTION("""COMPUTED_VALUE"""),"A Saya ingin mengerjakan tugas sampai selesai.")</f>
        <v>A Saya ingin mengerjakan tugas sampai selesai.</v>
      </c>
      <c r="AX143" s="105" t="str">
        <f>IFERROR(__xludf.DUMMYFUNCTION("""COMPUTED_VALUE"""),"A Saya suka menolong teman-teman saya apabila mereka dalam kesulitan.")</f>
        <v>A Saya suka menolong teman-teman saya apabila mereka dalam kesulitan.</v>
      </c>
      <c r="AY143" s="105" t="str">
        <f>IFERROR(__xludf.DUMMYFUNCTION("""COMPUTED_VALUE"""),"B Saya suka menolong teman-teman saya apabila mereka dalam kesulitan.")</f>
        <v>B Saya suka menolong teman-teman saya apabila mereka dalam kesulitan.</v>
      </c>
      <c r="AZ143" s="105" t="str">
        <f>IFERROR(__xludf.DUMMYFUNCTION("""COMPUTED_VALUE"""),"A Saya ingin agar teman-teman saya bersimpati dan menghibur saya bila saya sedih.")</f>
        <v>A Saya ingin agar teman-teman saya bersimpati dan menghibur saya bila saya sedih.</v>
      </c>
      <c r="BA143" s="105" t="str">
        <f>IFERROR(__xludf.DUMMYFUNCTION("""COMPUTED_VALUE"""),"B Saya suka memperlakukan orang lain dengan baik dan ramah.")</f>
        <v>B Saya suka memperlakukan orang lain dengan baik dan ramah.</v>
      </c>
      <c r="BB143" s="105" t="str">
        <f>IFERROR(__xludf.DUMMYFUNCTION("""COMPUTED_VALUE"""),"B Saya suka bermurah hati terhadap teman-teman saya.")</f>
        <v>B Saya suka bermurah hati terhadap teman-teman saya.</v>
      </c>
      <c r="BC143" s="105" t="str">
        <f>IFERROR(__xludf.DUMMYFUNCTION("""COMPUTED_VALUE"""),"B Saya suka membantu orang lain yang menurut saya perlu dikasihani.")</f>
        <v>B Saya suka membantu orang lain yang menurut saya perlu dikasihani.</v>
      </c>
      <c r="BD143" s="105" t="str">
        <f>IFERROR(__xludf.DUMMYFUNCTION("""COMPUTED_VALUE"""),"B Saya suka bersikukuh dengan pendirian saya.")</f>
        <v>B Saya suka bersikukuh dengan pendirian saya.</v>
      </c>
      <c r="BE143" s="105" t="str">
        <f>IFERROR(__xludf.DUMMYFUNCTION("""COMPUTED_VALUE"""),"A Saya suka mendengarkan atau menceritakan hal-hal yang sebaiknya tidak diceritakan.")</f>
        <v>A Saya suka mendengarkan atau menceritakan hal-hal yang sebaiknya tidak diceritakan.</v>
      </c>
      <c r="BF143" s="105" t="str">
        <f>IFERROR(__xludf.DUMMYFUNCTION("""COMPUTED_VALUE"""),"A Saya ingin orang lain memperhatikan dan berkomentar tentang penampilan saya.")</f>
        <v>A Saya ingin orang lain memperhatikan dan berkomentar tentang penampilan saya.</v>
      </c>
      <c r="BG143" s="105" t="str">
        <f>IFERROR(__xludf.DUMMYFUNCTION("""COMPUTED_VALUE"""),"B Saya suka mengarahkan kepada orang lain apa yang harus dilakukan.")</f>
        <v>B Saya suka mengarahkan kepada orang lain apa yang harus dilakukan.</v>
      </c>
      <c r="BH143" s="105" t="str">
        <f>IFERROR(__xludf.DUMMYFUNCTION("""COMPUTED_VALUE"""),"A Saya suka menghindar dari situasi yang tidak saya harapkan.")</f>
        <v>A Saya suka menghindar dari situasi yang tidak saya harapkan.</v>
      </c>
      <c r="BI143" s="105" t="str">
        <f>IFERROR(__xludf.DUMMYFUNCTION("""COMPUTED_VALUE"""),"A Saya suka bermurah hati terhadap teman-teman saya.")</f>
        <v>A Saya suka bermurah hati terhadap teman-teman saya.</v>
      </c>
      <c r="BJ143" s="105" t="str">
        <f>IFERROR(__xludf.DUMMYFUNCTION("""COMPUTED_VALUE"""),"A Saya ingin mengerjakan tugas sampai selesai.")</f>
        <v>A Saya ingin mengerjakan tugas sampai selesai.</v>
      </c>
      <c r="BK143" s="105" t="str">
        <f>IFERROR(__xludf.DUMMYFUNCTION("""COMPUTED_VALUE"""),"A Saya ingin menyelesaikan pekerjaan satu persatu sebelum memulai yang lain.")</f>
        <v>A Saya ingin menyelesaikan pekerjaan satu persatu sebelum memulai yang lain.</v>
      </c>
      <c r="BL143" s="105" t="str">
        <f>IFERROR(__xludf.DUMMYFUNCTION("""COMPUTED_VALUE"""),"A Saya suka belajar saya teratur dan ada waktu-waktu tertentu untuk belajar.")</f>
        <v>A Saya suka belajar saya teratur dan ada waktu-waktu tertentu untuk belajar.</v>
      </c>
      <c r="BM143" s="105" t="str">
        <f>IFERROR(__xludf.DUMMYFUNCTION("""COMPUTED_VALUE"""),"A Saya suka melakukan pekerjaan sebaik mungkin.")</f>
        <v>A Saya suka melakukan pekerjaan sebaik mungkin.</v>
      </c>
      <c r="BN143" s="105" t="str">
        <f>IFERROR(__xludf.DUMMYFUNCTION("""COMPUTED_VALUE"""),"B Saya ingin teman-teman memberi dorongan bila saya menghadapi kegagalan.")</f>
        <v>B Saya ingin teman-teman memberi dorongan bila saya menghadapi kegagalan.</v>
      </c>
      <c r="BO143" s="105" t="str">
        <f>IFERROR(__xludf.DUMMYFUNCTION("""COMPUTED_VALUE"""),"A Saya suka membuat perencanaan sebelum memulai belajar yang sulit.")</f>
        <v>A Saya suka membuat perencanaan sebelum memulai belajar yang sulit.</v>
      </c>
      <c r="BP143" s="105" t="str">
        <f>IFERROR(__xludf.DUMMYFUNCTION("""COMPUTED_VALUE"""),"A Saya ingin menyelesaikan sesuatu yang sangat penting artinya.")</f>
        <v>A Saya ingin menyelesaikan sesuatu yang sangat penting artinya.</v>
      </c>
      <c r="BQ143" s="105" t="str">
        <f>IFERROR(__xludf.DUMMYFUNCTION("""COMPUTED_VALUE"""),"A Saya ingin mengerjakannya tugas sampai selesai.")</f>
        <v>A Saya ingin mengerjakannya tugas sampai selesai.</v>
      </c>
      <c r="BR143" s="105" t="str">
        <f>IFERROR(__xludf.DUMMYFUNCTION("""COMPUTED_VALUE"""),"A Saya suka memaafkan teman-teman saya yang menyakiti hati saya.")</f>
        <v>A Saya suka memaafkan teman-teman saya yang menyakiti hati saya.</v>
      </c>
      <c r="BS143" s="105" t="str">
        <f>IFERROR(__xludf.DUMMYFUNCTION("""COMPUTED_VALUE"""),"B Saya ingin teman-teman saya membantu saya bila saya mengalami kesulitan")</f>
        <v>B Saya ingin teman-teman saya membantu saya bila saya mengalami kesulitan</v>
      </c>
      <c r="BT143" s="105" t="str">
        <f>IFERROR(__xludf.DUMMYFUNCTION("""COMPUTED_VALUE"""),"A Saya ingin teman-teman saya merasa kasihan pada saya apabila saya sakit.")</f>
        <v>A Saya ingin teman-teman saya merasa kasihan pada saya apabila saya sakit.</v>
      </c>
      <c r="BU143" s="105" t="str">
        <f>IFERROR(__xludf.DUMMYFUNCTION("""COMPUTED_VALUE"""),"A Saya kadang-kadang suka melakukan hal-hal yang dapat dipuji oleh orang lain.")</f>
        <v>A Saya kadang-kadang suka melakukan hal-hal yang dapat dipuji oleh orang lain.</v>
      </c>
      <c r="BV143" s="105" t="str">
        <f>IFERROR(__xludf.DUMMYFUNCTION("""COMPUTED_VALUE"""),"B Saya ingin teman-teman dengan gembira memberikan pertolongan kepada saya.")</f>
        <v>B Saya ingin teman-teman dengan gembira memberikan pertolongan kepada saya.</v>
      </c>
      <c r="BW143" s="105" t="str">
        <f>IFERROR(__xludf.DUMMYFUNCTION("""COMPUTED_VALUE"""),"A Saya akan menyerang pendapat yang bertentangan dengan pendirian saya.")</f>
        <v>A Saya akan menyerang pendapat yang bertentangan dengan pendirian saya.</v>
      </c>
      <c r="BX143" s="105" t="str">
        <f>IFERROR(__xludf.DUMMYFUNCTION("""COMPUTED_VALUE"""),"A Saya ingin memperolok-olok orang yang saya anggap melakukan tindakan bodoh.")</f>
        <v>A Saya ingin memperolok-olok orang yang saya anggap melakukan tindakan bodoh.</v>
      </c>
      <c r="BY143" s="105" t="str">
        <f>IFERROR(__xludf.DUMMYFUNCTION("""COMPUTED_VALUE"""),"A Saya suka melamun atau membayangkan hal-hal yang tidak jelas.")</f>
        <v>A Saya suka melamun atau membayangkan hal-hal yang tidak jelas.</v>
      </c>
      <c r="BZ143" s="105" t="str">
        <f>IFERROR(__xludf.DUMMYFUNCTION("""COMPUTED_VALUE"""),"A Saya suka berkata yang artinya sulit dipahami oleh orang lain.")</f>
        <v>A Saya suka berkata yang artinya sulit dipahami oleh orang lain.</v>
      </c>
      <c r="CA143" s="105" t="str">
        <f>IFERROR(__xludf.DUMMYFUNCTION("""COMPUTED_VALUE"""),"A Saya ingin teman-teman dengan gembira memberikan pertolongan kepada saya.")</f>
        <v>A Saya ingin teman-teman dengan gembira memberikan pertolongan kepada saya.</v>
      </c>
      <c r="CB143" s="105" t="str">
        <f>IFERROR(__xludf.DUMMYFUNCTION("""COMPUTED_VALUE"""),"B Saya suka berbicara tentang hal-hal yang telah saya capai.")</f>
        <v>B Saya suka berbicara tentang hal-hal yang telah saya capai.</v>
      </c>
      <c r="CC143" s="105" t="str">
        <f>IFERROR(__xludf.DUMMYFUNCTION("""COMPUTED_VALUE"""),"B Saya suka menceritakan hal-hal lucu agar diperhatikan oleh orang lain.")</f>
        <v>B Saya suka menceritakan hal-hal lucu agar diperhatikan oleh orang lain.</v>
      </c>
      <c r="CD143" s="105" t="str">
        <f>IFERROR(__xludf.DUMMYFUNCTION("""COMPUTED_VALUE"""),"A Saya suka menyelesaikan setiap tugas meskipun membutuhkan waktu lama.")</f>
        <v>A Saya suka menyelesaikan setiap tugas meskipun membutuhkan waktu lama.</v>
      </c>
      <c r="CE143" s="105" t="str">
        <f>IFERROR(__xludf.DUMMYFUNCTION("""COMPUTED_VALUE"""),"A Saya suka menyelesaikan setiap tugas belajar yang telah saya mulai.")</f>
        <v>A Saya suka menyelesaikan setiap tugas belajar yang telah saya mulai.</v>
      </c>
      <c r="CF143" s="105" t="str">
        <f>IFERROR(__xludf.DUMMYFUNCTION("""COMPUTED_VALUE"""),"A Saya ingin agar hidup saya teratur sesuai cita-cita saya.")</f>
        <v>A Saya ingin agar hidup saya teratur sesuai cita-cita saya.</v>
      </c>
      <c r="CG143" s="105" t="str">
        <f>IFERROR(__xludf.DUMMYFUNCTION("""COMPUTED_VALUE"""),"A Saya ingin berhasil dalam apa yang saya lakukan.")</f>
        <v>A Saya ingin berhasil dalam apa yang saya lakukan.</v>
      </c>
      <c r="CH143" s="105" t="str">
        <f>IFERROR(__xludf.DUMMYFUNCTION("""COMPUTED_VALUE"""),"A Saya ingin bisa melakukan dengan baik sesuatu pekerjaan sulit.")</f>
        <v>A Saya ingin bisa melakukan dengan baik sesuatu pekerjaan sulit.</v>
      </c>
      <c r="CI143" s="105" t="str">
        <f>IFERROR(__xludf.DUMMYFUNCTION("""COMPUTED_VALUE"""),"A Saya suka belajar saya teratur dan ada waktu-waktu tertentu untuk belajar.")</f>
        <v>A Saya suka belajar saya teratur dan ada waktu-waktu tertentu untuk belajar.</v>
      </c>
      <c r="CJ143" s="105" t="str">
        <f>IFERROR(__xludf.DUMMYFUNCTION("""COMPUTED_VALUE"""),"A Saya ingin tidak tergantung dari orang lain terhadap apa yang akan saya lakukan.")</f>
        <v>A Saya ingin tidak tergantung dari orang lain terhadap apa yang akan saya lakukan.</v>
      </c>
      <c r="CK143" s="105" t="str">
        <f>IFERROR(__xludf.DUMMYFUNCTION("""COMPUTED_VALUE"""),"B Saya senang ikut beraktivitas bersama teman sebaya saya.")</f>
        <v>B Saya senang ikut beraktivitas bersama teman sebaya saya.</v>
      </c>
      <c r="CL143" s="105" t="str">
        <f>IFERROR(__xludf.DUMMYFUNCTION("""COMPUTED_VALUE"""),"A Saya suka menolong teman-teman saya, apabila mereka dalam kesulitan.")</f>
        <v>A Saya suka menolong teman-teman saya, apabila mereka dalam kesulitan.</v>
      </c>
      <c r="CM143" s="105" t="str">
        <f>IFERROR(__xludf.DUMMYFUNCTION("""COMPUTED_VALUE"""),"B Saya merasa kagum pada seseorang.")</f>
        <v>B Saya merasa kagum pada seseorang.</v>
      </c>
      <c r="CN143" s="105" t="str">
        <f>IFERROR(__xludf.DUMMYFUNCTION("""COMPUTED_VALUE"""),"A Saya ingin diperlakukan dengan baik oleh teman-teman saya.")</f>
        <v>A Saya ingin diperlakukan dengan baik oleh teman-teman saya.</v>
      </c>
      <c r="CO143" s="105" t="str">
        <f>IFERROR(__xludf.DUMMYFUNCTION("""COMPUTED_VALUE"""),"B Saya suka memuji orang yang saya kagumi.")</f>
        <v>B Saya suka memuji orang yang saya kagumi.</v>
      </c>
      <c r="CP143" s="105" t="str">
        <f>IFERROR(__xludf.DUMMYFUNCTION("""COMPUTED_VALUE"""),"B Saya ingin dianggap menarik oleh orang lain.")</f>
        <v>B Saya ingin dianggap menarik oleh orang lain.</v>
      </c>
      <c r="CQ143" s="105" t="str">
        <f>IFERROR(__xludf.DUMMYFUNCTION("""COMPUTED_VALUE"""),"B Saya merasa kagum pada seseorang.")</f>
        <v>B Saya merasa kagum pada seseorang.</v>
      </c>
      <c r="CR143" s="105" t="str">
        <f>IFERROR(__xludf.DUMMYFUNCTION("""COMPUTED_VALUE"""),"A Saya ingin memperolok-olok orang yang saya anggap melakukan tindakan bodoh.")</f>
        <v>A Saya ingin memperolok-olok orang yang saya anggap melakukan tindakan bodoh.</v>
      </c>
      <c r="CS143" s="105" t="str">
        <f>IFERROR(__xludf.DUMMYFUNCTION("""COMPUTED_VALUE"""),"B Saya rasanya ingin membalas dendam bila seseorang menghina saya.")</f>
        <v>B Saya rasanya ingin membalas dendam bila seseorang menghina saya.</v>
      </c>
      <c r="CT143" s="105" t="str">
        <f>IFERROR(__xludf.DUMMYFUNCTION("""COMPUTED_VALUE"""),"A Saya ingin orang-orang memperhatikan komentar mengenai penampilan saya.")</f>
        <v>A Saya ingin orang-orang memperhatikan komentar mengenai penampilan saya.</v>
      </c>
      <c r="CU143" s="105" t="str">
        <f>IFERROR(__xludf.DUMMYFUNCTION("""COMPUTED_VALUE"""),"A Saya ingin diperlakukan dengan ramah oleh teman-teman saya.")</f>
        <v>A Saya ingin diperlakukan dengan ramah oleh teman-teman saya.</v>
      </c>
      <c r="CV143" s="105" t="str">
        <f>IFERROR(__xludf.DUMMYFUNCTION("""COMPUTED_VALUE"""),"B Saya menyerang pendirian-pendirian yang bertentangan dengan pendirian saya.")</f>
        <v>B Saya menyerang pendirian-pendirian yang bertentangan dengan pendirian saya.</v>
      </c>
      <c r="CW143" s="105" t="str">
        <f>IFERROR(__xludf.DUMMYFUNCTION("""COMPUTED_VALUE"""),"B Saya mengatakan kepada orang lain bagaimana pendapat saya terhadap mereka.")</f>
        <v>B Saya mengatakan kepada orang lain bagaimana pendapat saya terhadap mereka.</v>
      </c>
      <c r="CX143" s="105" t="str">
        <f>IFERROR(__xludf.DUMMYFUNCTION("""COMPUTED_VALUE"""),"A Saya suka belajar sampai malam untuk menyelesaikan suatu tugas.")</f>
        <v>A Saya suka belajar sampai malam untuk menyelesaikan suatu tugas.</v>
      </c>
      <c r="CY143" s="105" t="str">
        <f>IFERROR(__xludf.DUMMYFUNCTION("""COMPUTED_VALUE"""),"A Saya ingin tidak tergantung dari orang lain terhadap apa yang akan saya lakukan.")</f>
        <v>A Saya ingin tidak tergantung dari orang lain terhadap apa yang akan saya lakukan.</v>
      </c>
      <c r="CZ143" s="105" t="str">
        <f>IFERROR(__xludf.DUMMYFUNCTION("""COMPUTED_VALUE"""),"A Saya suka merencanakan dan mengatur setiap pekerjaan yang harus saya lakukan.")</f>
        <v>A Saya suka merencanakan dan mengatur setiap pekerjaan yang harus saya lakukan.</v>
      </c>
      <c r="DA143" s="105" t="str">
        <f>IFERROR(__xludf.DUMMYFUNCTION("""COMPUTED_VALUE"""),"A Saya ingin melakukan apa saja sebaik mungkin.")</f>
        <v>A Saya ingin melakukan apa saja sebaik mungkin.</v>
      </c>
      <c r="DB143" s="89" t="s">
        <v>23</v>
      </c>
      <c r="DC143" s="97" t="str">
        <f t="shared" ref="DC143:GX143" si="188">LEFT(F143,1)</f>
        <v>B</v>
      </c>
      <c r="DD143" s="97" t="str">
        <f t="shared" si="188"/>
        <v>A</v>
      </c>
      <c r="DE143" s="97" t="str">
        <f t="shared" si="188"/>
        <v>A</v>
      </c>
      <c r="DF143" s="97" t="str">
        <f t="shared" si="188"/>
        <v>B</v>
      </c>
      <c r="DG143" s="97" t="str">
        <f t="shared" si="188"/>
        <v>A</v>
      </c>
      <c r="DH143" s="97" t="str">
        <f t="shared" si="188"/>
        <v>B</v>
      </c>
      <c r="DI143" s="97" t="str">
        <f t="shared" si="188"/>
        <v>B</v>
      </c>
      <c r="DJ143" s="97" t="str">
        <f t="shared" si="188"/>
        <v>A</v>
      </c>
      <c r="DK143" s="97" t="str">
        <f t="shared" si="188"/>
        <v>B</v>
      </c>
      <c r="DL143" s="97" t="str">
        <f t="shared" si="188"/>
        <v>A</v>
      </c>
      <c r="DM143" s="97" t="str">
        <f t="shared" si="188"/>
        <v>B</v>
      </c>
      <c r="DN143" s="97" t="str">
        <f t="shared" si="188"/>
        <v>A</v>
      </c>
      <c r="DO143" s="97" t="str">
        <f t="shared" si="188"/>
        <v>B</v>
      </c>
      <c r="DP143" s="97" t="str">
        <f t="shared" si="188"/>
        <v>B</v>
      </c>
      <c r="DQ143" s="97" t="str">
        <f t="shared" si="188"/>
        <v>B</v>
      </c>
      <c r="DR143" s="97" t="str">
        <f t="shared" si="188"/>
        <v>A</v>
      </c>
      <c r="DS143" s="97" t="str">
        <f t="shared" si="188"/>
        <v>A</v>
      </c>
      <c r="DT143" s="97" t="str">
        <f t="shared" si="188"/>
        <v>A</v>
      </c>
      <c r="DU143" s="97" t="str">
        <f t="shared" si="188"/>
        <v>A</v>
      </c>
      <c r="DV143" s="97" t="str">
        <f t="shared" si="188"/>
        <v>A</v>
      </c>
      <c r="DW143" s="97" t="str">
        <f t="shared" si="188"/>
        <v>A</v>
      </c>
      <c r="DX143" s="97" t="str">
        <f t="shared" si="188"/>
        <v>B</v>
      </c>
      <c r="DY143" s="97" t="str">
        <f t="shared" si="188"/>
        <v>A</v>
      </c>
      <c r="DZ143" s="97" t="str">
        <f t="shared" si="188"/>
        <v>A</v>
      </c>
      <c r="EA143" s="97" t="str">
        <f t="shared" si="188"/>
        <v>A</v>
      </c>
      <c r="EB143" s="97" t="str">
        <f t="shared" si="188"/>
        <v>B</v>
      </c>
      <c r="EC143" s="97" t="str">
        <f t="shared" si="188"/>
        <v>B</v>
      </c>
      <c r="ED143" s="97" t="str">
        <f t="shared" si="188"/>
        <v>B</v>
      </c>
      <c r="EE143" s="97" t="str">
        <f t="shared" si="188"/>
        <v>B</v>
      </c>
      <c r="EF143" s="97" t="str">
        <f t="shared" si="188"/>
        <v>B</v>
      </c>
      <c r="EG143" s="97" t="str">
        <f t="shared" si="188"/>
        <v>A</v>
      </c>
      <c r="EH143" s="97" t="str">
        <f t="shared" si="188"/>
        <v>B</v>
      </c>
      <c r="EI143" s="97" t="str">
        <f t="shared" si="188"/>
        <v>A</v>
      </c>
      <c r="EJ143" s="97" t="str">
        <f t="shared" si="188"/>
        <v>B</v>
      </c>
      <c r="EK143" s="97" t="str">
        <f t="shared" si="188"/>
        <v>A</v>
      </c>
      <c r="EL143" s="97" t="str">
        <f t="shared" si="188"/>
        <v>A</v>
      </c>
      <c r="EM143" s="97" t="str">
        <f t="shared" si="188"/>
        <v>A</v>
      </c>
      <c r="EN143" s="97" t="str">
        <f t="shared" si="188"/>
        <v>B</v>
      </c>
      <c r="EO143" s="97" t="str">
        <f t="shared" si="188"/>
        <v>B</v>
      </c>
      <c r="EP143" s="97" t="str">
        <f t="shared" si="188"/>
        <v>B</v>
      </c>
      <c r="EQ143" s="97" t="str">
        <f t="shared" si="188"/>
        <v>B</v>
      </c>
      <c r="ER143" s="97" t="str">
        <f t="shared" si="188"/>
        <v>B</v>
      </c>
      <c r="ES143" s="97" t="str">
        <f t="shared" si="188"/>
        <v>B</v>
      </c>
      <c r="ET143" s="97" t="str">
        <f t="shared" si="188"/>
        <v>A</v>
      </c>
      <c r="EU143" s="97" t="str">
        <f t="shared" si="188"/>
        <v>A</v>
      </c>
      <c r="EV143" s="97" t="str">
        <f t="shared" si="188"/>
        <v>B</v>
      </c>
      <c r="EW143" s="97" t="str">
        <f t="shared" si="188"/>
        <v>A</v>
      </c>
      <c r="EX143" s="97" t="str">
        <f t="shared" si="188"/>
        <v>B</v>
      </c>
      <c r="EY143" s="97" t="str">
        <f t="shared" si="188"/>
        <v>B</v>
      </c>
      <c r="EZ143" s="97" t="str">
        <f t="shared" si="188"/>
        <v>B</v>
      </c>
      <c r="FA143" s="97" t="str">
        <f t="shared" si="188"/>
        <v>B</v>
      </c>
      <c r="FB143" s="97" t="str">
        <f t="shared" si="188"/>
        <v>A</v>
      </c>
      <c r="FC143" s="97" t="str">
        <f t="shared" si="188"/>
        <v>A</v>
      </c>
      <c r="FD143" s="97" t="str">
        <f t="shared" si="188"/>
        <v>B</v>
      </c>
      <c r="FE143" s="97" t="str">
        <f t="shared" si="188"/>
        <v>A</v>
      </c>
      <c r="FF143" s="97" t="str">
        <f t="shared" si="188"/>
        <v>A</v>
      </c>
      <c r="FG143" s="97" t="str">
        <f t="shared" si="188"/>
        <v>A</v>
      </c>
      <c r="FH143" s="97" t="str">
        <f t="shared" si="188"/>
        <v>A</v>
      </c>
      <c r="FI143" s="97" t="str">
        <f t="shared" si="188"/>
        <v>A</v>
      </c>
      <c r="FJ143" s="97" t="str">
        <f t="shared" si="188"/>
        <v>A</v>
      </c>
      <c r="FK143" s="97" t="str">
        <f t="shared" si="188"/>
        <v>B</v>
      </c>
      <c r="FL143" s="97" t="str">
        <f t="shared" si="188"/>
        <v>A</v>
      </c>
      <c r="FM143" s="97" t="str">
        <f t="shared" si="188"/>
        <v>A</v>
      </c>
      <c r="FN143" s="97" t="str">
        <f t="shared" si="188"/>
        <v>A</v>
      </c>
      <c r="FO143" s="97" t="str">
        <f t="shared" si="188"/>
        <v>A</v>
      </c>
      <c r="FP143" s="97" t="str">
        <f t="shared" si="188"/>
        <v>B</v>
      </c>
      <c r="FQ143" s="97" t="str">
        <f t="shared" si="188"/>
        <v>A</v>
      </c>
      <c r="FR143" s="97" t="str">
        <f t="shared" si="188"/>
        <v>A</v>
      </c>
      <c r="FS143" s="97" t="str">
        <f t="shared" si="188"/>
        <v>B</v>
      </c>
      <c r="FT143" s="97" t="str">
        <f t="shared" si="188"/>
        <v>A</v>
      </c>
      <c r="FU143" s="97" t="str">
        <f t="shared" si="188"/>
        <v>A</v>
      </c>
      <c r="FV143" s="97" t="str">
        <f t="shared" si="188"/>
        <v>A</v>
      </c>
      <c r="FW143" s="97" t="str">
        <f t="shared" si="188"/>
        <v>A</v>
      </c>
      <c r="FX143" s="97" t="str">
        <f t="shared" si="188"/>
        <v>A</v>
      </c>
      <c r="FY143" s="97" t="str">
        <f t="shared" si="188"/>
        <v>B</v>
      </c>
      <c r="FZ143" s="97" t="str">
        <f t="shared" si="188"/>
        <v>B</v>
      </c>
      <c r="GA143" s="97" t="str">
        <f t="shared" si="188"/>
        <v>A</v>
      </c>
      <c r="GB143" s="97" t="str">
        <f t="shared" si="188"/>
        <v>A</v>
      </c>
      <c r="GC143" s="97" t="str">
        <f t="shared" si="188"/>
        <v>A</v>
      </c>
      <c r="GD143" s="97" t="str">
        <f t="shared" si="188"/>
        <v>A</v>
      </c>
      <c r="GE143" s="97" t="str">
        <f t="shared" si="188"/>
        <v>A</v>
      </c>
      <c r="GF143" s="97" t="str">
        <f t="shared" si="188"/>
        <v>A</v>
      </c>
      <c r="GG143" s="97" t="str">
        <f t="shared" si="188"/>
        <v>A</v>
      </c>
      <c r="GH143" s="97" t="str">
        <f t="shared" si="188"/>
        <v>B</v>
      </c>
      <c r="GI143" s="97" t="str">
        <f t="shared" si="188"/>
        <v>A</v>
      </c>
      <c r="GJ143" s="97" t="str">
        <f t="shared" si="188"/>
        <v>B</v>
      </c>
      <c r="GK143" s="97" t="str">
        <f t="shared" si="188"/>
        <v>A</v>
      </c>
      <c r="GL143" s="97" t="str">
        <f t="shared" si="188"/>
        <v>B</v>
      </c>
      <c r="GM143" s="97" t="str">
        <f t="shared" si="188"/>
        <v>B</v>
      </c>
      <c r="GN143" s="97" t="str">
        <f t="shared" si="188"/>
        <v>B</v>
      </c>
      <c r="GO143" s="97" t="str">
        <f t="shared" si="188"/>
        <v>A</v>
      </c>
      <c r="GP143" s="97" t="str">
        <f t="shared" si="188"/>
        <v>B</v>
      </c>
      <c r="GQ143" s="97" t="str">
        <f t="shared" si="188"/>
        <v>A</v>
      </c>
      <c r="GR143" s="97" t="str">
        <f t="shared" si="188"/>
        <v>A</v>
      </c>
      <c r="GS143" s="97" t="str">
        <f t="shared" si="188"/>
        <v>B</v>
      </c>
      <c r="GT143" s="97" t="str">
        <f t="shared" si="188"/>
        <v>B</v>
      </c>
      <c r="GU143" s="97" t="str">
        <f t="shared" si="188"/>
        <v>A</v>
      </c>
      <c r="GV143" s="97" t="str">
        <f t="shared" si="188"/>
        <v>A</v>
      </c>
      <c r="GW143" s="97" t="str">
        <f t="shared" si="188"/>
        <v>A</v>
      </c>
      <c r="GX143" s="97" t="str">
        <f t="shared" si="188"/>
        <v>A</v>
      </c>
      <c r="GY143" s="98"/>
      <c r="GZ143" s="97">
        <f t="shared" si="3"/>
        <v>58</v>
      </c>
      <c r="HA143" s="97">
        <f t="shared" si="4"/>
        <v>42</v>
      </c>
      <c r="HB143" s="90">
        <f t="shared" si="5"/>
        <v>100</v>
      </c>
      <c r="HC143" s="99"/>
      <c r="HD143" s="97">
        <f t="shared" si="6"/>
        <v>6</v>
      </c>
      <c r="HE143" s="97">
        <f t="shared" si="7"/>
        <v>4</v>
      </c>
      <c r="HF143" s="90">
        <f t="shared" si="8"/>
        <v>10</v>
      </c>
      <c r="HG143" s="99"/>
      <c r="HH143" s="97">
        <f t="shared" si="9"/>
        <v>6</v>
      </c>
      <c r="HI143" s="97">
        <f t="shared" si="10"/>
        <v>4</v>
      </c>
      <c r="HJ143" s="90">
        <f t="shared" si="11"/>
        <v>10</v>
      </c>
      <c r="HK143" s="99"/>
      <c r="HL143" s="97">
        <f t="shared" si="12"/>
        <v>7</v>
      </c>
      <c r="HM143" s="97">
        <f t="shared" si="13"/>
        <v>6</v>
      </c>
      <c r="HN143" s="90">
        <f t="shared" si="14"/>
        <v>13</v>
      </c>
      <c r="HO143" s="99"/>
      <c r="HP143" s="97">
        <f t="shared" si="15"/>
        <v>7</v>
      </c>
      <c r="HQ143" s="97">
        <f t="shared" si="16"/>
        <v>5</v>
      </c>
      <c r="HR143" s="90">
        <f t="shared" si="17"/>
        <v>12</v>
      </c>
      <c r="HS143" s="99"/>
      <c r="HT143" s="97">
        <f t="shared" si="18"/>
        <v>7</v>
      </c>
      <c r="HU143" s="97">
        <f t="shared" si="19"/>
        <v>7</v>
      </c>
      <c r="HV143" s="90">
        <f t="shared" si="20"/>
        <v>14</v>
      </c>
      <c r="HW143" s="99"/>
      <c r="HX143" s="97">
        <f t="shared" si="21"/>
        <v>1</v>
      </c>
      <c r="HY143" s="97">
        <f t="shared" si="22"/>
        <v>2</v>
      </c>
      <c r="HZ143" s="90">
        <f t="shared" si="23"/>
        <v>3</v>
      </c>
      <c r="IA143" s="99"/>
      <c r="IB143" s="97">
        <f t="shared" si="24"/>
        <v>4</v>
      </c>
      <c r="IC143" s="97">
        <f t="shared" si="25"/>
        <v>3</v>
      </c>
      <c r="ID143" s="90">
        <f t="shared" si="26"/>
        <v>7</v>
      </c>
      <c r="IE143" s="99"/>
      <c r="IF143" s="97">
        <f t="shared" si="27"/>
        <v>5</v>
      </c>
      <c r="IG143" s="97">
        <f t="shared" si="28"/>
        <v>2</v>
      </c>
      <c r="IH143" s="90">
        <f t="shared" si="29"/>
        <v>7</v>
      </c>
      <c r="II143" s="99"/>
      <c r="IJ143" s="97">
        <f t="shared" si="30"/>
        <v>3</v>
      </c>
      <c r="IK143" s="97">
        <f t="shared" si="31"/>
        <v>5</v>
      </c>
      <c r="IL143" s="90">
        <f t="shared" si="32"/>
        <v>8</v>
      </c>
      <c r="IM143" s="99"/>
      <c r="IN143" s="97">
        <f t="shared" si="33"/>
        <v>4</v>
      </c>
      <c r="IO143" s="97">
        <f t="shared" si="34"/>
        <v>3</v>
      </c>
      <c r="IP143" s="90">
        <f t="shared" si="35"/>
        <v>7</v>
      </c>
      <c r="IS143" s="100">
        <f t="shared" si="36"/>
        <v>10</v>
      </c>
      <c r="IT143" s="100">
        <f t="shared" si="37"/>
        <v>10</v>
      </c>
      <c r="IU143" s="100">
        <f t="shared" si="38"/>
        <v>13</v>
      </c>
      <c r="IV143" s="100">
        <f t="shared" si="39"/>
        <v>12</v>
      </c>
      <c r="IW143" s="100">
        <f t="shared" si="40"/>
        <v>14</v>
      </c>
      <c r="IX143" s="100">
        <f t="shared" si="41"/>
        <v>3</v>
      </c>
      <c r="IY143" s="100">
        <f t="shared" si="42"/>
        <v>7</v>
      </c>
      <c r="IZ143" s="100">
        <f t="shared" si="43"/>
        <v>7</v>
      </c>
      <c r="JA143" s="100">
        <f t="shared" si="44"/>
        <v>8</v>
      </c>
      <c r="JB143" s="101">
        <f t="shared" si="45"/>
        <v>7</v>
      </c>
      <c r="JC143" s="102">
        <f t="shared" si="46"/>
        <v>91</v>
      </c>
      <c r="JD143" s="67">
        <f t="shared" si="50"/>
        <v>0</v>
      </c>
      <c r="JE143" s="67">
        <f t="shared" si="47"/>
        <v>0</v>
      </c>
      <c r="JF143" s="67">
        <f t="shared" si="48"/>
        <v>0</v>
      </c>
    </row>
    <row r="144">
      <c r="A144" s="104">
        <f>IFERROR(__xludf.DUMMYFUNCTION("""COMPUTED_VALUE"""),45973.3896808912)</f>
        <v>45973.38968</v>
      </c>
      <c r="B144" s="105" t="str">
        <f>IFERROR(__xludf.DUMMYFUNCTION("""COMPUTED_VALUE"""),"Zakaria reynaldo")</f>
        <v>Zakaria reynaldo</v>
      </c>
      <c r="C144" s="7" t="str">
        <f>IFERROR(__xludf.DUMMYFUNCTION("""COMPUTED_VALUE"""),"C0000")</f>
        <v>C0000</v>
      </c>
      <c r="D144" s="7" t="str">
        <f>IFERROR(__xludf.DUMMYFUNCTION("""COMPUTED_VALUE"""),"IL Putra")</f>
        <v>IL Putra</v>
      </c>
      <c r="E144" s="7" t="str">
        <f>IFERROR(__xludf.DUMMYFUNCTION("""COMPUTED_VALUE"""),"Ya")</f>
        <v>Ya</v>
      </c>
      <c r="F144" s="105" t="str">
        <f>IFERROR(__xludf.DUMMYFUNCTION("""COMPUTED_VALUE"""),"B Saya ingin melakukan apa saja sebaik mungkin.")</f>
        <v>B Saya ingin melakukan apa saja sebaik mungkin.</v>
      </c>
      <c r="G144" s="105" t="str">
        <f>IFERROR(__xludf.DUMMYFUNCTION("""COMPUTED_VALUE"""),"B Saya ingin menyelesaikan tugas yang segera dikumpulkan.")</f>
        <v>B Saya ingin menyelesaikan tugas yang segera dikumpulkan.</v>
      </c>
      <c r="H144" s="105" t="str">
        <f>IFERROR(__xludf.DUMMYFUNCTION("""COMPUTED_VALUE"""),"A Saya ingin berbuat sesuai kata hati saya.")</f>
        <v>A Saya ingin berbuat sesuai kata hati saya.</v>
      </c>
      <c r="I144" s="105" t="str">
        <f>IFERROR(__xludf.DUMMYFUNCTION("""COMPUTED_VALUE"""),"B Saya ingin bisa melakukan dengan baik meskipun tugas yang sulit.")</f>
        <v>B Saya ingin bisa melakukan dengan baik meskipun tugas yang sulit.</v>
      </c>
      <c r="J144" s="105" t="str">
        <f>IFERROR(__xludf.DUMMYFUNCTION("""COMPUTED_VALUE"""),"A Saya suka membantu teman-teman saya apabila mereka mengalami kesulitan.")</f>
        <v>A Saya suka membantu teman-teman saya apabila mereka mengalami kesulitan.</v>
      </c>
      <c r="K144" s="105" t="str">
        <f>IFERROR(__xludf.DUMMYFUNCTION("""COMPUTED_VALUE"""),"B Saya ingin mengatakan telah melakukan dengan baik sesuatu tugas yang sulit.")</f>
        <v>B Saya ingin mengatakan telah melakukan dengan baik sesuatu tugas yang sulit.</v>
      </c>
      <c r="L144" s="105" t="str">
        <f>IFERROR(__xludf.DUMMYFUNCTION("""COMPUTED_VALUE"""),"B Saya ingin mengatakan telah melakukan dengan baik sesuatu tugas yang sulit")</f>
        <v>B Saya ingin mengatakan telah melakukan dengan baik sesuatu tugas yang sulit</v>
      </c>
      <c r="M144" s="105" t="str">
        <f>IFERROR(__xludf.DUMMYFUNCTION("""COMPUTED_VALUE"""),"A Saya suka berbicara tentang hal-hal yang telah berhasil saya lakukan.")</f>
        <v>A Saya suka berbicara tentang hal-hal yang telah berhasil saya lakukan.</v>
      </c>
      <c r="N144" s="105" t="str">
        <f>IFERROR(__xludf.DUMMYFUNCTION("""COMPUTED_VALUE"""),"A Saya suka pergi dengan pakaian rapi agar lebih menarik perhatian orang lain.")</f>
        <v>A Saya suka pergi dengan pakaian rapi agar lebih menarik perhatian orang lain.</v>
      </c>
      <c r="O144" s="105" t="str">
        <f>IFERROR(__xludf.DUMMYFUNCTION("""COMPUTED_VALUE"""),"A Saya marah saat ada teman memperolok-olok hal-hal yang saya anggap bodoh.")</f>
        <v>A Saya marah saat ada teman memperolok-olok hal-hal yang saya anggap bodoh.</v>
      </c>
      <c r="P144" s="105" t="str">
        <f>IFERROR(__xludf.DUMMYFUNCTION("""COMPUTED_VALUE"""),"B Saya ingin setiap belajar itu teratur dan direncanakan.")</f>
        <v>B Saya ingin setiap belajar itu teratur dan direncanakan.</v>
      </c>
      <c r="Q144" s="105" t="str">
        <f>IFERROR(__xludf.DUMMYFUNCTION("""COMPUTED_VALUE"""),"B Saya merencanakan keperluan yang dibutuhkan sebelum bepergian.")</f>
        <v>B Saya merencanakan keperluan yang dibutuhkan sebelum bepergian.</v>
      </c>
      <c r="R144" s="105" t="str">
        <f>IFERROR(__xludf.DUMMYFUNCTION("""COMPUTED_VALUE"""),"B Saya suka barang-barang saya tersusun rapi dan teratur.")</f>
        <v>B Saya suka barang-barang saya tersusun rapi dan teratur.</v>
      </c>
      <c r="S144" s="105" t="str">
        <f>IFERROR(__xludf.DUMMYFUNCTION("""COMPUTED_VALUE"""),"A Saya ingin agar teman-teman pengertian bila saya mengalami kesukaran.")</f>
        <v>A Saya ingin agar teman-teman pengertian bila saya mengalami kesukaran.</v>
      </c>
      <c r="T144" s="105" t="str">
        <f>IFERROR(__xludf.DUMMYFUNCTION("""COMPUTED_VALUE"""),"B Saya ingin agar hidup saya teratur sesuai cita-cita saya.")</f>
        <v>B Saya ingin agar hidup saya teratur sesuai cita-cita saya.</v>
      </c>
      <c r="U144" s="105" t="str">
        <f>IFERROR(__xludf.DUMMYFUNCTION("""COMPUTED_VALUE"""),"A Saya suka memberikan bantuan kepada teman-teman saya.")</f>
        <v>A Saya suka memberikan bantuan kepada teman-teman saya.</v>
      </c>
      <c r="V144" s="105" t="str">
        <f>IFERROR(__xludf.DUMMYFUNCTION("""COMPUTED_VALUE"""),"B Saya suka belajar saya teratur dan ada waktu-waktu tertentu untuk belajar.")</f>
        <v>B Saya suka belajar saya teratur dan ada waktu-waktu tertentu untuk belajar.</v>
      </c>
      <c r="W144" s="105" t="str">
        <f>IFERROR(__xludf.DUMMYFUNCTION("""COMPUTED_VALUE"""),"B Saya ingin kegiatan itu teratur dan direncanakan.")</f>
        <v>B Saya ingin kegiatan itu teratur dan direncanakan.</v>
      </c>
      <c r="X144" s="105" t="str">
        <f>IFERROR(__xludf.DUMMYFUNCTION("""COMPUTED_VALUE"""),"A Saya suka merencanakan dan mengatur setiap apa yang harus saya lakukan.")</f>
        <v>A Saya suka merencanakan dan mengatur setiap apa yang harus saya lakukan.</v>
      </c>
      <c r="Y144" s="105" t="str">
        <f>IFERROR(__xludf.DUMMYFUNCTION("""COMPUTED_VALUE"""),"B Saya senang merencanakan untuk masa depan.")</f>
        <v>B Saya senang merencanakan untuk masa depan.</v>
      </c>
      <c r="Z144" s="105" t="str">
        <f>IFERROR(__xludf.DUMMYFUNCTION("""COMPUTED_VALUE"""),"B Saya ingin merasa bebas untuk melakukan apa yang saya inginkan.")</f>
        <v>B Saya ingin merasa bebas untuk melakukan apa yang saya inginkan.</v>
      </c>
      <c r="AA144" s="105" t="str">
        <f>IFERROR(__xludf.DUMMYFUNCTION("""COMPUTED_VALUE"""),"A Saya suka menyelesaikan tugas yang telah saya rencanakan.")</f>
        <v>A Saya suka menyelesaikan tugas yang telah saya rencanakan.</v>
      </c>
      <c r="AB144" s="105" t="str">
        <f>IFERROR(__xludf.DUMMYFUNCTION("""COMPUTED_VALUE"""),"A Saya ingin tidak tergantung dari orang lain terhadap apa yang akan saya lakukan.")</f>
        <v>A Saya ingin tidak tergantung dari orang lain terhadap apa yang akan saya lakukan.</v>
      </c>
      <c r="AC144" s="105" t="str">
        <f>IFERROR(__xludf.DUMMYFUNCTION("""COMPUTED_VALUE"""),"B Saya suka melakukan kegiatan sesuai kondisi yang saya inginkan.")</f>
        <v>B Saya suka melakukan kegiatan sesuai kondisi yang saya inginkan.</v>
      </c>
      <c r="AD144" s="105" t="str">
        <f>IFERROR(__xludf.DUMMYFUNCTION("""COMPUTED_VALUE"""),"A Saya suka bermurah hati terhadap teman-teman saya.")</f>
        <v>A Saya suka bermurah hati terhadap teman-teman saya.</v>
      </c>
      <c r="AE144" s="105" t="str">
        <f>IFERROR(__xludf.DUMMYFUNCTION("""COMPUTED_VALUE"""),"A Saya ingin dianggap sebagai pemimpin oleh teman di kelompok.")</f>
        <v>A Saya ingin dianggap sebagai pemimpin oleh teman di kelompok.</v>
      </c>
      <c r="AF144" s="105" t="str">
        <f>IFERROR(__xludf.DUMMYFUNCTION("""COMPUTED_VALUE"""),"A Saya ingin agar teman-teman mengerti bila saya mengalami kesukaran.")</f>
        <v>A Saya ingin agar teman-teman mengerti bila saya mengalami kesukaran.</v>
      </c>
      <c r="AG144" s="105" t="str">
        <f>IFERROR(__xludf.DUMMYFUNCTION("""COMPUTED_VALUE"""),"A Saya mengajari orang lain bagaimana mereka harus melakukan pekerjaan mereka.")</f>
        <v>A Saya mengajari orang lain bagaimana mereka harus melakukan pekerjaan mereka.</v>
      </c>
      <c r="AH144" s="105" t="str">
        <f>IFERROR(__xludf.DUMMYFUNCTION("""COMPUTED_VALUE"""),"A Saya suka membaca buku-buku tentang pergaulan remaja.")</f>
        <v>A Saya suka membaca buku-buku tentang pergaulan remaja.</v>
      </c>
      <c r="AI144" s="105" t="str">
        <f>IFERROR(__xludf.DUMMYFUNCTION("""COMPUTED_VALUE"""),"B Saya suka melakukan kegiatan sesuai kondisi yang saya inginkan.")</f>
        <v>B Saya suka melakukan kegiatan sesuai kondisi yang saya inginkan.</v>
      </c>
      <c r="AJ144" s="105" t="str">
        <f>IFERROR(__xludf.DUMMYFUNCTION("""COMPUTED_VALUE"""),"B Saya suka bertahan menghadapi satu masalah meskipun belum tentu berhasil.")</f>
        <v>B Saya suka bertahan menghadapi satu masalah meskipun belum tentu berhasil.</v>
      </c>
      <c r="AK144" s="105" t="str">
        <f>IFERROR(__xludf.DUMMYFUNCTION("""COMPUTED_VALUE"""),"B Bila saya harus melakukan suatu tugas, saya ingin mengerjakan sampai selesai.")</f>
        <v>B Bila saya harus melakukan suatu tugas, saya ingin mengerjakan sampai selesai.</v>
      </c>
      <c r="AL144" s="105" t="str">
        <f>IFERROR(__xludf.DUMMYFUNCTION("""COMPUTED_VALUE"""),"B Saya ingin menghindarkan gangguan bila saya sedang belajar.")</f>
        <v>B Saya ingin menghindarkan gangguan bila saya sedang belajar.</v>
      </c>
      <c r="AM144" s="105" t="str">
        <f>IFERROR(__xludf.DUMMYFUNCTION("""COMPUTED_VALUE"""),"A Saya ingin teman-teman saya merasa kasihan pada saya apabila saya sakit.")</f>
        <v>A Saya ingin teman-teman saya merasa kasihan pada saya apabila saya sakit.</v>
      </c>
      <c r="AN144" s="105" t="str">
        <f>IFERROR(__xludf.DUMMYFUNCTION("""COMPUTED_VALUE"""),"A Saya tidak suka pada orang yang semena-mena.")</f>
        <v>A Saya tidak suka pada orang yang semena-mena.</v>
      </c>
      <c r="AO144" s="105" t="str">
        <f>IFERROR(__xludf.DUMMYFUNCTION("""COMPUTED_VALUE"""),"A Saya suka berlaku sangat ramah terhadap teman-teman saya.")</f>
        <v>A Saya suka berlaku sangat ramah terhadap teman-teman saya.</v>
      </c>
      <c r="AP144" s="105" t="str">
        <f>IFERROR(__xludf.DUMMYFUNCTION("""COMPUTED_VALUE"""),"B Saya suka bertahan menghadapi satu masalah meskipun belum tentu berhasil.")</f>
        <v>B Saya suka bertahan menghadapi satu masalah meskipun belum tentu berhasil.</v>
      </c>
      <c r="AQ144" s="105" t="str">
        <f>IFERROR(__xludf.DUMMYFUNCTION("""COMPUTED_VALUE"""),"A Saya ingin bisa mengerjakan segala sesuatu lebih baik daripada orang-orang lain.")</f>
        <v>A Saya ingin bisa mengerjakan segala sesuatu lebih baik daripada orang-orang lain.</v>
      </c>
      <c r="AR144" s="105" t="str">
        <f>IFERROR(__xludf.DUMMYFUNCTION("""COMPUTED_VALUE"""),"B Saya suka belajar keras pada tiap pelajaran yang saya hadapi.")</f>
        <v>B Saya suka belajar keras pada tiap pelajaran yang saya hadapi.</v>
      </c>
      <c r="AS144" s="105" t="str">
        <f>IFERROR(__xludf.DUMMYFUNCTION("""COMPUTED_VALUE"""),"B Saya suka belajar sampai malam untuk menyelesaikan suatu tugas.")</f>
        <v>B Saya suka belajar sampai malam untuk menyelesaikan suatu tugas.</v>
      </c>
      <c r="AT144" s="105" t="str">
        <f>IFERROR(__xludf.DUMMYFUNCTION("""COMPUTED_VALUE"""),"B Saya suka membantu orang lain yang menurut saya perlu dikasihani.")</f>
        <v>B Saya suka membantu orang lain yang menurut saya perlu dikasihani.</v>
      </c>
      <c r="AU144" s="105" t="str">
        <f>IFERROR(__xludf.DUMMYFUNCTION("""COMPUTED_VALUE"""),"B Saya suka bermurah hati terhadap teman-teman saya.")</f>
        <v>B Saya suka bermurah hati terhadap teman-teman saya.</v>
      </c>
      <c r="AV144" s="105" t="str">
        <f>IFERROR(__xludf.DUMMYFUNCTION("""COMPUTED_VALUE"""),"B Saya suka menolong teman-teman saya.")</f>
        <v>B Saya suka menolong teman-teman saya.</v>
      </c>
      <c r="AW144" s="105" t="str">
        <f>IFERROR(__xludf.DUMMYFUNCTION("""COMPUTED_VALUE"""),"A Saya ingin mengerjakan tugas sampai selesai.")</f>
        <v>A Saya ingin mengerjakan tugas sampai selesai.</v>
      </c>
      <c r="AX144" s="105" t="str">
        <f>IFERROR(__xludf.DUMMYFUNCTION("""COMPUTED_VALUE"""),"A Saya suka menolong teman-teman saya apabila mereka dalam kesulitan.")</f>
        <v>A Saya suka menolong teman-teman saya apabila mereka dalam kesulitan.</v>
      </c>
      <c r="AY144" s="105" t="str">
        <f>IFERROR(__xludf.DUMMYFUNCTION("""COMPUTED_VALUE"""),"B Saya suka menolong teman-teman saya apabila mereka dalam kesulitan.")</f>
        <v>B Saya suka menolong teman-teman saya apabila mereka dalam kesulitan.</v>
      </c>
      <c r="AZ144" s="105" t="str">
        <f>IFERROR(__xludf.DUMMYFUNCTION("""COMPUTED_VALUE"""),"A Saya ingin agar teman-teman saya bersimpati dan menghibur saya bila saya sedih.")</f>
        <v>A Saya ingin agar teman-teman saya bersimpati dan menghibur saya bila saya sedih.</v>
      </c>
      <c r="BA144" s="105" t="str">
        <f>IFERROR(__xludf.DUMMYFUNCTION("""COMPUTED_VALUE"""),"B Saya suka memperlakukan orang lain dengan baik dan ramah.")</f>
        <v>B Saya suka memperlakukan orang lain dengan baik dan ramah.</v>
      </c>
      <c r="BB144" s="105" t="str">
        <f>IFERROR(__xludf.DUMMYFUNCTION("""COMPUTED_VALUE"""),"A Saya berkeinginan untuk bersama orang yang menarik bagi saya.")</f>
        <v>A Saya berkeinginan untuk bersama orang yang menarik bagi saya.</v>
      </c>
      <c r="BC144" s="105" t="str">
        <f>IFERROR(__xludf.DUMMYFUNCTION("""COMPUTED_VALUE"""),"B Saya suka membantu orang lain yang menurut saya perlu dikasihani.")</f>
        <v>B Saya suka membantu orang lain yang menurut saya perlu dikasihani.</v>
      </c>
      <c r="BD144" s="105" t="str">
        <f>IFERROR(__xludf.DUMMYFUNCTION("""COMPUTED_VALUE"""),"A Saya rasanya ingin menyalahkan orang lain bila keadaan tidak baik bagi saya.")</f>
        <v>A Saya rasanya ingin menyalahkan orang lain bila keadaan tidak baik bagi saya.</v>
      </c>
      <c r="BE144" s="105" t="str">
        <f>IFERROR(__xludf.DUMMYFUNCTION("""COMPUTED_VALUE"""),"A Saya suka mendengarkan atau menceritakan hal-hal yang sebaiknya tidak diceritakan.")</f>
        <v>A Saya suka mendengarkan atau menceritakan hal-hal yang sebaiknya tidak diceritakan.</v>
      </c>
      <c r="BF144" s="105" t="str">
        <f>IFERROR(__xludf.DUMMYFUNCTION("""COMPUTED_VALUE"""),"A Saya ingin orang lain memperhatikan dan berkomentar tentang penampilan saya.")</f>
        <v>A Saya ingin orang lain memperhatikan dan berkomentar tentang penampilan saya.</v>
      </c>
      <c r="BG144" s="105" t="str">
        <f>IFERROR(__xludf.DUMMYFUNCTION("""COMPUTED_VALUE"""),"B Saya suka mengarahkan kepada orang lain apa yang harus dilakukan.")</f>
        <v>B Saya suka mengarahkan kepada orang lain apa yang harus dilakukan.</v>
      </c>
      <c r="BH144" s="105" t="str">
        <f>IFERROR(__xludf.DUMMYFUNCTION("""COMPUTED_VALUE"""),"A Saya suka menghindar dari situasi yang tidak saya harapkan.")</f>
        <v>A Saya suka menghindar dari situasi yang tidak saya harapkan.</v>
      </c>
      <c r="BI144" s="105" t="str">
        <f>IFERROR(__xludf.DUMMYFUNCTION("""COMPUTED_VALUE"""),"A Saya suka bermurah hati terhadap teman-teman saya.")</f>
        <v>A Saya suka bermurah hati terhadap teman-teman saya.</v>
      </c>
      <c r="BJ144" s="105" t="str">
        <f>IFERROR(__xludf.DUMMYFUNCTION("""COMPUTED_VALUE"""),"A Saya ingin mengerjakan tugas sampai selesai.")</f>
        <v>A Saya ingin mengerjakan tugas sampai selesai.</v>
      </c>
      <c r="BK144" s="105" t="str">
        <f>IFERROR(__xludf.DUMMYFUNCTION("""COMPUTED_VALUE"""),"A Saya ingin menyelesaikan pekerjaan satu persatu sebelum memulai yang lain.")</f>
        <v>A Saya ingin menyelesaikan pekerjaan satu persatu sebelum memulai yang lain.</v>
      </c>
      <c r="BL144" s="105" t="str">
        <f>IFERROR(__xludf.DUMMYFUNCTION("""COMPUTED_VALUE"""),"A Saya suka belajar saya teratur dan ada waktu-waktu tertentu untuk belajar.")</f>
        <v>A Saya suka belajar saya teratur dan ada waktu-waktu tertentu untuk belajar.</v>
      </c>
      <c r="BM144" s="105" t="str">
        <f>IFERROR(__xludf.DUMMYFUNCTION("""COMPUTED_VALUE"""),"A Saya suka melakukan pekerjaan sebaik mungkin.")</f>
        <v>A Saya suka melakukan pekerjaan sebaik mungkin.</v>
      </c>
      <c r="BN144" s="105" t="str">
        <f>IFERROR(__xludf.DUMMYFUNCTION("""COMPUTED_VALUE"""),"A Saya suka mengerjakan teka-teki atau memecahkan persoalan sampai selesai.")</f>
        <v>A Saya suka mengerjakan teka-teki atau memecahkan persoalan sampai selesai.</v>
      </c>
      <c r="BO144" s="105" t="str">
        <f>IFERROR(__xludf.DUMMYFUNCTION("""COMPUTED_VALUE"""),"B Saya ingin diperlakukan dengan baik oleh teman-teman saya.")</f>
        <v>B Saya ingin diperlakukan dengan baik oleh teman-teman saya.</v>
      </c>
      <c r="BP144" s="105" t="str">
        <f>IFERROR(__xludf.DUMMYFUNCTION("""COMPUTED_VALUE"""),"A Saya ingin menyelesaikan sesuatu yang sangat penting artinya.")</f>
        <v>A Saya ingin menyelesaikan sesuatu yang sangat penting artinya.</v>
      </c>
      <c r="BQ144" s="105" t="str">
        <f>IFERROR(__xludf.DUMMYFUNCTION("""COMPUTED_VALUE"""),"A Saya ingin mengerjakannya tugas sampai selesai.")</f>
        <v>A Saya ingin mengerjakannya tugas sampai selesai.</v>
      </c>
      <c r="BR144" s="105" t="str">
        <f>IFERROR(__xludf.DUMMYFUNCTION("""COMPUTED_VALUE"""),"A Saya suka memaafkan teman-teman saya yang menyakiti hati saya.")</f>
        <v>A Saya suka memaafkan teman-teman saya yang menyakiti hati saya.</v>
      </c>
      <c r="BS144" s="105" t="str">
        <f>IFERROR(__xludf.DUMMYFUNCTION("""COMPUTED_VALUE"""),"B Saya ingin teman-teman saya membantu saya bila saya mengalami kesulitan")</f>
        <v>B Saya ingin teman-teman saya membantu saya bila saya mengalami kesulitan</v>
      </c>
      <c r="BT144" s="105" t="str">
        <f>IFERROR(__xludf.DUMMYFUNCTION("""COMPUTED_VALUE"""),"A Saya ingin teman-teman saya merasa kasihan pada saya apabila saya sakit.")</f>
        <v>A Saya ingin teman-teman saya merasa kasihan pada saya apabila saya sakit.</v>
      </c>
      <c r="BU144" s="105" t="str">
        <f>IFERROR(__xludf.DUMMYFUNCTION("""COMPUTED_VALUE"""),"B Saya ingin agar teman-teman saya merasa kasihan pada saya apabila saya sakit.")</f>
        <v>B Saya ingin agar teman-teman saya merasa kasihan pada saya apabila saya sakit.</v>
      </c>
      <c r="BV144" s="105" t="str">
        <f>IFERROR(__xludf.DUMMYFUNCTION("""COMPUTED_VALUE"""),"B Saya ingin teman-teman dengan gembira memberikan pertolongan kepada saya.")</f>
        <v>B Saya ingin teman-teman dengan gembira memberikan pertolongan kepada saya.</v>
      </c>
      <c r="BW144" s="105" t="str">
        <f>IFERROR(__xludf.DUMMYFUNCTION("""COMPUTED_VALUE"""),"B Saya ingin diperlakukan dengan baik oleh teman-teman saya.")</f>
        <v>B Saya ingin diperlakukan dengan baik oleh teman-teman saya.</v>
      </c>
      <c r="BX144" s="105" t="str">
        <f>IFERROR(__xludf.DUMMYFUNCTION("""COMPUTED_VALUE"""),"B Saya kadang-kadang suka melakukan hal-hal yang dapat dipuji oleh orang lain.")</f>
        <v>B Saya kadang-kadang suka melakukan hal-hal yang dapat dipuji oleh orang lain.</v>
      </c>
      <c r="BY144" s="105" t="str">
        <f>IFERROR(__xludf.DUMMYFUNCTION("""COMPUTED_VALUE"""),"B Saya ingin orang lain memperhatikan dan berkomentar tentang penampilan saya.")</f>
        <v>B Saya ingin orang lain memperhatikan dan berkomentar tentang penampilan saya.</v>
      </c>
      <c r="BZ144" s="105" t="str">
        <f>IFERROR(__xludf.DUMMYFUNCTION("""COMPUTED_VALUE"""),"A Saya suka berkata yang artinya sulit dipahami oleh orang lain.")</f>
        <v>A Saya suka berkata yang artinya sulit dipahami oleh orang lain.</v>
      </c>
      <c r="CA144" s="105" t="str">
        <f>IFERROR(__xludf.DUMMYFUNCTION("""COMPUTED_VALUE"""),"A Saya ingin teman-teman dengan gembira memberikan pertolongan kepada saya.")</f>
        <v>A Saya ingin teman-teman dengan gembira memberikan pertolongan kepada saya.</v>
      </c>
      <c r="CB144" s="105" t="str">
        <f>IFERROR(__xludf.DUMMYFUNCTION("""COMPUTED_VALUE"""),"B Saya suka berbicara tentang hal-hal yang telah saya capai.")</f>
        <v>B Saya suka berbicara tentang hal-hal yang telah saya capai.</v>
      </c>
      <c r="CC144" s="105" t="str">
        <f>IFERROR(__xludf.DUMMYFUNCTION("""COMPUTED_VALUE"""),"A Apabila saya berkumpul dalam kelompok, saya ingin dihargai teman-teman.")</f>
        <v>A Apabila saya berkumpul dalam kelompok, saya ingin dihargai teman-teman.</v>
      </c>
      <c r="CD144" s="105" t="str">
        <f>IFERROR(__xludf.DUMMYFUNCTION("""COMPUTED_VALUE"""),"B Saya suka berkata yang artinya sulit dipahami oleh orang lain.")</f>
        <v>B Saya suka berkata yang artinya sulit dipahami oleh orang lain.</v>
      </c>
      <c r="CE144" s="105" t="str">
        <f>IFERROR(__xludf.DUMMYFUNCTION("""COMPUTED_VALUE"""),"A Saya suka menyelesaikan setiap tugas belajar yang telah saya mulai.")</f>
        <v>A Saya suka menyelesaikan setiap tugas belajar yang telah saya mulai.</v>
      </c>
      <c r="CF144" s="105" t="str">
        <f>IFERROR(__xludf.DUMMYFUNCTION("""COMPUTED_VALUE"""),"A Saya ingin agar hidup saya teratur sesuai cita-cita saya.")</f>
        <v>A Saya ingin agar hidup saya teratur sesuai cita-cita saya.</v>
      </c>
      <c r="CG144" s="105" t="str">
        <f>IFERROR(__xludf.DUMMYFUNCTION("""COMPUTED_VALUE"""),"A Saya ingin berhasil dalam apa yang saya lakukan.")</f>
        <v>A Saya ingin berhasil dalam apa yang saya lakukan.</v>
      </c>
      <c r="CH144" s="105" t="str">
        <f>IFERROR(__xludf.DUMMYFUNCTION("""COMPUTED_VALUE"""),"A Saya ingin bisa melakukan dengan baik sesuatu pekerjaan sulit.")</f>
        <v>A Saya ingin bisa melakukan dengan baik sesuatu pekerjaan sulit.</v>
      </c>
      <c r="CI144" s="105" t="str">
        <f>IFERROR(__xludf.DUMMYFUNCTION("""COMPUTED_VALUE"""),"A Saya suka belajar saya teratur dan ada waktu-waktu tertentu untuk belajar.")</f>
        <v>A Saya suka belajar saya teratur dan ada waktu-waktu tertentu untuk belajar.</v>
      </c>
      <c r="CJ144" s="105" t="str">
        <f>IFERROR(__xludf.DUMMYFUNCTION("""COMPUTED_VALUE"""),"A Saya ingin tidak tergantung dari orang lain terhadap apa yang akan saya lakukan.")</f>
        <v>A Saya ingin tidak tergantung dari orang lain terhadap apa yang akan saya lakukan.</v>
      </c>
      <c r="CK144" s="105" t="str">
        <f>IFERROR(__xludf.DUMMYFUNCTION("""COMPUTED_VALUE"""),"A Saya suka bertahan menghadapi satu masalah, meskipun belum tentu berhasil.")</f>
        <v>A Saya suka bertahan menghadapi satu masalah, meskipun belum tentu berhasil.</v>
      </c>
      <c r="CL144" s="105" t="str">
        <f>IFERROR(__xludf.DUMMYFUNCTION("""COMPUTED_VALUE"""),"A Saya suka menolong teman-teman saya, apabila mereka dalam kesulitan.")</f>
        <v>A Saya suka menolong teman-teman saya, apabila mereka dalam kesulitan.</v>
      </c>
      <c r="CM144" s="105" t="str">
        <f>IFERROR(__xludf.DUMMYFUNCTION("""COMPUTED_VALUE"""),"A Saya ingin ditunjuk atau dipilih sebagai ketua dalam suatu kelompok.")</f>
        <v>A Saya ingin ditunjuk atau dipilih sebagai ketua dalam suatu kelompok.</v>
      </c>
      <c r="CN144" s="105" t="str">
        <f>IFERROR(__xludf.DUMMYFUNCTION("""COMPUTED_VALUE"""),"A Saya ingin diperlakukan dengan baik oleh teman-teman saya.")</f>
        <v>A Saya ingin diperlakukan dengan baik oleh teman-teman saya.</v>
      </c>
      <c r="CO144" s="105" t="str">
        <f>IFERROR(__xludf.DUMMYFUNCTION("""COMPUTED_VALUE"""),"A Saya suka menceritakan hal-hal lucu agar diperhatikan oleh orang lain.")</f>
        <v>A Saya suka menceritakan hal-hal lucu agar diperhatikan oleh orang lain.</v>
      </c>
      <c r="CP144" s="105" t="str">
        <f>IFERROR(__xludf.DUMMYFUNCTION("""COMPUTED_VALUE"""),"A Saya suka melamun atau membayangkan sesuatu sendirian.")</f>
        <v>A Saya suka melamun atau membayangkan sesuatu sendirian.</v>
      </c>
      <c r="CQ144" s="105" t="str">
        <f>IFERROR(__xludf.DUMMYFUNCTION("""COMPUTED_VALUE"""),"A Saya ingin menggertak orang bila saya berbeda pendapat dengan mereka.")</f>
        <v>A Saya ingin menggertak orang bila saya berbeda pendapat dengan mereka.</v>
      </c>
      <c r="CR144" s="105" t="str">
        <f>IFERROR(__xludf.DUMMYFUNCTION("""COMPUTED_VALUE"""),"B Saya rasanya ingin mengecam seseorang bila orang itu menjengkelkan.")</f>
        <v>B Saya rasanya ingin mengecam seseorang bila orang itu menjengkelkan.</v>
      </c>
      <c r="CS144" s="105" t="str">
        <f>IFERROR(__xludf.DUMMYFUNCTION("""COMPUTED_VALUE"""),"A Saya ingin terlihat menarik di depan teman-teman saya.")</f>
        <v>A Saya ingin terlihat menarik di depan teman-teman saya.</v>
      </c>
      <c r="CT144" s="105" t="str">
        <f>IFERROR(__xludf.DUMMYFUNCTION("""COMPUTED_VALUE"""),"A Saya ingin orang-orang memperhatikan komentar mengenai penampilan saya.")</f>
        <v>A Saya ingin orang-orang memperhatikan komentar mengenai penampilan saya.</v>
      </c>
      <c r="CU144" s="105" t="str">
        <f>IFERROR(__xludf.DUMMYFUNCTION("""COMPUTED_VALUE"""),"A Saya ingin diperlakukan dengan ramah oleh teman-teman saya.")</f>
        <v>A Saya ingin diperlakukan dengan ramah oleh teman-teman saya.</v>
      </c>
      <c r="CV144" s="105" t="str">
        <f>IFERROR(__xludf.DUMMYFUNCTION("""COMPUTED_VALUE"""),"A Saya ingin ditunjuk atau dipilih sebagai ketua dalam suatu kelompok.")</f>
        <v>A Saya ingin ditunjuk atau dipilih sebagai ketua dalam suatu kelompok.</v>
      </c>
      <c r="CW144" s="105" t="str">
        <f>IFERROR(__xludf.DUMMYFUNCTION("""COMPUTED_VALUE"""),"A Saya suka menolong teman-teman saya, apabila mereka dalam kesulitan.")</f>
        <v>A Saya suka menolong teman-teman saya, apabila mereka dalam kesulitan.</v>
      </c>
      <c r="CX144" s="105" t="str">
        <f>IFERROR(__xludf.DUMMYFUNCTION("""COMPUTED_VALUE"""),"A Saya suka belajar sampai malam untuk menyelesaikan suatu tugas.")</f>
        <v>A Saya suka belajar sampai malam untuk menyelesaikan suatu tugas.</v>
      </c>
      <c r="CY144" s="105" t="str">
        <f>IFERROR(__xludf.DUMMYFUNCTION("""COMPUTED_VALUE"""),"A Saya ingin tidak tergantung dari orang lain terhadap apa yang akan saya lakukan.")</f>
        <v>A Saya ingin tidak tergantung dari orang lain terhadap apa yang akan saya lakukan.</v>
      </c>
      <c r="CZ144" s="105" t="str">
        <f>IFERROR(__xludf.DUMMYFUNCTION("""COMPUTED_VALUE"""),"A Saya suka merencanakan dan mengatur setiap pekerjaan yang harus saya lakukan.")</f>
        <v>A Saya suka merencanakan dan mengatur setiap pekerjaan yang harus saya lakukan.</v>
      </c>
      <c r="DA144" s="105" t="str">
        <f>IFERROR(__xludf.DUMMYFUNCTION("""COMPUTED_VALUE"""),"A Saya ingin melakukan apa saja sebaik mungkin.")</f>
        <v>A Saya ingin melakukan apa saja sebaik mungkin.</v>
      </c>
      <c r="DB144" s="89" t="s">
        <v>23</v>
      </c>
      <c r="DC144" s="97" t="str">
        <f t="shared" ref="DC144:GX144" si="189">LEFT(F144,1)</f>
        <v>B</v>
      </c>
      <c r="DD144" s="97" t="str">
        <f t="shared" si="189"/>
        <v>B</v>
      </c>
      <c r="DE144" s="97" t="str">
        <f t="shared" si="189"/>
        <v>A</v>
      </c>
      <c r="DF144" s="97" t="str">
        <f t="shared" si="189"/>
        <v>B</v>
      </c>
      <c r="DG144" s="97" t="str">
        <f t="shared" si="189"/>
        <v>A</v>
      </c>
      <c r="DH144" s="97" t="str">
        <f t="shared" si="189"/>
        <v>B</v>
      </c>
      <c r="DI144" s="97" t="str">
        <f t="shared" si="189"/>
        <v>B</v>
      </c>
      <c r="DJ144" s="97" t="str">
        <f t="shared" si="189"/>
        <v>A</v>
      </c>
      <c r="DK144" s="97" t="str">
        <f t="shared" si="189"/>
        <v>A</v>
      </c>
      <c r="DL144" s="97" t="str">
        <f t="shared" si="189"/>
        <v>A</v>
      </c>
      <c r="DM144" s="97" t="str">
        <f t="shared" si="189"/>
        <v>B</v>
      </c>
      <c r="DN144" s="97" t="str">
        <f t="shared" si="189"/>
        <v>B</v>
      </c>
      <c r="DO144" s="97" t="str">
        <f t="shared" si="189"/>
        <v>B</v>
      </c>
      <c r="DP144" s="97" t="str">
        <f t="shared" si="189"/>
        <v>A</v>
      </c>
      <c r="DQ144" s="97" t="str">
        <f t="shared" si="189"/>
        <v>B</v>
      </c>
      <c r="DR144" s="97" t="str">
        <f t="shared" si="189"/>
        <v>A</v>
      </c>
      <c r="DS144" s="97" t="str">
        <f t="shared" si="189"/>
        <v>B</v>
      </c>
      <c r="DT144" s="97" t="str">
        <f t="shared" si="189"/>
        <v>B</v>
      </c>
      <c r="DU144" s="97" t="str">
        <f t="shared" si="189"/>
        <v>A</v>
      </c>
      <c r="DV144" s="97" t="str">
        <f t="shared" si="189"/>
        <v>B</v>
      </c>
      <c r="DW144" s="97" t="str">
        <f t="shared" si="189"/>
        <v>B</v>
      </c>
      <c r="DX144" s="97" t="str">
        <f t="shared" si="189"/>
        <v>A</v>
      </c>
      <c r="DY144" s="97" t="str">
        <f t="shared" si="189"/>
        <v>A</v>
      </c>
      <c r="DZ144" s="97" t="str">
        <f t="shared" si="189"/>
        <v>B</v>
      </c>
      <c r="EA144" s="97" t="str">
        <f t="shared" si="189"/>
        <v>A</v>
      </c>
      <c r="EB144" s="97" t="str">
        <f t="shared" si="189"/>
        <v>A</v>
      </c>
      <c r="EC144" s="97" t="str">
        <f t="shared" si="189"/>
        <v>A</v>
      </c>
      <c r="ED144" s="97" t="str">
        <f t="shared" si="189"/>
        <v>A</v>
      </c>
      <c r="EE144" s="97" t="str">
        <f t="shared" si="189"/>
        <v>A</v>
      </c>
      <c r="EF144" s="97" t="str">
        <f t="shared" si="189"/>
        <v>B</v>
      </c>
      <c r="EG144" s="97" t="str">
        <f t="shared" si="189"/>
        <v>B</v>
      </c>
      <c r="EH144" s="97" t="str">
        <f t="shared" si="189"/>
        <v>B</v>
      </c>
      <c r="EI144" s="97" t="str">
        <f t="shared" si="189"/>
        <v>B</v>
      </c>
      <c r="EJ144" s="97" t="str">
        <f t="shared" si="189"/>
        <v>A</v>
      </c>
      <c r="EK144" s="97" t="str">
        <f t="shared" si="189"/>
        <v>A</v>
      </c>
      <c r="EL144" s="97" t="str">
        <f t="shared" si="189"/>
        <v>A</v>
      </c>
      <c r="EM144" s="97" t="str">
        <f t="shared" si="189"/>
        <v>B</v>
      </c>
      <c r="EN144" s="97" t="str">
        <f t="shared" si="189"/>
        <v>A</v>
      </c>
      <c r="EO144" s="97" t="str">
        <f t="shared" si="189"/>
        <v>B</v>
      </c>
      <c r="EP144" s="97" t="str">
        <f t="shared" si="189"/>
        <v>B</v>
      </c>
      <c r="EQ144" s="97" t="str">
        <f t="shared" si="189"/>
        <v>B</v>
      </c>
      <c r="ER144" s="97" t="str">
        <f t="shared" si="189"/>
        <v>B</v>
      </c>
      <c r="ES144" s="97" t="str">
        <f t="shared" si="189"/>
        <v>B</v>
      </c>
      <c r="ET144" s="97" t="str">
        <f t="shared" si="189"/>
        <v>A</v>
      </c>
      <c r="EU144" s="97" t="str">
        <f t="shared" si="189"/>
        <v>A</v>
      </c>
      <c r="EV144" s="97" t="str">
        <f t="shared" si="189"/>
        <v>B</v>
      </c>
      <c r="EW144" s="97" t="str">
        <f t="shared" si="189"/>
        <v>A</v>
      </c>
      <c r="EX144" s="97" t="str">
        <f t="shared" si="189"/>
        <v>B</v>
      </c>
      <c r="EY144" s="97" t="str">
        <f t="shared" si="189"/>
        <v>A</v>
      </c>
      <c r="EZ144" s="97" t="str">
        <f t="shared" si="189"/>
        <v>B</v>
      </c>
      <c r="FA144" s="97" t="str">
        <f t="shared" si="189"/>
        <v>A</v>
      </c>
      <c r="FB144" s="97" t="str">
        <f t="shared" si="189"/>
        <v>A</v>
      </c>
      <c r="FC144" s="97" t="str">
        <f t="shared" si="189"/>
        <v>A</v>
      </c>
      <c r="FD144" s="97" t="str">
        <f t="shared" si="189"/>
        <v>B</v>
      </c>
      <c r="FE144" s="97" t="str">
        <f t="shared" si="189"/>
        <v>A</v>
      </c>
      <c r="FF144" s="97" t="str">
        <f t="shared" si="189"/>
        <v>A</v>
      </c>
      <c r="FG144" s="97" t="str">
        <f t="shared" si="189"/>
        <v>A</v>
      </c>
      <c r="FH144" s="97" t="str">
        <f t="shared" si="189"/>
        <v>A</v>
      </c>
      <c r="FI144" s="97" t="str">
        <f t="shared" si="189"/>
        <v>A</v>
      </c>
      <c r="FJ144" s="97" t="str">
        <f t="shared" si="189"/>
        <v>A</v>
      </c>
      <c r="FK144" s="97" t="str">
        <f t="shared" si="189"/>
        <v>A</v>
      </c>
      <c r="FL144" s="97" t="str">
        <f t="shared" si="189"/>
        <v>B</v>
      </c>
      <c r="FM144" s="97" t="str">
        <f t="shared" si="189"/>
        <v>A</v>
      </c>
      <c r="FN144" s="97" t="str">
        <f t="shared" si="189"/>
        <v>A</v>
      </c>
      <c r="FO144" s="97" t="str">
        <f t="shared" si="189"/>
        <v>A</v>
      </c>
      <c r="FP144" s="97" t="str">
        <f t="shared" si="189"/>
        <v>B</v>
      </c>
      <c r="FQ144" s="97" t="str">
        <f t="shared" si="189"/>
        <v>A</v>
      </c>
      <c r="FR144" s="97" t="str">
        <f t="shared" si="189"/>
        <v>B</v>
      </c>
      <c r="FS144" s="97" t="str">
        <f t="shared" si="189"/>
        <v>B</v>
      </c>
      <c r="FT144" s="97" t="str">
        <f t="shared" si="189"/>
        <v>B</v>
      </c>
      <c r="FU144" s="97" t="str">
        <f t="shared" si="189"/>
        <v>B</v>
      </c>
      <c r="FV144" s="97" t="str">
        <f t="shared" si="189"/>
        <v>B</v>
      </c>
      <c r="FW144" s="97" t="str">
        <f t="shared" si="189"/>
        <v>A</v>
      </c>
      <c r="FX144" s="97" t="str">
        <f t="shared" si="189"/>
        <v>A</v>
      </c>
      <c r="FY144" s="97" t="str">
        <f t="shared" si="189"/>
        <v>B</v>
      </c>
      <c r="FZ144" s="97" t="str">
        <f t="shared" si="189"/>
        <v>A</v>
      </c>
      <c r="GA144" s="97" t="str">
        <f t="shared" si="189"/>
        <v>B</v>
      </c>
      <c r="GB144" s="97" t="str">
        <f t="shared" si="189"/>
        <v>A</v>
      </c>
      <c r="GC144" s="97" t="str">
        <f t="shared" si="189"/>
        <v>A</v>
      </c>
      <c r="GD144" s="97" t="str">
        <f t="shared" si="189"/>
        <v>A</v>
      </c>
      <c r="GE144" s="97" t="str">
        <f t="shared" si="189"/>
        <v>A</v>
      </c>
      <c r="GF144" s="97" t="str">
        <f t="shared" si="189"/>
        <v>A</v>
      </c>
      <c r="GG144" s="97" t="str">
        <f t="shared" si="189"/>
        <v>A</v>
      </c>
      <c r="GH144" s="97" t="str">
        <f t="shared" si="189"/>
        <v>A</v>
      </c>
      <c r="GI144" s="97" t="str">
        <f t="shared" si="189"/>
        <v>A</v>
      </c>
      <c r="GJ144" s="97" t="str">
        <f t="shared" si="189"/>
        <v>A</v>
      </c>
      <c r="GK144" s="97" t="str">
        <f t="shared" si="189"/>
        <v>A</v>
      </c>
      <c r="GL144" s="97" t="str">
        <f t="shared" si="189"/>
        <v>A</v>
      </c>
      <c r="GM144" s="97" t="str">
        <f t="shared" si="189"/>
        <v>A</v>
      </c>
      <c r="GN144" s="97" t="str">
        <f t="shared" si="189"/>
        <v>A</v>
      </c>
      <c r="GO144" s="97" t="str">
        <f t="shared" si="189"/>
        <v>B</v>
      </c>
      <c r="GP144" s="97" t="str">
        <f t="shared" si="189"/>
        <v>A</v>
      </c>
      <c r="GQ144" s="97" t="str">
        <f t="shared" si="189"/>
        <v>A</v>
      </c>
      <c r="GR144" s="97" t="str">
        <f t="shared" si="189"/>
        <v>A</v>
      </c>
      <c r="GS144" s="97" t="str">
        <f t="shared" si="189"/>
        <v>A</v>
      </c>
      <c r="GT144" s="97" t="str">
        <f t="shared" si="189"/>
        <v>A</v>
      </c>
      <c r="GU144" s="97" t="str">
        <f t="shared" si="189"/>
        <v>A</v>
      </c>
      <c r="GV144" s="97" t="str">
        <f t="shared" si="189"/>
        <v>A</v>
      </c>
      <c r="GW144" s="97" t="str">
        <f t="shared" si="189"/>
        <v>A</v>
      </c>
      <c r="GX144" s="97" t="str">
        <f t="shared" si="189"/>
        <v>A</v>
      </c>
      <c r="GY144" s="98"/>
      <c r="GZ144" s="97">
        <f t="shared" si="3"/>
        <v>62</v>
      </c>
      <c r="HA144" s="97">
        <f t="shared" si="4"/>
        <v>38</v>
      </c>
      <c r="HB144" s="90">
        <f t="shared" si="5"/>
        <v>100</v>
      </c>
      <c r="HC144" s="99"/>
      <c r="HD144" s="97">
        <f t="shared" si="6"/>
        <v>5</v>
      </c>
      <c r="HE144" s="97">
        <f t="shared" si="7"/>
        <v>4</v>
      </c>
      <c r="HF144" s="90">
        <f t="shared" si="8"/>
        <v>9</v>
      </c>
      <c r="HG144" s="99"/>
      <c r="HH144" s="97">
        <f t="shared" si="9"/>
        <v>5</v>
      </c>
      <c r="HI144" s="97">
        <f t="shared" si="10"/>
        <v>7</v>
      </c>
      <c r="HJ144" s="90">
        <f t="shared" si="11"/>
        <v>12</v>
      </c>
      <c r="HK144" s="99"/>
      <c r="HL144" s="97">
        <f t="shared" si="12"/>
        <v>7</v>
      </c>
      <c r="HM144" s="97">
        <f t="shared" si="13"/>
        <v>3</v>
      </c>
      <c r="HN144" s="90">
        <f t="shared" si="14"/>
        <v>10</v>
      </c>
      <c r="HO144" s="99"/>
      <c r="HP144" s="97">
        <f t="shared" si="15"/>
        <v>5</v>
      </c>
      <c r="HQ144" s="97">
        <f t="shared" si="16"/>
        <v>6</v>
      </c>
      <c r="HR144" s="90">
        <f t="shared" si="17"/>
        <v>11</v>
      </c>
      <c r="HS144" s="99"/>
      <c r="HT144" s="97">
        <f t="shared" si="18"/>
        <v>9</v>
      </c>
      <c r="HU144" s="97">
        <f t="shared" si="19"/>
        <v>6</v>
      </c>
      <c r="HV144" s="90">
        <f t="shared" si="20"/>
        <v>15</v>
      </c>
      <c r="HW144" s="99"/>
      <c r="HX144" s="97">
        <f t="shared" si="21"/>
        <v>4</v>
      </c>
      <c r="HY144" s="97">
        <f t="shared" si="22"/>
        <v>1</v>
      </c>
      <c r="HZ144" s="90">
        <f t="shared" si="23"/>
        <v>5</v>
      </c>
      <c r="IA144" s="99"/>
      <c r="IB144" s="97">
        <f t="shared" si="24"/>
        <v>7</v>
      </c>
      <c r="IC144" s="97">
        <f t="shared" si="25"/>
        <v>5</v>
      </c>
      <c r="ID144" s="90">
        <f t="shared" si="26"/>
        <v>12</v>
      </c>
      <c r="IE144" s="99"/>
      <c r="IF144" s="97">
        <f t="shared" si="27"/>
        <v>5</v>
      </c>
      <c r="IG144" s="97">
        <f t="shared" si="28"/>
        <v>4</v>
      </c>
      <c r="IH144" s="90">
        <f t="shared" si="29"/>
        <v>9</v>
      </c>
      <c r="II144" s="99"/>
      <c r="IJ144" s="97">
        <f t="shared" si="30"/>
        <v>5</v>
      </c>
      <c r="IK144" s="97">
        <f t="shared" si="31"/>
        <v>0</v>
      </c>
      <c r="IL144" s="90">
        <f t="shared" si="32"/>
        <v>5</v>
      </c>
      <c r="IM144" s="99"/>
      <c r="IN144" s="97">
        <f t="shared" si="33"/>
        <v>3</v>
      </c>
      <c r="IO144" s="97">
        <f t="shared" si="34"/>
        <v>1</v>
      </c>
      <c r="IP144" s="90">
        <f t="shared" si="35"/>
        <v>4</v>
      </c>
      <c r="IS144" s="100">
        <f t="shared" si="36"/>
        <v>9</v>
      </c>
      <c r="IT144" s="100">
        <f t="shared" si="37"/>
        <v>12</v>
      </c>
      <c r="IU144" s="100">
        <f t="shared" si="38"/>
        <v>10</v>
      </c>
      <c r="IV144" s="100">
        <f t="shared" si="39"/>
        <v>11</v>
      </c>
      <c r="IW144" s="100">
        <f t="shared" si="40"/>
        <v>15</v>
      </c>
      <c r="IX144" s="100">
        <f t="shared" si="41"/>
        <v>5</v>
      </c>
      <c r="IY144" s="100">
        <f t="shared" si="42"/>
        <v>12</v>
      </c>
      <c r="IZ144" s="100">
        <f t="shared" si="43"/>
        <v>9</v>
      </c>
      <c r="JA144" s="100">
        <f t="shared" si="44"/>
        <v>5</v>
      </c>
      <c r="JB144" s="101">
        <f t="shared" si="45"/>
        <v>4</v>
      </c>
      <c r="JC144" s="102">
        <f t="shared" si="46"/>
        <v>92</v>
      </c>
      <c r="JD144" s="67">
        <f t="shared" si="50"/>
        <v>0</v>
      </c>
      <c r="JE144" s="67">
        <f t="shared" si="47"/>
        <v>1</v>
      </c>
      <c r="JF144" s="67">
        <f t="shared" si="48"/>
        <v>1</v>
      </c>
    </row>
    <row r="145">
      <c r="A145" s="104">
        <f>IFERROR(__xludf.DUMMYFUNCTION("""COMPUTED_VALUE"""),45973.71267005787)</f>
        <v>45973.71267</v>
      </c>
      <c r="B145" s="105" t="str">
        <f>IFERROR(__xludf.DUMMYFUNCTION("""COMPUTED_VALUE"""),"ANANDA HEZKY FAYEZA")</f>
        <v>ANANDA HEZKY FAYEZA</v>
      </c>
      <c r="C145" s="7" t="str">
        <f>IFERROR(__xludf.DUMMYFUNCTION("""COMPUTED_VALUE"""),"C250024")</f>
        <v>C250024</v>
      </c>
      <c r="D145" s="7" t="str">
        <f>IFERROR(__xludf.DUMMYFUNCTION("""COMPUTED_VALUE"""),"SMA")</f>
        <v>SMA</v>
      </c>
      <c r="E145" s="7" t="str">
        <f>IFERROR(__xludf.DUMMYFUNCTION("""COMPUTED_VALUE"""),"Ya")</f>
        <v>Ya</v>
      </c>
      <c r="F145" s="105" t="str">
        <f>IFERROR(__xludf.DUMMYFUNCTION("""COMPUTED_VALUE"""),"B Saya ingin melakukan apa saja sebaik mungkin.")</f>
        <v>B Saya ingin melakukan apa saja sebaik mungkin.</v>
      </c>
      <c r="G145" s="105" t="str">
        <f>IFERROR(__xludf.DUMMYFUNCTION("""COMPUTED_VALUE"""),"B Saya ingin menyelesaikan tugas yang segera dikumpulkan.")</f>
        <v>B Saya ingin menyelesaikan tugas yang segera dikumpulkan.</v>
      </c>
      <c r="H145" s="105" t="str">
        <f>IFERROR(__xludf.DUMMYFUNCTION("""COMPUTED_VALUE"""),"A Saya ingin berbuat sesuai kata hati saya.")</f>
        <v>A Saya ingin berbuat sesuai kata hati saya.</v>
      </c>
      <c r="I145" s="105" t="str">
        <f>IFERROR(__xludf.DUMMYFUNCTION("""COMPUTED_VALUE"""),"B Saya ingin bisa melakukan dengan baik meskipun tugas yang sulit.")</f>
        <v>B Saya ingin bisa melakukan dengan baik meskipun tugas yang sulit.</v>
      </c>
      <c r="J145" s="105" t="str">
        <f>IFERROR(__xludf.DUMMYFUNCTION("""COMPUTED_VALUE"""),"A Saya suka membantu teman-teman saya apabila mereka mengalami kesulitan.")</f>
        <v>A Saya suka membantu teman-teman saya apabila mereka mengalami kesulitan.</v>
      </c>
      <c r="K145" s="105" t="str">
        <f>IFERROR(__xludf.DUMMYFUNCTION("""COMPUTED_VALUE"""),"B Saya ingin mengatakan telah melakukan dengan baik sesuatu tugas yang sulit.")</f>
        <v>B Saya ingin mengatakan telah melakukan dengan baik sesuatu tugas yang sulit.</v>
      </c>
      <c r="L145" s="105" t="str">
        <f>IFERROR(__xludf.DUMMYFUNCTION("""COMPUTED_VALUE"""),"B Saya ingin mengatakan telah melakukan dengan baik sesuatu tugas yang sulit")</f>
        <v>B Saya ingin mengatakan telah melakukan dengan baik sesuatu tugas yang sulit</v>
      </c>
      <c r="M145" s="105" t="str">
        <f>IFERROR(__xludf.DUMMYFUNCTION("""COMPUTED_VALUE"""),"B Saya ingin mengerjakan segala tugas lebih baik daripada orang lain.")</f>
        <v>B Saya ingin mengerjakan segala tugas lebih baik daripada orang lain.</v>
      </c>
      <c r="N145" s="105" t="str">
        <f>IFERROR(__xludf.DUMMYFUNCTION("""COMPUTED_VALUE"""),"A Saya suka pergi dengan pakaian rapi agar lebih menarik perhatian orang lain.")</f>
        <v>A Saya suka pergi dengan pakaian rapi agar lebih menarik perhatian orang lain.</v>
      </c>
      <c r="O145" s="105" t="str">
        <f>IFERROR(__xludf.DUMMYFUNCTION("""COMPUTED_VALUE"""),"B Saya suka melakukan tugas sebaik mungkin.")</f>
        <v>B Saya suka melakukan tugas sebaik mungkin.</v>
      </c>
      <c r="P145" s="105" t="str">
        <f>IFERROR(__xludf.DUMMYFUNCTION("""COMPUTED_VALUE"""),"A Saya suka bercerita tentang hal-hal yang menegangkan atau menantang.")</f>
        <v>A Saya suka bercerita tentang hal-hal yang menegangkan atau menantang.</v>
      </c>
      <c r="Q145" s="105" t="str">
        <f>IFERROR(__xludf.DUMMYFUNCTION("""COMPUTED_VALUE"""),"A Saya mulai suka dengan lawan jenis.")</f>
        <v>A Saya mulai suka dengan lawan jenis.</v>
      </c>
      <c r="R145" s="105" t="str">
        <f>IFERROR(__xludf.DUMMYFUNCTION("""COMPUTED_VALUE"""),"B Saya suka barang-barang saya tersusun rapi dan teratur.")</f>
        <v>B Saya suka barang-barang saya tersusun rapi dan teratur.</v>
      </c>
      <c r="S145" s="105" t="str">
        <f>IFERROR(__xludf.DUMMYFUNCTION("""COMPUTED_VALUE"""),"A Saya ingin agar teman-teman pengertian bila saya mengalami kesukaran.")</f>
        <v>A Saya ingin agar teman-teman pengertian bila saya mengalami kesukaran.</v>
      </c>
      <c r="T145" s="105" t="str">
        <f>IFERROR(__xludf.DUMMYFUNCTION("""COMPUTED_VALUE"""),"B Saya ingin agar hidup saya teratur sesuai cita-cita saya.")</f>
        <v>B Saya ingin agar hidup saya teratur sesuai cita-cita saya.</v>
      </c>
      <c r="U145" s="105" t="str">
        <f>IFERROR(__xludf.DUMMYFUNCTION("""COMPUTED_VALUE"""),"A Saya suka memberikan bantuan kepada teman-teman saya.")</f>
        <v>A Saya suka memberikan bantuan kepada teman-teman saya.</v>
      </c>
      <c r="V145" s="105" t="str">
        <f>IFERROR(__xludf.DUMMYFUNCTION("""COMPUTED_VALUE"""),"B Saya suka belajar saya teratur dan ada waktu-waktu tertentu untuk belajar.")</f>
        <v>B Saya suka belajar saya teratur dan ada waktu-waktu tertentu untuk belajar.</v>
      </c>
      <c r="W145" s="105" t="str">
        <f>IFERROR(__xludf.DUMMYFUNCTION("""COMPUTED_VALUE"""),"A Saya suka melakukan kegiatan sesuai kondisi yang saya inginkan.")</f>
        <v>A Saya suka melakukan kegiatan sesuai kondisi yang saya inginkan.</v>
      </c>
      <c r="X145" s="105" t="str">
        <f>IFERROR(__xludf.DUMMYFUNCTION("""COMPUTED_VALUE"""),"A Saya suka merencanakan dan mengatur setiap apa yang harus saya lakukan.")</f>
        <v>A Saya suka merencanakan dan mengatur setiap apa yang harus saya lakukan.</v>
      </c>
      <c r="Y145" s="105" t="str">
        <f>IFERROR(__xludf.DUMMYFUNCTION("""COMPUTED_VALUE"""),"B Saya senang merencanakan untuk masa depan.")</f>
        <v>B Saya senang merencanakan untuk masa depan.</v>
      </c>
      <c r="Z145" s="105" t="str">
        <f>IFERROR(__xludf.DUMMYFUNCTION("""COMPUTED_VALUE"""),"A Saya ingin berhasil dengan belajar yang saya lakukan.")</f>
        <v>A Saya ingin berhasil dengan belajar yang saya lakukan.</v>
      </c>
      <c r="AA145" s="105" t="str">
        <f>IFERROR(__xludf.DUMMYFUNCTION("""COMPUTED_VALUE"""),"A Saya suka menyelesaikan tugas yang telah saya rencanakan.")</f>
        <v>A Saya suka menyelesaikan tugas yang telah saya rencanakan.</v>
      </c>
      <c r="AB145" s="105" t="str">
        <f>IFERROR(__xludf.DUMMYFUNCTION("""COMPUTED_VALUE"""),"B Saya ingin menyelesaikan pekerjaan satu persatu sebelum memulai yang lain.")</f>
        <v>B Saya ingin menyelesaikan pekerjaan satu persatu sebelum memulai yang lain.</v>
      </c>
      <c r="AC145" s="105" t="str">
        <f>IFERROR(__xludf.DUMMYFUNCTION("""COMPUTED_VALUE"""),"B Saya suka melakukan kegiatan sesuai kondisi yang saya inginkan.")</f>
        <v>B Saya suka melakukan kegiatan sesuai kondisi yang saya inginkan.</v>
      </c>
      <c r="AD145" s="105" t="str">
        <f>IFERROR(__xludf.DUMMYFUNCTION("""COMPUTED_VALUE"""),"A Saya suka bermurah hati terhadap teman-teman saya.")</f>
        <v>A Saya suka bermurah hati terhadap teman-teman saya.</v>
      </c>
      <c r="AE145" s="105" t="str">
        <f>IFERROR(__xludf.DUMMYFUNCTION("""COMPUTED_VALUE"""),"B Saya suka melakukan hal-hal yang dianggap orang lain tidak sesuai.")</f>
        <v>B Saya suka melakukan hal-hal yang dianggap orang lain tidak sesuai.</v>
      </c>
      <c r="AF145" s="105" t="str">
        <f>IFERROR(__xludf.DUMMYFUNCTION("""COMPUTED_VALUE"""),"A Saya ingin agar teman-teman mengerti bila saya mengalami kesukaran.")</f>
        <v>A Saya ingin agar teman-teman mengerti bila saya mengalami kesukaran.</v>
      </c>
      <c r="AG145" s="105" t="str">
        <f>IFERROR(__xludf.DUMMYFUNCTION("""COMPUTED_VALUE"""),"B Saya ingin berhasil dengan tugas yang saya lakukan.")</f>
        <v>B Saya ingin berhasil dengan tugas yang saya lakukan.</v>
      </c>
      <c r="AH145" s="105" t="str">
        <f>IFERROR(__xludf.DUMMYFUNCTION("""COMPUTED_VALUE"""),"A Saya suka membaca buku-buku tentang pergaulan remaja.")</f>
        <v>A Saya suka membaca buku-buku tentang pergaulan remaja.</v>
      </c>
      <c r="AI145" s="105" t="str">
        <f>IFERROR(__xludf.DUMMYFUNCTION("""COMPUTED_VALUE"""),"B Saya suka melakukan kegiatan sesuai kondisi yang saya inginkan.")</f>
        <v>B Saya suka melakukan kegiatan sesuai kondisi yang saya inginkan.</v>
      </c>
      <c r="AJ145" s="105" t="str">
        <f>IFERROR(__xludf.DUMMYFUNCTION("""COMPUTED_VALUE"""),"B Saya suka bertahan menghadapi satu masalah meskipun belum tentu berhasil.")</f>
        <v>B Saya suka bertahan menghadapi satu masalah meskipun belum tentu berhasil.</v>
      </c>
      <c r="AK145" s="105" t="str">
        <f>IFERROR(__xludf.DUMMYFUNCTION("""COMPUTED_VALUE"""),"A Saya suka bercerita tentang hal-hal pribadi yang seharusnya tidak perlu diketahui orang lain.")</f>
        <v>A Saya suka bercerita tentang hal-hal pribadi yang seharusnya tidak perlu diketahui orang lain.</v>
      </c>
      <c r="AL145" s="105" t="str">
        <f>IFERROR(__xludf.DUMMYFUNCTION("""COMPUTED_VALUE"""),"A Saya suka berbicara tentang hal-hal yang telah saya capai.")</f>
        <v>A Saya suka berbicara tentang hal-hal yang telah saya capai.</v>
      </c>
      <c r="AM145" s="105" t="str">
        <f>IFERROR(__xludf.DUMMYFUNCTION("""COMPUTED_VALUE"""),"B Saya suka belajar sampai malam untuk menyelesaikan suatu tugas.")</f>
        <v>B Saya suka belajar sampai malam untuk menyelesaikan suatu tugas.</v>
      </c>
      <c r="AN145" s="105" t="str">
        <f>IFERROR(__xludf.DUMMYFUNCTION("""COMPUTED_VALUE"""),"A Saya tidak suka pada orang yang semena-mena.")</f>
        <v>A Saya tidak suka pada orang yang semena-mena.</v>
      </c>
      <c r="AO145" s="105" t="str">
        <f>IFERROR(__xludf.DUMMYFUNCTION("""COMPUTED_VALUE"""),"A Saya suka berlaku sangat ramah terhadap teman-teman saya.")</f>
        <v>A Saya suka berlaku sangat ramah terhadap teman-teman saya.</v>
      </c>
      <c r="AP145" s="105" t="str">
        <f>IFERROR(__xludf.DUMMYFUNCTION("""COMPUTED_VALUE"""),"B Saya suka bertahan menghadapi satu masalah meskipun belum tentu berhasil.")</f>
        <v>B Saya suka bertahan menghadapi satu masalah meskipun belum tentu berhasil.</v>
      </c>
      <c r="AQ145" s="105" t="str">
        <f>IFERROR(__xludf.DUMMYFUNCTION("""COMPUTED_VALUE"""),"B Bila saya harus melakukan suatu tugas, saya ingin mengerjakan sampai selesai.")</f>
        <v>B Bila saya harus melakukan suatu tugas, saya ingin mengerjakan sampai selesai.</v>
      </c>
      <c r="AR145" s="105" t="str">
        <f>IFERROR(__xludf.DUMMYFUNCTION("""COMPUTED_VALUE"""),"B Saya suka belajar keras pada tiap pelajaran yang saya hadapi.")</f>
        <v>B Saya suka belajar keras pada tiap pelajaran yang saya hadapi.</v>
      </c>
      <c r="AS145" s="105" t="str">
        <f>IFERROR(__xludf.DUMMYFUNCTION("""COMPUTED_VALUE"""),"B Saya suka belajar sampai malam untuk menyelesaikan suatu tugas.")</f>
        <v>B Saya suka belajar sampai malam untuk menyelesaikan suatu tugas.</v>
      </c>
      <c r="AT145" s="105" t="str">
        <f>IFERROR(__xludf.DUMMYFUNCTION("""COMPUTED_VALUE"""),"A Saya ingin bisa melakukan dengan baik sesuatu pekerjaan sulit.")</f>
        <v>A Saya ingin bisa melakukan dengan baik sesuatu pekerjaan sulit.</v>
      </c>
      <c r="AU145" s="105" t="str">
        <f>IFERROR(__xludf.DUMMYFUNCTION("""COMPUTED_VALUE"""),"A Saya ingin menyelesaikan pekerjaan satu persatu sebelum memulai yang lain.")</f>
        <v>A Saya ingin menyelesaikan pekerjaan satu persatu sebelum memulai yang lain.</v>
      </c>
      <c r="AV145" s="105" t="str">
        <f>IFERROR(__xludf.DUMMYFUNCTION("""COMPUTED_VALUE"""),"B Saya suka menolong teman-teman saya.")</f>
        <v>B Saya suka menolong teman-teman saya.</v>
      </c>
      <c r="AW145" s="105" t="str">
        <f>IFERROR(__xludf.DUMMYFUNCTION("""COMPUTED_VALUE"""),"B Saya ingin teman-teman saya percaya bahwa saya bisa menolong mereka.")</f>
        <v>B Saya ingin teman-teman saya percaya bahwa saya bisa menolong mereka.</v>
      </c>
      <c r="AX145" s="105" t="str">
        <f>IFERROR(__xludf.DUMMYFUNCTION("""COMPUTED_VALUE"""),"B Saya suka memaafkan teman-teman saya yang menyakiti hati saya.")</f>
        <v>B Saya suka memaafkan teman-teman saya yang menyakiti hati saya.</v>
      </c>
      <c r="AY145" s="105" t="str">
        <f>IFERROR(__xludf.DUMMYFUNCTION("""COMPUTED_VALUE"""),"A Saya rasanya ingin marah saat tidak sesuai dengan hati.")</f>
        <v>A Saya rasanya ingin marah saat tidak sesuai dengan hati.</v>
      </c>
      <c r="AZ145" s="105" t="str">
        <f>IFERROR(__xludf.DUMMYFUNCTION("""COMPUTED_VALUE"""),"A Saya ingin agar teman-teman saya bersimpati dan menghibur saya bila saya sedih.")</f>
        <v>A Saya ingin agar teman-teman saya bersimpati dan menghibur saya bila saya sedih.</v>
      </c>
      <c r="BA145" s="105" t="str">
        <f>IFERROR(__xludf.DUMMYFUNCTION("""COMPUTED_VALUE"""),"B Saya suka memperlakukan orang lain dengan baik dan ramah.")</f>
        <v>B Saya suka memperlakukan orang lain dengan baik dan ramah.</v>
      </c>
      <c r="BB145" s="105" t="str">
        <f>IFERROR(__xludf.DUMMYFUNCTION("""COMPUTED_VALUE"""),"B Saya suka bermurah hati terhadap teman-teman saya.")</f>
        <v>B Saya suka bermurah hati terhadap teman-teman saya.</v>
      </c>
      <c r="BC145" s="105" t="str">
        <f>IFERROR(__xludf.DUMMYFUNCTION("""COMPUTED_VALUE"""),"B Saya suka membantu orang lain yang menurut saya perlu dikasihani.")</f>
        <v>B Saya suka membantu orang lain yang menurut saya perlu dikasihani.</v>
      </c>
      <c r="BD145" s="105" t="str">
        <f>IFERROR(__xludf.DUMMYFUNCTION("""COMPUTED_VALUE"""),"B Saya suka bersikukuh dengan pendirian saya.")</f>
        <v>B Saya suka bersikukuh dengan pendirian saya.</v>
      </c>
      <c r="BE145" s="105" t="str">
        <f>IFERROR(__xludf.DUMMYFUNCTION("""COMPUTED_VALUE"""),"A Saya suka mendengarkan atau menceritakan hal-hal yang sebaiknya tidak diceritakan.")</f>
        <v>A Saya suka mendengarkan atau menceritakan hal-hal yang sebaiknya tidak diceritakan.</v>
      </c>
      <c r="BF145" s="105" t="str">
        <f>IFERROR(__xludf.DUMMYFUNCTION("""COMPUTED_VALUE"""),"B Bila saya dalam kelompok, saya ingin menentukan apa yang akan kita lakukan.")</f>
        <v>B Bila saya dalam kelompok, saya ingin menentukan apa yang akan kita lakukan.</v>
      </c>
      <c r="BG145" s="105" t="str">
        <f>IFERROR(__xludf.DUMMYFUNCTION("""COMPUTED_VALUE"""),"B Saya suka mengarahkan kepada orang lain apa yang harus dilakukan.")</f>
        <v>B Saya suka mengarahkan kepada orang lain apa yang harus dilakukan.</v>
      </c>
      <c r="BH145" s="105" t="str">
        <f>IFERROR(__xludf.DUMMYFUNCTION("""COMPUTED_VALUE"""),"B Apabila saya berkumpul dalam kelompok, saya ingin dihargai teman-teman.")</f>
        <v>B Apabila saya berkumpul dalam kelompok, saya ingin dihargai teman-teman.</v>
      </c>
      <c r="BI145" s="105" t="str">
        <f>IFERROR(__xludf.DUMMYFUNCTION("""COMPUTED_VALUE"""),"A Saya suka bermurah hati terhadap teman-teman saya.")</f>
        <v>A Saya suka bermurah hati terhadap teman-teman saya.</v>
      </c>
      <c r="BJ145" s="105" t="str">
        <f>IFERROR(__xludf.DUMMYFUNCTION("""COMPUTED_VALUE"""),"A Saya ingin mengerjakan tugas sampai selesai.")</f>
        <v>A Saya ingin mengerjakan tugas sampai selesai.</v>
      </c>
      <c r="BK145" s="105" t="str">
        <f>IFERROR(__xludf.DUMMYFUNCTION("""COMPUTED_VALUE"""),"B Saya senang untuk diminta menyelesaikan pertentangan-pertentangan.")</f>
        <v>B Saya senang untuk diminta menyelesaikan pertentangan-pertentangan.</v>
      </c>
      <c r="BL145" s="105" t="str">
        <f>IFERROR(__xludf.DUMMYFUNCTION("""COMPUTED_VALUE"""),"B Saya suka bersikukuh dengan pendirian saya.")</f>
        <v>B Saya suka bersikukuh dengan pendirian saya.</v>
      </c>
      <c r="BM145" s="105" t="str">
        <f>IFERROR(__xludf.DUMMYFUNCTION("""COMPUTED_VALUE"""),"A Saya suka melakukan pekerjaan sebaik mungkin.")</f>
        <v>A Saya suka melakukan pekerjaan sebaik mungkin.</v>
      </c>
      <c r="BN145" s="105" t="str">
        <f>IFERROR(__xludf.DUMMYFUNCTION("""COMPUTED_VALUE"""),"B Saya ingin teman-teman memberi dorongan bila saya menghadapi kegagalan.")</f>
        <v>B Saya ingin teman-teman memberi dorongan bila saya menghadapi kegagalan.</v>
      </c>
      <c r="BO145" s="105" t="str">
        <f>IFERROR(__xludf.DUMMYFUNCTION("""COMPUTED_VALUE"""),"B Saya ingin diperlakukan dengan baik oleh teman-teman saya.")</f>
        <v>B Saya ingin diperlakukan dengan baik oleh teman-teman saya.</v>
      </c>
      <c r="BP145" s="105" t="str">
        <f>IFERROR(__xludf.DUMMYFUNCTION("""COMPUTED_VALUE"""),"A Saya ingin menyelesaikan sesuatu yang sangat penting artinya.")</f>
        <v>A Saya ingin menyelesaikan sesuatu yang sangat penting artinya.</v>
      </c>
      <c r="BQ145" s="105" t="str">
        <f>IFERROR(__xludf.DUMMYFUNCTION("""COMPUTED_VALUE"""),"A Saya ingin mengerjakannya tugas sampai selesai.")</f>
        <v>A Saya ingin mengerjakannya tugas sampai selesai.</v>
      </c>
      <c r="BR145" s="105" t="str">
        <f>IFERROR(__xludf.DUMMYFUNCTION("""COMPUTED_VALUE"""),"A Saya suka memaafkan teman-teman saya yang menyakiti hati saya.")</f>
        <v>A Saya suka memaafkan teman-teman saya yang menyakiti hati saya.</v>
      </c>
      <c r="BS145" s="105" t="str">
        <f>IFERROR(__xludf.DUMMYFUNCTION("""COMPUTED_VALUE"""),"B Saya ingin teman-teman saya membantu saya bila saya mengalami kesulitan")</f>
        <v>B Saya ingin teman-teman saya membantu saya bila saya mengalami kesulitan</v>
      </c>
      <c r="BT145" s="105" t="str">
        <f>IFERROR(__xludf.DUMMYFUNCTION("""COMPUTED_VALUE"""),"B Saya ingin teman-teman banyak menunjukkan rasa sayang mereka terhadap saya.")</f>
        <v>B Saya ingin teman-teman banyak menunjukkan rasa sayang mereka terhadap saya.</v>
      </c>
      <c r="BU145" s="105" t="str">
        <f>IFERROR(__xludf.DUMMYFUNCTION("""COMPUTED_VALUE"""),"A Saya kadang-kadang suka melakukan hal-hal yang dapat dipuji oleh orang lain.")</f>
        <v>A Saya kadang-kadang suka melakukan hal-hal yang dapat dipuji oleh orang lain.</v>
      </c>
      <c r="BV145" s="105" t="str">
        <f>IFERROR(__xludf.DUMMYFUNCTION("""COMPUTED_VALUE"""),"B Saya ingin teman-teman dengan gembira memberikan pertolongan kepada saya.")</f>
        <v>B Saya ingin teman-teman dengan gembira memberikan pertolongan kepada saya.</v>
      </c>
      <c r="BW145" s="105" t="str">
        <f>IFERROR(__xludf.DUMMYFUNCTION("""COMPUTED_VALUE"""),"A Saya akan menyerang pendapat yang bertentangan dengan pendirian saya.")</f>
        <v>A Saya akan menyerang pendapat yang bertentangan dengan pendirian saya.</v>
      </c>
      <c r="BX145" s="105" t="str">
        <f>IFERROR(__xludf.DUMMYFUNCTION("""COMPUTED_VALUE"""),"A Saya ingin memperolok-olok orang yang saya anggap melakukan tindakan bodoh.")</f>
        <v>A Saya ingin memperolok-olok orang yang saya anggap melakukan tindakan bodoh.</v>
      </c>
      <c r="BY145" s="105" t="str">
        <f>IFERROR(__xludf.DUMMYFUNCTION("""COMPUTED_VALUE"""),"A Saya suka melamun atau membayangkan hal-hal yang tidak jelas.")</f>
        <v>A Saya suka melamun atau membayangkan hal-hal yang tidak jelas.</v>
      </c>
      <c r="BZ145" s="105" t="str">
        <f>IFERROR(__xludf.DUMMYFUNCTION("""COMPUTED_VALUE"""),"A Saya suka berkata yang artinya sulit dipahami oleh orang lain.")</f>
        <v>A Saya suka berkata yang artinya sulit dipahami oleh orang lain.</v>
      </c>
      <c r="CA145" s="105" t="str">
        <f>IFERROR(__xludf.DUMMYFUNCTION("""COMPUTED_VALUE"""),"A Saya ingin teman-teman dengan gembira memberikan pertolongan kepada saya.")</f>
        <v>A Saya ingin teman-teman dengan gembira memberikan pertolongan kepada saya.</v>
      </c>
      <c r="CB145" s="105" t="str">
        <f>IFERROR(__xludf.DUMMYFUNCTION("""COMPUTED_VALUE"""),"A Saya suka menghindar dari tanggung jawab yang tidak saya inginkan.")</f>
        <v>A Saya suka menghindar dari tanggung jawab yang tidak saya inginkan.</v>
      </c>
      <c r="CC145" s="105" t="str">
        <f>IFERROR(__xludf.DUMMYFUNCTION("""COMPUTED_VALUE"""),"B Saya suka menceritakan hal-hal lucu agar diperhatikan oleh orang lain.")</f>
        <v>B Saya suka menceritakan hal-hal lucu agar diperhatikan oleh orang lain.</v>
      </c>
      <c r="CD145" s="105" t="str">
        <f>IFERROR(__xludf.DUMMYFUNCTION("""COMPUTED_VALUE"""),"A Saya suka menyelesaikan setiap tugas meskipun membutuhkan waktu lama.")</f>
        <v>A Saya suka menyelesaikan setiap tugas meskipun membutuhkan waktu lama.</v>
      </c>
      <c r="CE145" s="105" t="str">
        <f>IFERROR(__xludf.DUMMYFUNCTION("""COMPUTED_VALUE"""),"A Saya suka menyelesaikan setiap tugas belajar yang telah saya mulai.")</f>
        <v>A Saya suka menyelesaikan setiap tugas belajar yang telah saya mulai.</v>
      </c>
      <c r="CF145" s="105" t="str">
        <f>IFERROR(__xludf.DUMMYFUNCTION("""COMPUTED_VALUE"""),"A Saya ingin agar hidup saya teratur sesuai cita-cita saya.")</f>
        <v>A Saya ingin agar hidup saya teratur sesuai cita-cita saya.</v>
      </c>
      <c r="CG145" s="105" t="str">
        <f>IFERROR(__xludf.DUMMYFUNCTION("""COMPUTED_VALUE"""),"A Saya ingin berhasil dalam apa yang saya lakukan.")</f>
        <v>A Saya ingin berhasil dalam apa yang saya lakukan.</v>
      </c>
      <c r="CH145" s="105" t="str">
        <f>IFERROR(__xludf.DUMMYFUNCTION("""COMPUTED_VALUE"""),"A Saya ingin bisa melakukan dengan baik sesuatu pekerjaan sulit.")</f>
        <v>A Saya ingin bisa melakukan dengan baik sesuatu pekerjaan sulit.</v>
      </c>
      <c r="CI145" s="105" t="str">
        <f>IFERROR(__xludf.DUMMYFUNCTION("""COMPUTED_VALUE"""),"B Saya ingin dianggap menarik oleh orang lain.")</f>
        <v>B Saya ingin dianggap menarik oleh orang lain.</v>
      </c>
      <c r="CJ145" s="105" t="str">
        <f>IFERROR(__xludf.DUMMYFUNCTION("""COMPUTED_VALUE"""),"B Saya suka kalau bercerita tentang hal-hal pribadi yang seharusnya tidak perlu diketahui orang lain.")</f>
        <v>B Saya suka kalau bercerita tentang hal-hal pribadi yang seharusnya tidak perlu diketahui orang lain.</v>
      </c>
      <c r="CK145" s="105" t="str">
        <f>IFERROR(__xludf.DUMMYFUNCTION("""COMPUTED_VALUE"""),"A Saya suka bertahan menghadapi satu masalah, meskipun belum tentu berhasil.")</f>
        <v>A Saya suka bertahan menghadapi satu masalah, meskipun belum tentu berhasil.</v>
      </c>
      <c r="CL145" s="105" t="str">
        <f>IFERROR(__xludf.DUMMYFUNCTION("""COMPUTED_VALUE"""),"A Saya suka menolong teman-teman saya, apabila mereka dalam kesulitan.")</f>
        <v>A Saya suka menolong teman-teman saya, apabila mereka dalam kesulitan.</v>
      </c>
      <c r="CM145" s="105" t="str">
        <f>IFERROR(__xludf.DUMMYFUNCTION("""COMPUTED_VALUE"""),"B Saya merasa kagum pada seseorang.")</f>
        <v>B Saya merasa kagum pada seseorang.</v>
      </c>
      <c r="CN145" s="105" t="str">
        <f>IFERROR(__xludf.DUMMYFUNCTION("""COMPUTED_VALUE"""),"A Saya ingin diperlakukan dengan baik oleh teman-teman saya.")</f>
        <v>A Saya ingin diperlakukan dengan baik oleh teman-teman saya.</v>
      </c>
      <c r="CO145" s="105" t="str">
        <f>IFERROR(__xludf.DUMMYFUNCTION("""COMPUTED_VALUE"""),"A Saya suka menceritakan hal-hal lucu agar diperhatikan oleh orang lain.")</f>
        <v>A Saya suka menceritakan hal-hal lucu agar diperhatikan oleh orang lain.</v>
      </c>
      <c r="CP145" s="105" t="str">
        <f>IFERROR(__xludf.DUMMYFUNCTION("""COMPUTED_VALUE"""),"A Saya suka melamun atau membayangkan sesuatu sendirian.")</f>
        <v>A Saya suka melamun atau membayangkan sesuatu sendirian.</v>
      </c>
      <c r="CQ145" s="105" t="str">
        <f>IFERROR(__xludf.DUMMYFUNCTION("""COMPUTED_VALUE"""),"A Saya ingin menggertak orang bila saya berbeda pendapat dengan mereka.")</f>
        <v>A Saya ingin menggertak orang bila saya berbeda pendapat dengan mereka.</v>
      </c>
      <c r="CR145" s="105" t="str">
        <f>IFERROR(__xludf.DUMMYFUNCTION("""COMPUTED_VALUE"""),"A Saya ingin memperolok-olok orang yang saya anggap melakukan tindakan bodoh.")</f>
        <v>A Saya ingin memperolok-olok orang yang saya anggap melakukan tindakan bodoh.</v>
      </c>
      <c r="CS145" s="105" t="str">
        <f>IFERROR(__xludf.DUMMYFUNCTION("""COMPUTED_VALUE"""),"A Saya ingin terlihat menarik di depan teman-teman saya.")</f>
        <v>A Saya ingin terlihat menarik di depan teman-teman saya.</v>
      </c>
      <c r="CT145" s="105" t="str">
        <f>IFERROR(__xludf.DUMMYFUNCTION("""COMPUTED_VALUE"""),"B Saya saat marah rasanya ingin melemparkan dan merusak barang-barang.")</f>
        <v>B Saya saat marah rasanya ingin melemparkan dan merusak barang-barang.</v>
      </c>
      <c r="CU145" s="105" t="str">
        <f>IFERROR(__xludf.DUMMYFUNCTION("""COMPUTED_VALUE"""),"A Saya ingin diperlakukan dengan ramah oleh teman-teman saya.")</f>
        <v>A Saya ingin diperlakukan dengan ramah oleh teman-teman saya.</v>
      </c>
      <c r="CV145" s="105" t="str">
        <f>IFERROR(__xludf.DUMMYFUNCTION("""COMPUTED_VALUE"""),"B Saya menyerang pendirian-pendirian yang bertentangan dengan pendirian saya.")</f>
        <v>B Saya menyerang pendirian-pendirian yang bertentangan dengan pendirian saya.</v>
      </c>
      <c r="CW145" s="105" t="str">
        <f>IFERROR(__xludf.DUMMYFUNCTION("""COMPUTED_VALUE"""),"B Saya mengatakan kepada orang lain bagaimana pendapat saya terhadap mereka.")</f>
        <v>B Saya mengatakan kepada orang lain bagaimana pendapat saya terhadap mereka.</v>
      </c>
      <c r="CX145" s="105" t="str">
        <f>IFERROR(__xludf.DUMMYFUNCTION("""COMPUTED_VALUE"""),"B Saya ingin memperolok-olok orang yang saya anggap melakukan tindakan bodoh.")</f>
        <v>B Saya ingin memperolok-olok orang yang saya anggap melakukan tindakan bodoh.</v>
      </c>
      <c r="CY145" s="105" t="str">
        <f>IFERROR(__xludf.DUMMYFUNCTION("""COMPUTED_VALUE"""),"A Saya ingin tidak tergantung dari orang lain terhadap apa yang akan saya lakukan.")</f>
        <v>A Saya ingin tidak tergantung dari orang lain terhadap apa yang akan saya lakukan.</v>
      </c>
      <c r="CZ145" s="105" t="str">
        <f>IFERROR(__xludf.DUMMYFUNCTION("""COMPUTED_VALUE"""),"A Saya suka merencanakan dan mengatur setiap pekerjaan yang harus saya lakukan.")</f>
        <v>A Saya suka merencanakan dan mengatur setiap pekerjaan yang harus saya lakukan.</v>
      </c>
      <c r="DA145" s="105" t="str">
        <f>IFERROR(__xludf.DUMMYFUNCTION("""COMPUTED_VALUE"""),"B Saya rasanya ingin mengecam seseorang bila orang itu menjengkelkan.")</f>
        <v>B Saya rasanya ingin mengecam seseorang bila orang itu menjengkelkan.</v>
      </c>
      <c r="DB145" s="89" t="s">
        <v>23</v>
      </c>
      <c r="DC145" s="97" t="str">
        <f t="shared" ref="DC145:GX145" si="190">LEFT(F145,1)</f>
        <v>B</v>
      </c>
      <c r="DD145" s="97" t="str">
        <f t="shared" si="190"/>
        <v>B</v>
      </c>
      <c r="DE145" s="97" t="str">
        <f t="shared" si="190"/>
        <v>A</v>
      </c>
      <c r="DF145" s="97" t="str">
        <f t="shared" si="190"/>
        <v>B</v>
      </c>
      <c r="DG145" s="97" t="str">
        <f t="shared" si="190"/>
        <v>A</v>
      </c>
      <c r="DH145" s="97" t="str">
        <f t="shared" si="190"/>
        <v>B</v>
      </c>
      <c r="DI145" s="97" t="str">
        <f t="shared" si="190"/>
        <v>B</v>
      </c>
      <c r="DJ145" s="97" t="str">
        <f t="shared" si="190"/>
        <v>B</v>
      </c>
      <c r="DK145" s="97" t="str">
        <f t="shared" si="190"/>
        <v>A</v>
      </c>
      <c r="DL145" s="97" t="str">
        <f t="shared" si="190"/>
        <v>B</v>
      </c>
      <c r="DM145" s="97" t="str">
        <f t="shared" si="190"/>
        <v>A</v>
      </c>
      <c r="DN145" s="97" t="str">
        <f t="shared" si="190"/>
        <v>A</v>
      </c>
      <c r="DO145" s="97" t="str">
        <f t="shared" si="190"/>
        <v>B</v>
      </c>
      <c r="DP145" s="97" t="str">
        <f t="shared" si="190"/>
        <v>A</v>
      </c>
      <c r="DQ145" s="97" t="str">
        <f t="shared" si="190"/>
        <v>B</v>
      </c>
      <c r="DR145" s="97" t="str">
        <f t="shared" si="190"/>
        <v>A</v>
      </c>
      <c r="DS145" s="97" t="str">
        <f t="shared" si="190"/>
        <v>B</v>
      </c>
      <c r="DT145" s="97" t="str">
        <f t="shared" si="190"/>
        <v>A</v>
      </c>
      <c r="DU145" s="97" t="str">
        <f t="shared" si="190"/>
        <v>A</v>
      </c>
      <c r="DV145" s="97" t="str">
        <f t="shared" si="190"/>
        <v>B</v>
      </c>
      <c r="DW145" s="97" t="str">
        <f t="shared" si="190"/>
        <v>A</v>
      </c>
      <c r="DX145" s="97" t="str">
        <f t="shared" si="190"/>
        <v>A</v>
      </c>
      <c r="DY145" s="97" t="str">
        <f t="shared" si="190"/>
        <v>B</v>
      </c>
      <c r="DZ145" s="97" t="str">
        <f t="shared" si="190"/>
        <v>B</v>
      </c>
      <c r="EA145" s="97" t="str">
        <f t="shared" si="190"/>
        <v>A</v>
      </c>
      <c r="EB145" s="97" t="str">
        <f t="shared" si="190"/>
        <v>B</v>
      </c>
      <c r="EC145" s="97" t="str">
        <f t="shared" si="190"/>
        <v>A</v>
      </c>
      <c r="ED145" s="97" t="str">
        <f t="shared" si="190"/>
        <v>B</v>
      </c>
      <c r="EE145" s="97" t="str">
        <f t="shared" si="190"/>
        <v>A</v>
      </c>
      <c r="EF145" s="97" t="str">
        <f t="shared" si="190"/>
        <v>B</v>
      </c>
      <c r="EG145" s="97" t="str">
        <f t="shared" si="190"/>
        <v>B</v>
      </c>
      <c r="EH145" s="97" t="str">
        <f t="shared" si="190"/>
        <v>A</v>
      </c>
      <c r="EI145" s="97" t="str">
        <f t="shared" si="190"/>
        <v>A</v>
      </c>
      <c r="EJ145" s="97" t="str">
        <f t="shared" si="190"/>
        <v>B</v>
      </c>
      <c r="EK145" s="97" t="str">
        <f t="shared" si="190"/>
        <v>A</v>
      </c>
      <c r="EL145" s="97" t="str">
        <f t="shared" si="190"/>
        <v>A</v>
      </c>
      <c r="EM145" s="97" t="str">
        <f t="shared" si="190"/>
        <v>B</v>
      </c>
      <c r="EN145" s="97" t="str">
        <f t="shared" si="190"/>
        <v>B</v>
      </c>
      <c r="EO145" s="97" t="str">
        <f t="shared" si="190"/>
        <v>B</v>
      </c>
      <c r="EP145" s="97" t="str">
        <f t="shared" si="190"/>
        <v>B</v>
      </c>
      <c r="EQ145" s="97" t="str">
        <f t="shared" si="190"/>
        <v>A</v>
      </c>
      <c r="ER145" s="97" t="str">
        <f t="shared" si="190"/>
        <v>A</v>
      </c>
      <c r="ES145" s="97" t="str">
        <f t="shared" si="190"/>
        <v>B</v>
      </c>
      <c r="ET145" s="97" t="str">
        <f t="shared" si="190"/>
        <v>B</v>
      </c>
      <c r="EU145" s="97" t="str">
        <f t="shared" si="190"/>
        <v>B</v>
      </c>
      <c r="EV145" s="97" t="str">
        <f t="shared" si="190"/>
        <v>A</v>
      </c>
      <c r="EW145" s="97" t="str">
        <f t="shared" si="190"/>
        <v>A</v>
      </c>
      <c r="EX145" s="97" t="str">
        <f t="shared" si="190"/>
        <v>B</v>
      </c>
      <c r="EY145" s="97" t="str">
        <f t="shared" si="190"/>
        <v>B</v>
      </c>
      <c r="EZ145" s="97" t="str">
        <f t="shared" si="190"/>
        <v>B</v>
      </c>
      <c r="FA145" s="97" t="str">
        <f t="shared" si="190"/>
        <v>B</v>
      </c>
      <c r="FB145" s="97" t="str">
        <f t="shared" si="190"/>
        <v>A</v>
      </c>
      <c r="FC145" s="97" t="str">
        <f t="shared" si="190"/>
        <v>B</v>
      </c>
      <c r="FD145" s="97" t="str">
        <f t="shared" si="190"/>
        <v>B</v>
      </c>
      <c r="FE145" s="97" t="str">
        <f t="shared" si="190"/>
        <v>B</v>
      </c>
      <c r="FF145" s="97" t="str">
        <f t="shared" si="190"/>
        <v>A</v>
      </c>
      <c r="FG145" s="97" t="str">
        <f t="shared" si="190"/>
        <v>A</v>
      </c>
      <c r="FH145" s="97" t="str">
        <f t="shared" si="190"/>
        <v>B</v>
      </c>
      <c r="FI145" s="97" t="str">
        <f t="shared" si="190"/>
        <v>B</v>
      </c>
      <c r="FJ145" s="97" t="str">
        <f t="shared" si="190"/>
        <v>A</v>
      </c>
      <c r="FK145" s="97" t="str">
        <f t="shared" si="190"/>
        <v>B</v>
      </c>
      <c r="FL145" s="97" t="str">
        <f t="shared" si="190"/>
        <v>B</v>
      </c>
      <c r="FM145" s="97" t="str">
        <f t="shared" si="190"/>
        <v>A</v>
      </c>
      <c r="FN145" s="97" t="str">
        <f t="shared" si="190"/>
        <v>A</v>
      </c>
      <c r="FO145" s="97" t="str">
        <f t="shared" si="190"/>
        <v>A</v>
      </c>
      <c r="FP145" s="97" t="str">
        <f t="shared" si="190"/>
        <v>B</v>
      </c>
      <c r="FQ145" s="97" t="str">
        <f t="shared" si="190"/>
        <v>B</v>
      </c>
      <c r="FR145" s="97" t="str">
        <f t="shared" si="190"/>
        <v>A</v>
      </c>
      <c r="FS145" s="97" t="str">
        <f t="shared" si="190"/>
        <v>B</v>
      </c>
      <c r="FT145" s="97" t="str">
        <f t="shared" si="190"/>
        <v>A</v>
      </c>
      <c r="FU145" s="97" t="str">
        <f t="shared" si="190"/>
        <v>A</v>
      </c>
      <c r="FV145" s="97" t="str">
        <f t="shared" si="190"/>
        <v>A</v>
      </c>
      <c r="FW145" s="97" t="str">
        <f t="shared" si="190"/>
        <v>A</v>
      </c>
      <c r="FX145" s="97" t="str">
        <f t="shared" si="190"/>
        <v>A</v>
      </c>
      <c r="FY145" s="97" t="str">
        <f t="shared" si="190"/>
        <v>A</v>
      </c>
      <c r="FZ145" s="97" t="str">
        <f t="shared" si="190"/>
        <v>B</v>
      </c>
      <c r="GA145" s="97" t="str">
        <f t="shared" si="190"/>
        <v>A</v>
      </c>
      <c r="GB145" s="97" t="str">
        <f t="shared" si="190"/>
        <v>A</v>
      </c>
      <c r="GC145" s="97" t="str">
        <f t="shared" si="190"/>
        <v>A</v>
      </c>
      <c r="GD145" s="97" t="str">
        <f t="shared" si="190"/>
        <v>A</v>
      </c>
      <c r="GE145" s="97" t="str">
        <f t="shared" si="190"/>
        <v>A</v>
      </c>
      <c r="GF145" s="97" t="str">
        <f t="shared" si="190"/>
        <v>B</v>
      </c>
      <c r="GG145" s="97" t="str">
        <f t="shared" si="190"/>
        <v>B</v>
      </c>
      <c r="GH145" s="97" t="str">
        <f t="shared" si="190"/>
        <v>A</v>
      </c>
      <c r="GI145" s="97" t="str">
        <f t="shared" si="190"/>
        <v>A</v>
      </c>
      <c r="GJ145" s="97" t="str">
        <f t="shared" si="190"/>
        <v>B</v>
      </c>
      <c r="GK145" s="97" t="str">
        <f t="shared" si="190"/>
        <v>A</v>
      </c>
      <c r="GL145" s="97" t="str">
        <f t="shared" si="190"/>
        <v>A</v>
      </c>
      <c r="GM145" s="97" t="str">
        <f t="shared" si="190"/>
        <v>A</v>
      </c>
      <c r="GN145" s="97" t="str">
        <f t="shared" si="190"/>
        <v>A</v>
      </c>
      <c r="GO145" s="97" t="str">
        <f t="shared" si="190"/>
        <v>A</v>
      </c>
      <c r="GP145" s="97" t="str">
        <f t="shared" si="190"/>
        <v>A</v>
      </c>
      <c r="GQ145" s="97" t="str">
        <f t="shared" si="190"/>
        <v>B</v>
      </c>
      <c r="GR145" s="97" t="str">
        <f t="shared" si="190"/>
        <v>A</v>
      </c>
      <c r="GS145" s="97" t="str">
        <f t="shared" si="190"/>
        <v>B</v>
      </c>
      <c r="GT145" s="97" t="str">
        <f t="shared" si="190"/>
        <v>B</v>
      </c>
      <c r="GU145" s="97" t="str">
        <f t="shared" si="190"/>
        <v>B</v>
      </c>
      <c r="GV145" s="97" t="str">
        <f t="shared" si="190"/>
        <v>A</v>
      </c>
      <c r="GW145" s="97" t="str">
        <f t="shared" si="190"/>
        <v>A</v>
      </c>
      <c r="GX145" s="97" t="str">
        <f t="shared" si="190"/>
        <v>B</v>
      </c>
      <c r="GY145" s="98"/>
      <c r="GZ145" s="97">
        <f t="shared" si="3"/>
        <v>52</v>
      </c>
      <c r="HA145" s="97">
        <f t="shared" si="4"/>
        <v>48</v>
      </c>
      <c r="HB145" s="90">
        <f t="shared" si="5"/>
        <v>100</v>
      </c>
      <c r="HC145" s="99"/>
      <c r="HD145" s="97">
        <f t="shared" si="6"/>
        <v>5</v>
      </c>
      <c r="HE145" s="97">
        <f t="shared" si="7"/>
        <v>6</v>
      </c>
      <c r="HF145" s="90">
        <f t="shared" si="8"/>
        <v>11</v>
      </c>
      <c r="HG145" s="99"/>
      <c r="HH145" s="97">
        <f t="shared" si="9"/>
        <v>4</v>
      </c>
      <c r="HI145" s="97">
        <f t="shared" si="10"/>
        <v>4</v>
      </c>
      <c r="HJ145" s="90">
        <f t="shared" si="11"/>
        <v>8</v>
      </c>
      <c r="HK145" s="99"/>
      <c r="HL145" s="97">
        <f t="shared" si="12"/>
        <v>5</v>
      </c>
      <c r="HM145" s="97">
        <f t="shared" si="13"/>
        <v>5</v>
      </c>
      <c r="HN145" s="90">
        <f t="shared" si="14"/>
        <v>10</v>
      </c>
      <c r="HO145" s="99"/>
      <c r="HP145" s="97">
        <f t="shared" si="15"/>
        <v>4</v>
      </c>
      <c r="HQ145" s="97">
        <f t="shared" si="16"/>
        <v>6</v>
      </c>
      <c r="HR145" s="90">
        <f t="shared" si="17"/>
        <v>10</v>
      </c>
      <c r="HS145" s="99"/>
      <c r="HT145" s="97">
        <f t="shared" si="18"/>
        <v>7</v>
      </c>
      <c r="HU145" s="97">
        <f t="shared" si="19"/>
        <v>6</v>
      </c>
      <c r="HV145" s="90">
        <f t="shared" si="20"/>
        <v>13</v>
      </c>
      <c r="HW145" s="99"/>
      <c r="HX145" s="97">
        <f t="shared" si="21"/>
        <v>3</v>
      </c>
      <c r="HY145" s="97">
        <f t="shared" si="22"/>
        <v>6</v>
      </c>
      <c r="HZ145" s="90">
        <f t="shared" si="23"/>
        <v>9</v>
      </c>
      <c r="IA145" s="99"/>
      <c r="IB145" s="97">
        <f t="shared" si="24"/>
        <v>6</v>
      </c>
      <c r="IC145" s="97">
        <f t="shared" si="25"/>
        <v>5</v>
      </c>
      <c r="ID145" s="90">
        <f t="shared" si="26"/>
        <v>11</v>
      </c>
      <c r="IE145" s="99"/>
      <c r="IF145" s="97">
        <f t="shared" si="27"/>
        <v>3</v>
      </c>
      <c r="IG145" s="97">
        <f t="shared" si="28"/>
        <v>1</v>
      </c>
      <c r="IH145" s="90">
        <f t="shared" si="29"/>
        <v>4</v>
      </c>
      <c r="II145" s="99"/>
      <c r="IJ145" s="97">
        <f t="shared" si="30"/>
        <v>7</v>
      </c>
      <c r="IK145" s="97">
        <f t="shared" si="31"/>
        <v>3</v>
      </c>
      <c r="IL145" s="90">
        <f t="shared" si="32"/>
        <v>10</v>
      </c>
      <c r="IM145" s="99"/>
      <c r="IN145" s="97">
        <f t="shared" si="33"/>
        <v>4</v>
      </c>
      <c r="IO145" s="97">
        <f t="shared" si="34"/>
        <v>5</v>
      </c>
      <c r="IP145" s="90">
        <f t="shared" si="35"/>
        <v>9</v>
      </c>
      <c r="IS145" s="100">
        <f t="shared" si="36"/>
        <v>11</v>
      </c>
      <c r="IT145" s="100">
        <f t="shared" si="37"/>
        <v>8</v>
      </c>
      <c r="IU145" s="100">
        <f t="shared" si="38"/>
        <v>10</v>
      </c>
      <c r="IV145" s="100">
        <f t="shared" si="39"/>
        <v>10</v>
      </c>
      <c r="IW145" s="100">
        <f t="shared" si="40"/>
        <v>13</v>
      </c>
      <c r="IX145" s="100">
        <f t="shared" si="41"/>
        <v>9</v>
      </c>
      <c r="IY145" s="100">
        <f t="shared" si="42"/>
        <v>11</v>
      </c>
      <c r="IZ145" s="100">
        <f t="shared" si="43"/>
        <v>4</v>
      </c>
      <c r="JA145" s="100">
        <f t="shared" si="44"/>
        <v>10</v>
      </c>
      <c r="JB145" s="101">
        <f t="shared" si="45"/>
        <v>9</v>
      </c>
      <c r="JC145" s="102">
        <f t="shared" si="46"/>
        <v>95</v>
      </c>
      <c r="JD145" s="67">
        <f t="shared" si="50"/>
        <v>0</v>
      </c>
      <c r="JE145" s="67">
        <f t="shared" si="47"/>
        <v>2</v>
      </c>
      <c r="JF145" s="67">
        <f t="shared" si="48"/>
        <v>2</v>
      </c>
    </row>
    <row r="146">
      <c r="A146" s="104">
        <f>IFERROR(__xludf.DUMMYFUNCTION("""COMPUTED_VALUE"""),45973.71881278935)</f>
        <v>45973.71881</v>
      </c>
      <c r="B146" s="105" t="str">
        <f>IFERROR(__xludf.DUMMYFUNCTION("""COMPUTED_VALUE"""),"Rayyan Muzaffar Firdaus")</f>
        <v>Rayyan Muzaffar Firdaus</v>
      </c>
      <c r="C146" s="7" t="str">
        <f>IFERROR(__xludf.DUMMYFUNCTION("""COMPUTED_VALUE"""),"A250039")</f>
        <v>A250039</v>
      </c>
      <c r="D146" s="7" t="str">
        <f>IFERROR(__xludf.DUMMYFUNCTION("""COMPUTED_VALUE"""),"MTs Putra")</f>
        <v>MTs Putra</v>
      </c>
      <c r="E146" s="7" t="str">
        <f>IFERROR(__xludf.DUMMYFUNCTION("""COMPUTED_VALUE"""),"Ya")</f>
        <v>Ya</v>
      </c>
      <c r="F146" s="105" t="str">
        <f>IFERROR(__xludf.DUMMYFUNCTION("""COMPUTED_VALUE"""),"B Saya ingin melakukan apa saja sebaik mungkin.")</f>
        <v>B Saya ingin melakukan apa saja sebaik mungkin.</v>
      </c>
      <c r="G146" s="105" t="str">
        <f>IFERROR(__xludf.DUMMYFUNCTION("""COMPUTED_VALUE"""),"A Saya ingin setiap tulisan saya teliti, rapi, dan tersusun dengan baik.")</f>
        <v>A Saya ingin setiap tulisan saya teliti, rapi, dan tersusun dengan baik.</v>
      </c>
      <c r="H146" s="105" t="str">
        <f>IFERROR(__xludf.DUMMYFUNCTION("""COMPUTED_VALUE"""),"A Saya ingin berbuat sesuai kata hati saya.")</f>
        <v>A Saya ingin berbuat sesuai kata hati saya.</v>
      </c>
      <c r="I146" s="105" t="str">
        <f>IFERROR(__xludf.DUMMYFUNCTION("""COMPUTED_VALUE"""),"B Saya ingin bisa melakukan dengan baik meskipun tugas yang sulit.")</f>
        <v>B Saya ingin bisa melakukan dengan baik meskipun tugas yang sulit.</v>
      </c>
      <c r="J146" s="105" t="str">
        <f>IFERROR(__xludf.DUMMYFUNCTION("""COMPUTED_VALUE"""),"A Saya suka membantu teman-teman saya apabila mereka mengalami kesulitan.")</f>
        <v>A Saya suka membantu teman-teman saya apabila mereka mengalami kesulitan.</v>
      </c>
      <c r="K146" s="105" t="str">
        <f>IFERROR(__xludf.DUMMYFUNCTION("""COMPUTED_VALUE"""),"A Saya ingin menjadi pemimpin dalam suatu kelompok.")</f>
        <v>A Saya ingin menjadi pemimpin dalam suatu kelompok.</v>
      </c>
      <c r="L146" s="105" t="str">
        <f>IFERROR(__xludf.DUMMYFUNCTION("""COMPUTED_VALUE"""),"A Saya ingin menjadi pemimpin dalam suatu kelompok")</f>
        <v>A Saya ingin menjadi pemimpin dalam suatu kelompok</v>
      </c>
      <c r="M146" s="105" t="str">
        <f>IFERROR(__xludf.DUMMYFUNCTION("""COMPUTED_VALUE"""),"B Saya ingin mengerjakan segala tugas lebih baik daripada orang lain.")</f>
        <v>B Saya ingin mengerjakan segala tugas lebih baik daripada orang lain.</v>
      </c>
      <c r="N146" s="105" t="str">
        <f>IFERROR(__xludf.DUMMYFUNCTION("""COMPUTED_VALUE"""),"B Saya suka memecahkan persoalan yang sukar bagi orang lain.")</f>
        <v>B Saya suka memecahkan persoalan yang sukar bagi orang lain.</v>
      </c>
      <c r="O146" s="105" t="str">
        <f>IFERROR(__xludf.DUMMYFUNCTION("""COMPUTED_VALUE"""),"A Saya marah saat ada teman memperolok-olok hal-hal yang saya anggap bodoh.")</f>
        <v>A Saya marah saat ada teman memperolok-olok hal-hal yang saya anggap bodoh.</v>
      </c>
      <c r="P146" s="105" t="str">
        <f>IFERROR(__xludf.DUMMYFUNCTION("""COMPUTED_VALUE"""),"B Saya ingin setiap belajar itu teratur dan direncanakan.")</f>
        <v>B Saya ingin setiap belajar itu teratur dan direncanakan.</v>
      </c>
      <c r="Q146" s="105" t="str">
        <f>IFERROR(__xludf.DUMMYFUNCTION("""COMPUTED_VALUE"""),"A Saya mulai suka dengan lawan jenis.")</f>
        <v>A Saya mulai suka dengan lawan jenis.</v>
      </c>
      <c r="R146" s="105" t="str">
        <f>IFERROR(__xludf.DUMMYFUNCTION("""COMPUTED_VALUE"""),"B Saya suka barang-barang saya tersusun rapi dan teratur.")</f>
        <v>B Saya suka barang-barang saya tersusun rapi dan teratur.</v>
      </c>
      <c r="S146" s="105" t="str">
        <f>IFERROR(__xludf.DUMMYFUNCTION("""COMPUTED_VALUE"""),"A Saya ingin agar teman-teman pengertian bila saya mengalami kesukaran.")</f>
        <v>A Saya ingin agar teman-teman pengertian bila saya mengalami kesukaran.</v>
      </c>
      <c r="T146" s="105" t="str">
        <f>IFERROR(__xludf.DUMMYFUNCTION("""COMPUTED_VALUE"""),"B Saya ingin agar hidup saya teratur sesuai cita-cita saya.")</f>
        <v>B Saya ingin agar hidup saya teratur sesuai cita-cita saya.</v>
      </c>
      <c r="U146" s="105" t="str">
        <f>IFERROR(__xludf.DUMMYFUNCTION("""COMPUTED_VALUE"""),"A Saya suka memberikan bantuan kepada teman-teman saya.")</f>
        <v>A Saya suka memberikan bantuan kepada teman-teman saya.</v>
      </c>
      <c r="V146" s="105" t="str">
        <f>IFERROR(__xludf.DUMMYFUNCTION("""COMPUTED_VALUE"""),"B Saya suka belajar saya teratur dan ada waktu-waktu tertentu untuk belajar.")</f>
        <v>B Saya suka belajar saya teratur dan ada waktu-waktu tertentu untuk belajar.</v>
      </c>
      <c r="W146" s="105" t="str">
        <f>IFERROR(__xludf.DUMMYFUNCTION("""COMPUTED_VALUE"""),"B Saya ingin kegiatan itu teratur dan direncanakan.")</f>
        <v>B Saya ingin kegiatan itu teratur dan direncanakan.</v>
      </c>
      <c r="X146" s="105" t="str">
        <f>IFERROR(__xludf.DUMMYFUNCTION("""COMPUTED_VALUE"""),"A Saya suka merencanakan dan mengatur setiap apa yang harus saya lakukan.")</f>
        <v>A Saya suka merencanakan dan mengatur setiap apa yang harus saya lakukan.</v>
      </c>
      <c r="Y146" s="105" t="str">
        <f>IFERROR(__xludf.DUMMYFUNCTION("""COMPUTED_VALUE"""),"B Saya senang merencanakan untuk masa depan.")</f>
        <v>B Saya senang merencanakan untuk masa depan.</v>
      </c>
      <c r="Z146" s="105" t="str">
        <f>IFERROR(__xludf.DUMMYFUNCTION("""COMPUTED_VALUE"""),"A Saya ingin berhasil dengan belajar yang saya lakukan.")</f>
        <v>A Saya ingin berhasil dengan belajar yang saya lakukan.</v>
      </c>
      <c r="AA146" s="105" t="str">
        <f>IFERROR(__xludf.DUMMYFUNCTION("""COMPUTED_VALUE"""),"B Saya tidak suka pada orang yang berbuat seenaknya sendiri.")</f>
        <v>B Saya tidak suka pada orang yang berbuat seenaknya sendiri.</v>
      </c>
      <c r="AB146" s="105" t="str">
        <f>IFERROR(__xludf.DUMMYFUNCTION("""COMPUTED_VALUE"""),"B Saya ingin menyelesaikan pekerjaan satu persatu sebelum memulai yang lain.")</f>
        <v>B Saya ingin menyelesaikan pekerjaan satu persatu sebelum memulai yang lain.</v>
      </c>
      <c r="AC146" s="105" t="str">
        <f>IFERROR(__xludf.DUMMYFUNCTION("""COMPUTED_VALUE"""),"B Saya suka melakukan kegiatan sesuai kondisi yang saya inginkan.")</f>
        <v>B Saya suka melakukan kegiatan sesuai kondisi yang saya inginkan.</v>
      </c>
      <c r="AD146" s="105" t="str">
        <f>IFERROR(__xludf.DUMMYFUNCTION("""COMPUTED_VALUE"""),"A Saya suka bermurah hati terhadap teman-teman saya.")</f>
        <v>A Saya suka bermurah hati terhadap teman-teman saya.</v>
      </c>
      <c r="AE146" s="105" t="str">
        <f>IFERROR(__xludf.DUMMYFUNCTION("""COMPUTED_VALUE"""),"A Saya ingin dianggap sebagai pemimpin oleh teman di kelompok.")</f>
        <v>A Saya ingin dianggap sebagai pemimpin oleh teman di kelompok.</v>
      </c>
      <c r="AF146" s="105" t="str">
        <f>IFERROR(__xludf.DUMMYFUNCTION("""COMPUTED_VALUE"""),"A Saya ingin agar teman-teman mengerti bila saya mengalami kesukaran.")</f>
        <v>A Saya ingin agar teman-teman mengerti bila saya mengalami kesukaran.</v>
      </c>
      <c r="AG146" s="105" t="str">
        <f>IFERROR(__xludf.DUMMYFUNCTION("""COMPUTED_VALUE"""),"A Saya mengajari orang lain bagaimana mereka harus melakukan pekerjaan mereka.")</f>
        <v>A Saya mengajari orang lain bagaimana mereka harus melakukan pekerjaan mereka.</v>
      </c>
      <c r="AH146" s="105" t="str">
        <f>IFERROR(__xludf.DUMMYFUNCTION("""COMPUTED_VALUE"""),"B Saya ingin merasa bebas untuk melakukan apa yang saya kehendaki.")</f>
        <v>B Saya ingin merasa bebas untuk melakukan apa yang saya kehendaki.</v>
      </c>
      <c r="AI146" s="105" t="str">
        <f>IFERROR(__xludf.DUMMYFUNCTION("""COMPUTED_VALUE"""),"B Saya suka melakukan kegiatan sesuai kondisi yang saya inginkan.")</f>
        <v>B Saya suka melakukan kegiatan sesuai kondisi yang saya inginkan.</v>
      </c>
      <c r="AJ146" s="105" t="str">
        <f>IFERROR(__xludf.DUMMYFUNCTION("""COMPUTED_VALUE"""),"B Saya suka bertahan menghadapi satu masalah meskipun belum tentu berhasil.")</f>
        <v>B Saya suka bertahan menghadapi satu masalah meskipun belum tentu berhasil.</v>
      </c>
      <c r="AK146" s="105" t="str">
        <f>IFERROR(__xludf.DUMMYFUNCTION("""COMPUTED_VALUE"""),"B Bila saya harus melakukan suatu tugas, saya ingin mengerjakan sampai selesai.")</f>
        <v>B Bila saya harus melakukan suatu tugas, saya ingin mengerjakan sampai selesai.</v>
      </c>
      <c r="AL146" s="105" t="str">
        <f>IFERROR(__xludf.DUMMYFUNCTION("""COMPUTED_VALUE"""),"B Saya ingin menghindarkan gangguan bila saya sedang belajar.")</f>
        <v>B Saya ingin menghindarkan gangguan bila saya sedang belajar.</v>
      </c>
      <c r="AM146" s="105" t="str">
        <f>IFERROR(__xludf.DUMMYFUNCTION("""COMPUTED_VALUE"""),"A Saya ingin teman-teman saya merasa kasihan pada saya apabila saya sakit.")</f>
        <v>A Saya ingin teman-teman saya merasa kasihan pada saya apabila saya sakit.</v>
      </c>
      <c r="AN146" s="105" t="str">
        <f>IFERROR(__xludf.DUMMYFUNCTION("""COMPUTED_VALUE"""),"A Saya tidak suka pada orang yang semena-mena.")</f>
        <v>A Saya tidak suka pada orang yang semena-mena.</v>
      </c>
      <c r="AO146" s="105" t="str">
        <f>IFERROR(__xludf.DUMMYFUNCTION("""COMPUTED_VALUE"""),"A Saya suka berlaku sangat ramah terhadap teman-teman saya.")</f>
        <v>A Saya suka berlaku sangat ramah terhadap teman-teman saya.</v>
      </c>
      <c r="AP146" s="105" t="str">
        <f>IFERROR(__xludf.DUMMYFUNCTION("""COMPUTED_VALUE"""),"B Saya suka bertahan menghadapi satu masalah meskipun belum tentu berhasil.")</f>
        <v>B Saya suka bertahan menghadapi satu masalah meskipun belum tentu berhasil.</v>
      </c>
      <c r="AQ146" s="105" t="str">
        <f>IFERROR(__xludf.DUMMYFUNCTION("""COMPUTED_VALUE"""),"A Saya ingin bisa mengerjakan segala sesuatu lebih baik daripada orang-orang lain.")</f>
        <v>A Saya ingin bisa mengerjakan segala sesuatu lebih baik daripada orang-orang lain.</v>
      </c>
      <c r="AR146" s="105" t="str">
        <f>IFERROR(__xludf.DUMMYFUNCTION("""COMPUTED_VALUE"""),"A Saya suka menyimpan catatan secara rapi.")</f>
        <v>A Saya suka menyimpan catatan secara rapi.</v>
      </c>
      <c r="AS146" s="105" t="str">
        <f>IFERROR(__xludf.DUMMYFUNCTION("""COMPUTED_VALUE"""),"A Saya ingin dapat menyelesaikan persoalan yang dianggap sukar bagi orang lain.")</f>
        <v>A Saya ingin dapat menyelesaikan persoalan yang dianggap sukar bagi orang lain.</v>
      </c>
      <c r="AT146" s="105" t="str">
        <f>IFERROR(__xludf.DUMMYFUNCTION("""COMPUTED_VALUE"""),"B Saya suka membantu orang lain yang menurut saya perlu dikasihani.")</f>
        <v>B Saya suka membantu orang lain yang menurut saya perlu dikasihani.</v>
      </c>
      <c r="AU146" s="105" t="str">
        <f>IFERROR(__xludf.DUMMYFUNCTION("""COMPUTED_VALUE"""),"A Saya ingin menyelesaikan pekerjaan satu persatu sebelum memulai yang lain.")</f>
        <v>A Saya ingin menyelesaikan pekerjaan satu persatu sebelum memulai yang lain.</v>
      </c>
      <c r="AV146" s="105" t="str">
        <f>IFERROR(__xludf.DUMMYFUNCTION("""COMPUTED_VALUE"""),"B Saya suka menolong teman-teman saya.")</f>
        <v>B Saya suka menolong teman-teman saya.</v>
      </c>
      <c r="AW146" s="105" t="str">
        <f>IFERROR(__xludf.DUMMYFUNCTION("""COMPUTED_VALUE"""),"B Saya ingin teman-teman saya percaya bahwa saya bisa menolong mereka.")</f>
        <v>B Saya ingin teman-teman saya percaya bahwa saya bisa menolong mereka.</v>
      </c>
      <c r="AX146" s="105" t="str">
        <f>IFERROR(__xludf.DUMMYFUNCTION("""COMPUTED_VALUE"""),"A Saya suka menolong teman-teman saya apabila mereka dalam kesulitan.")</f>
        <v>A Saya suka menolong teman-teman saya apabila mereka dalam kesulitan.</v>
      </c>
      <c r="AY146" s="105" t="str">
        <f>IFERROR(__xludf.DUMMYFUNCTION("""COMPUTED_VALUE"""),"B Saya suka menolong teman-teman saya apabila mereka dalam kesulitan.")</f>
        <v>B Saya suka menolong teman-teman saya apabila mereka dalam kesulitan.</v>
      </c>
      <c r="AZ146" s="105" t="str">
        <f>IFERROR(__xludf.DUMMYFUNCTION("""COMPUTED_VALUE"""),"B Saya suka menunjukkan simpati saya kepada teman-teman saya.")</f>
        <v>B Saya suka menunjukkan simpati saya kepada teman-teman saya.</v>
      </c>
      <c r="BA146" s="105" t="str">
        <f>IFERROR(__xludf.DUMMYFUNCTION("""COMPUTED_VALUE"""),"B Saya suka memperlakukan orang lain dengan baik dan ramah.")</f>
        <v>B Saya suka memperlakukan orang lain dengan baik dan ramah.</v>
      </c>
      <c r="BB146" s="105" t="str">
        <f>IFERROR(__xludf.DUMMYFUNCTION("""COMPUTED_VALUE"""),"B Saya suka bermurah hati terhadap teman-teman saya.")</f>
        <v>B Saya suka bermurah hati terhadap teman-teman saya.</v>
      </c>
      <c r="BC146" s="105" t="str">
        <f>IFERROR(__xludf.DUMMYFUNCTION("""COMPUTED_VALUE"""),"B Saya suka membantu orang lain yang menurut saya perlu dikasihani.")</f>
        <v>B Saya suka membantu orang lain yang menurut saya perlu dikasihani.</v>
      </c>
      <c r="BD146" s="105" t="str">
        <f>IFERROR(__xludf.DUMMYFUNCTION("""COMPUTED_VALUE"""),"B Saya suka bersikukuh dengan pendirian saya.")</f>
        <v>B Saya suka bersikukuh dengan pendirian saya.</v>
      </c>
      <c r="BE146" s="105" t="str">
        <f>IFERROR(__xludf.DUMMYFUNCTION("""COMPUTED_VALUE"""),"B Saya ingin orang lain melakukan apa yang saya kehendaki.")</f>
        <v>B Saya ingin orang lain melakukan apa yang saya kehendaki.</v>
      </c>
      <c r="BF146" s="105" t="str">
        <f>IFERROR(__xludf.DUMMYFUNCTION("""COMPUTED_VALUE"""),"B Bila saya dalam kelompok, saya ingin menentukan apa yang akan kita lakukan.")</f>
        <v>B Bila saya dalam kelompok, saya ingin menentukan apa yang akan kita lakukan.</v>
      </c>
      <c r="BG146" s="105" t="str">
        <f>IFERROR(__xludf.DUMMYFUNCTION("""COMPUTED_VALUE"""),"B Saya suka mengarahkan kepada orang lain apa yang harus dilakukan.")</f>
        <v>B Saya suka mengarahkan kepada orang lain apa yang harus dilakukan.</v>
      </c>
      <c r="BH146" s="105" t="str">
        <f>IFERROR(__xludf.DUMMYFUNCTION("""COMPUTED_VALUE"""),"A Saya suka menghindar dari situasi yang tidak saya harapkan.")</f>
        <v>A Saya suka menghindar dari situasi yang tidak saya harapkan.</v>
      </c>
      <c r="BI146" s="105" t="str">
        <f>IFERROR(__xludf.DUMMYFUNCTION("""COMPUTED_VALUE"""),"A Saya suka bermurah hati terhadap teman-teman saya.")</f>
        <v>A Saya suka bermurah hati terhadap teman-teman saya.</v>
      </c>
      <c r="BJ146" s="105" t="str">
        <f>IFERROR(__xludf.DUMMYFUNCTION("""COMPUTED_VALUE"""),"B Saya ingin menjadi pemimpin dalam kelompok di mana saya ada di situ")</f>
        <v>B Saya ingin menjadi pemimpin dalam kelompok di mana saya ada di situ</v>
      </c>
      <c r="BK146" s="105" t="str">
        <f>IFERROR(__xludf.DUMMYFUNCTION("""COMPUTED_VALUE"""),"A Saya ingin menyelesaikan pekerjaan satu persatu sebelum memulai yang lain.")</f>
        <v>A Saya ingin menyelesaikan pekerjaan satu persatu sebelum memulai yang lain.</v>
      </c>
      <c r="BL146" s="105" t="str">
        <f>IFERROR(__xludf.DUMMYFUNCTION("""COMPUTED_VALUE"""),"A Saya suka belajar saya teratur dan ada waktu-waktu tertentu untuk belajar.")</f>
        <v>A Saya suka belajar saya teratur dan ada waktu-waktu tertentu untuk belajar.</v>
      </c>
      <c r="BM146" s="105" t="str">
        <f>IFERROR(__xludf.DUMMYFUNCTION("""COMPUTED_VALUE"""),"A Saya suka melakukan pekerjaan sebaik mungkin.")</f>
        <v>A Saya suka melakukan pekerjaan sebaik mungkin.</v>
      </c>
      <c r="BN146" s="105" t="str">
        <f>IFERROR(__xludf.DUMMYFUNCTION("""COMPUTED_VALUE"""),"A Saya suka mengerjakan teka-teki atau memecahkan persoalan sampai selesai.")</f>
        <v>A Saya suka mengerjakan teka-teki atau memecahkan persoalan sampai selesai.</v>
      </c>
      <c r="BO146" s="105" t="str">
        <f>IFERROR(__xludf.DUMMYFUNCTION("""COMPUTED_VALUE"""),"B Saya ingin diperlakukan dengan baik oleh teman-teman saya.")</f>
        <v>B Saya ingin diperlakukan dengan baik oleh teman-teman saya.</v>
      </c>
      <c r="BP146" s="105" t="str">
        <f>IFERROR(__xludf.DUMMYFUNCTION("""COMPUTED_VALUE"""),"A Saya ingin menyelesaikan sesuatu yang sangat penting artinya.")</f>
        <v>A Saya ingin menyelesaikan sesuatu yang sangat penting artinya.</v>
      </c>
      <c r="BQ146" s="105" t="str">
        <f>IFERROR(__xludf.DUMMYFUNCTION("""COMPUTED_VALUE"""),"A Saya ingin mengerjakannya tugas sampai selesai.")</f>
        <v>A Saya ingin mengerjakannya tugas sampai selesai.</v>
      </c>
      <c r="BR146" s="105" t="str">
        <f>IFERROR(__xludf.DUMMYFUNCTION("""COMPUTED_VALUE"""),"A Saya suka memaafkan teman-teman saya yang menyakiti hati saya.")</f>
        <v>A Saya suka memaafkan teman-teman saya yang menyakiti hati saya.</v>
      </c>
      <c r="BS146" s="105" t="str">
        <f>IFERROR(__xludf.DUMMYFUNCTION("""COMPUTED_VALUE"""),"B Saya ingin teman-teman saya membantu saya bila saya mengalami kesulitan")</f>
        <v>B Saya ingin teman-teman saya membantu saya bila saya mengalami kesulitan</v>
      </c>
      <c r="BT146" s="105" t="str">
        <f>IFERROR(__xludf.DUMMYFUNCTION("""COMPUTED_VALUE"""),"B Saya ingin teman-teman banyak menunjukkan rasa sayang mereka terhadap saya.")</f>
        <v>B Saya ingin teman-teman banyak menunjukkan rasa sayang mereka terhadap saya.</v>
      </c>
      <c r="BU146" s="105" t="str">
        <f>IFERROR(__xludf.DUMMYFUNCTION("""COMPUTED_VALUE"""),"A Saya kadang-kadang suka melakukan hal-hal yang dapat dipuji oleh orang lain.")</f>
        <v>A Saya kadang-kadang suka melakukan hal-hal yang dapat dipuji oleh orang lain.</v>
      </c>
      <c r="BV146" s="105" t="str">
        <f>IFERROR(__xludf.DUMMYFUNCTION("""COMPUTED_VALUE"""),"B Saya ingin teman-teman dengan gembira memberikan pertolongan kepada saya.")</f>
        <v>B Saya ingin teman-teman dengan gembira memberikan pertolongan kepada saya.</v>
      </c>
      <c r="BW146" s="105" t="str">
        <f>IFERROR(__xludf.DUMMYFUNCTION("""COMPUTED_VALUE"""),"B Saya ingin diperlakukan dengan baik oleh teman-teman saya.")</f>
        <v>B Saya ingin diperlakukan dengan baik oleh teman-teman saya.</v>
      </c>
      <c r="BX146" s="105" t="str">
        <f>IFERROR(__xludf.DUMMYFUNCTION("""COMPUTED_VALUE"""),"B Saya kadang-kadang suka melakukan hal-hal yang dapat dipuji oleh orang lain.")</f>
        <v>B Saya kadang-kadang suka melakukan hal-hal yang dapat dipuji oleh orang lain.</v>
      </c>
      <c r="BY146" s="105" t="str">
        <f>IFERROR(__xludf.DUMMYFUNCTION("""COMPUTED_VALUE"""),"B Saya ingin orang lain memperhatikan dan berkomentar tentang penampilan saya.")</f>
        <v>B Saya ingin orang lain memperhatikan dan berkomentar tentang penampilan saya.</v>
      </c>
      <c r="BZ146" s="105" t="str">
        <f>IFERROR(__xludf.DUMMYFUNCTION("""COMPUTED_VALUE"""),"B Saya suka diperhatikan, apabila saya ada di dalam suatu kelompok.")</f>
        <v>B Saya suka diperhatikan, apabila saya ada di dalam suatu kelompok.</v>
      </c>
      <c r="CA146" s="105" t="str">
        <f>IFERROR(__xludf.DUMMYFUNCTION("""COMPUTED_VALUE"""),"A Saya ingin teman-teman dengan gembira memberikan pertolongan kepada saya.")</f>
        <v>A Saya ingin teman-teman dengan gembira memberikan pertolongan kepada saya.</v>
      </c>
      <c r="CB146" s="105" t="str">
        <f>IFERROR(__xludf.DUMMYFUNCTION("""COMPUTED_VALUE"""),"B Saya suka berbicara tentang hal-hal yang telah saya capai.")</f>
        <v>B Saya suka berbicara tentang hal-hal yang telah saya capai.</v>
      </c>
      <c r="CC146" s="105" t="str">
        <f>IFERROR(__xludf.DUMMYFUNCTION("""COMPUTED_VALUE"""),"A Apabila saya berkumpul dalam kelompok, saya ingin dihargai teman-teman.")</f>
        <v>A Apabila saya berkumpul dalam kelompok, saya ingin dihargai teman-teman.</v>
      </c>
      <c r="CD146" s="105" t="str">
        <f>IFERROR(__xludf.DUMMYFUNCTION("""COMPUTED_VALUE"""),"A Saya suka menyelesaikan setiap tugas meskipun membutuhkan waktu lama.")</f>
        <v>A Saya suka menyelesaikan setiap tugas meskipun membutuhkan waktu lama.</v>
      </c>
      <c r="CE146" s="105" t="str">
        <f>IFERROR(__xludf.DUMMYFUNCTION("""COMPUTED_VALUE"""),"A Saya suka menyelesaikan setiap tugas belajar yang telah saya mulai.")</f>
        <v>A Saya suka menyelesaikan setiap tugas belajar yang telah saya mulai.</v>
      </c>
      <c r="CF146" s="105" t="str">
        <f>IFERROR(__xludf.DUMMYFUNCTION("""COMPUTED_VALUE"""),"A Saya ingin agar hidup saya teratur sesuai cita-cita saya.")</f>
        <v>A Saya ingin agar hidup saya teratur sesuai cita-cita saya.</v>
      </c>
      <c r="CG146" s="105" t="str">
        <f>IFERROR(__xludf.DUMMYFUNCTION("""COMPUTED_VALUE"""),"A Saya ingin berhasil dalam apa yang saya lakukan.")</f>
        <v>A Saya ingin berhasil dalam apa yang saya lakukan.</v>
      </c>
      <c r="CH146" s="105" t="str">
        <f>IFERROR(__xludf.DUMMYFUNCTION("""COMPUTED_VALUE"""),"A Saya ingin bisa melakukan dengan baik sesuatu pekerjaan sulit.")</f>
        <v>A Saya ingin bisa melakukan dengan baik sesuatu pekerjaan sulit.</v>
      </c>
      <c r="CI146" s="105" t="str">
        <f>IFERROR(__xludf.DUMMYFUNCTION("""COMPUTED_VALUE"""),"B Saya ingin dianggap menarik oleh orang lain.")</f>
        <v>B Saya ingin dianggap menarik oleh orang lain.</v>
      </c>
      <c r="CJ146" s="105" t="str">
        <f>IFERROR(__xludf.DUMMYFUNCTION("""COMPUTED_VALUE"""),"A Saya ingin tidak tergantung dari orang lain terhadap apa yang akan saya lakukan.")</f>
        <v>A Saya ingin tidak tergantung dari orang lain terhadap apa yang akan saya lakukan.</v>
      </c>
      <c r="CK146" s="105" t="str">
        <f>IFERROR(__xludf.DUMMYFUNCTION("""COMPUTED_VALUE"""),"A Saya suka bertahan menghadapi satu masalah, meskipun belum tentu berhasil.")</f>
        <v>A Saya suka bertahan menghadapi satu masalah, meskipun belum tentu berhasil.</v>
      </c>
      <c r="CL146" s="105" t="str">
        <f>IFERROR(__xludf.DUMMYFUNCTION("""COMPUTED_VALUE"""),"A Saya suka menolong teman-teman saya, apabila mereka dalam kesulitan.")</f>
        <v>A Saya suka menolong teman-teman saya, apabila mereka dalam kesulitan.</v>
      </c>
      <c r="CM146" s="105" t="str">
        <f>IFERROR(__xludf.DUMMYFUNCTION("""COMPUTED_VALUE"""),"A Saya ingin ditunjuk atau dipilih sebagai ketua dalam suatu kelompok.")</f>
        <v>A Saya ingin ditunjuk atau dipilih sebagai ketua dalam suatu kelompok.</v>
      </c>
      <c r="CN146" s="105" t="str">
        <f>IFERROR(__xludf.DUMMYFUNCTION("""COMPUTED_VALUE"""),"A Saya ingin diperlakukan dengan baik oleh teman-teman saya.")</f>
        <v>A Saya ingin diperlakukan dengan baik oleh teman-teman saya.</v>
      </c>
      <c r="CO146" s="105" t="str">
        <f>IFERROR(__xludf.DUMMYFUNCTION("""COMPUTED_VALUE"""),"B Saya suka memuji orang yang saya kagumi.")</f>
        <v>B Saya suka memuji orang yang saya kagumi.</v>
      </c>
      <c r="CP146" s="105" t="str">
        <f>IFERROR(__xludf.DUMMYFUNCTION("""COMPUTED_VALUE"""),"B Saya ingin dianggap menarik oleh orang lain.")</f>
        <v>B Saya ingin dianggap menarik oleh orang lain.</v>
      </c>
      <c r="CQ146" s="105" t="str">
        <f>IFERROR(__xludf.DUMMYFUNCTION("""COMPUTED_VALUE"""),"B Saya merasa kagum pada seseorang.")</f>
        <v>B Saya merasa kagum pada seseorang.</v>
      </c>
      <c r="CR146" s="105" t="str">
        <f>IFERROR(__xludf.DUMMYFUNCTION("""COMPUTED_VALUE"""),"B Saya rasanya ingin mengecam seseorang bila orang itu menjengkelkan.")</f>
        <v>B Saya rasanya ingin mengecam seseorang bila orang itu menjengkelkan.</v>
      </c>
      <c r="CS146" s="105" t="str">
        <f>IFERROR(__xludf.DUMMYFUNCTION("""COMPUTED_VALUE"""),"A Saya ingin terlihat menarik di depan teman-teman saya.")</f>
        <v>A Saya ingin terlihat menarik di depan teman-teman saya.</v>
      </c>
      <c r="CT146" s="105" t="str">
        <f>IFERROR(__xludf.DUMMYFUNCTION("""COMPUTED_VALUE"""),"A Saya ingin orang-orang memperhatikan komentar mengenai penampilan saya.")</f>
        <v>A Saya ingin orang-orang memperhatikan komentar mengenai penampilan saya.</v>
      </c>
      <c r="CU146" s="105" t="str">
        <f>IFERROR(__xludf.DUMMYFUNCTION("""COMPUTED_VALUE"""),"A Saya ingin diperlakukan dengan ramah oleh teman-teman saya.")</f>
        <v>A Saya ingin diperlakukan dengan ramah oleh teman-teman saya.</v>
      </c>
      <c r="CV146" s="105" t="str">
        <f>IFERROR(__xludf.DUMMYFUNCTION("""COMPUTED_VALUE"""),"A Saya ingin ditunjuk atau dipilih sebagai ketua dalam suatu kelompok.")</f>
        <v>A Saya ingin ditunjuk atau dipilih sebagai ketua dalam suatu kelompok.</v>
      </c>
      <c r="CW146" s="105" t="str">
        <f>IFERROR(__xludf.DUMMYFUNCTION("""COMPUTED_VALUE"""),"A Saya suka menolong teman-teman saya, apabila mereka dalam kesulitan.")</f>
        <v>A Saya suka menolong teman-teman saya, apabila mereka dalam kesulitan.</v>
      </c>
      <c r="CX146" s="105" t="str">
        <f>IFERROR(__xludf.DUMMYFUNCTION("""COMPUTED_VALUE"""),"A Saya suka belajar sampai malam untuk menyelesaikan suatu tugas.")</f>
        <v>A Saya suka belajar sampai malam untuk menyelesaikan suatu tugas.</v>
      </c>
      <c r="CY146" s="105" t="str">
        <f>IFERROR(__xludf.DUMMYFUNCTION("""COMPUTED_VALUE"""),"A Saya ingin tidak tergantung dari orang lain terhadap apa yang akan saya lakukan.")</f>
        <v>A Saya ingin tidak tergantung dari orang lain terhadap apa yang akan saya lakukan.</v>
      </c>
      <c r="CZ146" s="105" t="str">
        <f>IFERROR(__xludf.DUMMYFUNCTION("""COMPUTED_VALUE"""),"A Saya suka merencanakan dan mengatur setiap pekerjaan yang harus saya lakukan.")</f>
        <v>A Saya suka merencanakan dan mengatur setiap pekerjaan yang harus saya lakukan.</v>
      </c>
      <c r="DA146" s="105" t="str">
        <f>IFERROR(__xludf.DUMMYFUNCTION("""COMPUTED_VALUE"""),"A Saya ingin melakukan apa saja sebaik mungkin.")</f>
        <v>A Saya ingin melakukan apa saja sebaik mungkin.</v>
      </c>
      <c r="DB146" s="89" t="s">
        <v>23</v>
      </c>
      <c r="DC146" s="97" t="str">
        <f t="shared" ref="DC146:GX146" si="191">LEFT(F146,1)</f>
        <v>B</v>
      </c>
      <c r="DD146" s="97" t="str">
        <f t="shared" si="191"/>
        <v>A</v>
      </c>
      <c r="DE146" s="97" t="str">
        <f t="shared" si="191"/>
        <v>A</v>
      </c>
      <c r="DF146" s="97" t="str">
        <f t="shared" si="191"/>
        <v>B</v>
      </c>
      <c r="DG146" s="97" t="str">
        <f t="shared" si="191"/>
        <v>A</v>
      </c>
      <c r="DH146" s="97" t="str">
        <f t="shared" si="191"/>
        <v>A</v>
      </c>
      <c r="DI146" s="97" t="str">
        <f t="shared" si="191"/>
        <v>A</v>
      </c>
      <c r="DJ146" s="97" t="str">
        <f t="shared" si="191"/>
        <v>B</v>
      </c>
      <c r="DK146" s="97" t="str">
        <f t="shared" si="191"/>
        <v>B</v>
      </c>
      <c r="DL146" s="97" t="str">
        <f t="shared" si="191"/>
        <v>A</v>
      </c>
      <c r="DM146" s="97" t="str">
        <f t="shared" si="191"/>
        <v>B</v>
      </c>
      <c r="DN146" s="97" t="str">
        <f t="shared" si="191"/>
        <v>A</v>
      </c>
      <c r="DO146" s="97" t="str">
        <f t="shared" si="191"/>
        <v>B</v>
      </c>
      <c r="DP146" s="97" t="str">
        <f t="shared" si="191"/>
        <v>A</v>
      </c>
      <c r="DQ146" s="97" t="str">
        <f t="shared" si="191"/>
        <v>B</v>
      </c>
      <c r="DR146" s="97" t="str">
        <f t="shared" si="191"/>
        <v>A</v>
      </c>
      <c r="DS146" s="97" t="str">
        <f t="shared" si="191"/>
        <v>B</v>
      </c>
      <c r="DT146" s="97" t="str">
        <f t="shared" si="191"/>
        <v>B</v>
      </c>
      <c r="DU146" s="97" t="str">
        <f t="shared" si="191"/>
        <v>A</v>
      </c>
      <c r="DV146" s="97" t="str">
        <f t="shared" si="191"/>
        <v>B</v>
      </c>
      <c r="DW146" s="97" t="str">
        <f t="shared" si="191"/>
        <v>A</v>
      </c>
      <c r="DX146" s="97" t="str">
        <f t="shared" si="191"/>
        <v>B</v>
      </c>
      <c r="DY146" s="97" t="str">
        <f t="shared" si="191"/>
        <v>B</v>
      </c>
      <c r="DZ146" s="97" t="str">
        <f t="shared" si="191"/>
        <v>B</v>
      </c>
      <c r="EA146" s="97" t="str">
        <f t="shared" si="191"/>
        <v>A</v>
      </c>
      <c r="EB146" s="97" t="str">
        <f t="shared" si="191"/>
        <v>A</v>
      </c>
      <c r="EC146" s="97" t="str">
        <f t="shared" si="191"/>
        <v>A</v>
      </c>
      <c r="ED146" s="97" t="str">
        <f t="shared" si="191"/>
        <v>A</v>
      </c>
      <c r="EE146" s="97" t="str">
        <f t="shared" si="191"/>
        <v>B</v>
      </c>
      <c r="EF146" s="97" t="str">
        <f t="shared" si="191"/>
        <v>B</v>
      </c>
      <c r="EG146" s="97" t="str">
        <f t="shared" si="191"/>
        <v>B</v>
      </c>
      <c r="EH146" s="97" t="str">
        <f t="shared" si="191"/>
        <v>B</v>
      </c>
      <c r="EI146" s="97" t="str">
        <f t="shared" si="191"/>
        <v>B</v>
      </c>
      <c r="EJ146" s="97" t="str">
        <f t="shared" si="191"/>
        <v>A</v>
      </c>
      <c r="EK146" s="97" t="str">
        <f t="shared" si="191"/>
        <v>A</v>
      </c>
      <c r="EL146" s="97" t="str">
        <f t="shared" si="191"/>
        <v>A</v>
      </c>
      <c r="EM146" s="97" t="str">
        <f t="shared" si="191"/>
        <v>B</v>
      </c>
      <c r="EN146" s="97" t="str">
        <f t="shared" si="191"/>
        <v>A</v>
      </c>
      <c r="EO146" s="97" t="str">
        <f t="shared" si="191"/>
        <v>A</v>
      </c>
      <c r="EP146" s="97" t="str">
        <f t="shared" si="191"/>
        <v>A</v>
      </c>
      <c r="EQ146" s="97" t="str">
        <f t="shared" si="191"/>
        <v>B</v>
      </c>
      <c r="ER146" s="97" t="str">
        <f t="shared" si="191"/>
        <v>A</v>
      </c>
      <c r="ES146" s="97" t="str">
        <f t="shared" si="191"/>
        <v>B</v>
      </c>
      <c r="ET146" s="97" t="str">
        <f t="shared" si="191"/>
        <v>B</v>
      </c>
      <c r="EU146" s="97" t="str">
        <f t="shared" si="191"/>
        <v>A</v>
      </c>
      <c r="EV146" s="97" t="str">
        <f t="shared" si="191"/>
        <v>B</v>
      </c>
      <c r="EW146" s="97" t="str">
        <f t="shared" si="191"/>
        <v>B</v>
      </c>
      <c r="EX146" s="97" t="str">
        <f t="shared" si="191"/>
        <v>B</v>
      </c>
      <c r="EY146" s="97" t="str">
        <f t="shared" si="191"/>
        <v>B</v>
      </c>
      <c r="EZ146" s="97" t="str">
        <f t="shared" si="191"/>
        <v>B</v>
      </c>
      <c r="FA146" s="97" t="str">
        <f t="shared" si="191"/>
        <v>B</v>
      </c>
      <c r="FB146" s="97" t="str">
        <f t="shared" si="191"/>
        <v>B</v>
      </c>
      <c r="FC146" s="97" t="str">
        <f t="shared" si="191"/>
        <v>B</v>
      </c>
      <c r="FD146" s="97" t="str">
        <f t="shared" si="191"/>
        <v>B</v>
      </c>
      <c r="FE146" s="97" t="str">
        <f t="shared" si="191"/>
        <v>A</v>
      </c>
      <c r="FF146" s="97" t="str">
        <f t="shared" si="191"/>
        <v>A</v>
      </c>
      <c r="FG146" s="97" t="str">
        <f t="shared" si="191"/>
        <v>B</v>
      </c>
      <c r="FH146" s="97" t="str">
        <f t="shared" si="191"/>
        <v>A</v>
      </c>
      <c r="FI146" s="97" t="str">
        <f t="shared" si="191"/>
        <v>A</v>
      </c>
      <c r="FJ146" s="97" t="str">
        <f t="shared" si="191"/>
        <v>A</v>
      </c>
      <c r="FK146" s="97" t="str">
        <f t="shared" si="191"/>
        <v>A</v>
      </c>
      <c r="FL146" s="97" t="str">
        <f t="shared" si="191"/>
        <v>B</v>
      </c>
      <c r="FM146" s="97" t="str">
        <f t="shared" si="191"/>
        <v>A</v>
      </c>
      <c r="FN146" s="97" t="str">
        <f t="shared" si="191"/>
        <v>A</v>
      </c>
      <c r="FO146" s="97" t="str">
        <f t="shared" si="191"/>
        <v>A</v>
      </c>
      <c r="FP146" s="97" t="str">
        <f t="shared" si="191"/>
        <v>B</v>
      </c>
      <c r="FQ146" s="97" t="str">
        <f t="shared" si="191"/>
        <v>B</v>
      </c>
      <c r="FR146" s="97" t="str">
        <f t="shared" si="191"/>
        <v>A</v>
      </c>
      <c r="FS146" s="97" t="str">
        <f t="shared" si="191"/>
        <v>B</v>
      </c>
      <c r="FT146" s="97" t="str">
        <f t="shared" si="191"/>
        <v>B</v>
      </c>
      <c r="FU146" s="97" t="str">
        <f t="shared" si="191"/>
        <v>B</v>
      </c>
      <c r="FV146" s="97" t="str">
        <f t="shared" si="191"/>
        <v>B</v>
      </c>
      <c r="FW146" s="97" t="str">
        <f t="shared" si="191"/>
        <v>B</v>
      </c>
      <c r="FX146" s="97" t="str">
        <f t="shared" si="191"/>
        <v>A</v>
      </c>
      <c r="FY146" s="97" t="str">
        <f t="shared" si="191"/>
        <v>B</v>
      </c>
      <c r="FZ146" s="97" t="str">
        <f t="shared" si="191"/>
        <v>A</v>
      </c>
      <c r="GA146" s="97" t="str">
        <f t="shared" si="191"/>
        <v>A</v>
      </c>
      <c r="GB146" s="97" t="str">
        <f t="shared" si="191"/>
        <v>A</v>
      </c>
      <c r="GC146" s="97" t="str">
        <f t="shared" si="191"/>
        <v>A</v>
      </c>
      <c r="GD146" s="97" t="str">
        <f t="shared" si="191"/>
        <v>A</v>
      </c>
      <c r="GE146" s="97" t="str">
        <f t="shared" si="191"/>
        <v>A</v>
      </c>
      <c r="GF146" s="97" t="str">
        <f t="shared" si="191"/>
        <v>B</v>
      </c>
      <c r="GG146" s="97" t="str">
        <f t="shared" si="191"/>
        <v>A</v>
      </c>
      <c r="GH146" s="97" t="str">
        <f t="shared" si="191"/>
        <v>A</v>
      </c>
      <c r="GI146" s="97" t="str">
        <f t="shared" si="191"/>
        <v>A</v>
      </c>
      <c r="GJ146" s="97" t="str">
        <f t="shared" si="191"/>
        <v>A</v>
      </c>
      <c r="GK146" s="97" t="str">
        <f t="shared" si="191"/>
        <v>A</v>
      </c>
      <c r="GL146" s="97" t="str">
        <f t="shared" si="191"/>
        <v>B</v>
      </c>
      <c r="GM146" s="97" t="str">
        <f t="shared" si="191"/>
        <v>B</v>
      </c>
      <c r="GN146" s="97" t="str">
        <f t="shared" si="191"/>
        <v>B</v>
      </c>
      <c r="GO146" s="97" t="str">
        <f t="shared" si="191"/>
        <v>B</v>
      </c>
      <c r="GP146" s="97" t="str">
        <f t="shared" si="191"/>
        <v>A</v>
      </c>
      <c r="GQ146" s="97" t="str">
        <f t="shared" si="191"/>
        <v>A</v>
      </c>
      <c r="GR146" s="97" t="str">
        <f t="shared" si="191"/>
        <v>A</v>
      </c>
      <c r="GS146" s="97" t="str">
        <f t="shared" si="191"/>
        <v>A</v>
      </c>
      <c r="GT146" s="97" t="str">
        <f t="shared" si="191"/>
        <v>A</v>
      </c>
      <c r="GU146" s="97" t="str">
        <f t="shared" si="191"/>
        <v>A</v>
      </c>
      <c r="GV146" s="97" t="str">
        <f t="shared" si="191"/>
        <v>A</v>
      </c>
      <c r="GW146" s="97" t="str">
        <f t="shared" si="191"/>
        <v>A</v>
      </c>
      <c r="GX146" s="97" t="str">
        <f t="shared" si="191"/>
        <v>A</v>
      </c>
      <c r="GY146" s="98"/>
      <c r="GZ146" s="97">
        <f t="shared" si="3"/>
        <v>54</v>
      </c>
      <c r="HA146" s="97">
        <f t="shared" si="4"/>
        <v>46</v>
      </c>
      <c r="HB146" s="90">
        <f t="shared" si="5"/>
        <v>100</v>
      </c>
      <c r="HC146" s="99"/>
      <c r="HD146" s="97">
        <f t="shared" si="6"/>
        <v>7</v>
      </c>
      <c r="HE146" s="97">
        <f t="shared" si="7"/>
        <v>3</v>
      </c>
      <c r="HF146" s="90">
        <f t="shared" si="8"/>
        <v>10</v>
      </c>
      <c r="HG146" s="99"/>
      <c r="HH146" s="97">
        <f t="shared" si="9"/>
        <v>6</v>
      </c>
      <c r="HI146" s="97">
        <f t="shared" si="10"/>
        <v>6</v>
      </c>
      <c r="HJ146" s="90">
        <f t="shared" si="11"/>
        <v>12</v>
      </c>
      <c r="HK146" s="99"/>
      <c r="HL146" s="97">
        <f t="shared" si="12"/>
        <v>7</v>
      </c>
      <c r="HM146" s="97">
        <f t="shared" si="13"/>
        <v>5</v>
      </c>
      <c r="HN146" s="90">
        <f t="shared" si="14"/>
        <v>12</v>
      </c>
      <c r="HO146" s="99"/>
      <c r="HP146" s="97">
        <f t="shared" si="15"/>
        <v>4</v>
      </c>
      <c r="HQ146" s="97">
        <f t="shared" si="16"/>
        <v>4</v>
      </c>
      <c r="HR146" s="90">
        <f t="shared" si="17"/>
        <v>8</v>
      </c>
      <c r="HS146" s="99"/>
      <c r="HT146" s="97">
        <f t="shared" si="18"/>
        <v>9</v>
      </c>
      <c r="HU146" s="97">
        <f t="shared" si="19"/>
        <v>8</v>
      </c>
      <c r="HV146" s="90">
        <f t="shared" si="20"/>
        <v>17</v>
      </c>
      <c r="HW146" s="99"/>
      <c r="HX146" s="97">
        <f t="shared" si="21"/>
        <v>5</v>
      </c>
      <c r="HY146" s="97">
        <f t="shared" si="22"/>
        <v>5</v>
      </c>
      <c r="HZ146" s="90">
        <f t="shared" si="23"/>
        <v>10</v>
      </c>
      <c r="IA146" s="99"/>
      <c r="IB146" s="97">
        <f t="shared" si="24"/>
        <v>7</v>
      </c>
      <c r="IC146" s="97">
        <f t="shared" si="25"/>
        <v>5</v>
      </c>
      <c r="ID146" s="90">
        <f t="shared" si="26"/>
        <v>12</v>
      </c>
      <c r="IE146" s="99"/>
      <c r="IF146" s="97">
        <f t="shared" si="27"/>
        <v>3</v>
      </c>
      <c r="IG146" s="97">
        <f t="shared" si="28"/>
        <v>4</v>
      </c>
      <c r="IH146" s="90">
        <f t="shared" si="29"/>
        <v>7</v>
      </c>
      <c r="II146" s="99"/>
      <c r="IJ146" s="97">
        <f t="shared" si="30"/>
        <v>2</v>
      </c>
      <c r="IK146" s="97">
        <f t="shared" si="31"/>
        <v>4</v>
      </c>
      <c r="IL146" s="90">
        <f t="shared" si="32"/>
        <v>6</v>
      </c>
      <c r="IM146" s="99"/>
      <c r="IN146" s="97">
        <f t="shared" si="33"/>
        <v>1</v>
      </c>
      <c r="IO146" s="97">
        <f t="shared" si="34"/>
        <v>1</v>
      </c>
      <c r="IP146" s="90">
        <f t="shared" si="35"/>
        <v>2</v>
      </c>
      <c r="IS146" s="100">
        <f t="shared" si="36"/>
        <v>10</v>
      </c>
      <c r="IT146" s="100">
        <f t="shared" si="37"/>
        <v>12</v>
      </c>
      <c r="IU146" s="100">
        <f t="shared" si="38"/>
        <v>12</v>
      </c>
      <c r="IV146" s="100">
        <f t="shared" si="39"/>
        <v>8</v>
      </c>
      <c r="IW146" s="100">
        <f t="shared" si="40"/>
        <v>17</v>
      </c>
      <c r="IX146" s="100">
        <f t="shared" si="41"/>
        <v>10</v>
      </c>
      <c r="IY146" s="100">
        <f t="shared" si="42"/>
        <v>12</v>
      </c>
      <c r="IZ146" s="100">
        <f t="shared" si="43"/>
        <v>7</v>
      </c>
      <c r="JA146" s="100">
        <f t="shared" si="44"/>
        <v>6</v>
      </c>
      <c r="JB146" s="101">
        <f t="shared" si="45"/>
        <v>2</v>
      </c>
      <c r="JC146" s="102">
        <f t="shared" si="46"/>
        <v>96</v>
      </c>
      <c r="JD146" s="67">
        <f t="shared" si="50"/>
        <v>0</v>
      </c>
      <c r="JE146" s="67">
        <f t="shared" si="47"/>
        <v>2</v>
      </c>
      <c r="JF146" s="67">
        <f t="shared" si="48"/>
        <v>2</v>
      </c>
    </row>
    <row r="147">
      <c r="A147" s="104">
        <f>IFERROR(__xludf.DUMMYFUNCTION("""COMPUTED_VALUE"""),45973.836082256945)</f>
        <v>45973.83608</v>
      </c>
      <c r="B147" s="105" t="str">
        <f>IFERROR(__xludf.DUMMYFUNCTION("""COMPUTED_VALUE"""),"Clarisa aqila putri")</f>
        <v>Clarisa aqila putri</v>
      </c>
      <c r="C147" s="7" t="str">
        <f>IFERROR(__xludf.DUMMYFUNCTION("""COMPUTED_VALUE"""),"D250030")</f>
        <v>D250030</v>
      </c>
      <c r="D147" s="7" t="str">
        <f>IFERROR(__xludf.DUMMYFUNCTION("""COMPUTED_VALUE"""),"MTs Putri")</f>
        <v>MTs Putri</v>
      </c>
      <c r="E147" s="7" t="str">
        <f>IFERROR(__xludf.DUMMYFUNCTION("""COMPUTED_VALUE"""),"Ya")</f>
        <v>Ya</v>
      </c>
      <c r="F147" s="105" t="str">
        <f>IFERROR(__xludf.DUMMYFUNCTION("""COMPUTED_VALUE"""),"B Saya ingin melakukan apa saja sebaik mungkin.")</f>
        <v>B Saya ingin melakukan apa saja sebaik mungkin.</v>
      </c>
      <c r="G147" s="105" t="str">
        <f>IFERROR(__xludf.DUMMYFUNCTION("""COMPUTED_VALUE"""),"B Saya ingin menyelesaikan tugas yang segera dikumpulkan.")</f>
        <v>B Saya ingin menyelesaikan tugas yang segera dikumpulkan.</v>
      </c>
      <c r="H147" s="105" t="str">
        <f>IFERROR(__xludf.DUMMYFUNCTION("""COMPUTED_VALUE"""),"A Saya ingin berbuat sesuai kata hati saya.")</f>
        <v>A Saya ingin berbuat sesuai kata hati saya.</v>
      </c>
      <c r="I147" s="105" t="str">
        <f>IFERROR(__xludf.DUMMYFUNCTION("""COMPUTED_VALUE"""),"A Saya suka belajar keras pada tiap pelajaran yang saya hadapi.")</f>
        <v>A Saya suka belajar keras pada tiap pelajaran yang saya hadapi.</v>
      </c>
      <c r="J147" s="105" t="str">
        <f>IFERROR(__xludf.DUMMYFUNCTION("""COMPUTED_VALUE"""),"A Saya suka membantu teman-teman saya apabila mereka mengalami kesulitan.")</f>
        <v>A Saya suka membantu teman-teman saya apabila mereka mengalami kesulitan.</v>
      </c>
      <c r="K147" s="105" t="str">
        <f>IFERROR(__xludf.DUMMYFUNCTION("""COMPUTED_VALUE"""),"B Saya ingin mengatakan telah melakukan dengan baik sesuatu tugas yang sulit.")</f>
        <v>B Saya ingin mengatakan telah melakukan dengan baik sesuatu tugas yang sulit.</v>
      </c>
      <c r="L147" s="105" t="str">
        <f>IFERROR(__xludf.DUMMYFUNCTION("""COMPUTED_VALUE"""),"B Saya ingin mengatakan telah melakukan dengan baik sesuatu tugas yang sulit")</f>
        <v>B Saya ingin mengatakan telah melakukan dengan baik sesuatu tugas yang sulit</v>
      </c>
      <c r="M147" s="105" t="str">
        <f>IFERROR(__xludf.DUMMYFUNCTION("""COMPUTED_VALUE"""),"A Saya suka berbicara tentang hal-hal yang telah berhasil saya lakukan.")</f>
        <v>A Saya suka berbicara tentang hal-hal yang telah berhasil saya lakukan.</v>
      </c>
      <c r="N147" s="105" t="str">
        <f>IFERROR(__xludf.DUMMYFUNCTION("""COMPUTED_VALUE"""),"A Saya suka pergi dengan pakaian rapi agar lebih menarik perhatian orang lain.")</f>
        <v>A Saya suka pergi dengan pakaian rapi agar lebih menarik perhatian orang lain.</v>
      </c>
      <c r="O147" s="105" t="str">
        <f>IFERROR(__xludf.DUMMYFUNCTION("""COMPUTED_VALUE"""),"A Saya marah saat ada teman memperolok-olok hal-hal yang saya anggap bodoh.")</f>
        <v>A Saya marah saat ada teman memperolok-olok hal-hal yang saya anggap bodoh.</v>
      </c>
      <c r="P147" s="105" t="str">
        <f>IFERROR(__xludf.DUMMYFUNCTION("""COMPUTED_VALUE"""),"A Saya suka bercerita tentang hal-hal yang menegangkan atau menantang.")</f>
        <v>A Saya suka bercerita tentang hal-hal yang menegangkan atau menantang.</v>
      </c>
      <c r="Q147" s="105" t="str">
        <f>IFERROR(__xludf.DUMMYFUNCTION("""COMPUTED_VALUE"""),"B Saya merencanakan keperluan yang dibutuhkan sebelum bepergian.")</f>
        <v>B Saya merencanakan keperluan yang dibutuhkan sebelum bepergian.</v>
      </c>
      <c r="R147" s="105" t="str">
        <f>IFERROR(__xludf.DUMMYFUNCTION("""COMPUTED_VALUE"""),"B Saya suka barang-barang saya tersusun rapi dan teratur.")</f>
        <v>B Saya suka barang-barang saya tersusun rapi dan teratur.</v>
      </c>
      <c r="S147" s="105" t="str">
        <f>IFERROR(__xludf.DUMMYFUNCTION("""COMPUTED_VALUE"""),"A Saya ingin agar teman-teman pengertian bila saya mengalami kesukaran.")</f>
        <v>A Saya ingin agar teman-teman pengertian bila saya mengalami kesukaran.</v>
      </c>
      <c r="T147" s="105" t="str">
        <f>IFERROR(__xludf.DUMMYFUNCTION("""COMPUTED_VALUE"""),"B Saya ingin agar hidup saya teratur sesuai cita-cita saya.")</f>
        <v>B Saya ingin agar hidup saya teratur sesuai cita-cita saya.</v>
      </c>
      <c r="U147" s="105" t="str">
        <f>IFERROR(__xludf.DUMMYFUNCTION("""COMPUTED_VALUE"""),"A Saya suka memberikan bantuan kepada teman-teman saya.")</f>
        <v>A Saya suka memberikan bantuan kepada teman-teman saya.</v>
      </c>
      <c r="V147" s="105" t="str">
        <f>IFERROR(__xludf.DUMMYFUNCTION("""COMPUTED_VALUE"""),"A Saya suka belajar sampai malam untuk menyelesaikan suatu tugas.")</f>
        <v>A Saya suka belajar sampai malam untuk menyelesaikan suatu tugas.</v>
      </c>
      <c r="W147" s="105" t="str">
        <f>IFERROR(__xludf.DUMMYFUNCTION("""COMPUTED_VALUE"""),"A Saya suka melakukan kegiatan sesuai kondisi yang saya inginkan.")</f>
        <v>A Saya suka melakukan kegiatan sesuai kondisi yang saya inginkan.</v>
      </c>
      <c r="X147" s="105" t="str">
        <f>IFERROR(__xludf.DUMMYFUNCTION("""COMPUTED_VALUE"""),"A Saya suka merencanakan dan mengatur setiap apa yang harus saya lakukan.")</f>
        <v>A Saya suka merencanakan dan mengatur setiap apa yang harus saya lakukan.</v>
      </c>
      <c r="Y147" s="105" t="str">
        <f>IFERROR(__xludf.DUMMYFUNCTION("""COMPUTED_VALUE"""),"B Saya senang merencanakan untuk masa depan.")</f>
        <v>B Saya senang merencanakan untuk masa depan.</v>
      </c>
      <c r="Z147" s="105" t="str">
        <f>IFERROR(__xludf.DUMMYFUNCTION("""COMPUTED_VALUE"""),"B Saya ingin merasa bebas untuk melakukan apa yang saya inginkan.")</f>
        <v>B Saya ingin merasa bebas untuk melakukan apa yang saya inginkan.</v>
      </c>
      <c r="AA147" s="105" t="str">
        <f>IFERROR(__xludf.DUMMYFUNCTION("""COMPUTED_VALUE"""),"B Saya tidak suka pada orang yang berbuat seenaknya sendiri.")</f>
        <v>B Saya tidak suka pada orang yang berbuat seenaknya sendiri.</v>
      </c>
      <c r="AB147" s="105" t="str">
        <f>IFERROR(__xludf.DUMMYFUNCTION("""COMPUTED_VALUE"""),"A Saya ingin tidak tergantung dari orang lain terhadap apa yang akan saya lakukan.")</f>
        <v>A Saya ingin tidak tergantung dari orang lain terhadap apa yang akan saya lakukan.</v>
      </c>
      <c r="AC147" s="105" t="str">
        <f>IFERROR(__xludf.DUMMYFUNCTION("""COMPUTED_VALUE"""),"B Saya suka melakukan kegiatan sesuai kondisi yang saya inginkan.")</f>
        <v>B Saya suka melakukan kegiatan sesuai kondisi yang saya inginkan.</v>
      </c>
      <c r="AD147" s="105" t="str">
        <f>IFERROR(__xludf.DUMMYFUNCTION("""COMPUTED_VALUE"""),"B Saya suka menyatakan pendapat saya tentang berbagai hal.")</f>
        <v>B Saya suka menyatakan pendapat saya tentang berbagai hal.</v>
      </c>
      <c r="AE147" s="105" t="str">
        <f>IFERROR(__xludf.DUMMYFUNCTION("""COMPUTED_VALUE"""),"A Saya ingin dianggap sebagai pemimpin oleh teman di kelompok.")</f>
        <v>A Saya ingin dianggap sebagai pemimpin oleh teman di kelompok.</v>
      </c>
      <c r="AF147" s="105" t="str">
        <f>IFERROR(__xludf.DUMMYFUNCTION("""COMPUTED_VALUE"""),"A Saya ingin agar teman-teman mengerti bila saya mengalami kesukaran.")</f>
        <v>A Saya ingin agar teman-teman mengerti bila saya mengalami kesukaran.</v>
      </c>
      <c r="AG147" s="105" t="str">
        <f>IFERROR(__xludf.DUMMYFUNCTION("""COMPUTED_VALUE"""),"B Saya ingin berhasil dengan tugas yang saya lakukan.")</f>
        <v>B Saya ingin berhasil dengan tugas yang saya lakukan.</v>
      </c>
      <c r="AH147" s="105" t="str">
        <f>IFERROR(__xludf.DUMMYFUNCTION("""COMPUTED_VALUE"""),"A Saya suka membaca buku-buku tentang pergaulan remaja.")</f>
        <v>A Saya suka membaca buku-buku tentang pergaulan remaja.</v>
      </c>
      <c r="AI147" s="105" t="str">
        <f>IFERROR(__xludf.DUMMYFUNCTION("""COMPUTED_VALUE"""),"B Saya suka melakukan kegiatan sesuai kondisi yang saya inginkan.")</f>
        <v>B Saya suka melakukan kegiatan sesuai kondisi yang saya inginkan.</v>
      </c>
      <c r="AJ147" s="105" t="str">
        <f>IFERROR(__xludf.DUMMYFUNCTION("""COMPUTED_VALUE"""),"A Saya rasanya ingin membalas dendam bila seseorang menghina saya.")</f>
        <v>A Saya rasanya ingin membalas dendam bila seseorang menghina saya.</v>
      </c>
      <c r="AK147" s="105" t="str">
        <f>IFERROR(__xludf.DUMMYFUNCTION("""COMPUTED_VALUE"""),"B Bila saya harus melakukan suatu tugas, saya ingin mengerjakan sampai selesai.")</f>
        <v>B Bila saya harus melakukan suatu tugas, saya ingin mengerjakan sampai selesai.</v>
      </c>
      <c r="AL147" s="105" t="str">
        <f>IFERROR(__xludf.DUMMYFUNCTION("""COMPUTED_VALUE"""),"A Saya suka berbicara tentang hal-hal yang telah saya capai.")</f>
        <v>A Saya suka berbicara tentang hal-hal yang telah saya capai.</v>
      </c>
      <c r="AM147" s="105" t="str">
        <f>IFERROR(__xludf.DUMMYFUNCTION("""COMPUTED_VALUE"""),"A Saya ingin teman-teman saya merasa kasihan pada saya apabila saya sakit.")</f>
        <v>A Saya ingin teman-teman saya merasa kasihan pada saya apabila saya sakit.</v>
      </c>
      <c r="AN147" s="105" t="str">
        <f>IFERROR(__xludf.DUMMYFUNCTION("""COMPUTED_VALUE"""),"A Saya tidak suka pada orang yang semena-mena.")</f>
        <v>A Saya tidak suka pada orang yang semena-mena.</v>
      </c>
      <c r="AO147" s="105" t="str">
        <f>IFERROR(__xludf.DUMMYFUNCTION("""COMPUTED_VALUE"""),"A Saya suka berlaku sangat ramah terhadap teman-teman saya.")</f>
        <v>A Saya suka berlaku sangat ramah terhadap teman-teman saya.</v>
      </c>
      <c r="AP147" s="105" t="str">
        <f>IFERROR(__xludf.DUMMYFUNCTION("""COMPUTED_VALUE"""),"B Saya suka bertahan menghadapi satu masalah meskipun belum tentu berhasil.")</f>
        <v>B Saya suka bertahan menghadapi satu masalah meskipun belum tentu berhasil.</v>
      </c>
      <c r="AQ147" s="105" t="str">
        <f>IFERROR(__xludf.DUMMYFUNCTION("""COMPUTED_VALUE"""),"A Saya ingin bisa mengerjakan segala sesuatu lebih baik daripada orang-orang lain.")</f>
        <v>A Saya ingin bisa mengerjakan segala sesuatu lebih baik daripada orang-orang lain.</v>
      </c>
      <c r="AR147" s="105" t="str">
        <f>IFERROR(__xludf.DUMMYFUNCTION("""COMPUTED_VALUE"""),"B Saya suka belajar keras pada tiap pelajaran yang saya hadapi.")</f>
        <v>B Saya suka belajar keras pada tiap pelajaran yang saya hadapi.</v>
      </c>
      <c r="AS147" s="105" t="str">
        <f>IFERROR(__xludf.DUMMYFUNCTION("""COMPUTED_VALUE"""),"A Saya ingin dapat menyelesaikan persoalan yang dianggap sukar bagi orang lain.")</f>
        <v>A Saya ingin dapat menyelesaikan persoalan yang dianggap sukar bagi orang lain.</v>
      </c>
      <c r="AT147" s="105" t="str">
        <f>IFERROR(__xludf.DUMMYFUNCTION("""COMPUTED_VALUE"""),"B Saya suka membantu orang lain yang menurut saya perlu dikasihani.")</f>
        <v>B Saya suka membantu orang lain yang menurut saya perlu dikasihani.</v>
      </c>
      <c r="AU147" s="105" t="str">
        <f>IFERROR(__xludf.DUMMYFUNCTION("""COMPUTED_VALUE"""),"B Saya suka bermurah hati terhadap teman-teman saya.")</f>
        <v>B Saya suka bermurah hati terhadap teman-teman saya.</v>
      </c>
      <c r="AV147" s="105" t="str">
        <f>IFERROR(__xludf.DUMMYFUNCTION("""COMPUTED_VALUE"""),"A Saya ingin merasa bebas untuk melakukan apa yang saya kehendaki.")</f>
        <v>A Saya ingin merasa bebas untuk melakukan apa yang saya kehendaki.</v>
      </c>
      <c r="AW147" s="105" t="str">
        <f>IFERROR(__xludf.DUMMYFUNCTION("""COMPUTED_VALUE"""),"B Saya ingin teman-teman saya percaya bahwa saya bisa menolong mereka.")</f>
        <v>B Saya ingin teman-teman saya percaya bahwa saya bisa menolong mereka.</v>
      </c>
      <c r="AX147" s="105" t="str">
        <f>IFERROR(__xludf.DUMMYFUNCTION("""COMPUTED_VALUE"""),"A Saya suka menolong teman-teman saya apabila mereka dalam kesulitan.")</f>
        <v>A Saya suka menolong teman-teman saya apabila mereka dalam kesulitan.</v>
      </c>
      <c r="AY147" s="105" t="str">
        <f>IFERROR(__xludf.DUMMYFUNCTION("""COMPUTED_VALUE"""),"A Saya rasanya ingin marah saat tidak sesuai dengan hati.")</f>
        <v>A Saya rasanya ingin marah saat tidak sesuai dengan hati.</v>
      </c>
      <c r="AZ147" s="105" t="str">
        <f>IFERROR(__xludf.DUMMYFUNCTION("""COMPUTED_VALUE"""),"A Saya ingin agar teman-teman saya bersimpati dan menghibur saya bila saya sedih.")</f>
        <v>A Saya ingin agar teman-teman saya bersimpati dan menghibur saya bila saya sedih.</v>
      </c>
      <c r="BA147" s="105" t="str">
        <f>IFERROR(__xludf.DUMMYFUNCTION("""COMPUTED_VALUE"""),"B Saya suka memperlakukan orang lain dengan baik dan ramah.")</f>
        <v>B Saya suka memperlakukan orang lain dengan baik dan ramah.</v>
      </c>
      <c r="BB147" s="105" t="str">
        <f>IFERROR(__xludf.DUMMYFUNCTION("""COMPUTED_VALUE"""),"A Saya berkeinginan untuk bersama orang yang menarik bagi saya.")</f>
        <v>A Saya berkeinginan untuk bersama orang yang menarik bagi saya.</v>
      </c>
      <c r="BC147" s="105" t="str">
        <f>IFERROR(__xludf.DUMMYFUNCTION("""COMPUTED_VALUE"""),"B Saya suka membantu orang lain yang menurut saya perlu dikasihani.")</f>
        <v>B Saya suka membantu orang lain yang menurut saya perlu dikasihani.</v>
      </c>
      <c r="BD147" s="105" t="str">
        <f>IFERROR(__xludf.DUMMYFUNCTION("""COMPUTED_VALUE"""),"B Saya suka bersikukuh dengan pendirian saya.")</f>
        <v>B Saya suka bersikukuh dengan pendirian saya.</v>
      </c>
      <c r="BE147" s="105" t="str">
        <f>IFERROR(__xludf.DUMMYFUNCTION("""COMPUTED_VALUE"""),"A Saya suka mendengarkan atau menceritakan hal-hal yang sebaiknya tidak diceritakan.")</f>
        <v>A Saya suka mendengarkan atau menceritakan hal-hal yang sebaiknya tidak diceritakan.</v>
      </c>
      <c r="BF147" s="105" t="str">
        <f>IFERROR(__xludf.DUMMYFUNCTION("""COMPUTED_VALUE"""),"B Bila saya dalam kelompok, saya ingin menentukan apa yang akan kita lakukan.")</f>
        <v>B Bila saya dalam kelompok, saya ingin menentukan apa yang akan kita lakukan.</v>
      </c>
      <c r="BG147" s="105" t="str">
        <f>IFERROR(__xludf.DUMMYFUNCTION("""COMPUTED_VALUE"""),"A Saya ingin teman-teman banyak menunjukkan rasa sayang mereka terhadap saya.")</f>
        <v>A Saya ingin teman-teman banyak menunjukkan rasa sayang mereka terhadap saya.</v>
      </c>
      <c r="BH147" s="105" t="str">
        <f>IFERROR(__xludf.DUMMYFUNCTION("""COMPUTED_VALUE"""),"B Apabila saya berkumpul dalam kelompok, saya ingin dihargai teman-teman.")</f>
        <v>B Apabila saya berkumpul dalam kelompok, saya ingin dihargai teman-teman.</v>
      </c>
      <c r="BI147" s="105" t="str">
        <f>IFERROR(__xludf.DUMMYFUNCTION("""COMPUTED_VALUE"""),"A Saya suka bermurah hati terhadap teman-teman saya.")</f>
        <v>A Saya suka bermurah hati terhadap teman-teman saya.</v>
      </c>
      <c r="BJ147" s="105" t="str">
        <f>IFERROR(__xludf.DUMMYFUNCTION("""COMPUTED_VALUE"""),"B Saya ingin menjadi pemimpin dalam kelompok di mana saya ada di situ")</f>
        <v>B Saya ingin menjadi pemimpin dalam kelompok di mana saya ada di situ</v>
      </c>
      <c r="BK147" s="105" t="str">
        <f>IFERROR(__xludf.DUMMYFUNCTION("""COMPUTED_VALUE"""),"B Saya senang untuk diminta menyelesaikan pertentangan-pertentangan.")</f>
        <v>B Saya senang untuk diminta menyelesaikan pertentangan-pertentangan.</v>
      </c>
      <c r="BL147" s="105" t="str">
        <f>IFERROR(__xludf.DUMMYFUNCTION("""COMPUTED_VALUE"""),"B Saya suka bersikukuh dengan pendirian saya.")</f>
        <v>B Saya suka bersikukuh dengan pendirian saya.</v>
      </c>
      <c r="BM147" s="105" t="str">
        <f>IFERROR(__xludf.DUMMYFUNCTION("""COMPUTED_VALUE"""),"A Saya suka melakukan pekerjaan sebaik mungkin.")</f>
        <v>A Saya suka melakukan pekerjaan sebaik mungkin.</v>
      </c>
      <c r="BN147" s="105" t="str">
        <f>IFERROR(__xludf.DUMMYFUNCTION("""COMPUTED_VALUE"""),"B Saya ingin teman-teman memberi dorongan bila saya menghadapi kegagalan.")</f>
        <v>B Saya ingin teman-teman memberi dorongan bila saya menghadapi kegagalan.</v>
      </c>
      <c r="BO147" s="105" t="str">
        <f>IFERROR(__xludf.DUMMYFUNCTION("""COMPUTED_VALUE"""),"B Saya ingin diperlakukan dengan baik oleh teman-teman saya.")</f>
        <v>B Saya ingin diperlakukan dengan baik oleh teman-teman saya.</v>
      </c>
      <c r="BP147" s="105" t="str">
        <f>IFERROR(__xludf.DUMMYFUNCTION("""COMPUTED_VALUE"""),"A Saya ingin menyelesaikan sesuatu yang sangat penting artinya.")</f>
        <v>A Saya ingin menyelesaikan sesuatu yang sangat penting artinya.</v>
      </c>
      <c r="BQ147" s="105" t="str">
        <f>IFERROR(__xludf.DUMMYFUNCTION("""COMPUTED_VALUE"""),"B Saya ingin agar teman-teman menceritakan diri saya apabila saya sakit.")</f>
        <v>B Saya ingin agar teman-teman menceritakan diri saya apabila saya sakit.</v>
      </c>
      <c r="BR147" s="105" t="str">
        <f>IFERROR(__xludf.DUMMYFUNCTION("""COMPUTED_VALUE"""),"B Saya ingin agar teman-teman saya bersimpati dan menghibur saya bila saya sedih.")</f>
        <v>B Saya ingin agar teman-teman saya bersimpati dan menghibur saya bila saya sedih.</v>
      </c>
      <c r="BS147" s="105" t="str">
        <f>IFERROR(__xludf.DUMMYFUNCTION("""COMPUTED_VALUE"""),"B Saya ingin teman-teman saya membantu saya bila saya mengalami kesulitan")</f>
        <v>B Saya ingin teman-teman saya membantu saya bila saya mengalami kesulitan</v>
      </c>
      <c r="BT147" s="105" t="str">
        <f>IFERROR(__xludf.DUMMYFUNCTION("""COMPUTED_VALUE"""),"B Saya ingin teman-teman banyak menunjukkan rasa sayang mereka terhadap saya.")</f>
        <v>B Saya ingin teman-teman banyak menunjukkan rasa sayang mereka terhadap saya.</v>
      </c>
      <c r="BU147" s="105" t="str">
        <f>IFERROR(__xludf.DUMMYFUNCTION("""COMPUTED_VALUE"""),"A Saya kadang-kadang suka melakukan hal-hal yang dapat dipuji oleh orang lain.")</f>
        <v>A Saya kadang-kadang suka melakukan hal-hal yang dapat dipuji oleh orang lain.</v>
      </c>
      <c r="BV147" s="105" t="str">
        <f>IFERROR(__xludf.DUMMYFUNCTION("""COMPUTED_VALUE"""),"B Saya ingin teman-teman dengan gembira memberikan pertolongan kepada saya.")</f>
        <v>B Saya ingin teman-teman dengan gembira memberikan pertolongan kepada saya.</v>
      </c>
      <c r="BW147" s="105" t="str">
        <f>IFERROR(__xludf.DUMMYFUNCTION("""COMPUTED_VALUE"""),"A Saya akan menyerang pendapat yang bertentangan dengan pendirian saya.")</f>
        <v>A Saya akan menyerang pendapat yang bertentangan dengan pendirian saya.</v>
      </c>
      <c r="BX147" s="105" t="str">
        <f>IFERROR(__xludf.DUMMYFUNCTION("""COMPUTED_VALUE"""),"B Saya kadang-kadang suka melakukan hal-hal yang dapat dipuji oleh orang lain.")</f>
        <v>B Saya kadang-kadang suka melakukan hal-hal yang dapat dipuji oleh orang lain.</v>
      </c>
      <c r="BY147" s="105" t="str">
        <f>IFERROR(__xludf.DUMMYFUNCTION("""COMPUTED_VALUE"""),"A Saya suka melamun atau membayangkan hal-hal yang tidak jelas.")</f>
        <v>A Saya suka melamun atau membayangkan hal-hal yang tidak jelas.</v>
      </c>
      <c r="BZ147" s="105" t="str">
        <f>IFERROR(__xludf.DUMMYFUNCTION("""COMPUTED_VALUE"""),"A Saya suka berkata yang artinya sulit dipahami oleh orang lain.")</f>
        <v>A Saya suka berkata yang artinya sulit dipahami oleh orang lain.</v>
      </c>
      <c r="CA147" s="105" t="str">
        <f>IFERROR(__xludf.DUMMYFUNCTION("""COMPUTED_VALUE"""),"A Saya ingin teman-teman dengan gembira memberikan pertolongan kepada saya.")</f>
        <v>A Saya ingin teman-teman dengan gembira memberikan pertolongan kepada saya.</v>
      </c>
      <c r="CB147" s="105" t="str">
        <f>IFERROR(__xludf.DUMMYFUNCTION("""COMPUTED_VALUE"""),"B Saya suka berbicara tentang hal-hal yang telah saya capai.")</f>
        <v>B Saya suka berbicara tentang hal-hal yang telah saya capai.</v>
      </c>
      <c r="CC147" s="105" t="str">
        <f>IFERROR(__xludf.DUMMYFUNCTION("""COMPUTED_VALUE"""),"B Saya suka menceritakan hal-hal lucu agar diperhatikan oleh orang lain.")</f>
        <v>B Saya suka menceritakan hal-hal lucu agar diperhatikan oleh orang lain.</v>
      </c>
      <c r="CD147" s="105" t="str">
        <f>IFERROR(__xludf.DUMMYFUNCTION("""COMPUTED_VALUE"""),"A Saya suka menyelesaikan setiap tugas meskipun membutuhkan waktu lama.")</f>
        <v>A Saya suka menyelesaikan setiap tugas meskipun membutuhkan waktu lama.</v>
      </c>
      <c r="CE147" s="105" t="str">
        <f>IFERROR(__xludf.DUMMYFUNCTION("""COMPUTED_VALUE"""),"B Saya kadang-kadang suka melakukan hal-hal yang dapat dipuji oleh orang lain.")</f>
        <v>B Saya kadang-kadang suka melakukan hal-hal yang dapat dipuji oleh orang lain.</v>
      </c>
      <c r="CF147" s="105" t="str">
        <f>IFERROR(__xludf.DUMMYFUNCTION("""COMPUTED_VALUE"""),"B Saya ingin orang lain memperhatikan dan berkomentar tentang penampilan saya.")</f>
        <v>B Saya ingin orang lain memperhatikan dan berkomentar tentang penampilan saya.</v>
      </c>
      <c r="CG147" s="105" t="str">
        <f>IFERROR(__xludf.DUMMYFUNCTION("""COMPUTED_VALUE"""),"A Saya ingin berhasil dalam apa yang saya lakukan.")</f>
        <v>A Saya ingin berhasil dalam apa yang saya lakukan.</v>
      </c>
      <c r="CH147" s="105" t="str">
        <f>IFERROR(__xludf.DUMMYFUNCTION("""COMPUTED_VALUE"""),"B Saya suka dengan orang yang berpenampilan menarik.")</f>
        <v>B Saya suka dengan orang yang berpenampilan menarik.</v>
      </c>
      <c r="CI147" s="105" t="str">
        <f>IFERROR(__xludf.DUMMYFUNCTION("""COMPUTED_VALUE"""),"B Saya ingin dianggap menarik oleh orang lain.")</f>
        <v>B Saya ingin dianggap menarik oleh orang lain.</v>
      </c>
      <c r="CJ147" s="105" t="str">
        <f>IFERROR(__xludf.DUMMYFUNCTION("""COMPUTED_VALUE"""),"A Saya ingin tidak tergantung dari orang lain terhadap apa yang akan saya lakukan.")</f>
        <v>A Saya ingin tidak tergantung dari orang lain terhadap apa yang akan saya lakukan.</v>
      </c>
      <c r="CK147" s="105" t="str">
        <f>IFERROR(__xludf.DUMMYFUNCTION("""COMPUTED_VALUE"""),"B Saya senang ikut beraktivitas bersama teman sebaya saya.")</f>
        <v>B Saya senang ikut beraktivitas bersama teman sebaya saya.</v>
      </c>
      <c r="CL147" s="105" t="str">
        <f>IFERROR(__xludf.DUMMYFUNCTION("""COMPUTED_VALUE"""),"B Saya berkeinginan untuk bersama teman yang menurut saya menarik.")</f>
        <v>B Saya berkeinginan untuk bersama teman yang menurut saya menarik.</v>
      </c>
      <c r="CM147" s="105" t="str">
        <f>IFERROR(__xludf.DUMMYFUNCTION("""COMPUTED_VALUE"""),"B Saya merasa kagum pada seseorang.")</f>
        <v>B Saya merasa kagum pada seseorang.</v>
      </c>
      <c r="CN147" s="105" t="str">
        <f>IFERROR(__xludf.DUMMYFUNCTION("""COMPUTED_VALUE"""),"A Saya ingin diperlakukan dengan baik oleh teman-teman saya.")</f>
        <v>A Saya ingin diperlakukan dengan baik oleh teman-teman saya.</v>
      </c>
      <c r="CO147" s="105" t="str">
        <f>IFERROR(__xludf.DUMMYFUNCTION("""COMPUTED_VALUE"""),"B Saya suka memuji orang yang saya kagumi.")</f>
        <v>B Saya suka memuji orang yang saya kagumi.</v>
      </c>
      <c r="CP147" s="105" t="str">
        <f>IFERROR(__xludf.DUMMYFUNCTION("""COMPUTED_VALUE"""),"A Saya suka melamun atau membayangkan sesuatu sendirian.")</f>
        <v>A Saya suka melamun atau membayangkan sesuatu sendirian.</v>
      </c>
      <c r="CQ147" s="105" t="str">
        <f>IFERROR(__xludf.DUMMYFUNCTION("""COMPUTED_VALUE"""),"B Saya merasa kagum pada seseorang.")</f>
        <v>B Saya merasa kagum pada seseorang.</v>
      </c>
      <c r="CR147" s="105" t="str">
        <f>IFERROR(__xludf.DUMMYFUNCTION("""COMPUTED_VALUE"""),"B Saya rasanya ingin mengecam seseorang bila orang itu menjengkelkan.")</f>
        <v>B Saya rasanya ingin mengecam seseorang bila orang itu menjengkelkan.</v>
      </c>
      <c r="CS147" s="105" t="str">
        <f>IFERROR(__xludf.DUMMYFUNCTION("""COMPUTED_VALUE"""),"B Saya rasanya ingin membalas dendam bila seseorang menghina saya.")</f>
        <v>B Saya rasanya ingin membalas dendam bila seseorang menghina saya.</v>
      </c>
      <c r="CT147" s="105" t="str">
        <f>IFERROR(__xludf.DUMMYFUNCTION("""COMPUTED_VALUE"""),"B Saya saat marah rasanya ingin melemparkan dan merusak barang-barang.")</f>
        <v>B Saya saat marah rasanya ingin melemparkan dan merusak barang-barang.</v>
      </c>
      <c r="CU147" s="105" t="str">
        <f>IFERROR(__xludf.DUMMYFUNCTION("""COMPUTED_VALUE"""),"A Saya ingin diperlakukan dengan ramah oleh teman-teman saya.")</f>
        <v>A Saya ingin diperlakukan dengan ramah oleh teman-teman saya.</v>
      </c>
      <c r="CV147" s="105" t="str">
        <f>IFERROR(__xludf.DUMMYFUNCTION("""COMPUTED_VALUE"""),"B Saya menyerang pendirian-pendirian yang bertentangan dengan pendirian saya.")</f>
        <v>B Saya menyerang pendirian-pendirian yang bertentangan dengan pendirian saya.</v>
      </c>
      <c r="CW147" s="105" t="str">
        <f>IFERROR(__xludf.DUMMYFUNCTION("""COMPUTED_VALUE"""),"A Saya suka menolong teman-teman saya, apabila mereka dalam kesulitan.")</f>
        <v>A Saya suka menolong teman-teman saya, apabila mereka dalam kesulitan.</v>
      </c>
      <c r="CX147" s="105" t="str">
        <f>IFERROR(__xludf.DUMMYFUNCTION("""COMPUTED_VALUE"""),"A Saya suka belajar sampai malam untuk menyelesaikan suatu tugas.")</f>
        <v>A Saya suka belajar sampai malam untuk menyelesaikan suatu tugas.</v>
      </c>
      <c r="CY147" s="105" t="str">
        <f>IFERROR(__xludf.DUMMYFUNCTION("""COMPUTED_VALUE"""),"B Saya rasanya ingin membalas dendam bila seseorang menghina saya.")</f>
        <v>B Saya rasanya ingin membalas dendam bila seseorang menghina saya.</v>
      </c>
      <c r="CZ147" s="105" t="str">
        <f>IFERROR(__xludf.DUMMYFUNCTION("""COMPUTED_VALUE"""),"A Saya suka merencanakan dan mengatur setiap pekerjaan yang harus saya lakukan.")</f>
        <v>A Saya suka merencanakan dan mengatur setiap pekerjaan yang harus saya lakukan.</v>
      </c>
      <c r="DA147" s="105" t="str">
        <f>IFERROR(__xludf.DUMMYFUNCTION("""COMPUTED_VALUE"""),"A Saya ingin melakukan apa saja sebaik mungkin.")</f>
        <v>A Saya ingin melakukan apa saja sebaik mungkin.</v>
      </c>
      <c r="DB147" s="89" t="s">
        <v>23</v>
      </c>
      <c r="DC147" s="97" t="str">
        <f t="shared" ref="DC147:GX147" si="192">LEFT(F147,1)</f>
        <v>B</v>
      </c>
      <c r="DD147" s="97" t="str">
        <f t="shared" si="192"/>
        <v>B</v>
      </c>
      <c r="DE147" s="97" t="str">
        <f t="shared" si="192"/>
        <v>A</v>
      </c>
      <c r="DF147" s="97" t="str">
        <f t="shared" si="192"/>
        <v>A</v>
      </c>
      <c r="DG147" s="97" t="str">
        <f t="shared" si="192"/>
        <v>A</v>
      </c>
      <c r="DH147" s="97" t="str">
        <f t="shared" si="192"/>
        <v>B</v>
      </c>
      <c r="DI147" s="97" t="str">
        <f t="shared" si="192"/>
        <v>B</v>
      </c>
      <c r="DJ147" s="97" t="str">
        <f t="shared" si="192"/>
        <v>A</v>
      </c>
      <c r="DK147" s="97" t="str">
        <f t="shared" si="192"/>
        <v>A</v>
      </c>
      <c r="DL147" s="97" t="str">
        <f t="shared" si="192"/>
        <v>A</v>
      </c>
      <c r="DM147" s="97" t="str">
        <f t="shared" si="192"/>
        <v>A</v>
      </c>
      <c r="DN147" s="97" t="str">
        <f t="shared" si="192"/>
        <v>B</v>
      </c>
      <c r="DO147" s="97" t="str">
        <f t="shared" si="192"/>
        <v>B</v>
      </c>
      <c r="DP147" s="97" t="str">
        <f t="shared" si="192"/>
        <v>A</v>
      </c>
      <c r="DQ147" s="97" t="str">
        <f t="shared" si="192"/>
        <v>B</v>
      </c>
      <c r="DR147" s="97" t="str">
        <f t="shared" si="192"/>
        <v>A</v>
      </c>
      <c r="DS147" s="97" t="str">
        <f t="shared" si="192"/>
        <v>A</v>
      </c>
      <c r="DT147" s="97" t="str">
        <f t="shared" si="192"/>
        <v>A</v>
      </c>
      <c r="DU147" s="97" t="str">
        <f t="shared" si="192"/>
        <v>A</v>
      </c>
      <c r="DV147" s="97" t="str">
        <f t="shared" si="192"/>
        <v>B</v>
      </c>
      <c r="DW147" s="97" t="str">
        <f t="shared" si="192"/>
        <v>B</v>
      </c>
      <c r="DX147" s="97" t="str">
        <f t="shared" si="192"/>
        <v>B</v>
      </c>
      <c r="DY147" s="97" t="str">
        <f t="shared" si="192"/>
        <v>A</v>
      </c>
      <c r="DZ147" s="97" t="str">
        <f t="shared" si="192"/>
        <v>B</v>
      </c>
      <c r="EA147" s="97" t="str">
        <f t="shared" si="192"/>
        <v>B</v>
      </c>
      <c r="EB147" s="97" t="str">
        <f t="shared" si="192"/>
        <v>A</v>
      </c>
      <c r="EC147" s="97" t="str">
        <f t="shared" si="192"/>
        <v>A</v>
      </c>
      <c r="ED147" s="97" t="str">
        <f t="shared" si="192"/>
        <v>B</v>
      </c>
      <c r="EE147" s="97" t="str">
        <f t="shared" si="192"/>
        <v>A</v>
      </c>
      <c r="EF147" s="97" t="str">
        <f t="shared" si="192"/>
        <v>B</v>
      </c>
      <c r="EG147" s="97" t="str">
        <f t="shared" si="192"/>
        <v>A</v>
      </c>
      <c r="EH147" s="97" t="str">
        <f t="shared" si="192"/>
        <v>B</v>
      </c>
      <c r="EI147" s="97" t="str">
        <f t="shared" si="192"/>
        <v>A</v>
      </c>
      <c r="EJ147" s="97" t="str">
        <f t="shared" si="192"/>
        <v>A</v>
      </c>
      <c r="EK147" s="97" t="str">
        <f t="shared" si="192"/>
        <v>A</v>
      </c>
      <c r="EL147" s="97" t="str">
        <f t="shared" si="192"/>
        <v>A</v>
      </c>
      <c r="EM147" s="97" t="str">
        <f t="shared" si="192"/>
        <v>B</v>
      </c>
      <c r="EN147" s="97" t="str">
        <f t="shared" si="192"/>
        <v>A</v>
      </c>
      <c r="EO147" s="97" t="str">
        <f t="shared" si="192"/>
        <v>B</v>
      </c>
      <c r="EP147" s="97" t="str">
        <f t="shared" si="192"/>
        <v>A</v>
      </c>
      <c r="EQ147" s="97" t="str">
        <f t="shared" si="192"/>
        <v>B</v>
      </c>
      <c r="ER147" s="97" t="str">
        <f t="shared" si="192"/>
        <v>B</v>
      </c>
      <c r="ES147" s="97" t="str">
        <f t="shared" si="192"/>
        <v>A</v>
      </c>
      <c r="ET147" s="97" t="str">
        <f t="shared" si="192"/>
        <v>B</v>
      </c>
      <c r="EU147" s="97" t="str">
        <f t="shared" si="192"/>
        <v>A</v>
      </c>
      <c r="EV147" s="97" t="str">
        <f t="shared" si="192"/>
        <v>A</v>
      </c>
      <c r="EW147" s="97" t="str">
        <f t="shared" si="192"/>
        <v>A</v>
      </c>
      <c r="EX147" s="97" t="str">
        <f t="shared" si="192"/>
        <v>B</v>
      </c>
      <c r="EY147" s="97" t="str">
        <f t="shared" si="192"/>
        <v>A</v>
      </c>
      <c r="EZ147" s="97" t="str">
        <f t="shared" si="192"/>
        <v>B</v>
      </c>
      <c r="FA147" s="97" t="str">
        <f t="shared" si="192"/>
        <v>B</v>
      </c>
      <c r="FB147" s="97" t="str">
        <f t="shared" si="192"/>
        <v>A</v>
      </c>
      <c r="FC147" s="97" t="str">
        <f t="shared" si="192"/>
        <v>B</v>
      </c>
      <c r="FD147" s="97" t="str">
        <f t="shared" si="192"/>
        <v>A</v>
      </c>
      <c r="FE147" s="97" t="str">
        <f t="shared" si="192"/>
        <v>B</v>
      </c>
      <c r="FF147" s="97" t="str">
        <f t="shared" si="192"/>
        <v>A</v>
      </c>
      <c r="FG147" s="97" t="str">
        <f t="shared" si="192"/>
        <v>B</v>
      </c>
      <c r="FH147" s="97" t="str">
        <f t="shared" si="192"/>
        <v>B</v>
      </c>
      <c r="FI147" s="97" t="str">
        <f t="shared" si="192"/>
        <v>B</v>
      </c>
      <c r="FJ147" s="97" t="str">
        <f t="shared" si="192"/>
        <v>A</v>
      </c>
      <c r="FK147" s="97" t="str">
        <f t="shared" si="192"/>
        <v>B</v>
      </c>
      <c r="FL147" s="97" t="str">
        <f t="shared" si="192"/>
        <v>B</v>
      </c>
      <c r="FM147" s="97" t="str">
        <f t="shared" si="192"/>
        <v>A</v>
      </c>
      <c r="FN147" s="97" t="str">
        <f t="shared" si="192"/>
        <v>B</v>
      </c>
      <c r="FO147" s="97" t="str">
        <f t="shared" si="192"/>
        <v>B</v>
      </c>
      <c r="FP147" s="97" t="str">
        <f t="shared" si="192"/>
        <v>B</v>
      </c>
      <c r="FQ147" s="97" t="str">
        <f t="shared" si="192"/>
        <v>B</v>
      </c>
      <c r="FR147" s="97" t="str">
        <f t="shared" si="192"/>
        <v>A</v>
      </c>
      <c r="FS147" s="97" t="str">
        <f t="shared" si="192"/>
        <v>B</v>
      </c>
      <c r="FT147" s="97" t="str">
        <f t="shared" si="192"/>
        <v>A</v>
      </c>
      <c r="FU147" s="97" t="str">
        <f t="shared" si="192"/>
        <v>B</v>
      </c>
      <c r="FV147" s="97" t="str">
        <f t="shared" si="192"/>
        <v>A</v>
      </c>
      <c r="FW147" s="97" t="str">
        <f t="shared" si="192"/>
        <v>A</v>
      </c>
      <c r="FX147" s="97" t="str">
        <f t="shared" si="192"/>
        <v>A</v>
      </c>
      <c r="FY147" s="97" t="str">
        <f t="shared" si="192"/>
        <v>B</v>
      </c>
      <c r="FZ147" s="97" t="str">
        <f t="shared" si="192"/>
        <v>B</v>
      </c>
      <c r="GA147" s="97" t="str">
        <f t="shared" si="192"/>
        <v>A</v>
      </c>
      <c r="GB147" s="97" t="str">
        <f t="shared" si="192"/>
        <v>B</v>
      </c>
      <c r="GC147" s="97" t="str">
        <f t="shared" si="192"/>
        <v>B</v>
      </c>
      <c r="GD147" s="97" t="str">
        <f t="shared" si="192"/>
        <v>A</v>
      </c>
      <c r="GE147" s="97" t="str">
        <f t="shared" si="192"/>
        <v>B</v>
      </c>
      <c r="GF147" s="97" t="str">
        <f t="shared" si="192"/>
        <v>B</v>
      </c>
      <c r="GG147" s="97" t="str">
        <f t="shared" si="192"/>
        <v>A</v>
      </c>
      <c r="GH147" s="97" t="str">
        <f t="shared" si="192"/>
        <v>B</v>
      </c>
      <c r="GI147" s="97" t="str">
        <f t="shared" si="192"/>
        <v>B</v>
      </c>
      <c r="GJ147" s="97" t="str">
        <f t="shared" si="192"/>
        <v>B</v>
      </c>
      <c r="GK147" s="97" t="str">
        <f t="shared" si="192"/>
        <v>A</v>
      </c>
      <c r="GL147" s="97" t="str">
        <f t="shared" si="192"/>
        <v>B</v>
      </c>
      <c r="GM147" s="97" t="str">
        <f t="shared" si="192"/>
        <v>A</v>
      </c>
      <c r="GN147" s="97" t="str">
        <f t="shared" si="192"/>
        <v>B</v>
      </c>
      <c r="GO147" s="97" t="str">
        <f t="shared" si="192"/>
        <v>B</v>
      </c>
      <c r="GP147" s="97" t="str">
        <f t="shared" si="192"/>
        <v>B</v>
      </c>
      <c r="GQ147" s="97" t="str">
        <f t="shared" si="192"/>
        <v>B</v>
      </c>
      <c r="GR147" s="97" t="str">
        <f t="shared" si="192"/>
        <v>A</v>
      </c>
      <c r="GS147" s="97" t="str">
        <f t="shared" si="192"/>
        <v>B</v>
      </c>
      <c r="GT147" s="97" t="str">
        <f t="shared" si="192"/>
        <v>A</v>
      </c>
      <c r="GU147" s="97" t="str">
        <f t="shared" si="192"/>
        <v>A</v>
      </c>
      <c r="GV147" s="97" t="str">
        <f t="shared" si="192"/>
        <v>B</v>
      </c>
      <c r="GW147" s="97" t="str">
        <f t="shared" si="192"/>
        <v>A</v>
      </c>
      <c r="GX147" s="97" t="str">
        <f t="shared" si="192"/>
        <v>A</v>
      </c>
      <c r="GY147" s="98"/>
      <c r="GZ147" s="97">
        <f t="shared" si="3"/>
        <v>48</v>
      </c>
      <c r="HA147" s="97">
        <f t="shared" si="4"/>
        <v>52</v>
      </c>
      <c r="HB147" s="90">
        <f t="shared" si="5"/>
        <v>100</v>
      </c>
      <c r="HC147" s="99"/>
      <c r="HD147" s="97">
        <f t="shared" si="6"/>
        <v>4</v>
      </c>
      <c r="HE147" s="97">
        <f t="shared" si="7"/>
        <v>3</v>
      </c>
      <c r="HF147" s="90">
        <f t="shared" si="8"/>
        <v>7</v>
      </c>
      <c r="HG147" s="99"/>
      <c r="HH147" s="97">
        <f t="shared" si="9"/>
        <v>1</v>
      </c>
      <c r="HI147" s="97">
        <f t="shared" si="10"/>
        <v>4</v>
      </c>
      <c r="HJ147" s="90">
        <f t="shared" si="11"/>
        <v>5</v>
      </c>
      <c r="HK147" s="99"/>
      <c r="HL147" s="97">
        <f t="shared" si="12"/>
        <v>6</v>
      </c>
      <c r="HM147" s="97">
        <f t="shared" si="13"/>
        <v>6</v>
      </c>
      <c r="HN147" s="90">
        <f t="shared" si="14"/>
        <v>12</v>
      </c>
      <c r="HO147" s="99"/>
      <c r="HP147" s="97">
        <f t="shared" si="15"/>
        <v>4</v>
      </c>
      <c r="HQ147" s="97">
        <f t="shared" si="16"/>
        <v>3</v>
      </c>
      <c r="HR147" s="90">
        <f t="shared" si="17"/>
        <v>7</v>
      </c>
      <c r="HS147" s="99"/>
      <c r="HT147" s="97">
        <f t="shared" si="18"/>
        <v>5</v>
      </c>
      <c r="HU147" s="97">
        <f t="shared" si="19"/>
        <v>5</v>
      </c>
      <c r="HV147" s="90">
        <f t="shared" si="20"/>
        <v>10</v>
      </c>
      <c r="HW147" s="99"/>
      <c r="HX147" s="97">
        <f t="shared" si="21"/>
        <v>3</v>
      </c>
      <c r="HY147" s="97">
        <f t="shared" si="22"/>
        <v>6</v>
      </c>
      <c r="HZ147" s="90">
        <f t="shared" si="23"/>
        <v>9</v>
      </c>
      <c r="IA147" s="99"/>
      <c r="IB147" s="97">
        <f t="shared" si="24"/>
        <v>8</v>
      </c>
      <c r="IC147" s="97">
        <f t="shared" si="25"/>
        <v>7</v>
      </c>
      <c r="ID147" s="90">
        <f t="shared" si="26"/>
        <v>15</v>
      </c>
      <c r="IE147" s="99"/>
      <c r="IF147" s="97">
        <f t="shared" si="27"/>
        <v>3</v>
      </c>
      <c r="IG147" s="97">
        <f t="shared" si="28"/>
        <v>5</v>
      </c>
      <c r="IH147" s="90">
        <f t="shared" si="29"/>
        <v>8</v>
      </c>
      <c r="II147" s="99"/>
      <c r="IJ147" s="97">
        <f t="shared" si="30"/>
        <v>5</v>
      </c>
      <c r="IK147" s="97">
        <f t="shared" si="31"/>
        <v>7</v>
      </c>
      <c r="IL147" s="90">
        <f t="shared" si="32"/>
        <v>12</v>
      </c>
      <c r="IM147" s="99"/>
      <c r="IN147" s="97">
        <f t="shared" si="33"/>
        <v>4</v>
      </c>
      <c r="IO147" s="97">
        <f t="shared" si="34"/>
        <v>5</v>
      </c>
      <c r="IP147" s="90">
        <f t="shared" si="35"/>
        <v>9</v>
      </c>
      <c r="IS147" s="100">
        <f t="shared" si="36"/>
        <v>7</v>
      </c>
      <c r="IT147" s="100">
        <f t="shared" si="37"/>
        <v>5</v>
      </c>
      <c r="IU147" s="100">
        <f t="shared" si="38"/>
        <v>12</v>
      </c>
      <c r="IV147" s="100">
        <f t="shared" si="39"/>
        <v>7</v>
      </c>
      <c r="IW147" s="100">
        <f t="shared" si="40"/>
        <v>10</v>
      </c>
      <c r="IX147" s="100">
        <f t="shared" si="41"/>
        <v>9</v>
      </c>
      <c r="IY147" s="100">
        <f t="shared" si="42"/>
        <v>15</v>
      </c>
      <c r="IZ147" s="100">
        <f t="shared" si="43"/>
        <v>8</v>
      </c>
      <c r="JA147" s="100">
        <f t="shared" si="44"/>
        <v>12</v>
      </c>
      <c r="JB147" s="101">
        <f t="shared" si="45"/>
        <v>9</v>
      </c>
      <c r="JC147" s="102">
        <f t="shared" si="46"/>
        <v>94</v>
      </c>
      <c r="JD147" s="67">
        <f t="shared" si="50"/>
        <v>1</v>
      </c>
      <c r="JE147" s="67">
        <f t="shared" si="47"/>
        <v>2</v>
      </c>
      <c r="JF147" s="67">
        <f t="shared" si="48"/>
        <v>3</v>
      </c>
    </row>
    <row r="148">
      <c r="A148" s="104">
        <f>IFERROR(__xludf.DUMMYFUNCTION("""COMPUTED_VALUE"""),45974.78264913194)</f>
        <v>45974.78265</v>
      </c>
      <c r="B148" s="105" t="str">
        <f>IFERROR(__xludf.DUMMYFUNCTION("""COMPUTED_VALUE"""),"Abdurrahman Dihyah Arrobi")</f>
        <v>Abdurrahman Dihyah Arrobi</v>
      </c>
      <c r="C148" s="7" t="str">
        <f>IFERROR(__xludf.DUMMYFUNCTION("""COMPUTED_VALUE"""),"A250056")</f>
        <v>A250056</v>
      </c>
      <c r="D148" s="7" t="str">
        <f>IFERROR(__xludf.DUMMYFUNCTION("""COMPUTED_VALUE"""),"MTs Putra")</f>
        <v>MTs Putra</v>
      </c>
      <c r="E148" s="7" t="str">
        <f>IFERROR(__xludf.DUMMYFUNCTION("""COMPUTED_VALUE"""),"Ya")</f>
        <v>Ya</v>
      </c>
      <c r="F148" s="105" t="str">
        <f>IFERROR(__xludf.DUMMYFUNCTION("""COMPUTED_VALUE"""),"B Saya ingin melakukan apa saja sebaik mungkin.")</f>
        <v>B Saya ingin melakukan apa saja sebaik mungkin.</v>
      </c>
      <c r="G148" s="105" t="str">
        <f>IFERROR(__xludf.DUMMYFUNCTION("""COMPUTED_VALUE"""),"A Saya ingin setiap tulisan saya teliti, rapi, dan tersusun dengan baik.")</f>
        <v>A Saya ingin setiap tulisan saya teliti, rapi, dan tersusun dengan baik.</v>
      </c>
      <c r="H148" s="105" t="str">
        <f>IFERROR(__xludf.DUMMYFUNCTION("""COMPUTED_VALUE"""),"B Saya ingin menjadi orang yang diakui dalam suatu pekerjaan atau bidang khusus.")</f>
        <v>B Saya ingin menjadi orang yang diakui dalam suatu pekerjaan atau bidang khusus.</v>
      </c>
      <c r="I148" s="105" t="str">
        <f>IFERROR(__xludf.DUMMYFUNCTION("""COMPUTED_VALUE"""),"A Saya suka belajar keras pada tiap pelajaran yang saya hadapi.")</f>
        <v>A Saya suka belajar keras pada tiap pelajaran yang saya hadapi.</v>
      </c>
      <c r="J148" s="105" t="str">
        <f>IFERROR(__xludf.DUMMYFUNCTION("""COMPUTED_VALUE"""),"A Saya suka membantu teman-teman saya apabila mereka mengalami kesulitan.")</f>
        <v>A Saya suka membantu teman-teman saya apabila mereka mengalami kesulitan.</v>
      </c>
      <c r="K148" s="105" t="str">
        <f>IFERROR(__xludf.DUMMYFUNCTION("""COMPUTED_VALUE"""),"B Saya ingin mengatakan telah melakukan dengan baik sesuatu tugas yang sulit.")</f>
        <v>B Saya ingin mengatakan telah melakukan dengan baik sesuatu tugas yang sulit.</v>
      </c>
      <c r="L148" s="105" t="str">
        <f>IFERROR(__xludf.DUMMYFUNCTION("""COMPUTED_VALUE"""),"B Saya ingin mengatakan telah melakukan dengan baik sesuatu tugas yang sulit")</f>
        <v>B Saya ingin mengatakan telah melakukan dengan baik sesuatu tugas yang sulit</v>
      </c>
      <c r="M148" s="105" t="str">
        <f>IFERROR(__xludf.DUMMYFUNCTION("""COMPUTED_VALUE"""),"B Saya ingin mengerjakan segala tugas lebih baik daripada orang lain.")</f>
        <v>B Saya ingin mengerjakan segala tugas lebih baik daripada orang lain.</v>
      </c>
      <c r="N148" s="105" t="str">
        <f>IFERROR(__xludf.DUMMYFUNCTION("""COMPUTED_VALUE"""),"B Saya suka memecahkan persoalan yang sukar bagi orang lain.")</f>
        <v>B Saya suka memecahkan persoalan yang sukar bagi orang lain.</v>
      </c>
      <c r="O148" s="105" t="str">
        <f>IFERROR(__xludf.DUMMYFUNCTION("""COMPUTED_VALUE"""),"B Saya suka melakukan tugas sebaik mungkin.")</f>
        <v>B Saya suka melakukan tugas sebaik mungkin.</v>
      </c>
      <c r="P148" s="105" t="str">
        <f>IFERROR(__xludf.DUMMYFUNCTION("""COMPUTED_VALUE"""),"B Saya ingin setiap belajar itu teratur dan direncanakan.")</f>
        <v>B Saya ingin setiap belajar itu teratur dan direncanakan.</v>
      </c>
      <c r="Q148" s="105" t="str">
        <f>IFERROR(__xludf.DUMMYFUNCTION("""COMPUTED_VALUE"""),"B Saya merencanakan keperluan yang dibutuhkan sebelum bepergian.")</f>
        <v>B Saya merencanakan keperluan yang dibutuhkan sebelum bepergian.</v>
      </c>
      <c r="R148" s="105" t="str">
        <f>IFERROR(__xludf.DUMMYFUNCTION("""COMPUTED_VALUE"""),"B Saya suka barang-barang saya tersusun rapi dan teratur.")</f>
        <v>B Saya suka barang-barang saya tersusun rapi dan teratur.</v>
      </c>
      <c r="S148" s="105" t="str">
        <f>IFERROR(__xludf.DUMMYFUNCTION("""COMPUTED_VALUE"""),"B Saya suka membuat perencanaan sebelum memulai tugas yang sulit.")</f>
        <v>B Saya suka membuat perencanaan sebelum memulai tugas yang sulit.</v>
      </c>
      <c r="T148" s="105" t="str">
        <f>IFERROR(__xludf.DUMMYFUNCTION("""COMPUTED_VALUE"""),"B Saya ingin agar hidup saya teratur sesuai cita-cita saya.")</f>
        <v>B Saya ingin agar hidup saya teratur sesuai cita-cita saya.</v>
      </c>
      <c r="U148" s="105" t="str">
        <f>IFERROR(__xludf.DUMMYFUNCTION("""COMPUTED_VALUE"""),"B Saya suka menyimpan catatan secara rapi.")</f>
        <v>B Saya suka menyimpan catatan secara rapi.</v>
      </c>
      <c r="V148" s="105" t="str">
        <f>IFERROR(__xludf.DUMMYFUNCTION("""COMPUTED_VALUE"""),"B Saya suka belajar saya teratur dan ada waktu-waktu tertentu untuk belajar.")</f>
        <v>B Saya suka belajar saya teratur dan ada waktu-waktu tertentu untuk belajar.</v>
      </c>
      <c r="W148" s="105" t="str">
        <f>IFERROR(__xludf.DUMMYFUNCTION("""COMPUTED_VALUE"""),"B Saya ingin kegiatan itu teratur dan direncanakan.")</f>
        <v>B Saya ingin kegiatan itu teratur dan direncanakan.</v>
      </c>
      <c r="X148" s="105" t="str">
        <f>IFERROR(__xludf.DUMMYFUNCTION("""COMPUTED_VALUE"""),"A Saya suka merencanakan dan mengatur setiap apa yang harus saya lakukan.")</f>
        <v>A Saya suka merencanakan dan mengatur setiap apa yang harus saya lakukan.</v>
      </c>
      <c r="Y148" s="105" t="str">
        <f>IFERROR(__xludf.DUMMYFUNCTION("""COMPUTED_VALUE"""),"A Saya suka menyelesaikan tugas-tugas yang membutuhkan ketrampilan dan usaha.")</f>
        <v>A Saya suka menyelesaikan tugas-tugas yang membutuhkan ketrampilan dan usaha.</v>
      </c>
      <c r="Z148" s="105" t="str">
        <f>IFERROR(__xludf.DUMMYFUNCTION("""COMPUTED_VALUE"""),"A Saya ingin berhasil dengan belajar yang saya lakukan.")</f>
        <v>A Saya ingin berhasil dengan belajar yang saya lakukan.</v>
      </c>
      <c r="AA148" s="105" t="str">
        <f>IFERROR(__xludf.DUMMYFUNCTION("""COMPUTED_VALUE"""),"A Saya suka menyelesaikan tugas yang telah saya rencanakan.")</f>
        <v>A Saya suka menyelesaikan tugas yang telah saya rencanakan.</v>
      </c>
      <c r="AB148" s="105" t="str">
        <f>IFERROR(__xludf.DUMMYFUNCTION("""COMPUTED_VALUE"""),"B Saya ingin menyelesaikan pekerjaan satu persatu sebelum memulai yang lain.")</f>
        <v>B Saya ingin menyelesaikan pekerjaan satu persatu sebelum memulai yang lain.</v>
      </c>
      <c r="AC148" s="105" t="str">
        <f>IFERROR(__xludf.DUMMYFUNCTION("""COMPUTED_VALUE"""),"A Saya suka menyelesaikan setiap tugas meskipun membutuhkan waktu lama.")</f>
        <v>A Saya suka menyelesaikan setiap tugas meskipun membutuhkan waktu lama.</v>
      </c>
      <c r="AD148" s="105" t="str">
        <f>IFERROR(__xludf.DUMMYFUNCTION("""COMPUTED_VALUE"""),"A Saya suka bermurah hati terhadap teman-teman saya.")</f>
        <v>A Saya suka bermurah hati terhadap teman-teman saya.</v>
      </c>
      <c r="AE148" s="105" t="str">
        <f>IFERROR(__xludf.DUMMYFUNCTION("""COMPUTED_VALUE"""),"A Saya ingin dianggap sebagai pemimpin oleh teman di kelompok.")</f>
        <v>A Saya ingin dianggap sebagai pemimpin oleh teman di kelompok.</v>
      </c>
      <c r="AF148" s="105" t="str">
        <f>IFERROR(__xludf.DUMMYFUNCTION("""COMPUTED_VALUE"""),"B Saya suka melakukan hal-hal dengan cara saya sendiri.")</f>
        <v>B Saya suka melakukan hal-hal dengan cara saya sendiri.</v>
      </c>
      <c r="AG148" s="105" t="str">
        <f>IFERROR(__xludf.DUMMYFUNCTION("""COMPUTED_VALUE"""),"B Saya ingin berhasil dengan tugas yang saya lakukan.")</f>
        <v>B Saya ingin berhasil dengan tugas yang saya lakukan.</v>
      </c>
      <c r="AH148" s="105" t="str">
        <f>IFERROR(__xludf.DUMMYFUNCTION("""COMPUTED_VALUE"""),"A Saya suka membaca buku-buku tentang pergaulan remaja.")</f>
        <v>A Saya suka membaca buku-buku tentang pergaulan remaja.</v>
      </c>
      <c r="AI148" s="105" t="str">
        <f>IFERROR(__xludf.DUMMYFUNCTION("""COMPUTED_VALUE"""),"B Saya suka melakukan kegiatan sesuai kondisi yang saya inginkan.")</f>
        <v>B Saya suka melakukan kegiatan sesuai kondisi yang saya inginkan.</v>
      </c>
      <c r="AJ148" s="105" t="str">
        <f>IFERROR(__xludf.DUMMYFUNCTION("""COMPUTED_VALUE"""),"B Saya suka bertahan menghadapi satu masalah meskipun belum tentu berhasil.")</f>
        <v>B Saya suka bertahan menghadapi satu masalah meskipun belum tentu berhasil.</v>
      </c>
      <c r="AK148" s="105" t="str">
        <f>IFERROR(__xludf.DUMMYFUNCTION("""COMPUTED_VALUE"""),"B Bila saya harus melakukan suatu tugas, saya ingin mengerjakan sampai selesai.")</f>
        <v>B Bila saya harus melakukan suatu tugas, saya ingin mengerjakan sampai selesai.</v>
      </c>
      <c r="AL148" s="105" t="str">
        <f>IFERROR(__xludf.DUMMYFUNCTION("""COMPUTED_VALUE"""),"B Saya ingin menghindarkan gangguan bila saya sedang belajar.")</f>
        <v>B Saya ingin menghindarkan gangguan bila saya sedang belajar.</v>
      </c>
      <c r="AM148" s="105" t="str">
        <f>IFERROR(__xludf.DUMMYFUNCTION("""COMPUTED_VALUE"""),"B Saya suka belajar sampai malam untuk menyelesaikan suatu tugas.")</f>
        <v>B Saya suka belajar sampai malam untuk menyelesaikan suatu tugas.</v>
      </c>
      <c r="AN148" s="105" t="str">
        <f>IFERROR(__xludf.DUMMYFUNCTION("""COMPUTED_VALUE"""),"A Saya tidak suka pada orang yang semena-mena.")</f>
        <v>A Saya tidak suka pada orang yang semena-mena.</v>
      </c>
      <c r="AO148" s="105" t="str">
        <f>IFERROR(__xludf.DUMMYFUNCTION("""COMPUTED_VALUE"""),"A Saya suka berlaku sangat ramah terhadap teman-teman saya.")</f>
        <v>A Saya suka berlaku sangat ramah terhadap teman-teman saya.</v>
      </c>
      <c r="AP148" s="105" t="str">
        <f>IFERROR(__xludf.DUMMYFUNCTION("""COMPUTED_VALUE"""),"B Saya suka bertahan menghadapi satu masalah meskipun belum tentu berhasil.")</f>
        <v>B Saya suka bertahan menghadapi satu masalah meskipun belum tentu berhasil.</v>
      </c>
      <c r="AQ148" s="105" t="str">
        <f>IFERROR(__xludf.DUMMYFUNCTION("""COMPUTED_VALUE"""),"A Saya ingin bisa mengerjakan segala sesuatu lebih baik daripada orang-orang lain.")</f>
        <v>A Saya ingin bisa mengerjakan segala sesuatu lebih baik daripada orang-orang lain.</v>
      </c>
      <c r="AR148" s="105" t="str">
        <f>IFERROR(__xludf.DUMMYFUNCTION("""COMPUTED_VALUE"""),"B Saya suka belajar keras pada tiap pelajaran yang saya hadapi.")</f>
        <v>B Saya suka belajar keras pada tiap pelajaran yang saya hadapi.</v>
      </c>
      <c r="AS148" s="105" t="str">
        <f>IFERROR(__xludf.DUMMYFUNCTION("""COMPUTED_VALUE"""),"A Saya ingin dapat menyelesaikan persoalan yang dianggap sukar bagi orang lain.")</f>
        <v>A Saya ingin dapat menyelesaikan persoalan yang dianggap sukar bagi orang lain.</v>
      </c>
      <c r="AT148" s="105" t="str">
        <f>IFERROR(__xludf.DUMMYFUNCTION("""COMPUTED_VALUE"""),"A Saya ingin bisa melakukan dengan baik sesuatu pekerjaan sulit.")</f>
        <v>A Saya ingin bisa melakukan dengan baik sesuatu pekerjaan sulit.</v>
      </c>
      <c r="AU148" s="105" t="str">
        <f>IFERROR(__xludf.DUMMYFUNCTION("""COMPUTED_VALUE"""),"B Saya suka bermurah hati terhadap teman-teman saya.")</f>
        <v>B Saya suka bermurah hati terhadap teman-teman saya.</v>
      </c>
      <c r="AV148" s="105" t="str">
        <f>IFERROR(__xludf.DUMMYFUNCTION("""COMPUTED_VALUE"""),"B Saya suka menolong teman-teman saya.")</f>
        <v>B Saya suka menolong teman-teman saya.</v>
      </c>
      <c r="AW148" s="105" t="str">
        <f>IFERROR(__xludf.DUMMYFUNCTION("""COMPUTED_VALUE"""),"B Saya ingin teman-teman saya percaya bahwa saya bisa menolong mereka.")</f>
        <v>B Saya ingin teman-teman saya percaya bahwa saya bisa menolong mereka.</v>
      </c>
      <c r="AX148" s="105" t="str">
        <f>IFERROR(__xludf.DUMMYFUNCTION("""COMPUTED_VALUE"""),"B Saya suka memaafkan teman-teman saya yang menyakiti hati saya.")</f>
        <v>B Saya suka memaafkan teman-teman saya yang menyakiti hati saya.</v>
      </c>
      <c r="AY148" s="105" t="str">
        <f>IFERROR(__xludf.DUMMYFUNCTION("""COMPUTED_VALUE"""),"B Saya suka menolong teman-teman saya apabila mereka dalam kesulitan.")</f>
        <v>B Saya suka menolong teman-teman saya apabila mereka dalam kesulitan.</v>
      </c>
      <c r="AZ148" s="105" t="str">
        <f>IFERROR(__xludf.DUMMYFUNCTION("""COMPUTED_VALUE"""),"A Saya ingin agar teman-teman saya bersimpati dan menghibur saya bila saya sedih.")</f>
        <v>A Saya ingin agar teman-teman saya bersimpati dan menghibur saya bila saya sedih.</v>
      </c>
      <c r="BA148" s="105" t="str">
        <f>IFERROR(__xludf.DUMMYFUNCTION("""COMPUTED_VALUE"""),"B Saya suka memperlakukan orang lain dengan baik dan ramah.")</f>
        <v>B Saya suka memperlakukan orang lain dengan baik dan ramah.</v>
      </c>
      <c r="BB148" s="105" t="str">
        <f>IFERROR(__xludf.DUMMYFUNCTION("""COMPUTED_VALUE"""),"B Saya suka bermurah hati terhadap teman-teman saya.")</f>
        <v>B Saya suka bermurah hati terhadap teman-teman saya.</v>
      </c>
      <c r="BC148" s="105" t="str">
        <f>IFERROR(__xludf.DUMMYFUNCTION("""COMPUTED_VALUE"""),"B Saya suka membantu orang lain yang menurut saya perlu dikasihani.")</f>
        <v>B Saya suka membantu orang lain yang menurut saya perlu dikasihani.</v>
      </c>
      <c r="BD148" s="105" t="str">
        <f>IFERROR(__xludf.DUMMYFUNCTION("""COMPUTED_VALUE"""),"B Saya suka bersikukuh dengan pendirian saya.")</f>
        <v>B Saya suka bersikukuh dengan pendirian saya.</v>
      </c>
      <c r="BE148" s="105" t="str">
        <f>IFERROR(__xludf.DUMMYFUNCTION("""COMPUTED_VALUE"""),"B Saya ingin orang lain melakukan apa yang saya kehendaki.")</f>
        <v>B Saya ingin orang lain melakukan apa yang saya kehendaki.</v>
      </c>
      <c r="BF148" s="105" t="str">
        <f>IFERROR(__xludf.DUMMYFUNCTION("""COMPUTED_VALUE"""),"B Bila saya dalam kelompok, saya ingin menentukan apa yang akan kita lakukan.")</f>
        <v>B Bila saya dalam kelompok, saya ingin menentukan apa yang akan kita lakukan.</v>
      </c>
      <c r="BG148" s="105" t="str">
        <f>IFERROR(__xludf.DUMMYFUNCTION("""COMPUTED_VALUE"""),"A Saya ingin teman-teman banyak menunjukkan rasa sayang mereka terhadap saya.")</f>
        <v>A Saya ingin teman-teman banyak menunjukkan rasa sayang mereka terhadap saya.</v>
      </c>
      <c r="BH148" s="105" t="str">
        <f>IFERROR(__xludf.DUMMYFUNCTION("""COMPUTED_VALUE"""),"B Apabila saya berkumpul dalam kelompok, saya ingin dihargai teman-teman.")</f>
        <v>B Apabila saya berkumpul dalam kelompok, saya ingin dihargai teman-teman.</v>
      </c>
      <c r="BI148" s="105" t="str">
        <f>IFERROR(__xludf.DUMMYFUNCTION("""COMPUTED_VALUE"""),"A Saya suka bermurah hati terhadap teman-teman saya.")</f>
        <v>A Saya suka bermurah hati terhadap teman-teman saya.</v>
      </c>
      <c r="BJ148" s="105" t="str">
        <f>IFERROR(__xludf.DUMMYFUNCTION("""COMPUTED_VALUE"""),"A Saya ingin mengerjakan tugas sampai selesai.")</f>
        <v>A Saya ingin mengerjakan tugas sampai selesai.</v>
      </c>
      <c r="BK148" s="105" t="str">
        <f>IFERROR(__xludf.DUMMYFUNCTION("""COMPUTED_VALUE"""),"A Saya ingin menyelesaikan pekerjaan satu persatu sebelum memulai yang lain.")</f>
        <v>A Saya ingin menyelesaikan pekerjaan satu persatu sebelum memulai yang lain.</v>
      </c>
      <c r="BL148" s="105" t="str">
        <f>IFERROR(__xludf.DUMMYFUNCTION("""COMPUTED_VALUE"""),"A Saya suka belajar saya teratur dan ada waktu-waktu tertentu untuk belajar.")</f>
        <v>A Saya suka belajar saya teratur dan ada waktu-waktu tertentu untuk belajar.</v>
      </c>
      <c r="BM148" s="105" t="str">
        <f>IFERROR(__xludf.DUMMYFUNCTION("""COMPUTED_VALUE"""),"A Saya suka melakukan pekerjaan sebaik mungkin.")</f>
        <v>A Saya suka melakukan pekerjaan sebaik mungkin.</v>
      </c>
      <c r="BN148" s="105" t="str">
        <f>IFERROR(__xludf.DUMMYFUNCTION("""COMPUTED_VALUE"""),"A Saya suka mengerjakan teka-teki atau memecahkan persoalan sampai selesai.")</f>
        <v>A Saya suka mengerjakan teka-teki atau memecahkan persoalan sampai selesai.</v>
      </c>
      <c r="BO148" s="105" t="str">
        <f>IFERROR(__xludf.DUMMYFUNCTION("""COMPUTED_VALUE"""),"B Saya ingin diperlakukan dengan baik oleh teman-teman saya.")</f>
        <v>B Saya ingin diperlakukan dengan baik oleh teman-teman saya.</v>
      </c>
      <c r="BP148" s="105" t="str">
        <f>IFERROR(__xludf.DUMMYFUNCTION("""COMPUTED_VALUE"""),"A Saya ingin menyelesaikan sesuatu yang sangat penting artinya.")</f>
        <v>A Saya ingin menyelesaikan sesuatu yang sangat penting artinya.</v>
      </c>
      <c r="BQ148" s="105" t="str">
        <f>IFERROR(__xludf.DUMMYFUNCTION("""COMPUTED_VALUE"""),"A Saya ingin mengerjakannya tugas sampai selesai.")</f>
        <v>A Saya ingin mengerjakannya tugas sampai selesai.</v>
      </c>
      <c r="BR148" s="105" t="str">
        <f>IFERROR(__xludf.DUMMYFUNCTION("""COMPUTED_VALUE"""),"A Saya suka memaafkan teman-teman saya yang menyakiti hati saya.")</f>
        <v>A Saya suka memaafkan teman-teman saya yang menyakiti hati saya.</v>
      </c>
      <c r="BS148" s="105" t="str">
        <f>IFERROR(__xludf.DUMMYFUNCTION("""COMPUTED_VALUE"""),"B Saya ingin teman-teman saya membantu saya bila saya mengalami kesulitan")</f>
        <v>B Saya ingin teman-teman saya membantu saya bila saya mengalami kesulitan</v>
      </c>
      <c r="BT148" s="105" t="str">
        <f>IFERROR(__xludf.DUMMYFUNCTION("""COMPUTED_VALUE"""),"B Saya ingin teman-teman banyak menunjukkan rasa sayang mereka terhadap saya.")</f>
        <v>B Saya ingin teman-teman banyak menunjukkan rasa sayang mereka terhadap saya.</v>
      </c>
      <c r="BU148" s="105" t="str">
        <f>IFERROR(__xludf.DUMMYFUNCTION("""COMPUTED_VALUE"""),"A Saya kadang-kadang suka melakukan hal-hal yang dapat dipuji oleh orang lain.")</f>
        <v>A Saya kadang-kadang suka melakukan hal-hal yang dapat dipuji oleh orang lain.</v>
      </c>
      <c r="BV148" s="105" t="str">
        <f>IFERROR(__xludf.DUMMYFUNCTION("""COMPUTED_VALUE"""),"B Saya ingin teman-teman dengan gembira memberikan pertolongan kepada saya.")</f>
        <v>B Saya ingin teman-teman dengan gembira memberikan pertolongan kepada saya.</v>
      </c>
      <c r="BW148" s="105" t="str">
        <f>IFERROR(__xludf.DUMMYFUNCTION("""COMPUTED_VALUE"""),"B Saya ingin diperlakukan dengan baik oleh teman-teman saya.")</f>
        <v>B Saya ingin diperlakukan dengan baik oleh teman-teman saya.</v>
      </c>
      <c r="BX148" s="105" t="str">
        <f>IFERROR(__xludf.DUMMYFUNCTION("""COMPUTED_VALUE"""),"B Saya kadang-kadang suka melakukan hal-hal yang dapat dipuji oleh orang lain.")</f>
        <v>B Saya kadang-kadang suka melakukan hal-hal yang dapat dipuji oleh orang lain.</v>
      </c>
      <c r="BY148" s="105" t="str">
        <f>IFERROR(__xludf.DUMMYFUNCTION("""COMPUTED_VALUE"""),"B Saya ingin orang lain memperhatikan dan berkomentar tentang penampilan saya.")</f>
        <v>B Saya ingin orang lain memperhatikan dan berkomentar tentang penampilan saya.</v>
      </c>
      <c r="BZ148" s="105" t="str">
        <f>IFERROR(__xludf.DUMMYFUNCTION("""COMPUTED_VALUE"""),"B Saya suka diperhatikan, apabila saya ada di dalam suatu kelompok.")</f>
        <v>B Saya suka diperhatikan, apabila saya ada di dalam suatu kelompok.</v>
      </c>
      <c r="CA148" s="105" t="str">
        <f>IFERROR(__xludf.DUMMYFUNCTION("""COMPUTED_VALUE"""),"A Saya ingin teman-teman dengan gembira memberikan pertolongan kepada saya.")</f>
        <v>A Saya ingin teman-teman dengan gembira memberikan pertolongan kepada saya.</v>
      </c>
      <c r="CB148" s="105" t="str">
        <f>IFERROR(__xludf.DUMMYFUNCTION("""COMPUTED_VALUE"""),"B Saya suka berbicara tentang hal-hal yang telah saya capai.")</f>
        <v>B Saya suka berbicara tentang hal-hal yang telah saya capai.</v>
      </c>
      <c r="CC148" s="105" t="str">
        <f>IFERROR(__xludf.DUMMYFUNCTION("""COMPUTED_VALUE"""),"A Apabila saya berkumpul dalam kelompok, saya ingin dihargai teman-teman.")</f>
        <v>A Apabila saya berkumpul dalam kelompok, saya ingin dihargai teman-teman.</v>
      </c>
      <c r="CD148" s="105" t="str">
        <f>IFERROR(__xludf.DUMMYFUNCTION("""COMPUTED_VALUE"""),"A Saya suka menyelesaikan setiap tugas meskipun membutuhkan waktu lama.")</f>
        <v>A Saya suka menyelesaikan setiap tugas meskipun membutuhkan waktu lama.</v>
      </c>
      <c r="CE148" s="105" t="str">
        <f>IFERROR(__xludf.DUMMYFUNCTION("""COMPUTED_VALUE"""),"A Saya suka menyelesaikan setiap tugas belajar yang telah saya mulai.")</f>
        <v>A Saya suka menyelesaikan setiap tugas belajar yang telah saya mulai.</v>
      </c>
      <c r="CF148" s="105" t="str">
        <f>IFERROR(__xludf.DUMMYFUNCTION("""COMPUTED_VALUE"""),"A Saya ingin agar hidup saya teratur sesuai cita-cita saya.")</f>
        <v>A Saya ingin agar hidup saya teratur sesuai cita-cita saya.</v>
      </c>
      <c r="CG148" s="105" t="str">
        <f>IFERROR(__xludf.DUMMYFUNCTION("""COMPUTED_VALUE"""),"A Saya ingin berhasil dalam apa yang saya lakukan.")</f>
        <v>A Saya ingin berhasil dalam apa yang saya lakukan.</v>
      </c>
      <c r="CH148" s="105" t="str">
        <f>IFERROR(__xludf.DUMMYFUNCTION("""COMPUTED_VALUE"""),"A Saya ingin bisa melakukan dengan baik sesuatu pekerjaan sulit.")</f>
        <v>A Saya ingin bisa melakukan dengan baik sesuatu pekerjaan sulit.</v>
      </c>
      <c r="CI148" s="105" t="str">
        <f>IFERROR(__xludf.DUMMYFUNCTION("""COMPUTED_VALUE"""),"A Saya suka belajar saya teratur dan ada waktu-waktu tertentu untuk belajar.")</f>
        <v>A Saya suka belajar saya teratur dan ada waktu-waktu tertentu untuk belajar.</v>
      </c>
      <c r="CJ148" s="105" t="str">
        <f>IFERROR(__xludf.DUMMYFUNCTION("""COMPUTED_VALUE"""),"A Saya ingin tidak tergantung dari orang lain terhadap apa yang akan saya lakukan.")</f>
        <v>A Saya ingin tidak tergantung dari orang lain terhadap apa yang akan saya lakukan.</v>
      </c>
      <c r="CK148" s="105" t="str">
        <f>IFERROR(__xludf.DUMMYFUNCTION("""COMPUTED_VALUE"""),"B Saya senang ikut beraktivitas bersama teman sebaya saya.")</f>
        <v>B Saya senang ikut beraktivitas bersama teman sebaya saya.</v>
      </c>
      <c r="CL148" s="105" t="str">
        <f>IFERROR(__xludf.DUMMYFUNCTION("""COMPUTED_VALUE"""),"A Saya suka menolong teman-teman saya, apabila mereka dalam kesulitan.")</f>
        <v>A Saya suka menolong teman-teman saya, apabila mereka dalam kesulitan.</v>
      </c>
      <c r="CM148" s="105" t="str">
        <f>IFERROR(__xludf.DUMMYFUNCTION("""COMPUTED_VALUE"""),"B Saya merasa kagum pada seseorang.")</f>
        <v>B Saya merasa kagum pada seseorang.</v>
      </c>
      <c r="CN148" s="105" t="str">
        <f>IFERROR(__xludf.DUMMYFUNCTION("""COMPUTED_VALUE"""),"A Saya ingin diperlakukan dengan baik oleh teman-teman saya.")</f>
        <v>A Saya ingin diperlakukan dengan baik oleh teman-teman saya.</v>
      </c>
      <c r="CO148" s="105" t="str">
        <f>IFERROR(__xludf.DUMMYFUNCTION("""COMPUTED_VALUE"""),"B Saya suka memuji orang yang saya kagumi.")</f>
        <v>B Saya suka memuji orang yang saya kagumi.</v>
      </c>
      <c r="CP148" s="105" t="str">
        <f>IFERROR(__xludf.DUMMYFUNCTION("""COMPUTED_VALUE"""),"B Saya ingin dianggap menarik oleh orang lain.")</f>
        <v>B Saya ingin dianggap menarik oleh orang lain.</v>
      </c>
      <c r="CQ148" s="105" t="str">
        <f>IFERROR(__xludf.DUMMYFUNCTION("""COMPUTED_VALUE"""),"B Saya merasa kagum pada seseorang.")</f>
        <v>B Saya merasa kagum pada seseorang.</v>
      </c>
      <c r="CR148" s="105" t="str">
        <f>IFERROR(__xludf.DUMMYFUNCTION("""COMPUTED_VALUE"""),"B Saya rasanya ingin mengecam seseorang bila orang itu menjengkelkan.")</f>
        <v>B Saya rasanya ingin mengecam seseorang bila orang itu menjengkelkan.</v>
      </c>
      <c r="CS148" s="105" t="str">
        <f>IFERROR(__xludf.DUMMYFUNCTION("""COMPUTED_VALUE"""),"A Saya ingin terlihat menarik di depan teman-teman saya.")</f>
        <v>A Saya ingin terlihat menarik di depan teman-teman saya.</v>
      </c>
      <c r="CT148" s="105" t="str">
        <f>IFERROR(__xludf.DUMMYFUNCTION("""COMPUTED_VALUE"""),"A Saya ingin orang-orang memperhatikan komentar mengenai penampilan saya.")</f>
        <v>A Saya ingin orang-orang memperhatikan komentar mengenai penampilan saya.</v>
      </c>
      <c r="CU148" s="105" t="str">
        <f>IFERROR(__xludf.DUMMYFUNCTION("""COMPUTED_VALUE"""),"A Saya ingin diperlakukan dengan ramah oleh teman-teman saya.")</f>
        <v>A Saya ingin diperlakukan dengan ramah oleh teman-teman saya.</v>
      </c>
      <c r="CV148" s="105" t="str">
        <f>IFERROR(__xludf.DUMMYFUNCTION("""COMPUTED_VALUE"""),"A Saya ingin ditunjuk atau dipilih sebagai ketua dalam suatu kelompok.")</f>
        <v>A Saya ingin ditunjuk atau dipilih sebagai ketua dalam suatu kelompok.</v>
      </c>
      <c r="CW148" s="105" t="str">
        <f>IFERROR(__xludf.DUMMYFUNCTION("""COMPUTED_VALUE"""),"A Saya suka menolong teman-teman saya, apabila mereka dalam kesulitan.")</f>
        <v>A Saya suka menolong teman-teman saya, apabila mereka dalam kesulitan.</v>
      </c>
      <c r="CX148" s="105" t="str">
        <f>IFERROR(__xludf.DUMMYFUNCTION("""COMPUTED_VALUE"""),"A Saya suka belajar sampai malam untuk menyelesaikan suatu tugas.")</f>
        <v>A Saya suka belajar sampai malam untuk menyelesaikan suatu tugas.</v>
      </c>
      <c r="CY148" s="105" t="str">
        <f>IFERROR(__xludf.DUMMYFUNCTION("""COMPUTED_VALUE"""),"A Saya ingin tidak tergantung dari orang lain terhadap apa yang akan saya lakukan.")</f>
        <v>A Saya ingin tidak tergantung dari orang lain terhadap apa yang akan saya lakukan.</v>
      </c>
      <c r="CZ148" s="105" t="str">
        <f>IFERROR(__xludf.DUMMYFUNCTION("""COMPUTED_VALUE"""),"A Saya suka merencanakan dan mengatur setiap pekerjaan yang harus saya lakukan.")</f>
        <v>A Saya suka merencanakan dan mengatur setiap pekerjaan yang harus saya lakukan.</v>
      </c>
      <c r="DA148" s="105" t="str">
        <f>IFERROR(__xludf.DUMMYFUNCTION("""COMPUTED_VALUE"""),"A Saya ingin melakukan apa saja sebaik mungkin.")</f>
        <v>A Saya ingin melakukan apa saja sebaik mungkin.</v>
      </c>
      <c r="DB148" s="89" t="s">
        <v>23</v>
      </c>
      <c r="DC148" s="97" t="str">
        <f t="shared" ref="DC148:GX148" si="193">LEFT(F148,1)</f>
        <v>B</v>
      </c>
      <c r="DD148" s="97" t="str">
        <f t="shared" si="193"/>
        <v>A</v>
      </c>
      <c r="DE148" s="97" t="str">
        <f t="shared" si="193"/>
        <v>B</v>
      </c>
      <c r="DF148" s="97" t="str">
        <f t="shared" si="193"/>
        <v>A</v>
      </c>
      <c r="DG148" s="97" t="str">
        <f t="shared" si="193"/>
        <v>A</v>
      </c>
      <c r="DH148" s="97" t="str">
        <f t="shared" si="193"/>
        <v>B</v>
      </c>
      <c r="DI148" s="97" t="str">
        <f t="shared" si="193"/>
        <v>B</v>
      </c>
      <c r="DJ148" s="97" t="str">
        <f t="shared" si="193"/>
        <v>B</v>
      </c>
      <c r="DK148" s="97" t="str">
        <f t="shared" si="193"/>
        <v>B</v>
      </c>
      <c r="DL148" s="97" t="str">
        <f t="shared" si="193"/>
        <v>B</v>
      </c>
      <c r="DM148" s="97" t="str">
        <f t="shared" si="193"/>
        <v>B</v>
      </c>
      <c r="DN148" s="97" t="str">
        <f t="shared" si="193"/>
        <v>B</v>
      </c>
      <c r="DO148" s="97" t="str">
        <f t="shared" si="193"/>
        <v>B</v>
      </c>
      <c r="DP148" s="97" t="str">
        <f t="shared" si="193"/>
        <v>B</v>
      </c>
      <c r="DQ148" s="97" t="str">
        <f t="shared" si="193"/>
        <v>B</v>
      </c>
      <c r="DR148" s="97" t="str">
        <f t="shared" si="193"/>
        <v>B</v>
      </c>
      <c r="DS148" s="97" t="str">
        <f t="shared" si="193"/>
        <v>B</v>
      </c>
      <c r="DT148" s="97" t="str">
        <f t="shared" si="193"/>
        <v>B</v>
      </c>
      <c r="DU148" s="97" t="str">
        <f t="shared" si="193"/>
        <v>A</v>
      </c>
      <c r="DV148" s="97" t="str">
        <f t="shared" si="193"/>
        <v>A</v>
      </c>
      <c r="DW148" s="97" t="str">
        <f t="shared" si="193"/>
        <v>A</v>
      </c>
      <c r="DX148" s="97" t="str">
        <f t="shared" si="193"/>
        <v>A</v>
      </c>
      <c r="DY148" s="97" t="str">
        <f t="shared" si="193"/>
        <v>B</v>
      </c>
      <c r="DZ148" s="97" t="str">
        <f t="shared" si="193"/>
        <v>A</v>
      </c>
      <c r="EA148" s="97" t="str">
        <f t="shared" si="193"/>
        <v>A</v>
      </c>
      <c r="EB148" s="97" t="str">
        <f t="shared" si="193"/>
        <v>A</v>
      </c>
      <c r="EC148" s="97" t="str">
        <f t="shared" si="193"/>
        <v>B</v>
      </c>
      <c r="ED148" s="97" t="str">
        <f t="shared" si="193"/>
        <v>B</v>
      </c>
      <c r="EE148" s="97" t="str">
        <f t="shared" si="193"/>
        <v>A</v>
      </c>
      <c r="EF148" s="97" t="str">
        <f t="shared" si="193"/>
        <v>B</v>
      </c>
      <c r="EG148" s="97" t="str">
        <f t="shared" si="193"/>
        <v>B</v>
      </c>
      <c r="EH148" s="97" t="str">
        <f t="shared" si="193"/>
        <v>B</v>
      </c>
      <c r="EI148" s="97" t="str">
        <f t="shared" si="193"/>
        <v>B</v>
      </c>
      <c r="EJ148" s="97" t="str">
        <f t="shared" si="193"/>
        <v>B</v>
      </c>
      <c r="EK148" s="97" t="str">
        <f t="shared" si="193"/>
        <v>A</v>
      </c>
      <c r="EL148" s="97" t="str">
        <f t="shared" si="193"/>
        <v>A</v>
      </c>
      <c r="EM148" s="97" t="str">
        <f t="shared" si="193"/>
        <v>B</v>
      </c>
      <c r="EN148" s="97" t="str">
        <f t="shared" si="193"/>
        <v>A</v>
      </c>
      <c r="EO148" s="97" t="str">
        <f t="shared" si="193"/>
        <v>B</v>
      </c>
      <c r="EP148" s="97" t="str">
        <f t="shared" si="193"/>
        <v>A</v>
      </c>
      <c r="EQ148" s="97" t="str">
        <f t="shared" si="193"/>
        <v>A</v>
      </c>
      <c r="ER148" s="97" t="str">
        <f t="shared" si="193"/>
        <v>B</v>
      </c>
      <c r="ES148" s="97" t="str">
        <f t="shared" si="193"/>
        <v>B</v>
      </c>
      <c r="ET148" s="97" t="str">
        <f t="shared" si="193"/>
        <v>B</v>
      </c>
      <c r="EU148" s="97" t="str">
        <f t="shared" si="193"/>
        <v>B</v>
      </c>
      <c r="EV148" s="97" t="str">
        <f t="shared" si="193"/>
        <v>B</v>
      </c>
      <c r="EW148" s="97" t="str">
        <f t="shared" si="193"/>
        <v>A</v>
      </c>
      <c r="EX148" s="97" t="str">
        <f t="shared" si="193"/>
        <v>B</v>
      </c>
      <c r="EY148" s="97" t="str">
        <f t="shared" si="193"/>
        <v>B</v>
      </c>
      <c r="EZ148" s="97" t="str">
        <f t="shared" si="193"/>
        <v>B</v>
      </c>
      <c r="FA148" s="97" t="str">
        <f t="shared" si="193"/>
        <v>B</v>
      </c>
      <c r="FB148" s="97" t="str">
        <f t="shared" si="193"/>
        <v>B</v>
      </c>
      <c r="FC148" s="97" t="str">
        <f t="shared" si="193"/>
        <v>B</v>
      </c>
      <c r="FD148" s="97" t="str">
        <f t="shared" si="193"/>
        <v>A</v>
      </c>
      <c r="FE148" s="97" t="str">
        <f t="shared" si="193"/>
        <v>B</v>
      </c>
      <c r="FF148" s="97" t="str">
        <f t="shared" si="193"/>
        <v>A</v>
      </c>
      <c r="FG148" s="97" t="str">
        <f t="shared" si="193"/>
        <v>A</v>
      </c>
      <c r="FH148" s="97" t="str">
        <f t="shared" si="193"/>
        <v>A</v>
      </c>
      <c r="FI148" s="97" t="str">
        <f t="shared" si="193"/>
        <v>A</v>
      </c>
      <c r="FJ148" s="97" t="str">
        <f t="shared" si="193"/>
        <v>A</v>
      </c>
      <c r="FK148" s="97" t="str">
        <f t="shared" si="193"/>
        <v>A</v>
      </c>
      <c r="FL148" s="97" t="str">
        <f t="shared" si="193"/>
        <v>B</v>
      </c>
      <c r="FM148" s="97" t="str">
        <f t="shared" si="193"/>
        <v>A</v>
      </c>
      <c r="FN148" s="97" t="str">
        <f t="shared" si="193"/>
        <v>A</v>
      </c>
      <c r="FO148" s="97" t="str">
        <f t="shared" si="193"/>
        <v>A</v>
      </c>
      <c r="FP148" s="97" t="str">
        <f t="shared" si="193"/>
        <v>B</v>
      </c>
      <c r="FQ148" s="97" t="str">
        <f t="shared" si="193"/>
        <v>B</v>
      </c>
      <c r="FR148" s="97" t="str">
        <f t="shared" si="193"/>
        <v>A</v>
      </c>
      <c r="FS148" s="97" t="str">
        <f t="shared" si="193"/>
        <v>B</v>
      </c>
      <c r="FT148" s="97" t="str">
        <f t="shared" si="193"/>
        <v>B</v>
      </c>
      <c r="FU148" s="97" t="str">
        <f t="shared" si="193"/>
        <v>B</v>
      </c>
      <c r="FV148" s="97" t="str">
        <f t="shared" si="193"/>
        <v>B</v>
      </c>
      <c r="FW148" s="97" t="str">
        <f t="shared" si="193"/>
        <v>B</v>
      </c>
      <c r="FX148" s="97" t="str">
        <f t="shared" si="193"/>
        <v>A</v>
      </c>
      <c r="FY148" s="97" t="str">
        <f t="shared" si="193"/>
        <v>B</v>
      </c>
      <c r="FZ148" s="97" t="str">
        <f t="shared" si="193"/>
        <v>A</v>
      </c>
      <c r="GA148" s="97" t="str">
        <f t="shared" si="193"/>
        <v>A</v>
      </c>
      <c r="GB148" s="97" t="str">
        <f t="shared" si="193"/>
        <v>A</v>
      </c>
      <c r="GC148" s="97" t="str">
        <f t="shared" si="193"/>
        <v>A</v>
      </c>
      <c r="GD148" s="97" t="str">
        <f t="shared" si="193"/>
        <v>A</v>
      </c>
      <c r="GE148" s="97" t="str">
        <f t="shared" si="193"/>
        <v>A</v>
      </c>
      <c r="GF148" s="97" t="str">
        <f t="shared" si="193"/>
        <v>A</v>
      </c>
      <c r="GG148" s="97" t="str">
        <f t="shared" si="193"/>
        <v>A</v>
      </c>
      <c r="GH148" s="97" t="str">
        <f t="shared" si="193"/>
        <v>B</v>
      </c>
      <c r="GI148" s="97" t="str">
        <f t="shared" si="193"/>
        <v>A</v>
      </c>
      <c r="GJ148" s="97" t="str">
        <f t="shared" si="193"/>
        <v>B</v>
      </c>
      <c r="GK148" s="97" t="str">
        <f t="shared" si="193"/>
        <v>A</v>
      </c>
      <c r="GL148" s="97" t="str">
        <f t="shared" si="193"/>
        <v>B</v>
      </c>
      <c r="GM148" s="97" t="str">
        <f t="shared" si="193"/>
        <v>B</v>
      </c>
      <c r="GN148" s="97" t="str">
        <f t="shared" si="193"/>
        <v>B</v>
      </c>
      <c r="GO148" s="97" t="str">
        <f t="shared" si="193"/>
        <v>B</v>
      </c>
      <c r="GP148" s="97" t="str">
        <f t="shared" si="193"/>
        <v>A</v>
      </c>
      <c r="GQ148" s="97" t="str">
        <f t="shared" si="193"/>
        <v>A</v>
      </c>
      <c r="GR148" s="97" t="str">
        <f t="shared" si="193"/>
        <v>A</v>
      </c>
      <c r="GS148" s="97" t="str">
        <f t="shared" si="193"/>
        <v>A</v>
      </c>
      <c r="GT148" s="97" t="str">
        <f t="shared" si="193"/>
        <v>A</v>
      </c>
      <c r="GU148" s="97" t="str">
        <f t="shared" si="193"/>
        <v>A</v>
      </c>
      <c r="GV148" s="97" t="str">
        <f t="shared" si="193"/>
        <v>A</v>
      </c>
      <c r="GW148" s="97" t="str">
        <f t="shared" si="193"/>
        <v>A</v>
      </c>
      <c r="GX148" s="97" t="str">
        <f t="shared" si="193"/>
        <v>A</v>
      </c>
      <c r="GY148" s="98"/>
      <c r="GZ148" s="97">
        <f t="shared" si="3"/>
        <v>48</v>
      </c>
      <c r="HA148" s="97">
        <f t="shared" si="4"/>
        <v>52</v>
      </c>
      <c r="HB148" s="90">
        <f t="shared" si="5"/>
        <v>100</v>
      </c>
      <c r="HC148" s="99"/>
      <c r="HD148" s="97">
        <f t="shared" si="6"/>
        <v>9</v>
      </c>
      <c r="HE148" s="97">
        <f t="shared" si="7"/>
        <v>6</v>
      </c>
      <c r="HF148" s="90">
        <f t="shared" si="8"/>
        <v>15</v>
      </c>
      <c r="HG148" s="99"/>
      <c r="HH148" s="97">
        <f t="shared" si="9"/>
        <v>6</v>
      </c>
      <c r="HI148" s="97">
        <f t="shared" si="10"/>
        <v>8</v>
      </c>
      <c r="HJ148" s="90">
        <f t="shared" si="11"/>
        <v>14</v>
      </c>
      <c r="HK148" s="99"/>
      <c r="HL148" s="97">
        <f t="shared" si="12"/>
        <v>6</v>
      </c>
      <c r="HM148" s="97">
        <f t="shared" si="13"/>
        <v>4</v>
      </c>
      <c r="HN148" s="90">
        <f t="shared" si="14"/>
        <v>10</v>
      </c>
      <c r="HO148" s="99"/>
      <c r="HP148" s="97">
        <f t="shared" si="15"/>
        <v>6</v>
      </c>
      <c r="HQ148" s="97">
        <f t="shared" si="16"/>
        <v>6</v>
      </c>
      <c r="HR148" s="90">
        <f t="shared" si="17"/>
        <v>12</v>
      </c>
      <c r="HS148" s="99"/>
      <c r="HT148" s="97">
        <f t="shared" si="18"/>
        <v>8</v>
      </c>
      <c r="HU148" s="97">
        <f t="shared" si="19"/>
        <v>8</v>
      </c>
      <c r="HV148" s="90">
        <f t="shared" si="20"/>
        <v>16</v>
      </c>
      <c r="HW148" s="99"/>
      <c r="HX148" s="97">
        <f t="shared" si="21"/>
        <v>3</v>
      </c>
      <c r="HY148" s="97">
        <f t="shared" si="22"/>
        <v>4</v>
      </c>
      <c r="HZ148" s="90">
        <f t="shared" si="23"/>
        <v>7</v>
      </c>
      <c r="IA148" s="99"/>
      <c r="IB148" s="97">
        <f t="shared" si="24"/>
        <v>5</v>
      </c>
      <c r="IC148" s="97">
        <f t="shared" si="25"/>
        <v>5</v>
      </c>
      <c r="ID148" s="90">
        <f t="shared" si="26"/>
        <v>10</v>
      </c>
      <c r="IE148" s="99"/>
      <c r="IF148" s="97">
        <f t="shared" si="27"/>
        <v>2</v>
      </c>
      <c r="IG148" s="97">
        <f t="shared" si="28"/>
        <v>4</v>
      </c>
      <c r="IH148" s="90">
        <f t="shared" si="29"/>
        <v>6</v>
      </c>
      <c r="II148" s="99"/>
      <c r="IJ148" s="97">
        <f t="shared" si="30"/>
        <v>2</v>
      </c>
      <c r="IK148" s="97">
        <f t="shared" si="31"/>
        <v>5</v>
      </c>
      <c r="IL148" s="90">
        <f t="shared" si="32"/>
        <v>7</v>
      </c>
      <c r="IM148" s="99"/>
      <c r="IN148" s="97">
        <f t="shared" si="33"/>
        <v>0</v>
      </c>
      <c r="IO148" s="97">
        <f t="shared" si="34"/>
        <v>1</v>
      </c>
      <c r="IP148" s="90">
        <f t="shared" si="35"/>
        <v>1</v>
      </c>
      <c r="IS148" s="100">
        <f t="shared" si="36"/>
        <v>15</v>
      </c>
      <c r="IT148" s="100">
        <f t="shared" si="37"/>
        <v>14</v>
      </c>
      <c r="IU148" s="100">
        <f t="shared" si="38"/>
        <v>10</v>
      </c>
      <c r="IV148" s="100">
        <f t="shared" si="39"/>
        <v>12</v>
      </c>
      <c r="IW148" s="100">
        <f t="shared" si="40"/>
        <v>16</v>
      </c>
      <c r="IX148" s="100">
        <f t="shared" si="41"/>
        <v>7</v>
      </c>
      <c r="IY148" s="100">
        <f t="shared" si="42"/>
        <v>10</v>
      </c>
      <c r="IZ148" s="100">
        <f t="shared" si="43"/>
        <v>6</v>
      </c>
      <c r="JA148" s="100">
        <f t="shared" si="44"/>
        <v>7</v>
      </c>
      <c r="JB148" s="101">
        <f t="shared" si="45"/>
        <v>1</v>
      </c>
      <c r="JC148" s="102">
        <f t="shared" si="46"/>
        <v>98</v>
      </c>
      <c r="JD148" s="67">
        <f t="shared" si="50"/>
        <v>0</v>
      </c>
      <c r="JE148" s="67">
        <f t="shared" si="47"/>
        <v>1</v>
      </c>
      <c r="JF148" s="67">
        <f t="shared" si="48"/>
        <v>1</v>
      </c>
    </row>
    <row r="149">
      <c r="A149" s="104">
        <f>IFERROR(__xludf.DUMMYFUNCTION("""COMPUTED_VALUE"""),45974.87736486111)</f>
        <v>45974.87736</v>
      </c>
      <c r="B149" s="105" t="str">
        <f>IFERROR(__xludf.DUMMYFUNCTION("""COMPUTED_VALUE"""),"Aisah")</f>
        <v>Aisah</v>
      </c>
      <c r="C149" s="7" t="str">
        <f>IFERROR(__xludf.DUMMYFUNCTION("""COMPUTED_VALUE"""),"D250032")</f>
        <v>D250032</v>
      </c>
      <c r="D149" s="7" t="str">
        <f>IFERROR(__xludf.DUMMYFUNCTION("""COMPUTED_VALUE"""),"MTs Putri")</f>
        <v>MTs Putri</v>
      </c>
      <c r="E149" s="7" t="str">
        <f>IFERROR(__xludf.DUMMYFUNCTION("""COMPUTED_VALUE"""),"Ya")</f>
        <v>Ya</v>
      </c>
      <c r="F149" s="105" t="str">
        <f>IFERROR(__xludf.DUMMYFUNCTION("""COMPUTED_VALUE"""),"B Saya ingin melakukan apa saja sebaik mungkin.")</f>
        <v>B Saya ingin melakukan apa saja sebaik mungkin.</v>
      </c>
      <c r="G149" s="105" t="str">
        <f>IFERROR(__xludf.DUMMYFUNCTION("""COMPUTED_VALUE"""),"A Saya ingin setiap tulisan saya teliti, rapi, dan tersusun dengan baik.")</f>
        <v>A Saya ingin setiap tulisan saya teliti, rapi, dan tersusun dengan baik.</v>
      </c>
      <c r="H149" s="105" t="str">
        <f>IFERROR(__xludf.DUMMYFUNCTION("""COMPUTED_VALUE"""),"B Saya ingin menjadi orang yang diakui dalam suatu pekerjaan atau bidang khusus.")</f>
        <v>B Saya ingin menjadi orang yang diakui dalam suatu pekerjaan atau bidang khusus.</v>
      </c>
      <c r="I149" s="105" t="str">
        <f>IFERROR(__xludf.DUMMYFUNCTION("""COMPUTED_VALUE"""),"B Saya ingin bisa melakukan dengan baik meskipun tugas yang sulit.")</f>
        <v>B Saya ingin bisa melakukan dengan baik meskipun tugas yang sulit.</v>
      </c>
      <c r="J149" s="105" t="str">
        <f>IFERROR(__xludf.DUMMYFUNCTION("""COMPUTED_VALUE"""),"A Saya suka membantu teman-teman saya apabila mereka mengalami kesulitan.")</f>
        <v>A Saya suka membantu teman-teman saya apabila mereka mengalami kesulitan.</v>
      </c>
      <c r="K149" s="105" t="str">
        <f>IFERROR(__xludf.DUMMYFUNCTION("""COMPUTED_VALUE"""),"A Saya ingin menjadi pemimpin dalam suatu kelompok.")</f>
        <v>A Saya ingin menjadi pemimpin dalam suatu kelompok.</v>
      </c>
      <c r="L149" s="105" t="str">
        <f>IFERROR(__xludf.DUMMYFUNCTION("""COMPUTED_VALUE"""),"B Saya ingin mengatakan telah melakukan dengan baik sesuatu tugas yang sulit")</f>
        <v>B Saya ingin mengatakan telah melakukan dengan baik sesuatu tugas yang sulit</v>
      </c>
      <c r="M149" s="105" t="str">
        <f>IFERROR(__xludf.DUMMYFUNCTION("""COMPUTED_VALUE"""),"A Saya suka berbicara tentang hal-hal yang telah berhasil saya lakukan.")</f>
        <v>A Saya suka berbicara tentang hal-hal yang telah berhasil saya lakukan.</v>
      </c>
      <c r="N149" s="105" t="str">
        <f>IFERROR(__xludf.DUMMYFUNCTION("""COMPUTED_VALUE"""),"A Saya suka pergi dengan pakaian rapi agar lebih menarik perhatian orang lain.")</f>
        <v>A Saya suka pergi dengan pakaian rapi agar lebih menarik perhatian orang lain.</v>
      </c>
      <c r="O149" s="105" t="str">
        <f>IFERROR(__xludf.DUMMYFUNCTION("""COMPUTED_VALUE"""),"B Saya suka melakukan tugas sebaik mungkin.")</f>
        <v>B Saya suka melakukan tugas sebaik mungkin.</v>
      </c>
      <c r="P149" s="105" t="str">
        <f>IFERROR(__xludf.DUMMYFUNCTION("""COMPUTED_VALUE"""),"B Saya ingin setiap belajar itu teratur dan direncanakan.")</f>
        <v>B Saya ingin setiap belajar itu teratur dan direncanakan.</v>
      </c>
      <c r="Q149" s="105" t="str">
        <f>IFERROR(__xludf.DUMMYFUNCTION("""COMPUTED_VALUE"""),"B Saya merencanakan keperluan yang dibutuhkan sebelum bepergian.")</f>
        <v>B Saya merencanakan keperluan yang dibutuhkan sebelum bepergian.</v>
      </c>
      <c r="R149" s="105" t="str">
        <f>IFERROR(__xludf.DUMMYFUNCTION("""COMPUTED_VALUE"""),"B Saya suka barang-barang saya tersusun rapi dan teratur.")</f>
        <v>B Saya suka barang-barang saya tersusun rapi dan teratur.</v>
      </c>
      <c r="S149" s="105" t="str">
        <f>IFERROR(__xludf.DUMMYFUNCTION("""COMPUTED_VALUE"""),"A Saya ingin agar teman-teman pengertian bila saya mengalami kesukaran.")</f>
        <v>A Saya ingin agar teman-teman pengertian bila saya mengalami kesukaran.</v>
      </c>
      <c r="T149" s="105" t="str">
        <f>IFERROR(__xludf.DUMMYFUNCTION("""COMPUTED_VALUE"""),"A Saya ingin menjadi salah seorang pemimpin dalam kelompok yang saya kenal.")</f>
        <v>A Saya ingin menjadi salah seorang pemimpin dalam kelompok yang saya kenal.</v>
      </c>
      <c r="U149" s="105" t="str">
        <f>IFERROR(__xludf.DUMMYFUNCTION("""COMPUTED_VALUE"""),"A Saya suka memberikan bantuan kepada teman-teman saya.")</f>
        <v>A Saya suka memberikan bantuan kepada teman-teman saya.</v>
      </c>
      <c r="V149" s="105" t="str">
        <f>IFERROR(__xludf.DUMMYFUNCTION("""COMPUTED_VALUE"""),"B Saya suka belajar saya teratur dan ada waktu-waktu tertentu untuk belajar.")</f>
        <v>B Saya suka belajar saya teratur dan ada waktu-waktu tertentu untuk belajar.</v>
      </c>
      <c r="W149" s="105" t="str">
        <f>IFERROR(__xludf.DUMMYFUNCTION("""COMPUTED_VALUE"""),"B Saya ingin kegiatan itu teratur dan direncanakan.")</f>
        <v>B Saya ingin kegiatan itu teratur dan direncanakan.</v>
      </c>
      <c r="X149" s="105" t="str">
        <f>IFERROR(__xludf.DUMMYFUNCTION("""COMPUTED_VALUE"""),"A Saya suka merencanakan dan mengatur setiap apa yang harus saya lakukan.")</f>
        <v>A Saya suka merencanakan dan mengatur setiap apa yang harus saya lakukan.</v>
      </c>
      <c r="Y149" s="105" t="str">
        <f>IFERROR(__xludf.DUMMYFUNCTION("""COMPUTED_VALUE"""),"A Saya suka menyelesaikan tugas-tugas yang membutuhkan ketrampilan dan usaha.")</f>
        <v>A Saya suka menyelesaikan tugas-tugas yang membutuhkan ketrampilan dan usaha.</v>
      </c>
      <c r="Z149" s="105" t="str">
        <f>IFERROR(__xludf.DUMMYFUNCTION("""COMPUTED_VALUE"""),"A Saya ingin berhasil dengan belajar yang saya lakukan.")</f>
        <v>A Saya ingin berhasil dengan belajar yang saya lakukan.</v>
      </c>
      <c r="AA149" s="105" t="str">
        <f>IFERROR(__xludf.DUMMYFUNCTION("""COMPUTED_VALUE"""),"A Saya suka menyelesaikan tugas yang telah saya rencanakan.")</f>
        <v>A Saya suka menyelesaikan tugas yang telah saya rencanakan.</v>
      </c>
      <c r="AB149" s="105" t="str">
        <f>IFERROR(__xludf.DUMMYFUNCTION("""COMPUTED_VALUE"""),"B Saya ingin menyelesaikan pekerjaan satu persatu sebelum memulai yang lain.")</f>
        <v>B Saya ingin menyelesaikan pekerjaan satu persatu sebelum memulai yang lain.</v>
      </c>
      <c r="AC149" s="105" t="str">
        <f>IFERROR(__xludf.DUMMYFUNCTION("""COMPUTED_VALUE"""),"B Saya suka melakukan kegiatan sesuai kondisi yang saya inginkan.")</f>
        <v>B Saya suka melakukan kegiatan sesuai kondisi yang saya inginkan.</v>
      </c>
      <c r="AD149" s="105" t="str">
        <f>IFERROR(__xludf.DUMMYFUNCTION("""COMPUTED_VALUE"""),"B Saya suka menyatakan pendapat saya tentang berbagai hal.")</f>
        <v>B Saya suka menyatakan pendapat saya tentang berbagai hal.</v>
      </c>
      <c r="AE149" s="105" t="str">
        <f>IFERROR(__xludf.DUMMYFUNCTION("""COMPUTED_VALUE"""),"A Saya ingin dianggap sebagai pemimpin oleh teman di kelompok.")</f>
        <v>A Saya ingin dianggap sebagai pemimpin oleh teman di kelompok.</v>
      </c>
      <c r="AF149" s="105" t="str">
        <f>IFERROR(__xludf.DUMMYFUNCTION("""COMPUTED_VALUE"""),"B Saya suka melakukan hal-hal dengan cara saya sendiri.")</f>
        <v>B Saya suka melakukan hal-hal dengan cara saya sendiri.</v>
      </c>
      <c r="AG149" s="105" t="str">
        <f>IFERROR(__xludf.DUMMYFUNCTION("""COMPUTED_VALUE"""),"B Saya ingin berhasil dengan tugas yang saya lakukan.")</f>
        <v>B Saya ingin berhasil dengan tugas yang saya lakukan.</v>
      </c>
      <c r="AH149" s="105" t="str">
        <f>IFERROR(__xludf.DUMMYFUNCTION("""COMPUTED_VALUE"""),"A Saya suka membaca buku-buku tentang pergaulan remaja.")</f>
        <v>A Saya suka membaca buku-buku tentang pergaulan remaja.</v>
      </c>
      <c r="AI149" s="105" t="str">
        <f>IFERROR(__xludf.DUMMYFUNCTION("""COMPUTED_VALUE"""),"A Saya ingin menghardik orang lain bila saya berbeda pendapat dengan mereka.")</f>
        <v>A Saya ingin menghardik orang lain bila saya berbeda pendapat dengan mereka.</v>
      </c>
      <c r="AJ149" s="105" t="str">
        <f>IFERROR(__xludf.DUMMYFUNCTION("""COMPUTED_VALUE"""),"B Saya suka bertahan menghadapi satu masalah meskipun belum tentu berhasil.")</f>
        <v>B Saya suka bertahan menghadapi satu masalah meskipun belum tentu berhasil.</v>
      </c>
      <c r="AK149" s="105" t="str">
        <f>IFERROR(__xludf.DUMMYFUNCTION("""COMPUTED_VALUE"""),"A Saya suka bercerita tentang hal-hal pribadi yang seharusnya tidak perlu diketahui orang lain.")</f>
        <v>A Saya suka bercerita tentang hal-hal pribadi yang seharusnya tidak perlu diketahui orang lain.</v>
      </c>
      <c r="AL149" s="105" t="str">
        <f>IFERROR(__xludf.DUMMYFUNCTION("""COMPUTED_VALUE"""),"A Saya suka berbicara tentang hal-hal yang telah saya capai.")</f>
        <v>A Saya suka berbicara tentang hal-hal yang telah saya capai.</v>
      </c>
      <c r="AM149" s="105" t="str">
        <f>IFERROR(__xludf.DUMMYFUNCTION("""COMPUTED_VALUE"""),"B Saya suka belajar sampai malam untuk menyelesaikan suatu tugas.")</f>
        <v>B Saya suka belajar sampai malam untuk menyelesaikan suatu tugas.</v>
      </c>
      <c r="AN149" s="105" t="str">
        <f>IFERROR(__xludf.DUMMYFUNCTION("""COMPUTED_VALUE"""),"B Saya ingin bekerja berjam-jam tanpa diganggu.")</f>
        <v>B Saya ingin bekerja berjam-jam tanpa diganggu.</v>
      </c>
      <c r="AO149" s="105" t="str">
        <f>IFERROR(__xludf.DUMMYFUNCTION("""COMPUTED_VALUE"""),"A Saya suka berlaku sangat ramah terhadap teman-teman saya.")</f>
        <v>A Saya suka berlaku sangat ramah terhadap teman-teman saya.</v>
      </c>
      <c r="AP149" s="105" t="str">
        <f>IFERROR(__xludf.DUMMYFUNCTION("""COMPUTED_VALUE"""),"B Saya suka bertahan menghadapi satu masalah meskipun belum tentu berhasil.")</f>
        <v>B Saya suka bertahan menghadapi satu masalah meskipun belum tentu berhasil.</v>
      </c>
      <c r="AQ149" s="105" t="str">
        <f>IFERROR(__xludf.DUMMYFUNCTION("""COMPUTED_VALUE"""),"B Bila saya harus melakukan suatu tugas, saya ingin mengerjakan sampai selesai.")</f>
        <v>B Bila saya harus melakukan suatu tugas, saya ingin mengerjakan sampai selesai.</v>
      </c>
      <c r="AR149" s="105" t="str">
        <f>IFERROR(__xludf.DUMMYFUNCTION("""COMPUTED_VALUE"""),"A Saya suka menyimpan catatan secara rapi.")</f>
        <v>A Saya suka menyimpan catatan secara rapi.</v>
      </c>
      <c r="AS149" s="105" t="str">
        <f>IFERROR(__xludf.DUMMYFUNCTION("""COMPUTED_VALUE"""),"A Saya ingin dapat menyelesaikan persoalan yang dianggap sukar bagi orang lain.")</f>
        <v>A Saya ingin dapat menyelesaikan persoalan yang dianggap sukar bagi orang lain.</v>
      </c>
      <c r="AT149" s="105" t="str">
        <f>IFERROR(__xludf.DUMMYFUNCTION("""COMPUTED_VALUE"""),"A Saya ingin bisa melakukan dengan baik sesuatu pekerjaan sulit.")</f>
        <v>A Saya ingin bisa melakukan dengan baik sesuatu pekerjaan sulit.</v>
      </c>
      <c r="AU149" s="105" t="str">
        <f>IFERROR(__xludf.DUMMYFUNCTION("""COMPUTED_VALUE"""),"B Saya suka bermurah hati terhadap teman-teman saya.")</f>
        <v>B Saya suka bermurah hati terhadap teman-teman saya.</v>
      </c>
      <c r="AV149" s="105" t="str">
        <f>IFERROR(__xludf.DUMMYFUNCTION("""COMPUTED_VALUE"""),"B Saya suka menolong teman-teman saya.")</f>
        <v>B Saya suka menolong teman-teman saya.</v>
      </c>
      <c r="AW149" s="105" t="str">
        <f>IFERROR(__xludf.DUMMYFUNCTION("""COMPUTED_VALUE"""),"B Saya ingin teman-teman saya percaya bahwa saya bisa menolong mereka.")</f>
        <v>B Saya ingin teman-teman saya percaya bahwa saya bisa menolong mereka.</v>
      </c>
      <c r="AX149" s="105" t="str">
        <f>IFERROR(__xludf.DUMMYFUNCTION("""COMPUTED_VALUE"""),"B Saya suka memaafkan teman-teman saya yang menyakiti hati saya.")</f>
        <v>B Saya suka memaafkan teman-teman saya yang menyakiti hati saya.</v>
      </c>
      <c r="AY149" s="105" t="str">
        <f>IFERROR(__xludf.DUMMYFUNCTION("""COMPUTED_VALUE"""),"B Saya suka menolong teman-teman saya apabila mereka dalam kesulitan.")</f>
        <v>B Saya suka menolong teman-teman saya apabila mereka dalam kesulitan.</v>
      </c>
      <c r="AZ149" s="105" t="str">
        <f>IFERROR(__xludf.DUMMYFUNCTION("""COMPUTED_VALUE"""),"B Saya suka menunjukkan simpati saya kepada teman-teman saya.")</f>
        <v>B Saya suka menunjukkan simpati saya kepada teman-teman saya.</v>
      </c>
      <c r="BA149" s="105" t="str">
        <f>IFERROR(__xludf.DUMMYFUNCTION("""COMPUTED_VALUE"""),"B Saya suka memperlakukan orang lain dengan baik dan ramah.")</f>
        <v>B Saya suka memperlakukan orang lain dengan baik dan ramah.</v>
      </c>
      <c r="BB149" s="105" t="str">
        <f>IFERROR(__xludf.DUMMYFUNCTION("""COMPUTED_VALUE"""),"B Saya suka bermurah hati terhadap teman-teman saya.")</f>
        <v>B Saya suka bermurah hati terhadap teman-teman saya.</v>
      </c>
      <c r="BC149" s="105" t="str">
        <f>IFERROR(__xludf.DUMMYFUNCTION("""COMPUTED_VALUE"""),"A Saya rasanya ingin mengecam seseorang bila orang itu menjengkelkan.")</f>
        <v>A Saya rasanya ingin mengecam seseorang bila orang itu menjengkelkan.</v>
      </c>
      <c r="BD149" s="105" t="str">
        <f>IFERROR(__xludf.DUMMYFUNCTION("""COMPUTED_VALUE"""),"B Saya suka bersikukuh dengan pendirian saya.")</f>
        <v>B Saya suka bersikukuh dengan pendirian saya.</v>
      </c>
      <c r="BE149" s="105" t="str">
        <f>IFERROR(__xludf.DUMMYFUNCTION("""COMPUTED_VALUE"""),"A Saya suka mendengarkan atau menceritakan hal-hal yang sebaiknya tidak diceritakan.")</f>
        <v>A Saya suka mendengarkan atau menceritakan hal-hal yang sebaiknya tidak diceritakan.</v>
      </c>
      <c r="BF149" s="105" t="str">
        <f>IFERROR(__xludf.DUMMYFUNCTION("""COMPUTED_VALUE"""),"B Bila saya dalam kelompok, saya ingin menentukan apa yang akan kita lakukan.")</f>
        <v>B Bila saya dalam kelompok, saya ingin menentukan apa yang akan kita lakukan.</v>
      </c>
      <c r="BG149" s="105" t="str">
        <f>IFERROR(__xludf.DUMMYFUNCTION("""COMPUTED_VALUE"""),"B Saya suka mengarahkan kepada orang lain apa yang harus dilakukan.")</f>
        <v>B Saya suka mengarahkan kepada orang lain apa yang harus dilakukan.</v>
      </c>
      <c r="BH149" s="105" t="str">
        <f>IFERROR(__xludf.DUMMYFUNCTION("""COMPUTED_VALUE"""),"B Apabila saya berkumpul dalam kelompok, saya ingin dihargai teman-teman.")</f>
        <v>B Apabila saya berkumpul dalam kelompok, saya ingin dihargai teman-teman.</v>
      </c>
      <c r="BI149" s="105" t="str">
        <f>IFERROR(__xludf.DUMMYFUNCTION("""COMPUTED_VALUE"""),"A Saya suka bermurah hati terhadap teman-teman saya.")</f>
        <v>A Saya suka bermurah hati terhadap teman-teman saya.</v>
      </c>
      <c r="BJ149" s="105" t="str">
        <f>IFERROR(__xludf.DUMMYFUNCTION("""COMPUTED_VALUE"""),"B Saya ingin menjadi pemimpin dalam kelompok di mana saya ada di situ")</f>
        <v>B Saya ingin menjadi pemimpin dalam kelompok di mana saya ada di situ</v>
      </c>
      <c r="BK149" s="105" t="str">
        <f>IFERROR(__xludf.DUMMYFUNCTION("""COMPUTED_VALUE"""),"A Saya ingin menyelesaikan pekerjaan satu persatu sebelum memulai yang lain.")</f>
        <v>A Saya ingin menyelesaikan pekerjaan satu persatu sebelum memulai yang lain.</v>
      </c>
      <c r="BL149" s="105" t="str">
        <f>IFERROR(__xludf.DUMMYFUNCTION("""COMPUTED_VALUE"""),"A Saya suka belajar saya teratur dan ada waktu-waktu tertentu untuk belajar.")</f>
        <v>A Saya suka belajar saya teratur dan ada waktu-waktu tertentu untuk belajar.</v>
      </c>
      <c r="BM149" s="105" t="str">
        <f>IFERROR(__xludf.DUMMYFUNCTION("""COMPUTED_VALUE"""),"A Saya suka melakukan pekerjaan sebaik mungkin.")</f>
        <v>A Saya suka melakukan pekerjaan sebaik mungkin.</v>
      </c>
      <c r="BN149" s="105" t="str">
        <f>IFERROR(__xludf.DUMMYFUNCTION("""COMPUTED_VALUE"""),"B Saya ingin teman-teman memberi dorongan bila saya menghadapi kegagalan.")</f>
        <v>B Saya ingin teman-teman memberi dorongan bila saya menghadapi kegagalan.</v>
      </c>
      <c r="BO149" s="105" t="str">
        <f>IFERROR(__xludf.DUMMYFUNCTION("""COMPUTED_VALUE"""),"A Saya suka membuat perencanaan sebelum memulai belajar yang sulit.")</f>
        <v>A Saya suka membuat perencanaan sebelum memulai belajar yang sulit.</v>
      </c>
      <c r="BP149" s="105" t="str">
        <f>IFERROR(__xludf.DUMMYFUNCTION("""COMPUTED_VALUE"""),"A Saya ingin menyelesaikan sesuatu yang sangat penting artinya.")</f>
        <v>A Saya ingin menyelesaikan sesuatu yang sangat penting artinya.</v>
      </c>
      <c r="BQ149" s="105" t="str">
        <f>IFERROR(__xludf.DUMMYFUNCTION("""COMPUTED_VALUE"""),"A Saya ingin mengerjakannya tugas sampai selesai.")</f>
        <v>A Saya ingin mengerjakannya tugas sampai selesai.</v>
      </c>
      <c r="BR149" s="105" t="str">
        <f>IFERROR(__xludf.DUMMYFUNCTION("""COMPUTED_VALUE"""),"A Saya suka memaafkan teman-teman saya yang menyakiti hati saya.")</f>
        <v>A Saya suka memaafkan teman-teman saya yang menyakiti hati saya.</v>
      </c>
      <c r="BS149" s="105" t="str">
        <f>IFERROR(__xludf.DUMMYFUNCTION("""COMPUTED_VALUE"""),"B Saya ingin teman-teman saya membantu saya bila saya mengalami kesulitan")</f>
        <v>B Saya ingin teman-teman saya membantu saya bila saya mengalami kesulitan</v>
      </c>
      <c r="BT149" s="105" t="str">
        <f>IFERROR(__xludf.DUMMYFUNCTION("""COMPUTED_VALUE"""),"B Saya ingin teman-teman banyak menunjukkan rasa sayang mereka terhadap saya.")</f>
        <v>B Saya ingin teman-teman banyak menunjukkan rasa sayang mereka terhadap saya.</v>
      </c>
      <c r="BU149" s="105" t="str">
        <f>IFERROR(__xludf.DUMMYFUNCTION("""COMPUTED_VALUE"""),"A Saya kadang-kadang suka melakukan hal-hal yang dapat dipuji oleh orang lain.")</f>
        <v>A Saya kadang-kadang suka melakukan hal-hal yang dapat dipuji oleh orang lain.</v>
      </c>
      <c r="BV149" s="105" t="str">
        <f>IFERROR(__xludf.DUMMYFUNCTION("""COMPUTED_VALUE"""),"B Saya ingin teman-teman dengan gembira memberikan pertolongan kepada saya.")</f>
        <v>B Saya ingin teman-teman dengan gembira memberikan pertolongan kepada saya.</v>
      </c>
      <c r="BW149" s="105" t="str">
        <f>IFERROR(__xludf.DUMMYFUNCTION("""COMPUTED_VALUE"""),"B Saya ingin diperlakukan dengan baik oleh teman-teman saya.")</f>
        <v>B Saya ingin diperlakukan dengan baik oleh teman-teman saya.</v>
      </c>
      <c r="BX149" s="105" t="str">
        <f>IFERROR(__xludf.DUMMYFUNCTION("""COMPUTED_VALUE"""),"B Saya kadang-kadang suka melakukan hal-hal yang dapat dipuji oleh orang lain.")</f>
        <v>B Saya kadang-kadang suka melakukan hal-hal yang dapat dipuji oleh orang lain.</v>
      </c>
      <c r="BY149" s="105" t="str">
        <f>IFERROR(__xludf.DUMMYFUNCTION("""COMPUTED_VALUE"""),"B Saya ingin orang lain memperhatikan dan berkomentar tentang penampilan saya.")</f>
        <v>B Saya ingin orang lain memperhatikan dan berkomentar tentang penampilan saya.</v>
      </c>
      <c r="BZ149" s="105" t="str">
        <f>IFERROR(__xludf.DUMMYFUNCTION("""COMPUTED_VALUE"""),"B Saya suka diperhatikan, apabila saya ada di dalam suatu kelompok.")</f>
        <v>B Saya suka diperhatikan, apabila saya ada di dalam suatu kelompok.</v>
      </c>
      <c r="CA149" s="105" t="str">
        <f>IFERROR(__xludf.DUMMYFUNCTION("""COMPUTED_VALUE"""),"A Saya ingin teman-teman dengan gembira memberikan pertolongan kepada saya.")</f>
        <v>A Saya ingin teman-teman dengan gembira memberikan pertolongan kepada saya.</v>
      </c>
      <c r="CB149" s="105" t="str">
        <f>IFERROR(__xludf.DUMMYFUNCTION("""COMPUTED_VALUE"""),"B Saya suka berbicara tentang hal-hal yang telah saya capai.")</f>
        <v>B Saya suka berbicara tentang hal-hal yang telah saya capai.</v>
      </c>
      <c r="CC149" s="105" t="str">
        <f>IFERROR(__xludf.DUMMYFUNCTION("""COMPUTED_VALUE"""),"B Saya suka menceritakan hal-hal lucu agar diperhatikan oleh orang lain.")</f>
        <v>B Saya suka menceritakan hal-hal lucu agar diperhatikan oleh orang lain.</v>
      </c>
      <c r="CD149" s="105" t="str">
        <f>IFERROR(__xludf.DUMMYFUNCTION("""COMPUTED_VALUE"""),"A Saya suka menyelesaikan setiap tugas meskipun membutuhkan waktu lama.")</f>
        <v>A Saya suka menyelesaikan setiap tugas meskipun membutuhkan waktu lama.</v>
      </c>
      <c r="CE149" s="105" t="str">
        <f>IFERROR(__xludf.DUMMYFUNCTION("""COMPUTED_VALUE"""),"A Saya suka menyelesaikan setiap tugas belajar yang telah saya mulai.")</f>
        <v>A Saya suka menyelesaikan setiap tugas belajar yang telah saya mulai.</v>
      </c>
      <c r="CF149" s="105" t="str">
        <f>IFERROR(__xludf.DUMMYFUNCTION("""COMPUTED_VALUE"""),"A Saya ingin agar hidup saya teratur sesuai cita-cita saya.")</f>
        <v>A Saya ingin agar hidup saya teratur sesuai cita-cita saya.</v>
      </c>
      <c r="CG149" s="105" t="str">
        <f>IFERROR(__xludf.DUMMYFUNCTION("""COMPUTED_VALUE"""),"B Saya suka berbicara tentang hal-hal yang telah saya capai.")</f>
        <v>B Saya suka berbicara tentang hal-hal yang telah saya capai.</v>
      </c>
      <c r="CH149" s="105" t="str">
        <f>IFERROR(__xludf.DUMMYFUNCTION("""COMPUTED_VALUE"""),"A Saya ingin bisa melakukan dengan baik sesuatu pekerjaan sulit.")</f>
        <v>A Saya ingin bisa melakukan dengan baik sesuatu pekerjaan sulit.</v>
      </c>
      <c r="CI149" s="105" t="str">
        <f>IFERROR(__xludf.DUMMYFUNCTION("""COMPUTED_VALUE"""),"A Saya suka belajar saya teratur dan ada waktu-waktu tertentu untuk belajar.")</f>
        <v>A Saya suka belajar saya teratur dan ada waktu-waktu tertentu untuk belajar.</v>
      </c>
      <c r="CJ149" s="105" t="str">
        <f>IFERROR(__xludf.DUMMYFUNCTION("""COMPUTED_VALUE"""),"A Saya ingin tidak tergantung dari orang lain terhadap apa yang akan saya lakukan.")</f>
        <v>A Saya ingin tidak tergantung dari orang lain terhadap apa yang akan saya lakukan.</v>
      </c>
      <c r="CK149" s="105" t="str">
        <f>IFERROR(__xludf.DUMMYFUNCTION("""COMPUTED_VALUE"""),"B Saya senang ikut beraktivitas bersama teman sebaya saya.")</f>
        <v>B Saya senang ikut beraktivitas bersama teman sebaya saya.</v>
      </c>
      <c r="CL149" s="105" t="str">
        <f>IFERROR(__xludf.DUMMYFUNCTION("""COMPUTED_VALUE"""),"A Saya suka menolong teman-teman saya, apabila mereka dalam kesulitan.")</f>
        <v>A Saya suka menolong teman-teman saya, apabila mereka dalam kesulitan.</v>
      </c>
      <c r="CM149" s="105" t="str">
        <f>IFERROR(__xludf.DUMMYFUNCTION("""COMPUTED_VALUE"""),"B Saya merasa kagum pada seseorang.")</f>
        <v>B Saya merasa kagum pada seseorang.</v>
      </c>
      <c r="CN149" s="105" t="str">
        <f>IFERROR(__xludf.DUMMYFUNCTION("""COMPUTED_VALUE"""),"A Saya ingin diperlakukan dengan baik oleh teman-teman saya.")</f>
        <v>A Saya ingin diperlakukan dengan baik oleh teman-teman saya.</v>
      </c>
      <c r="CO149" s="105" t="str">
        <f>IFERROR(__xludf.DUMMYFUNCTION("""COMPUTED_VALUE"""),"B Saya suka memuji orang yang saya kagumi.")</f>
        <v>B Saya suka memuji orang yang saya kagumi.</v>
      </c>
      <c r="CP149" s="105" t="str">
        <f>IFERROR(__xludf.DUMMYFUNCTION("""COMPUTED_VALUE"""),"A Saya suka melamun atau membayangkan sesuatu sendirian.")</f>
        <v>A Saya suka melamun atau membayangkan sesuatu sendirian.</v>
      </c>
      <c r="CQ149" s="105" t="str">
        <f>IFERROR(__xludf.DUMMYFUNCTION("""COMPUTED_VALUE"""),"B Saya merasa kagum pada seseorang.")</f>
        <v>B Saya merasa kagum pada seseorang.</v>
      </c>
      <c r="CR149" s="105" t="str">
        <f>IFERROR(__xludf.DUMMYFUNCTION("""COMPUTED_VALUE"""),"B Saya rasanya ingin mengecam seseorang bila orang itu menjengkelkan.")</f>
        <v>B Saya rasanya ingin mengecam seseorang bila orang itu menjengkelkan.</v>
      </c>
      <c r="CS149" s="105" t="str">
        <f>IFERROR(__xludf.DUMMYFUNCTION("""COMPUTED_VALUE"""),"A Saya ingin terlihat menarik di depan teman-teman saya.")</f>
        <v>A Saya ingin terlihat menarik di depan teman-teman saya.</v>
      </c>
      <c r="CT149" s="105" t="str">
        <f>IFERROR(__xludf.DUMMYFUNCTION("""COMPUTED_VALUE"""),"A Saya ingin orang-orang memperhatikan komentar mengenai penampilan saya.")</f>
        <v>A Saya ingin orang-orang memperhatikan komentar mengenai penampilan saya.</v>
      </c>
      <c r="CU149" s="105" t="str">
        <f>IFERROR(__xludf.DUMMYFUNCTION("""COMPUTED_VALUE"""),"A Saya ingin diperlakukan dengan ramah oleh teman-teman saya.")</f>
        <v>A Saya ingin diperlakukan dengan ramah oleh teman-teman saya.</v>
      </c>
      <c r="CV149" s="105" t="str">
        <f>IFERROR(__xludf.DUMMYFUNCTION("""COMPUTED_VALUE"""),"A Saya ingin ditunjuk atau dipilih sebagai ketua dalam suatu kelompok.")</f>
        <v>A Saya ingin ditunjuk atau dipilih sebagai ketua dalam suatu kelompok.</v>
      </c>
      <c r="CW149" s="105" t="str">
        <f>IFERROR(__xludf.DUMMYFUNCTION("""COMPUTED_VALUE"""),"A Saya suka menolong teman-teman saya, apabila mereka dalam kesulitan.")</f>
        <v>A Saya suka menolong teman-teman saya, apabila mereka dalam kesulitan.</v>
      </c>
      <c r="CX149" s="105" t="str">
        <f>IFERROR(__xludf.DUMMYFUNCTION("""COMPUTED_VALUE"""),"A Saya suka belajar sampai malam untuk menyelesaikan suatu tugas.")</f>
        <v>A Saya suka belajar sampai malam untuk menyelesaikan suatu tugas.</v>
      </c>
      <c r="CY149" s="105" t="str">
        <f>IFERROR(__xludf.DUMMYFUNCTION("""COMPUTED_VALUE"""),"A Saya ingin tidak tergantung dari orang lain terhadap apa yang akan saya lakukan.")</f>
        <v>A Saya ingin tidak tergantung dari orang lain terhadap apa yang akan saya lakukan.</v>
      </c>
      <c r="CZ149" s="105" t="str">
        <f>IFERROR(__xludf.DUMMYFUNCTION("""COMPUTED_VALUE"""),"A Saya suka merencanakan dan mengatur setiap pekerjaan yang harus saya lakukan.")</f>
        <v>A Saya suka merencanakan dan mengatur setiap pekerjaan yang harus saya lakukan.</v>
      </c>
      <c r="DA149" s="105" t="str">
        <f>IFERROR(__xludf.DUMMYFUNCTION("""COMPUTED_VALUE"""),"A Saya ingin melakukan apa saja sebaik mungkin.")</f>
        <v>A Saya ingin melakukan apa saja sebaik mungkin.</v>
      </c>
      <c r="DB149" s="89" t="s">
        <v>23</v>
      </c>
      <c r="DC149" s="97" t="str">
        <f t="shared" ref="DC149:GX149" si="194">LEFT(F149,1)</f>
        <v>B</v>
      </c>
      <c r="DD149" s="97" t="str">
        <f t="shared" si="194"/>
        <v>A</v>
      </c>
      <c r="DE149" s="97" t="str">
        <f t="shared" si="194"/>
        <v>B</v>
      </c>
      <c r="DF149" s="97" t="str">
        <f t="shared" si="194"/>
        <v>B</v>
      </c>
      <c r="DG149" s="97" t="str">
        <f t="shared" si="194"/>
        <v>A</v>
      </c>
      <c r="DH149" s="97" t="str">
        <f t="shared" si="194"/>
        <v>A</v>
      </c>
      <c r="DI149" s="97" t="str">
        <f t="shared" si="194"/>
        <v>B</v>
      </c>
      <c r="DJ149" s="97" t="str">
        <f t="shared" si="194"/>
        <v>A</v>
      </c>
      <c r="DK149" s="97" t="str">
        <f t="shared" si="194"/>
        <v>A</v>
      </c>
      <c r="DL149" s="97" t="str">
        <f t="shared" si="194"/>
        <v>B</v>
      </c>
      <c r="DM149" s="97" t="str">
        <f t="shared" si="194"/>
        <v>B</v>
      </c>
      <c r="DN149" s="97" t="str">
        <f t="shared" si="194"/>
        <v>B</v>
      </c>
      <c r="DO149" s="97" t="str">
        <f t="shared" si="194"/>
        <v>B</v>
      </c>
      <c r="DP149" s="97" t="str">
        <f t="shared" si="194"/>
        <v>A</v>
      </c>
      <c r="DQ149" s="97" t="str">
        <f t="shared" si="194"/>
        <v>A</v>
      </c>
      <c r="DR149" s="97" t="str">
        <f t="shared" si="194"/>
        <v>A</v>
      </c>
      <c r="DS149" s="97" t="str">
        <f t="shared" si="194"/>
        <v>B</v>
      </c>
      <c r="DT149" s="97" t="str">
        <f t="shared" si="194"/>
        <v>B</v>
      </c>
      <c r="DU149" s="97" t="str">
        <f t="shared" si="194"/>
        <v>A</v>
      </c>
      <c r="DV149" s="97" t="str">
        <f t="shared" si="194"/>
        <v>A</v>
      </c>
      <c r="DW149" s="97" t="str">
        <f t="shared" si="194"/>
        <v>A</v>
      </c>
      <c r="DX149" s="97" t="str">
        <f t="shared" si="194"/>
        <v>A</v>
      </c>
      <c r="DY149" s="97" t="str">
        <f t="shared" si="194"/>
        <v>B</v>
      </c>
      <c r="DZ149" s="97" t="str">
        <f t="shared" si="194"/>
        <v>B</v>
      </c>
      <c r="EA149" s="97" t="str">
        <f t="shared" si="194"/>
        <v>B</v>
      </c>
      <c r="EB149" s="97" t="str">
        <f t="shared" si="194"/>
        <v>A</v>
      </c>
      <c r="EC149" s="97" t="str">
        <f t="shared" si="194"/>
        <v>B</v>
      </c>
      <c r="ED149" s="97" t="str">
        <f t="shared" si="194"/>
        <v>B</v>
      </c>
      <c r="EE149" s="97" t="str">
        <f t="shared" si="194"/>
        <v>A</v>
      </c>
      <c r="EF149" s="97" t="str">
        <f t="shared" si="194"/>
        <v>A</v>
      </c>
      <c r="EG149" s="97" t="str">
        <f t="shared" si="194"/>
        <v>B</v>
      </c>
      <c r="EH149" s="97" t="str">
        <f t="shared" si="194"/>
        <v>A</v>
      </c>
      <c r="EI149" s="97" t="str">
        <f t="shared" si="194"/>
        <v>A</v>
      </c>
      <c r="EJ149" s="97" t="str">
        <f t="shared" si="194"/>
        <v>B</v>
      </c>
      <c r="EK149" s="97" t="str">
        <f t="shared" si="194"/>
        <v>B</v>
      </c>
      <c r="EL149" s="97" t="str">
        <f t="shared" si="194"/>
        <v>A</v>
      </c>
      <c r="EM149" s="97" t="str">
        <f t="shared" si="194"/>
        <v>B</v>
      </c>
      <c r="EN149" s="97" t="str">
        <f t="shared" si="194"/>
        <v>B</v>
      </c>
      <c r="EO149" s="97" t="str">
        <f t="shared" si="194"/>
        <v>A</v>
      </c>
      <c r="EP149" s="97" t="str">
        <f t="shared" si="194"/>
        <v>A</v>
      </c>
      <c r="EQ149" s="97" t="str">
        <f t="shared" si="194"/>
        <v>A</v>
      </c>
      <c r="ER149" s="97" t="str">
        <f t="shared" si="194"/>
        <v>B</v>
      </c>
      <c r="ES149" s="97" t="str">
        <f t="shared" si="194"/>
        <v>B</v>
      </c>
      <c r="ET149" s="97" t="str">
        <f t="shared" si="194"/>
        <v>B</v>
      </c>
      <c r="EU149" s="97" t="str">
        <f t="shared" si="194"/>
        <v>B</v>
      </c>
      <c r="EV149" s="97" t="str">
        <f t="shared" si="194"/>
        <v>B</v>
      </c>
      <c r="EW149" s="97" t="str">
        <f t="shared" si="194"/>
        <v>B</v>
      </c>
      <c r="EX149" s="97" t="str">
        <f t="shared" si="194"/>
        <v>B</v>
      </c>
      <c r="EY149" s="97" t="str">
        <f t="shared" si="194"/>
        <v>B</v>
      </c>
      <c r="EZ149" s="97" t="str">
        <f t="shared" si="194"/>
        <v>A</v>
      </c>
      <c r="FA149" s="97" t="str">
        <f t="shared" si="194"/>
        <v>B</v>
      </c>
      <c r="FB149" s="97" t="str">
        <f t="shared" si="194"/>
        <v>A</v>
      </c>
      <c r="FC149" s="97" t="str">
        <f t="shared" si="194"/>
        <v>B</v>
      </c>
      <c r="FD149" s="97" t="str">
        <f t="shared" si="194"/>
        <v>B</v>
      </c>
      <c r="FE149" s="97" t="str">
        <f t="shared" si="194"/>
        <v>B</v>
      </c>
      <c r="FF149" s="97" t="str">
        <f t="shared" si="194"/>
        <v>A</v>
      </c>
      <c r="FG149" s="97" t="str">
        <f t="shared" si="194"/>
        <v>B</v>
      </c>
      <c r="FH149" s="97" t="str">
        <f t="shared" si="194"/>
        <v>A</v>
      </c>
      <c r="FI149" s="97" t="str">
        <f t="shared" si="194"/>
        <v>A</v>
      </c>
      <c r="FJ149" s="97" t="str">
        <f t="shared" si="194"/>
        <v>A</v>
      </c>
      <c r="FK149" s="97" t="str">
        <f t="shared" si="194"/>
        <v>B</v>
      </c>
      <c r="FL149" s="97" t="str">
        <f t="shared" si="194"/>
        <v>A</v>
      </c>
      <c r="FM149" s="97" t="str">
        <f t="shared" si="194"/>
        <v>A</v>
      </c>
      <c r="FN149" s="97" t="str">
        <f t="shared" si="194"/>
        <v>A</v>
      </c>
      <c r="FO149" s="97" t="str">
        <f t="shared" si="194"/>
        <v>A</v>
      </c>
      <c r="FP149" s="97" t="str">
        <f t="shared" si="194"/>
        <v>B</v>
      </c>
      <c r="FQ149" s="97" t="str">
        <f t="shared" si="194"/>
        <v>B</v>
      </c>
      <c r="FR149" s="97" t="str">
        <f t="shared" si="194"/>
        <v>A</v>
      </c>
      <c r="FS149" s="97" t="str">
        <f t="shared" si="194"/>
        <v>B</v>
      </c>
      <c r="FT149" s="97" t="str">
        <f t="shared" si="194"/>
        <v>B</v>
      </c>
      <c r="FU149" s="97" t="str">
        <f t="shared" si="194"/>
        <v>B</v>
      </c>
      <c r="FV149" s="97" t="str">
        <f t="shared" si="194"/>
        <v>B</v>
      </c>
      <c r="FW149" s="97" t="str">
        <f t="shared" si="194"/>
        <v>B</v>
      </c>
      <c r="FX149" s="97" t="str">
        <f t="shared" si="194"/>
        <v>A</v>
      </c>
      <c r="FY149" s="97" t="str">
        <f t="shared" si="194"/>
        <v>B</v>
      </c>
      <c r="FZ149" s="97" t="str">
        <f t="shared" si="194"/>
        <v>B</v>
      </c>
      <c r="GA149" s="97" t="str">
        <f t="shared" si="194"/>
        <v>A</v>
      </c>
      <c r="GB149" s="97" t="str">
        <f t="shared" si="194"/>
        <v>A</v>
      </c>
      <c r="GC149" s="97" t="str">
        <f t="shared" si="194"/>
        <v>A</v>
      </c>
      <c r="GD149" s="97" t="str">
        <f t="shared" si="194"/>
        <v>B</v>
      </c>
      <c r="GE149" s="97" t="str">
        <f t="shared" si="194"/>
        <v>A</v>
      </c>
      <c r="GF149" s="97" t="str">
        <f t="shared" si="194"/>
        <v>A</v>
      </c>
      <c r="GG149" s="97" t="str">
        <f t="shared" si="194"/>
        <v>A</v>
      </c>
      <c r="GH149" s="97" t="str">
        <f t="shared" si="194"/>
        <v>B</v>
      </c>
      <c r="GI149" s="97" t="str">
        <f t="shared" si="194"/>
        <v>A</v>
      </c>
      <c r="GJ149" s="97" t="str">
        <f t="shared" si="194"/>
        <v>B</v>
      </c>
      <c r="GK149" s="97" t="str">
        <f t="shared" si="194"/>
        <v>A</v>
      </c>
      <c r="GL149" s="97" t="str">
        <f t="shared" si="194"/>
        <v>B</v>
      </c>
      <c r="GM149" s="97" t="str">
        <f t="shared" si="194"/>
        <v>A</v>
      </c>
      <c r="GN149" s="97" t="str">
        <f t="shared" si="194"/>
        <v>B</v>
      </c>
      <c r="GO149" s="97" t="str">
        <f t="shared" si="194"/>
        <v>B</v>
      </c>
      <c r="GP149" s="97" t="str">
        <f t="shared" si="194"/>
        <v>A</v>
      </c>
      <c r="GQ149" s="97" t="str">
        <f t="shared" si="194"/>
        <v>A</v>
      </c>
      <c r="GR149" s="97" t="str">
        <f t="shared" si="194"/>
        <v>A</v>
      </c>
      <c r="GS149" s="97" t="str">
        <f t="shared" si="194"/>
        <v>A</v>
      </c>
      <c r="GT149" s="97" t="str">
        <f t="shared" si="194"/>
        <v>A</v>
      </c>
      <c r="GU149" s="97" t="str">
        <f t="shared" si="194"/>
        <v>A</v>
      </c>
      <c r="GV149" s="97" t="str">
        <f t="shared" si="194"/>
        <v>A</v>
      </c>
      <c r="GW149" s="97" t="str">
        <f t="shared" si="194"/>
        <v>A</v>
      </c>
      <c r="GX149" s="97" t="str">
        <f t="shared" si="194"/>
        <v>A</v>
      </c>
      <c r="GY149" s="98"/>
      <c r="GZ149" s="97">
        <f t="shared" si="3"/>
        <v>51</v>
      </c>
      <c r="HA149" s="97">
        <f t="shared" si="4"/>
        <v>49</v>
      </c>
      <c r="HB149" s="90">
        <f t="shared" si="5"/>
        <v>100</v>
      </c>
      <c r="HC149" s="99"/>
      <c r="HD149" s="97">
        <f t="shared" si="6"/>
        <v>7</v>
      </c>
      <c r="HE149" s="97">
        <f t="shared" si="7"/>
        <v>4</v>
      </c>
      <c r="HF149" s="90">
        <f t="shared" si="8"/>
        <v>11</v>
      </c>
      <c r="HG149" s="99"/>
      <c r="HH149" s="97">
        <f t="shared" si="9"/>
        <v>8</v>
      </c>
      <c r="HI149" s="97">
        <f t="shared" si="10"/>
        <v>5</v>
      </c>
      <c r="HJ149" s="90">
        <f t="shared" si="11"/>
        <v>13</v>
      </c>
      <c r="HK149" s="99"/>
      <c r="HL149" s="97">
        <f t="shared" si="12"/>
        <v>5</v>
      </c>
      <c r="HM149" s="97">
        <f t="shared" si="13"/>
        <v>5</v>
      </c>
      <c r="HN149" s="90">
        <f t="shared" si="14"/>
        <v>10</v>
      </c>
      <c r="HO149" s="99"/>
      <c r="HP149" s="97">
        <f t="shared" si="15"/>
        <v>3</v>
      </c>
      <c r="HQ149" s="97">
        <f t="shared" si="16"/>
        <v>5</v>
      </c>
      <c r="HR149" s="90">
        <f t="shared" si="17"/>
        <v>8</v>
      </c>
      <c r="HS149" s="99"/>
      <c r="HT149" s="97">
        <f t="shared" si="18"/>
        <v>7</v>
      </c>
      <c r="HU149" s="97">
        <f t="shared" si="19"/>
        <v>8</v>
      </c>
      <c r="HV149" s="90">
        <f t="shared" si="20"/>
        <v>15</v>
      </c>
      <c r="HW149" s="99"/>
      <c r="HX149" s="97">
        <f t="shared" si="21"/>
        <v>4</v>
      </c>
      <c r="HY149" s="97">
        <f t="shared" si="22"/>
        <v>5</v>
      </c>
      <c r="HZ149" s="90">
        <f t="shared" si="23"/>
        <v>9</v>
      </c>
      <c r="IA149" s="99"/>
      <c r="IB149" s="97">
        <f t="shared" si="24"/>
        <v>4</v>
      </c>
      <c r="IC149" s="97">
        <f t="shared" si="25"/>
        <v>5</v>
      </c>
      <c r="ID149" s="90">
        <f t="shared" si="26"/>
        <v>9</v>
      </c>
      <c r="IE149" s="99"/>
      <c r="IF149" s="97">
        <f t="shared" si="27"/>
        <v>4</v>
      </c>
      <c r="IG149" s="97">
        <f t="shared" si="28"/>
        <v>6</v>
      </c>
      <c r="IH149" s="90">
        <f t="shared" si="29"/>
        <v>10</v>
      </c>
      <c r="II149" s="99"/>
      <c r="IJ149" s="97">
        <f t="shared" si="30"/>
        <v>5</v>
      </c>
      <c r="IK149" s="97">
        <f t="shared" si="31"/>
        <v>4</v>
      </c>
      <c r="IL149" s="90">
        <f t="shared" si="32"/>
        <v>9</v>
      </c>
      <c r="IM149" s="99"/>
      <c r="IN149" s="97">
        <f t="shared" si="33"/>
        <v>2</v>
      </c>
      <c r="IO149" s="97">
        <f t="shared" si="34"/>
        <v>1</v>
      </c>
      <c r="IP149" s="90">
        <f t="shared" si="35"/>
        <v>3</v>
      </c>
      <c r="IS149" s="100">
        <f t="shared" si="36"/>
        <v>11</v>
      </c>
      <c r="IT149" s="100">
        <f t="shared" si="37"/>
        <v>13</v>
      </c>
      <c r="IU149" s="100">
        <f t="shared" si="38"/>
        <v>10</v>
      </c>
      <c r="IV149" s="100">
        <f t="shared" si="39"/>
        <v>8</v>
      </c>
      <c r="IW149" s="100">
        <f t="shared" si="40"/>
        <v>15</v>
      </c>
      <c r="IX149" s="100">
        <f t="shared" si="41"/>
        <v>9</v>
      </c>
      <c r="IY149" s="100">
        <f t="shared" si="42"/>
        <v>9</v>
      </c>
      <c r="IZ149" s="100">
        <f t="shared" si="43"/>
        <v>10</v>
      </c>
      <c r="JA149" s="100">
        <f t="shared" si="44"/>
        <v>9</v>
      </c>
      <c r="JB149" s="101">
        <f t="shared" si="45"/>
        <v>3</v>
      </c>
      <c r="JC149" s="102">
        <f t="shared" si="46"/>
        <v>97</v>
      </c>
      <c r="JD149" s="67">
        <f t="shared" si="50"/>
        <v>0</v>
      </c>
      <c r="JE149" s="67">
        <f t="shared" si="47"/>
        <v>1</v>
      </c>
      <c r="JF149" s="67">
        <f t="shared" si="48"/>
        <v>1</v>
      </c>
    </row>
    <row r="150">
      <c r="A150" s="106">
        <f>IFERROR(__xludf.DUMMYFUNCTION("""COMPUTED_VALUE"""),45975.813274224536)</f>
        <v>45975.81327</v>
      </c>
      <c r="B150" s="107" t="str">
        <f>IFERROR(__xludf.DUMMYFUNCTION("""COMPUTED_VALUE"""),"GEYSa raipan ")</f>
        <v>GEYSa raipan </v>
      </c>
      <c r="C150" s="108" t="str">
        <f>IFERROR(__xludf.DUMMYFUNCTION("""COMPUTED_VALUE"""),"A250083")</f>
        <v>A250083</v>
      </c>
      <c r="D150" s="108" t="str">
        <f>IFERROR(__xludf.DUMMYFUNCTION("""COMPUTED_VALUE"""),"MTs Putra")</f>
        <v>MTs Putra</v>
      </c>
      <c r="E150" s="108" t="str">
        <f>IFERROR(__xludf.DUMMYFUNCTION("""COMPUTED_VALUE"""),"Ya")</f>
        <v>Ya</v>
      </c>
      <c r="F150" s="107" t="str">
        <f>IFERROR(__xludf.DUMMYFUNCTION("""COMPUTED_VALUE"""),"B Saya ingin melakukan apa saja sebaik mungkin.")</f>
        <v>B Saya ingin melakukan apa saja sebaik mungkin.</v>
      </c>
      <c r="G150" s="107" t="str">
        <f>IFERROR(__xludf.DUMMYFUNCTION("""COMPUTED_VALUE"""),"A Saya ingin setiap tulisan saya teliti, rapi, dan tersusun dengan baik.")</f>
        <v>A Saya ingin setiap tulisan saya teliti, rapi, dan tersusun dengan baik.</v>
      </c>
      <c r="H150" s="107" t="str">
        <f>IFERROR(__xludf.DUMMYFUNCTION("""COMPUTED_VALUE"""),"B Saya ingin menjadi orang yang diakui dalam suatu pekerjaan atau bidang khusus.")</f>
        <v>B Saya ingin menjadi orang yang diakui dalam suatu pekerjaan atau bidang khusus.</v>
      </c>
      <c r="I150" s="107" t="str">
        <f>IFERROR(__xludf.DUMMYFUNCTION("""COMPUTED_VALUE"""),"B Saya ingin bisa melakukan dengan baik meskipun tugas yang sulit.")</f>
        <v>B Saya ingin bisa melakukan dengan baik meskipun tugas yang sulit.</v>
      </c>
      <c r="J150" s="107" t="str">
        <f>IFERROR(__xludf.DUMMYFUNCTION("""COMPUTED_VALUE"""),"A Saya suka membantu teman-teman saya apabila mereka mengalami kesulitan.")</f>
        <v>A Saya suka membantu teman-teman saya apabila mereka mengalami kesulitan.</v>
      </c>
      <c r="K150" s="107" t="str">
        <f>IFERROR(__xludf.DUMMYFUNCTION("""COMPUTED_VALUE"""),"B Saya ingin mengatakan telah melakukan dengan baik sesuatu tugas yang sulit.")</f>
        <v>B Saya ingin mengatakan telah melakukan dengan baik sesuatu tugas yang sulit.</v>
      </c>
      <c r="L150" s="107" t="str">
        <f>IFERROR(__xludf.DUMMYFUNCTION("""COMPUTED_VALUE"""),"B Saya ingin mengatakan telah melakukan dengan baik sesuatu tugas yang sulit")</f>
        <v>B Saya ingin mengatakan telah melakukan dengan baik sesuatu tugas yang sulit</v>
      </c>
      <c r="M150" s="107" t="str">
        <f>IFERROR(__xludf.DUMMYFUNCTION("""COMPUTED_VALUE"""),"B Saya ingin mengerjakan segala tugas lebih baik daripada orang lain.")</f>
        <v>B Saya ingin mengerjakan segala tugas lebih baik daripada orang lain.</v>
      </c>
      <c r="N150" s="107" t="str">
        <f>IFERROR(__xludf.DUMMYFUNCTION("""COMPUTED_VALUE"""),"B Saya suka memecahkan persoalan yang sukar bagi orang lain.")</f>
        <v>B Saya suka memecahkan persoalan yang sukar bagi orang lain.</v>
      </c>
      <c r="O150" s="107" t="str">
        <f>IFERROR(__xludf.DUMMYFUNCTION("""COMPUTED_VALUE"""),"B Saya suka melakukan tugas sebaik mungkin.")</f>
        <v>B Saya suka melakukan tugas sebaik mungkin.</v>
      </c>
      <c r="P150" s="107" t="str">
        <f>IFERROR(__xludf.DUMMYFUNCTION("""COMPUTED_VALUE"""),"B Saya ingin setiap belajar itu teratur dan direncanakan.")</f>
        <v>B Saya ingin setiap belajar itu teratur dan direncanakan.</v>
      </c>
      <c r="Q150" s="107" t="str">
        <f>IFERROR(__xludf.DUMMYFUNCTION("""COMPUTED_VALUE"""),"B Saya merencanakan keperluan yang dibutuhkan sebelum bepergian.")</f>
        <v>B Saya merencanakan keperluan yang dibutuhkan sebelum bepergian.</v>
      </c>
      <c r="R150" s="107" t="str">
        <f>IFERROR(__xludf.DUMMYFUNCTION("""COMPUTED_VALUE"""),"B Saya suka barang-barang saya tersusun rapi dan teratur.")</f>
        <v>B Saya suka barang-barang saya tersusun rapi dan teratur.</v>
      </c>
      <c r="S150" s="107" t="str">
        <f>IFERROR(__xludf.DUMMYFUNCTION("""COMPUTED_VALUE"""),"A Saya ingin agar teman-teman pengertian bila saya mengalami kesukaran.")</f>
        <v>A Saya ingin agar teman-teman pengertian bila saya mengalami kesukaran.</v>
      </c>
      <c r="T150" s="107" t="str">
        <f>IFERROR(__xludf.DUMMYFUNCTION("""COMPUTED_VALUE"""),"B Saya ingin agar hidup saya teratur sesuai cita-cita saya.")</f>
        <v>B Saya ingin agar hidup saya teratur sesuai cita-cita saya.</v>
      </c>
      <c r="U150" s="107" t="str">
        <f>IFERROR(__xludf.DUMMYFUNCTION("""COMPUTED_VALUE"""),"A Saya suka memberikan bantuan kepada teman-teman saya.")</f>
        <v>A Saya suka memberikan bantuan kepada teman-teman saya.</v>
      </c>
      <c r="V150" s="107" t="str">
        <f>IFERROR(__xludf.DUMMYFUNCTION("""COMPUTED_VALUE"""),"B Saya suka belajar saya teratur dan ada waktu-waktu tertentu untuk belajar.")</f>
        <v>B Saya suka belajar saya teratur dan ada waktu-waktu tertentu untuk belajar.</v>
      </c>
      <c r="W150" s="107" t="str">
        <f>IFERROR(__xludf.DUMMYFUNCTION("""COMPUTED_VALUE"""),"A Saya suka melakukan kegiatan sesuai kondisi yang saya inginkan.")</f>
        <v>A Saya suka melakukan kegiatan sesuai kondisi yang saya inginkan.</v>
      </c>
      <c r="X150" s="107" t="str">
        <f>IFERROR(__xludf.DUMMYFUNCTION("""COMPUTED_VALUE"""),"B Saya ingin agar hidup saya teratur sesuai cita-cita saya.")</f>
        <v>B Saya ingin agar hidup saya teratur sesuai cita-cita saya.</v>
      </c>
      <c r="Y150" s="107" t="str">
        <f>IFERROR(__xludf.DUMMYFUNCTION("""COMPUTED_VALUE"""),"B Saya senang merencanakan untuk masa depan.")</f>
        <v>B Saya senang merencanakan untuk masa depan.</v>
      </c>
      <c r="Z150" s="107" t="str">
        <f>IFERROR(__xludf.DUMMYFUNCTION("""COMPUTED_VALUE"""),"A Saya ingin berhasil dengan belajar yang saya lakukan.")</f>
        <v>A Saya ingin berhasil dengan belajar yang saya lakukan.</v>
      </c>
      <c r="AA150" s="107" t="str">
        <f>IFERROR(__xludf.DUMMYFUNCTION("""COMPUTED_VALUE"""),"A Saya suka menyelesaikan tugas yang telah saya rencanakan.")</f>
        <v>A Saya suka menyelesaikan tugas yang telah saya rencanakan.</v>
      </c>
      <c r="AB150" s="107" t="str">
        <f>IFERROR(__xludf.DUMMYFUNCTION("""COMPUTED_VALUE"""),"B Saya ingin menyelesaikan pekerjaan satu persatu sebelum memulai yang lain.")</f>
        <v>B Saya ingin menyelesaikan pekerjaan satu persatu sebelum memulai yang lain.</v>
      </c>
      <c r="AC150" s="107" t="str">
        <f>IFERROR(__xludf.DUMMYFUNCTION("""COMPUTED_VALUE"""),"B Saya suka melakukan kegiatan sesuai kondisi yang saya inginkan.")</f>
        <v>B Saya suka melakukan kegiatan sesuai kondisi yang saya inginkan.</v>
      </c>
      <c r="AD150" s="107" t="str">
        <f>IFERROR(__xludf.DUMMYFUNCTION("""COMPUTED_VALUE"""),"B Saya suka menyatakan pendapat saya tentang berbagai hal.")</f>
        <v>B Saya suka menyatakan pendapat saya tentang berbagai hal.</v>
      </c>
      <c r="AE150" s="107" t="str">
        <f>IFERROR(__xludf.DUMMYFUNCTION("""COMPUTED_VALUE"""),"A Saya ingin dianggap sebagai pemimpin oleh teman di kelompok.")</f>
        <v>A Saya ingin dianggap sebagai pemimpin oleh teman di kelompok.</v>
      </c>
      <c r="AF150" s="107" t="str">
        <f>IFERROR(__xludf.DUMMYFUNCTION("""COMPUTED_VALUE"""),"B Saya suka melakukan hal-hal dengan cara saya sendiri.")</f>
        <v>B Saya suka melakukan hal-hal dengan cara saya sendiri.</v>
      </c>
      <c r="AG150" s="107" t="str">
        <f>IFERROR(__xludf.DUMMYFUNCTION("""COMPUTED_VALUE"""),"B Saya ingin berhasil dengan tugas yang saya lakukan.")</f>
        <v>B Saya ingin berhasil dengan tugas yang saya lakukan.</v>
      </c>
      <c r="AH150" s="107" t="str">
        <f>IFERROR(__xludf.DUMMYFUNCTION("""COMPUTED_VALUE"""),"B Saya ingin merasa bebas untuk melakukan apa yang saya kehendaki.")</f>
        <v>B Saya ingin merasa bebas untuk melakukan apa yang saya kehendaki.</v>
      </c>
      <c r="AI150" s="107" t="str">
        <f>IFERROR(__xludf.DUMMYFUNCTION("""COMPUTED_VALUE"""),"B Saya suka melakukan kegiatan sesuai kondisi yang saya inginkan.")</f>
        <v>B Saya suka melakukan kegiatan sesuai kondisi yang saya inginkan.</v>
      </c>
      <c r="AJ150" s="107" t="str">
        <f>IFERROR(__xludf.DUMMYFUNCTION("""COMPUTED_VALUE"""),"B Saya suka bertahan menghadapi satu masalah meskipun belum tentu berhasil.")</f>
        <v>B Saya suka bertahan menghadapi satu masalah meskipun belum tentu berhasil.</v>
      </c>
      <c r="AK150" s="107" t="str">
        <f>IFERROR(__xludf.DUMMYFUNCTION("""COMPUTED_VALUE"""),"B Bila saya harus melakukan suatu tugas, saya ingin mengerjakan sampai selesai.")</f>
        <v>B Bila saya harus melakukan suatu tugas, saya ingin mengerjakan sampai selesai.</v>
      </c>
      <c r="AL150" s="107" t="str">
        <f>IFERROR(__xludf.DUMMYFUNCTION("""COMPUTED_VALUE"""),"B Saya ingin menghindarkan gangguan bila saya sedang belajar.")</f>
        <v>B Saya ingin menghindarkan gangguan bila saya sedang belajar.</v>
      </c>
      <c r="AM150" s="107" t="str">
        <f>IFERROR(__xludf.DUMMYFUNCTION("""COMPUTED_VALUE"""),"B Saya suka belajar sampai malam untuk menyelesaikan suatu tugas.")</f>
        <v>B Saya suka belajar sampai malam untuk menyelesaikan suatu tugas.</v>
      </c>
      <c r="AN150" s="107" t="str">
        <f>IFERROR(__xludf.DUMMYFUNCTION("""COMPUTED_VALUE"""),"A Saya tidak suka pada orang yang semena-mena.")</f>
        <v>A Saya tidak suka pada orang yang semena-mena.</v>
      </c>
      <c r="AO150" s="107" t="str">
        <f>IFERROR(__xludf.DUMMYFUNCTION("""COMPUTED_VALUE"""),"A Saya suka berlaku sangat ramah terhadap teman-teman saya.")</f>
        <v>A Saya suka berlaku sangat ramah terhadap teman-teman saya.</v>
      </c>
      <c r="AP150" s="107" t="str">
        <f>IFERROR(__xludf.DUMMYFUNCTION("""COMPUTED_VALUE"""),"B Saya suka bertahan menghadapi satu masalah meskipun belum tentu berhasil.")</f>
        <v>B Saya suka bertahan menghadapi satu masalah meskipun belum tentu berhasil.</v>
      </c>
      <c r="AQ150" s="107" t="str">
        <f>IFERROR(__xludf.DUMMYFUNCTION("""COMPUTED_VALUE"""),"B Bila saya harus melakukan suatu tugas, saya ingin mengerjakan sampai selesai.")</f>
        <v>B Bila saya harus melakukan suatu tugas, saya ingin mengerjakan sampai selesai.</v>
      </c>
      <c r="AR150" s="107" t="str">
        <f>IFERROR(__xludf.DUMMYFUNCTION("""COMPUTED_VALUE"""),"B Saya suka belajar keras pada tiap pelajaran yang saya hadapi.")</f>
        <v>B Saya suka belajar keras pada tiap pelajaran yang saya hadapi.</v>
      </c>
      <c r="AS150" s="107" t="str">
        <f>IFERROR(__xludf.DUMMYFUNCTION("""COMPUTED_VALUE"""),"A Saya ingin dapat menyelesaikan persoalan yang dianggap sukar bagi orang lain.")</f>
        <v>A Saya ingin dapat menyelesaikan persoalan yang dianggap sukar bagi orang lain.</v>
      </c>
      <c r="AT150" s="107" t="str">
        <f>IFERROR(__xludf.DUMMYFUNCTION("""COMPUTED_VALUE"""),"A Saya ingin bisa melakukan dengan baik sesuatu pekerjaan sulit.")</f>
        <v>A Saya ingin bisa melakukan dengan baik sesuatu pekerjaan sulit.</v>
      </c>
      <c r="AU150" s="107" t="str">
        <f>IFERROR(__xludf.DUMMYFUNCTION("""COMPUTED_VALUE"""),"B Saya suka bermurah hati terhadap teman-teman saya.")</f>
        <v>B Saya suka bermurah hati terhadap teman-teman saya.</v>
      </c>
      <c r="AV150" s="107" t="str">
        <f>IFERROR(__xludf.DUMMYFUNCTION("""COMPUTED_VALUE"""),"B Saya suka menolong teman-teman saya.")</f>
        <v>B Saya suka menolong teman-teman saya.</v>
      </c>
      <c r="AW150" s="107" t="str">
        <f>IFERROR(__xludf.DUMMYFUNCTION("""COMPUTED_VALUE"""),"B Saya ingin teman-teman saya percaya bahwa saya bisa menolong mereka.")</f>
        <v>B Saya ingin teman-teman saya percaya bahwa saya bisa menolong mereka.</v>
      </c>
      <c r="AX150" s="107" t="str">
        <f>IFERROR(__xludf.DUMMYFUNCTION("""COMPUTED_VALUE"""),"A Saya suka menolong teman-teman saya apabila mereka dalam kesulitan.")</f>
        <v>A Saya suka menolong teman-teman saya apabila mereka dalam kesulitan.</v>
      </c>
      <c r="AY150" s="107" t="str">
        <f>IFERROR(__xludf.DUMMYFUNCTION("""COMPUTED_VALUE"""),"B Saya suka menolong teman-teman saya apabila mereka dalam kesulitan.")</f>
        <v>B Saya suka menolong teman-teman saya apabila mereka dalam kesulitan.</v>
      </c>
      <c r="AZ150" s="107" t="str">
        <f>IFERROR(__xludf.DUMMYFUNCTION("""COMPUTED_VALUE"""),"A Saya ingin agar teman-teman saya bersimpati dan menghibur saya bila saya sedih.")</f>
        <v>A Saya ingin agar teman-teman saya bersimpati dan menghibur saya bila saya sedih.</v>
      </c>
      <c r="BA150" s="107" t="str">
        <f>IFERROR(__xludf.DUMMYFUNCTION("""COMPUTED_VALUE"""),"B Saya suka memperlakukan orang lain dengan baik dan ramah.")</f>
        <v>B Saya suka memperlakukan orang lain dengan baik dan ramah.</v>
      </c>
      <c r="BB150" s="107" t="str">
        <f>IFERROR(__xludf.DUMMYFUNCTION("""COMPUTED_VALUE"""),"A Saya berkeinginan untuk bersama orang yang menarik bagi saya.")</f>
        <v>A Saya berkeinginan untuk bersama orang yang menarik bagi saya.</v>
      </c>
      <c r="BC150" s="107" t="str">
        <f>IFERROR(__xludf.DUMMYFUNCTION("""COMPUTED_VALUE"""),"B Saya suka membantu orang lain yang menurut saya perlu dikasihani.")</f>
        <v>B Saya suka membantu orang lain yang menurut saya perlu dikasihani.</v>
      </c>
      <c r="BD150" s="107" t="str">
        <f>IFERROR(__xludf.DUMMYFUNCTION("""COMPUTED_VALUE"""),"B Saya suka bersikukuh dengan pendirian saya.")</f>
        <v>B Saya suka bersikukuh dengan pendirian saya.</v>
      </c>
      <c r="BE150" s="107" t="str">
        <f>IFERROR(__xludf.DUMMYFUNCTION("""COMPUTED_VALUE"""),"B Saya ingin orang lain melakukan apa yang saya kehendaki.")</f>
        <v>B Saya ingin orang lain melakukan apa yang saya kehendaki.</v>
      </c>
      <c r="BF150" s="107" t="str">
        <f>IFERROR(__xludf.DUMMYFUNCTION("""COMPUTED_VALUE"""),"B Bila saya dalam kelompok, saya ingin menentukan apa yang akan kita lakukan.")</f>
        <v>B Bila saya dalam kelompok, saya ingin menentukan apa yang akan kita lakukan.</v>
      </c>
      <c r="BG150" s="107" t="str">
        <f>IFERROR(__xludf.DUMMYFUNCTION("""COMPUTED_VALUE"""),"B Saya suka mengarahkan kepada orang lain apa yang harus dilakukan.")</f>
        <v>B Saya suka mengarahkan kepada orang lain apa yang harus dilakukan.</v>
      </c>
      <c r="BH150" s="107" t="str">
        <f>IFERROR(__xludf.DUMMYFUNCTION("""COMPUTED_VALUE"""),"A Saya suka menghindar dari situasi yang tidak saya harapkan.")</f>
        <v>A Saya suka menghindar dari situasi yang tidak saya harapkan.</v>
      </c>
      <c r="BI150" s="107" t="str">
        <f>IFERROR(__xludf.DUMMYFUNCTION("""COMPUTED_VALUE"""),"B Saya ingin orang lain melakukan apa yang saya kehendaki.")</f>
        <v>B Saya ingin orang lain melakukan apa yang saya kehendaki.</v>
      </c>
      <c r="BJ150" s="107" t="str">
        <f>IFERROR(__xludf.DUMMYFUNCTION("""COMPUTED_VALUE"""),"B Saya ingin menjadi pemimpin dalam kelompok di mana saya ada di situ")</f>
        <v>B Saya ingin menjadi pemimpin dalam kelompok di mana saya ada di situ</v>
      </c>
      <c r="BK150" s="107" t="str">
        <f>IFERROR(__xludf.DUMMYFUNCTION("""COMPUTED_VALUE"""),"B Saya senang untuk diminta menyelesaikan pertentangan-pertentangan.")</f>
        <v>B Saya senang untuk diminta menyelesaikan pertentangan-pertentangan.</v>
      </c>
      <c r="BL150" s="107" t="str">
        <f>IFERROR(__xludf.DUMMYFUNCTION("""COMPUTED_VALUE"""),"A Saya suka belajar saya teratur dan ada waktu-waktu tertentu untuk belajar.")</f>
        <v>A Saya suka belajar saya teratur dan ada waktu-waktu tertentu untuk belajar.</v>
      </c>
      <c r="BM150" s="107" t="str">
        <f>IFERROR(__xludf.DUMMYFUNCTION("""COMPUTED_VALUE"""),"B Saya ingin orang lain melakukan apa yang saya kehendaki.")</f>
        <v>B Saya ingin orang lain melakukan apa yang saya kehendaki.</v>
      </c>
      <c r="BN150" s="107" t="str">
        <f>IFERROR(__xludf.DUMMYFUNCTION("""COMPUTED_VALUE"""),"B Saya ingin teman-teman memberi dorongan bila saya menghadapi kegagalan.")</f>
        <v>B Saya ingin teman-teman memberi dorongan bila saya menghadapi kegagalan.</v>
      </c>
      <c r="BO150" s="107" t="str">
        <f>IFERROR(__xludf.DUMMYFUNCTION("""COMPUTED_VALUE"""),"B Saya ingin diperlakukan dengan baik oleh teman-teman saya.")</f>
        <v>B Saya ingin diperlakukan dengan baik oleh teman-teman saya.</v>
      </c>
      <c r="BP150" s="107" t="str">
        <f>IFERROR(__xludf.DUMMYFUNCTION("""COMPUTED_VALUE"""),"B Saya ingin teman-teman saya merasa kasihan pada saya apabila saya sakit.")</f>
        <v>B Saya ingin teman-teman saya merasa kasihan pada saya apabila saya sakit.</v>
      </c>
      <c r="BQ150" s="107" t="str">
        <f>IFERROR(__xludf.DUMMYFUNCTION("""COMPUTED_VALUE"""),"A Saya ingin mengerjakannya tugas sampai selesai.")</f>
        <v>A Saya ingin mengerjakannya tugas sampai selesai.</v>
      </c>
      <c r="BR150" s="107" t="str">
        <f>IFERROR(__xludf.DUMMYFUNCTION("""COMPUTED_VALUE"""),"A Saya suka memaafkan teman-teman saya yang menyakiti hati saya.")</f>
        <v>A Saya suka memaafkan teman-teman saya yang menyakiti hati saya.</v>
      </c>
      <c r="BS150" s="107" t="str">
        <f>IFERROR(__xludf.DUMMYFUNCTION("""COMPUTED_VALUE"""),"B Saya ingin teman-teman saya membantu saya bila saya mengalami kesulitan")</f>
        <v>B Saya ingin teman-teman saya membantu saya bila saya mengalami kesulitan</v>
      </c>
      <c r="BT150" s="107" t="str">
        <f>IFERROR(__xludf.DUMMYFUNCTION("""COMPUTED_VALUE"""),"A Saya ingin teman-teman saya merasa kasihan pada saya apabila saya sakit.")</f>
        <v>A Saya ingin teman-teman saya merasa kasihan pada saya apabila saya sakit.</v>
      </c>
      <c r="BU150" s="107" t="str">
        <f>IFERROR(__xludf.DUMMYFUNCTION("""COMPUTED_VALUE"""),"A Saya kadang-kadang suka melakukan hal-hal yang dapat dipuji oleh orang lain.")</f>
        <v>A Saya kadang-kadang suka melakukan hal-hal yang dapat dipuji oleh orang lain.</v>
      </c>
      <c r="BV150" s="107" t="str">
        <f>IFERROR(__xludf.DUMMYFUNCTION("""COMPUTED_VALUE"""),"B Saya ingin teman-teman dengan gembira memberikan pertolongan kepada saya.")</f>
        <v>B Saya ingin teman-teman dengan gembira memberikan pertolongan kepada saya.</v>
      </c>
      <c r="BW150" s="107" t="str">
        <f>IFERROR(__xludf.DUMMYFUNCTION("""COMPUTED_VALUE"""),"B Saya ingin diperlakukan dengan baik oleh teman-teman saya.")</f>
        <v>B Saya ingin diperlakukan dengan baik oleh teman-teman saya.</v>
      </c>
      <c r="BX150" s="107" t="str">
        <f>IFERROR(__xludf.DUMMYFUNCTION("""COMPUTED_VALUE"""),"B Saya kadang-kadang suka melakukan hal-hal yang dapat dipuji oleh orang lain.")</f>
        <v>B Saya kadang-kadang suka melakukan hal-hal yang dapat dipuji oleh orang lain.</v>
      </c>
      <c r="BY150" s="107" t="str">
        <f>IFERROR(__xludf.DUMMYFUNCTION("""COMPUTED_VALUE"""),"A Saya suka melamun atau membayangkan hal-hal yang tidak jelas.")</f>
        <v>A Saya suka melamun atau membayangkan hal-hal yang tidak jelas.</v>
      </c>
      <c r="BZ150" s="107" t="str">
        <f>IFERROR(__xludf.DUMMYFUNCTION("""COMPUTED_VALUE"""),"A Saya suka berkata yang artinya sulit dipahami oleh orang lain.")</f>
        <v>A Saya suka berkata yang artinya sulit dipahami oleh orang lain.</v>
      </c>
      <c r="CA150" s="107" t="str">
        <f>IFERROR(__xludf.DUMMYFUNCTION("""COMPUTED_VALUE"""),"B Saya suka mengajukan pertanyaan agar orang lain memperhatikan saya.")</f>
        <v>B Saya suka mengajukan pertanyaan agar orang lain memperhatikan saya.</v>
      </c>
      <c r="CB150" s="107" t="str">
        <f>IFERROR(__xludf.DUMMYFUNCTION("""COMPUTED_VALUE"""),"B Saya suka berbicara tentang hal-hal yang telah saya capai.")</f>
        <v>B Saya suka berbicara tentang hal-hal yang telah saya capai.</v>
      </c>
      <c r="CC150" s="107" t="str">
        <f>IFERROR(__xludf.DUMMYFUNCTION("""COMPUTED_VALUE"""),"A Apabila saya berkumpul dalam kelompok, saya ingin dihargai teman-teman.")</f>
        <v>A Apabila saya berkumpul dalam kelompok, saya ingin dihargai teman-teman.</v>
      </c>
      <c r="CD150" s="107" t="str">
        <f>IFERROR(__xludf.DUMMYFUNCTION("""COMPUTED_VALUE"""),"B Saya suka berkata yang artinya sulit dipahami oleh orang lain.")</f>
        <v>B Saya suka berkata yang artinya sulit dipahami oleh orang lain.</v>
      </c>
      <c r="CE150" s="107" t="str">
        <f>IFERROR(__xludf.DUMMYFUNCTION("""COMPUTED_VALUE"""),"B Saya kadang-kadang suka melakukan hal-hal yang dapat dipuji oleh orang lain.")</f>
        <v>B Saya kadang-kadang suka melakukan hal-hal yang dapat dipuji oleh orang lain.</v>
      </c>
      <c r="CF150" s="107" t="str">
        <f>IFERROR(__xludf.DUMMYFUNCTION("""COMPUTED_VALUE"""),"A Saya ingin agar hidup saya teratur sesuai cita-cita saya.")</f>
        <v>A Saya ingin agar hidup saya teratur sesuai cita-cita saya.</v>
      </c>
      <c r="CG150" s="107" t="str">
        <f>IFERROR(__xludf.DUMMYFUNCTION("""COMPUTED_VALUE"""),"A Saya ingin berhasil dalam apa yang saya lakukan.")</f>
        <v>A Saya ingin berhasil dalam apa yang saya lakukan.</v>
      </c>
      <c r="CH150" s="107" t="str">
        <f>IFERROR(__xludf.DUMMYFUNCTION("""COMPUTED_VALUE"""),"A Saya ingin bisa melakukan dengan baik sesuatu pekerjaan sulit.")</f>
        <v>A Saya ingin bisa melakukan dengan baik sesuatu pekerjaan sulit.</v>
      </c>
      <c r="CI150" s="107" t="str">
        <f>IFERROR(__xludf.DUMMYFUNCTION("""COMPUTED_VALUE"""),"A Saya suka belajar saya teratur dan ada waktu-waktu tertentu untuk belajar.")</f>
        <v>A Saya suka belajar saya teratur dan ada waktu-waktu tertentu untuk belajar.</v>
      </c>
      <c r="CJ150" s="107" t="str">
        <f>IFERROR(__xludf.DUMMYFUNCTION("""COMPUTED_VALUE"""),"A Saya ingin tidak tergantung dari orang lain terhadap apa yang akan saya lakukan.")</f>
        <v>A Saya ingin tidak tergantung dari orang lain terhadap apa yang akan saya lakukan.</v>
      </c>
      <c r="CK150" s="107" t="str">
        <f>IFERROR(__xludf.DUMMYFUNCTION("""COMPUTED_VALUE"""),"A Saya suka bertahan menghadapi satu masalah, meskipun belum tentu berhasil.")</f>
        <v>A Saya suka bertahan menghadapi satu masalah, meskipun belum tentu berhasil.</v>
      </c>
      <c r="CL150" s="107" t="str">
        <f>IFERROR(__xludf.DUMMYFUNCTION("""COMPUTED_VALUE"""),"B Saya berkeinginan untuk bersama teman yang menurut saya menarik.")</f>
        <v>B Saya berkeinginan untuk bersama teman yang menurut saya menarik.</v>
      </c>
      <c r="CM150" s="107" t="str">
        <f>IFERROR(__xludf.DUMMYFUNCTION("""COMPUTED_VALUE"""),"B Saya merasa kagum pada seseorang.")</f>
        <v>B Saya merasa kagum pada seseorang.</v>
      </c>
      <c r="CN150" s="107" t="str">
        <f>IFERROR(__xludf.DUMMYFUNCTION("""COMPUTED_VALUE"""),"A Saya ingin diperlakukan dengan baik oleh teman-teman saya.")</f>
        <v>A Saya ingin diperlakukan dengan baik oleh teman-teman saya.</v>
      </c>
      <c r="CO150" s="107" t="str">
        <f>IFERROR(__xludf.DUMMYFUNCTION("""COMPUTED_VALUE"""),"B Saya suka memuji orang yang saya kagumi.")</f>
        <v>B Saya suka memuji orang yang saya kagumi.</v>
      </c>
      <c r="CP150" s="107" t="str">
        <f>IFERROR(__xludf.DUMMYFUNCTION("""COMPUTED_VALUE"""),"A Saya suka melamun atau membayangkan sesuatu sendirian.")</f>
        <v>A Saya suka melamun atau membayangkan sesuatu sendirian.</v>
      </c>
      <c r="CQ150" s="107" t="str">
        <f>IFERROR(__xludf.DUMMYFUNCTION("""COMPUTED_VALUE"""),"A Saya ingin menggertak orang bila saya berbeda pendapat dengan mereka.")</f>
        <v>A Saya ingin menggertak orang bila saya berbeda pendapat dengan mereka.</v>
      </c>
      <c r="CR150" s="107" t="str">
        <f>IFERROR(__xludf.DUMMYFUNCTION("""COMPUTED_VALUE"""),"B Saya rasanya ingin mengecam seseorang bila orang itu menjengkelkan.")</f>
        <v>B Saya rasanya ingin mengecam seseorang bila orang itu menjengkelkan.</v>
      </c>
      <c r="CS150" s="107" t="str">
        <f>IFERROR(__xludf.DUMMYFUNCTION("""COMPUTED_VALUE"""),"A Saya ingin terlihat menarik di depan teman-teman saya.")</f>
        <v>A Saya ingin terlihat menarik di depan teman-teman saya.</v>
      </c>
      <c r="CT150" s="107" t="str">
        <f>IFERROR(__xludf.DUMMYFUNCTION("""COMPUTED_VALUE"""),"B Saya saat marah rasanya ingin melemparkan dan merusak barang-barang.")</f>
        <v>B Saya saat marah rasanya ingin melemparkan dan merusak barang-barang.</v>
      </c>
      <c r="CU150" s="107" t="str">
        <f>IFERROR(__xludf.DUMMYFUNCTION("""COMPUTED_VALUE"""),"B Saya ingin menyalahkan orang lain bila keadaan tidak baik bagi saya.")</f>
        <v>B Saya ingin menyalahkan orang lain bila keadaan tidak baik bagi saya.</v>
      </c>
      <c r="CV150" s="107" t="str">
        <f>IFERROR(__xludf.DUMMYFUNCTION("""COMPUTED_VALUE"""),"B Saya menyerang pendirian-pendirian yang bertentangan dengan pendirian saya.")</f>
        <v>B Saya menyerang pendirian-pendirian yang bertentangan dengan pendirian saya.</v>
      </c>
      <c r="CW150" s="107" t="str">
        <f>IFERROR(__xludf.DUMMYFUNCTION("""COMPUTED_VALUE"""),"B Saya mengatakan kepada orang lain bagaimana pendapat saya terhadap mereka.")</f>
        <v>B Saya mengatakan kepada orang lain bagaimana pendapat saya terhadap mereka.</v>
      </c>
      <c r="CX150" s="107" t="str">
        <f>IFERROR(__xludf.DUMMYFUNCTION("""COMPUTED_VALUE"""),"A Saya suka belajar sampai malam untuk menyelesaikan suatu tugas.")</f>
        <v>A Saya suka belajar sampai malam untuk menyelesaikan suatu tugas.</v>
      </c>
      <c r="CY150" s="107" t="str">
        <f>IFERROR(__xludf.DUMMYFUNCTION("""COMPUTED_VALUE"""),"A Saya ingin tidak tergantung dari orang lain terhadap apa yang akan saya lakukan.")</f>
        <v>A Saya ingin tidak tergantung dari orang lain terhadap apa yang akan saya lakukan.</v>
      </c>
      <c r="CZ150" s="107" t="str">
        <f>IFERROR(__xludf.DUMMYFUNCTION("""COMPUTED_VALUE"""),"A Saya suka merencanakan dan mengatur setiap pekerjaan yang harus saya lakukan.")</f>
        <v>A Saya suka merencanakan dan mengatur setiap pekerjaan yang harus saya lakukan.</v>
      </c>
      <c r="DA150" s="107" t="str">
        <f>IFERROR(__xludf.DUMMYFUNCTION("""COMPUTED_VALUE"""),"A Saya ingin melakukan apa saja sebaik mungkin.")</f>
        <v>A Saya ingin melakukan apa saja sebaik mungkin.</v>
      </c>
      <c r="DB150" s="109" t="s">
        <v>23</v>
      </c>
      <c r="DC150" s="110" t="str">
        <f t="shared" ref="DC150:GX150" si="195">LEFT(F150,1)</f>
        <v>B</v>
      </c>
      <c r="DD150" s="110" t="str">
        <f t="shared" si="195"/>
        <v>A</v>
      </c>
      <c r="DE150" s="110" t="str">
        <f t="shared" si="195"/>
        <v>B</v>
      </c>
      <c r="DF150" s="110" t="str">
        <f t="shared" si="195"/>
        <v>B</v>
      </c>
      <c r="DG150" s="110" t="str">
        <f t="shared" si="195"/>
        <v>A</v>
      </c>
      <c r="DH150" s="110" t="str">
        <f t="shared" si="195"/>
        <v>B</v>
      </c>
      <c r="DI150" s="110" t="str">
        <f t="shared" si="195"/>
        <v>B</v>
      </c>
      <c r="DJ150" s="110" t="str">
        <f t="shared" si="195"/>
        <v>B</v>
      </c>
      <c r="DK150" s="110" t="str">
        <f t="shared" si="195"/>
        <v>B</v>
      </c>
      <c r="DL150" s="110" t="str">
        <f t="shared" si="195"/>
        <v>B</v>
      </c>
      <c r="DM150" s="110" t="str">
        <f t="shared" si="195"/>
        <v>B</v>
      </c>
      <c r="DN150" s="110" t="str">
        <f t="shared" si="195"/>
        <v>B</v>
      </c>
      <c r="DO150" s="110" t="str">
        <f t="shared" si="195"/>
        <v>B</v>
      </c>
      <c r="DP150" s="110" t="str">
        <f t="shared" si="195"/>
        <v>A</v>
      </c>
      <c r="DQ150" s="110" t="str">
        <f t="shared" si="195"/>
        <v>B</v>
      </c>
      <c r="DR150" s="110" t="str">
        <f t="shared" si="195"/>
        <v>A</v>
      </c>
      <c r="DS150" s="110" t="str">
        <f t="shared" si="195"/>
        <v>B</v>
      </c>
      <c r="DT150" s="110" t="str">
        <f t="shared" si="195"/>
        <v>A</v>
      </c>
      <c r="DU150" s="110" t="str">
        <f t="shared" si="195"/>
        <v>B</v>
      </c>
      <c r="DV150" s="110" t="str">
        <f t="shared" si="195"/>
        <v>B</v>
      </c>
      <c r="DW150" s="110" t="str">
        <f t="shared" si="195"/>
        <v>A</v>
      </c>
      <c r="DX150" s="110" t="str">
        <f t="shared" si="195"/>
        <v>A</v>
      </c>
      <c r="DY150" s="110" t="str">
        <f t="shared" si="195"/>
        <v>B</v>
      </c>
      <c r="DZ150" s="110" t="str">
        <f t="shared" si="195"/>
        <v>B</v>
      </c>
      <c r="EA150" s="110" t="str">
        <f t="shared" si="195"/>
        <v>B</v>
      </c>
      <c r="EB150" s="110" t="str">
        <f t="shared" si="195"/>
        <v>A</v>
      </c>
      <c r="EC150" s="110" t="str">
        <f t="shared" si="195"/>
        <v>B</v>
      </c>
      <c r="ED150" s="110" t="str">
        <f t="shared" si="195"/>
        <v>B</v>
      </c>
      <c r="EE150" s="110" t="str">
        <f t="shared" si="195"/>
        <v>B</v>
      </c>
      <c r="EF150" s="110" t="str">
        <f t="shared" si="195"/>
        <v>B</v>
      </c>
      <c r="EG150" s="110" t="str">
        <f t="shared" si="195"/>
        <v>B</v>
      </c>
      <c r="EH150" s="110" t="str">
        <f t="shared" si="195"/>
        <v>B</v>
      </c>
      <c r="EI150" s="110" t="str">
        <f t="shared" si="195"/>
        <v>B</v>
      </c>
      <c r="EJ150" s="110" t="str">
        <f t="shared" si="195"/>
        <v>B</v>
      </c>
      <c r="EK150" s="110" t="str">
        <f t="shared" si="195"/>
        <v>A</v>
      </c>
      <c r="EL150" s="110" t="str">
        <f t="shared" si="195"/>
        <v>A</v>
      </c>
      <c r="EM150" s="110" t="str">
        <f t="shared" si="195"/>
        <v>B</v>
      </c>
      <c r="EN150" s="110" t="str">
        <f t="shared" si="195"/>
        <v>B</v>
      </c>
      <c r="EO150" s="110" t="str">
        <f t="shared" si="195"/>
        <v>B</v>
      </c>
      <c r="EP150" s="110" t="str">
        <f t="shared" si="195"/>
        <v>A</v>
      </c>
      <c r="EQ150" s="110" t="str">
        <f t="shared" si="195"/>
        <v>A</v>
      </c>
      <c r="ER150" s="110" t="str">
        <f t="shared" si="195"/>
        <v>B</v>
      </c>
      <c r="ES150" s="110" t="str">
        <f t="shared" si="195"/>
        <v>B</v>
      </c>
      <c r="ET150" s="110" t="str">
        <f t="shared" si="195"/>
        <v>B</v>
      </c>
      <c r="EU150" s="110" t="str">
        <f t="shared" si="195"/>
        <v>A</v>
      </c>
      <c r="EV150" s="110" t="str">
        <f t="shared" si="195"/>
        <v>B</v>
      </c>
      <c r="EW150" s="110" t="str">
        <f t="shared" si="195"/>
        <v>A</v>
      </c>
      <c r="EX150" s="110" t="str">
        <f t="shared" si="195"/>
        <v>B</v>
      </c>
      <c r="EY150" s="110" t="str">
        <f t="shared" si="195"/>
        <v>A</v>
      </c>
      <c r="EZ150" s="110" t="str">
        <f t="shared" si="195"/>
        <v>B</v>
      </c>
      <c r="FA150" s="110" t="str">
        <f t="shared" si="195"/>
        <v>B</v>
      </c>
      <c r="FB150" s="110" t="str">
        <f t="shared" si="195"/>
        <v>B</v>
      </c>
      <c r="FC150" s="110" t="str">
        <f t="shared" si="195"/>
        <v>B</v>
      </c>
      <c r="FD150" s="110" t="str">
        <f t="shared" si="195"/>
        <v>B</v>
      </c>
      <c r="FE150" s="110" t="str">
        <f t="shared" si="195"/>
        <v>A</v>
      </c>
      <c r="FF150" s="110" t="str">
        <f t="shared" si="195"/>
        <v>B</v>
      </c>
      <c r="FG150" s="110" t="str">
        <f t="shared" si="195"/>
        <v>B</v>
      </c>
      <c r="FH150" s="110" t="str">
        <f t="shared" si="195"/>
        <v>B</v>
      </c>
      <c r="FI150" s="110" t="str">
        <f t="shared" si="195"/>
        <v>A</v>
      </c>
      <c r="FJ150" s="110" t="str">
        <f t="shared" si="195"/>
        <v>B</v>
      </c>
      <c r="FK150" s="110" t="str">
        <f t="shared" si="195"/>
        <v>B</v>
      </c>
      <c r="FL150" s="110" t="str">
        <f t="shared" si="195"/>
        <v>B</v>
      </c>
      <c r="FM150" s="110" t="str">
        <f t="shared" si="195"/>
        <v>B</v>
      </c>
      <c r="FN150" s="110" t="str">
        <f t="shared" si="195"/>
        <v>A</v>
      </c>
      <c r="FO150" s="110" t="str">
        <f t="shared" si="195"/>
        <v>A</v>
      </c>
      <c r="FP150" s="110" t="str">
        <f t="shared" si="195"/>
        <v>B</v>
      </c>
      <c r="FQ150" s="110" t="str">
        <f t="shared" si="195"/>
        <v>A</v>
      </c>
      <c r="FR150" s="110" t="str">
        <f t="shared" si="195"/>
        <v>A</v>
      </c>
      <c r="FS150" s="110" t="str">
        <f t="shared" si="195"/>
        <v>B</v>
      </c>
      <c r="FT150" s="110" t="str">
        <f t="shared" si="195"/>
        <v>B</v>
      </c>
      <c r="FU150" s="110" t="str">
        <f t="shared" si="195"/>
        <v>B</v>
      </c>
      <c r="FV150" s="110" t="str">
        <f t="shared" si="195"/>
        <v>A</v>
      </c>
      <c r="FW150" s="110" t="str">
        <f t="shared" si="195"/>
        <v>A</v>
      </c>
      <c r="FX150" s="110" t="str">
        <f t="shared" si="195"/>
        <v>B</v>
      </c>
      <c r="FY150" s="110" t="str">
        <f t="shared" si="195"/>
        <v>B</v>
      </c>
      <c r="FZ150" s="110" t="str">
        <f t="shared" si="195"/>
        <v>A</v>
      </c>
      <c r="GA150" s="110" t="str">
        <f t="shared" si="195"/>
        <v>B</v>
      </c>
      <c r="GB150" s="110" t="str">
        <f t="shared" si="195"/>
        <v>B</v>
      </c>
      <c r="GC150" s="110" t="str">
        <f t="shared" si="195"/>
        <v>A</v>
      </c>
      <c r="GD150" s="110" t="str">
        <f t="shared" si="195"/>
        <v>A</v>
      </c>
      <c r="GE150" s="110" t="str">
        <f t="shared" si="195"/>
        <v>A</v>
      </c>
      <c r="GF150" s="110" t="str">
        <f t="shared" si="195"/>
        <v>A</v>
      </c>
      <c r="GG150" s="110" t="str">
        <f t="shared" si="195"/>
        <v>A</v>
      </c>
      <c r="GH150" s="110" t="str">
        <f t="shared" si="195"/>
        <v>A</v>
      </c>
      <c r="GI150" s="110" t="str">
        <f t="shared" si="195"/>
        <v>B</v>
      </c>
      <c r="GJ150" s="110" t="str">
        <f t="shared" si="195"/>
        <v>B</v>
      </c>
      <c r="GK150" s="110" t="str">
        <f t="shared" si="195"/>
        <v>A</v>
      </c>
      <c r="GL150" s="110" t="str">
        <f t="shared" si="195"/>
        <v>B</v>
      </c>
      <c r="GM150" s="110" t="str">
        <f t="shared" si="195"/>
        <v>A</v>
      </c>
      <c r="GN150" s="110" t="str">
        <f t="shared" si="195"/>
        <v>A</v>
      </c>
      <c r="GO150" s="110" t="str">
        <f t="shared" si="195"/>
        <v>B</v>
      </c>
      <c r="GP150" s="110" t="str">
        <f t="shared" si="195"/>
        <v>A</v>
      </c>
      <c r="GQ150" s="110" t="str">
        <f t="shared" si="195"/>
        <v>B</v>
      </c>
      <c r="GR150" s="110" t="str">
        <f t="shared" si="195"/>
        <v>B</v>
      </c>
      <c r="GS150" s="110" t="str">
        <f t="shared" si="195"/>
        <v>B</v>
      </c>
      <c r="GT150" s="110" t="str">
        <f t="shared" si="195"/>
        <v>B</v>
      </c>
      <c r="GU150" s="110" t="str">
        <f t="shared" si="195"/>
        <v>A</v>
      </c>
      <c r="GV150" s="110" t="str">
        <f t="shared" si="195"/>
        <v>A</v>
      </c>
      <c r="GW150" s="110" t="str">
        <f t="shared" si="195"/>
        <v>A</v>
      </c>
      <c r="GX150" s="110" t="str">
        <f t="shared" si="195"/>
        <v>A</v>
      </c>
      <c r="GY150" s="111"/>
      <c r="GZ150" s="110">
        <f t="shared" si="3"/>
        <v>38</v>
      </c>
      <c r="HA150" s="110">
        <f t="shared" si="4"/>
        <v>62</v>
      </c>
      <c r="HB150" s="112">
        <f t="shared" si="5"/>
        <v>100</v>
      </c>
      <c r="HC150" s="111"/>
      <c r="HD150" s="110">
        <f t="shared" si="6"/>
        <v>6</v>
      </c>
      <c r="HE150" s="110">
        <f t="shared" si="7"/>
        <v>7</v>
      </c>
      <c r="HF150" s="112">
        <f t="shared" si="8"/>
        <v>13</v>
      </c>
      <c r="HG150" s="111"/>
      <c r="HH150" s="110">
        <f t="shared" si="9"/>
        <v>6</v>
      </c>
      <c r="HI150" s="110">
        <f t="shared" si="10"/>
        <v>7</v>
      </c>
      <c r="HJ150" s="112">
        <f t="shared" si="11"/>
        <v>13</v>
      </c>
      <c r="HK150" s="111"/>
      <c r="HL150" s="110">
        <f t="shared" si="12"/>
        <v>3</v>
      </c>
      <c r="HM150" s="110">
        <f t="shared" si="13"/>
        <v>7</v>
      </c>
      <c r="HN150" s="112">
        <f t="shared" si="14"/>
        <v>10</v>
      </c>
      <c r="HO150" s="111"/>
      <c r="HP150" s="110">
        <f t="shared" si="15"/>
        <v>3</v>
      </c>
      <c r="HQ150" s="110">
        <f t="shared" si="16"/>
        <v>7</v>
      </c>
      <c r="HR150" s="112">
        <f t="shared" si="17"/>
        <v>10</v>
      </c>
      <c r="HS150" s="111"/>
      <c r="HT150" s="110">
        <f t="shared" si="18"/>
        <v>5</v>
      </c>
      <c r="HU150" s="110">
        <f t="shared" si="19"/>
        <v>6</v>
      </c>
      <c r="HV150" s="112">
        <f t="shared" si="20"/>
        <v>11</v>
      </c>
      <c r="HW150" s="111"/>
      <c r="HX150" s="110">
        <f t="shared" si="21"/>
        <v>2</v>
      </c>
      <c r="HY150" s="110">
        <f t="shared" si="22"/>
        <v>8</v>
      </c>
      <c r="HZ150" s="112">
        <f t="shared" si="23"/>
        <v>10</v>
      </c>
      <c r="IA150" s="111"/>
      <c r="IB150" s="110">
        <f t="shared" si="24"/>
        <v>3</v>
      </c>
      <c r="IC150" s="110">
        <f t="shared" si="25"/>
        <v>6</v>
      </c>
      <c r="ID150" s="112">
        <f t="shared" si="26"/>
        <v>9</v>
      </c>
      <c r="IE150" s="111"/>
      <c r="IF150" s="110">
        <f t="shared" si="27"/>
        <v>1</v>
      </c>
      <c r="IG150" s="110">
        <f t="shared" si="28"/>
        <v>5</v>
      </c>
      <c r="IH150" s="112">
        <f t="shared" si="29"/>
        <v>6</v>
      </c>
      <c r="II150" s="111"/>
      <c r="IJ150" s="110">
        <f t="shared" si="30"/>
        <v>3</v>
      </c>
      <c r="IK150" s="110">
        <f t="shared" si="31"/>
        <v>3</v>
      </c>
      <c r="IL150" s="112">
        <f t="shared" si="32"/>
        <v>6</v>
      </c>
      <c r="IM150" s="111"/>
      <c r="IN150" s="110">
        <f t="shared" si="33"/>
        <v>1</v>
      </c>
      <c r="IO150" s="110">
        <f t="shared" si="34"/>
        <v>5</v>
      </c>
      <c r="IP150" s="112">
        <f t="shared" si="35"/>
        <v>6</v>
      </c>
      <c r="IQ150" s="108"/>
      <c r="IR150" s="108"/>
      <c r="IS150" s="113">
        <f t="shared" si="36"/>
        <v>13</v>
      </c>
      <c r="IT150" s="113">
        <f t="shared" si="37"/>
        <v>13</v>
      </c>
      <c r="IU150" s="113">
        <f t="shared" si="38"/>
        <v>10</v>
      </c>
      <c r="IV150" s="113">
        <f t="shared" si="39"/>
        <v>10</v>
      </c>
      <c r="IW150" s="113">
        <f t="shared" si="40"/>
        <v>11</v>
      </c>
      <c r="IX150" s="113">
        <f t="shared" si="41"/>
        <v>10</v>
      </c>
      <c r="IY150" s="113">
        <f t="shared" si="42"/>
        <v>9</v>
      </c>
      <c r="IZ150" s="113">
        <f t="shared" si="43"/>
        <v>6</v>
      </c>
      <c r="JA150" s="113">
        <f t="shared" si="44"/>
        <v>6</v>
      </c>
      <c r="JB150" s="114">
        <f t="shared" si="45"/>
        <v>6</v>
      </c>
      <c r="JC150" s="115">
        <f t="shared" si="46"/>
        <v>94</v>
      </c>
      <c r="JD150" s="75">
        <f t="shared" si="50"/>
        <v>0</v>
      </c>
      <c r="JE150" s="75">
        <f t="shared" si="47"/>
        <v>1</v>
      </c>
      <c r="JF150" s="75">
        <f t="shared" si="48"/>
        <v>1</v>
      </c>
    </row>
    <row r="151">
      <c r="A151" s="104">
        <f>IFERROR(__xludf.DUMMYFUNCTION("""COMPUTED_VALUE"""),45978.68287923611)</f>
        <v>45978.68288</v>
      </c>
      <c r="B151" s="105" t="str">
        <f>IFERROR(__xludf.DUMMYFUNCTION("""COMPUTED_VALUE"""),"Ahmad vickhy wijaya ")</f>
        <v>Ahmad vickhy wijaya </v>
      </c>
      <c r="C151" s="7" t="str">
        <f>IFERROR(__xludf.DUMMYFUNCTION("""COMPUTED_VALUE"""),"A250073")</f>
        <v>A250073</v>
      </c>
      <c r="D151" s="7" t="str">
        <f>IFERROR(__xludf.DUMMYFUNCTION("""COMPUTED_VALUE"""),"MTs Putra")</f>
        <v>MTs Putra</v>
      </c>
      <c r="E151" s="7" t="str">
        <f>IFERROR(__xludf.DUMMYFUNCTION("""COMPUTED_VALUE"""),"Ya")</f>
        <v>Ya</v>
      </c>
      <c r="F151" s="105" t="str">
        <f>IFERROR(__xludf.DUMMYFUNCTION("""COMPUTED_VALUE"""),"B Saya ingin melakukan apa saja sebaik mungkin.")</f>
        <v>B Saya ingin melakukan apa saja sebaik mungkin.</v>
      </c>
      <c r="G151" s="105" t="str">
        <f>IFERROR(__xludf.DUMMYFUNCTION("""COMPUTED_VALUE"""),"A Saya ingin setiap tulisan saya teliti, rapi, dan tersusun dengan baik.")</f>
        <v>A Saya ingin setiap tulisan saya teliti, rapi, dan tersusun dengan baik.</v>
      </c>
      <c r="H151" s="105" t="str">
        <f>IFERROR(__xludf.DUMMYFUNCTION("""COMPUTED_VALUE"""),"A Saya ingin berbuat sesuai kata hati saya.")</f>
        <v>A Saya ingin berbuat sesuai kata hati saya.</v>
      </c>
      <c r="I151" s="105" t="str">
        <f>IFERROR(__xludf.DUMMYFUNCTION("""COMPUTED_VALUE"""),"B Saya ingin bisa melakukan dengan baik meskipun tugas yang sulit.")</f>
        <v>B Saya ingin bisa melakukan dengan baik meskipun tugas yang sulit.</v>
      </c>
      <c r="J151" s="105" t="str">
        <f>IFERROR(__xludf.DUMMYFUNCTION("""COMPUTED_VALUE"""),"A Saya suka membantu teman-teman saya apabila mereka mengalami kesulitan.")</f>
        <v>A Saya suka membantu teman-teman saya apabila mereka mengalami kesulitan.</v>
      </c>
      <c r="K151" s="105" t="str">
        <f>IFERROR(__xludf.DUMMYFUNCTION("""COMPUTED_VALUE"""),"A Saya ingin menjadi pemimpin dalam suatu kelompok.")</f>
        <v>A Saya ingin menjadi pemimpin dalam suatu kelompok.</v>
      </c>
      <c r="L151" s="105" t="str">
        <f>IFERROR(__xludf.DUMMYFUNCTION("""COMPUTED_VALUE"""),"B Saya ingin mengatakan telah melakukan dengan baik sesuatu tugas yang sulit")</f>
        <v>B Saya ingin mengatakan telah melakukan dengan baik sesuatu tugas yang sulit</v>
      </c>
      <c r="M151" s="105" t="str">
        <f>IFERROR(__xludf.DUMMYFUNCTION("""COMPUTED_VALUE"""),"A Saya suka berbicara tentang hal-hal yang telah berhasil saya lakukan.")</f>
        <v>A Saya suka berbicara tentang hal-hal yang telah berhasil saya lakukan.</v>
      </c>
      <c r="N151" s="105" t="str">
        <f>IFERROR(__xludf.DUMMYFUNCTION("""COMPUTED_VALUE"""),"B Saya suka memecahkan persoalan yang sukar bagi orang lain.")</f>
        <v>B Saya suka memecahkan persoalan yang sukar bagi orang lain.</v>
      </c>
      <c r="O151" s="105" t="str">
        <f>IFERROR(__xludf.DUMMYFUNCTION("""COMPUTED_VALUE"""),"A Saya marah saat ada teman memperolok-olok hal-hal yang saya anggap bodoh.")</f>
        <v>A Saya marah saat ada teman memperolok-olok hal-hal yang saya anggap bodoh.</v>
      </c>
      <c r="P151" s="105" t="str">
        <f>IFERROR(__xludf.DUMMYFUNCTION("""COMPUTED_VALUE"""),"B Saya ingin setiap belajar itu teratur dan direncanakan.")</f>
        <v>B Saya ingin setiap belajar itu teratur dan direncanakan.</v>
      </c>
      <c r="Q151" s="105" t="str">
        <f>IFERROR(__xludf.DUMMYFUNCTION("""COMPUTED_VALUE"""),"B Saya merencanakan keperluan yang dibutuhkan sebelum bepergian.")</f>
        <v>B Saya merencanakan keperluan yang dibutuhkan sebelum bepergian.</v>
      </c>
      <c r="R151" s="105" t="str">
        <f>IFERROR(__xludf.DUMMYFUNCTION("""COMPUTED_VALUE"""),"B Saya suka barang-barang saya tersusun rapi dan teratur.")</f>
        <v>B Saya suka barang-barang saya tersusun rapi dan teratur.</v>
      </c>
      <c r="S151" s="105" t="str">
        <f>IFERROR(__xludf.DUMMYFUNCTION("""COMPUTED_VALUE"""),"B Saya suka membuat perencanaan sebelum memulai tugas yang sulit.")</f>
        <v>B Saya suka membuat perencanaan sebelum memulai tugas yang sulit.</v>
      </c>
      <c r="T151" s="105" t="str">
        <f>IFERROR(__xludf.DUMMYFUNCTION("""COMPUTED_VALUE"""),"B Saya ingin agar hidup saya teratur sesuai cita-cita saya.")</f>
        <v>B Saya ingin agar hidup saya teratur sesuai cita-cita saya.</v>
      </c>
      <c r="U151" s="105" t="str">
        <f>IFERROR(__xludf.DUMMYFUNCTION("""COMPUTED_VALUE"""),"A Saya suka memberikan bantuan kepada teman-teman saya.")</f>
        <v>A Saya suka memberikan bantuan kepada teman-teman saya.</v>
      </c>
      <c r="V151" s="105" t="str">
        <f>IFERROR(__xludf.DUMMYFUNCTION("""COMPUTED_VALUE"""),"B Saya suka belajar saya teratur dan ada waktu-waktu tertentu untuk belajar.")</f>
        <v>B Saya suka belajar saya teratur dan ada waktu-waktu tertentu untuk belajar.</v>
      </c>
      <c r="W151" s="105" t="str">
        <f>IFERROR(__xludf.DUMMYFUNCTION("""COMPUTED_VALUE"""),"B Saya ingin kegiatan itu teratur dan direncanakan.")</f>
        <v>B Saya ingin kegiatan itu teratur dan direncanakan.</v>
      </c>
      <c r="X151" s="105" t="str">
        <f>IFERROR(__xludf.DUMMYFUNCTION("""COMPUTED_VALUE"""),"B Saya ingin agar hidup saya teratur sesuai cita-cita saya.")</f>
        <v>B Saya ingin agar hidup saya teratur sesuai cita-cita saya.</v>
      </c>
      <c r="Y151" s="105" t="str">
        <f>IFERROR(__xludf.DUMMYFUNCTION("""COMPUTED_VALUE"""),"B Saya senang merencanakan untuk masa depan.")</f>
        <v>B Saya senang merencanakan untuk masa depan.</v>
      </c>
      <c r="Z151" s="105" t="str">
        <f>IFERROR(__xludf.DUMMYFUNCTION("""COMPUTED_VALUE"""),"B Saya ingin merasa bebas untuk melakukan apa yang saya inginkan.")</f>
        <v>B Saya ingin merasa bebas untuk melakukan apa yang saya inginkan.</v>
      </c>
      <c r="AA151" s="105" t="str">
        <f>IFERROR(__xludf.DUMMYFUNCTION("""COMPUTED_VALUE"""),"B Saya tidak suka pada orang yang berbuat seenaknya sendiri.")</f>
        <v>B Saya tidak suka pada orang yang berbuat seenaknya sendiri.</v>
      </c>
      <c r="AB151" s="105" t="str">
        <f>IFERROR(__xludf.DUMMYFUNCTION("""COMPUTED_VALUE"""),"B Saya ingin menyelesaikan pekerjaan satu persatu sebelum memulai yang lain.")</f>
        <v>B Saya ingin menyelesaikan pekerjaan satu persatu sebelum memulai yang lain.</v>
      </c>
      <c r="AC151" s="105" t="str">
        <f>IFERROR(__xludf.DUMMYFUNCTION("""COMPUTED_VALUE"""),"B Saya suka melakukan kegiatan sesuai kondisi yang saya inginkan.")</f>
        <v>B Saya suka melakukan kegiatan sesuai kondisi yang saya inginkan.</v>
      </c>
      <c r="AD151" s="105" t="str">
        <f>IFERROR(__xludf.DUMMYFUNCTION("""COMPUTED_VALUE"""),"A Saya suka bermurah hati terhadap teman-teman saya.")</f>
        <v>A Saya suka bermurah hati terhadap teman-teman saya.</v>
      </c>
      <c r="AE151" s="105" t="str">
        <f>IFERROR(__xludf.DUMMYFUNCTION("""COMPUTED_VALUE"""),"A Saya ingin dianggap sebagai pemimpin oleh teman di kelompok.")</f>
        <v>A Saya ingin dianggap sebagai pemimpin oleh teman di kelompok.</v>
      </c>
      <c r="AF151" s="105" t="str">
        <f>IFERROR(__xludf.DUMMYFUNCTION("""COMPUTED_VALUE"""),"B Saya suka melakukan hal-hal dengan cara saya sendiri.")</f>
        <v>B Saya suka melakukan hal-hal dengan cara saya sendiri.</v>
      </c>
      <c r="AG151" s="105" t="str">
        <f>IFERROR(__xludf.DUMMYFUNCTION("""COMPUTED_VALUE"""),"A Saya mengajari orang lain bagaimana mereka harus melakukan pekerjaan mereka.")</f>
        <v>A Saya mengajari orang lain bagaimana mereka harus melakukan pekerjaan mereka.</v>
      </c>
      <c r="AH151" s="105" t="str">
        <f>IFERROR(__xludf.DUMMYFUNCTION("""COMPUTED_VALUE"""),"B Saya ingin merasa bebas untuk melakukan apa yang saya kehendaki.")</f>
        <v>B Saya ingin merasa bebas untuk melakukan apa yang saya kehendaki.</v>
      </c>
      <c r="AI151" s="105" t="str">
        <f>IFERROR(__xludf.DUMMYFUNCTION("""COMPUTED_VALUE"""),"B Saya suka melakukan kegiatan sesuai kondisi yang saya inginkan.")</f>
        <v>B Saya suka melakukan kegiatan sesuai kondisi yang saya inginkan.</v>
      </c>
      <c r="AJ151" s="105" t="str">
        <f>IFERROR(__xludf.DUMMYFUNCTION("""COMPUTED_VALUE"""),"B Saya suka bertahan menghadapi satu masalah meskipun belum tentu berhasil.")</f>
        <v>B Saya suka bertahan menghadapi satu masalah meskipun belum tentu berhasil.</v>
      </c>
      <c r="AK151" s="105" t="str">
        <f>IFERROR(__xludf.DUMMYFUNCTION("""COMPUTED_VALUE"""),"A Saya suka bercerita tentang hal-hal pribadi yang seharusnya tidak perlu diketahui orang lain.")</f>
        <v>A Saya suka bercerita tentang hal-hal pribadi yang seharusnya tidak perlu diketahui orang lain.</v>
      </c>
      <c r="AL151" s="105" t="str">
        <f>IFERROR(__xludf.DUMMYFUNCTION("""COMPUTED_VALUE"""),"B Saya ingin menghindarkan gangguan bila saya sedang belajar.")</f>
        <v>B Saya ingin menghindarkan gangguan bila saya sedang belajar.</v>
      </c>
      <c r="AM151" s="105" t="str">
        <f>IFERROR(__xludf.DUMMYFUNCTION("""COMPUTED_VALUE"""),"A Saya ingin teman-teman saya merasa kasihan pada saya apabila saya sakit.")</f>
        <v>A Saya ingin teman-teman saya merasa kasihan pada saya apabila saya sakit.</v>
      </c>
      <c r="AN151" s="105" t="str">
        <f>IFERROR(__xludf.DUMMYFUNCTION("""COMPUTED_VALUE"""),"A Saya tidak suka pada orang yang semena-mena.")</f>
        <v>A Saya tidak suka pada orang yang semena-mena.</v>
      </c>
      <c r="AO151" s="105" t="str">
        <f>IFERROR(__xludf.DUMMYFUNCTION("""COMPUTED_VALUE"""),"A Saya suka berlaku sangat ramah terhadap teman-teman saya.")</f>
        <v>A Saya suka berlaku sangat ramah terhadap teman-teman saya.</v>
      </c>
      <c r="AP151" s="105" t="str">
        <f>IFERROR(__xludf.DUMMYFUNCTION("""COMPUTED_VALUE"""),"B Saya suka bertahan menghadapi satu masalah meskipun belum tentu berhasil.")</f>
        <v>B Saya suka bertahan menghadapi satu masalah meskipun belum tentu berhasil.</v>
      </c>
      <c r="AQ151" s="105" t="str">
        <f>IFERROR(__xludf.DUMMYFUNCTION("""COMPUTED_VALUE"""),"A Saya ingin bisa mengerjakan segala sesuatu lebih baik daripada orang-orang lain.")</f>
        <v>A Saya ingin bisa mengerjakan segala sesuatu lebih baik daripada orang-orang lain.</v>
      </c>
      <c r="AR151" s="105" t="str">
        <f>IFERROR(__xludf.DUMMYFUNCTION("""COMPUTED_VALUE"""),"A Saya suka menyimpan catatan secara rapi.")</f>
        <v>A Saya suka menyimpan catatan secara rapi.</v>
      </c>
      <c r="AS151" s="105" t="str">
        <f>IFERROR(__xludf.DUMMYFUNCTION("""COMPUTED_VALUE"""),"A Saya ingin dapat menyelesaikan persoalan yang dianggap sukar bagi orang lain.")</f>
        <v>A Saya ingin dapat menyelesaikan persoalan yang dianggap sukar bagi orang lain.</v>
      </c>
      <c r="AT151" s="105" t="str">
        <f>IFERROR(__xludf.DUMMYFUNCTION("""COMPUTED_VALUE"""),"B Saya suka membantu orang lain yang menurut saya perlu dikasihani.")</f>
        <v>B Saya suka membantu orang lain yang menurut saya perlu dikasihani.</v>
      </c>
      <c r="AU151" s="105" t="str">
        <f>IFERROR(__xludf.DUMMYFUNCTION("""COMPUTED_VALUE"""),"B Saya suka bermurah hati terhadap teman-teman saya.")</f>
        <v>B Saya suka bermurah hati terhadap teman-teman saya.</v>
      </c>
      <c r="AV151" s="105" t="str">
        <f>IFERROR(__xludf.DUMMYFUNCTION("""COMPUTED_VALUE"""),"B Saya suka menolong teman-teman saya.")</f>
        <v>B Saya suka menolong teman-teman saya.</v>
      </c>
      <c r="AW151" s="105" t="str">
        <f>IFERROR(__xludf.DUMMYFUNCTION("""COMPUTED_VALUE"""),"A Saya ingin mengerjakan tugas sampai selesai.")</f>
        <v>A Saya ingin mengerjakan tugas sampai selesai.</v>
      </c>
      <c r="AX151" s="105" t="str">
        <f>IFERROR(__xludf.DUMMYFUNCTION("""COMPUTED_VALUE"""),"B Saya suka memaafkan teman-teman saya yang menyakiti hati saya.")</f>
        <v>B Saya suka memaafkan teman-teman saya yang menyakiti hati saya.</v>
      </c>
      <c r="AY151" s="105" t="str">
        <f>IFERROR(__xludf.DUMMYFUNCTION("""COMPUTED_VALUE"""),"B Saya suka menolong teman-teman saya apabila mereka dalam kesulitan.")</f>
        <v>B Saya suka menolong teman-teman saya apabila mereka dalam kesulitan.</v>
      </c>
      <c r="AZ151" s="105" t="str">
        <f>IFERROR(__xludf.DUMMYFUNCTION("""COMPUTED_VALUE"""),"B Saya suka menunjukkan simpati saya kepada teman-teman saya.")</f>
        <v>B Saya suka menunjukkan simpati saya kepada teman-teman saya.</v>
      </c>
      <c r="BA151" s="105" t="str">
        <f>IFERROR(__xludf.DUMMYFUNCTION("""COMPUTED_VALUE"""),"B Saya suka memperlakukan orang lain dengan baik dan ramah.")</f>
        <v>B Saya suka memperlakukan orang lain dengan baik dan ramah.</v>
      </c>
      <c r="BB151" s="105" t="str">
        <f>IFERROR(__xludf.DUMMYFUNCTION("""COMPUTED_VALUE"""),"B Saya suka bermurah hati terhadap teman-teman saya.")</f>
        <v>B Saya suka bermurah hati terhadap teman-teman saya.</v>
      </c>
      <c r="BC151" s="105" t="str">
        <f>IFERROR(__xludf.DUMMYFUNCTION("""COMPUTED_VALUE"""),"B Saya suka membantu orang lain yang menurut saya perlu dikasihani.")</f>
        <v>B Saya suka membantu orang lain yang menurut saya perlu dikasihani.</v>
      </c>
      <c r="BD151" s="105" t="str">
        <f>IFERROR(__xludf.DUMMYFUNCTION("""COMPUTED_VALUE"""),"B Saya suka bersikukuh dengan pendirian saya.")</f>
        <v>B Saya suka bersikukuh dengan pendirian saya.</v>
      </c>
      <c r="BE151" s="105" t="str">
        <f>IFERROR(__xludf.DUMMYFUNCTION("""COMPUTED_VALUE"""),"A Saya suka mendengarkan atau menceritakan hal-hal yang sebaiknya tidak diceritakan.")</f>
        <v>A Saya suka mendengarkan atau menceritakan hal-hal yang sebaiknya tidak diceritakan.</v>
      </c>
      <c r="BF151" s="105" t="str">
        <f>IFERROR(__xludf.DUMMYFUNCTION("""COMPUTED_VALUE"""),"B Bila saya dalam kelompok, saya ingin menentukan apa yang akan kita lakukan.")</f>
        <v>B Bila saya dalam kelompok, saya ingin menentukan apa yang akan kita lakukan.</v>
      </c>
      <c r="BG151" s="105" t="str">
        <f>IFERROR(__xludf.DUMMYFUNCTION("""COMPUTED_VALUE"""),"B Saya suka mengarahkan kepada orang lain apa yang harus dilakukan.")</f>
        <v>B Saya suka mengarahkan kepada orang lain apa yang harus dilakukan.</v>
      </c>
      <c r="BH151" s="105" t="str">
        <f>IFERROR(__xludf.DUMMYFUNCTION("""COMPUTED_VALUE"""),"A Saya suka menghindar dari situasi yang tidak saya harapkan.")</f>
        <v>A Saya suka menghindar dari situasi yang tidak saya harapkan.</v>
      </c>
      <c r="BI151" s="105" t="str">
        <f>IFERROR(__xludf.DUMMYFUNCTION("""COMPUTED_VALUE"""),"A Saya suka bermurah hati terhadap teman-teman saya.")</f>
        <v>A Saya suka bermurah hati terhadap teman-teman saya.</v>
      </c>
      <c r="BJ151" s="105" t="str">
        <f>IFERROR(__xludf.DUMMYFUNCTION("""COMPUTED_VALUE"""),"B Saya ingin menjadi pemimpin dalam kelompok di mana saya ada di situ")</f>
        <v>B Saya ingin menjadi pemimpin dalam kelompok di mana saya ada di situ</v>
      </c>
      <c r="BK151" s="105" t="str">
        <f>IFERROR(__xludf.DUMMYFUNCTION("""COMPUTED_VALUE"""),"B Saya senang untuk diminta menyelesaikan pertentangan-pertentangan.")</f>
        <v>B Saya senang untuk diminta menyelesaikan pertentangan-pertentangan.</v>
      </c>
      <c r="BL151" s="105" t="str">
        <f>IFERROR(__xludf.DUMMYFUNCTION("""COMPUTED_VALUE"""),"B Saya suka bersikukuh dengan pendirian saya.")</f>
        <v>B Saya suka bersikukuh dengan pendirian saya.</v>
      </c>
      <c r="BM151" s="105" t="str">
        <f>IFERROR(__xludf.DUMMYFUNCTION("""COMPUTED_VALUE"""),"A Saya suka melakukan pekerjaan sebaik mungkin.")</f>
        <v>A Saya suka melakukan pekerjaan sebaik mungkin.</v>
      </c>
      <c r="BN151" s="105" t="str">
        <f>IFERROR(__xludf.DUMMYFUNCTION("""COMPUTED_VALUE"""),"A Saya suka mengerjakan teka-teki atau memecahkan persoalan sampai selesai.")</f>
        <v>A Saya suka mengerjakan teka-teki atau memecahkan persoalan sampai selesai.</v>
      </c>
      <c r="BO151" s="105" t="str">
        <f>IFERROR(__xludf.DUMMYFUNCTION("""COMPUTED_VALUE"""),"B Saya ingin diperlakukan dengan baik oleh teman-teman saya.")</f>
        <v>B Saya ingin diperlakukan dengan baik oleh teman-teman saya.</v>
      </c>
      <c r="BP151" s="105" t="str">
        <f>IFERROR(__xludf.DUMMYFUNCTION("""COMPUTED_VALUE"""),"B Saya ingin teman-teman saya merasa kasihan pada saya apabila saya sakit.")</f>
        <v>B Saya ingin teman-teman saya merasa kasihan pada saya apabila saya sakit.</v>
      </c>
      <c r="BQ151" s="105" t="str">
        <f>IFERROR(__xludf.DUMMYFUNCTION("""COMPUTED_VALUE"""),"B Saya ingin agar teman-teman menceritakan diri saya apabila saya sakit.")</f>
        <v>B Saya ingin agar teman-teman menceritakan diri saya apabila saya sakit.</v>
      </c>
      <c r="BR151" s="105" t="str">
        <f>IFERROR(__xludf.DUMMYFUNCTION("""COMPUTED_VALUE"""),"A Saya suka memaafkan teman-teman saya yang menyakiti hati saya.")</f>
        <v>A Saya suka memaafkan teman-teman saya yang menyakiti hati saya.</v>
      </c>
      <c r="BS151" s="105" t="str">
        <f>IFERROR(__xludf.DUMMYFUNCTION("""COMPUTED_VALUE"""),"B Saya ingin teman-teman saya membantu saya bila saya mengalami kesulitan")</f>
        <v>B Saya ingin teman-teman saya membantu saya bila saya mengalami kesulitan</v>
      </c>
      <c r="BT151" s="105" t="str">
        <f>IFERROR(__xludf.DUMMYFUNCTION("""COMPUTED_VALUE"""),"B Saya ingin teman-teman banyak menunjukkan rasa sayang mereka terhadap saya.")</f>
        <v>B Saya ingin teman-teman banyak menunjukkan rasa sayang mereka terhadap saya.</v>
      </c>
      <c r="BU151" s="105" t="str">
        <f>IFERROR(__xludf.DUMMYFUNCTION("""COMPUTED_VALUE"""),"A Saya kadang-kadang suka melakukan hal-hal yang dapat dipuji oleh orang lain.")</f>
        <v>A Saya kadang-kadang suka melakukan hal-hal yang dapat dipuji oleh orang lain.</v>
      </c>
      <c r="BV151" s="105" t="str">
        <f>IFERROR(__xludf.DUMMYFUNCTION("""COMPUTED_VALUE"""),"B Saya ingin teman-teman dengan gembira memberikan pertolongan kepada saya.")</f>
        <v>B Saya ingin teman-teman dengan gembira memberikan pertolongan kepada saya.</v>
      </c>
      <c r="BW151" s="105" t="str">
        <f>IFERROR(__xludf.DUMMYFUNCTION("""COMPUTED_VALUE"""),"B Saya ingin diperlakukan dengan baik oleh teman-teman saya.")</f>
        <v>B Saya ingin diperlakukan dengan baik oleh teman-teman saya.</v>
      </c>
      <c r="BX151" s="105" t="str">
        <f>IFERROR(__xludf.DUMMYFUNCTION("""COMPUTED_VALUE"""),"B Saya kadang-kadang suka melakukan hal-hal yang dapat dipuji oleh orang lain.")</f>
        <v>B Saya kadang-kadang suka melakukan hal-hal yang dapat dipuji oleh orang lain.</v>
      </c>
      <c r="BY151" s="105" t="str">
        <f>IFERROR(__xludf.DUMMYFUNCTION("""COMPUTED_VALUE"""),"A Saya suka melamun atau membayangkan hal-hal yang tidak jelas.")</f>
        <v>A Saya suka melamun atau membayangkan hal-hal yang tidak jelas.</v>
      </c>
      <c r="BZ151" s="105" t="str">
        <f>IFERROR(__xludf.DUMMYFUNCTION("""COMPUTED_VALUE"""),"B Saya suka diperhatikan, apabila saya ada di dalam suatu kelompok.")</f>
        <v>B Saya suka diperhatikan, apabila saya ada di dalam suatu kelompok.</v>
      </c>
      <c r="CA151" s="105" t="str">
        <f>IFERROR(__xludf.DUMMYFUNCTION("""COMPUTED_VALUE"""),"A Saya ingin teman-teman dengan gembira memberikan pertolongan kepada saya.")</f>
        <v>A Saya ingin teman-teman dengan gembira memberikan pertolongan kepada saya.</v>
      </c>
      <c r="CB151" s="105" t="str">
        <f>IFERROR(__xludf.DUMMYFUNCTION("""COMPUTED_VALUE"""),"A Saya suka menghindar dari tanggung jawab yang tidak saya inginkan.")</f>
        <v>A Saya suka menghindar dari tanggung jawab yang tidak saya inginkan.</v>
      </c>
      <c r="CC151" s="105" t="str">
        <f>IFERROR(__xludf.DUMMYFUNCTION("""COMPUTED_VALUE"""),"B Saya suka menceritakan hal-hal lucu agar diperhatikan oleh orang lain.")</f>
        <v>B Saya suka menceritakan hal-hal lucu agar diperhatikan oleh orang lain.</v>
      </c>
      <c r="CD151" s="105" t="str">
        <f>IFERROR(__xludf.DUMMYFUNCTION("""COMPUTED_VALUE"""),"B Saya suka berkata yang artinya sulit dipahami oleh orang lain.")</f>
        <v>B Saya suka berkata yang artinya sulit dipahami oleh orang lain.</v>
      </c>
      <c r="CE151" s="105" t="str">
        <f>IFERROR(__xludf.DUMMYFUNCTION("""COMPUTED_VALUE"""),"B Saya kadang-kadang suka melakukan hal-hal yang dapat dipuji oleh orang lain.")</f>
        <v>B Saya kadang-kadang suka melakukan hal-hal yang dapat dipuji oleh orang lain.</v>
      </c>
      <c r="CF151" s="105" t="str">
        <f>IFERROR(__xludf.DUMMYFUNCTION("""COMPUTED_VALUE"""),"B Saya ingin orang lain memperhatikan dan berkomentar tentang penampilan saya.")</f>
        <v>B Saya ingin orang lain memperhatikan dan berkomentar tentang penampilan saya.</v>
      </c>
      <c r="CG151" s="105" t="str">
        <f>IFERROR(__xludf.DUMMYFUNCTION("""COMPUTED_VALUE"""),"A Saya ingin berhasil dalam apa yang saya lakukan.")</f>
        <v>A Saya ingin berhasil dalam apa yang saya lakukan.</v>
      </c>
      <c r="CH151" s="105" t="str">
        <f>IFERROR(__xludf.DUMMYFUNCTION("""COMPUTED_VALUE"""),"A Saya ingin bisa melakukan dengan baik sesuatu pekerjaan sulit.")</f>
        <v>A Saya ingin bisa melakukan dengan baik sesuatu pekerjaan sulit.</v>
      </c>
      <c r="CI151" s="105" t="str">
        <f>IFERROR(__xludf.DUMMYFUNCTION("""COMPUTED_VALUE"""),"A Saya suka belajar saya teratur dan ada waktu-waktu tertentu untuk belajar.")</f>
        <v>A Saya suka belajar saya teratur dan ada waktu-waktu tertentu untuk belajar.</v>
      </c>
      <c r="CJ151" s="105" t="str">
        <f>IFERROR(__xludf.DUMMYFUNCTION("""COMPUTED_VALUE"""),"A Saya ingin tidak tergantung dari orang lain terhadap apa yang akan saya lakukan.")</f>
        <v>A Saya ingin tidak tergantung dari orang lain terhadap apa yang akan saya lakukan.</v>
      </c>
      <c r="CK151" s="105" t="str">
        <f>IFERROR(__xludf.DUMMYFUNCTION("""COMPUTED_VALUE"""),"B Saya senang ikut beraktivitas bersama teman sebaya saya.")</f>
        <v>B Saya senang ikut beraktivitas bersama teman sebaya saya.</v>
      </c>
      <c r="CL151" s="105" t="str">
        <f>IFERROR(__xludf.DUMMYFUNCTION("""COMPUTED_VALUE"""),"A Saya suka menolong teman-teman saya, apabila mereka dalam kesulitan.")</f>
        <v>A Saya suka menolong teman-teman saya, apabila mereka dalam kesulitan.</v>
      </c>
      <c r="CM151" s="105" t="str">
        <f>IFERROR(__xludf.DUMMYFUNCTION("""COMPUTED_VALUE"""),"A Saya ingin ditunjuk atau dipilih sebagai ketua dalam suatu kelompok.")</f>
        <v>A Saya ingin ditunjuk atau dipilih sebagai ketua dalam suatu kelompok.</v>
      </c>
      <c r="CN151" s="105" t="str">
        <f>IFERROR(__xludf.DUMMYFUNCTION("""COMPUTED_VALUE"""),"A Saya ingin diperlakukan dengan baik oleh teman-teman saya.")</f>
        <v>A Saya ingin diperlakukan dengan baik oleh teman-teman saya.</v>
      </c>
      <c r="CO151" s="105" t="str">
        <f>IFERROR(__xludf.DUMMYFUNCTION("""COMPUTED_VALUE"""),"B Saya suka memuji orang yang saya kagumi.")</f>
        <v>B Saya suka memuji orang yang saya kagumi.</v>
      </c>
      <c r="CP151" s="105" t="str">
        <f>IFERROR(__xludf.DUMMYFUNCTION("""COMPUTED_VALUE"""),"A Saya suka melamun atau membayangkan sesuatu sendirian.")</f>
        <v>A Saya suka melamun atau membayangkan sesuatu sendirian.</v>
      </c>
      <c r="CQ151" s="105" t="str">
        <f>IFERROR(__xludf.DUMMYFUNCTION("""COMPUTED_VALUE"""),"B Saya merasa kagum pada seseorang.")</f>
        <v>B Saya merasa kagum pada seseorang.</v>
      </c>
      <c r="CR151" s="105" t="str">
        <f>IFERROR(__xludf.DUMMYFUNCTION("""COMPUTED_VALUE"""),"B Saya rasanya ingin mengecam seseorang bila orang itu menjengkelkan.")</f>
        <v>B Saya rasanya ingin mengecam seseorang bila orang itu menjengkelkan.</v>
      </c>
      <c r="CS151" s="105" t="str">
        <f>IFERROR(__xludf.DUMMYFUNCTION("""COMPUTED_VALUE"""),"B Saya rasanya ingin membalas dendam bila seseorang menghina saya.")</f>
        <v>B Saya rasanya ingin membalas dendam bila seseorang menghina saya.</v>
      </c>
      <c r="CT151" s="105" t="str">
        <f>IFERROR(__xludf.DUMMYFUNCTION("""COMPUTED_VALUE"""),"B Saya saat marah rasanya ingin melemparkan dan merusak barang-barang.")</f>
        <v>B Saya saat marah rasanya ingin melemparkan dan merusak barang-barang.</v>
      </c>
      <c r="CU151" s="105" t="str">
        <f>IFERROR(__xludf.DUMMYFUNCTION("""COMPUTED_VALUE"""),"A Saya ingin diperlakukan dengan ramah oleh teman-teman saya.")</f>
        <v>A Saya ingin diperlakukan dengan ramah oleh teman-teman saya.</v>
      </c>
      <c r="CV151" s="105" t="str">
        <f>IFERROR(__xludf.DUMMYFUNCTION("""COMPUTED_VALUE"""),"A Saya ingin ditunjuk atau dipilih sebagai ketua dalam suatu kelompok.")</f>
        <v>A Saya ingin ditunjuk atau dipilih sebagai ketua dalam suatu kelompok.</v>
      </c>
      <c r="CW151" s="105" t="str">
        <f>IFERROR(__xludf.DUMMYFUNCTION("""COMPUTED_VALUE"""),"B Saya mengatakan kepada orang lain bagaimana pendapat saya terhadap mereka.")</f>
        <v>B Saya mengatakan kepada orang lain bagaimana pendapat saya terhadap mereka.</v>
      </c>
      <c r="CX151" s="105" t="str">
        <f>IFERROR(__xludf.DUMMYFUNCTION("""COMPUTED_VALUE"""),"B Saya ingin memperolok-olok orang yang saya anggap melakukan tindakan bodoh.")</f>
        <v>B Saya ingin memperolok-olok orang yang saya anggap melakukan tindakan bodoh.</v>
      </c>
      <c r="CY151" s="105" t="str">
        <f>IFERROR(__xludf.DUMMYFUNCTION("""COMPUTED_VALUE"""),"B Saya rasanya ingin membalas dendam bila seseorang menghina saya.")</f>
        <v>B Saya rasanya ingin membalas dendam bila seseorang menghina saya.</v>
      </c>
      <c r="CZ151" s="105" t="str">
        <f>IFERROR(__xludf.DUMMYFUNCTION("""COMPUTED_VALUE"""),"B Saya rasanya ingin menggertak orang bila saya berbeda pendapat dengan mereka.")</f>
        <v>B Saya rasanya ingin menggertak orang bila saya berbeda pendapat dengan mereka.</v>
      </c>
      <c r="DA151" s="105" t="str">
        <f>IFERROR(__xludf.DUMMYFUNCTION("""COMPUTED_VALUE"""),"B Saya rasanya ingin mengecam seseorang bila orang itu menjengkelkan.")</f>
        <v>B Saya rasanya ingin mengecam seseorang bila orang itu menjengkelkan.</v>
      </c>
      <c r="DB151" s="89" t="s">
        <v>23</v>
      </c>
      <c r="DC151" s="97" t="str">
        <f t="shared" ref="DC151:GX151" si="196">LEFT(F151,1)</f>
        <v>B</v>
      </c>
      <c r="DD151" s="97" t="str">
        <f t="shared" si="196"/>
        <v>A</v>
      </c>
      <c r="DE151" s="97" t="str">
        <f t="shared" si="196"/>
        <v>A</v>
      </c>
      <c r="DF151" s="97" t="str">
        <f t="shared" si="196"/>
        <v>B</v>
      </c>
      <c r="DG151" s="97" t="str">
        <f t="shared" si="196"/>
        <v>A</v>
      </c>
      <c r="DH151" s="97" t="str">
        <f t="shared" si="196"/>
        <v>A</v>
      </c>
      <c r="DI151" s="97" t="str">
        <f t="shared" si="196"/>
        <v>B</v>
      </c>
      <c r="DJ151" s="97" t="str">
        <f t="shared" si="196"/>
        <v>A</v>
      </c>
      <c r="DK151" s="97" t="str">
        <f t="shared" si="196"/>
        <v>B</v>
      </c>
      <c r="DL151" s="97" t="str">
        <f t="shared" si="196"/>
        <v>A</v>
      </c>
      <c r="DM151" s="97" t="str">
        <f t="shared" si="196"/>
        <v>B</v>
      </c>
      <c r="DN151" s="97" t="str">
        <f t="shared" si="196"/>
        <v>B</v>
      </c>
      <c r="DO151" s="97" t="str">
        <f t="shared" si="196"/>
        <v>B</v>
      </c>
      <c r="DP151" s="97" t="str">
        <f t="shared" si="196"/>
        <v>B</v>
      </c>
      <c r="DQ151" s="97" t="str">
        <f t="shared" si="196"/>
        <v>B</v>
      </c>
      <c r="DR151" s="97" t="str">
        <f t="shared" si="196"/>
        <v>A</v>
      </c>
      <c r="DS151" s="97" t="str">
        <f t="shared" si="196"/>
        <v>B</v>
      </c>
      <c r="DT151" s="97" t="str">
        <f t="shared" si="196"/>
        <v>B</v>
      </c>
      <c r="DU151" s="97" t="str">
        <f t="shared" si="196"/>
        <v>B</v>
      </c>
      <c r="DV151" s="97" t="str">
        <f t="shared" si="196"/>
        <v>B</v>
      </c>
      <c r="DW151" s="97" t="str">
        <f t="shared" si="196"/>
        <v>B</v>
      </c>
      <c r="DX151" s="97" t="str">
        <f t="shared" si="196"/>
        <v>B</v>
      </c>
      <c r="DY151" s="97" t="str">
        <f t="shared" si="196"/>
        <v>B</v>
      </c>
      <c r="DZ151" s="97" t="str">
        <f t="shared" si="196"/>
        <v>B</v>
      </c>
      <c r="EA151" s="97" t="str">
        <f t="shared" si="196"/>
        <v>A</v>
      </c>
      <c r="EB151" s="97" t="str">
        <f t="shared" si="196"/>
        <v>A</v>
      </c>
      <c r="EC151" s="97" t="str">
        <f t="shared" si="196"/>
        <v>B</v>
      </c>
      <c r="ED151" s="97" t="str">
        <f t="shared" si="196"/>
        <v>A</v>
      </c>
      <c r="EE151" s="97" t="str">
        <f t="shared" si="196"/>
        <v>B</v>
      </c>
      <c r="EF151" s="97" t="str">
        <f t="shared" si="196"/>
        <v>B</v>
      </c>
      <c r="EG151" s="97" t="str">
        <f t="shared" si="196"/>
        <v>B</v>
      </c>
      <c r="EH151" s="97" t="str">
        <f t="shared" si="196"/>
        <v>A</v>
      </c>
      <c r="EI151" s="97" t="str">
        <f t="shared" si="196"/>
        <v>B</v>
      </c>
      <c r="EJ151" s="97" t="str">
        <f t="shared" si="196"/>
        <v>A</v>
      </c>
      <c r="EK151" s="97" t="str">
        <f t="shared" si="196"/>
        <v>A</v>
      </c>
      <c r="EL151" s="97" t="str">
        <f t="shared" si="196"/>
        <v>A</v>
      </c>
      <c r="EM151" s="97" t="str">
        <f t="shared" si="196"/>
        <v>B</v>
      </c>
      <c r="EN151" s="97" t="str">
        <f t="shared" si="196"/>
        <v>A</v>
      </c>
      <c r="EO151" s="97" t="str">
        <f t="shared" si="196"/>
        <v>A</v>
      </c>
      <c r="EP151" s="97" t="str">
        <f t="shared" si="196"/>
        <v>A</v>
      </c>
      <c r="EQ151" s="97" t="str">
        <f t="shared" si="196"/>
        <v>B</v>
      </c>
      <c r="ER151" s="97" t="str">
        <f t="shared" si="196"/>
        <v>B</v>
      </c>
      <c r="ES151" s="97" t="str">
        <f t="shared" si="196"/>
        <v>B</v>
      </c>
      <c r="ET151" s="97" t="str">
        <f t="shared" si="196"/>
        <v>A</v>
      </c>
      <c r="EU151" s="97" t="str">
        <f t="shared" si="196"/>
        <v>B</v>
      </c>
      <c r="EV151" s="97" t="str">
        <f t="shared" si="196"/>
        <v>B</v>
      </c>
      <c r="EW151" s="97" t="str">
        <f t="shared" si="196"/>
        <v>B</v>
      </c>
      <c r="EX151" s="97" t="str">
        <f t="shared" si="196"/>
        <v>B</v>
      </c>
      <c r="EY151" s="97" t="str">
        <f t="shared" si="196"/>
        <v>B</v>
      </c>
      <c r="EZ151" s="97" t="str">
        <f t="shared" si="196"/>
        <v>B</v>
      </c>
      <c r="FA151" s="97" t="str">
        <f t="shared" si="196"/>
        <v>B</v>
      </c>
      <c r="FB151" s="97" t="str">
        <f t="shared" si="196"/>
        <v>A</v>
      </c>
      <c r="FC151" s="97" t="str">
        <f t="shared" si="196"/>
        <v>B</v>
      </c>
      <c r="FD151" s="97" t="str">
        <f t="shared" si="196"/>
        <v>B</v>
      </c>
      <c r="FE151" s="97" t="str">
        <f t="shared" si="196"/>
        <v>A</v>
      </c>
      <c r="FF151" s="97" t="str">
        <f t="shared" si="196"/>
        <v>A</v>
      </c>
      <c r="FG151" s="97" t="str">
        <f t="shared" si="196"/>
        <v>B</v>
      </c>
      <c r="FH151" s="97" t="str">
        <f t="shared" si="196"/>
        <v>B</v>
      </c>
      <c r="FI151" s="97" t="str">
        <f t="shared" si="196"/>
        <v>B</v>
      </c>
      <c r="FJ151" s="97" t="str">
        <f t="shared" si="196"/>
        <v>A</v>
      </c>
      <c r="FK151" s="97" t="str">
        <f t="shared" si="196"/>
        <v>A</v>
      </c>
      <c r="FL151" s="97" t="str">
        <f t="shared" si="196"/>
        <v>B</v>
      </c>
      <c r="FM151" s="97" t="str">
        <f t="shared" si="196"/>
        <v>B</v>
      </c>
      <c r="FN151" s="97" t="str">
        <f t="shared" si="196"/>
        <v>B</v>
      </c>
      <c r="FO151" s="97" t="str">
        <f t="shared" si="196"/>
        <v>A</v>
      </c>
      <c r="FP151" s="97" t="str">
        <f t="shared" si="196"/>
        <v>B</v>
      </c>
      <c r="FQ151" s="97" t="str">
        <f t="shared" si="196"/>
        <v>B</v>
      </c>
      <c r="FR151" s="97" t="str">
        <f t="shared" si="196"/>
        <v>A</v>
      </c>
      <c r="FS151" s="97" t="str">
        <f t="shared" si="196"/>
        <v>B</v>
      </c>
      <c r="FT151" s="97" t="str">
        <f t="shared" si="196"/>
        <v>B</v>
      </c>
      <c r="FU151" s="97" t="str">
        <f t="shared" si="196"/>
        <v>B</v>
      </c>
      <c r="FV151" s="97" t="str">
        <f t="shared" si="196"/>
        <v>A</v>
      </c>
      <c r="FW151" s="97" t="str">
        <f t="shared" si="196"/>
        <v>B</v>
      </c>
      <c r="FX151" s="97" t="str">
        <f t="shared" si="196"/>
        <v>A</v>
      </c>
      <c r="FY151" s="97" t="str">
        <f t="shared" si="196"/>
        <v>A</v>
      </c>
      <c r="FZ151" s="97" t="str">
        <f t="shared" si="196"/>
        <v>B</v>
      </c>
      <c r="GA151" s="97" t="str">
        <f t="shared" si="196"/>
        <v>B</v>
      </c>
      <c r="GB151" s="97" t="str">
        <f t="shared" si="196"/>
        <v>B</v>
      </c>
      <c r="GC151" s="97" t="str">
        <f t="shared" si="196"/>
        <v>B</v>
      </c>
      <c r="GD151" s="97" t="str">
        <f t="shared" si="196"/>
        <v>A</v>
      </c>
      <c r="GE151" s="97" t="str">
        <f t="shared" si="196"/>
        <v>A</v>
      </c>
      <c r="GF151" s="97" t="str">
        <f t="shared" si="196"/>
        <v>A</v>
      </c>
      <c r="GG151" s="97" t="str">
        <f t="shared" si="196"/>
        <v>A</v>
      </c>
      <c r="GH151" s="97" t="str">
        <f t="shared" si="196"/>
        <v>B</v>
      </c>
      <c r="GI151" s="97" t="str">
        <f t="shared" si="196"/>
        <v>A</v>
      </c>
      <c r="GJ151" s="97" t="str">
        <f t="shared" si="196"/>
        <v>A</v>
      </c>
      <c r="GK151" s="97" t="str">
        <f t="shared" si="196"/>
        <v>A</v>
      </c>
      <c r="GL151" s="97" t="str">
        <f t="shared" si="196"/>
        <v>B</v>
      </c>
      <c r="GM151" s="97" t="str">
        <f t="shared" si="196"/>
        <v>A</v>
      </c>
      <c r="GN151" s="97" t="str">
        <f t="shared" si="196"/>
        <v>B</v>
      </c>
      <c r="GO151" s="97" t="str">
        <f t="shared" si="196"/>
        <v>B</v>
      </c>
      <c r="GP151" s="97" t="str">
        <f t="shared" si="196"/>
        <v>B</v>
      </c>
      <c r="GQ151" s="97" t="str">
        <f t="shared" si="196"/>
        <v>B</v>
      </c>
      <c r="GR151" s="97" t="str">
        <f t="shared" si="196"/>
        <v>A</v>
      </c>
      <c r="GS151" s="97" t="str">
        <f t="shared" si="196"/>
        <v>A</v>
      </c>
      <c r="GT151" s="97" t="str">
        <f t="shared" si="196"/>
        <v>B</v>
      </c>
      <c r="GU151" s="97" t="str">
        <f t="shared" si="196"/>
        <v>B</v>
      </c>
      <c r="GV151" s="97" t="str">
        <f t="shared" si="196"/>
        <v>B</v>
      </c>
      <c r="GW151" s="97" t="str">
        <f t="shared" si="196"/>
        <v>B</v>
      </c>
      <c r="GX151" s="97" t="str">
        <f t="shared" si="196"/>
        <v>B</v>
      </c>
      <c r="GY151" s="98"/>
      <c r="GZ151" s="97">
        <f t="shared" si="3"/>
        <v>38</v>
      </c>
      <c r="HA151" s="97">
        <f t="shared" si="4"/>
        <v>62</v>
      </c>
      <c r="HB151" s="90">
        <f t="shared" si="5"/>
        <v>100</v>
      </c>
      <c r="HC151" s="99"/>
      <c r="HD151" s="97">
        <f t="shared" si="6"/>
        <v>5</v>
      </c>
      <c r="HE151" s="97">
        <f t="shared" si="7"/>
        <v>3</v>
      </c>
      <c r="HF151" s="90">
        <f t="shared" si="8"/>
        <v>8</v>
      </c>
      <c r="HG151" s="99"/>
      <c r="HH151" s="97">
        <f t="shared" si="9"/>
        <v>3</v>
      </c>
      <c r="HI151" s="97">
        <f t="shared" si="10"/>
        <v>9</v>
      </c>
      <c r="HJ151" s="90">
        <f t="shared" si="11"/>
        <v>12</v>
      </c>
      <c r="HK151" s="99"/>
      <c r="HL151" s="97">
        <f t="shared" si="12"/>
        <v>3</v>
      </c>
      <c r="HM151" s="97">
        <f t="shared" si="13"/>
        <v>7</v>
      </c>
      <c r="HN151" s="90">
        <f t="shared" si="14"/>
        <v>10</v>
      </c>
      <c r="HO151" s="99"/>
      <c r="HP151" s="97">
        <f t="shared" si="15"/>
        <v>1</v>
      </c>
      <c r="HQ151" s="97">
        <f t="shared" si="16"/>
        <v>3</v>
      </c>
      <c r="HR151" s="90">
        <f t="shared" si="17"/>
        <v>4</v>
      </c>
      <c r="HS151" s="99"/>
      <c r="HT151" s="97">
        <f t="shared" si="18"/>
        <v>7</v>
      </c>
      <c r="HU151" s="97">
        <f t="shared" si="19"/>
        <v>9</v>
      </c>
      <c r="HV151" s="90">
        <f t="shared" si="20"/>
        <v>16</v>
      </c>
      <c r="HW151" s="99"/>
      <c r="HX151" s="97">
        <f t="shared" si="21"/>
        <v>6</v>
      </c>
      <c r="HY151" s="97">
        <f t="shared" si="22"/>
        <v>6</v>
      </c>
      <c r="HZ151" s="90">
        <f t="shared" si="23"/>
        <v>12</v>
      </c>
      <c r="IA151" s="99"/>
      <c r="IB151" s="97">
        <f t="shared" si="24"/>
        <v>4</v>
      </c>
      <c r="IC151" s="97">
        <f t="shared" si="25"/>
        <v>7</v>
      </c>
      <c r="ID151" s="90">
        <f t="shared" si="26"/>
        <v>11</v>
      </c>
      <c r="IE151" s="99"/>
      <c r="IF151" s="97">
        <f t="shared" si="27"/>
        <v>3</v>
      </c>
      <c r="IG151" s="97">
        <f t="shared" si="28"/>
        <v>6</v>
      </c>
      <c r="IH151" s="90">
        <f t="shared" si="29"/>
        <v>9</v>
      </c>
      <c r="II151" s="99"/>
      <c r="IJ151" s="97">
        <f t="shared" si="30"/>
        <v>3</v>
      </c>
      <c r="IK151" s="97">
        <f t="shared" si="31"/>
        <v>3</v>
      </c>
      <c r="IL151" s="90">
        <f t="shared" si="32"/>
        <v>6</v>
      </c>
      <c r="IM151" s="99"/>
      <c r="IN151" s="97">
        <f t="shared" si="33"/>
        <v>1</v>
      </c>
      <c r="IO151" s="97">
        <f t="shared" si="34"/>
        <v>8</v>
      </c>
      <c r="IP151" s="90">
        <f t="shared" si="35"/>
        <v>9</v>
      </c>
      <c r="IS151" s="100">
        <f t="shared" si="36"/>
        <v>8</v>
      </c>
      <c r="IT151" s="100">
        <f t="shared" si="37"/>
        <v>12</v>
      </c>
      <c r="IU151" s="100">
        <f t="shared" si="38"/>
        <v>10</v>
      </c>
      <c r="IV151" s="100">
        <f t="shared" si="39"/>
        <v>4</v>
      </c>
      <c r="IW151" s="100">
        <f t="shared" si="40"/>
        <v>16</v>
      </c>
      <c r="IX151" s="100">
        <f t="shared" si="41"/>
        <v>12</v>
      </c>
      <c r="IY151" s="100">
        <f t="shared" si="42"/>
        <v>11</v>
      </c>
      <c r="IZ151" s="100">
        <f t="shared" si="43"/>
        <v>9</v>
      </c>
      <c r="JA151" s="100">
        <f t="shared" si="44"/>
        <v>6</v>
      </c>
      <c r="JB151" s="101">
        <f t="shared" si="45"/>
        <v>9</v>
      </c>
      <c r="JC151" s="102">
        <f t="shared" si="46"/>
        <v>97</v>
      </c>
      <c r="JD151" s="67">
        <f t="shared" si="50"/>
        <v>1</v>
      </c>
      <c r="JE151" s="67">
        <f t="shared" si="47"/>
        <v>2</v>
      </c>
      <c r="JF151" s="67">
        <f t="shared" si="48"/>
        <v>3</v>
      </c>
    </row>
    <row r="152">
      <c r="A152" s="104">
        <f>IFERROR(__xludf.DUMMYFUNCTION("""COMPUTED_VALUE"""),45988.65761407407)</f>
        <v>45988.65761</v>
      </c>
      <c r="B152" s="105" t="str">
        <f>IFERROR(__xludf.DUMMYFUNCTION("""COMPUTED_VALUE"""),"Kimora amanda putri")</f>
        <v>Kimora amanda putri</v>
      </c>
      <c r="C152" s="7" t="str">
        <f>IFERROR(__xludf.DUMMYFUNCTION("""COMPUTED_VALUE"""),"D250033")</f>
        <v>D250033</v>
      </c>
      <c r="D152" s="7" t="str">
        <f>IFERROR(__xludf.DUMMYFUNCTION("""COMPUTED_VALUE"""),"MTs Putri")</f>
        <v>MTs Putri</v>
      </c>
      <c r="E152" s="7" t="str">
        <f>IFERROR(__xludf.DUMMYFUNCTION("""COMPUTED_VALUE"""),"Ya")</f>
        <v>Ya</v>
      </c>
      <c r="F152" s="105" t="str">
        <f>IFERROR(__xludf.DUMMYFUNCTION("""COMPUTED_VALUE"""),"B Saya ingin melakukan apa saja sebaik mungkin.")</f>
        <v>B Saya ingin melakukan apa saja sebaik mungkin.</v>
      </c>
      <c r="G152" s="105" t="str">
        <f>IFERROR(__xludf.DUMMYFUNCTION("""COMPUTED_VALUE"""),"A Saya ingin setiap tulisan saya teliti, rapi, dan tersusun dengan baik.")</f>
        <v>A Saya ingin setiap tulisan saya teliti, rapi, dan tersusun dengan baik.</v>
      </c>
      <c r="H152" s="105" t="str">
        <f>IFERROR(__xludf.DUMMYFUNCTION("""COMPUTED_VALUE"""),"B Saya ingin menjadi orang yang diakui dalam suatu pekerjaan atau bidang khusus.")</f>
        <v>B Saya ingin menjadi orang yang diakui dalam suatu pekerjaan atau bidang khusus.</v>
      </c>
      <c r="I152" s="105" t="str">
        <f>IFERROR(__xludf.DUMMYFUNCTION("""COMPUTED_VALUE"""),"B Saya ingin bisa melakukan dengan baik meskipun tugas yang sulit.")</f>
        <v>B Saya ingin bisa melakukan dengan baik meskipun tugas yang sulit.</v>
      </c>
      <c r="J152" s="105" t="str">
        <f>IFERROR(__xludf.DUMMYFUNCTION("""COMPUTED_VALUE"""),"A Saya suka membantu teman-teman saya apabila mereka mengalami kesulitan.")</f>
        <v>A Saya suka membantu teman-teman saya apabila mereka mengalami kesulitan.</v>
      </c>
      <c r="K152" s="105" t="str">
        <f>IFERROR(__xludf.DUMMYFUNCTION("""COMPUTED_VALUE"""),"A Saya ingin menjadi pemimpin dalam suatu kelompok.")</f>
        <v>A Saya ingin menjadi pemimpin dalam suatu kelompok.</v>
      </c>
      <c r="L152" s="105" t="str">
        <f>IFERROR(__xludf.DUMMYFUNCTION("""COMPUTED_VALUE"""),"A Saya ingin menjadi pemimpin dalam suatu kelompok")</f>
        <v>A Saya ingin menjadi pemimpin dalam suatu kelompok</v>
      </c>
      <c r="M152" s="105" t="str">
        <f>IFERROR(__xludf.DUMMYFUNCTION("""COMPUTED_VALUE"""),"A Saya suka berbicara tentang hal-hal yang telah berhasil saya lakukan.")</f>
        <v>A Saya suka berbicara tentang hal-hal yang telah berhasil saya lakukan.</v>
      </c>
      <c r="N152" s="105" t="str">
        <f>IFERROR(__xludf.DUMMYFUNCTION("""COMPUTED_VALUE"""),"A Saya suka pergi dengan pakaian rapi agar lebih menarik perhatian orang lain.")</f>
        <v>A Saya suka pergi dengan pakaian rapi agar lebih menarik perhatian orang lain.</v>
      </c>
      <c r="O152" s="105" t="str">
        <f>IFERROR(__xludf.DUMMYFUNCTION("""COMPUTED_VALUE"""),"B Saya suka melakukan tugas sebaik mungkin.")</f>
        <v>B Saya suka melakukan tugas sebaik mungkin.</v>
      </c>
      <c r="P152" s="105" t="str">
        <f>IFERROR(__xludf.DUMMYFUNCTION("""COMPUTED_VALUE"""),"B Saya ingin setiap belajar itu teratur dan direncanakan.")</f>
        <v>B Saya ingin setiap belajar itu teratur dan direncanakan.</v>
      </c>
      <c r="Q152" s="105" t="str">
        <f>IFERROR(__xludf.DUMMYFUNCTION("""COMPUTED_VALUE"""),"B Saya merencanakan keperluan yang dibutuhkan sebelum bepergian.")</f>
        <v>B Saya merencanakan keperluan yang dibutuhkan sebelum bepergian.</v>
      </c>
      <c r="R152" s="105" t="str">
        <f>IFERROR(__xludf.DUMMYFUNCTION("""COMPUTED_VALUE"""),"B Saya suka barang-barang saya tersusun rapi dan teratur.")</f>
        <v>B Saya suka barang-barang saya tersusun rapi dan teratur.</v>
      </c>
      <c r="S152" s="105" t="str">
        <f>IFERROR(__xludf.DUMMYFUNCTION("""COMPUTED_VALUE"""),"B Saya suka membuat perencanaan sebelum memulai tugas yang sulit.")</f>
        <v>B Saya suka membuat perencanaan sebelum memulai tugas yang sulit.</v>
      </c>
      <c r="T152" s="105" t="str">
        <f>IFERROR(__xludf.DUMMYFUNCTION("""COMPUTED_VALUE"""),"B Saya ingin agar hidup saya teratur sesuai cita-cita saya.")</f>
        <v>B Saya ingin agar hidup saya teratur sesuai cita-cita saya.</v>
      </c>
      <c r="U152" s="105" t="str">
        <f>IFERROR(__xludf.DUMMYFUNCTION("""COMPUTED_VALUE"""),"A Saya suka memberikan bantuan kepada teman-teman saya.")</f>
        <v>A Saya suka memberikan bantuan kepada teman-teman saya.</v>
      </c>
      <c r="V152" s="105" t="str">
        <f>IFERROR(__xludf.DUMMYFUNCTION("""COMPUTED_VALUE"""),"B Saya suka belajar saya teratur dan ada waktu-waktu tertentu untuk belajar.")</f>
        <v>B Saya suka belajar saya teratur dan ada waktu-waktu tertentu untuk belajar.</v>
      </c>
      <c r="W152" s="105" t="str">
        <f>IFERROR(__xludf.DUMMYFUNCTION("""COMPUTED_VALUE"""),"A Saya suka melakukan kegiatan sesuai kondisi yang saya inginkan.")</f>
        <v>A Saya suka melakukan kegiatan sesuai kondisi yang saya inginkan.</v>
      </c>
      <c r="X152" s="105" t="str">
        <f>IFERROR(__xludf.DUMMYFUNCTION("""COMPUTED_VALUE"""),"B Saya ingin agar hidup saya teratur sesuai cita-cita saya.")</f>
        <v>B Saya ingin agar hidup saya teratur sesuai cita-cita saya.</v>
      </c>
      <c r="Y152" s="105" t="str">
        <f>IFERROR(__xludf.DUMMYFUNCTION("""COMPUTED_VALUE"""),"B Saya senang merencanakan untuk masa depan.")</f>
        <v>B Saya senang merencanakan untuk masa depan.</v>
      </c>
      <c r="Z152" s="105" t="str">
        <f>IFERROR(__xludf.DUMMYFUNCTION("""COMPUTED_VALUE"""),"A Saya ingin berhasil dengan belajar yang saya lakukan.")</f>
        <v>A Saya ingin berhasil dengan belajar yang saya lakukan.</v>
      </c>
      <c r="AA152" s="105" t="str">
        <f>IFERROR(__xludf.DUMMYFUNCTION("""COMPUTED_VALUE"""),"A Saya suka menyelesaikan tugas yang telah saya rencanakan.")</f>
        <v>A Saya suka menyelesaikan tugas yang telah saya rencanakan.</v>
      </c>
      <c r="AB152" s="105" t="str">
        <f>IFERROR(__xludf.DUMMYFUNCTION("""COMPUTED_VALUE"""),"A Saya ingin tidak tergantung dari orang lain terhadap apa yang akan saya lakukan.")</f>
        <v>A Saya ingin tidak tergantung dari orang lain terhadap apa yang akan saya lakukan.</v>
      </c>
      <c r="AC152" s="105" t="str">
        <f>IFERROR(__xludf.DUMMYFUNCTION("""COMPUTED_VALUE"""),"B Saya suka melakukan kegiatan sesuai kondisi yang saya inginkan.")</f>
        <v>B Saya suka melakukan kegiatan sesuai kondisi yang saya inginkan.</v>
      </c>
      <c r="AD152" s="105" t="str">
        <f>IFERROR(__xludf.DUMMYFUNCTION("""COMPUTED_VALUE"""),"A Saya suka bermurah hati terhadap teman-teman saya.")</f>
        <v>A Saya suka bermurah hati terhadap teman-teman saya.</v>
      </c>
      <c r="AE152" s="105" t="str">
        <f>IFERROR(__xludf.DUMMYFUNCTION("""COMPUTED_VALUE"""),"A Saya ingin dianggap sebagai pemimpin oleh teman di kelompok.")</f>
        <v>A Saya ingin dianggap sebagai pemimpin oleh teman di kelompok.</v>
      </c>
      <c r="AF152" s="105" t="str">
        <f>IFERROR(__xludf.DUMMYFUNCTION("""COMPUTED_VALUE"""),"A Saya ingin agar teman-teman mengerti bila saya mengalami kesukaran.")</f>
        <v>A Saya ingin agar teman-teman mengerti bila saya mengalami kesukaran.</v>
      </c>
      <c r="AG152" s="105" t="str">
        <f>IFERROR(__xludf.DUMMYFUNCTION("""COMPUTED_VALUE"""),"B Saya ingin berhasil dengan tugas yang saya lakukan.")</f>
        <v>B Saya ingin berhasil dengan tugas yang saya lakukan.</v>
      </c>
      <c r="AH152" s="105" t="str">
        <f>IFERROR(__xludf.DUMMYFUNCTION("""COMPUTED_VALUE"""),"B Saya ingin merasa bebas untuk melakukan apa yang saya kehendaki.")</f>
        <v>B Saya ingin merasa bebas untuk melakukan apa yang saya kehendaki.</v>
      </c>
      <c r="AI152" s="105" t="str">
        <f>IFERROR(__xludf.DUMMYFUNCTION("""COMPUTED_VALUE"""),"B Saya suka melakukan kegiatan sesuai kondisi yang saya inginkan.")</f>
        <v>B Saya suka melakukan kegiatan sesuai kondisi yang saya inginkan.</v>
      </c>
      <c r="AJ152" s="105" t="str">
        <f>IFERROR(__xludf.DUMMYFUNCTION("""COMPUTED_VALUE"""),"B Saya suka bertahan menghadapi satu masalah meskipun belum tentu berhasil.")</f>
        <v>B Saya suka bertahan menghadapi satu masalah meskipun belum tentu berhasil.</v>
      </c>
      <c r="AK152" s="105" t="str">
        <f>IFERROR(__xludf.DUMMYFUNCTION("""COMPUTED_VALUE"""),"B Bila saya harus melakukan suatu tugas, saya ingin mengerjakan sampai selesai.")</f>
        <v>B Bila saya harus melakukan suatu tugas, saya ingin mengerjakan sampai selesai.</v>
      </c>
      <c r="AL152" s="105" t="str">
        <f>IFERROR(__xludf.DUMMYFUNCTION("""COMPUTED_VALUE"""),"A Saya suka berbicara tentang hal-hal yang telah saya capai.")</f>
        <v>A Saya suka berbicara tentang hal-hal yang telah saya capai.</v>
      </c>
      <c r="AM152" s="105" t="str">
        <f>IFERROR(__xludf.DUMMYFUNCTION("""COMPUTED_VALUE"""),"A Saya ingin teman-teman saya merasa kasihan pada saya apabila saya sakit.")</f>
        <v>A Saya ingin teman-teman saya merasa kasihan pada saya apabila saya sakit.</v>
      </c>
      <c r="AN152" s="105" t="str">
        <f>IFERROR(__xludf.DUMMYFUNCTION("""COMPUTED_VALUE"""),"A Saya tidak suka pada orang yang semena-mena.")</f>
        <v>A Saya tidak suka pada orang yang semena-mena.</v>
      </c>
      <c r="AO152" s="105" t="str">
        <f>IFERROR(__xludf.DUMMYFUNCTION("""COMPUTED_VALUE"""),"A Saya suka berlaku sangat ramah terhadap teman-teman saya.")</f>
        <v>A Saya suka berlaku sangat ramah terhadap teman-teman saya.</v>
      </c>
      <c r="AP152" s="105" t="str">
        <f>IFERROR(__xludf.DUMMYFUNCTION("""COMPUTED_VALUE"""),"B Saya suka bertahan menghadapi satu masalah meskipun belum tentu berhasil.")</f>
        <v>B Saya suka bertahan menghadapi satu masalah meskipun belum tentu berhasil.</v>
      </c>
      <c r="AQ152" s="105" t="str">
        <f>IFERROR(__xludf.DUMMYFUNCTION("""COMPUTED_VALUE"""),"A Saya ingin bisa mengerjakan segala sesuatu lebih baik daripada orang-orang lain.")</f>
        <v>A Saya ingin bisa mengerjakan segala sesuatu lebih baik daripada orang-orang lain.</v>
      </c>
      <c r="AR152" s="105" t="str">
        <f>IFERROR(__xludf.DUMMYFUNCTION("""COMPUTED_VALUE"""),"A Saya suka menyimpan catatan secara rapi.")</f>
        <v>A Saya suka menyimpan catatan secara rapi.</v>
      </c>
      <c r="AS152" s="105" t="str">
        <f>IFERROR(__xludf.DUMMYFUNCTION("""COMPUTED_VALUE"""),"A Saya ingin dapat menyelesaikan persoalan yang dianggap sukar bagi orang lain.")</f>
        <v>A Saya ingin dapat menyelesaikan persoalan yang dianggap sukar bagi orang lain.</v>
      </c>
      <c r="AT152" s="105" t="str">
        <f>IFERROR(__xludf.DUMMYFUNCTION("""COMPUTED_VALUE"""),"A Saya ingin bisa melakukan dengan baik sesuatu pekerjaan sulit.")</f>
        <v>A Saya ingin bisa melakukan dengan baik sesuatu pekerjaan sulit.</v>
      </c>
      <c r="AU152" s="105" t="str">
        <f>IFERROR(__xludf.DUMMYFUNCTION("""COMPUTED_VALUE"""),"B Saya suka bermurah hati terhadap teman-teman saya.")</f>
        <v>B Saya suka bermurah hati terhadap teman-teman saya.</v>
      </c>
      <c r="AV152" s="105" t="str">
        <f>IFERROR(__xludf.DUMMYFUNCTION("""COMPUTED_VALUE"""),"B Saya suka menolong teman-teman saya.")</f>
        <v>B Saya suka menolong teman-teman saya.</v>
      </c>
      <c r="AW152" s="105" t="str">
        <f>IFERROR(__xludf.DUMMYFUNCTION("""COMPUTED_VALUE"""),"A Saya ingin mengerjakan tugas sampai selesai.")</f>
        <v>A Saya ingin mengerjakan tugas sampai selesai.</v>
      </c>
      <c r="AX152" s="105" t="str">
        <f>IFERROR(__xludf.DUMMYFUNCTION("""COMPUTED_VALUE"""),"B Saya suka memaafkan teman-teman saya yang menyakiti hati saya.")</f>
        <v>B Saya suka memaafkan teman-teman saya yang menyakiti hati saya.</v>
      </c>
      <c r="AY152" s="105" t="str">
        <f>IFERROR(__xludf.DUMMYFUNCTION("""COMPUTED_VALUE"""),"B Saya suka menolong teman-teman saya apabila mereka dalam kesulitan.")</f>
        <v>B Saya suka menolong teman-teman saya apabila mereka dalam kesulitan.</v>
      </c>
      <c r="AZ152" s="105" t="str">
        <f>IFERROR(__xludf.DUMMYFUNCTION("""COMPUTED_VALUE"""),"B Saya suka menunjukkan simpati saya kepada teman-teman saya.")</f>
        <v>B Saya suka menunjukkan simpati saya kepada teman-teman saya.</v>
      </c>
      <c r="BA152" s="105" t="str">
        <f>IFERROR(__xludf.DUMMYFUNCTION("""COMPUTED_VALUE"""),"B Saya suka memperlakukan orang lain dengan baik dan ramah.")</f>
        <v>B Saya suka memperlakukan orang lain dengan baik dan ramah.</v>
      </c>
      <c r="BB152" s="105" t="str">
        <f>IFERROR(__xludf.DUMMYFUNCTION("""COMPUTED_VALUE"""),"B Saya suka bermurah hati terhadap teman-teman saya.")</f>
        <v>B Saya suka bermurah hati terhadap teman-teman saya.</v>
      </c>
      <c r="BC152" s="105" t="str">
        <f>IFERROR(__xludf.DUMMYFUNCTION("""COMPUTED_VALUE"""),"B Saya suka membantu orang lain yang menurut saya perlu dikasihani.")</f>
        <v>B Saya suka membantu orang lain yang menurut saya perlu dikasihani.</v>
      </c>
      <c r="BD152" s="105" t="str">
        <f>IFERROR(__xludf.DUMMYFUNCTION("""COMPUTED_VALUE"""),"B Saya suka bersikukuh dengan pendirian saya.")</f>
        <v>B Saya suka bersikukuh dengan pendirian saya.</v>
      </c>
      <c r="BE152" s="105" t="str">
        <f>IFERROR(__xludf.DUMMYFUNCTION("""COMPUTED_VALUE"""),"A Saya suka mendengarkan atau menceritakan hal-hal yang sebaiknya tidak diceritakan.")</f>
        <v>A Saya suka mendengarkan atau menceritakan hal-hal yang sebaiknya tidak diceritakan.</v>
      </c>
      <c r="BF152" s="105" t="str">
        <f>IFERROR(__xludf.DUMMYFUNCTION("""COMPUTED_VALUE"""),"B Bila saya dalam kelompok, saya ingin menentukan apa yang akan kita lakukan.")</f>
        <v>B Bila saya dalam kelompok, saya ingin menentukan apa yang akan kita lakukan.</v>
      </c>
      <c r="BG152" s="105" t="str">
        <f>IFERROR(__xludf.DUMMYFUNCTION("""COMPUTED_VALUE"""),"A Saya ingin teman-teman banyak menunjukkan rasa sayang mereka terhadap saya.")</f>
        <v>A Saya ingin teman-teman banyak menunjukkan rasa sayang mereka terhadap saya.</v>
      </c>
      <c r="BH152" s="105" t="str">
        <f>IFERROR(__xludf.DUMMYFUNCTION("""COMPUTED_VALUE"""),"B Apabila saya berkumpul dalam kelompok, saya ingin dihargai teman-teman.")</f>
        <v>B Apabila saya berkumpul dalam kelompok, saya ingin dihargai teman-teman.</v>
      </c>
      <c r="BI152" s="105" t="str">
        <f>IFERROR(__xludf.DUMMYFUNCTION("""COMPUTED_VALUE"""),"A Saya suka bermurah hati terhadap teman-teman saya.")</f>
        <v>A Saya suka bermurah hati terhadap teman-teman saya.</v>
      </c>
      <c r="BJ152" s="105" t="str">
        <f>IFERROR(__xludf.DUMMYFUNCTION("""COMPUTED_VALUE"""),"A Saya ingin mengerjakan tugas sampai selesai.")</f>
        <v>A Saya ingin mengerjakan tugas sampai selesai.</v>
      </c>
      <c r="BK152" s="105" t="str">
        <f>IFERROR(__xludf.DUMMYFUNCTION("""COMPUTED_VALUE"""),"A Saya ingin menyelesaikan pekerjaan satu persatu sebelum memulai yang lain.")</f>
        <v>A Saya ingin menyelesaikan pekerjaan satu persatu sebelum memulai yang lain.</v>
      </c>
      <c r="BL152" s="105" t="str">
        <f>IFERROR(__xludf.DUMMYFUNCTION("""COMPUTED_VALUE"""),"A Saya suka belajar saya teratur dan ada waktu-waktu tertentu untuk belajar.")</f>
        <v>A Saya suka belajar saya teratur dan ada waktu-waktu tertentu untuk belajar.</v>
      </c>
      <c r="BM152" s="105" t="str">
        <f>IFERROR(__xludf.DUMMYFUNCTION("""COMPUTED_VALUE"""),"A Saya suka melakukan pekerjaan sebaik mungkin.")</f>
        <v>A Saya suka melakukan pekerjaan sebaik mungkin.</v>
      </c>
      <c r="BN152" s="105" t="str">
        <f>IFERROR(__xludf.DUMMYFUNCTION("""COMPUTED_VALUE"""),"B Saya ingin teman-teman memberi dorongan bila saya menghadapi kegagalan.")</f>
        <v>B Saya ingin teman-teman memberi dorongan bila saya menghadapi kegagalan.</v>
      </c>
      <c r="BO152" s="105" t="str">
        <f>IFERROR(__xludf.DUMMYFUNCTION("""COMPUTED_VALUE"""),"A Saya suka membuat perencanaan sebelum memulai belajar yang sulit.")</f>
        <v>A Saya suka membuat perencanaan sebelum memulai belajar yang sulit.</v>
      </c>
      <c r="BP152" s="105" t="str">
        <f>IFERROR(__xludf.DUMMYFUNCTION("""COMPUTED_VALUE"""),"A Saya ingin menyelesaikan sesuatu yang sangat penting artinya.")</f>
        <v>A Saya ingin menyelesaikan sesuatu yang sangat penting artinya.</v>
      </c>
      <c r="BQ152" s="105" t="str">
        <f>IFERROR(__xludf.DUMMYFUNCTION("""COMPUTED_VALUE"""),"A Saya ingin mengerjakannya tugas sampai selesai.")</f>
        <v>A Saya ingin mengerjakannya tugas sampai selesai.</v>
      </c>
      <c r="BR152" s="105" t="str">
        <f>IFERROR(__xludf.DUMMYFUNCTION("""COMPUTED_VALUE"""),"A Saya suka memaafkan teman-teman saya yang menyakiti hati saya.")</f>
        <v>A Saya suka memaafkan teman-teman saya yang menyakiti hati saya.</v>
      </c>
      <c r="BS152" s="105" t="str">
        <f>IFERROR(__xludf.DUMMYFUNCTION("""COMPUTED_VALUE"""),"B Saya ingin teman-teman saya membantu saya bila saya mengalami kesulitan")</f>
        <v>B Saya ingin teman-teman saya membantu saya bila saya mengalami kesulitan</v>
      </c>
      <c r="BT152" s="105" t="str">
        <f>IFERROR(__xludf.DUMMYFUNCTION("""COMPUTED_VALUE"""),"B Saya ingin teman-teman banyak menunjukkan rasa sayang mereka terhadap saya.")</f>
        <v>B Saya ingin teman-teman banyak menunjukkan rasa sayang mereka terhadap saya.</v>
      </c>
      <c r="BU152" s="105" t="str">
        <f>IFERROR(__xludf.DUMMYFUNCTION("""COMPUTED_VALUE"""),"B Saya ingin agar teman-teman saya merasa kasihan pada saya apabila saya sakit.")</f>
        <v>B Saya ingin agar teman-teman saya merasa kasihan pada saya apabila saya sakit.</v>
      </c>
      <c r="BV152" s="105" t="str">
        <f>IFERROR(__xludf.DUMMYFUNCTION("""COMPUTED_VALUE"""),"B Saya ingin teman-teman dengan gembira memberikan pertolongan kepada saya.")</f>
        <v>B Saya ingin teman-teman dengan gembira memberikan pertolongan kepada saya.</v>
      </c>
      <c r="BW152" s="105" t="str">
        <f>IFERROR(__xludf.DUMMYFUNCTION("""COMPUTED_VALUE"""),"B Saya ingin diperlakukan dengan baik oleh teman-teman saya.")</f>
        <v>B Saya ingin diperlakukan dengan baik oleh teman-teman saya.</v>
      </c>
      <c r="BX152" s="105" t="str">
        <f>IFERROR(__xludf.DUMMYFUNCTION("""COMPUTED_VALUE"""),"B Saya kadang-kadang suka melakukan hal-hal yang dapat dipuji oleh orang lain.")</f>
        <v>B Saya kadang-kadang suka melakukan hal-hal yang dapat dipuji oleh orang lain.</v>
      </c>
      <c r="BY152" s="105" t="str">
        <f>IFERROR(__xludf.DUMMYFUNCTION("""COMPUTED_VALUE"""),"B Saya ingin orang lain memperhatikan dan berkomentar tentang penampilan saya.")</f>
        <v>B Saya ingin orang lain memperhatikan dan berkomentar tentang penampilan saya.</v>
      </c>
      <c r="BZ152" s="105" t="str">
        <f>IFERROR(__xludf.DUMMYFUNCTION("""COMPUTED_VALUE"""),"B Saya suka diperhatikan, apabila saya ada di dalam suatu kelompok.")</f>
        <v>B Saya suka diperhatikan, apabila saya ada di dalam suatu kelompok.</v>
      </c>
      <c r="CA152" s="105" t="str">
        <f>IFERROR(__xludf.DUMMYFUNCTION("""COMPUTED_VALUE"""),"A Saya ingin teman-teman dengan gembira memberikan pertolongan kepada saya.")</f>
        <v>A Saya ingin teman-teman dengan gembira memberikan pertolongan kepada saya.</v>
      </c>
      <c r="CB152" s="105" t="str">
        <f>IFERROR(__xludf.DUMMYFUNCTION("""COMPUTED_VALUE"""),"B Saya suka berbicara tentang hal-hal yang telah saya capai.")</f>
        <v>B Saya suka berbicara tentang hal-hal yang telah saya capai.</v>
      </c>
      <c r="CC152" s="105" t="str">
        <f>IFERROR(__xludf.DUMMYFUNCTION("""COMPUTED_VALUE"""),"A Apabila saya berkumpul dalam kelompok, saya ingin dihargai teman-teman.")</f>
        <v>A Apabila saya berkumpul dalam kelompok, saya ingin dihargai teman-teman.</v>
      </c>
      <c r="CD152" s="105" t="str">
        <f>IFERROR(__xludf.DUMMYFUNCTION("""COMPUTED_VALUE"""),"A Saya suka menyelesaikan setiap tugas meskipun membutuhkan waktu lama.")</f>
        <v>A Saya suka menyelesaikan setiap tugas meskipun membutuhkan waktu lama.</v>
      </c>
      <c r="CE152" s="105" t="str">
        <f>IFERROR(__xludf.DUMMYFUNCTION("""COMPUTED_VALUE"""),"B Saya kadang-kadang suka melakukan hal-hal yang dapat dipuji oleh orang lain.")</f>
        <v>B Saya kadang-kadang suka melakukan hal-hal yang dapat dipuji oleh orang lain.</v>
      </c>
      <c r="CF152" s="105" t="str">
        <f>IFERROR(__xludf.DUMMYFUNCTION("""COMPUTED_VALUE"""),"A Saya ingin agar hidup saya teratur sesuai cita-cita saya.")</f>
        <v>A Saya ingin agar hidup saya teratur sesuai cita-cita saya.</v>
      </c>
      <c r="CG152" s="105" t="str">
        <f>IFERROR(__xludf.DUMMYFUNCTION("""COMPUTED_VALUE"""),"A Saya ingin berhasil dalam apa yang saya lakukan.")</f>
        <v>A Saya ingin berhasil dalam apa yang saya lakukan.</v>
      </c>
      <c r="CH152" s="105" t="str">
        <f>IFERROR(__xludf.DUMMYFUNCTION("""COMPUTED_VALUE"""),"A Saya ingin bisa melakukan dengan baik sesuatu pekerjaan sulit.")</f>
        <v>A Saya ingin bisa melakukan dengan baik sesuatu pekerjaan sulit.</v>
      </c>
      <c r="CI152" s="105" t="str">
        <f>IFERROR(__xludf.DUMMYFUNCTION("""COMPUTED_VALUE"""),"A Saya suka belajar saya teratur dan ada waktu-waktu tertentu untuk belajar.")</f>
        <v>A Saya suka belajar saya teratur dan ada waktu-waktu tertentu untuk belajar.</v>
      </c>
      <c r="CJ152" s="105" t="str">
        <f>IFERROR(__xludf.DUMMYFUNCTION("""COMPUTED_VALUE"""),"A Saya ingin tidak tergantung dari orang lain terhadap apa yang akan saya lakukan.")</f>
        <v>A Saya ingin tidak tergantung dari orang lain terhadap apa yang akan saya lakukan.</v>
      </c>
      <c r="CK152" s="105" t="str">
        <f>IFERROR(__xludf.DUMMYFUNCTION("""COMPUTED_VALUE"""),"A Saya suka bertahan menghadapi satu masalah, meskipun belum tentu berhasil.")</f>
        <v>A Saya suka bertahan menghadapi satu masalah, meskipun belum tentu berhasil.</v>
      </c>
      <c r="CL152" s="105" t="str">
        <f>IFERROR(__xludf.DUMMYFUNCTION("""COMPUTED_VALUE"""),"A Saya suka menolong teman-teman saya, apabila mereka dalam kesulitan.")</f>
        <v>A Saya suka menolong teman-teman saya, apabila mereka dalam kesulitan.</v>
      </c>
      <c r="CM152" s="105" t="str">
        <f>IFERROR(__xludf.DUMMYFUNCTION("""COMPUTED_VALUE"""),"B Saya merasa kagum pada seseorang.")</f>
        <v>B Saya merasa kagum pada seseorang.</v>
      </c>
      <c r="CN152" s="105" t="str">
        <f>IFERROR(__xludf.DUMMYFUNCTION("""COMPUTED_VALUE"""),"A Saya ingin diperlakukan dengan baik oleh teman-teman saya.")</f>
        <v>A Saya ingin diperlakukan dengan baik oleh teman-teman saya.</v>
      </c>
      <c r="CO152" s="105" t="str">
        <f>IFERROR(__xludf.DUMMYFUNCTION("""COMPUTED_VALUE"""),"B Saya suka memuji orang yang saya kagumi.")</f>
        <v>B Saya suka memuji orang yang saya kagumi.</v>
      </c>
      <c r="CP152" s="105" t="str">
        <f>IFERROR(__xludf.DUMMYFUNCTION("""COMPUTED_VALUE"""),"B Saya ingin dianggap menarik oleh orang lain.")</f>
        <v>B Saya ingin dianggap menarik oleh orang lain.</v>
      </c>
      <c r="CQ152" s="105" t="str">
        <f>IFERROR(__xludf.DUMMYFUNCTION("""COMPUTED_VALUE"""),"B Saya merasa kagum pada seseorang.")</f>
        <v>B Saya merasa kagum pada seseorang.</v>
      </c>
      <c r="CR152" s="105" t="str">
        <f>IFERROR(__xludf.DUMMYFUNCTION("""COMPUTED_VALUE"""),"B Saya rasanya ingin mengecam seseorang bila orang itu menjengkelkan.")</f>
        <v>B Saya rasanya ingin mengecam seseorang bila orang itu menjengkelkan.</v>
      </c>
      <c r="CS152" s="105" t="str">
        <f>IFERROR(__xludf.DUMMYFUNCTION("""COMPUTED_VALUE"""),"A Saya ingin terlihat menarik di depan teman-teman saya.")</f>
        <v>A Saya ingin terlihat menarik di depan teman-teman saya.</v>
      </c>
      <c r="CT152" s="105" t="str">
        <f>IFERROR(__xludf.DUMMYFUNCTION("""COMPUTED_VALUE"""),"A Saya ingin orang-orang memperhatikan komentar mengenai penampilan saya.")</f>
        <v>A Saya ingin orang-orang memperhatikan komentar mengenai penampilan saya.</v>
      </c>
      <c r="CU152" s="105" t="str">
        <f>IFERROR(__xludf.DUMMYFUNCTION("""COMPUTED_VALUE"""),"A Saya ingin diperlakukan dengan ramah oleh teman-teman saya.")</f>
        <v>A Saya ingin diperlakukan dengan ramah oleh teman-teman saya.</v>
      </c>
      <c r="CV152" s="105" t="str">
        <f>IFERROR(__xludf.DUMMYFUNCTION("""COMPUTED_VALUE"""),"A Saya ingin ditunjuk atau dipilih sebagai ketua dalam suatu kelompok.")</f>
        <v>A Saya ingin ditunjuk atau dipilih sebagai ketua dalam suatu kelompok.</v>
      </c>
      <c r="CW152" s="105" t="str">
        <f>IFERROR(__xludf.DUMMYFUNCTION("""COMPUTED_VALUE"""),"A Saya suka menolong teman-teman saya, apabila mereka dalam kesulitan.")</f>
        <v>A Saya suka menolong teman-teman saya, apabila mereka dalam kesulitan.</v>
      </c>
      <c r="CX152" s="105" t="str">
        <f>IFERROR(__xludf.DUMMYFUNCTION("""COMPUTED_VALUE"""),"A Saya suka belajar sampai malam untuk menyelesaikan suatu tugas.")</f>
        <v>A Saya suka belajar sampai malam untuk menyelesaikan suatu tugas.</v>
      </c>
      <c r="CY152" s="105" t="str">
        <f>IFERROR(__xludf.DUMMYFUNCTION("""COMPUTED_VALUE"""),"A Saya ingin tidak tergantung dari orang lain terhadap apa yang akan saya lakukan.")</f>
        <v>A Saya ingin tidak tergantung dari orang lain terhadap apa yang akan saya lakukan.</v>
      </c>
      <c r="CZ152" s="105" t="str">
        <f>IFERROR(__xludf.DUMMYFUNCTION("""COMPUTED_VALUE"""),"A Saya suka merencanakan dan mengatur setiap pekerjaan yang harus saya lakukan.")</f>
        <v>A Saya suka merencanakan dan mengatur setiap pekerjaan yang harus saya lakukan.</v>
      </c>
      <c r="DA152" s="105" t="str">
        <f>IFERROR(__xludf.DUMMYFUNCTION("""COMPUTED_VALUE"""),"A Saya ingin melakukan apa saja sebaik mungkin.")</f>
        <v>A Saya ingin melakukan apa saja sebaik mungkin.</v>
      </c>
      <c r="DB152" s="89" t="s">
        <v>23</v>
      </c>
      <c r="DC152" s="97" t="str">
        <f t="shared" ref="DC152:GX152" si="197">LEFT(F152,1)</f>
        <v>B</v>
      </c>
      <c r="DD152" s="97" t="str">
        <f t="shared" si="197"/>
        <v>A</v>
      </c>
      <c r="DE152" s="97" t="str">
        <f t="shared" si="197"/>
        <v>B</v>
      </c>
      <c r="DF152" s="97" t="str">
        <f t="shared" si="197"/>
        <v>B</v>
      </c>
      <c r="DG152" s="97" t="str">
        <f t="shared" si="197"/>
        <v>A</v>
      </c>
      <c r="DH152" s="97" t="str">
        <f t="shared" si="197"/>
        <v>A</v>
      </c>
      <c r="DI152" s="97" t="str">
        <f t="shared" si="197"/>
        <v>A</v>
      </c>
      <c r="DJ152" s="97" t="str">
        <f t="shared" si="197"/>
        <v>A</v>
      </c>
      <c r="DK152" s="97" t="str">
        <f t="shared" si="197"/>
        <v>A</v>
      </c>
      <c r="DL152" s="97" t="str">
        <f t="shared" si="197"/>
        <v>B</v>
      </c>
      <c r="DM152" s="97" t="str">
        <f t="shared" si="197"/>
        <v>B</v>
      </c>
      <c r="DN152" s="97" t="str">
        <f t="shared" si="197"/>
        <v>B</v>
      </c>
      <c r="DO152" s="97" t="str">
        <f t="shared" si="197"/>
        <v>B</v>
      </c>
      <c r="DP152" s="97" t="str">
        <f t="shared" si="197"/>
        <v>B</v>
      </c>
      <c r="DQ152" s="97" t="str">
        <f t="shared" si="197"/>
        <v>B</v>
      </c>
      <c r="DR152" s="97" t="str">
        <f t="shared" si="197"/>
        <v>A</v>
      </c>
      <c r="DS152" s="97" t="str">
        <f t="shared" si="197"/>
        <v>B</v>
      </c>
      <c r="DT152" s="97" t="str">
        <f t="shared" si="197"/>
        <v>A</v>
      </c>
      <c r="DU152" s="97" t="str">
        <f t="shared" si="197"/>
        <v>B</v>
      </c>
      <c r="DV152" s="97" t="str">
        <f t="shared" si="197"/>
        <v>B</v>
      </c>
      <c r="DW152" s="97" t="str">
        <f t="shared" si="197"/>
        <v>A</v>
      </c>
      <c r="DX152" s="97" t="str">
        <f t="shared" si="197"/>
        <v>A</v>
      </c>
      <c r="DY152" s="97" t="str">
        <f t="shared" si="197"/>
        <v>A</v>
      </c>
      <c r="DZ152" s="97" t="str">
        <f t="shared" si="197"/>
        <v>B</v>
      </c>
      <c r="EA152" s="97" t="str">
        <f t="shared" si="197"/>
        <v>A</v>
      </c>
      <c r="EB152" s="97" t="str">
        <f t="shared" si="197"/>
        <v>A</v>
      </c>
      <c r="EC152" s="97" t="str">
        <f t="shared" si="197"/>
        <v>A</v>
      </c>
      <c r="ED152" s="97" t="str">
        <f t="shared" si="197"/>
        <v>B</v>
      </c>
      <c r="EE152" s="97" t="str">
        <f t="shared" si="197"/>
        <v>B</v>
      </c>
      <c r="EF152" s="97" t="str">
        <f t="shared" si="197"/>
        <v>B</v>
      </c>
      <c r="EG152" s="97" t="str">
        <f t="shared" si="197"/>
        <v>B</v>
      </c>
      <c r="EH152" s="97" t="str">
        <f t="shared" si="197"/>
        <v>B</v>
      </c>
      <c r="EI152" s="97" t="str">
        <f t="shared" si="197"/>
        <v>A</v>
      </c>
      <c r="EJ152" s="97" t="str">
        <f t="shared" si="197"/>
        <v>A</v>
      </c>
      <c r="EK152" s="97" t="str">
        <f t="shared" si="197"/>
        <v>A</v>
      </c>
      <c r="EL152" s="97" t="str">
        <f t="shared" si="197"/>
        <v>A</v>
      </c>
      <c r="EM152" s="97" t="str">
        <f t="shared" si="197"/>
        <v>B</v>
      </c>
      <c r="EN152" s="97" t="str">
        <f t="shared" si="197"/>
        <v>A</v>
      </c>
      <c r="EO152" s="97" t="str">
        <f t="shared" si="197"/>
        <v>A</v>
      </c>
      <c r="EP152" s="97" t="str">
        <f t="shared" si="197"/>
        <v>A</v>
      </c>
      <c r="EQ152" s="97" t="str">
        <f t="shared" si="197"/>
        <v>A</v>
      </c>
      <c r="ER152" s="97" t="str">
        <f t="shared" si="197"/>
        <v>B</v>
      </c>
      <c r="ES152" s="97" t="str">
        <f t="shared" si="197"/>
        <v>B</v>
      </c>
      <c r="ET152" s="97" t="str">
        <f t="shared" si="197"/>
        <v>A</v>
      </c>
      <c r="EU152" s="97" t="str">
        <f t="shared" si="197"/>
        <v>B</v>
      </c>
      <c r="EV152" s="97" t="str">
        <f t="shared" si="197"/>
        <v>B</v>
      </c>
      <c r="EW152" s="97" t="str">
        <f t="shared" si="197"/>
        <v>B</v>
      </c>
      <c r="EX152" s="97" t="str">
        <f t="shared" si="197"/>
        <v>B</v>
      </c>
      <c r="EY152" s="97" t="str">
        <f t="shared" si="197"/>
        <v>B</v>
      </c>
      <c r="EZ152" s="97" t="str">
        <f t="shared" si="197"/>
        <v>B</v>
      </c>
      <c r="FA152" s="97" t="str">
        <f t="shared" si="197"/>
        <v>B</v>
      </c>
      <c r="FB152" s="97" t="str">
        <f t="shared" si="197"/>
        <v>A</v>
      </c>
      <c r="FC152" s="97" t="str">
        <f t="shared" si="197"/>
        <v>B</v>
      </c>
      <c r="FD152" s="97" t="str">
        <f t="shared" si="197"/>
        <v>A</v>
      </c>
      <c r="FE152" s="97" t="str">
        <f t="shared" si="197"/>
        <v>B</v>
      </c>
      <c r="FF152" s="97" t="str">
        <f t="shared" si="197"/>
        <v>A</v>
      </c>
      <c r="FG152" s="97" t="str">
        <f t="shared" si="197"/>
        <v>A</v>
      </c>
      <c r="FH152" s="97" t="str">
        <f t="shared" si="197"/>
        <v>A</v>
      </c>
      <c r="FI152" s="97" t="str">
        <f t="shared" si="197"/>
        <v>A</v>
      </c>
      <c r="FJ152" s="97" t="str">
        <f t="shared" si="197"/>
        <v>A</v>
      </c>
      <c r="FK152" s="97" t="str">
        <f t="shared" si="197"/>
        <v>B</v>
      </c>
      <c r="FL152" s="97" t="str">
        <f t="shared" si="197"/>
        <v>A</v>
      </c>
      <c r="FM152" s="97" t="str">
        <f t="shared" si="197"/>
        <v>A</v>
      </c>
      <c r="FN152" s="97" t="str">
        <f t="shared" si="197"/>
        <v>A</v>
      </c>
      <c r="FO152" s="97" t="str">
        <f t="shared" si="197"/>
        <v>A</v>
      </c>
      <c r="FP152" s="97" t="str">
        <f t="shared" si="197"/>
        <v>B</v>
      </c>
      <c r="FQ152" s="97" t="str">
        <f t="shared" si="197"/>
        <v>B</v>
      </c>
      <c r="FR152" s="97" t="str">
        <f t="shared" si="197"/>
        <v>B</v>
      </c>
      <c r="FS152" s="97" t="str">
        <f t="shared" si="197"/>
        <v>B</v>
      </c>
      <c r="FT152" s="97" t="str">
        <f t="shared" si="197"/>
        <v>B</v>
      </c>
      <c r="FU152" s="97" t="str">
        <f t="shared" si="197"/>
        <v>B</v>
      </c>
      <c r="FV152" s="97" t="str">
        <f t="shared" si="197"/>
        <v>B</v>
      </c>
      <c r="FW152" s="97" t="str">
        <f t="shared" si="197"/>
        <v>B</v>
      </c>
      <c r="FX152" s="97" t="str">
        <f t="shared" si="197"/>
        <v>A</v>
      </c>
      <c r="FY152" s="97" t="str">
        <f t="shared" si="197"/>
        <v>B</v>
      </c>
      <c r="FZ152" s="97" t="str">
        <f t="shared" si="197"/>
        <v>A</v>
      </c>
      <c r="GA152" s="97" t="str">
        <f t="shared" si="197"/>
        <v>A</v>
      </c>
      <c r="GB152" s="97" t="str">
        <f t="shared" si="197"/>
        <v>B</v>
      </c>
      <c r="GC152" s="97" t="str">
        <f t="shared" si="197"/>
        <v>A</v>
      </c>
      <c r="GD152" s="97" t="str">
        <f t="shared" si="197"/>
        <v>A</v>
      </c>
      <c r="GE152" s="97" t="str">
        <f t="shared" si="197"/>
        <v>A</v>
      </c>
      <c r="GF152" s="97" t="str">
        <f t="shared" si="197"/>
        <v>A</v>
      </c>
      <c r="GG152" s="97" t="str">
        <f t="shared" si="197"/>
        <v>A</v>
      </c>
      <c r="GH152" s="97" t="str">
        <f t="shared" si="197"/>
        <v>A</v>
      </c>
      <c r="GI152" s="97" t="str">
        <f t="shared" si="197"/>
        <v>A</v>
      </c>
      <c r="GJ152" s="97" t="str">
        <f t="shared" si="197"/>
        <v>B</v>
      </c>
      <c r="GK152" s="97" t="str">
        <f t="shared" si="197"/>
        <v>A</v>
      </c>
      <c r="GL152" s="97" t="str">
        <f t="shared" si="197"/>
        <v>B</v>
      </c>
      <c r="GM152" s="97" t="str">
        <f t="shared" si="197"/>
        <v>B</v>
      </c>
      <c r="GN152" s="97" t="str">
        <f t="shared" si="197"/>
        <v>B</v>
      </c>
      <c r="GO152" s="97" t="str">
        <f t="shared" si="197"/>
        <v>B</v>
      </c>
      <c r="GP152" s="97" t="str">
        <f t="shared" si="197"/>
        <v>A</v>
      </c>
      <c r="GQ152" s="97" t="str">
        <f t="shared" si="197"/>
        <v>A</v>
      </c>
      <c r="GR152" s="97" t="str">
        <f t="shared" si="197"/>
        <v>A</v>
      </c>
      <c r="GS152" s="97" t="str">
        <f t="shared" si="197"/>
        <v>A</v>
      </c>
      <c r="GT152" s="97" t="str">
        <f t="shared" si="197"/>
        <v>A</v>
      </c>
      <c r="GU152" s="97" t="str">
        <f t="shared" si="197"/>
        <v>A</v>
      </c>
      <c r="GV152" s="97" t="str">
        <f t="shared" si="197"/>
        <v>A</v>
      </c>
      <c r="GW152" s="97" t="str">
        <f t="shared" si="197"/>
        <v>A</v>
      </c>
      <c r="GX152" s="97" t="str">
        <f t="shared" si="197"/>
        <v>A</v>
      </c>
      <c r="GY152" s="98"/>
      <c r="GZ152" s="97">
        <f t="shared" si="3"/>
        <v>54</v>
      </c>
      <c r="HA152" s="97">
        <f t="shared" si="4"/>
        <v>46</v>
      </c>
      <c r="HB152" s="90">
        <f t="shared" si="5"/>
        <v>100</v>
      </c>
      <c r="HC152" s="99"/>
      <c r="HD152" s="97">
        <f t="shared" si="6"/>
        <v>7</v>
      </c>
      <c r="HE152" s="97">
        <f t="shared" si="7"/>
        <v>3</v>
      </c>
      <c r="HF152" s="90">
        <f t="shared" si="8"/>
        <v>10</v>
      </c>
      <c r="HG152" s="99"/>
      <c r="HH152" s="97">
        <f t="shared" si="9"/>
        <v>8</v>
      </c>
      <c r="HI152" s="97">
        <f t="shared" si="10"/>
        <v>8</v>
      </c>
      <c r="HJ152" s="90">
        <f t="shared" si="11"/>
        <v>16</v>
      </c>
      <c r="HK152" s="99"/>
      <c r="HL152" s="97">
        <f t="shared" si="12"/>
        <v>6</v>
      </c>
      <c r="HM152" s="97">
        <f t="shared" si="13"/>
        <v>4</v>
      </c>
      <c r="HN152" s="90">
        <f t="shared" si="14"/>
        <v>10</v>
      </c>
      <c r="HO152" s="99"/>
      <c r="HP152" s="97">
        <f t="shared" si="15"/>
        <v>6</v>
      </c>
      <c r="HQ152" s="97">
        <f t="shared" si="16"/>
        <v>3</v>
      </c>
      <c r="HR152" s="90">
        <f t="shared" si="17"/>
        <v>9</v>
      </c>
      <c r="HS152" s="99"/>
      <c r="HT152" s="97">
        <f t="shared" si="18"/>
        <v>9</v>
      </c>
      <c r="HU152" s="97">
        <f t="shared" si="19"/>
        <v>8</v>
      </c>
      <c r="HV152" s="90">
        <f t="shared" si="20"/>
        <v>17</v>
      </c>
      <c r="HW152" s="99"/>
      <c r="HX152" s="97">
        <f t="shared" si="21"/>
        <v>4</v>
      </c>
      <c r="HY152" s="97">
        <f t="shared" si="22"/>
        <v>3</v>
      </c>
      <c r="HZ152" s="90">
        <f t="shared" si="23"/>
        <v>7</v>
      </c>
      <c r="IA152" s="99"/>
      <c r="IB152" s="97">
        <f t="shared" si="24"/>
        <v>7</v>
      </c>
      <c r="IC152" s="97">
        <f t="shared" si="25"/>
        <v>6</v>
      </c>
      <c r="ID152" s="90">
        <f t="shared" si="26"/>
        <v>13</v>
      </c>
      <c r="IE152" s="99"/>
      <c r="IF152" s="97">
        <f t="shared" si="27"/>
        <v>3</v>
      </c>
      <c r="IG152" s="97">
        <f t="shared" si="28"/>
        <v>5</v>
      </c>
      <c r="IH152" s="90">
        <f t="shared" si="29"/>
        <v>8</v>
      </c>
      <c r="II152" s="99"/>
      <c r="IJ152" s="97">
        <f t="shared" si="30"/>
        <v>3</v>
      </c>
      <c r="IK152" s="97">
        <f t="shared" si="31"/>
        <v>4</v>
      </c>
      <c r="IL152" s="90">
        <f t="shared" si="32"/>
        <v>7</v>
      </c>
      <c r="IM152" s="99"/>
      <c r="IN152" s="97">
        <f t="shared" si="33"/>
        <v>0</v>
      </c>
      <c r="IO152" s="97">
        <f t="shared" si="34"/>
        <v>1</v>
      </c>
      <c r="IP152" s="90">
        <f t="shared" si="35"/>
        <v>1</v>
      </c>
      <c r="IS152" s="100">
        <f t="shared" si="36"/>
        <v>10</v>
      </c>
      <c r="IT152" s="100">
        <f t="shared" si="37"/>
        <v>16</v>
      </c>
      <c r="IU152" s="100">
        <f t="shared" si="38"/>
        <v>10</v>
      </c>
      <c r="IV152" s="100">
        <f t="shared" si="39"/>
        <v>9</v>
      </c>
      <c r="IW152" s="100">
        <f t="shared" si="40"/>
        <v>17</v>
      </c>
      <c r="IX152" s="100">
        <f t="shared" si="41"/>
        <v>7</v>
      </c>
      <c r="IY152" s="100">
        <f t="shared" si="42"/>
        <v>13</v>
      </c>
      <c r="IZ152" s="100">
        <f t="shared" si="43"/>
        <v>8</v>
      </c>
      <c r="JA152" s="100">
        <f t="shared" si="44"/>
        <v>7</v>
      </c>
      <c r="JB152" s="101">
        <f t="shared" si="45"/>
        <v>1</v>
      </c>
      <c r="JC152" s="102">
        <f t="shared" si="46"/>
        <v>98</v>
      </c>
      <c r="JD152" s="67">
        <f t="shared" si="50"/>
        <v>0</v>
      </c>
      <c r="JE152" s="67">
        <f t="shared" si="47"/>
        <v>1</v>
      </c>
      <c r="JF152" s="67">
        <f t="shared" si="48"/>
        <v>1</v>
      </c>
    </row>
    <row r="153">
      <c r="A153" s="104">
        <f>IFERROR(__xludf.DUMMYFUNCTION("""COMPUTED_VALUE"""),45991.38497988426)</f>
        <v>45991.38498</v>
      </c>
      <c r="B153" s="105" t="str">
        <f>IFERROR(__xludf.DUMMYFUNCTION("""COMPUTED_VALUE"""),"Naisya Ashadiya Rusli")</f>
        <v>Naisya Ashadiya Rusli</v>
      </c>
      <c r="C153" s="7" t="str">
        <f>IFERROR(__xludf.DUMMYFUNCTION("""COMPUTED_VALUE"""),"D250035")</f>
        <v>D250035</v>
      </c>
      <c r="D153" s="7" t="str">
        <f>IFERROR(__xludf.DUMMYFUNCTION("""COMPUTED_VALUE"""),"MTs Putri")</f>
        <v>MTs Putri</v>
      </c>
      <c r="E153" s="7" t="str">
        <f>IFERROR(__xludf.DUMMYFUNCTION("""COMPUTED_VALUE"""),"Ya")</f>
        <v>Ya</v>
      </c>
      <c r="F153" s="105" t="str">
        <f>IFERROR(__xludf.DUMMYFUNCTION("""COMPUTED_VALUE"""),"B Saya ingin melakukan apa saja sebaik mungkin.")</f>
        <v>B Saya ingin melakukan apa saja sebaik mungkin.</v>
      </c>
      <c r="G153" s="105" t="str">
        <f>IFERROR(__xludf.DUMMYFUNCTION("""COMPUTED_VALUE"""),"A Saya ingin setiap tulisan saya teliti, rapi, dan tersusun dengan baik.")</f>
        <v>A Saya ingin setiap tulisan saya teliti, rapi, dan tersusun dengan baik.</v>
      </c>
      <c r="H153" s="105" t="str">
        <f>IFERROR(__xludf.DUMMYFUNCTION("""COMPUTED_VALUE"""),"B Saya ingin menjadi orang yang diakui dalam suatu pekerjaan atau bidang khusus.")</f>
        <v>B Saya ingin menjadi orang yang diakui dalam suatu pekerjaan atau bidang khusus.</v>
      </c>
      <c r="I153" s="105" t="str">
        <f>IFERROR(__xludf.DUMMYFUNCTION("""COMPUTED_VALUE"""),"B Saya ingin bisa melakukan dengan baik meskipun tugas yang sulit.")</f>
        <v>B Saya ingin bisa melakukan dengan baik meskipun tugas yang sulit.</v>
      </c>
      <c r="J153" s="105" t="str">
        <f>IFERROR(__xludf.DUMMYFUNCTION("""COMPUTED_VALUE"""),"A Saya suka membantu teman-teman saya apabila mereka mengalami kesulitan.")</f>
        <v>A Saya suka membantu teman-teman saya apabila mereka mengalami kesulitan.</v>
      </c>
      <c r="K153" s="105" t="str">
        <f>IFERROR(__xludf.DUMMYFUNCTION("""COMPUTED_VALUE"""),"B Saya ingin mengatakan telah melakukan dengan baik sesuatu tugas yang sulit.")</f>
        <v>B Saya ingin mengatakan telah melakukan dengan baik sesuatu tugas yang sulit.</v>
      </c>
      <c r="L153" s="105" t="str">
        <f>IFERROR(__xludf.DUMMYFUNCTION("""COMPUTED_VALUE"""),"B Saya ingin mengatakan telah melakukan dengan baik sesuatu tugas yang sulit")</f>
        <v>B Saya ingin mengatakan telah melakukan dengan baik sesuatu tugas yang sulit</v>
      </c>
      <c r="M153" s="105" t="str">
        <f>IFERROR(__xludf.DUMMYFUNCTION("""COMPUTED_VALUE"""),"A Saya suka berbicara tentang hal-hal yang telah berhasil saya lakukan.")</f>
        <v>A Saya suka berbicara tentang hal-hal yang telah berhasil saya lakukan.</v>
      </c>
      <c r="N153" s="105" t="str">
        <f>IFERROR(__xludf.DUMMYFUNCTION("""COMPUTED_VALUE"""),"B Saya suka memecahkan persoalan yang sukar bagi orang lain.")</f>
        <v>B Saya suka memecahkan persoalan yang sukar bagi orang lain.</v>
      </c>
      <c r="O153" s="105" t="str">
        <f>IFERROR(__xludf.DUMMYFUNCTION("""COMPUTED_VALUE"""),"B Saya suka melakukan tugas sebaik mungkin.")</f>
        <v>B Saya suka melakukan tugas sebaik mungkin.</v>
      </c>
      <c r="P153" s="105" t="str">
        <f>IFERROR(__xludf.DUMMYFUNCTION("""COMPUTED_VALUE"""),"A Saya suka bercerita tentang hal-hal yang menegangkan atau menantang.")</f>
        <v>A Saya suka bercerita tentang hal-hal yang menegangkan atau menantang.</v>
      </c>
      <c r="Q153" s="105" t="str">
        <f>IFERROR(__xludf.DUMMYFUNCTION("""COMPUTED_VALUE"""),"B Saya merencanakan keperluan yang dibutuhkan sebelum bepergian.")</f>
        <v>B Saya merencanakan keperluan yang dibutuhkan sebelum bepergian.</v>
      </c>
      <c r="R153" s="105" t="str">
        <f>IFERROR(__xludf.DUMMYFUNCTION("""COMPUTED_VALUE"""),"B Saya suka barang-barang saya tersusun rapi dan teratur.")</f>
        <v>B Saya suka barang-barang saya tersusun rapi dan teratur.</v>
      </c>
      <c r="S153" s="105" t="str">
        <f>IFERROR(__xludf.DUMMYFUNCTION("""COMPUTED_VALUE"""),"B Saya suka membuat perencanaan sebelum memulai tugas yang sulit.")</f>
        <v>B Saya suka membuat perencanaan sebelum memulai tugas yang sulit.</v>
      </c>
      <c r="T153" s="105" t="str">
        <f>IFERROR(__xludf.DUMMYFUNCTION("""COMPUTED_VALUE"""),"B Saya ingin agar hidup saya teratur sesuai cita-cita saya.")</f>
        <v>B Saya ingin agar hidup saya teratur sesuai cita-cita saya.</v>
      </c>
      <c r="U153" s="105" t="str">
        <f>IFERROR(__xludf.DUMMYFUNCTION("""COMPUTED_VALUE"""),"A Saya suka memberikan bantuan kepada teman-teman saya.")</f>
        <v>A Saya suka memberikan bantuan kepada teman-teman saya.</v>
      </c>
      <c r="V153" s="105" t="str">
        <f>IFERROR(__xludf.DUMMYFUNCTION("""COMPUTED_VALUE"""),"B Saya suka belajar saya teratur dan ada waktu-waktu tertentu untuk belajar.")</f>
        <v>B Saya suka belajar saya teratur dan ada waktu-waktu tertentu untuk belajar.</v>
      </c>
      <c r="W153" s="105" t="str">
        <f>IFERROR(__xludf.DUMMYFUNCTION("""COMPUTED_VALUE"""),"B Saya ingin kegiatan itu teratur dan direncanakan.")</f>
        <v>B Saya ingin kegiatan itu teratur dan direncanakan.</v>
      </c>
      <c r="X153" s="105" t="str">
        <f>IFERROR(__xludf.DUMMYFUNCTION("""COMPUTED_VALUE"""),"B Saya ingin agar hidup saya teratur sesuai cita-cita saya.")</f>
        <v>B Saya ingin agar hidup saya teratur sesuai cita-cita saya.</v>
      </c>
      <c r="Y153" s="105" t="str">
        <f>IFERROR(__xludf.DUMMYFUNCTION("""COMPUTED_VALUE"""),"A Saya suka menyelesaikan tugas-tugas yang membutuhkan ketrampilan dan usaha.")</f>
        <v>A Saya suka menyelesaikan tugas-tugas yang membutuhkan ketrampilan dan usaha.</v>
      </c>
      <c r="Z153" s="105" t="str">
        <f>IFERROR(__xludf.DUMMYFUNCTION("""COMPUTED_VALUE"""),"A Saya ingin berhasil dengan belajar yang saya lakukan.")</f>
        <v>A Saya ingin berhasil dengan belajar yang saya lakukan.</v>
      </c>
      <c r="AA153" s="105" t="str">
        <f>IFERROR(__xludf.DUMMYFUNCTION("""COMPUTED_VALUE"""),"A Saya suka menyelesaikan tugas yang telah saya rencanakan.")</f>
        <v>A Saya suka menyelesaikan tugas yang telah saya rencanakan.</v>
      </c>
      <c r="AB153" s="105" t="str">
        <f>IFERROR(__xludf.DUMMYFUNCTION("""COMPUTED_VALUE"""),"B Saya ingin menyelesaikan pekerjaan satu persatu sebelum memulai yang lain.")</f>
        <v>B Saya ingin menyelesaikan pekerjaan satu persatu sebelum memulai yang lain.</v>
      </c>
      <c r="AC153" s="105" t="str">
        <f>IFERROR(__xludf.DUMMYFUNCTION("""COMPUTED_VALUE"""),"A Saya suka menyelesaikan setiap tugas meskipun membutuhkan waktu lama.")</f>
        <v>A Saya suka menyelesaikan setiap tugas meskipun membutuhkan waktu lama.</v>
      </c>
      <c r="AD153" s="105" t="str">
        <f>IFERROR(__xludf.DUMMYFUNCTION("""COMPUTED_VALUE"""),"B Saya suka menyatakan pendapat saya tentang berbagai hal.")</f>
        <v>B Saya suka menyatakan pendapat saya tentang berbagai hal.</v>
      </c>
      <c r="AE153" s="105" t="str">
        <f>IFERROR(__xludf.DUMMYFUNCTION("""COMPUTED_VALUE"""),"A Saya ingin dianggap sebagai pemimpin oleh teman di kelompok.")</f>
        <v>A Saya ingin dianggap sebagai pemimpin oleh teman di kelompok.</v>
      </c>
      <c r="AF153" s="105" t="str">
        <f>IFERROR(__xludf.DUMMYFUNCTION("""COMPUTED_VALUE"""),"B Saya suka melakukan hal-hal dengan cara saya sendiri.")</f>
        <v>B Saya suka melakukan hal-hal dengan cara saya sendiri.</v>
      </c>
      <c r="AG153" s="105" t="str">
        <f>IFERROR(__xludf.DUMMYFUNCTION("""COMPUTED_VALUE"""),"A Saya mengajari orang lain bagaimana mereka harus melakukan pekerjaan mereka.")</f>
        <v>A Saya mengajari orang lain bagaimana mereka harus melakukan pekerjaan mereka.</v>
      </c>
      <c r="AH153" s="105" t="str">
        <f>IFERROR(__xludf.DUMMYFUNCTION("""COMPUTED_VALUE"""),"B Saya ingin merasa bebas untuk melakukan apa yang saya kehendaki.")</f>
        <v>B Saya ingin merasa bebas untuk melakukan apa yang saya kehendaki.</v>
      </c>
      <c r="AI153" s="105" t="str">
        <f>IFERROR(__xludf.DUMMYFUNCTION("""COMPUTED_VALUE"""),"B Saya suka melakukan kegiatan sesuai kondisi yang saya inginkan.")</f>
        <v>B Saya suka melakukan kegiatan sesuai kondisi yang saya inginkan.</v>
      </c>
      <c r="AJ153" s="105" t="str">
        <f>IFERROR(__xludf.DUMMYFUNCTION("""COMPUTED_VALUE"""),"B Saya suka bertahan menghadapi satu masalah meskipun belum tentu berhasil.")</f>
        <v>B Saya suka bertahan menghadapi satu masalah meskipun belum tentu berhasil.</v>
      </c>
      <c r="AK153" s="105" t="str">
        <f>IFERROR(__xludf.DUMMYFUNCTION("""COMPUTED_VALUE"""),"B Bila saya harus melakukan suatu tugas, saya ingin mengerjakan sampai selesai.")</f>
        <v>B Bila saya harus melakukan suatu tugas, saya ingin mengerjakan sampai selesai.</v>
      </c>
      <c r="AL153" s="105" t="str">
        <f>IFERROR(__xludf.DUMMYFUNCTION("""COMPUTED_VALUE"""),"A Saya suka berbicara tentang hal-hal yang telah saya capai.")</f>
        <v>A Saya suka berbicara tentang hal-hal yang telah saya capai.</v>
      </c>
      <c r="AM153" s="105" t="str">
        <f>IFERROR(__xludf.DUMMYFUNCTION("""COMPUTED_VALUE"""),"A Saya ingin teman-teman saya merasa kasihan pada saya apabila saya sakit.")</f>
        <v>A Saya ingin teman-teman saya merasa kasihan pada saya apabila saya sakit.</v>
      </c>
      <c r="AN153" s="105" t="str">
        <f>IFERROR(__xludf.DUMMYFUNCTION("""COMPUTED_VALUE"""),"B Saya ingin bekerja berjam-jam tanpa diganggu.")</f>
        <v>B Saya ingin bekerja berjam-jam tanpa diganggu.</v>
      </c>
      <c r="AO153" s="105" t="str">
        <f>IFERROR(__xludf.DUMMYFUNCTION("""COMPUTED_VALUE"""),"A Saya suka berlaku sangat ramah terhadap teman-teman saya.")</f>
        <v>A Saya suka berlaku sangat ramah terhadap teman-teman saya.</v>
      </c>
      <c r="AP153" s="105" t="str">
        <f>IFERROR(__xludf.DUMMYFUNCTION("""COMPUTED_VALUE"""),"B Saya suka bertahan menghadapi satu masalah meskipun belum tentu berhasil.")</f>
        <v>B Saya suka bertahan menghadapi satu masalah meskipun belum tentu berhasil.</v>
      </c>
      <c r="AQ153" s="105" t="str">
        <f>IFERROR(__xludf.DUMMYFUNCTION("""COMPUTED_VALUE"""),"B Bila saya harus melakukan suatu tugas, saya ingin mengerjakan sampai selesai.")</f>
        <v>B Bila saya harus melakukan suatu tugas, saya ingin mengerjakan sampai selesai.</v>
      </c>
      <c r="AR153" s="105" t="str">
        <f>IFERROR(__xludf.DUMMYFUNCTION("""COMPUTED_VALUE"""),"B Saya suka belajar keras pada tiap pelajaran yang saya hadapi.")</f>
        <v>B Saya suka belajar keras pada tiap pelajaran yang saya hadapi.</v>
      </c>
      <c r="AS153" s="105" t="str">
        <f>IFERROR(__xludf.DUMMYFUNCTION("""COMPUTED_VALUE"""),"A Saya ingin dapat menyelesaikan persoalan yang dianggap sukar bagi orang lain.")</f>
        <v>A Saya ingin dapat menyelesaikan persoalan yang dianggap sukar bagi orang lain.</v>
      </c>
      <c r="AT153" s="105" t="str">
        <f>IFERROR(__xludf.DUMMYFUNCTION("""COMPUTED_VALUE"""),"B Saya suka membantu orang lain yang menurut saya perlu dikasihani.")</f>
        <v>B Saya suka membantu orang lain yang menurut saya perlu dikasihani.</v>
      </c>
      <c r="AU153" s="105" t="str">
        <f>IFERROR(__xludf.DUMMYFUNCTION("""COMPUTED_VALUE"""),"B Saya suka bermurah hati terhadap teman-teman saya.")</f>
        <v>B Saya suka bermurah hati terhadap teman-teman saya.</v>
      </c>
      <c r="AV153" s="105" t="str">
        <f>IFERROR(__xludf.DUMMYFUNCTION("""COMPUTED_VALUE"""),"B Saya suka menolong teman-teman saya.")</f>
        <v>B Saya suka menolong teman-teman saya.</v>
      </c>
      <c r="AW153" s="105" t="str">
        <f>IFERROR(__xludf.DUMMYFUNCTION("""COMPUTED_VALUE"""),"B Saya ingin teman-teman saya percaya bahwa saya bisa menolong mereka.")</f>
        <v>B Saya ingin teman-teman saya percaya bahwa saya bisa menolong mereka.</v>
      </c>
      <c r="AX153" s="105" t="str">
        <f>IFERROR(__xludf.DUMMYFUNCTION("""COMPUTED_VALUE"""),"B Saya suka memaafkan teman-teman saya yang menyakiti hati saya.")</f>
        <v>B Saya suka memaafkan teman-teman saya yang menyakiti hati saya.</v>
      </c>
      <c r="AY153" s="105" t="str">
        <f>IFERROR(__xludf.DUMMYFUNCTION("""COMPUTED_VALUE"""),"B Saya suka menolong teman-teman saya apabila mereka dalam kesulitan.")</f>
        <v>B Saya suka menolong teman-teman saya apabila mereka dalam kesulitan.</v>
      </c>
      <c r="AZ153" s="105" t="str">
        <f>IFERROR(__xludf.DUMMYFUNCTION("""COMPUTED_VALUE"""),"B Saya suka menunjukkan simpati saya kepada teman-teman saya.")</f>
        <v>B Saya suka menunjukkan simpati saya kepada teman-teman saya.</v>
      </c>
      <c r="BA153" s="105" t="str">
        <f>IFERROR(__xludf.DUMMYFUNCTION("""COMPUTED_VALUE"""),"B Saya suka memperlakukan orang lain dengan baik dan ramah.")</f>
        <v>B Saya suka memperlakukan orang lain dengan baik dan ramah.</v>
      </c>
      <c r="BB153" s="105" t="str">
        <f>IFERROR(__xludf.DUMMYFUNCTION("""COMPUTED_VALUE"""),"B Saya suka bermurah hati terhadap teman-teman saya.")</f>
        <v>B Saya suka bermurah hati terhadap teman-teman saya.</v>
      </c>
      <c r="BC153" s="105" t="str">
        <f>IFERROR(__xludf.DUMMYFUNCTION("""COMPUTED_VALUE"""),"B Saya suka membantu orang lain yang menurut saya perlu dikasihani.")</f>
        <v>B Saya suka membantu orang lain yang menurut saya perlu dikasihani.</v>
      </c>
      <c r="BD153" s="105" t="str">
        <f>IFERROR(__xludf.DUMMYFUNCTION("""COMPUTED_VALUE"""),"B Saya suka bersikukuh dengan pendirian saya.")</f>
        <v>B Saya suka bersikukuh dengan pendirian saya.</v>
      </c>
      <c r="BE153" s="105" t="str">
        <f>IFERROR(__xludf.DUMMYFUNCTION("""COMPUTED_VALUE"""),"A Saya suka mendengarkan atau menceritakan hal-hal yang sebaiknya tidak diceritakan.")</f>
        <v>A Saya suka mendengarkan atau menceritakan hal-hal yang sebaiknya tidak diceritakan.</v>
      </c>
      <c r="BF153" s="105" t="str">
        <f>IFERROR(__xludf.DUMMYFUNCTION("""COMPUTED_VALUE"""),"B Bila saya dalam kelompok, saya ingin menentukan apa yang akan kita lakukan.")</f>
        <v>B Bila saya dalam kelompok, saya ingin menentukan apa yang akan kita lakukan.</v>
      </c>
      <c r="BG153" s="105" t="str">
        <f>IFERROR(__xludf.DUMMYFUNCTION("""COMPUTED_VALUE"""),"A Saya ingin teman-teman banyak menunjukkan rasa sayang mereka terhadap saya.")</f>
        <v>A Saya ingin teman-teman banyak menunjukkan rasa sayang mereka terhadap saya.</v>
      </c>
      <c r="BH153" s="105" t="str">
        <f>IFERROR(__xludf.DUMMYFUNCTION("""COMPUTED_VALUE"""),"A Saya suka menghindar dari situasi yang tidak saya harapkan.")</f>
        <v>A Saya suka menghindar dari situasi yang tidak saya harapkan.</v>
      </c>
      <c r="BI153" s="105" t="str">
        <f>IFERROR(__xludf.DUMMYFUNCTION("""COMPUTED_VALUE"""),"A Saya suka bermurah hati terhadap teman-teman saya.")</f>
        <v>A Saya suka bermurah hati terhadap teman-teman saya.</v>
      </c>
      <c r="BJ153" s="105" t="str">
        <f>IFERROR(__xludf.DUMMYFUNCTION("""COMPUTED_VALUE"""),"A Saya ingin mengerjakan tugas sampai selesai.")</f>
        <v>A Saya ingin mengerjakan tugas sampai selesai.</v>
      </c>
      <c r="BK153" s="105" t="str">
        <f>IFERROR(__xludf.DUMMYFUNCTION("""COMPUTED_VALUE"""),"A Saya ingin menyelesaikan pekerjaan satu persatu sebelum memulai yang lain.")</f>
        <v>A Saya ingin menyelesaikan pekerjaan satu persatu sebelum memulai yang lain.</v>
      </c>
      <c r="BL153" s="105" t="str">
        <f>IFERROR(__xludf.DUMMYFUNCTION("""COMPUTED_VALUE"""),"A Saya suka belajar saya teratur dan ada waktu-waktu tertentu untuk belajar.")</f>
        <v>A Saya suka belajar saya teratur dan ada waktu-waktu tertentu untuk belajar.</v>
      </c>
      <c r="BM153" s="105" t="str">
        <f>IFERROR(__xludf.DUMMYFUNCTION("""COMPUTED_VALUE"""),"A Saya suka melakukan pekerjaan sebaik mungkin.")</f>
        <v>A Saya suka melakukan pekerjaan sebaik mungkin.</v>
      </c>
      <c r="BN153" s="105" t="str">
        <f>IFERROR(__xludf.DUMMYFUNCTION("""COMPUTED_VALUE"""),"B Saya ingin teman-teman memberi dorongan bila saya menghadapi kegagalan.")</f>
        <v>B Saya ingin teman-teman memberi dorongan bila saya menghadapi kegagalan.</v>
      </c>
      <c r="BO153" s="105" t="str">
        <f>IFERROR(__xludf.DUMMYFUNCTION("""COMPUTED_VALUE"""),"A Saya suka membuat perencanaan sebelum memulai belajar yang sulit.")</f>
        <v>A Saya suka membuat perencanaan sebelum memulai belajar yang sulit.</v>
      </c>
      <c r="BP153" s="105" t="str">
        <f>IFERROR(__xludf.DUMMYFUNCTION("""COMPUTED_VALUE"""),"A Saya ingin menyelesaikan sesuatu yang sangat penting artinya.")</f>
        <v>A Saya ingin menyelesaikan sesuatu yang sangat penting artinya.</v>
      </c>
      <c r="BQ153" s="105" t="str">
        <f>IFERROR(__xludf.DUMMYFUNCTION("""COMPUTED_VALUE"""),"A Saya ingin mengerjakannya tugas sampai selesai.")</f>
        <v>A Saya ingin mengerjakannya tugas sampai selesai.</v>
      </c>
      <c r="BR153" s="105" t="str">
        <f>IFERROR(__xludf.DUMMYFUNCTION("""COMPUTED_VALUE"""),"A Saya suka memaafkan teman-teman saya yang menyakiti hati saya.")</f>
        <v>A Saya suka memaafkan teman-teman saya yang menyakiti hati saya.</v>
      </c>
      <c r="BS153" s="105" t="str">
        <f>IFERROR(__xludf.DUMMYFUNCTION("""COMPUTED_VALUE"""),"B Saya ingin teman-teman saya membantu saya bila saya mengalami kesulitan")</f>
        <v>B Saya ingin teman-teman saya membantu saya bila saya mengalami kesulitan</v>
      </c>
      <c r="BT153" s="105" t="str">
        <f>IFERROR(__xludf.DUMMYFUNCTION("""COMPUTED_VALUE"""),"B Saya ingin teman-teman banyak menunjukkan rasa sayang mereka terhadap saya.")</f>
        <v>B Saya ingin teman-teman banyak menunjukkan rasa sayang mereka terhadap saya.</v>
      </c>
      <c r="BU153" s="105" t="str">
        <f>IFERROR(__xludf.DUMMYFUNCTION("""COMPUTED_VALUE"""),"B Saya ingin agar teman-teman saya merasa kasihan pada saya apabila saya sakit.")</f>
        <v>B Saya ingin agar teman-teman saya merasa kasihan pada saya apabila saya sakit.</v>
      </c>
      <c r="BV153" s="105" t="str">
        <f>IFERROR(__xludf.DUMMYFUNCTION("""COMPUTED_VALUE"""),"B Saya ingin teman-teman dengan gembira memberikan pertolongan kepada saya.")</f>
        <v>B Saya ingin teman-teman dengan gembira memberikan pertolongan kepada saya.</v>
      </c>
      <c r="BW153" s="105" t="str">
        <f>IFERROR(__xludf.DUMMYFUNCTION("""COMPUTED_VALUE"""),"B Saya ingin diperlakukan dengan baik oleh teman-teman saya.")</f>
        <v>B Saya ingin diperlakukan dengan baik oleh teman-teman saya.</v>
      </c>
      <c r="BX153" s="105" t="str">
        <f>IFERROR(__xludf.DUMMYFUNCTION("""COMPUTED_VALUE"""),"B Saya kadang-kadang suka melakukan hal-hal yang dapat dipuji oleh orang lain.")</f>
        <v>B Saya kadang-kadang suka melakukan hal-hal yang dapat dipuji oleh orang lain.</v>
      </c>
      <c r="BY153" s="105" t="str">
        <f>IFERROR(__xludf.DUMMYFUNCTION("""COMPUTED_VALUE"""),"A Saya suka melamun atau membayangkan hal-hal yang tidak jelas.")</f>
        <v>A Saya suka melamun atau membayangkan hal-hal yang tidak jelas.</v>
      </c>
      <c r="BZ153" s="105" t="str">
        <f>IFERROR(__xludf.DUMMYFUNCTION("""COMPUTED_VALUE"""),"A Saya suka berkata yang artinya sulit dipahami oleh orang lain.")</f>
        <v>A Saya suka berkata yang artinya sulit dipahami oleh orang lain.</v>
      </c>
      <c r="CA153" s="105" t="str">
        <f>IFERROR(__xludf.DUMMYFUNCTION("""COMPUTED_VALUE"""),"A Saya ingin teman-teman dengan gembira memberikan pertolongan kepada saya.")</f>
        <v>A Saya ingin teman-teman dengan gembira memberikan pertolongan kepada saya.</v>
      </c>
      <c r="CB153" s="105" t="str">
        <f>IFERROR(__xludf.DUMMYFUNCTION("""COMPUTED_VALUE"""),"B Saya suka berbicara tentang hal-hal yang telah saya capai.")</f>
        <v>B Saya suka berbicara tentang hal-hal yang telah saya capai.</v>
      </c>
      <c r="CC153" s="105" t="str">
        <f>IFERROR(__xludf.DUMMYFUNCTION("""COMPUTED_VALUE"""),"A Apabila saya berkumpul dalam kelompok, saya ingin dihargai teman-teman.")</f>
        <v>A Apabila saya berkumpul dalam kelompok, saya ingin dihargai teman-teman.</v>
      </c>
      <c r="CD153" s="105" t="str">
        <f>IFERROR(__xludf.DUMMYFUNCTION("""COMPUTED_VALUE"""),"A Saya suka menyelesaikan setiap tugas meskipun membutuhkan waktu lama.")</f>
        <v>A Saya suka menyelesaikan setiap tugas meskipun membutuhkan waktu lama.</v>
      </c>
      <c r="CE153" s="105" t="str">
        <f>IFERROR(__xludf.DUMMYFUNCTION("""COMPUTED_VALUE"""),"A Saya suka menyelesaikan setiap tugas belajar yang telah saya mulai.")</f>
        <v>A Saya suka menyelesaikan setiap tugas belajar yang telah saya mulai.</v>
      </c>
      <c r="CF153" s="105" t="str">
        <f>IFERROR(__xludf.DUMMYFUNCTION("""COMPUTED_VALUE"""),"A Saya ingin agar hidup saya teratur sesuai cita-cita saya.")</f>
        <v>A Saya ingin agar hidup saya teratur sesuai cita-cita saya.</v>
      </c>
      <c r="CG153" s="105" t="str">
        <f>IFERROR(__xludf.DUMMYFUNCTION("""COMPUTED_VALUE"""),"A Saya ingin berhasil dalam apa yang saya lakukan.")</f>
        <v>A Saya ingin berhasil dalam apa yang saya lakukan.</v>
      </c>
      <c r="CH153" s="105" t="str">
        <f>IFERROR(__xludf.DUMMYFUNCTION("""COMPUTED_VALUE"""),"A Saya ingin bisa melakukan dengan baik sesuatu pekerjaan sulit.")</f>
        <v>A Saya ingin bisa melakukan dengan baik sesuatu pekerjaan sulit.</v>
      </c>
      <c r="CI153" s="105" t="str">
        <f>IFERROR(__xludf.DUMMYFUNCTION("""COMPUTED_VALUE"""),"A Saya suka belajar saya teratur dan ada waktu-waktu tertentu untuk belajar.")</f>
        <v>A Saya suka belajar saya teratur dan ada waktu-waktu tertentu untuk belajar.</v>
      </c>
      <c r="CJ153" s="105" t="str">
        <f>IFERROR(__xludf.DUMMYFUNCTION("""COMPUTED_VALUE"""),"A Saya ingin tidak tergantung dari orang lain terhadap apa yang akan saya lakukan.")</f>
        <v>A Saya ingin tidak tergantung dari orang lain terhadap apa yang akan saya lakukan.</v>
      </c>
      <c r="CK153" s="105" t="str">
        <f>IFERROR(__xludf.DUMMYFUNCTION("""COMPUTED_VALUE"""),"A Saya suka bertahan menghadapi satu masalah, meskipun belum tentu berhasil.")</f>
        <v>A Saya suka bertahan menghadapi satu masalah, meskipun belum tentu berhasil.</v>
      </c>
      <c r="CL153" s="105" t="str">
        <f>IFERROR(__xludf.DUMMYFUNCTION("""COMPUTED_VALUE"""),"A Saya suka menolong teman-teman saya, apabila mereka dalam kesulitan.")</f>
        <v>A Saya suka menolong teman-teman saya, apabila mereka dalam kesulitan.</v>
      </c>
      <c r="CM153" s="105" t="str">
        <f>IFERROR(__xludf.DUMMYFUNCTION("""COMPUTED_VALUE"""),"A Saya ingin ditunjuk atau dipilih sebagai ketua dalam suatu kelompok.")</f>
        <v>A Saya ingin ditunjuk atau dipilih sebagai ketua dalam suatu kelompok.</v>
      </c>
      <c r="CN153" s="105" t="str">
        <f>IFERROR(__xludf.DUMMYFUNCTION("""COMPUTED_VALUE"""),"A Saya ingin diperlakukan dengan baik oleh teman-teman saya.")</f>
        <v>A Saya ingin diperlakukan dengan baik oleh teman-teman saya.</v>
      </c>
      <c r="CO153" s="105" t="str">
        <f>IFERROR(__xludf.DUMMYFUNCTION("""COMPUTED_VALUE"""),"A Saya suka menceritakan hal-hal lucu agar diperhatikan oleh orang lain.")</f>
        <v>A Saya suka menceritakan hal-hal lucu agar diperhatikan oleh orang lain.</v>
      </c>
      <c r="CP153" s="105" t="str">
        <f>IFERROR(__xludf.DUMMYFUNCTION("""COMPUTED_VALUE"""),"A Saya suka melamun atau membayangkan sesuatu sendirian.")</f>
        <v>A Saya suka melamun atau membayangkan sesuatu sendirian.</v>
      </c>
      <c r="CQ153" s="105" t="str">
        <f>IFERROR(__xludf.DUMMYFUNCTION("""COMPUTED_VALUE"""),"B Saya merasa kagum pada seseorang.")</f>
        <v>B Saya merasa kagum pada seseorang.</v>
      </c>
      <c r="CR153" s="105" t="str">
        <f>IFERROR(__xludf.DUMMYFUNCTION("""COMPUTED_VALUE"""),"B Saya rasanya ingin mengecam seseorang bila orang itu menjengkelkan.")</f>
        <v>B Saya rasanya ingin mengecam seseorang bila orang itu menjengkelkan.</v>
      </c>
      <c r="CS153" s="105" t="str">
        <f>IFERROR(__xludf.DUMMYFUNCTION("""COMPUTED_VALUE"""),"A Saya ingin terlihat menarik di depan teman-teman saya.")</f>
        <v>A Saya ingin terlihat menarik di depan teman-teman saya.</v>
      </c>
      <c r="CT153" s="105" t="str">
        <f>IFERROR(__xludf.DUMMYFUNCTION("""COMPUTED_VALUE"""),"A Saya ingin orang-orang memperhatikan komentar mengenai penampilan saya.")</f>
        <v>A Saya ingin orang-orang memperhatikan komentar mengenai penampilan saya.</v>
      </c>
      <c r="CU153" s="105" t="str">
        <f>IFERROR(__xludf.DUMMYFUNCTION("""COMPUTED_VALUE"""),"A Saya ingin diperlakukan dengan ramah oleh teman-teman saya.")</f>
        <v>A Saya ingin diperlakukan dengan ramah oleh teman-teman saya.</v>
      </c>
      <c r="CV153" s="105" t="str">
        <f>IFERROR(__xludf.DUMMYFUNCTION("""COMPUTED_VALUE"""),"A Saya ingin ditunjuk atau dipilih sebagai ketua dalam suatu kelompok.")</f>
        <v>A Saya ingin ditunjuk atau dipilih sebagai ketua dalam suatu kelompok.</v>
      </c>
      <c r="CW153" s="105" t="str">
        <f>IFERROR(__xludf.DUMMYFUNCTION("""COMPUTED_VALUE"""),"A Saya suka menolong teman-teman saya, apabila mereka dalam kesulitan.")</f>
        <v>A Saya suka menolong teman-teman saya, apabila mereka dalam kesulitan.</v>
      </c>
      <c r="CX153" s="105" t="str">
        <f>IFERROR(__xludf.DUMMYFUNCTION("""COMPUTED_VALUE"""),"A Saya suka belajar sampai malam untuk menyelesaikan suatu tugas.")</f>
        <v>A Saya suka belajar sampai malam untuk menyelesaikan suatu tugas.</v>
      </c>
      <c r="CY153" s="105" t="str">
        <f>IFERROR(__xludf.DUMMYFUNCTION("""COMPUTED_VALUE"""),"A Saya ingin tidak tergantung dari orang lain terhadap apa yang akan saya lakukan.")</f>
        <v>A Saya ingin tidak tergantung dari orang lain terhadap apa yang akan saya lakukan.</v>
      </c>
      <c r="CZ153" s="105" t="str">
        <f>IFERROR(__xludf.DUMMYFUNCTION("""COMPUTED_VALUE"""),"A Saya suka merencanakan dan mengatur setiap pekerjaan yang harus saya lakukan.")</f>
        <v>A Saya suka merencanakan dan mengatur setiap pekerjaan yang harus saya lakukan.</v>
      </c>
      <c r="DA153" s="105" t="str">
        <f>IFERROR(__xludf.DUMMYFUNCTION("""COMPUTED_VALUE"""),"A Saya ingin melakukan apa saja sebaik mungkin.")</f>
        <v>A Saya ingin melakukan apa saja sebaik mungkin.</v>
      </c>
      <c r="DB153" s="89" t="s">
        <v>23</v>
      </c>
      <c r="DC153" s="97" t="str">
        <f t="shared" ref="DC153:GX153" si="198">LEFT(F153,1)</f>
        <v>B</v>
      </c>
      <c r="DD153" s="97" t="str">
        <f t="shared" si="198"/>
        <v>A</v>
      </c>
      <c r="DE153" s="97" t="str">
        <f t="shared" si="198"/>
        <v>B</v>
      </c>
      <c r="DF153" s="97" t="str">
        <f t="shared" si="198"/>
        <v>B</v>
      </c>
      <c r="DG153" s="97" t="str">
        <f t="shared" si="198"/>
        <v>A</v>
      </c>
      <c r="DH153" s="97" t="str">
        <f t="shared" si="198"/>
        <v>B</v>
      </c>
      <c r="DI153" s="97" t="str">
        <f t="shared" si="198"/>
        <v>B</v>
      </c>
      <c r="DJ153" s="97" t="str">
        <f t="shared" si="198"/>
        <v>A</v>
      </c>
      <c r="DK153" s="97" t="str">
        <f t="shared" si="198"/>
        <v>B</v>
      </c>
      <c r="DL153" s="97" t="str">
        <f t="shared" si="198"/>
        <v>B</v>
      </c>
      <c r="DM153" s="97" t="str">
        <f t="shared" si="198"/>
        <v>A</v>
      </c>
      <c r="DN153" s="97" t="str">
        <f t="shared" si="198"/>
        <v>B</v>
      </c>
      <c r="DO153" s="97" t="str">
        <f t="shared" si="198"/>
        <v>B</v>
      </c>
      <c r="DP153" s="97" t="str">
        <f t="shared" si="198"/>
        <v>B</v>
      </c>
      <c r="DQ153" s="97" t="str">
        <f t="shared" si="198"/>
        <v>B</v>
      </c>
      <c r="DR153" s="97" t="str">
        <f t="shared" si="198"/>
        <v>A</v>
      </c>
      <c r="DS153" s="97" t="str">
        <f t="shared" si="198"/>
        <v>B</v>
      </c>
      <c r="DT153" s="97" t="str">
        <f t="shared" si="198"/>
        <v>B</v>
      </c>
      <c r="DU153" s="97" t="str">
        <f t="shared" si="198"/>
        <v>B</v>
      </c>
      <c r="DV153" s="97" t="str">
        <f t="shared" si="198"/>
        <v>A</v>
      </c>
      <c r="DW153" s="97" t="str">
        <f t="shared" si="198"/>
        <v>A</v>
      </c>
      <c r="DX153" s="97" t="str">
        <f t="shared" si="198"/>
        <v>A</v>
      </c>
      <c r="DY153" s="97" t="str">
        <f t="shared" si="198"/>
        <v>B</v>
      </c>
      <c r="DZ153" s="97" t="str">
        <f t="shared" si="198"/>
        <v>A</v>
      </c>
      <c r="EA153" s="97" t="str">
        <f t="shared" si="198"/>
        <v>B</v>
      </c>
      <c r="EB153" s="97" t="str">
        <f t="shared" si="198"/>
        <v>A</v>
      </c>
      <c r="EC153" s="97" t="str">
        <f t="shared" si="198"/>
        <v>B</v>
      </c>
      <c r="ED153" s="97" t="str">
        <f t="shared" si="198"/>
        <v>A</v>
      </c>
      <c r="EE153" s="97" t="str">
        <f t="shared" si="198"/>
        <v>B</v>
      </c>
      <c r="EF153" s="97" t="str">
        <f t="shared" si="198"/>
        <v>B</v>
      </c>
      <c r="EG153" s="97" t="str">
        <f t="shared" si="198"/>
        <v>B</v>
      </c>
      <c r="EH153" s="97" t="str">
        <f t="shared" si="198"/>
        <v>B</v>
      </c>
      <c r="EI153" s="97" t="str">
        <f t="shared" si="198"/>
        <v>A</v>
      </c>
      <c r="EJ153" s="97" t="str">
        <f t="shared" si="198"/>
        <v>A</v>
      </c>
      <c r="EK153" s="97" t="str">
        <f t="shared" si="198"/>
        <v>B</v>
      </c>
      <c r="EL153" s="97" t="str">
        <f t="shared" si="198"/>
        <v>A</v>
      </c>
      <c r="EM153" s="97" t="str">
        <f t="shared" si="198"/>
        <v>B</v>
      </c>
      <c r="EN153" s="97" t="str">
        <f t="shared" si="198"/>
        <v>B</v>
      </c>
      <c r="EO153" s="97" t="str">
        <f t="shared" si="198"/>
        <v>B</v>
      </c>
      <c r="EP153" s="97" t="str">
        <f t="shared" si="198"/>
        <v>A</v>
      </c>
      <c r="EQ153" s="97" t="str">
        <f t="shared" si="198"/>
        <v>B</v>
      </c>
      <c r="ER153" s="97" t="str">
        <f t="shared" si="198"/>
        <v>B</v>
      </c>
      <c r="ES153" s="97" t="str">
        <f t="shared" si="198"/>
        <v>B</v>
      </c>
      <c r="ET153" s="97" t="str">
        <f t="shared" si="198"/>
        <v>B</v>
      </c>
      <c r="EU153" s="97" t="str">
        <f t="shared" si="198"/>
        <v>B</v>
      </c>
      <c r="EV153" s="97" t="str">
        <f t="shared" si="198"/>
        <v>B</v>
      </c>
      <c r="EW153" s="97" t="str">
        <f t="shared" si="198"/>
        <v>B</v>
      </c>
      <c r="EX153" s="97" t="str">
        <f t="shared" si="198"/>
        <v>B</v>
      </c>
      <c r="EY153" s="97" t="str">
        <f t="shared" si="198"/>
        <v>B</v>
      </c>
      <c r="EZ153" s="97" t="str">
        <f t="shared" si="198"/>
        <v>B</v>
      </c>
      <c r="FA153" s="97" t="str">
        <f t="shared" si="198"/>
        <v>B</v>
      </c>
      <c r="FB153" s="97" t="str">
        <f t="shared" si="198"/>
        <v>A</v>
      </c>
      <c r="FC153" s="97" t="str">
        <f t="shared" si="198"/>
        <v>B</v>
      </c>
      <c r="FD153" s="97" t="str">
        <f t="shared" si="198"/>
        <v>A</v>
      </c>
      <c r="FE153" s="97" t="str">
        <f t="shared" si="198"/>
        <v>A</v>
      </c>
      <c r="FF153" s="97" t="str">
        <f t="shared" si="198"/>
        <v>A</v>
      </c>
      <c r="FG153" s="97" t="str">
        <f t="shared" si="198"/>
        <v>A</v>
      </c>
      <c r="FH153" s="97" t="str">
        <f t="shared" si="198"/>
        <v>A</v>
      </c>
      <c r="FI153" s="97" t="str">
        <f t="shared" si="198"/>
        <v>A</v>
      </c>
      <c r="FJ153" s="97" t="str">
        <f t="shared" si="198"/>
        <v>A</v>
      </c>
      <c r="FK153" s="97" t="str">
        <f t="shared" si="198"/>
        <v>B</v>
      </c>
      <c r="FL153" s="97" t="str">
        <f t="shared" si="198"/>
        <v>A</v>
      </c>
      <c r="FM153" s="97" t="str">
        <f t="shared" si="198"/>
        <v>A</v>
      </c>
      <c r="FN153" s="97" t="str">
        <f t="shared" si="198"/>
        <v>A</v>
      </c>
      <c r="FO153" s="97" t="str">
        <f t="shared" si="198"/>
        <v>A</v>
      </c>
      <c r="FP153" s="97" t="str">
        <f t="shared" si="198"/>
        <v>B</v>
      </c>
      <c r="FQ153" s="97" t="str">
        <f t="shared" si="198"/>
        <v>B</v>
      </c>
      <c r="FR153" s="97" t="str">
        <f t="shared" si="198"/>
        <v>B</v>
      </c>
      <c r="FS153" s="97" t="str">
        <f t="shared" si="198"/>
        <v>B</v>
      </c>
      <c r="FT153" s="97" t="str">
        <f t="shared" si="198"/>
        <v>B</v>
      </c>
      <c r="FU153" s="97" t="str">
        <f t="shared" si="198"/>
        <v>B</v>
      </c>
      <c r="FV153" s="97" t="str">
        <f t="shared" si="198"/>
        <v>A</v>
      </c>
      <c r="FW153" s="97" t="str">
        <f t="shared" si="198"/>
        <v>A</v>
      </c>
      <c r="FX153" s="97" t="str">
        <f t="shared" si="198"/>
        <v>A</v>
      </c>
      <c r="FY153" s="97" t="str">
        <f t="shared" si="198"/>
        <v>B</v>
      </c>
      <c r="FZ153" s="97" t="str">
        <f t="shared" si="198"/>
        <v>A</v>
      </c>
      <c r="GA153" s="97" t="str">
        <f t="shared" si="198"/>
        <v>A</v>
      </c>
      <c r="GB153" s="97" t="str">
        <f t="shared" si="198"/>
        <v>A</v>
      </c>
      <c r="GC153" s="97" t="str">
        <f t="shared" si="198"/>
        <v>A</v>
      </c>
      <c r="GD153" s="97" t="str">
        <f t="shared" si="198"/>
        <v>A</v>
      </c>
      <c r="GE153" s="97" t="str">
        <f t="shared" si="198"/>
        <v>A</v>
      </c>
      <c r="GF153" s="97" t="str">
        <f t="shared" si="198"/>
        <v>A</v>
      </c>
      <c r="GG153" s="97" t="str">
        <f t="shared" si="198"/>
        <v>A</v>
      </c>
      <c r="GH153" s="97" t="str">
        <f t="shared" si="198"/>
        <v>A</v>
      </c>
      <c r="GI153" s="97" t="str">
        <f t="shared" si="198"/>
        <v>A</v>
      </c>
      <c r="GJ153" s="97" t="str">
        <f t="shared" si="198"/>
        <v>A</v>
      </c>
      <c r="GK153" s="97" t="str">
        <f t="shared" si="198"/>
        <v>A</v>
      </c>
      <c r="GL153" s="97" t="str">
        <f t="shared" si="198"/>
        <v>A</v>
      </c>
      <c r="GM153" s="97" t="str">
        <f t="shared" si="198"/>
        <v>A</v>
      </c>
      <c r="GN153" s="97" t="str">
        <f t="shared" si="198"/>
        <v>B</v>
      </c>
      <c r="GO153" s="97" t="str">
        <f t="shared" si="198"/>
        <v>B</v>
      </c>
      <c r="GP153" s="97" t="str">
        <f t="shared" si="198"/>
        <v>A</v>
      </c>
      <c r="GQ153" s="97" t="str">
        <f t="shared" si="198"/>
        <v>A</v>
      </c>
      <c r="GR153" s="97" t="str">
        <f t="shared" si="198"/>
        <v>A</v>
      </c>
      <c r="GS153" s="97" t="str">
        <f t="shared" si="198"/>
        <v>A</v>
      </c>
      <c r="GT153" s="97" t="str">
        <f t="shared" si="198"/>
        <v>A</v>
      </c>
      <c r="GU153" s="97" t="str">
        <f t="shared" si="198"/>
        <v>A</v>
      </c>
      <c r="GV153" s="97" t="str">
        <f t="shared" si="198"/>
        <v>A</v>
      </c>
      <c r="GW153" s="97" t="str">
        <f t="shared" si="198"/>
        <v>A</v>
      </c>
      <c r="GX153" s="97" t="str">
        <f t="shared" si="198"/>
        <v>A</v>
      </c>
      <c r="GY153" s="98"/>
      <c r="GZ153" s="97">
        <f t="shared" si="3"/>
        <v>53</v>
      </c>
      <c r="HA153" s="97">
        <f t="shared" si="4"/>
        <v>47</v>
      </c>
      <c r="HB153" s="90">
        <f t="shared" si="5"/>
        <v>100</v>
      </c>
      <c r="HC153" s="99"/>
      <c r="HD153" s="97">
        <f t="shared" si="6"/>
        <v>7</v>
      </c>
      <c r="HE153" s="97">
        <f t="shared" si="7"/>
        <v>6</v>
      </c>
      <c r="HF153" s="90">
        <f t="shared" si="8"/>
        <v>13</v>
      </c>
      <c r="HG153" s="99"/>
      <c r="HH153" s="97">
        <f t="shared" si="9"/>
        <v>7</v>
      </c>
      <c r="HI153" s="97">
        <f t="shared" si="10"/>
        <v>7</v>
      </c>
      <c r="HJ153" s="90">
        <f t="shared" si="11"/>
        <v>14</v>
      </c>
      <c r="HK153" s="99"/>
      <c r="HL153" s="97">
        <f t="shared" si="12"/>
        <v>5</v>
      </c>
      <c r="HM153" s="97">
        <f t="shared" si="13"/>
        <v>5</v>
      </c>
      <c r="HN153" s="90">
        <f t="shared" si="14"/>
        <v>10</v>
      </c>
      <c r="HO153" s="99"/>
      <c r="HP153" s="97">
        <f t="shared" si="15"/>
        <v>6</v>
      </c>
      <c r="HQ153" s="97">
        <f t="shared" si="16"/>
        <v>6</v>
      </c>
      <c r="HR153" s="90">
        <f t="shared" si="17"/>
        <v>12</v>
      </c>
      <c r="HS153" s="99"/>
      <c r="HT153" s="97">
        <f t="shared" si="18"/>
        <v>8</v>
      </c>
      <c r="HU153" s="97">
        <f t="shared" si="19"/>
        <v>10</v>
      </c>
      <c r="HV153" s="90">
        <f t="shared" si="20"/>
        <v>18</v>
      </c>
      <c r="HW153" s="99"/>
      <c r="HX153" s="97">
        <f t="shared" si="21"/>
        <v>3</v>
      </c>
      <c r="HY153" s="97">
        <f t="shared" si="22"/>
        <v>2</v>
      </c>
      <c r="HZ153" s="90">
        <f t="shared" si="23"/>
        <v>5</v>
      </c>
      <c r="IA153" s="99"/>
      <c r="IB153" s="97">
        <f t="shared" si="24"/>
        <v>5</v>
      </c>
      <c r="IC153" s="97">
        <f t="shared" si="25"/>
        <v>6</v>
      </c>
      <c r="ID153" s="90">
        <f t="shared" si="26"/>
        <v>11</v>
      </c>
      <c r="IE153" s="99"/>
      <c r="IF153" s="97">
        <f t="shared" si="27"/>
        <v>5</v>
      </c>
      <c r="IG153" s="97">
        <f t="shared" si="28"/>
        <v>2</v>
      </c>
      <c r="IH153" s="90">
        <f t="shared" si="29"/>
        <v>7</v>
      </c>
      <c r="II153" s="99"/>
      <c r="IJ153" s="97">
        <f t="shared" si="30"/>
        <v>3</v>
      </c>
      <c r="IK153" s="97">
        <f t="shared" si="31"/>
        <v>1</v>
      </c>
      <c r="IL153" s="90">
        <f t="shared" si="32"/>
        <v>4</v>
      </c>
      <c r="IM153" s="99"/>
      <c r="IN153" s="97">
        <f t="shared" si="33"/>
        <v>1</v>
      </c>
      <c r="IO153" s="97">
        <f t="shared" si="34"/>
        <v>1</v>
      </c>
      <c r="IP153" s="90">
        <f t="shared" si="35"/>
        <v>2</v>
      </c>
      <c r="IS153" s="100">
        <f t="shared" si="36"/>
        <v>13</v>
      </c>
      <c r="IT153" s="100">
        <f t="shared" si="37"/>
        <v>14</v>
      </c>
      <c r="IU153" s="100">
        <f t="shared" si="38"/>
        <v>10</v>
      </c>
      <c r="IV153" s="100">
        <f t="shared" si="39"/>
        <v>12</v>
      </c>
      <c r="IW153" s="100">
        <f t="shared" si="40"/>
        <v>18</v>
      </c>
      <c r="IX153" s="100">
        <f t="shared" si="41"/>
        <v>5</v>
      </c>
      <c r="IY153" s="100">
        <f t="shared" si="42"/>
        <v>11</v>
      </c>
      <c r="IZ153" s="100">
        <f t="shared" si="43"/>
        <v>7</v>
      </c>
      <c r="JA153" s="100">
        <f t="shared" si="44"/>
        <v>4</v>
      </c>
      <c r="JB153" s="101">
        <f t="shared" si="45"/>
        <v>2</v>
      </c>
      <c r="JC153" s="102">
        <f t="shared" si="46"/>
        <v>96</v>
      </c>
      <c r="JD153" s="67">
        <f t="shared" si="50"/>
        <v>0</v>
      </c>
      <c r="JE153" s="67">
        <f t="shared" si="47"/>
        <v>1</v>
      </c>
      <c r="JF153" s="67">
        <f t="shared" si="48"/>
        <v>1</v>
      </c>
    </row>
    <row r="154">
      <c r="A154" s="104">
        <f>IFERROR(__xludf.DUMMYFUNCTION("""COMPUTED_VALUE"""),45991.397494062505)</f>
        <v>45991.39749</v>
      </c>
      <c r="B154" s="105" t="str">
        <f>IFERROR(__xludf.DUMMYFUNCTION("""COMPUTED_VALUE"""),"Aisha Salma Mutmainnah ")</f>
        <v>Aisha Salma Mutmainnah </v>
      </c>
      <c r="C154" s="7" t="str">
        <f>IFERROR(__xludf.DUMMYFUNCTION("""COMPUTED_VALUE"""),"D250034")</f>
        <v>D250034</v>
      </c>
      <c r="D154" s="7" t="str">
        <f>IFERROR(__xludf.DUMMYFUNCTION("""COMPUTED_VALUE"""),"MTs Putri")</f>
        <v>MTs Putri</v>
      </c>
      <c r="E154" s="7" t="str">
        <f>IFERROR(__xludf.DUMMYFUNCTION("""COMPUTED_VALUE"""),"Ya")</f>
        <v>Ya</v>
      </c>
      <c r="F154" s="105" t="str">
        <f>IFERROR(__xludf.DUMMYFUNCTION("""COMPUTED_VALUE"""),"A Saya ingin mengerjakan segala tugas lebih baik daripada orang lain.")</f>
        <v>A Saya ingin mengerjakan segala tugas lebih baik daripada orang lain.</v>
      </c>
      <c r="G154" s="105" t="str">
        <f>IFERROR(__xludf.DUMMYFUNCTION("""COMPUTED_VALUE"""),"A Saya ingin setiap tulisan saya teliti, rapi, dan tersusun dengan baik.")</f>
        <v>A Saya ingin setiap tulisan saya teliti, rapi, dan tersusun dengan baik.</v>
      </c>
      <c r="H154" s="105" t="str">
        <f>IFERROR(__xludf.DUMMYFUNCTION("""COMPUTED_VALUE"""),"B Saya ingin menjadi orang yang diakui dalam suatu pekerjaan atau bidang khusus.")</f>
        <v>B Saya ingin menjadi orang yang diakui dalam suatu pekerjaan atau bidang khusus.</v>
      </c>
      <c r="I154" s="105" t="str">
        <f>IFERROR(__xludf.DUMMYFUNCTION("""COMPUTED_VALUE"""),"B Saya ingin bisa melakukan dengan baik meskipun tugas yang sulit.")</f>
        <v>B Saya ingin bisa melakukan dengan baik meskipun tugas yang sulit.</v>
      </c>
      <c r="J154" s="105" t="str">
        <f>IFERROR(__xludf.DUMMYFUNCTION("""COMPUTED_VALUE"""),"A Saya suka membantu teman-teman saya apabila mereka mengalami kesulitan.")</f>
        <v>A Saya suka membantu teman-teman saya apabila mereka mengalami kesulitan.</v>
      </c>
      <c r="K154" s="105" t="str">
        <f>IFERROR(__xludf.DUMMYFUNCTION("""COMPUTED_VALUE"""),"B Saya ingin mengatakan telah melakukan dengan baik sesuatu tugas yang sulit.")</f>
        <v>B Saya ingin mengatakan telah melakukan dengan baik sesuatu tugas yang sulit.</v>
      </c>
      <c r="L154" s="105" t="str">
        <f>IFERROR(__xludf.DUMMYFUNCTION("""COMPUTED_VALUE"""),"B Saya ingin mengatakan telah melakukan dengan baik sesuatu tugas yang sulit")</f>
        <v>B Saya ingin mengatakan telah melakukan dengan baik sesuatu tugas yang sulit</v>
      </c>
      <c r="M154" s="105" t="str">
        <f>IFERROR(__xludf.DUMMYFUNCTION("""COMPUTED_VALUE"""),"B Saya ingin mengerjakan segala tugas lebih baik daripada orang lain.")</f>
        <v>B Saya ingin mengerjakan segala tugas lebih baik daripada orang lain.</v>
      </c>
      <c r="N154" s="105" t="str">
        <f>IFERROR(__xludf.DUMMYFUNCTION("""COMPUTED_VALUE"""),"A Saya suka pergi dengan pakaian rapi agar lebih menarik perhatian orang lain.")</f>
        <v>A Saya suka pergi dengan pakaian rapi agar lebih menarik perhatian orang lain.</v>
      </c>
      <c r="O154" s="105" t="str">
        <f>IFERROR(__xludf.DUMMYFUNCTION("""COMPUTED_VALUE"""),"B Saya suka melakukan tugas sebaik mungkin.")</f>
        <v>B Saya suka melakukan tugas sebaik mungkin.</v>
      </c>
      <c r="P154" s="105" t="str">
        <f>IFERROR(__xludf.DUMMYFUNCTION("""COMPUTED_VALUE"""),"B Saya ingin setiap belajar itu teratur dan direncanakan.")</f>
        <v>B Saya ingin setiap belajar itu teratur dan direncanakan.</v>
      </c>
      <c r="Q154" s="105" t="str">
        <f>IFERROR(__xludf.DUMMYFUNCTION("""COMPUTED_VALUE"""),"B Saya merencanakan keperluan yang dibutuhkan sebelum bepergian.")</f>
        <v>B Saya merencanakan keperluan yang dibutuhkan sebelum bepergian.</v>
      </c>
      <c r="R154" s="105" t="str">
        <f>IFERROR(__xludf.DUMMYFUNCTION("""COMPUTED_VALUE"""),"B Saya suka barang-barang saya tersusun rapi dan teratur.")</f>
        <v>B Saya suka barang-barang saya tersusun rapi dan teratur.</v>
      </c>
      <c r="S154" s="105" t="str">
        <f>IFERROR(__xludf.DUMMYFUNCTION("""COMPUTED_VALUE"""),"B Saya suka membuat perencanaan sebelum memulai tugas yang sulit.")</f>
        <v>B Saya suka membuat perencanaan sebelum memulai tugas yang sulit.</v>
      </c>
      <c r="T154" s="105" t="str">
        <f>IFERROR(__xludf.DUMMYFUNCTION("""COMPUTED_VALUE"""),"B Saya ingin agar hidup saya teratur sesuai cita-cita saya.")</f>
        <v>B Saya ingin agar hidup saya teratur sesuai cita-cita saya.</v>
      </c>
      <c r="U154" s="105" t="str">
        <f>IFERROR(__xludf.DUMMYFUNCTION("""COMPUTED_VALUE"""),"B Saya suka menyimpan catatan secara rapi.")</f>
        <v>B Saya suka menyimpan catatan secara rapi.</v>
      </c>
      <c r="V154" s="105" t="str">
        <f>IFERROR(__xludf.DUMMYFUNCTION("""COMPUTED_VALUE"""),"B Saya suka belajar saya teratur dan ada waktu-waktu tertentu untuk belajar.")</f>
        <v>B Saya suka belajar saya teratur dan ada waktu-waktu tertentu untuk belajar.</v>
      </c>
      <c r="W154" s="105" t="str">
        <f>IFERROR(__xludf.DUMMYFUNCTION("""COMPUTED_VALUE"""),"B Saya ingin kegiatan itu teratur dan direncanakan.")</f>
        <v>B Saya ingin kegiatan itu teratur dan direncanakan.</v>
      </c>
      <c r="X154" s="105" t="str">
        <f>IFERROR(__xludf.DUMMYFUNCTION("""COMPUTED_VALUE"""),"B Saya ingin agar hidup saya teratur sesuai cita-cita saya.")</f>
        <v>B Saya ingin agar hidup saya teratur sesuai cita-cita saya.</v>
      </c>
      <c r="Y154" s="105" t="str">
        <f>IFERROR(__xludf.DUMMYFUNCTION("""COMPUTED_VALUE"""),"B Saya senang merencanakan untuk masa depan.")</f>
        <v>B Saya senang merencanakan untuk masa depan.</v>
      </c>
      <c r="Z154" s="105" t="str">
        <f>IFERROR(__xludf.DUMMYFUNCTION("""COMPUTED_VALUE"""),"A Saya ingin berhasil dengan belajar yang saya lakukan.")</f>
        <v>A Saya ingin berhasil dengan belajar yang saya lakukan.</v>
      </c>
      <c r="AA154" s="105" t="str">
        <f>IFERROR(__xludf.DUMMYFUNCTION("""COMPUTED_VALUE"""),"B Saya tidak suka pada orang yang berbuat seenaknya sendiri.")</f>
        <v>B Saya tidak suka pada orang yang berbuat seenaknya sendiri.</v>
      </c>
      <c r="AB154" s="105" t="str">
        <f>IFERROR(__xludf.DUMMYFUNCTION("""COMPUTED_VALUE"""),"B Saya ingin menyelesaikan pekerjaan satu persatu sebelum memulai yang lain.")</f>
        <v>B Saya ingin menyelesaikan pekerjaan satu persatu sebelum memulai yang lain.</v>
      </c>
      <c r="AC154" s="105" t="str">
        <f>IFERROR(__xludf.DUMMYFUNCTION("""COMPUTED_VALUE"""),"B Saya suka melakukan kegiatan sesuai kondisi yang saya inginkan.")</f>
        <v>B Saya suka melakukan kegiatan sesuai kondisi yang saya inginkan.</v>
      </c>
      <c r="AD154" s="105" t="str">
        <f>IFERROR(__xludf.DUMMYFUNCTION("""COMPUTED_VALUE"""),"B Saya suka menyatakan pendapat saya tentang berbagai hal.")</f>
        <v>B Saya suka menyatakan pendapat saya tentang berbagai hal.</v>
      </c>
      <c r="AE154" s="105" t="str">
        <f>IFERROR(__xludf.DUMMYFUNCTION("""COMPUTED_VALUE"""),"A Saya ingin dianggap sebagai pemimpin oleh teman di kelompok.")</f>
        <v>A Saya ingin dianggap sebagai pemimpin oleh teman di kelompok.</v>
      </c>
      <c r="AF154" s="105" t="str">
        <f>IFERROR(__xludf.DUMMYFUNCTION("""COMPUTED_VALUE"""),"B Saya suka melakukan hal-hal dengan cara saya sendiri.")</f>
        <v>B Saya suka melakukan hal-hal dengan cara saya sendiri.</v>
      </c>
      <c r="AG154" s="105" t="str">
        <f>IFERROR(__xludf.DUMMYFUNCTION("""COMPUTED_VALUE"""),"B Saya ingin berhasil dengan tugas yang saya lakukan.")</f>
        <v>B Saya ingin berhasil dengan tugas yang saya lakukan.</v>
      </c>
      <c r="AH154" s="105" t="str">
        <f>IFERROR(__xludf.DUMMYFUNCTION("""COMPUTED_VALUE"""),"B Saya ingin merasa bebas untuk melakukan apa yang saya kehendaki.")</f>
        <v>B Saya ingin merasa bebas untuk melakukan apa yang saya kehendaki.</v>
      </c>
      <c r="AI154" s="105" t="str">
        <f>IFERROR(__xludf.DUMMYFUNCTION("""COMPUTED_VALUE"""),"B Saya suka melakukan kegiatan sesuai kondisi yang saya inginkan.")</f>
        <v>B Saya suka melakukan kegiatan sesuai kondisi yang saya inginkan.</v>
      </c>
      <c r="AJ154" s="105" t="str">
        <f>IFERROR(__xludf.DUMMYFUNCTION("""COMPUTED_VALUE"""),"B Saya suka bertahan menghadapi satu masalah meskipun belum tentu berhasil.")</f>
        <v>B Saya suka bertahan menghadapi satu masalah meskipun belum tentu berhasil.</v>
      </c>
      <c r="AK154" s="105" t="str">
        <f>IFERROR(__xludf.DUMMYFUNCTION("""COMPUTED_VALUE"""),"B Bila saya harus melakukan suatu tugas, saya ingin mengerjakan sampai selesai.")</f>
        <v>B Bila saya harus melakukan suatu tugas, saya ingin mengerjakan sampai selesai.</v>
      </c>
      <c r="AL154" s="105" t="str">
        <f>IFERROR(__xludf.DUMMYFUNCTION("""COMPUTED_VALUE"""),"B Saya ingin menghindarkan gangguan bila saya sedang belajar.")</f>
        <v>B Saya ingin menghindarkan gangguan bila saya sedang belajar.</v>
      </c>
      <c r="AM154" s="105" t="str">
        <f>IFERROR(__xludf.DUMMYFUNCTION("""COMPUTED_VALUE"""),"B Saya suka belajar sampai malam untuk menyelesaikan suatu tugas.")</f>
        <v>B Saya suka belajar sampai malam untuk menyelesaikan suatu tugas.</v>
      </c>
      <c r="AN154" s="105" t="str">
        <f>IFERROR(__xludf.DUMMYFUNCTION("""COMPUTED_VALUE"""),"A Saya tidak suka pada orang yang semena-mena.")</f>
        <v>A Saya tidak suka pada orang yang semena-mena.</v>
      </c>
      <c r="AO154" s="105" t="str">
        <f>IFERROR(__xludf.DUMMYFUNCTION("""COMPUTED_VALUE"""),"A Saya suka berlaku sangat ramah terhadap teman-teman saya.")</f>
        <v>A Saya suka berlaku sangat ramah terhadap teman-teman saya.</v>
      </c>
      <c r="AP154" s="105" t="str">
        <f>IFERROR(__xludf.DUMMYFUNCTION("""COMPUTED_VALUE"""),"A Saya ingin mengerjakannya tugas sampai selesai.")</f>
        <v>A Saya ingin mengerjakannya tugas sampai selesai.</v>
      </c>
      <c r="AQ154" s="105" t="str">
        <f>IFERROR(__xludf.DUMMYFUNCTION("""COMPUTED_VALUE"""),"A Saya ingin bisa mengerjakan segala sesuatu lebih baik daripada orang-orang lain.")</f>
        <v>A Saya ingin bisa mengerjakan segala sesuatu lebih baik daripada orang-orang lain.</v>
      </c>
      <c r="AR154" s="105" t="str">
        <f>IFERROR(__xludf.DUMMYFUNCTION("""COMPUTED_VALUE"""),"A Saya suka menyimpan catatan secara rapi.")</f>
        <v>A Saya suka menyimpan catatan secara rapi.</v>
      </c>
      <c r="AS154" s="105" t="str">
        <f>IFERROR(__xludf.DUMMYFUNCTION("""COMPUTED_VALUE"""),"A Saya ingin dapat menyelesaikan persoalan yang dianggap sukar bagi orang lain.")</f>
        <v>A Saya ingin dapat menyelesaikan persoalan yang dianggap sukar bagi orang lain.</v>
      </c>
      <c r="AT154" s="105" t="str">
        <f>IFERROR(__xludf.DUMMYFUNCTION("""COMPUTED_VALUE"""),"B Saya suka membantu orang lain yang menurut saya perlu dikasihani.")</f>
        <v>B Saya suka membantu orang lain yang menurut saya perlu dikasihani.</v>
      </c>
      <c r="AU154" s="105" t="str">
        <f>IFERROR(__xludf.DUMMYFUNCTION("""COMPUTED_VALUE"""),"A Saya ingin menyelesaikan pekerjaan satu persatu sebelum memulai yang lain.")</f>
        <v>A Saya ingin menyelesaikan pekerjaan satu persatu sebelum memulai yang lain.</v>
      </c>
      <c r="AV154" s="105" t="str">
        <f>IFERROR(__xludf.DUMMYFUNCTION("""COMPUTED_VALUE"""),"B Saya suka menolong teman-teman saya.")</f>
        <v>B Saya suka menolong teman-teman saya.</v>
      </c>
      <c r="AW154" s="105" t="str">
        <f>IFERROR(__xludf.DUMMYFUNCTION("""COMPUTED_VALUE"""),"A Saya ingin mengerjakan tugas sampai selesai.")</f>
        <v>A Saya ingin mengerjakan tugas sampai selesai.</v>
      </c>
      <c r="AX154" s="105" t="str">
        <f>IFERROR(__xludf.DUMMYFUNCTION("""COMPUTED_VALUE"""),"B Saya suka memaafkan teman-teman saya yang menyakiti hati saya.")</f>
        <v>B Saya suka memaafkan teman-teman saya yang menyakiti hati saya.</v>
      </c>
      <c r="AY154" s="105" t="str">
        <f>IFERROR(__xludf.DUMMYFUNCTION("""COMPUTED_VALUE"""),"B Saya suka menolong teman-teman saya apabila mereka dalam kesulitan.")</f>
        <v>B Saya suka menolong teman-teman saya apabila mereka dalam kesulitan.</v>
      </c>
      <c r="AZ154" s="105" t="str">
        <f>IFERROR(__xludf.DUMMYFUNCTION("""COMPUTED_VALUE"""),"A Saya ingin agar teman-teman saya bersimpati dan menghibur saya bila saya sedih.")</f>
        <v>A Saya ingin agar teman-teman saya bersimpati dan menghibur saya bila saya sedih.</v>
      </c>
      <c r="BA154" s="105" t="str">
        <f>IFERROR(__xludf.DUMMYFUNCTION("""COMPUTED_VALUE"""),"B Saya suka memperlakukan orang lain dengan baik dan ramah.")</f>
        <v>B Saya suka memperlakukan orang lain dengan baik dan ramah.</v>
      </c>
      <c r="BB154" s="105" t="str">
        <f>IFERROR(__xludf.DUMMYFUNCTION("""COMPUTED_VALUE"""),"B Saya suka bermurah hati terhadap teman-teman saya.")</f>
        <v>B Saya suka bermurah hati terhadap teman-teman saya.</v>
      </c>
      <c r="BC154" s="105" t="str">
        <f>IFERROR(__xludf.DUMMYFUNCTION("""COMPUTED_VALUE"""),"B Saya suka membantu orang lain yang menurut saya perlu dikasihani.")</f>
        <v>B Saya suka membantu orang lain yang menurut saya perlu dikasihani.</v>
      </c>
      <c r="BD154" s="105" t="str">
        <f>IFERROR(__xludf.DUMMYFUNCTION("""COMPUTED_VALUE"""),"B Saya suka bersikukuh dengan pendirian saya.")</f>
        <v>B Saya suka bersikukuh dengan pendirian saya.</v>
      </c>
      <c r="BE154" s="105" t="str">
        <f>IFERROR(__xludf.DUMMYFUNCTION("""COMPUTED_VALUE"""),"B Saya ingin orang lain melakukan apa yang saya kehendaki.")</f>
        <v>B Saya ingin orang lain melakukan apa yang saya kehendaki.</v>
      </c>
      <c r="BF154" s="105" t="str">
        <f>IFERROR(__xludf.DUMMYFUNCTION("""COMPUTED_VALUE"""),"B Bila saya dalam kelompok, saya ingin menentukan apa yang akan kita lakukan.")</f>
        <v>B Bila saya dalam kelompok, saya ingin menentukan apa yang akan kita lakukan.</v>
      </c>
      <c r="BG154" s="105" t="str">
        <f>IFERROR(__xludf.DUMMYFUNCTION("""COMPUTED_VALUE"""),"B Saya suka mengarahkan kepada orang lain apa yang harus dilakukan.")</f>
        <v>B Saya suka mengarahkan kepada orang lain apa yang harus dilakukan.</v>
      </c>
      <c r="BH154" s="105" t="str">
        <f>IFERROR(__xludf.DUMMYFUNCTION("""COMPUTED_VALUE"""),"B Apabila saya berkumpul dalam kelompok, saya ingin dihargai teman-teman.")</f>
        <v>B Apabila saya berkumpul dalam kelompok, saya ingin dihargai teman-teman.</v>
      </c>
      <c r="BI154" s="105" t="str">
        <f>IFERROR(__xludf.DUMMYFUNCTION("""COMPUTED_VALUE"""),"A Saya suka bermurah hati terhadap teman-teman saya.")</f>
        <v>A Saya suka bermurah hati terhadap teman-teman saya.</v>
      </c>
      <c r="BJ154" s="105" t="str">
        <f>IFERROR(__xludf.DUMMYFUNCTION("""COMPUTED_VALUE"""),"A Saya ingin mengerjakan tugas sampai selesai.")</f>
        <v>A Saya ingin mengerjakan tugas sampai selesai.</v>
      </c>
      <c r="BK154" s="105" t="str">
        <f>IFERROR(__xludf.DUMMYFUNCTION("""COMPUTED_VALUE"""),"A Saya ingin menyelesaikan pekerjaan satu persatu sebelum memulai yang lain.")</f>
        <v>A Saya ingin menyelesaikan pekerjaan satu persatu sebelum memulai yang lain.</v>
      </c>
      <c r="BL154" s="105" t="str">
        <f>IFERROR(__xludf.DUMMYFUNCTION("""COMPUTED_VALUE"""),"A Saya suka belajar saya teratur dan ada waktu-waktu tertentu untuk belajar.")</f>
        <v>A Saya suka belajar saya teratur dan ada waktu-waktu tertentu untuk belajar.</v>
      </c>
      <c r="BM154" s="105" t="str">
        <f>IFERROR(__xludf.DUMMYFUNCTION("""COMPUTED_VALUE"""),"A Saya suka melakukan pekerjaan sebaik mungkin.")</f>
        <v>A Saya suka melakukan pekerjaan sebaik mungkin.</v>
      </c>
      <c r="BN154" s="105" t="str">
        <f>IFERROR(__xludf.DUMMYFUNCTION("""COMPUTED_VALUE"""),"B Saya ingin teman-teman memberi dorongan bila saya menghadapi kegagalan.")</f>
        <v>B Saya ingin teman-teman memberi dorongan bila saya menghadapi kegagalan.</v>
      </c>
      <c r="BO154" s="105" t="str">
        <f>IFERROR(__xludf.DUMMYFUNCTION("""COMPUTED_VALUE"""),"B Saya ingin diperlakukan dengan baik oleh teman-teman saya.")</f>
        <v>B Saya ingin diperlakukan dengan baik oleh teman-teman saya.</v>
      </c>
      <c r="BP154" s="105" t="str">
        <f>IFERROR(__xludf.DUMMYFUNCTION("""COMPUTED_VALUE"""),"A Saya ingin menyelesaikan sesuatu yang sangat penting artinya.")</f>
        <v>A Saya ingin menyelesaikan sesuatu yang sangat penting artinya.</v>
      </c>
      <c r="BQ154" s="105" t="str">
        <f>IFERROR(__xludf.DUMMYFUNCTION("""COMPUTED_VALUE"""),"A Saya ingin mengerjakannya tugas sampai selesai.")</f>
        <v>A Saya ingin mengerjakannya tugas sampai selesai.</v>
      </c>
      <c r="BR154" s="105" t="str">
        <f>IFERROR(__xludf.DUMMYFUNCTION("""COMPUTED_VALUE"""),"A Saya suka memaafkan teman-teman saya yang menyakiti hati saya.")</f>
        <v>A Saya suka memaafkan teman-teman saya yang menyakiti hati saya.</v>
      </c>
      <c r="BS154" s="105" t="str">
        <f>IFERROR(__xludf.DUMMYFUNCTION("""COMPUTED_VALUE"""),"B Saya ingin teman-teman saya membantu saya bila saya mengalami kesulitan")</f>
        <v>B Saya ingin teman-teman saya membantu saya bila saya mengalami kesulitan</v>
      </c>
      <c r="BT154" s="105" t="str">
        <f>IFERROR(__xludf.DUMMYFUNCTION("""COMPUTED_VALUE"""),"A Saya ingin teman-teman saya merasa kasihan pada saya apabila saya sakit.")</f>
        <v>A Saya ingin teman-teman saya merasa kasihan pada saya apabila saya sakit.</v>
      </c>
      <c r="BU154" s="105" t="str">
        <f>IFERROR(__xludf.DUMMYFUNCTION("""COMPUTED_VALUE"""),"B Saya ingin agar teman-teman saya merasa kasihan pada saya apabila saya sakit.")</f>
        <v>B Saya ingin agar teman-teman saya merasa kasihan pada saya apabila saya sakit.</v>
      </c>
      <c r="BV154" s="105" t="str">
        <f>IFERROR(__xludf.DUMMYFUNCTION("""COMPUTED_VALUE"""),"B Saya ingin teman-teman dengan gembira memberikan pertolongan kepada saya.")</f>
        <v>B Saya ingin teman-teman dengan gembira memberikan pertolongan kepada saya.</v>
      </c>
      <c r="BW154" s="105" t="str">
        <f>IFERROR(__xludf.DUMMYFUNCTION("""COMPUTED_VALUE"""),"B Saya ingin diperlakukan dengan baik oleh teman-teman saya.")</f>
        <v>B Saya ingin diperlakukan dengan baik oleh teman-teman saya.</v>
      </c>
      <c r="BX154" s="105" t="str">
        <f>IFERROR(__xludf.DUMMYFUNCTION("""COMPUTED_VALUE"""),"B Saya kadang-kadang suka melakukan hal-hal yang dapat dipuji oleh orang lain.")</f>
        <v>B Saya kadang-kadang suka melakukan hal-hal yang dapat dipuji oleh orang lain.</v>
      </c>
      <c r="BY154" s="105" t="str">
        <f>IFERROR(__xludf.DUMMYFUNCTION("""COMPUTED_VALUE"""),"A Saya suka melamun atau membayangkan hal-hal yang tidak jelas.")</f>
        <v>A Saya suka melamun atau membayangkan hal-hal yang tidak jelas.</v>
      </c>
      <c r="BZ154" s="105" t="str">
        <f>IFERROR(__xludf.DUMMYFUNCTION("""COMPUTED_VALUE"""),"B Saya suka diperhatikan, apabila saya ada di dalam suatu kelompok.")</f>
        <v>B Saya suka diperhatikan, apabila saya ada di dalam suatu kelompok.</v>
      </c>
      <c r="CA154" s="105" t="str">
        <f>IFERROR(__xludf.DUMMYFUNCTION("""COMPUTED_VALUE"""),"A Saya ingin teman-teman dengan gembira memberikan pertolongan kepada saya.")</f>
        <v>A Saya ingin teman-teman dengan gembira memberikan pertolongan kepada saya.</v>
      </c>
      <c r="CB154" s="105" t="str">
        <f>IFERROR(__xludf.DUMMYFUNCTION("""COMPUTED_VALUE"""),"B Saya suka berbicara tentang hal-hal yang telah saya capai.")</f>
        <v>B Saya suka berbicara tentang hal-hal yang telah saya capai.</v>
      </c>
      <c r="CC154" s="105" t="str">
        <f>IFERROR(__xludf.DUMMYFUNCTION("""COMPUTED_VALUE"""),"A Apabila saya berkumpul dalam kelompok, saya ingin dihargai teman-teman.")</f>
        <v>A Apabila saya berkumpul dalam kelompok, saya ingin dihargai teman-teman.</v>
      </c>
      <c r="CD154" s="105" t="str">
        <f>IFERROR(__xludf.DUMMYFUNCTION("""COMPUTED_VALUE"""),"A Saya suka menyelesaikan setiap tugas meskipun membutuhkan waktu lama.")</f>
        <v>A Saya suka menyelesaikan setiap tugas meskipun membutuhkan waktu lama.</v>
      </c>
      <c r="CE154" s="105" t="str">
        <f>IFERROR(__xludf.DUMMYFUNCTION("""COMPUTED_VALUE"""),"B Saya kadang-kadang suka melakukan hal-hal yang dapat dipuji oleh orang lain.")</f>
        <v>B Saya kadang-kadang suka melakukan hal-hal yang dapat dipuji oleh orang lain.</v>
      </c>
      <c r="CF154" s="105" t="str">
        <f>IFERROR(__xludf.DUMMYFUNCTION("""COMPUTED_VALUE"""),"A Saya ingin agar hidup saya teratur sesuai cita-cita saya.")</f>
        <v>A Saya ingin agar hidup saya teratur sesuai cita-cita saya.</v>
      </c>
      <c r="CG154" s="105" t="str">
        <f>IFERROR(__xludf.DUMMYFUNCTION("""COMPUTED_VALUE"""),"A Saya ingin berhasil dalam apa yang saya lakukan.")</f>
        <v>A Saya ingin berhasil dalam apa yang saya lakukan.</v>
      </c>
      <c r="CH154" s="105" t="str">
        <f>IFERROR(__xludf.DUMMYFUNCTION("""COMPUTED_VALUE"""),"A Saya ingin bisa melakukan dengan baik sesuatu pekerjaan sulit.")</f>
        <v>A Saya ingin bisa melakukan dengan baik sesuatu pekerjaan sulit.</v>
      </c>
      <c r="CI154" s="105" t="str">
        <f>IFERROR(__xludf.DUMMYFUNCTION("""COMPUTED_VALUE"""),"A Saya suka belajar saya teratur dan ada waktu-waktu tertentu untuk belajar.")</f>
        <v>A Saya suka belajar saya teratur dan ada waktu-waktu tertentu untuk belajar.</v>
      </c>
      <c r="CJ154" s="105" t="str">
        <f>IFERROR(__xludf.DUMMYFUNCTION("""COMPUTED_VALUE"""),"A Saya ingin tidak tergantung dari orang lain terhadap apa yang akan saya lakukan.")</f>
        <v>A Saya ingin tidak tergantung dari orang lain terhadap apa yang akan saya lakukan.</v>
      </c>
      <c r="CK154" s="105" t="str">
        <f>IFERROR(__xludf.DUMMYFUNCTION("""COMPUTED_VALUE"""),"B Saya senang ikut beraktivitas bersama teman sebaya saya.")</f>
        <v>B Saya senang ikut beraktivitas bersama teman sebaya saya.</v>
      </c>
      <c r="CL154" s="105" t="str">
        <f>IFERROR(__xludf.DUMMYFUNCTION("""COMPUTED_VALUE"""),"A Saya suka menolong teman-teman saya, apabila mereka dalam kesulitan.")</f>
        <v>A Saya suka menolong teman-teman saya, apabila mereka dalam kesulitan.</v>
      </c>
      <c r="CM154" s="105" t="str">
        <f>IFERROR(__xludf.DUMMYFUNCTION("""COMPUTED_VALUE"""),"B Saya merasa kagum pada seseorang.")</f>
        <v>B Saya merasa kagum pada seseorang.</v>
      </c>
      <c r="CN154" s="105" t="str">
        <f>IFERROR(__xludf.DUMMYFUNCTION("""COMPUTED_VALUE"""),"A Saya ingin diperlakukan dengan baik oleh teman-teman saya.")</f>
        <v>A Saya ingin diperlakukan dengan baik oleh teman-teman saya.</v>
      </c>
      <c r="CO154" s="105" t="str">
        <f>IFERROR(__xludf.DUMMYFUNCTION("""COMPUTED_VALUE"""),"B Saya suka memuji orang yang saya kagumi.")</f>
        <v>B Saya suka memuji orang yang saya kagumi.</v>
      </c>
      <c r="CP154" s="105" t="str">
        <f>IFERROR(__xludf.DUMMYFUNCTION("""COMPUTED_VALUE"""),"A Saya suka melamun atau membayangkan sesuatu sendirian.")</f>
        <v>A Saya suka melamun atau membayangkan sesuatu sendirian.</v>
      </c>
      <c r="CQ154" s="105" t="str">
        <f>IFERROR(__xludf.DUMMYFUNCTION("""COMPUTED_VALUE"""),"B Saya merasa kagum pada seseorang.")</f>
        <v>B Saya merasa kagum pada seseorang.</v>
      </c>
      <c r="CR154" s="105" t="str">
        <f>IFERROR(__xludf.DUMMYFUNCTION("""COMPUTED_VALUE"""),"B Saya rasanya ingin mengecam seseorang bila orang itu menjengkelkan.")</f>
        <v>B Saya rasanya ingin mengecam seseorang bila orang itu menjengkelkan.</v>
      </c>
      <c r="CS154" s="105" t="str">
        <f>IFERROR(__xludf.DUMMYFUNCTION("""COMPUTED_VALUE"""),"A Saya ingin terlihat menarik di depan teman-teman saya.")</f>
        <v>A Saya ingin terlihat menarik di depan teman-teman saya.</v>
      </c>
      <c r="CT154" s="105" t="str">
        <f>IFERROR(__xludf.DUMMYFUNCTION("""COMPUTED_VALUE"""),"A Saya ingin orang-orang memperhatikan komentar mengenai penampilan saya.")</f>
        <v>A Saya ingin orang-orang memperhatikan komentar mengenai penampilan saya.</v>
      </c>
      <c r="CU154" s="105" t="str">
        <f>IFERROR(__xludf.DUMMYFUNCTION("""COMPUTED_VALUE"""),"A Saya ingin diperlakukan dengan ramah oleh teman-teman saya.")</f>
        <v>A Saya ingin diperlakukan dengan ramah oleh teman-teman saya.</v>
      </c>
      <c r="CV154" s="105" t="str">
        <f>IFERROR(__xludf.DUMMYFUNCTION("""COMPUTED_VALUE"""),"A Saya ingin ditunjuk atau dipilih sebagai ketua dalam suatu kelompok.")</f>
        <v>A Saya ingin ditunjuk atau dipilih sebagai ketua dalam suatu kelompok.</v>
      </c>
      <c r="CW154" s="105" t="str">
        <f>IFERROR(__xludf.DUMMYFUNCTION("""COMPUTED_VALUE"""),"A Saya suka menolong teman-teman saya, apabila mereka dalam kesulitan.")</f>
        <v>A Saya suka menolong teman-teman saya, apabila mereka dalam kesulitan.</v>
      </c>
      <c r="CX154" s="105" t="str">
        <f>IFERROR(__xludf.DUMMYFUNCTION("""COMPUTED_VALUE"""),"A Saya suka belajar sampai malam untuk menyelesaikan suatu tugas.")</f>
        <v>A Saya suka belajar sampai malam untuk menyelesaikan suatu tugas.</v>
      </c>
      <c r="CY154" s="105" t="str">
        <f>IFERROR(__xludf.DUMMYFUNCTION("""COMPUTED_VALUE"""),"A Saya ingin tidak tergantung dari orang lain terhadap apa yang akan saya lakukan.")</f>
        <v>A Saya ingin tidak tergantung dari orang lain terhadap apa yang akan saya lakukan.</v>
      </c>
      <c r="CZ154" s="105" t="str">
        <f>IFERROR(__xludf.DUMMYFUNCTION("""COMPUTED_VALUE"""),"A Saya suka merencanakan dan mengatur setiap pekerjaan yang harus saya lakukan.")</f>
        <v>A Saya suka merencanakan dan mengatur setiap pekerjaan yang harus saya lakukan.</v>
      </c>
      <c r="DA154" s="105" t="str">
        <f>IFERROR(__xludf.DUMMYFUNCTION("""COMPUTED_VALUE"""),"A Saya ingin melakukan apa saja sebaik mungkin.")</f>
        <v>A Saya ingin melakukan apa saja sebaik mungkin.</v>
      </c>
      <c r="DB154" s="89" t="s">
        <v>23</v>
      </c>
      <c r="DC154" s="97" t="str">
        <f t="shared" ref="DC154:GX154" si="199">LEFT(F154,1)</f>
        <v>A</v>
      </c>
      <c r="DD154" s="97" t="str">
        <f t="shared" si="199"/>
        <v>A</v>
      </c>
      <c r="DE154" s="97" t="str">
        <f t="shared" si="199"/>
        <v>B</v>
      </c>
      <c r="DF154" s="97" t="str">
        <f t="shared" si="199"/>
        <v>B</v>
      </c>
      <c r="DG154" s="97" t="str">
        <f t="shared" si="199"/>
        <v>A</v>
      </c>
      <c r="DH154" s="97" t="str">
        <f t="shared" si="199"/>
        <v>B</v>
      </c>
      <c r="DI154" s="97" t="str">
        <f t="shared" si="199"/>
        <v>B</v>
      </c>
      <c r="DJ154" s="97" t="str">
        <f t="shared" si="199"/>
        <v>B</v>
      </c>
      <c r="DK154" s="97" t="str">
        <f t="shared" si="199"/>
        <v>A</v>
      </c>
      <c r="DL154" s="97" t="str">
        <f t="shared" si="199"/>
        <v>B</v>
      </c>
      <c r="DM154" s="97" t="str">
        <f t="shared" si="199"/>
        <v>B</v>
      </c>
      <c r="DN154" s="97" t="str">
        <f t="shared" si="199"/>
        <v>B</v>
      </c>
      <c r="DO154" s="97" t="str">
        <f t="shared" si="199"/>
        <v>B</v>
      </c>
      <c r="DP154" s="97" t="str">
        <f t="shared" si="199"/>
        <v>B</v>
      </c>
      <c r="DQ154" s="97" t="str">
        <f t="shared" si="199"/>
        <v>B</v>
      </c>
      <c r="DR154" s="97" t="str">
        <f t="shared" si="199"/>
        <v>B</v>
      </c>
      <c r="DS154" s="97" t="str">
        <f t="shared" si="199"/>
        <v>B</v>
      </c>
      <c r="DT154" s="97" t="str">
        <f t="shared" si="199"/>
        <v>B</v>
      </c>
      <c r="DU154" s="97" t="str">
        <f t="shared" si="199"/>
        <v>B</v>
      </c>
      <c r="DV154" s="97" t="str">
        <f t="shared" si="199"/>
        <v>B</v>
      </c>
      <c r="DW154" s="97" t="str">
        <f t="shared" si="199"/>
        <v>A</v>
      </c>
      <c r="DX154" s="97" t="str">
        <f t="shared" si="199"/>
        <v>B</v>
      </c>
      <c r="DY154" s="97" t="str">
        <f t="shared" si="199"/>
        <v>B</v>
      </c>
      <c r="DZ154" s="97" t="str">
        <f t="shared" si="199"/>
        <v>B</v>
      </c>
      <c r="EA154" s="97" t="str">
        <f t="shared" si="199"/>
        <v>B</v>
      </c>
      <c r="EB154" s="97" t="str">
        <f t="shared" si="199"/>
        <v>A</v>
      </c>
      <c r="EC154" s="97" t="str">
        <f t="shared" si="199"/>
        <v>B</v>
      </c>
      <c r="ED154" s="97" t="str">
        <f t="shared" si="199"/>
        <v>B</v>
      </c>
      <c r="EE154" s="97" t="str">
        <f t="shared" si="199"/>
        <v>B</v>
      </c>
      <c r="EF154" s="97" t="str">
        <f t="shared" si="199"/>
        <v>B</v>
      </c>
      <c r="EG154" s="97" t="str">
        <f t="shared" si="199"/>
        <v>B</v>
      </c>
      <c r="EH154" s="97" t="str">
        <f t="shared" si="199"/>
        <v>B</v>
      </c>
      <c r="EI154" s="97" t="str">
        <f t="shared" si="199"/>
        <v>B</v>
      </c>
      <c r="EJ154" s="97" t="str">
        <f t="shared" si="199"/>
        <v>B</v>
      </c>
      <c r="EK154" s="97" t="str">
        <f t="shared" si="199"/>
        <v>A</v>
      </c>
      <c r="EL154" s="97" t="str">
        <f t="shared" si="199"/>
        <v>A</v>
      </c>
      <c r="EM154" s="97" t="str">
        <f t="shared" si="199"/>
        <v>A</v>
      </c>
      <c r="EN154" s="97" t="str">
        <f t="shared" si="199"/>
        <v>A</v>
      </c>
      <c r="EO154" s="97" t="str">
        <f t="shared" si="199"/>
        <v>A</v>
      </c>
      <c r="EP154" s="97" t="str">
        <f t="shared" si="199"/>
        <v>A</v>
      </c>
      <c r="EQ154" s="97" t="str">
        <f t="shared" si="199"/>
        <v>B</v>
      </c>
      <c r="ER154" s="97" t="str">
        <f t="shared" si="199"/>
        <v>A</v>
      </c>
      <c r="ES154" s="97" t="str">
        <f t="shared" si="199"/>
        <v>B</v>
      </c>
      <c r="ET154" s="97" t="str">
        <f t="shared" si="199"/>
        <v>A</v>
      </c>
      <c r="EU154" s="97" t="str">
        <f t="shared" si="199"/>
        <v>B</v>
      </c>
      <c r="EV154" s="97" t="str">
        <f t="shared" si="199"/>
        <v>B</v>
      </c>
      <c r="EW154" s="97" t="str">
        <f t="shared" si="199"/>
        <v>A</v>
      </c>
      <c r="EX154" s="97" t="str">
        <f t="shared" si="199"/>
        <v>B</v>
      </c>
      <c r="EY154" s="97" t="str">
        <f t="shared" si="199"/>
        <v>B</v>
      </c>
      <c r="EZ154" s="97" t="str">
        <f t="shared" si="199"/>
        <v>B</v>
      </c>
      <c r="FA154" s="97" t="str">
        <f t="shared" si="199"/>
        <v>B</v>
      </c>
      <c r="FB154" s="97" t="str">
        <f t="shared" si="199"/>
        <v>B</v>
      </c>
      <c r="FC154" s="97" t="str">
        <f t="shared" si="199"/>
        <v>B</v>
      </c>
      <c r="FD154" s="97" t="str">
        <f t="shared" si="199"/>
        <v>B</v>
      </c>
      <c r="FE154" s="97" t="str">
        <f t="shared" si="199"/>
        <v>B</v>
      </c>
      <c r="FF154" s="97" t="str">
        <f t="shared" si="199"/>
        <v>A</v>
      </c>
      <c r="FG154" s="97" t="str">
        <f t="shared" si="199"/>
        <v>A</v>
      </c>
      <c r="FH154" s="97" t="str">
        <f t="shared" si="199"/>
        <v>A</v>
      </c>
      <c r="FI154" s="97" t="str">
        <f t="shared" si="199"/>
        <v>A</v>
      </c>
      <c r="FJ154" s="97" t="str">
        <f t="shared" si="199"/>
        <v>A</v>
      </c>
      <c r="FK154" s="97" t="str">
        <f t="shared" si="199"/>
        <v>B</v>
      </c>
      <c r="FL154" s="97" t="str">
        <f t="shared" si="199"/>
        <v>B</v>
      </c>
      <c r="FM154" s="97" t="str">
        <f t="shared" si="199"/>
        <v>A</v>
      </c>
      <c r="FN154" s="97" t="str">
        <f t="shared" si="199"/>
        <v>A</v>
      </c>
      <c r="FO154" s="97" t="str">
        <f t="shared" si="199"/>
        <v>A</v>
      </c>
      <c r="FP154" s="97" t="str">
        <f t="shared" si="199"/>
        <v>B</v>
      </c>
      <c r="FQ154" s="97" t="str">
        <f t="shared" si="199"/>
        <v>A</v>
      </c>
      <c r="FR154" s="97" t="str">
        <f t="shared" si="199"/>
        <v>B</v>
      </c>
      <c r="FS154" s="97" t="str">
        <f t="shared" si="199"/>
        <v>B</v>
      </c>
      <c r="FT154" s="97" t="str">
        <f t="shared" si="199"/>
        <v>B</v>
      </c>
      <c r="FU154" s="97" t="str">
        <f t="shared" si="199"/>
        <v>B</v>
      </c>
      <c r="FV154" s="97" t="str">
        <f t="shared" si="199"/>
        <v>A</v>
      </c>
      <c r="FW154" s="97" t="str">
        <f t="shared" si="199"/>
        <v>B</v>
      </c>
      <c r="FX154" s="97" t="str">
        <f t="shared" si="199"/>
        <v>A</v>
      </c>
      <c r="FY154" s="97" t="str">
        <f t="shared" si="199"/>
        <v>B</v>
      </c>
      <c r="FZ154" s="97" t="str">
        <f t="shared" si="199"/>
        <v>A</v>
      </c>
      <c r="GA154" s="97" t="str">
        <f t="shared" si="199"/>
        <v>A</v>
      </c>
      <c r="GB154" s="97" t="str">
        <f t="shared" si="199"/>
        <v>B</v>
      </c>
      <c r="GC154" s="97" t="str">
        <f t="shared" si="199"/>
        <v>A</v>
      </c>
      <c r="GD154" s="97" t="str">
        <f t="shared" si="199"/>
        <v>A</v>
      </c>
      <c r="GE154" s="97" t="str">
        <f t="shared" si="199"/>
        <v>A</v>
      </c>
      <c r="GF154" s="97" t="str">
        <f t="shared" si="199"/>
        <v>A</v>
      </c>
      <c r="GG154" s="97" t="str">
        <f t="shared" si="199"/>
        <v>A</v>
      </c>
      <c r="GH154" s="97" t="str">
        <f t="shared" si="199"/>
        <v>B</v>
      </c>
      <c r="GI154" s="97" t="str">
        <f t="shared" si="199"/>
        <v>A</v>
      </c>
      <c r="GJ154" s="97" t="str">
        <f t="shared" si="199"/>
        <v>B</v>
      </c>
      <c r="GK154" s="97" t="str">
        <f t="shared" si="199"/>
        <v>A</v>
      </c>
      <c r="GL154" s="97" t="str">
        <f t="shared" si="199"/>
        <v>B</v>
      </c>
      <c r="GM154" s="97" t="str">
        <f t="shared" si="199"/>
        <v>A</v>
      </c>
      <c r="GN154" s="97" t="str">
        <f t="shared" si="199"/>
        <v>B</v>
      </c>
      <c r="GO154" s="97" t="str">
        <f t="shared" si="199"/>
        <v>B</v>
      </c>
      <c r="GP154" s="97" t="str">
        <f t="shared" si="199"/>
        <v>A</v>
      </c>
      <c r="GQ154" s="97" t="str">
        <f t="shared" si="199"/>
        <v>A</v>
      </c>
      <c r="GR154" s="97" t="str">
        <f t="shared" si="199"/>
        <v>A</v>
      </c>
      <c r="GS154" s="97" t="str">
        <f t="shared" si="199"/>
        <v>A</v>
      </c>
      <c r="GT154" s="97" t="str">
        <f t="shared" si="199"/>
        <v>A</v>
      </c>
      <c r="GU154" s="97" t="str">
        <f t="shared" si="199"/>
        <v>A</v>
      </c>
      <c r="GV154" s="97" t="str">
        <f t="shared" si="199"/>
        <v>A</v>
      </c>
      <c r="GW154" s="97" t="str">
        <f t="shared" si="199"/>
        <v>A</v>
      </c>
      <c r="GX154" s="97" t="str">
        <f t="shared" si="199"/>
        <v>A</v>
      </c>
      <c r="GY154" s="98"/>
      <c r="GZ154" s="97">
        <f t="shared" si="3"/>
        <v>45</v>
      </c>
      <c r="HA154" s="97">
        <f t="shared" si="4"/>
        <v>55</v>
      </c>
      <c r="HB154" s="90">
        <f t="shared" si="5"/>
        <v>100</v>
      </c>
      <c r="HC154" s="99"/>
      <c r="HD154" s="97">
        <f t="shared" si="6"/>
        <v>6</v>
      </c>
      <c r="HE154" s="97">
        <f t="shared" si="7"/>
        <v>6</v>
      </c>
      <c r="HF154" s="90">
        <f t="shared" si="8"/>
        <v>12</v>
      </c>
      <c r="HG154" s="99"/>
      <c r="HH154" s="97">
        <f t="shared" si="9"/>
        <v>7</v>
      </c>
      <c r="HI154" s="97">
        <f t="shared" si="10"/>
        <v>10</v>
      </c>
      <c r="HJ154" s="90">
        <f t="shared" si="11"/>
        <v>17</v>
      </c>
      <c r="HK154" s="99"/>
      <c r="HL154" s="97">
        <f t="shared" si="12"/>
        <v>5</v>
      </c>
      <c r="HM154" s="97">
        <f t="shared" si="13"/>
        <v>8</v>
      </c>
      <c r="HN154" s="90">
        <f t="shared" si="14"/>
        <v>13</v>
      </c>
      <c r="HO154" s="99"/>
      <c r="HP154" s="97">
        <f t="shared" si="15"/>
        <v>5</v>
      </c>
      <c r="HQ154" s="97">
        <f t="shared" si="16"/>
        <v>4</v>
      </c>
      <c r="HR154" s="90">
        <f t="shared" si="17"/>
        <v>9</v>
      </c>
      <c r="HS154" s="99"/>
      <c r="HT154" s="97">
        <f t="shared" si="18"/>
        <v>7</v>
      </c>
      <c r="HU154" s="97">
        <f t="shared" si="19"/>
        <v>7</v>
      </c>
      <c r="HV154" s="90">
        <f t="shared" si="20"/>
        <v>14</v>
      </c>
      <c r="HW154" s="99"/>
      <c r="HX154" s="97">
        <f t="shared" si="21"/>
        <v>3</v>
      </c>
      <c r="HY154" s="97">
        <f t="shared" si="22"/>
        <v>5</v>
      </c>
      <c r="HZ154" s="90">
        <f t="shared" si="23"/>
        <v>8</v>
      </c>
      <c r="IA154" s="99"/>
      <c r="IB154" s="97">
        <f t="shared" si="24"/>
        <v>4</v>
      </c>
      <c r="IC154" s="97">
        <f t="shared" si="25"/>
        <v>6</v>
      </c>
      <c r="ID154" s="90">
        <f t="shared" si="26"/>
        <v>10</v>
      </c>
      <c r="IE154" s="99"/>
      <c r="IF154" s="97">
        <f t="shared" si="27"/>
        <v>1</v>
      </c>
      <c r="IG154" s="97">
        <f t="shared" si="28"/>
        <v>4</v>
      </c>
      <c r="IH154" s="90">
        <f t="shared" si="29"/>
        <v>5</v>
      </c>
      <c r="II154" s="99"/>
      <c r="IJ154" s="97">
        <f t="shared" si="30"/>
        <v>3</v>
      </c>
      <c r="IK154" s="97">
        <f t="shared" si="31"/>
        <v>4</v>
      </c>
      <c r="IL154" s="90">
        <f t="shared" si="32"/>
        <v>7</v>
      </c>
      <c r="IM154" s="99"/>
      <c r="IN154" s="97">
        <f t="shared" si="33"/>
        <v>0</v>
      </c>
      <c r="IO154" s="97">
        <f t="shared" si="34"/>
        <v>1</v>
      </c>
      <c r="IP154" s="90">
        <f t="shared" si="35"/>
        <v>1</v>
      </c>
      <c r="IS154" s="100">
        <f t="shared" si="36"/>
        <v>12</v>
      </c>
      <c r="IT154" s="100">
        <f t="shared" si="37"/>
        <v>17</v>
      </c>
      <c r="IU154" s="100">
        <f t="shared" si="38"/>
        <v>13</v>
      </c>
      <c r="IV154" s="100">
        <f t="shared" si="39"/>
        <v>9</v>
      </c>
      <c r="IW154" s="100">
        <f t="shared" si="40"/>
        <v>14</v>
      </c>
      <c r="IX154" s="100">
        <f t="shared" si="41"/>
        <v>8</v>
      </c>
      <c r="IY154" s="100">
        <f t="shared" si="42"/>
        <v>10</v>
      </c>
      <c r="IZ154" s="100">
        <f t="shared" si="43"/>
        <v>5</v>
      </c>
      <c r="JA154" s="100">
        <f t="shared" si="44"/>
        <v>7</v>
      </c>
      <c r="JB154" s="101">
        <f t="shared" si="45"/>
        <v>1</v>
      </c>
      <c r="JC154" s="102">
        <f t="shared" si="46"/>
        <v>96</v>
      </c>
      <c r="JD154" s="67">
        <f t="shared" si="50"/>
        <v>0</v>
      </c>
      <c r="JE154" s="67">
        <f t="shared" si="47"/>
        <v>1</v>
      </c>
      <c r="JF154" s="67">
        <f t="shared" si="48"/>
        <v>1</v>
      </c>
    </row>
    <row r="155">
      <c r="A155" s="104">
        <f>IFERROR(__xludf.DUMMYFUNCTION("""COMPUTED_VALUE"""),45991.59930965278)</f>
        <v>45991.59931</v>
      </c>
      <c r="B155" s="105" t="str">
        <f>IFERROR(__xludf.DUMMYFUNCTION("""COMPUTED_VALUE"""),"Nada Faizah Muttaqiyah ")</f>
        <v>Nada Faizah Muttaqiyah </v>
      </c>
      <c r="C155" s="7" t="str">
        <f>IFERROR(__xludf.DUMMYFUNCTION("""COMPUTED_VALUE"""),"E250010")</f>
        <v>E250010</v>
      </c>
      <c r="D155" s="7" t="str">
        <f>IFERROR(__xludf.DUMMYFUNCTION("""COMPUTED_VALUE"""),"IL Putri")</f>
        <v>IL Putri</v>
      </c>
      <c r="E155" s="7" t="str">
        <f>IFERROR(__xludf.DUMMYFUNCTION("""COMPUTED_VALUE"""),"Ya")</f>
        <v>Ya</v>
      </c>
      <c r="F155" s="105" t="str">
        <f>IFERROR(__xludf.DUMMYFUNCTION("""COMPUTED_VALUE"""),"B Saya ingin melakukan apa saja sebaik mungkin.")</f>
        <v>B Saya ingin melakukan apa saja sebaik mungkin.</v>
      </c>
      <c r="G155" s="105" t="str">
        <f>IFERROR(__xludf.DUMMYFUNCTION("""COMPUTED_VALUE"""),"A Saya ingin setiap tulisan saya teliti, rapi, dan tersusun dengan baik.")</f>
        <v>A Saya ingin setiap tulisan saya teliti, rapi, dan tersusun dengan baik.</v>
      </c>
      <c r="H155" s="105" t="str">
        <f>IFERROR(__xludf.DUMMYFUNCTION("""COMPUTED_VALUE"""),"A Saya ingin berbuat sesuai kata hati saya.")</f>
        <v>A Saya ingin berbuat sesuai kata hati saya.</v>
      </c>
      <c r="I155" s="105" t="str">
        <f>IFERROR(__xludf.DUMMYFUNCTION("""COMPUTED_VALUE"""),"B Saya ingin bisa melakukan dengan baik meskipun tugas yang sulit.")</f>
        <v>B Saya ingin bisa melakukan dengan baik meskipun tugas yang sulit.</v>
      </c>
      <c r="J155" s="105" t="str">
        <f>IFERROR(__xludf.DUMMYFUNCTION("""COMPUTED_VALUE"""),"B Saya ingin mengerjakan tugas sebaik mungkin.")</f>
        <v>B Saya ingin mengerjakan tugas sebaik mungkin.</v>
      </c>
      <c r="K155" s="105" t="str">
        <f>IFERROR(__xludf.DUMMYFUNCTION("""COMPUTED_VALUE"""),"B Saya ingin mengatakan telah melakukan dengan baik sesuatu tugas yang sulit.")</f>
        <v>B Saya ingin mengatakan telah melakukan dengan baik sesuatu tugas yang sulit.</v>
      </c>
      <c r="L155" s="105" t="str">
        <f>IFERROR(__xludf.DUMMYFUNCTION("""COMPUTED_VALUE"""),"B Saya ingin mengatakan telah melakukan dengan baik sesuatu tugas yang sulit")</f>
        <v>B Saya ingin mengatakan telah melakukan dengan baik sesuatu tugas yang sulit</v>
      </c>
      <c r="M155" s="105" t="str">
        <f>IFERROR(__xludf.DUMMYFUNCTION("""COMPUTED_VALUE"""),"A Saya suka berbicara tentang hal-hal yang telah berhasil saya lakukan.")</f>
        <v>A Saya suka berbicara tentang hal-hal yang telah berhasil saya lakukan.</v>
      </c>
      <c r="N155" s="105" t="str">
        <f>IFERROR(__xludf.DUMMYFUNCTION("""COMPUTED_VALUE"""),"A Saya suka pergi dengan pakaian rapi agar lebih menarik perhatian orang lain.")</f>
        <v>A Saya suka pergi dengan pakaian rapi agar lebih menarik perhatian orang lain.</v>
      </c>
      <c r="O155" s="105" t="str">
        <f>IFERROR(__xludf.DUMMYFUNCTION("""COMPUTED_VALUE"""),"B Saya suka melakukan tugas sebaik mungkin.")</f>
        <v>B Saya suka melakukan tugas sebaik mungkin.</v>
      </c>
      <c r="P155" s="105" t="str">
        <f>IFERROR(__xludf.DUMMYFUNCTION("""COMPUTED_VALUE"""),"A Saya suka bercerita tentang hal-hal yang menegangkan atau menantang.")</f>
        <v>A Saya suka bercerita tentang hal-hal yang menegangkan atau menantang.</v>
      </c>
      <c r="Q155" s="105" t="str">
        <f>IFERROR(__xludf.DUMMYFUNCTION("""COMPUTED_VALUE"""),"B Saya merencanakan keperluan yang dibutuhkan sebelum bepergian.")</f>
        <v>B Saya merencanakan keperluan yang dibutuhkan sebelum bepergian.</v>
      </c>
      <c r="R155" s="105" t="str">
        <f>IFERROR(__xludf.DUMMYFUNCTION("""COMPUTED_VALUE"""),"B Saya suka barang-barang saya tersusun rapi dan teratur.")</f>
        <v>B Saya suka barang-barang saya tersusun rapi dan teratur.</v>
      </c>
      <c r="S155" s="105" t="str">
        <f>IFERROR(__xludf.DUMMYFUNCTION("""COMPUTED_VALUE"""),"A Saya ingin agar teman-teman pengertian bila saya mengalami kesukaran.")</f>
        <v>A Saya ingin agar teman-teman pengertian bila saya mengalami kesukaran.</v>
      </c>
      <c r="T155" s="105" t="str">
        <f>IFERROR(__xludf.DUMMYFUNCTION("""COMPUTED_VALUE"""),"B Saya ingin agar hidup saya teratur sesuai cita-cita saya.")</f>
        <v>B Saya ingin agar hidup saya teratur sesuai cita-cita saya.</v>
      </c>
      <c r="U155" s="105" t="str">
        <f>IFERROR(__xludf.DUMMYFUNCTION("""COMPUTED_VALUE"""),"A Saya suka memberikan bantuan kepada teman-teman saya.")</f>
        <v>A Saya suka memberikan bantuan kepada teman-teman saya.</v>
      </c>
      <c r="V155" s="105" t="str">
        <f>IFERROR(__xludf.DUMMYFUNCTION("""COMPUTED_VALUE"""),"B Saya suka belajar saya teratur dan ada waktu-waktu tertentu untuk belajar.")</f>
        <v>B Saya suka belajar saya teratur dan ada waktu-waktu tertentu untuk belajar.</v>
      </c>
      <c r="W155" s="105" t="str">
        <f>IFERROR(__xludf.DUMMYFUNCTION("""COMPUTED_VALUE"""),"A Saya suka melakukan kegiatan sesuai kondisi yang saya inginkan.")</f>
        <v>A Saya suka melakukan kegiatan sesuai kondisi yang saya inginkan.</v>
      </c>
      <c r="X155" s="105" t="str">
        <f>IFERROR(__xludf.DUMMYFUNCTION("""COMPUTED_VALUE"""),"A Saya suka merencanakan dan mengatur setiap apa yang harus saya lakukan.")</f>
        <v>A Saya suka merencanakan dan mengatur setiap apa yang harus saya lakukan.</v>
      </c>
      <c r="Y155" s="105" t="str">
        <f>IFERROR(__xludf.DUMMYFUNCTION("""COMPUTED_VALUE"""),"B Saya senang merencanakan untuk masa depan.")</f>
        <v>B Saya senang merencanakan untuk masa depan.</v>
      </c>
      <c r="Z155" s="105" t="str">
        <f>IFERROR(__xludf.DUMMYFUNCTION("""COMPUTED_VALUE"""),"A Saya ingin berhasil dengan belajar yang saya lakukan.")</f>
        <v>A Saya ingin berhasil dengan belajar yang saya lakukan.</v>
      </c>
      <c r="AA155" s="105" t="str">
        <f>IFERROR(__xludf.DUMMYFUNCTION("""COMPUTED_VALUE"""),"B Saya tidak suka pada orang yang berbuat seenaknya sendiri.")</f>
        <v>B Saya tidak suka pada orang yang berbuat seenaknya sendiri.</v>
      </c>
      <c r="AB155" s="105" t="str">
        <f>IFERROR(__xludf.DUMMYFUNCTION("""COMPUTED_VALUE"""),"A Saya ingin tidak tergantung dari orang lain terhadap apa yang akan saya lakukan.")</f>
        <v>A Saya ingin tidak tergantung dari orang lain terhadap apa yang akan saya lakukan.</v>
      </c>
      <c r="AC155" s="105" t="str">
        <f>IFERROR(__xludf.DUMMYFUNCTION("""COMPUTED_VALUE"""),"B Saya suka melakukan kegiatan sesuai kondisi yang saya inginkan.")</f>
        <v>B Saya suka melakukan kegiatan sesuai kondisi yang saya inginkan.</v>
      </c>
      <c r="AD155" s="105" t="str">
        <f>IFERROR(__xludf.DUMMYFUNCTION("""COMPUTED_VALUE"""),"B Saya suka menyatakan pendapat saya tentang berbagai hal.")</f>
        <v>B Saya suka menyatakan pendapat saya tentang berbagai hal.</v>
      </c>
      <c r="AE155" s="105" t="str">
        <f>IFERROR(__xludf.DUMMYFUNCTION("""COMPUTED_VALUE"""),"A Saya ingin dianggap sebagai pemimpin oleh teman di kelompok.")</f>
        <v>A Saya ingin dianggap sebagai pemimpin oleh teman di kelompok.</v>
      </c>
      <c r="AF155" s="105" t="str">
        <f>IFERROR(__xludf.DUMMYFUNCTION("""COMPUTED_VALUE"""),"B Saya suka melakukan hal-hal dengan cara saya sendiri.")</f>
        <v>B Saya suka melakukan hal-hal dengan cara saya sendiri.</v>
      </c>
      <c r="AG155" s="105" t="str">
        <f>IFERROR(__xludf.DUMMYFUNCTION("""COMPUTED_VALUE"""),"B Saya ingin berhasil dengan tugas yang saya lakukan.")</f>
        <v>B Saya ingin berhasil dengan tugas yang saya lakukan.</v>
      </c>
      <c r="AH155" s="105" t="str">
        <f>IFERROR(__xludf.DUMMYFUNCTION("""COMPUTED_VALUE"""),"B Saya ingin merasa bebas untuk melakukan apa yang saya kehendaki.")</f>
        <v>B Saya ingin merasa bebas untuk melakukan apa yang saya kehendaki.</v>
      </c>
      <c r="AI155" s="105" t="str">
        <f>IFERROR(__xludf.DUMMYFUNCTION("""COMPUTED_VALUE"""),"B Saya suka melakukan kegiatan sesuai kondisi yang saya inginkan.")</f>
        <v>B Saya suka melakukan kegiatan sesuai kondisi yang saya inginkan.</v>
      </c>
      <c r="AJ155" s="105" t="str">
        <f>IFERROR(__xludf.DUMMYFUNCTION("""COMPUTED_VALUE"""),"B Saya suka bertahan menghadapi satu masalah meskipun belum tentu berhasil.")</f>
        <v>B Saya suka bertahan menghadapi satu masalah meskipun belum tentu berhasil.</v>
      </c>
      <c r="AK155" s="105" t="str">
        <f>IFERROR(__xludf.DUMMYFUNCTION("""COMPUTED_VALUE"""),"B Bila saya harus melakukan suatu tugas, saya ingin mengerjakan sampai selesai.")</f>
        <v>B Bila saya harus melakukan suatu tugas, saya ingin mengerjakan sampai selesai.</v>
      </c>
      <c r="AL155" s="105" t="str">
        <f>IFERROR(__xludf.DUMMYFUNCTION("""COMPUTED_VALUE"""),"A Saya suka berbicara tentang hal-hal yang telah saya capai.")</f>
        <v>A Saya suka berbicara tentang hal-hal yang telah saya capai.</v>
      </c>
      <c r="AM155" s="105" t="str">
        <f>IFERROR(__xludf.DUMMYFUNCTION("""COMPUTED_VALUE"""),"B Saya suka belajar sampai malam untuk menyelesaikan suatu tugas.")</f>
        <v>B Saya suka belajar sampai malam untuk menyelesaikan suatu tugas.</v>
      </c>
      <c r="AN155" s="105" t="str">
        <f>IFERROR(__xludf.DUMMYFUNCTION("""COMPUTED_VALUE"""),"A Saya tidak suka pada orang yang semena-mena.")</f>
        <v>A Saya tidak suka pada orang yang semena-mena.</v>
      </c>
      <c r="AO155" s="105" t="str">
        <f>IFERROR(__xludf.DUMMYFUNCTION("""COMPUTED_VALUE"""),"B Saya suka menyelesaikan setiap tugas meskipun membutuhkan waktu lama.")</f>
        <v>B Saya suka menyelesaikan setiap tugas meskipun membutuhkan waktu lama.</v>
      </c>
      <c r="AP155" s="105" t="str">
        <f>IFERROR(__xludf.DUMMYFUNCTION("""COMPUTED_VALUE"""),"B Saya suka bertahan menghadapi satu masalah meskipun belum tentu berhasil.")</f>
        <v>B Saya suka bertahan menghadapi satu masalah meskipun belum tentu berhasil.</v>
      </c>
      <c r="AQ155" s="105" t="str">
        <f>IFERROR(__xludf.DUMMYFUNCTION("""COMPUTED_VALUE"""),"B Bila saya harus melakukan suatu tugas, saya ingin mengerjakan sampai selesai.")</f>
        <v>B Bila saya harus melakukan suatu tugas, saya ingin mengerjakan sampai selesai.</v>
      </c>
      <c r="AR155" s="105" t="str">
        <f>IFERROR(__xludf.DUMMYFUNCTION("""COMPUTED_VALUE"""),"A Saya suka menyimpan catatan secara rapi.")</f>
        <v>A Saya suka menyimpan catatan secara rapi.</v>
      </c>
      <c r="AS155" s="105" t="str">
        <f>IFERROR(__xludf.DUMMYFUNCTION("""COMPUTED_VALUE"""),"A Saya ingin dapat menyelesaikan persoalan yang dianggap sukar bagi orang lain.")</f>
        <v>A Saya ingin dapat menyelesaikan persoalan yang dianggap sukar bagi orang lain.</v>
      </c>
      <c r="AT155" s="105" t="str">
        <f>IFERROR(__xludf.DUMMYFUNCTION("""COMPUTED_VALUE"""),"A Saya ingin bisa melakukan dengan baik sesuatu pekerjaan sulit.")</f>
        <v>A Saya ingin bisa melakukan dengan baik sesuatu pekerjaan sulit.</v>
      </c>
      <c r="AU155" s="105" t="str">
        <f>IFERROR(__xludf.DUMMYFUNCTION("""COMPUTED_VALUE"""),"B Saya suka bermurah hati terhadap teman-teman saya.")</f>
        <v>B Saya suka bermurah hati terhadap teman-teman saya.</v>
      </c>
      <c r="AV155" s="105" t="str">
        <f>IFERROR(__xludf.DUMMYFUNCTION("""COMPUTED_VALUE"""),"B Saya suka menolong teman-teman saya.")</f>
        <v>B Saya suka menolong teman-teman saya.</v>
      </c>
      <c r="AW155" s="105" t="str">
        <f>IFERROR(__xludf.DUMMYFUNCTION("""COMPUTED_VALUE"""),"B Saya ingin teman-teman saya percaya bahwa saya bisa menolong mereka.")</f>
        <v>B Saya ingin teman-teman saya percaya bahwa saya bisa menolong mereka.</v>
      </c>
      <c r="AX155" s="105" t="str">
        <f>IFERROR(__xludf.DUMMYFUNCTION("""COMPUTED_VALUE"""),"B Saya suka memaafkan teman-teman saya yang menyakiti hati saya.")</f>
        <v>B Saya suka memaafkan teman-teman saya yang menyakiti hati saya.</v>
      </c>
      <c r="AY155" s="105" t="str">
        <f>IFERROR(__xludf.DUMMYFUNCTION("""COMPUTED_VALUE"""),"B Saya suka menolong teman-teman saya apabila mereka dalam kesulitan.")</f>
        <v>B Saya suka menolong teman-teman saya apabila mereka dalam kesulitan.</v>
      </c>
      <c r="AZ155" s="105" t="str">
        <f>IFERROR(__xludf.DUMMYFUNCTION("""COMPUTED_VALUE"""),"B Saya suka menunjukkan simpati saya kepada teman-teman saya.")</f>
        <v>B Saya suka menunjukkan simpati saya kepada teman-teman saya.</v>
      </c>
      <c r="BA155" s="105" t="str">
        <f>IFERROR(__xludf.DUMMYFUNCTION("""COMPUTED_VALUE"""),"B Saya suka memperlakukan orang lain dengan baik dan ramah.")</f>
        <v>B Saya suka memperlakukan orang lain dengan baik dan ramah.</v>
      </c>
      <c r="BB155" s="105" t="str">
        <f>IFERROR(__xludf.DUMMYFUNCTION("""COMPUTED_VALUE"""),"A Saya berkeinginan untuk bersama orang yang menarik bagi saya.")</f>
        <v>A Saya berkeinginan untuk bersama orang yang menarik bagi saya.</v>
      </c>
      <c r="BC155" s="105" t="str">
        <f>IFERROR(__xludf.DUMMYFUNCTION("""COMPUTED_VALUE"""),"A Saya rasanya ingin mengecam seseorang bila orang itu menjengkelkan.")</f>
        <v>A Saya rasanya ingin mengecam seseorang bila orang itu menjengkelkan.</v>
      </c>
      <c r="BD155" s="105" t="str">
        <f>IFERROR(__xludf.DUMMYFUNCTION("""COMPUTED_VALUE"""),"B Saya suka bersikukuh dengan pendirian saya.")</f>
        <v>B Saya suka bersikukuh dengan pendirian saya.</v>
      </c>
      <c r="BE155" s="105" t="str">
        <f>IFERROR(__xludf.DUMMYFUNCTION("""COMPUTED_VALUE"""),"A Saya suka mendengarkan atau menceritakan hal-hal yang sebaiknya tidak diceritakan.")</f>
        <v>A Saya suka mendengarkan atau menceritakan hal-hal yang sebaiknya tidak diceritakan.</v>
      </c>
      <c r="BF155" s="105" t="str">
        <f>IFERROR(__xludf.DUMMYFUNCTION("""COMPUTED_VALUE"""),"A Saya ingin orang lain memperhatikan dan berkomentar tentang penampilan saya.")</f>
        <v>A Saya ingin orang lain memperhatikan dan berkomentar tentang penampilan saya.</v>
      </c>
      <c r="BG155" s="105" t="str">
        <f>IFERROR(__xludf.DUMMYFUNCTION("""COMPUTED_VALUE"""),"A Saya ingin teman-teman banyak menunjukkan rasa sayang mereka terhadap saya.")</f>
        <v>A Saya ingin teman-teman banyak menunjukkan rasa sayang mereka terhadap saya.</v>
      </c>
      <c r="BH155" s="105" t="str">
        <f>IFERROR(__xludf.DUMMYFUNCTION("""COMPUTED_VALUE"""),"B Apabila saya berkumpul dalam kelompok, saya ingin dihargai teman-teman.")</f>
        <v>B Apabila saya berkumpul dalam kelompok, saya ingin dihargai teman-teman.</v>
      </c>
      <c r="BI155" s="105" t="str">
        <f>IFERROR(__xludf.DUMMYFUNCTION("""COMPUTED_VALUE"""),"A Saya suka bermurah hati terhadap teman-teman saya.")</f>
        <v>A Saya suka bermurah hati terhadap teman-teman saya.</v>
      </c>
      <c r="BJ155" s="105" t="str">
        <f>IFERROR(__xludf.DUMMYFUNCTION("""COMPUTED_VALUE"""),"A Saya ingin mengerjakan tugas sampai selesai.")</f>
        <v>A Saya ingin mengerjakan tugas sampai selesai.</v>
      </c>
      <c r="BK155" s="105" t="str">
        <f>IFERROR(__xludf.DUMMYFUNCTION("""COMPUTED_VALUE"""),"B Saya senang untuk diminta menyelesaikan pertentangan-pertentangan.")</f>
        <v>B Saya senang untuk diminta menyelesaikan pertentangan-pertentangan.</v>
      </c>
      <c r="BL155" s="105" t="str">
        <f>IFERROR(__xludf.DUMMYFUNCTION("""COMPUTED_VALUE"""),"A Saya suka belajar saya teratur dan ada waktu-waktu tertentu untuk belajar.")</f>
        <v>A Saya suka belajar saya teratur dan ada waktu-waktu tertentu untuk belajar.</v>
      </c>
      <c r="BM155" s="105" t="str">
        <f>IFERROR(__xludf.DUMMYFUNCTION("""COMPUTED_VALUE"""),"A Saya suka melakukan pekerjaan sebaik mungkin.")</f>
        <v>A Saya suka melakukan pekerjaan sebaik mungkin.</v>
      </c>
      <c r="BN155" s="105" t="str">
        <f>IFERROR(__xludf.DUMMYFUNCTION("""COMPUTED_VALUE"""),"B Saya ingin teman-teman memberi dorongan bila saya menghadapi kegagalan.")</f>
        <v>B Saya ingin teman-teman memberi dorongan bila saya menghadapi kegagalan.</v>
      </c>
      <c r="BO155" s="105" t="str">
        <f>IFERROR(__xludf.DUMMYFUNCTION("""COMPUTED_VALUE"""),"B Saya ingin diperlakukan dengan baik oleh teman-teman saya.")</f>
        <v>B Saya ingin diperlakukan dengan baik oleh teman-teman saya.</v>
      </c>
      <c r="BP155" s="105" t="str">
        <f>IFERROR(__xludf.DUMMYFUNCTION("""COMPUTED_VALUE"""),"A Saya ingin menyelesaikan sesuatu yang sangat penting artinya.")</f>
        <v>A Saya ingin menyelesaikan sesuatu yang sangat penting artinya.</v>
      </c>
      <c r="BQ155" s="105" t="str">
        <f>IFERROR(__xludf.DUMMYFUNCTION("""COMPUTED_VALUE"""),"A Saya ingin mengerjakannya tugas sampai selesai.")</f>
        <v>A Saya ingin mengerjakannya tugas sampai selesai.</v>
      </c>
      <c r="BR155" s="105" t="str">
        <f>IFERROR(__xludf.DUMMYFUNCTION("""COMPUTED_VALUE"""),"A Saya suka memaafkan teman-teman saya yang menyakiti hati saya.")</f>
        <v>A Saya suka memaafkan teman-teman saya yang menyakiti hati saya.</v>
      </c>
      <c r="BS155" s="105" t="str">
        <f>IFERROR(__xludf.DUMMYFUNCTION("""COMPUTED_VALUE"""),"B Saya ingin teman-teman saya membantu saya bila saya mengalami kesulitan")</f>
        <v>B Saya ingin teman-teman saya membantu saya bila saya mengalami kesulitan</v>
      </c>
      <c r="BT155" s="105" t="str">
        <f>IFERROR(__xludf.DUMMYFUNCTION("""COMPUTED_VALUE"""),"B Saya ingin teman-teman banyak menunjukkan rasa sayang mereka terhadap saya.")</f>
        <v>B Saya ingin teman-teman banyak menunjukkan rasa sayang mereka terhadap saya.</v>
      </c>
      <c r="BU155" s="105" t="str">
        <f>IFERROR(__xludf.DUMMYFUNCTION("""COMPUTED_VALUE"""),"A Saya kadang-kadang suka melakukan hal-hal yang dapat dipuji oleh orang lain.")</f>
        <v>A Saya kadang-kadang suka melakukan hal-hal yang dapat dipuji oleh orang lain.</v>
      </c>
      <c r="BV155" s="105" t="str">
        <f>IFERROR(__xludf.DUMMYFUNCTION("""COMPUTED_VALUE"""),"B Saya ingin teman-teman dengan gembira memberikan pertolongan kepada saya.")</f>
        <v>B Saya ingin teman-teman dengan gembira memberikan pertolongan kepada saya.</v>
      </c>
      <c r="BW155" s="105" t="str">
        <f>IFERROR(__xludf.DUMMYFUNCTION("""COMPUTED_VALUE"""),"B Saya ingin diperlakukan dengan baik oleh teman-teman saya.")</f>
        <v>B Saya ingin diperlakukan dengan baik oleh teman-teman saya.</v>
      </c>
      <c r="BX155" s="105" t="str">
        <f>IFERROR(__xludf.DUMMYFUNCTION("""COMPUTED_VALUE"""),"B Saya kadang-kadang suka melakukan hal-hal yang dapat dipuji oleh orang lain.")</f>
        <v>B Saya kadang-kadang suka melakukan hal-hal yang dapat dipuji oleh orang lain.</v>
      </c>
      <c r="BY155" s="105" t="str">
        <f>IFERROR(__xludf.DUMMYFUNCTION("""COMPUTED_VALUE"""),"A Saya suka melamun atau membayangkan hal-hal yang tidak jelas.")</f>
        <v>A Saya suka melamun atau membayangkan hal-hal yang tidak jelas.</v>
      </c>
      <c r="BZ155" s="105" t="str">
        <f>IFERROR(__xludf.DUMMYFUNCTION("""COMPUTED_VALUE"""),"B Saya suka diperhatikan, apabila saya ada di dalam suatu kelompok.")</f>
        <v>B Saya suka diperhatikan, apabila saya ada di dalam suatu kelompok.</v>
      </c>
      <c r="CA155" s="105" t="str">
        <f>IFERROR(__xludf.DUMMYFUNCTION("""COMPUTED_VALUE"""),"A Saya ingin teman-teman dengan gembira memberikan pertolongan kepada saya.")</f>
        <v>A Saya ingin teman-teman dengan gembira memberikan pertolongan kepada saya.</v>
      </c>
      <c r="CB155" s="105" t="str">
        <f>IFERROR(__xludf.DUMMYFUNCTION("""COMPUTED_VALUE"""),"B Saya suka berbicara tentang hal-hal yang telah saya capai.")</f>
        <v>B Saya suka berbicara tentang hal-hal yang telah saya capai.</v>
      </c>
      <c r="CC155" s="105" t="str">
        <f>IFERROR(__xludf.DUMMYFUNCTION("""COMPUTED_VALUE"""),"A Apabila saya berkumpul dalam kelompok, saya ingin dihargai teman-teman.")</f>
        <v>A Apabila saya berkumpul dalam kelompok, saya ingin dihargai teman-teman.</v>
      </c>
      <c r="CD155" s="105" t="str">
        <f>IFERROR(__xludf.DUMMYFUNCTION("""COMPUTED_VALUE"""),"A Saya suka menyelesaikan setiap tugas meskipun membutuhkan waktu lama.")</f>
        <v>A Saya suka menyelesaikan setiap tugas meskipun membutuhkan waktu lama.</v>
      </c>
      <c r="CE155" s="105" t="str">
        <f>IFERROR(__xludf.DUMMYFUNCTION("""COMPUTED_VALUE"""),"A Saya suka menyelesaikan setiap tugas belajar yang telah saya mulai.")</f>
        <v>A Saya suka menyelesaikan setiap tugas belajar yang telah saya mulai.</v>
      </c>
      <c r="CF155" s="105" t="str">
        <f>IFERROR(__xludf.DUMMYFUNCTION("""COMPUTED_VALUE"""),"A Saya ingin agar hidup saya teratur sesuai cita-cita saya.")</f>
        <v>A Saya ingin agar hidup saya teratur sesuai cita-cita saya.</v>
      </c>
      <c r="CG155" s="105" t="str">
        <f>IFERROR(__xludf.DUMMYFUNCTION("""COMPUTED_VALUE"""),"A Saya ingin berhasil dalam apa yang saya lakukan.")</f>
        <v>A Saya ingin berhasil dalam apa yang saya lakukan.</v>
      </c>
      <c r="CH155" s="105" t="str">
        <f>IFERROR(__xludf.DUMMYFUNCTION("""COMPUTED_VALUE"""),"A Saya ingin bisa melakukan dengan baik sesuatu pekerjaan sulit.")</f>
        <v>A Saya ingin bisa melakukan dengan baik sesuatu pekerjaan sulit.</v>
      </c>
      <c r="CI155" s="105" t="str">
        <f>IFERROR(__xludf.DUMMYFUNCTION("""COMPUTED_VALUE"""),"A Saya suka belajar saya teratur dan ada waktu-waktu tertentu untuk belajar.")</f>
        <v>A Saya suka belajar saya teratur dan ada waktu-waktu tertentu untuk belajar.</v>
      </c>
      <c r="CJ155" s="105" t="str">
        <f>IFERROR(__xludf.DUMMYFUNCTION("""COMPUTED_VALUE"""),"A Saya ingin tidak tergantung dari orang lain terhadap apa yang akan saya lakukan.")</f>
        <v>A Saya ingin tidak tergantung dari orang lain terhadap apa yang akan saya lakukan.</v>
      </c>
      <c r="CK155" s="105" t="str">
        <f>IFERROR(__xludf.DUMMYFUNCTION("""COMPUTED_VALUE"""),"B Saya senang ikut beraktivitas bersama teman sebaya saya.")</f>
        <v>B Saya senang ikut beraktivitas bersama teman sebaya saya.</v>
      </c>
      <c r="CL155" s="105" t="str">
        <f>IFERROR(__xludf.DUMMYFUNCTION("""COMPUTED_VALUE"""),"B Saya berkeinginan untuk bersama teman yang menurut saya menarik.")</f>
        <v>B Saya berkeinginan untuk bersama teman yang menurut saya menarik.</v>
      </c>
      <c r="CM155" s="105" t="str">
        <f>IFERROR(__xludf.DUMMYFUNCTION("""COMPUTED_VALUE"""),"B Saya merasa kagum pada seseorang.")</f>
        <v>B Saya merasa kagum pada seseorang.</v>
      </c>
      <c r="CN155" s="105" t="str">
        <f>IFERROR(__xludf.DUMMYFUNCTION("""COMPUTED_VALUE"""),"A Saya ingin diperlakukan dengan baik oleh teman-teman saya.")</f>
        <v>A Saya ingin diperlakukan dengan baik oleh teman-teman saya.</v>
      </c>
      <c r="CO155" s="105" t="str">
        <f>IFERROR(__xludf.DUMMYFUNCTION("""COMPUTED_VALUE"""),"B Saya suka memuji orang yang saya kagumi.")</f>
        <v>B Saya suka memuji orang yang saya kagumi.</v>
      </c>
      <c r="CP155" s="105" t="str">
        <f>IFERROR(__xludf.DUMMYFUNCTION("""COMPUTED_VALUE"""),"A Saya suka melamun atau membayangkan sesuatu sendirian.")</f>
        <v>A Saya suka melamun atau membayangkan sesuatu sendirian.</v>
      </c>
      <c r="CQ155" s="105" t="str">
        <f>IFERROR(__xludf.DUMMYFUNCTION("""COMPUTED_VALUE"""),"B Saya merasa kagum pada seseorang.")</f>
        <v>B Saya merasa kagum pada seseorang.</v>
      </c>
      <c r="CR155" s="105" t="str">
        <f>IFERROR(__xludf.DUMMYFUNCTION("""COMPUTED_VALUE"""),"B Saya rasanya ingin mengecam seseorang bila orang itu menjengkelkan.")</f>
        <v>B Saya rasanya ingin mengecam seseorang bila orang itu menjengkelkan.</v>
      </c>
      <c r="CS155" s="105" t="str">
        <f>IFERROR(__xludf.DUMMYFUNCTION("""COMPUTED_VALUE"""),"A Saya ingin terlihat menarik di depan teman-teman saya.")</f>
        <v>A Saya ingin terlihat menarik di depan teman-teman saya.</v>
      </c>
      <c r="CT155" s="105" t="str">
        <f>IFERROR(__xludf.DUMMYFUNCTION("""COMPUTED_VALUE"""),"A Saya ingin orang-orang memperhatikan komentar mengenai penampilan saya.")</f>
        <v>A Saya ingin orang-orang memperhatikan komentar mengenai penampilan saya.</v>
      </c>
      <c r="CU155" s="105" t="str">
        <f>IFERROR(__xludf.DUMMYFUNCTION("""COMPUTED_VALUE"""),"A Saya ingin diperlakukan dengan ramah oleh teman-teman saya.")</f>
        <v>A Saya ingin diperlakukan dengan ramah oleh teman-teman saya.</v>
      </c>
      <c r="CV155" s="105" t="str">
        <f>IFERROR(__xludf.DUMMYFUNCTION("""COMPUTED_VALUE"""),"B Saya menyerang pendirian-pendirian yang bertentangan dengan pendirian saya.")</f>
        <v>B Saya menyerang pendirian-pendirian yang bertentangan dengan pendirian saya.</v>
      </c>
      <c r="CW155" s="105" t="str">
        <f>IFERROR(__xludf.DUMMYFUNCTION("""COMPUTED_VALUE"""),"B Saya mengatakan kepada orang lain bagaimana pendapat saya terhadap mereka.")</f>
        <v>B Saya mengatakan kepada orang lain bagaimana pendapat saya terhadap mereka.</v>
      </c>
      <c r="CX155" s="105" t="str">
        <f>IFERROR(__xludf.DUMMYFUNCTION("""COMPUTED_VALUE"""),"A Saya suka belajar sampai malam untuk menyelesaikan suatu tugas.")</f>
        <v>A Saya suka belajar sampai malam untuk menyelesaikan suatu tugas.</v>
      </c>
      <c r="CY155" s="105" t="str">
        <f>IFERROR(__xludf.DUMMYFUNCTION("""COMPUTED_VALUE"""),"A Saya ingin tidak tergantung dari orang lain terhadap apa yang akan saya lakukan.")</f>
        <v>A Saya ingin tidak tergantung dari orang lain terhadap apa yang akan saya lakukan.</v>
      </c>
      <c r="CZ155" s="105" t="str">
        <f>IFERROR(__xludf.DUMMYFUNCTION("""COMPUTED_VALUE"""),"A Saya suka merencanakan dan mengatur setiap pekerjaan yang harus saya lakukan.")</f>
        <v>A Saya suka merencanakan dan mengatur setiap pekerjaan yang harus saya lakukan.</v>
      </c>
      <c r="DA155" s="105" t="str">
        <f>IFERROR(__xludf.DUMMYFUNCTION("""COMPUTED_VALUE"""),"A Saya ingin melakukan apa saja sebaik mungkin.")</f>
        <v>A Saya ingin melakukan apa saja sebaik mungkin.</v>
      </c>
      <c r="DB155" s="89" t="s">
        <v>23</v>
      </c>
      <c r="DC155" s="97" t="str">
        <f t="shared" ref="DC155:GX155" si="200">LEFT(F155,1)</f>
        <v>B</v>
      </c>
      <c r="DD155" s="97" t="str">
        <f t="shared" si="200"/>
        <v>A</v>
      </c>
      <c r="DE155" s="97" t="str">
        <f t="shared" si="200"/>
        <v>A</v>
      </c>
      <c r="DF155" s="97" t="str">
        <f t="shared" si="200"/>
        <v>B</v>
      </c>
      <c r="DG155" s="97" t="str">
        <f t="shared" si="200"/>
        <v>B</v>
      </c>
      <c r="DH155" s="97" t="str">
        <f t="shared" si="200"/>
        <v>B</v>
      </c>
      <c r="DI155" s="97" t="str">
        <f t="shared" si="200"/>
        <v>B</v>
      </c>
      <c r="DJ155" s="97" t="str">
        <f t="shared" si="200"/>
        <v>A</v>
      </c>
      <c r="DK155" s="97" t="str">
        <f t="shared" si="200"/>
        <v>A</v>
      </c>
      <c r="DL155" s="97" t="str">
        <f t="shared" si="200"/>
        <v>B</v>
      </c>
      <c r="DM155" s="97" t="str">
        <f t="shared" si="200"/>
        <v>A</v>
      </c>
      <c r="DN155" s="97" t="str">
        <f t="shared" si="200"/>
        <v>B</v>
      </c>
      <c r="DO155" s="97" t="str">
        <f t="shared" si="200"/>
        <v>B</v>
      </c>
      <c r="DP155" s="97" t="str">
        <f t="shared" si="200"/>
        <v>A</v>
      </c>
      <c r="DQ155" s="97" t="str">
        <f t="shared" si="200"/>
        <v>B</v>
      </c>
      <c r="DR155" s="97" t="str">
        <f t="shared" si="200"/>
        <v>A</v>
      </c>
      <c r="DS155" s="97" t="str">
        <f t="shared" si="200"/>
        <v>B</v>
      </c>
      <c r="DT155" s="97" t="str">
        <f t="shared" si="200"/>
        <v>A</v>
      </c>
      <c r="DU155" s="97" t="str">
        <f t="shared" si="200"/>
        <v>A</v>
      </c>
      <c r="DV155" s="97" t="str">
        <f t="shared" si="200"/>
        <v>B</v>
      </c>
      <c r="DW155" s="97" t="str">
        <f t="shared" si="200"/>
        <v>A</v>
      </c>
      <c r="DX155" s="97" t="str">
        <f t="shared" si="200"/>
        <v>B</v>
      </c>
      <c r="DY155" s="97" t="str">
        <f t="shared" si="200"/>
        <v>A</v>
      </c>
      <c r="DZ155" s="97" t="str">
        <f t="shared" si="200"/>
        <v>B</v>
      </c>
      <c r="EA155" s="97" t="str">
        <f t="shared" si="200"/>
        <v>B</v>
      </c>
      <c r="EB155" s="97" t="str">
        <f t="shared" si="200"/>
        <v>A</v>
      </c>
      <c r="EC155" s="97" t="str">
        <f t="shared" si="200"/>
        <v>B</v>
      </c>
      <c r="ED155" s="97" t="str">
        <f t="shared" si="200"/>
        <v>B</v>
      </c>
      <c r="EE155" s="97" t="str">
        <f t="shared" si="200"/>
        <v>B</v>
      </c>
      <c r="EF155" s="97" t="str">
        <f t="shared" si="200"/>
        <v>B</v>
      </c>
      <c r="EG155" s="97" t="str">
        <f t="shared" si="200"/>
        <v>B</v>
      </c>
      <c r="EH155" s="97" t="str">
        <f t="shared" si="200"/>
        <v>B</v>
      </c>
      <c r="EI155" s="97" t="str">
        <f t="shared" si="200"/>
        <v>A</v>
      </c>
      <c r="EJ155" s="97" t="str">
        <f t="shared" si="200"/>
        <v>B</v>
      </c>
      <c r="EK155" s="97" t="str">
        <f t="shared" si="200"/>
        <v>A</v>
      </c>
      <c r="EL155" s="97" t="str">
        <f t="shared" si="200"/>
        <v>B</v>
      </c>
      <c r="EM155" s="97" t="str">
        <f t="shared" si="200"/>
        <v>B</v>
      </c>
      <c r="EN155" s="97" t="str">
        <f t="shared" si="200"/>
        <v>B</v>
      </c>
      <c r="EO155" s="97" t="str">
        <f t="shared" si="200"/>
        <v>A</v>
      </c>
      <c r="EP155" s="97" t="str">
        <f t="shared" si="200"/>
        <v>A</v>
      </c>
      <c r="EQ155" s="97" t="str">
        <f t="shared" si="200"/>
        <v>A</v>
      </c>
      <c r="ER155" s="97" t="str">
        <f t="shared" si="200"/>
        <v>B</v>
      </c>
      <c r="ES155" s="97" t="str">
        <f t="shared" si="200"/>
        <v>B</v>
      </c>
      <c r="ET155" s="97" t="str">
        <f t="shared" si="200"/>
        <v>B</v>
      </c>
      <c r="EU155" s="97" t="str">
        <f t="shared" si="200"/>
        <v>B</v>
      </c>
      <c r="EV155" s="97" t="str">
        <f t="shared" si="200"/>
        <v>B</v>
      </c>
      <c r="EW155" s="97" t="str">
        <f t="shared" si="200"/>
        <v>B</v>
      </c>
      <c r="EX155" s="97" t="str">
        <f t="shared" si="200"/>
        <v>B</v>
      </c>
      <c r="EY155" s="97" t="str">
        <f t="shared" si="200"/>
        <v>A</v>
      </c>
      <c r="EZ155" s="97" t="str">
        <f t="shared" si="200"/>
        <v>A</v>
      </c>
      <c r="FA155" s="97" t="str">
        <f t="shared" si="200"/>
        <v>B</v>
      </c>
      <c r="FB155" s="97" t="str">
        <f t="shared" si="200"/>
        <v>A</v>
      </c>
      <c r="FC155" s="97" t="str">
        <f t="shared" si="200"/>
        <v>A</v>
      </c>
      <c r="FD155" s="97" t="str">
        <f t="shared" si="200"/>
        <v>A</v>
      </c>
      <c r="FE155" s="97" t="str">
        <f t="shared" si="200"/>
        <v>B</v>
      </c>
      <c r="FF155" s="97" t="str">
        <f t="shared" si="200"/>
        <v>A</v>
      </c>
      <c r="FG155" s="97" t="str">
        <f t="shared" si="200"/>
        <v>A</v>
      </c>
      <c r="FH155" s="97" t="str">
        <f t="shared" si="200"/>
        <v>B</v>
      </c>
      <c r="FI155" s="97" t="str">
        <f t="shared" si="200"/>
        <v>A</v>
      </c>
      <c r="FJ155" s="97" t="str">
        <f t="shared" si="200"/>
        <v>A</v>
      </c>
      <c r="FK155" s="97" t="str">
        <f t="shared" si="200"/>
        <v>B</v>
      </c>
      <c r="FL155" s="97" t="str">
        <f t="shared" si="200"/>
        <v>B</v>
      </c>
      <c r="FM155" s="97" t="str">
        <f t="shared" si="200"/>
        <v>A</v>
      </c>
      <c r="FN155" s="97" t="str">
        <f t="shared" si="200"/>
        <v>A</v>
      </c>
      <c r="FO155" s="97" t="str">
        <f t="shared" si="200"/>
        <v>A</v>
      </c>
      <c r="FP155" s="97" t="str">
        <f t="shared" si="200"/>
        <v>B</v>
      </c>
      <c r="FQ155" s="97" t="str">
        <f t="shared" si="200"/>
        <v>B</v>
      </c>
      <c r="FR155" s="97" t="str">
        <f t="shared" si="200"/>
        <v>A</v>
      </c>
      <c r="FS155" s="97" t="str">
        <f t="shared" si="200"/>
        <v>B</v>
      </c>
      <c r="FT155" s="97" t="str">
        <f t="shared" si="200"/>
        <v>B</v>
      </c>
      <c r="FU155" s="97" t="str">
        <f t="shared" si="200"/>
        <v>B</v>
      </c>
      <c r="FV155" s="97" t="str">
        <f t="shared" si="200"/>
        <v>A</v>
      </c>
      <c r="FW155" s="97" t="str">
        <f t="shared" si="200"/>
        <v>B</v>
      </c>
      <c r="FX155" s="97" t="str">
        <f t="shared" si="200"/>
        <v>A</v>
      </c>
      <c r="FY155" s="97" t="str">
        <f t="shared" si="200"/>
        <v>B</v>
      </c>
      <c r="FZ155" s="97" t="str">
        <f t="shared" si="200"/>
        <v>A</v>
      </c>
      <c r="GA155" s="97" t="str">
        <f t="shared" si="200"/>
        <v>A</v>
      </c>
      <c r="GB155" s="97" t="str">
        <f t="shared" si="200"/>
        <v>A</v>
      </c>
      <c r="GC155" s="97" t="str">
        <f t="shared" si="200"/>
        <v>A</v>
      </c>
      <c r="GD155" s="97" t="str">
        <f t="shared" si="200"/>
        <v>A</v>
      </c>
      <c r="GE155" s="97" t="str">
        <f t="shared" si="200"/>
        <v>A</v>
      </c>
      <c r="GF155" s="97" t="str">
        <f t="shared" si="200"/>
        <v>A</v>
      </c>
      <c r="GG155" s="97" t="str">
        <f t="shared" si="200"/>
        <v>A</v>
      </c>
      <c r="GH155" s="97" t="str">
        <f t="shared" si="200"/>
        <v>B</v>
      </c>
      <c r="GI155" s="97" t="str">
        <f t="shared" si="200"/>
        <v>B</v>
      </c>
      <c r="GJ155" s="97" t="str">
        <f t="shared" si="200"/>
        <v>B</v>
      </c>
      <c r="GK155" s="97" t="str">
        <f t="shared" si="200"/>
        <v>A</v>
      </c>
      <c r="GL155" s="97" t="str">
        <f t="shared" si="200"/>
        <v>B</v>
      </c>
      <c r="GM155" s="97" t="str">
        <f t="shared" si="200"/>
        <v>A</v>
      </c>
      <c r="GN155" s="97" t="str">
        <f t="shared" si="200"/>
        <v>B</v>
      </c>
      <c r="GO155" s="97" t="str">
        <f t="shared" si="200"/>
        <v>B</v>
      </c>
      <c r="GP155" s="97" t="str">
        <f t="shared" si="200"/>
        <v>A</v>
      </c>
      <c r="GQ155" s="97" t="str">
        <f t="shared" si="200"/>
        <v>A</v>
      </c>
      <c r="GR155" s="97" t="str">
        <f t="shared" si="200"/>
        <v>A</v>
      </c>
      <c r="GS155" s="97" t="str">
        <f t="shared" si="200"/>
        <v>B</v>
      </c>
      <c r="GT155" s="97" t="str">
        <f t="shared" si="200"/>
        <v>B</v>
      </c>
      <c r="GU155" s="97" t="str">
        <f t="shared" si="200"/>
        <v>A</v>
      </c>
      <c r="GV155" s="97" t="str">
        <f t="shared" si="200"/>
        <v>A</v>
      </c>
      <c r="GW155" s="97" t="str">
        <f t="shared" si="200"/>
        <v>A</v>
      </c>
      <c r="GX155" s="97" t="str">
        <f t="shared" si="200"/>
        <v>A</v>
      </c>
      <c r="GY155" s="98"/>
      <c r="GZ155" s="97">
        <f t="shared" si="3"/>
        <v>49</v>
      </c>
      <c r="HA155" s="97">
        <f t="shared" si="4"/>
        <v>51</v>
      </c>
      <c r="HB155" s="90">
        <f t="shared" si="5"/>
        <v>100</v>
      </c>
      <c r="HC155" s="99"/>
      <c r="HD155" s="97">
        <f t="shared" si="6"/>
        <v>7</v>
      </c>
      <c r="HE155" s="97">
        <f t="shared" si="7"/>
        <v>5</v>
      </c>
      <c r="HF155" s="90">
        <f t="shared" si="8"/>
        <v>12</v>
      </c>
      <c r="HG155" s="99"/>
      <c r="HH155" s="97">
        <f t="shared" si="9"/>
        <v>6</v>
      </c>
      <c r="HI155" s="97">
        <f t="shared" si="10"/>
        <v>5</v>
      </c>
      <c r="HJ155" s="90">
        <f t="shared" si="11"/>
        <v>11</v>
      </c>
      <c r="HK155" s="99"/>
      <c r="HL155" s="97">
        <f t="shared" si="12"/>
        <v>6</v>
      </c>
      <c r="HM155" s="97">
        <f t="shared" si="13"/>
        <v>7</v>
      </c>
      <c r="HN155" s="90">
        <f t="shared" si="14"/>
        <v>13</v>
      </c>
      <c r="HO155" s="99"/>
      <c r="HP155" s="97">
        <f t="shared" si="15"/>
        <v>4</v>
      </c>
      <c r="HQ155" s="97">
        <f t="shared" si="16"/>
        <v>6</v>
      </c>
      <c r="HR155" s="90">
        <f t="shared" si="17"/>
        <v>10</v>
      </c>
      <c r="HS155" s="99"/>
      <c r="HT155" s="97">
        <f t="shared" si="18"/>
        <v>4</v>
      </c>
      <c r="HU155" s="97">
        <f t="shared" si="19"/>
        <v>7</v>
      </c>
      <c r="HV155" s="90">
        <f t="shared" si="20"/>
        <v>11</v>
      </c>
      <c r="HW155" s="99"/>
      <c r="HX155" s="97">
        <f t="shared" si="21"/>
        <v>2</v>
      </c>
      <c r="HY155" s="97">
        <f t="shared" si="22"/>
        <v>3</v>
      </c>
      <c r="HZ155" s="90">
        <f t="shared" si="23"/>
        <v>5</v>
      </c>
      <c r="IA155" s="99"/>
      <c r="IB155" s="97">
        <f t="shared" si="24"/>
        <v>5</v>
      </c>
      <c r="IC155" s="97">
        <f t="shared" si="25"/>
        <v>6</v>
      </c>
      <c r="ID155" s="90">
        <f t="shared" si="26"/>
        <v>11</v>
      </c>
      <c r="IE155" s="99"/>
      <c r="IF155" s="97">
        <f t="shared" si="27"/>
        <v>5</v>
      </c>
      <c r="IG155" s="97">
        <f t="shared" si="28"/>
        <v>3</v>
      </c>
      <c r="IH155" s="90">
        <f t="shared" si="29"/>
        <v>8</v>
      </c>
      <c r="II155" s="99"/>
      <c r="IJ155" s="97">
        <f t="shared" si="30"/>
        <v>5</v>
      </c>
      <c r="IK155" s="97">
        <f t="shared" si="31"/>
        <v>5</v>
      </c>
      <c r="IL155" s="90">
        <f t="shared" si="32"/>
        <v>10</v>
      </c>
      <c r="IM155" s="99"/>
      <c r="IN155" s="97">
        <f t="shared" si="33"/>
        <v>2</v>
      </c>
      <c r="IO155" s="97">
        <f t="shared" si="34"/>
        <v>3</v>
      </c>
      <c r="IP155" s="90">
        <f t="shared" si="35"/>
        <v>5</v>
      </c>
      <c r="IS155" s="100">
        <f t="shared" si="36"/>
        <v>12</v>
      </c>
      <c r="IT155" s="100">
        <f t="shared" si="37"/>
        <v>11</v>
      </c>
      <c r="IU155" s="100">
        <f t="shared" si="38"/>
        <v>13</v>
      </c>
      <c r="IV155" s="100">
        <f t="shared" si="39"/>
        <v>10</v>
      </c>
      <c r="IW155" s="100">
        <f t="shared" si="40"/>
        <v>11</v>
      </c>
      <c r="IX155" s="100">
        <f t="shared" si="41"/>
        <v>5</v>
      </c>
      <c r="IY155" s="100">
        <f t="shared" si="42"/>
        <v>11</v>
      </c>
      <c r="IZ155" s="100">
        <f t="shared" si="43"/>
        <v>8</v>
      </c>
      <c r="JA155" s="100">
        <f t="shared" si="44"/>
        <v>10</v>
      </c>
      <c r="JB155" s="101">
        <f t="shared" si="45"/>
        <v>5</v>
      </c>
      <c r="JC155" s="102">
        <f t="shared" si="46"/>
        <v>96</v>
      </c>
      <c r="JD155" s="67">
        <f t="shared" si="50"/>
        <v>0</v>
      </c>
      <c r="JE155" s="67">
        <f t="shared" si="47"/>
        <v>2</v>
      </c>
      <c r="JF155" s="67">
        <f t="shared" si="48"/>
        <v>2</v>
      </c>
    </row>
    <row r="156">
      <c r="A156" s="104">
        <f>IFERROR(__xludf.DUMMYFUNCTION("""COMPUTED_VALUE"""),45993.74074809028)</f>
        <v>45993.74075</v>
      </c>
      <c r="B156" s="105" t="str">
        <f>IFERROR(__xludf.DUMMYFUNCTION("""COMPUTED_VALUE"""),"Raylan Akbar")</f>
        <v>Raylan Akbar</v>
      </c>
      <c r="C156" s="7" t="str">
        <f>IFERROR(__xludf.DUMMYFUNCTION("""COMPUTED_VALUE"""),"C250026")</f>
        <v>C250026</v>
      </c>
      <c r="D156" s="7" t="str">
        <f>IFERROR(__xludf.DUMMYFUNCTION("""COMPUTED_VALUE"""),"SMA")</f>
        <v>SMA</v>
      </c>
      <c r="E156" s="7" t="str">
        <f>IFERROR(__xludf.DUMMYFUNCTION("""COMPUTED_VALUE"""),"Ya")</f>
        <v>Ya</v>
      </c>
      <c r="F156" s="105" t="str">
        <f>IFERROR(__xludf.DUMMYFUNCTION("""COMPUTED_VALUE"""),"B Saya ingin melakukan apa saja sebaik mungkin.")</f>
        <v>B Saya ingin melakukan apa saja sebaik mungkin.</v>
      </c>
      <c r="G156" s="105" t="str">
        <f>IFERROR(__xludf.DUMMYFUNCTION("""COMPUTED_VALUE"""),"A Saya ingin setiap tulisan saya teliti, rapi, dan tersusun dengan baik.")</f>
        <v>A Saya ingin setiap tulisan saya teliti, rapi, dan tersusun dengan baik.</v>
      </c>
      <c r="H156" s="105" t="str">
        <f>IFERROR(__xludf.DUMMYFUNCTION("""COMPUTED_VALUE"""),"B Saya ingin menjadi orang yang diakui dalam suatu pekerjaan atau bidang khusus.")</f>
        <v>B Saya ingin menjadi orang yang diakui dalam suatu pekerjaan atau bidang khusus.</v>
      </c>
      <c r="I156" s="105" t="str">
        <f>IFERROR(__xludf.DUMMYFUNCTION("""COMPUTED_VALUE"""),"B Saya ingin bisa melakukan dengan baik meskipun tugas yang sulit.")</f>
        <v>B Saya ingin bisa melakukan dengan baik meskipun tugas yang sulit.</v>
      </c>
      <c r="J156" s="105" t="str">
        <f>IFERROR(__xludf.DUMMYFUNCTION("""COMPUTED_VALUE"""),"A Saya suka membantu teman-teman saya apabila mereka mengalami kesulitan.")</f>
        <v>A Saya suka membantu teman-teman saya apabila mereka mengalami kesulitan.</v>
      </c>
      <c r="K156" s="105" t="str">
        <f>IFERROR(__xludf.DUMMYFUNCTION("""COMPUTED_VALUE"""),"A Saya ingin menjadi pemimpin dalam suatu kelompok.")</f>
        <v>A Saya ingin menjadi pemimpin dalam suatu kelompok.</v>
      </c>
      <c r="L156" s="105" t="str">
        <f>IFERROR(__xludf.DUMMYFUNCTION("""COMPUTED_VALUE"""),"A Saya ingin menjadi pemimpin dalam suatu kelompok")</f>
        <v>A Saya ingin menjadi pemimpin dalam suatu kelompok</v>
      </c>
      <c r="M156" s="105" t="str">
        <f>IFERROR(__xludf.DUMMYFUNCTION("""COMPUTED_VALUE"""),"B Saya ingin mengerjakan segala tugas lebih baik daripada orang lain.")</f>
        <v>B Saya ingin mengerjakan segala tugas lebih baik daripada orang lain.</v>
      </c>
      <c r="N156" s="105" t="str">
        <f>IFERROR(__xludf.DUMMYFUNCTION("""COMPUTED_VALUE"""),"A Saya suka pergi dengan pakaian rapi agar lebih menarik perhatian orang lain.")</f>
        <v>A Saya suka pergi dengan pakaian rapi agar lebih menarik perhatian orang lain.</v>
      </c>
      <c r="O156" s="105" t="str">
        <f>IFERROR(__xludf.DUMMYFUNCTION("""COMPUTED_VALUE"""),"B Saya suka melakukan tugas sebaik mungkin.")</f>
        <v>B Saya suka melakukan tugas sebaik mungkin.</v>
      </c>
      <c r="P156" s="105" t="str">
        <f>IFERROR(__xludf.DUMMYFUNCTION("""COMPUTED_VALUE"""),"B Saya ingin setiap belajar itu teratur dan direncanakan.")</f>
        <v>B Saya ingin setiap belajar itu teratur dan direncanakan.</v>
      </c>
      <c r="Q156" s="105" t="str">
        <f>IFERROR(__xludf.DUMMYFUNCTION("""COMPUTED_VALUE"""),"B Saya merencanakan keperluan yang dibutuhkan sebelum bepergian.")</f>
        <v>B Saya merencanakan keperluan yang dibutuhkan sebelum bepergian.</v>
      </c>
      <c r="R156" s="105" t="str">
        <f>IFERROR(__xludf.DUMMYFUNCTION("""COMPUTED_VALUE"""),"B Saya suka barang-barang saya tersusun rapi dan teratur.")</f>
        <v>B Saya suka barang-barang saya tersusun rapi dan teratur.</v>
      </c>
      <c r="S156" s="105" t="str">
        <f>IFERROR(__xludf.DUMMYFUNCTION("""COMPUTED_VALUE"""),"B Saya suka membuat perencanaan sebelum memulai tugas yang sulit.")</f>
        <v>B Saya suka membuat perencanaan sebelum memulai tugas yang sulit.</v>
      </c>
      <c r="T156" s="105" t="str">
        <f>IFERROR(__xludf.DUMMYFUNCTION("""COMPUTED_VALUE"""),"B Saya ingin agar hidup saya teratur sesuai cita-cita saya.")</f>
        <v>B Saya ingin agar hidup saya teratur sesuai cita-cita saya.</v>
      </c>
      <c r="U156" s="105" t="str">
        <f>IFERROR(__xludf.DUMMYFUNCTION("""COMPUTED_VALUE"""),"A Saya suka memberikan bantuan kepada teman-teman saya.")</f>
        <v>A Saya suka memberikan bantuan kepada teman-teman saya.</v>
      </c>
      <c r="V156" s="105" t="str">
        <f>IFERROR(__xludf.DUMMYFUNCTION("""COMPUTED_VALUE"""),"B Saya suka belajar saya teratur dan ada waktu-waktu tertentu untuk belajar.")</f>
        <v>B Saya suka belajar saya teratur dan ada waktu-waktu tertentu untuk belajar.</v>
      </c>
      <c r="W156" s="105" t="str">
        <f>IFERROR(__xludf.DUMMYFUNCTION("""COMPUTED_VALUE"""),"B Saya ingin kegiatan itu teratur dan direncanakan.")</f>
        <v>B Saya ingin kegiatan itu teratur dan direncanakan.</v>
      </c>
      <c r="X156" s="105" t="str">
        <f>IFERROR(__xludf.DUMMYFUNCTION("""COMPUTED_VALUE"""),"A Saya suka merencanakan dan mengatur setiap apa yang harus saya lakukan.")</f>
        <v>A Saya suka merencanakan dan mengatur setiap apa yang harus saya lakukan.</v>
      </c>
      <c r="Y156" s="105" t="str">
        <f>IFERROR(__xludf.DUMMYFUNCTION("""COMPUTED_VALUE"""),"B Saya senang merencanakan untuk masa depan.")</f>
        <v>B Saya senang merencanakan untuk masa depan.</v>
      </c>
      <c r="Z156" s="105" t="str">
        <f>IFERROR(__xludf.DUMMYFUNCTION("""COMPUTED_VALUE"""),"A Saya ingin berhasil dengan belajar yang saya lakukan.")</f>
        <v>A Saya ingin berhasil dengan belajar yang saya lakukan.</v>
      </c>
      <c r="AA156" s="105" t="str">
        <f>IFERROR(__xludf.DUMMYFUNCTION("""COMPUTED_VALUE"""),"B Saya tidak suka pada orang yang berbuat seenaknya sendiri.")</f>
        <v>B Saya tidak suka pada orang yang berbuat seenaknya sendiri.</v>
      </c>
      <c r="AB156" s="105" t="str">
        <f>IFERROR(__xludf.DUMMYFUNCTION("""COMPUTED_VALUE"""),"B Saya ingin menyelesaikan pekerjaan satu persatu sebelum memulai yang lain.")</f>
        <v>B Saya ingin menyelesaikan pekerjaan satu persatu sebelum memulai yang lain.</v>
      </c>
      <c r="AC156" s="105" t="str">
        <f>IFERROR(__xludf.DUMMYFUNCTION("""COMPUTED_VALUE"""),"B Saya suka melakukan kegiatan sesuai kondisi yang saya inginkan.")</f>
        <v>B Saya suka melakukan kegiatan sesuai kondisi yang saya inginkan.</v>
      </c>
      <c r="AD156" s="105" t="str">
        <f>IFERROR(__xludf.DUMMYFUNCTION("""COMPUTED_VALUE"""),"A Saya suka bermurah hati terhadap teman-teman saya.")</f>
        <v>A Saya suka bermurah hati terhadap teman-teman saya.</v>
      </c>
      <c r="AE156" s="105" t="str">
        <f>IFERROR(__xludf.DUMMYFUNCTION("""COMPUTED_VALUE"""),"B Saya suka melakukan hal-hal yang dianggap orang lain tidak sesuai.")</f>
        <v>B Saya suka melakukan hal-hal yang dianggap orang lain tidak sesuai.</v>
      </c>
      <c r="AF156" s="105" t="str">
        <f>IFERROR(__xludf.DUMMYFUNCTION("""COMPUTED_VALUE"""),"A Saya ingin agar teman-teman mengerti bila saya mengalami kesukaran.")</f>
        <v>A Saya ingin agar teman-teman mengerti bila saya mengalami kesukaran.</v>
      </c>
      <c r="AG156" s="105" t="str">
        <f>IFERROR(__xludf.DUMMYFUNCTION("""COMPUTED_VALUE"""),"A Saya mengajari orang lain bagaimana mereka harus melakukan pekerjaan mereka.")</f>
        <v>A Saya mengajari orang lain bagaimana mereka harus melakukan pekerjaan mereka.</v>
      </c>
      <c r="AH156" s="105" t="str">
        <f>IFERROR(__xludf.DUMMYFUNCTION("""COMPUTED_VALUE"""),"B Saya ingin merasa bebas untuk melakukan apa yang saya kehendaki.")</f>
        <v>B Saya ingin merasa bebas untuk melakukan apa yang saya kehendaki.</v>
      </c>
      <c r="AI156" s="105" t="str">
        <f>IFERROR(__xludf.DUMMYFUNCTION("""COMPUTED_VALUE"""),"B Saya suka melakukan kegiatan sesuai kondisi yang saya inginkan.")</f>
        <v>B Saya suka melakukan kegiatan sesuai kondisi yang saya inginkan.</v>
      </c>
      <c r="AJ156" s="105" t="str">
        <f>IFERROR(__xludf.DUMMYFUNCTION("""COMPUTED_VALUE"""),"A Saya rasanya ingin membalas dendam bila seseorang menghina saya.")</f>
        <v>A Saya rasanya ingin membalas dendam bila seseorang menghina saya.</v>
      </c>
      <c r="AK156" s="105" t="str">
        <f>IFERROR(__xludf.DUMMYFUNCTION("""COMPUTED_VALUE"""),"A Saya suka bercerita tentang hal-hal pribadi yang seharusnya tidak perlu diketahui orang lain.")</f>
        <v>A Saya suka bercerita tentang hal-hal pribadi yang seharusnya tidak perlu diketahui orang lain.</v>
      </c>
      <c r="AL156" s="105" t="str">
        <f>IFERROR(__xludf.DUMMYFUNCTION("""COMPUTED_VALUE"""),"A Saya suka berbicara tentang hal-hal yang telah saya capai.")</f>
        <v>A Saya suka berbicara tentang hal-hal yang telah saya capai.</v>
      </c>
      <c r="AM156" s="105" t="str">
        <f>IFERROR(__xludf.DUMMYFUNCTION("""COMPUTED_VALUE"""),"A Saya ingin teman-teman saya merasa kasihan pada saya apabila saya sakit.")</f>
        <v>A Saya ingin teman-teman saya merasa kasihan pada saya apabila saya sakit.</v>
      </c>
      <c r="AN156" s="105" t="str">
        <f>IFERROR(__xludf.DUMMYFUNCTION("""COMPUTED_VALUE"""),"A Saya tidak suka pada orang yang semena-mena.")</f>
        <v>A Saya tidak suka pada orang yang semena-mena.</v>
      </c>
      <c r="AO156" s="105" t="str">
        <f>IFERROR(__xludf.DUMMYFUNCTION("""COMPUTED_VALUE"""),"A Saya suka berlaku sangat ramah terhadap teman-teman saya.")</f>
        <v>A Saya suka berlaku sangat ramah terhadap teman-teman saya.</v>
      </c>
      <c r="AP156" s="105" t="str">
        <f>IFERROR(__xludf.DUMMYFUNCTION("""COMPUTED_VALUE"""),"B Saya suka bertahan menghadapi satu masalah meskipun belum tentu berhasil.")</f>
        <v>B Saya suka bertahan menghadapi satu masalah meskipun belum tentu berhasil.</v>
      </c>
      <c r="AQ156" s="105" t="str">
        <f>IFERROR(__xludf.DUMMYFUNCTION("""COMPUTED_VALUE"""),"B Bila saya harus melakukan suatu tugas, saya ingin mengerjakan sampai selesai.")</f>
        <v>B Bila saya harus melakukan suatu tugas, saya ingin mengerjakan sampai selesai.</v>
      </c>
      <c r="AR156" s="105" t="str">
        <f>IFERROR(__xludf.DUMMYFUNCTION("""COMPUTED_VALUE"""),"A Saya suka menyimpan catatan secara rapi.")</f>
        <v>A Saya suka menyimpan catatan secara rapi.</v>
      </c>
      <c r="AS156" s="105" t="str">
        <f>IFERROR(__xludf.DUMMYFUNCTION("""COMPUTED_VALUE"""),"A Saya ingin dapat menyelesaikan persoalan yang dianggap sukar bagi orang lain.")</f>
        <v>A Saya ingin dapat menyelesaikan persoalan yang dianggap sukar bagi orang lain.</v>
      </c>
      <c r="AT156" s="105" t="str">
        <f>IFERROR(__xludf.DUMMYFUNCTION("""COMPUTED_VALUE"""),"B Saya suka membantu orang lain yang menurut saya perlu dikasihani.")</f>
        <v>B Saya suka membantu orang lain yang menurut saya perlu dikasihani.</v>
      </c>
      <c r="AU156" s="105" t="str">
        <f>IFERROR(__xludf.DUMMYFUNCTION("""COMPUTED_VALUE"""),"A Saya ingin menyelesaikan pekerjaan satu persatu sebelum memulai yang lain.")</f>
        <v>A Saya ingin menyelesaikan pekerjaan satu persatu sebelum memulai yang lain.</v>
      </c>
      <c r="AV156" s="105" t="str">
        <f>IFERROR(__xludf.DUMMYFUNCTION("""COMPUTED_VALUE"""),"A Saya ingin merasa bebas untuk melakukan apa yang saya kehendaki.")</f>
        <v>A Saya ingin merasa bebas untuk melakukan apa yang saya kehendaki.</v>
      </c>
      <c r="AW156" s="105" t="str">
        <f>IFERROR(__xludf.DUMMYFUNCTION("""COMPUTED_VALUE"""),"B Saya ingin teman-teman saya percaya bahwa saya bisa menolong mereka.")</f>
        <v>B Saya ingin teman-teman saya percaya bahwa saya bisa menolong mereka.</v>
      </c>
      <c r="AX156" s="105" t="str">
        <f>IFERROR(__xludf.DUMMYFUNCTION("""COMPUTED_VALUE"""),"A Saya suka menolong teman-teman saya apabila mereka dalam kesulitan.")</f>
        <v>A Saya suka menolong teman-teman saya apabila mereka dalam kesulitan.</v>
      </c>
      <c r="AY156" s="105" t="str">
        <f>IFERROR(__xludf.DUMMYFUNCTION("""COMPUTED_VALUE"""),"A Saya rasanya ingin marah saat tidak sesuai dengan hati.")</f>
        <v>A Saya rasanya ingin marah saat tidak sesuai dengan hati.</v>
      </c>
      <c r="AZ156" s="105" t="str">
        <f>IFERROR(__xludf.DUMMYFUNCTION("""COMPUTED_VALUE"""),"A Saya ingin agar teman-teman saya bersimpati dan menghibur saya bila saya sedih.")</f>
        <v>A Saya ingin agar teman-teman saya bersimpati dan menghibur saya bila saya sedih.</v>
      </c>
      <c r="BA156" s="105" t="str">
        <f>IFERROR(__xludf.DUMMYFUNCTION("""COMPUTED_VALUE"""),"A Saya suka menyatakan pendapat saya tentang berbagai hal.")</f>
        <v>A Saya suka menyatakan pendapat saya tentang berbagai hal.</v>
      </c>
      <c r="BB156" s="105" t="str">
        <f>IFERROR(__xludf.DUMMYFUNCTION("""COMPUTED_VALUE"""),"A Saya berkeinginan untuk bersama orang yang menarik bagi saya.")</f>
        <v>A Saya berkeinginan untuk bersama orang yang menarik bagi saya.</v>
      </c>
      <c r="BC156" s="105" t="str">
        <f>IFERROR(__xludf.DUMMYFUNCTION("""COMPUTED_VALUE"""),"B Saya suka membantu orang lain yang menurut saya perlu dikasihani.")</f>
        <v>B Saya suka membantu orang lain yang menurut saya perlu dikasihani.</v>
      </c>
      <c r="BD156" s="105" t="str">
        <f>IFERROR(__xludf.DUMMYFUNCTION("""COMPUTED_VALUE"""),"B Saya suka bersikukuh dengan pendirian saya.")</f>
        <v>B Saya suka bersikukuh dengan pendirian saya.</v>
      </c>
      <c r="BE156" s="105" t="str">
        <f>IFERROR(__xludf.DUMMYFUNCTION("""COMPUTED_VALUE"""),"B Saya ingin orang lain melakukan apa yang saya kehendaki.")</f>
        <v>B Saya ingin orang lain melakukan apa yang saya kehendaki.</v>
      </c>
      <c r="BF156" s="105" t="str">
        <f>IFERROR(__xludf.DUMMYFUNCTION("""COMPUTED_VALUE"""),"B Bila saya dalam kelompok, saya ingin menentukan apa yang akan kita lakukan.")</f>
        <v>B Bila saya dalam kelompok, saya ingin menentukan apa yang akan kita lakukan.</v>
      </c>
      <c r="BG156" s="105" t="str">
        <f>IFERROR(__xludf.DUMMYFUNCTION("""COMPUTED_VALUE"""),"B Saya suka mengarahkan kepada orang lain apa yang harus dilakukan.")</f>
        <v>B Saya suka mengarahkan kepada orang lain apa yang harus dilakukan.</v>
      </c>
      <c r="BH156" s="105" t="str">
        <f>IFERROR(__xludf.DUMMYFUNCTION("""COMPUTED_VALUE"""),"A Saya suka menghindar dari situasi yang tidak saya harapkan.")</f>
        <v>A Saya suka menghindar dari situasi yang tidak saya harapkan.</v>
      </c>
      <c r="BI156" s="105" t="str">
        <f>IFERROR(__xludf.DUMMYFUNCTION("""COMPUTED_VALUE"""),"A Saya suka bermurah hati terhadap teman-teman saya.")</f>
        <v>A Saya suka bermurah hati terhadap teman-teman saya.</v>
      </c>
      <c r="BJ156" s="105" t="str">
        <f>IFERROR(__xludf.DUMMYFUNCTION("""COMPUTED_VALUE"""),"B Saya ingin menjadi pemimpin dalam kelompok di mana saya ada di situ")</f>
        <v>B Saya ingin menjadi pemimpin dalam kelompok di mana saya ada di situ</v>
      </c>
      <c r="BK156" s="105" t="str">
        <f>IFERROR(__xludf.DUMMYFUNCTION("""COMPUTED_VALUE"""),"B Saya senang untuk diminta menyelesaikan pertentangan-pertentangan.")</f>
        <v>B Saya senang untuk diminta menyelesaikan pertentangan-pertentangan.</v>
      </c>
      <c r="BL156" s="105" t="str">
        <f>IFERROR(__xludf.DUMMYFUNCTION("""COMPUTED_VALUE"""),"A Saya suka belajar saya teratur dan ada waktu-waktu tertentu untuk belajar.")</f>
        <v>A Saya suka belajar saya teratur dan ada waktu-waktu tertentu untuk belajar.</v>
      </c>
      <c r="BM156" s="105" t="str">
        <f>IFERROR(__xludf.DUMMYFUNCTION("""COMPUTED_VALUE"""),"A Saya suka melakukan pekerjaan sebaik mungkin.")</f>
        <v>A Saya suka melakukan pekerjaan sebaik mungkin.</v>
      </c>
      <c r="BN156" s="105" t="str">
        <f>IFERROR(__xludf.DUMMYFUNCTION("""COMPUTED_VALUE"""),"B Saya ingin teman-teman memberi dorongan bila saya menghadapi kegagalan.")</f>
        <v>B Saya ingin teman-teman memberi dorongan bila saya menghadapi kegagalan.</v>
      </c>
      <c r="BO156" s="105" t="str">
        <f>IFERROR(__xludf.DUMMYFUNCTION("""COMPUTED_VALUE"""),"A Saya suka membuat perencanaan sebelum memulai belajar yang sulit.")</f>
        <v>A Saya suka membuat perencanaan sebelum memulai belajar yang sulit.</v>
      </c>
      <c r="BP156" s="105" t="str">
        <f>IFERROR(__xludf.DUMMYFUNCTION("""COMPUTED_VALUE"""),"A Saya ingin menyelesaikan sesuatu yang sangat penting artinya.")</f>
        <v>A Saya ingin menyelesaikan sesuatu yang sangat penting artinya.</v>
      </c>
      <c r="BQ156" s="105" t="str">
        <f>IFERROR(__xludf.DUMMYFUNCTION("""COMPUTED_VALUE"""),"B Saya ingin agar teman-teman menceritakan diri saya apabila saya sakit.")</f>
        <v>B Saya ingin agar teman-teman menceritakan diri saya apabila saya sakit.</v>
      </c>
      <c r="BR156" s="105" t="str">
        <f>IFERROR(__xludf.DUMMYFUNCTION("""COMPUTED_VALUE"""),"A Saya suka memaafkan teman-teman saya yang menyakiti hati saya.")</f>
        <v>A Saya suka memaafkan teman-teman saya yang menyakiti hati saya.</v>
      </c>
      <c r="BS156" s="105" t="str">
        <f>IFERROR(__xludf.DUMMYFUNCTION("""COMPUTED_VALUE"""),"A Saya suka menghindar dari tanggung jawab yang tidak saya inginkan.")</f>
        <v>A Saya suka menghindar dari tanggung jawab yang tidak saya inginkan.</v>
      </c>
      <c r="BT156" s="105" t="str">
        <f>IFERROR(__xludf.DUMMYFUNCTION("""COMPUTED_VALUE"""),"A Saya ingin teman-teman saya merasa kasihan pada saya apabila saya sakit.")</f>
        <v>A Saya ingin teman-teman saya merasa kasihan pada saya apabila saya sakit.</v>
      </c>
      <c r="BU156" s="105" t="str">
        <f>IFERROR(__xludf.DUMMYFUNCTION("""COMPUTED_VALUE"""),"A Saya kadang-kadang suka melakukan hal-hal yang dapat dipuji oleh orang lain.")</f>
        <v>A Saya kadang-kadang suka melakukan hal-hal yang dapat dipuji oleh orang lain.</v>
      </c>
      <c r="BV156" s="105" t="str">
        <f>IFERROR(__xludf.DUMMYFUNCTION("""COMPUTED_VALUE"""),"B Saya ingin teman-teman dengan gembira memberikan pertolongan kepada saya.")</f>
        <v>B Saya ingin teman-teman dengan gembira memberikan pertolongan kepada saya.</v>
      </c>
      <c r="BW156" s="105" t="str">
        <f>IFERROR(__xludf.DUMMYFUNCTION("""COMPUTED_VALUE"""),"A Saya akan menyerang pendapat yang bertentangan dengan pendirian saya.")</f>
        <v>A Saya akan menyerang pendapat yang bertentangan dengan pendirian saya.</v>
      </c>
      <c r="BX156" s="105" t="str">
        <f>IFERROR(__xludf.DUMMYFUNCTION("""COMPUTED_VALUE"""),"B Saya kadang-kadang suka melakukan hal-hal yang dapat dipuji oleh orang lain.")</f>
        <v>B Saya kadang-kadang suka melakukan hal-hal yang dapat dipuji oleh orang lain.</v>
      </c>
      <c r="BY156" s="105" t="str">
        <f>IFERROR(__xludf.DUMMYFUNCTION("""COMPUTED_VALUE"""),"A Saya suka melamun atau membayangkan hal-hal yang tidak jelas.")</f>
        <v>A Saya suka melamun atau membayangkan hal-hal yang tidak jelas.</v>
      </c>
      <c r="BZ156" s="105" t="str">
        <f>IFERROR(__xludf.DUMMYFUNCTION("""COMPUTED_VALUE"""),"A Saya suka berkata yang artinya sulit dipahami oleh orang lain.")</f>
        <v>A Saya suka berkata yang artinya sulit dipahami oleh orang lain.</v>
      </c>
      <c r="CA156" s="105" t="str">
        <f>IFERROR(__xludf.DUMMYFUNCTION("""COMPUTED_VALUE"""),"A Saya ingin teman-teman dengan gembira memberikan pertolongan kepada saya.")</f>
        <v>A Saya ingin teman-teman dengan gembira memberikan pertolongan kepada saya.</v>
      </c>
      <c r="CB156" s="105" t="str">
        <f>IFERROR(__xludf.DUMMYFUNCTION("""COMPUTED_VALUE"""),"A Saya suka menghindar dari tanggung jawab yang tidak saya inginkan.")</f>
        <v>A Saya suka menghindar dari tanggung jawab yang tidak saya inginkan.</v>
      </c>
      <c r="CC156" s="105" t="str">
        <f>IFERROR(__xludf.DUMMYFUNCTION("""COMPUTED_VALUE"""),"B Saya suka menceritakan hal-hal lucu agar diperhatikan oleh orang lain.")</f>
        <v>B Saya suka menceritakan hal-hal lucu agar diperhatikan oleh orang lain.</v>
      </c>
      <c r="CD156" s="105" t="str">
        <f>IFERROR(__xludf.DUMMYFUNCTION("""COMPUTED_VALUE"""),"A Saya suka menyelesaikan setiap tugas meskipun membutuhkan waktu lama.")</f>
        <v>A Saya suka menyelesaikan setiap tugas meskipun membutuhkan waktu lama.</v>
      </c>
      <c r="CE156" s="105" t="str">
        <f>IFERROR(__xludf.DUMMYFUNCTION("""COMPUTED_VALUE"""),"B Saya kadang-kadang suka melakukan hal-hal yang dapat dipuji oleh orang lain.")</f>
        <v>B Saya kadang-kadang suka melakukan hal-hal yang dapat dipuji oleh orang lain.</v>
      </c>
      <c r="CF156" s="105" t="str">
        <f>IFERROR(__xludf.DUMMYFUNCTION("""COMPUTED_VALUE"""),"A Saya ingin agar hidup saya teratur sesuai cita-cita saya.")</f>
        <v>A Saya ingin agar hidup saya teratur sesuai cita-cita saya.</v>
      </c>
      <c r="CG156" s="105" t="str">
        <f>IFERROR(__xludf.DUMMYFUNCTION("""COMPUTED_VALUE"""),"A Saya ingin berhasil dalam apa yang saya lakukan.")</f>
        <v>A Saya ingin berhasil dalam apa yang saya lakukan.</v>
      </c>
      <c r="CH156" s="105" t="str">
        <f>IFERROR(__xludf.DUMMYFUNCTION("""COMPUTED_VALUE"""),"A Saya ingin bisa melakukan dengan baik sesuatu pekerjaan sulit.")</f>
        <v>A Saya ingin bisa melakukan dengan baik sesuatu pekerjaan sulit.</v>
      </c>
      <c r="CI156" s="105" t="str">
        <f>IFERROR(__xludf.DUMMYFUNCTION("""COMPUTED_VALUE"""),"A Saya suka belajar saya teratur dan ada waktu-waktu tertentu untuk belajar.")</f>
        <v>A Saya suka belajar saya teratur dan ada waktu-waktu tertentu untuk belajar.</v>
      </c>
      <c r="CJ156" s="105" t="str">
        <f>IFERROR(__xludf.DUMMYFUNCTION("""COMPUTED_VALUE"""),"A Saya ingin tidak tergantung dari orang lain terhadap apa yang akan saya lakukan.")</f>
        <v>A Saya ingin tidak tergantung dari orang lain terhadap apa yang akan saya lakukan.</v>
      </c>
      <c r="CK156" s="105" t="str">
        <f>IFERROR(__xludf.DUMMYFUNCTION("""COMPUTED_VALUE"""),"A Saya suka bertahan menghadapi satu masalah, meskipun belum tentu berhasil.")</f>
        <v>A Saya suka bertahan menghadapi satu masalah, meskipun belum tentu berhasil.</v>
      </c>
      <c r="CL156" s="105" t="str">
        <f>IFERROR(__xludf.DUMMYFUNCTION("""COMPUTED_VALUE"""),"B Saya berkeinginan untuk bersama teman yang menurut saya menarik.")</f>
        <v>B Saya berkeinginan untuk bersama teman yang menurut saya menarik.</v>
      </c>
      <c r="CM156" s="105" t="str">
        <f>IFERROR(__xludf.DUMMYFUNCTION("""COMPUTED_VALUE"""),"B Saya merasa kagum pada seseorang.")</f>
        <v>B Saya merasa kagum pada seseorang.</v>
      </c>
      <c r="CN156" s="105" t="str">
        <f>IFERROR(__xludf.DUMMYFUNCTION("""COMPUTED_VALUE"""),"B Saya suka mendengarkan atau menceritakan hal-hal yang tidak pantas.")</f>
        <v>B Saya suka mendengarkan atau menceritakan hal-hal yang tidak pantas.</v>
      </c>
      <c r="CO156" s="105" t="str">
        <f>IFERROR(__xludf.DUMMYFUNCTION("""COMPUTED_VALUE"""),"B Saya suka memuji orang yang saya kagumi.")</f>
        <v>B Saya suka memuji orang yang saya kagumi.</v>
      </c>
      <c r="CP156" s="105" t="str">
        <f>IFERROR(__xludf.DUMMYFUNCTION("""COMPUTED_VALUE"""),"A Saya suka melamun atau membayangkan sesuatu sendirian.")</f>
        <v>A Saya suka melamun atau membayangkan sesuatu sendirian.</v>
      </c>
      <c r="CQ156" s="105" t="str">
        <f>IFERROR(__xludf.DUMMYFUNCTION("""COMPUTED_VALUE"""),"B Saya merasa kagum pada seseorang.")</f>
        <v>B Saya merasa kagum pada seseorang.</v>
      </c>
      <c r="CR156" s="105" t="str">
        <f>IFERROR(__xludf.DUMMYFUNCTION("""COMPUTED_VALUE"""),"A Saya ingin memperolok-olok orang yang saya anggap melakukan tindakan bodoh.")</f>
        <v>A Saya ingin memperolok-olok orang yang saya anggap melakukan tindakan bodoh.</v>
      </c>
      <c r="CS156" s="105" t="str">
        <f>IFERROR(__xludf.DUMMYFUNCTION("""COMPUTED_VALUE"""),"B Saya rasanya ingin membalas dendam bila seseorang menghina saya.")</f>
        <v>B Saya rasanya ingin membalas dendam bila seseorang menghina saya.</v>
      </c>
      <c r="CT156" s="105" t="str">
        <f>IFERROR(__xludf.DUMMYFUNCTION("""COMPUTED_VALUE"""),"B Saya saat marah rasanya ingin melemparkan dan merusak barang-barang.")</f>
        <v>B Saya saat marah rasanya ingin melemparkan dan merusak barang-barang.</v>
      </c>
      <c r="CU156" s="105" t="str">
        <f>IFERROR(__xludf.DUMMYFUNCTION("""COMPUTED_VALUE"""),"A Saya ingin diperlakukan dengan ramah oleh teman-teman saya.")</f>
        <v>A Saya ingin diperlakukan dengan ramah oleh teman-teman saya.</v>
      </c>
      <c r="CV156" s="105" t="str">
        <f>IFERROR(__xludf.DUMMYFUNCTION("""COMPUTED_VALUE"""),"A Saya ingin ditunjuk atau dipilih sebagai ketua dalam suatu kelompok.")</f>
        <v>A Saya ingin ditunjuk atau dipilih sebagai ketua dalam suatu kelompok.</v>
      </c>
      <c r="CW156" s="105" t="str">
        <f>IFERROR(__xludf.DUMMYFUNCTION("""COMPUTED_VALUE"""),"A Saya suka menolong teman-teman saya, apabila mereka dalam kesulitan.")</f>
        <v>A Saya suka menolong teman-teman saya, apabila mereka dalam kesulitan.</v>
      </c>
      <c r="CX156" s="105" t="str">
        <f>IFERROR(__xludf.DUMMYFUNCTION("""COMPUTED_VALUE"""),"B Saya ingin memperolok-olok orang yang saya anggap melakukan tindakan bodoh.")</f>
        <v>B Saya ingin memperolok-olok orang yang saya anggap melakukan tindakan bodoh.</v>
      </c>
      <c r="CY156" s="105" t="str">
        <f>IFERROR(__xludf.DUMMYFUNCTION("""COMPUTED_VALUE"""),"B Saya rasanya ingin membalas dendam bila seseorang menghina saya.")</f>
        <v>B Saya rasanya ingin membalas dendam bila seseorang menghina saya.</v>
      </c>
      <c r="CZ156" s="105" t="str">
        <f>IFERROR(__xludf.DUMMYFUNCTION("""COMPUTED_VALUE"""),"A Saya suka merencanakan dan mengatur setiap pekerjaan yang harus saya lakukan.")</f>
        <v>A Saya suka merencanakan dan mengatur setiap pekerjaan yang harus saya lakukan.</v>
      </c>
      <c r="DA156" s="105" t="str">
        <f>IFERROR(__xludf.DUMMYFUNCTION("""COMPUTED_VALUE"""),"A Saya ingin melakukan apa saja sebaik mungkin.")</f>
        <v>A Saya ingin melakukan apa saja sebaik mungkin.</v>
      </c>
      <c r="DB156" s="89" t="s">
        <v>23</v>
      </c>
      <c r="DC156" s="97" t="str">
        <f t="shared" ref="DC156:GX156" si="201">LEFT(F156,1)</f>
        <v>B</v>
      </c>
      <c r="DD156" s="97" t="str">
        <f t="shared" si="201"/>
        <v>A</v>
      </c>
      <c r="DE156" s="97" t="str">
        <f t="shared" si="201"/>
        <v>B</v>
      </c>
      <c r="DF156" s="97" t="str">
        <f t="shared" si="201"/>
        <v>B</v>
      </c>
      <c r="DG156" s="97" t="str">
        <f t="shared" si="201"/>
        <v>A</v>
      </c>
      <c r="DH156" s="97" t="str">
        <f t="shared" si="201"/>
        <v>A</v>
      </c>
      <c r="DI156" s="97" t="str">
        <f t="shared" si="201"/>
        <v>A</v>
      </c>
      <c r="DJ156" s="97" t="str">
        <f t="shared" si="201"/>
        <v>B</v>
      </c>
      <c r="DK156" s="97" t="str">
        <f t="shared" si="201"/>
        <v>A</v>
      </c>
      <c r="DL156" s="97" t="str">
        <f t="shared" si="201"/>
        <v>B</v>
      </c>
      <c r="DM156" s="97" t="str">
        <f t="shared" si="201"/>
        <v>B</v>
      </c>
      <c r="DN156" s="97" t="str">
        <f t="shared" si="201"/>
        <v>B</v>
      </c>
      <c r="DO156" s="97" t="str">
        <f t="shared" si="201"/>
        <v>B</v>
      </c>
      <c r="DP156" s="97" t="str">
        <f t="shared" si="201"/>
        <v>B</v>
      </c>
      <c r="DQ156" s="97" t="str">
        <f t="shared" si="201"/>
        <v>B</v>
      </c>
      <c r="DR156" s="97" t="str">
        <f t="shared" si="201"/>
        <v>A</v>
      </c>
      <c r="DS156" s="97" t="str">
        <f t="shared" si="201"/>
        <v>B</v>
      </c>
      <c r="DT156" s="97" t="str">
        <f t="shared" si="201"/>
        <v>B</v>
      </c>
      <c r="DU156" s="97" t="str">
        <f t="shared" si="201"/>
        <v>A</v>
      </c>
      <c r="DV156" s="97" t="str">
        <f t="shared" si="201"/>
        <v>B</v>
      </c>
      <c r="DW156" s="97" t="str">
        <f t="shared" si="201"/>
        <v>A</v>
      </c>
      <c r="DX156" s="97" t="str">
        <f t="shared" si="201"/>
        <v>B</v>
      </c>
      <c r="DY156" s="97" t="str">
        <f t="shared" si="201"/>
        <v>B</v>
      </c>
      <c r="DZ156" s="97" t="str">
        <f t="shared" si="201"/>
        <v>B</v>
      </c>
      <c r="EA156" s="97" t="str">
        <f t="shared" si="201"/>
        <v>A</v>
      </c>
      <c r="EB156" s="97" t="str">
        <f t="shared" si="201"/>
        <v>B</v>
      </c>
      <c r="EC156" s="97" t="str">
        <f t="shared" si="201"/>
        <v>A</v>
      </c>
      <c r="ED156" s="97" t="str">
        <f t="shared" si="201"/>
        <v>A</v>
      </c>
      <c r="EE156" s="97" t="str">
        <f t="shared" si="201"/>
        <v>B</v>
      </c>
      <c r="EF156" s="97" t="str">
        <f t="shared" si="201"/>
        <v>B</v>
      </c>
      <c r="EG156" s="97" t="str">
        <f t="shared" si="201"/>
        <v>A</v>
      </c>
      <c r="EH156" s="97" t="str">
        <f t="shared" si="201"/>
        <v>A</v>
      </c>
      <c r="EI156" s="97" t="str">
        <f t="shared" si="201"/>
        <v>A</v>
      </c>
      <c r="EJ156" s="97" t="str">
        <f t="shared" si="201"/>
        <v>A</v>
      </c>
      <c r="EK156" s="97" t="str">
        <f t="shared" si="201"/>
        <v>A</v>
      </c>
      <c r="EL156" s="97" t="str">
        <f t="shared" si="201"/>
        <v>A</v>
      </c>
      <c r="EM156" s="97" t="str">
        <f t="shared" si="201"/>
        <v>B</v>
      </c>
      <c r="EN156" s="97" t="str">
        <f t="shared" si="201"/>
        <v>B</v>
      </c>
      <c r="EO156" s="97" t="str">
        <f t="shared" si="201"/>
        <v>A</v>
      </c>
      <c r="EP156" s="97" t="str">
        <f t="shared" si="201"/>
        <v>A</v>
      </c>
      <c r="EQ156" s="97" t="str">
        <f t="shared" si="201"/>
        <v>B</v>
      </c>
      <c r="ER156" s="97" t="str">
        <f t="shared" si="201"/>
        <v>A</v>
      </c>
      <c r="ES156" s="97" t="str">
        <f t="shared" si="201"/>
        <v>A</v>
      </c>
      <c r="ET156" s="97" t="str">
        <f t="shared" si="201"/>
        <v>B</v>
      </c>
      <c r="EU156" s="97" t="str">
        <f t="shared" si="201"/>
        <v>A</v>
      </c>
      <c r="EV156" s="97" t="str">
        <f t="shared" si="201"/>
        <v>A</v>
      </c>
      <c r="EW156" s="97" t="str">
        <f t="shared" si="201"/>
        <v>A</v>
      </c>
      <c r="EX156" s="97" t="str">
        <f t="shared" si="201"/>
        <v>A</v>
      </c>
      <c r="EY156" s="97" t="str">
        <f t="shared" si="201"/>
        <v>A</v>
      </c>
      <c r="EZ156" s="97" t="str">
        <f t="shared" si="201"/>
        <v>B</v>
      </c>
      <c r="FA156" s="97" t="str">
        <f t="shared" si="201"/>
        <v>B</v>
      </c>
      <c r="FB156" s="97" t="str">
        <f t="shared" si="201"/>
        <v>B</v>
      </c>
      <c r="FC156" s="97" t="str">
        <f t="shared" si="201"/>
        <v>B</v>
      </c>
      <c r="FD156" s="97" t="str">
        <f t="shared" si="201"/>
        <v>B</v>
      </c>
      <c r="FE156" s="97" t="str">
        <f t="shared" si="201"/>
        <v>A</v>
      </c>
      <c r="FF156" s="97" t="str">
        <f t="shared" si="201"/>
        <v>A</v>
      </c>
      <c r="FG156" s="97" t="str">
        <f t="shared" si="201"/>
        <v>B</v>
      </c>
      <c r="FH156" s="97" t="str">
        <f t="shared" si="201"/>
        <v>B</v>
      </c>
      <c r="FI156" s="97" t="str">
        <f t="shared" si="201"/>
        <v>A</v>
      </c>
      <c r="FJ156" s="97" t="str">
        <f t="shared" si="201"/>
        <v>A</v>
      </c>
      <c r="FK156" s="97" t="str">
        <f t="shared" si="201"/>
        <v>B</v>
      </c>
      <c r="FL156" s="97" t="str">
        <f t="shared" si="201"/>
        <v>A</v>
      </c>
      <c r="FM156" s="97" t="str">
        <f t="shared" si="201"/>
        <v>A</v>
      </c>
      <c r="FN156" s="97" t="str">
        <f t="shared" si="201"/>
        <v>B</v>
      </c>
      <c r="FO156" s="97" t="str">
        <f t="shared" si="201"/>
        <v>A</v>
      </c>
      <c r="FP156" s="97" t="str">
        <f t="shared" si="201"/>
        <v>A</v>
      </c>
      <c r="FQ156" s="97" t="str">
        <f t="shared" si="201"/>
        <v>A</v>
      </c>
      <c r="FR156" s="97" t="str">
        <f t="shared" si="201"/>
        <v>A</v>
      </c>
      <c r="FS156" s="97" t="str">
        <f t="shared" si="201"/>
        <v>B</v>
      </c>
      <c r="FT156" s="97" t="str">
        <f t="shared" si="201"/>
        <v>A</v>
      </c>
      <c r="FU156" s="97" t="str">
        <f t="shared" si="201"/>
        <v>B</v>
      </c>
      <c r="FV156" s="97" t="str">
        <f t="shared" si="201"/>
        <v>A</v>
      </c>
      <c r="FW156" s="97" t="str">
        <f t="shared" si="201"/>
        <v>A</v>
      </c>
      <c r="FX156" s="97" t="str">
        <f t="shared" si="201"/>
        <v>A</v>
      </c>
      <c r="FY156" s="97" t="str">
        <f t="shared" si="201"/>
        <v>A</v>
      </c>
      <c r="FZ156" s="97" t="str">
        <f t="shared" si="201"/>
        <v>B</v>
      </c>
      <c r="GA156" s="97" t="str">
        <f t="shared" si="201"/>
        <v>A</v>
      </c>
      <c r="GB156" s="97" t="str">
        <f t="shared" si="201"/>
        <v>B</v>
      </c>
      <c r="GC156" s="97" t="str">
        <f t="shared" si="201"/>
        <v>A</v>
      </c>
      <c r="GD156" s="97" t="str">
        <f t="shared" si="201"/>
        <v>A</v>
      </c>
      <c r="GE156" s="97" t="str">
        <f t="shared" si="201"/>
        <v>A</v>
      </c>
      <c r="GF156" s="97" t="str">
        <f t="shared" si="201"/>
        <v>A</v>
      </c>
      <c r="GG156" s="97" t="str">
        <f t="shared" si="201"/>
        <v>A</v>
      </c>
      <c r="GH156" s="97" t="str">
        <f t="shared" si="201"/>
        <v>A</v>
      </c>
      <c r="GI156" s="97" t="str">
        <f t="shared" si="201"/>
        <v>B</v>
      </c>
      <c r="GJ156" s="97" t="str">
        <f t="shared" si="201"/>
        <v>B</v>
      </c>
      <c r="GK156" s="97" t="str">
        <f t="shared" si="201"/>
        <v>B</v>
      </c>
      <c r="GL156" s="97" t="str">
        <f t="shared" si="201"/>
        <v>B</v>
      </c>
      <c r="GM156" s="97" t="str">
        <f t="shared" si="201"/>
        <v>A</v>
      </c>
      <c r="GN156" s="97" t="str">
        <f t="shared" si="201"/>
        <v>B</v>
      </c>
      <c r="GO156" s="97" t="str">
        <f t="shared" si="201"/>
        <v>A</v>
      </c>
      <c r="GP156" s="97" t="str">
        <f t="shared" si="201"/>
        <v>B</v>
      </c>
      <c r="GQ156" s="97" t="str">
        <f t="shared" si="201"/>
        <v>B</v>
      </c>
      <c r="GR156" s="97" t="str">
        <f t="shared" si="201"/>
        <v>A</v>
      </c>
      <c r="GS156" s="97" t="str">
        <f t="shared" si="201"/>
        <v>A</v>
      </c>
      <c r="GT156" s="97" t="str">
        <f t="shared" si="201"/>
        <v>A</v>
      </c>
      <c r="GU156" s="97" t="str">
        <f t="shared" si="201"/>
        <v>B</v>
      </c>
      <c r="GV156" s="97" t="str">
        <f t="shared" si="201"/>
        <v>B</v>
      </c>
      <c r="GW156" s="97" t="str">
        <f t="shared" si="201"/>
        <v>A</v>
      </c>
      <c r="GX156" s="97" t="str">
        <f t="shared" si="201"/>
        <v>A</v>
      </c>
      <c r="GY156" s="98"/>
      <c r="GZ156" s="97">
        <f t="shared" si="3"/>
        <v>55</v>
      </c>
      <c r="HA156" s="97">
        <f t="shared" si="4"/>
        <v>45</v>
      </c>
      <c r="HB156" s="90">
        <f t="shared" si="5"/>
        <v>100</v>
      </c>
      <c r="HC156" s="99"/>
      <c r="HD156" s="97">
        <f t="shared" si="6"/>
        <v>6</v>
      </c>
      <c r="HE156" s="97">
        <f t="shared" si="7"/>
        <v>4</v>
      </c>
      <c r="HF156" s="90">
        <f t="shared" si="8"/>
        <v>10</v>
      </c>
      <c r="HG156" s="99"/>
      <c r="HH156" s="97">
        <f t="shared" si="9"/>
        <v>8</v>
      </c>
      <c r="HI156" s="97">
        <f t="shared" si="10"/>
        <v>8</v>
      </c>
      <c r="HJ156" s="90">
        <f t="shared" si="11"/>
        <v>16</v>
      </c>
      <c r="HK156" s="99"/>
      <c r="HL156" s="97">
        <f t="shared" si="12"/>
        <v>3</v>
      </c>
      <c r="HM156" s="97">
        <f t="shared" si="13"/>
        <v>6</v>
      </c>
      <c r="HN156" s="90">
        <f t="shared" si="14"/>
        <v>9</v>
      </c>
      <c r="HO156" s="99"/>
      <c r="HP156" s="97">
        <f t="shared" si="15"/>
        <v>2</v>
      </c>
      <c r="HQ156" s="97">
        <f t="shared" si="16"/>
        <v>2</v>
      </c>
      <c r="HR156" s="90">
        <f t="shared" si="17"/>
        <v>4</v>
      </c>
      <c r="HS156" s="99"/>
      <c r="HT156" s="97">
        <f t="shared" si="18"/>
        <v>7</v>
      </c>
      <c r="HU156" s="97">
        <f t="shared" si="19"/>
        <v>3</v>
      </c>
      <c r="HV156" s="90">
        <f t="shared" si="20"/>
        <v>10</v>
      </c>
      <c r="HW156" s="99"/>
      <c r="HX156" s="97">
        <f t="shared" si="21"/>
        <v>6</v>
      </c>
      <c r="HY156" s="97">
        <f t="shared" si="22"/>
        <v>6</v>
      </c>
      <c r="HZ156" s="90">
        <f t="shared" si="23"/>
        <v>12</v>
      </c>
      <c r="IA156" s="99"/>
      <c r="IB156" s="97">
        <f t="shared" si="24"/>
        <v>6</v>
      </c>
      <c r="IC156" s="97">
        <f t="shared" si="25"/>
        <v>3</v>
      </c>
      <c r="ID156" s="90">
        <f t="shared" si="26"/>
        <v>9</v>
      </c>
      <c r="IE156" s="99"/>
      <c r="IF156" s="97">
        <f t="shared" si="27"/>
        <v>4</v>
      </c>
      <c r="IG156" s="97">
        <f t="shared" si="28"/>
        <v>3</v>
      </c>
      <c r="IH156" s="90">
        <f t="shared" si="29"/>
        <v>7</v>
      </c>
      <c r="II156" s="99"/>
      <c r="IJ156" s="97">
        <f t="shared" si="30"/>
        <v>4</v>
      </c>
      <c r="IK156" s="97">
        <f t="shared" si="31"/>
        <v>5</v>
      </c>
      <c r="IL156" s="90">
        <f t="shared" si="32"/>
        <v>9</v>
      </c>
      <c r="IM156" s="99"/>
      <c r="IN156" s="97">
        <f t="shared" si="33"/>
        <v>2</v>
      </c>
      <c r="IO156" s="97">
        <f t="shared" si="34"/>
        <v>4</v>
      </c>
      <c r="IP156" s="90">
        <f t="shared" si="35"/>
        <v>6</v>
      </c>
      <c r="IS156" s="100">
        <f t="shared" si="36"/>
        <v>10</v>
      </c>
      <c r="IT156" s="100">
        <f t="shared" si="37"/>
        <v>16</v>
      </c>
      <c r="IU156" s="100">
        <f t="shared" si="38"/>
        <v>9</v>
      </c>
      <c r="IV156" s="100">
        <f t="shared" si="39"/>
        <v>4</v>
      </c>
      <c r="IW156" s="100">
        <f t="shared" si="40"/>
        <v>10</v>
      </c>
      <c r="IX156" s="100">
        <f t="shared" si="41"/>
        <v>12</v>
      </c>
      <c r="IY156" s="100">
        <f t="shared" si="42"/>
        <v>9</v>
      </c>
      <c r="IZ156" s="100">
        <f t="shared" si="43"/>
        <v>7</v>
      </c>
      <c r="JA156" s="100">
        <f t="shared" si="44"/>
        <v>9</v>
      </c>
      <c r="JB156" s="101">
        <f t="shared" si="45"/>
        <v>6</v>
      </c>
      <c r="JC156" s="102">
        <f t="shared" si="46"/>
        <v>92</v>
      </c>
      <c r="JD156" s="67">
        <f t="shared" si="50"/>
        <v>1</v>
      </c>
      <c r="JE156" s="67">
        <f t="shared" si="47"/>
        <v>1</v>
      </c>
      <c r="JF156" s="67">
        <f t="shared" si="48"/>
        <v>2</v>
      </c>
    </row>
    <row r="157">
      <c r="A157" s="104">
        <f>IFERROR(__xludf.DUMMYFUNCTION("""COMPUTED_VALUE"""),46010.777066678245)</f>
        <v>46010.77707</v>
      </c>
      <c r="B157" s="105" t="str">
        <f>IFERROR(__xludf.DUMMYFUNCTION("""COMPUTED_VALUE"""),"Ratu rafifa putri mulyana ")</f>
        <v>Ratu rafifa putri mulyana </v>
      </c>
      <c r="C157" s="7" t="str">
        <f>IFERROR(__xludf.DUMMYFUNCTION("""COMPUTED_VALUE"""),"D250036")</f>
        <v>D250036</v>
      </c>
      <c r="D157" s="7" t="str">
        <f>IFERROR(__xludf.DUMMYFUNCTION("""COMPUTED_VALUE"""),"MTs Putri")</f>
        <v>MTs Putri</v>
      </c>
      <c r="E157" s="7" t="str">
        <f>IFERROR(__xludf.DUMMYFUNCTION("""COMPUTED_VALUE"""),"Ya")</f>
        <v>Ya</v>
      </c>
      <c r="F157" s="105" t="str">
        <f>IFERROR(__xludf.DUMMYFUNCTION("""COMPUTED_VALUE"""),"B Saya ingin melakukan apa saja sebaik mungkin.")</f>
        <v>B Saya ingin melakukan apa saja sebaik mungkin.</v>
      </c>
      <c r="G157" s="105" t="str">
        <f>IFERROR(__xludf.DUMMYFUNCTION("""COMPUTED_VALUE"""),"A Saya ingin setiap tulisan saya teliti, rapi, dan tersusun dengan baik.")</f>
        <v>A Saya ingin setiap tulisan saya teliti, rapi, dan tersusun dengan baik.</v>
      </c>
      <c r="H157" s="105" t="str">
        <f>IFERROR(__xludf.DUMMYFUNCTION("""COMPUTED_VALUE"""),"A Saya ingin berbuat sesuai kata hati saya.")</f>
        <v>A Saya ingin berbuat sesuai kata hati saya.</v>
      </c>
      <c r="I157" s="105" t="str">
        <f>IFERROR(__xludf.DUMMYFUNCTION("""COMPUTED_VALUE"""),"B Saya ingin bisa melakukan dengan baik meskipun tugas yang sulit.")</f>
        <v>B Saya ingin bisa melakukan dengan baik meskipun tugas yang sulit.</v>
      </c>
      <c r="J157" s="105" t="str">
        <f>IFERROR(__xludf.DUMMYFUNCTION("""COMPUTED_VALUE"""),"A Saya suka membantu teman-teman saya apabila mereka mengalami kesulitan.")</f>
        <v>A Saya suka membantu teman-teman saya apabila mereka mengalami kesulitan.</v>
      </c>
      <c r="K157" s="105" t="str">
        <f>IFERROR(__xludf.DUMMYFUNCTION("""COMPUTED_VALUE"""),"B Saya ingin mengatakan telah melakukan dengan baik sesuatu tugas yang sulit.")</f>
        <v>B Saya ingin mengatakan telah melakukan dengan baik sesuatu tugas yang sulit.</v>
      </c>
      <c r="L157" s="105" t="str">
        <f>IFERROR(__xludf.DUMMYFUNCTION("""COMPUTED_VALUE"""),"B Saya ingin mengatakan telah melakukan dengan baik sesuatu tugas yang sulit")</f>
        <v>B Saya ingin mengatakan telah melakukan dengan baik sesuatu tugas yang sulit</v>
      </c>
      <c r="M157" s="105" t="str">
        <f>IFERROR(__xludf.DUMMYFUNCTION("""COMPUTED_VALUE"""),"B Saya ingin mengerjakan segala tugas lebih baik daripada orang lain.")</f>
        <v>B Saya ingin mengerjakan segala tugas lebih baik daripada orang lain.</v>
      </c>
      <c r="N157" s="105" t="str">
        <f>IFERROR(__xludf.DUMMYFUNCTION("""COMPUTED_VALUE"""),"A Saya suka pergi dengan pakaian rapi agar lebih menarik perhatian orang lain.")</f>
        <v>A Saya suka pergi dengan pakaian rapi agar lebih menarik perhatian orang lain.</v>
      </c>
      <c r="O157" s="105" t="str">
        <f>IFERROR(__xludf.DUMMYFUNCTION("""COMPUTED_VALUE"""),"B Saya suka melakukan tugas sebaik mungkin.")</f>
        <v>B Saya suka melakukan tugas sebaik mungkin.</v>
      </c>
      <c r="P157" s="105" t="str">
        <f>IFERROR(__xludf.DUMMYFUNCTION("""COMPUTED_VALUE"""),"B Saya ingin setiap belajar itu teratur dan direncanakan.")</f>
        <v>B Saya ingin setiap belajar itu teratur dan direncanakan.</v>
      </c>
      <c r="Q157" s="105" t="str">
        <f>IFERROR(__xludf.DUMMYFUNCTION("""COMPUTED_VALUE"""),"B Saya merencanakan keperluan yang dibutuhkan sebelum bepergian.")</f>
        <v>B Saya merencanakan keperluan yang dibutuhkan sebelum bepergian.</v>
      </c>
      <c r="R157" s="105" t="str">
        <f>IFERROR(__xludf.DUMMYFUNCTION("""COMPUTED_VALUE"""),"B Saya suka barang-barang saya tersusun rapi dan teratur.")</f>
        <v>B Saya suka barang-barang saya tersusun rapi dan teratur.</v>
      </c>
      <c r="S157" s="105" t="str">
        <f>IFERROR(__xludf.DUMMYFUNCTION("""COMPUTED_VALUE"""),"B Saya suka membuat perencanaan sebelum memulai tugas yang sulit.")</f>
        <v>B Saya suka membuat perencanaan sebelum memulai tugas yang sulit.</v>
      </c>
      <c r="T157" s="105" t="str">
        <f>IFERROR(__xludf.DUMMYFUNCTION("""COMPUTED_VALUE"""),"B Saya ingin agar hidup saya teratur sesuai cita-cita saya.")</f>
        <v>B Saya ingin agar hidup saya teratur sesuai cita-cita saya.</v>
      </c>
      <c r="U157" s="105" t="str">
        <f>IFERROR(__xludf.DUMMYFUNCTION("""COMPUTED_VALUE"""),"A Saya suka memberikan bantuan kepada teman-teman saya.")</f>
        <v>A Saya suka memberikan bantuan kepada teman-teman saya.</v>
      </c>
      <c r="V157" s="105" t="str">
        <f>IFERROR(__xludf.DUMMYFUNCTION("""COMPUTED_VALUE"""),"B Saya suka belajar saya teratur dan ada waktu-waktu tertentu untuk belajar.")</f>
        <v>B Saya suka belajar saya teratur dan ada waktu-waktu tertentu untuk belajar.</v>
      </c>
      <c r="W157" s="105" t="str">
        <f>IFERROR(__xludf.DUMMYFUNCTION("""COMPUTED_VALUE"""),"B Saya ingin kegiatan itu teratur dan direncanakan.")</f>
        <v>B Saya ingin kegiatan itu teratur dan direncanakan.</v>
      </c>
      <c r="X157" s="105" t="str">
        <f>IFERROR(__xludf.DUMMYFUNCTION("""COMPUTED_VALUE"""),"B Saya ingin agar hidup saya teratur sesuai cita-cita saya.")</f>
        <v>B Saya ingin agar hidup saya teratur sesuai cita-cita saya.</v>
      </c>
      <c r="Y157" s="105" t="str">
        <f>IFERROR(__xludf.DUMMYFUNCTION("""COMPUTED_VALUE"""),"B Saya senang merencanakan untuk masa depan.")</f>
        <v>B Saya senang merencanakan untuk masa depan.</v>
      </c>
      <c r="Z157" s="105" t="str">
        <f>IFERROR(__xludf.DUMMYFUNCTION("""COMPUTED_VALUE"""),"A Saya ingin berhasil dengan belajar yang saya lakukan.")</f>
        <v>A Saya ingin berhasil dengan belajar yang saya lakukan.</v>
      </c>
      <c r="AA157" s="105" t="str">
        <f>IFERROR(__xludf.DUMMYFUNCTION("""COMPUTED_VALUE"""),"A Saya suka menyelesaikan tugas yang telah saya rencanakan.")</f>
        <v>A Saya suka menyelesaikan tugas yang telah saya rencanakan.</v>
      </c>
      <c r="AB157" s="105" t="str">
        <f>IFERROR(__xludf.DUMMYFUNCTION("""COMPUTED_VALUE"""),"B Saya ingin menyelesaikan pekerjaan satu persatu sebelum memulai yang lain.")</f>
        <v>B Saya ingin menyelesaikan pekerjaan satu persatu sebelum memulai yang lain.</v>
      </c>
      <c r="AC157" s="105" t="str">
        <f>IFERROR(__xludf.DUMMYFUNCTION("""COMPUTED_VALUE"""),"A Saya suka menyelesaikan setiap tugas meskipun membutuhkan waktu lama.")</f>
        <v>A Saya suka menyelesaikan setiap tugas meskipun membutuhkan waktu lama.</v>
      </c>
      <c r="AD157" s="105" t="str">
        <f>IFERROR(__xludf.DUMMYFUNCTION("""COMPUTED_VALUE"""),"A Saya suka bermurah hati terhadap teman-teman saya.")</f>
        <v>A Saya suka bermurah hati terhadap teman-teman saya.</v>
      </c>
      <c r="AE157" s="105" t="str">
        <f>IFERROR(__xludf.DUMMYFUNCTION("""COMPUTED_VALUE"""),"A Saya ingin dianggap sebagai pemimpin oleh teman di kelompok.")</f>
        <v>A Saya ingin dianggap sebagai pemimpin oleh teman di kelompok.</v>
      </c>
      <c r="AF157" s="105" t="str">
        <f>IFERROR(__xludf.DUMMYFUNCTION("""COMPUTED_VALUE"""),"A Saya ingin agar teman-teman mengerti bila saya mengalami kesukaran.")</f>
        <v>A Saya ingin agar teman-teman mengerti bila saya mengalami kesukaran.</v>
      </c>
      <c r="AG157" s="105" t="str">
        <f>IFERROR(__xludf.DUMMYFUNCTION("""COMPUTED_VALUE"""),"B Saya ingin berhasil dengan tugas yang saya lakukan.")</f>
        <v>B Saya ingin berhasil dengan tugas yang saya lakukan.</v>
      </c>
      <c r="AH157" s="105" t="str">
        <f>IFERROR(__xludf.DUMMYFUNCTION("""COMPUTED_VALUE"""),"B Saya ingin merasa bebas untuk melakukan apa yang saya kehendaki.")</f>
        <v>B Saya ingin merasa bebas untuk melakukan apa yang saya kehendaki.</v>
      </c>
      <c r="AI157" s="105" t="str">
        <f>IFERROR(__xludf.DUMMYFUNCTION("""COMPUTED_VALUE"""),"B Saya suka melakukan kegiatan sesuai kondisi yang saya inginkan.")</f>
        <v>B Saya suka melakukan kegiatan sesuai kondisi yang saya inginkan.</v>
      </c>
      <c r="AJ157" s="105" t="str">
        <f>IFERROR(__xludf.DUMMYFUNCTION("""COMPUTED_VALUE"""),"B Saya suka bertahan menghadapi satu masalah meskipun belum tentu berhasil.")</f>
        <v>B Saya suka bertahan menghadapi satu masalah meskipun belum tentu berhasil.</v>
      </c>
      <c r="AK157" s="105" t="str">
        <f>IFERROR(__xludf.DUMMYFUNCTION("""COMPUTED_VALUE"""),"B Bila saya harus melakukan suatu tugas, saya ingin mengerjakan sampai selesai.")</f>
        <v>B Bila saya harus melakukan suatu tugas, saya ingin mengerjakan sampai selesai.</v>
      </c>
      <c r="AL157" s="105" t="str">
        <f>IFERROR(__xludf.DUMMYFUNCTION("""COMPUTED_VALUE"""),"B Saya ingin menghindarkan gangguan bila saya sedang belajar.")</f>
        <v>B Saya ingin menghindarkan gangguan bila saya sedang belajar.</v>
      </c>
      <c r="AM157" s="105" t="str">
        <f>IFERROR(__xludf.DUMMYFUNCTION("""COMPUTED_VALUE"""),"B Saya suka belajar sampai malam untuk menyelesaikan suatu tugas.")</f>
        <v>B Saya suka belajar sampai malam untuk menyelesaikan suatu tugas.</v>
      </c>
      <c r="AN157" s="105" t="str">
        <f>IFERROR(__xludf.DUMMYFUNCTION("""COMPUTED_VALUE"""),"B Saya ingin bekerja berjam-jam tanpa diganggu.")</f>
        <v>B Saya ingin bekerja berjam-jam tanpa diganggu.</v>
      </c>
      <c r="AO157" s="105" t="str">
        <f>IFERROR(__xludf.DUMMYFUNCTION("""COMPUTED_VALUE"""),"B Saya suka menyelesaikan setiap tugas meskipun membutuhkan waktu lama.")</f>
        <v>B Saya suka menyelesaikan setiap tugas meskipun membutuhkan waktu lama.</v>
      </c>
      <c r="AP157" s="105" t="str">
        <f>IFERROR(__xludf.DUMMYFUNCTION("""COMPUTED_VALUE"""),"A Saya ingin mengerjakannya tugas sampai selesai.")</f>
        <v>A Saya ingin mengerjakannya tugas sampai selesai.</v>
      </c>
      <c r="AQ157" s="105" t="str">
        <f>IFERROR(__xludf.DUMMYFUNCTION("""COMPUTED_VALUE"""),"B Bila saya harus melakukan suatu tugas, saya ingin mengerjakan sampai selesai.")</f>
        <v>B Bila saya harus melakukan suatu tugas, saya ingin mengerjakan sampai selesai.</v>
      </c>
      <c r="AR157" s="105" t="str">
        <f>IFERROR(__xludf.DUMMYFUNCTION("""COMPUTED_VALUE"""),"B Saya suka belajar keras pada tiap pelajaran yang saya hadapi.")</f>
        <v>B Saya suka belajar keras pada tiap pelajaran yang saya hadapi.</v>
      </c>
      <c r="AS157" s="105" t="str">
        <f>IFERROR(__xludf.DUMMYFUNCTION("""COMPUTED_VALUE"""),"B Saya suka belajar sampai malam untuk menyelesaikan suatu tugas.")</f>
        <v>B Saya suka belajar sampai malam untuk menyelesaikan suatu tugas.</v>
      </c>
      <c r="AT157" s="105" t="str">
        <f>IFERROR(__xludf.DUMMYFUNCTION("""COMPUTED_VALUE"""),"B Saya suka membantu orang lain yang menurut saya perlu dikasihani.")</f>
        <v>B Saya suka membantu orang lain yang menurut saya perlu dikasihani.</v>
      </c>
      <c r="AU157" s="105" t="str">
        <f>IFERROR(__xludf.DUMMYFUNCTION("""COMPUTED_VALUE"""),"B Saya suka bermurah hati terhadap teman-teman saya.")</f>
        <v>B Saya suka bermurah hati terhadap teman-teman saya.</v>
      </c>
      <c r="AV157" s="105" t="str">
        <f>IFERROR(__xludf.DUMMYFUNCTION("""COMPUTED_VALUE"""),"B Saya suka menolong teman-teman saya.")</f>
        <v>B Saya suka menolong teman-teman saya.</v>
      </c>
      <c r="AW157" s="105" t="str">
        <f>IFERROR(__xludf.DUMMYFUNCTION("""COMPUTED_VALUE"""),"A Saya ingin mengerjakan tugas sampai selesai.")</f>
        <v>A Saya ingin mengerjakan tugas sampai selesai.</v>
      </c>
      <c r="AX157" s="105" t="str">
        <f>IFERROR(__xludf.DUMMYFUNCTION("""COMPUTED_VALUE"""),"B Saya suka memaafkan teman-teman saya yang menyakiti hati saya.")</f>
        <v>B Saya suka memaafkan teman-teman saya yang menyakiti hati saya.</v>
      </c>
      <c r="AY157" s="105" t="str">
        <f>IFERROR(__xludf.DUMMYFUNCTION("""COMPUTED_VALUE"""),"B Saya suka menolong teman-teman saya apabila mereka dalam kesulitan.")</f>
        <v>B Saya suka menolong teman-teman saya apabila mereka dalam kesulitan.</v>
      </c>
      <c r="AZ157" s="105" t="str">
        <f>IFERROR(__xludf.DUMMYFUNCTION("""COMPUTED_VALUE"""),"A Saya ingin agar teman-teman saya bersimpati dan menghibur saya bila saya sedih.")</f>
        <v>A Saya ingin agar teman-teman saya bersimpati dan menghibur saya bila saya sedih.</v>
      </c>
      <c r="BA157" s="105" t="str">
        <f>IFERROR(__xludf.DUMMYFUNCTION("""COMPUTED_VALUE"""),"B Saya suka memperlakukan orang lain dengan baik dan ramah.")</f>
        <v>B Saya suka memperlakukan orang lain dengan baik dan ramah.</v>
      </c>
      <c r="BB157" s="105" t="str">
        <f>IFERROR(__xludf.DUMMYFUNCTION("""COMPUTED_VALUE"""),"B Saya suka bermurah hati terhadap teman-teman saya.")</f>
        <v>B Saya suka bermurah hati terhadap teman-teman saya.</v>
      </c>
      <c r="BC157" s="105" t="str">
        <f>IFERROR(__xludf.DUMMYFUNCTION("""COMPUTED_VALUE"""),"B Saya suka membantu orang lain yang menurut saya perlu dikasihani.")</f>
        <v>B Saya suka membantu orang lain yang menurut saya perlu dikasihani.</v>
      </c>
      <c r="BD157" s="105" t="str">
        <f>IFERROR(__xludf.DUMMYFUNCTION("""COMPUTED_VALUE"""),"B Saya suka bersikukuh dengan pendirian saya.")</f>
        <v>B Saya suka bersikukuh dengan pendirian saya.</v>
      </c>
      <c r="BE157" s="105" t="str">
        <f>IFERROR(__xludf.DUMMYFUNCTION("""COMPUTED_VALUE"""),"B Saya ingin orang lain melakukan apa yang saya kehendaki.")</f>
        <v>B Saya ingin orang lain melakukan apa yang saya kehendaki.</v>
      </c>
      <c r="BF157" s="105" t="str">
        <f>IFERROR(__xludf.DUMMYFUNCTION("""COMPUTED_VALUE"""),"B Bila saya dalam kelompok, saya ingin menentukan apa yang akan kita lakukan.")</f>
        <v>B Bila saya dalam kelompok, saya ingin menentukan apa yang akan kita lakukan.</v>
      </c>
      <c r="BG157" s="105" t="str">
        <f>IFERROR(__xludf.DUMMYFUNCTION("""COMPUTED_VALUE"""),"A Saya ingin teman-teman banyak menunjukkan rasa sayang mereka terhadap saya.")</f>
        <v>A Saya ingin teman-teman banyak menunjukkan rasa sayang mereka terhadap saya.</v>
      </c>
      <c r="BH157" s="105" t="str">
        <f>IFERROR(__xludf.DUMMYFUNCTION("""COMPUTED_VALUE"""),"B Apabila saya berkumpul dalam kelompok, saya ingin dihargai teman-teman.")</f>
        <v>B Apabila saya berkumpul dalam kelompok, saya ingin dihargai teman-teman.</v>
      </c>
      <c r="BI157" s="105" t="str">
        <f>IFERROR(__xludf.DUMMYFUNCTION("""COMPUTED_VALUE"""),"A Saya suka bermurah hati terhadap teman-teman saya.")</f>
        <v>A Saya suka bermurah hati terhadap teman-teman saya.</v>
      </c>
      <c r="BJ157" s="105" t="str">
        <f>IFERROR(__xludf.DUMMYFUNCTION("""COMPUTED_VALUE"""),"A Saya ingin mengerjakan tugas sampai selesai.")</f>
        <v>A Saya ingin mengerjakan tugas sampai selesai.</v>
      </c>
      <c r="BK157" s="105" t="str">
        <f>IFERROR(__xludf.DUMMYFUNCTION("""COMPUTED_VALUE"""),"A Saya ingin menyelesaikan pekerjaan satu persatu sebelum memulai yang lain.")</f>
        <v>A Saya ingin menyelesaikan pekerjaan satu persatu sebelum memulai yang lain.</v>
      </c>
      <c r="BL157" s="105" t="str">
        <f>IFERROR(__xludf.DUMMYFUNCTION("""COMPUTED_VALUE"""),"A Saya suka belajar saya teratur dan ada waktu-waktu tertentu untuk belajar.")</f>
        <v>A Saya suka belajar saya teratur dan ada waktu-waktu tertentu untuk belajar.</v>
      </c>
      <c r="BM157" s="105" t="str">
        <f>IFERROR(__xludf.DUMMYFUNCTION("""COMPUTED_VALUE"""),"A Saya suka melakukan pekerjaan sebaik mungkin.")</f>
        <v>A Saya suka melakukan pekerjaan sebaik mungkin.</v>
      </c>
      <c r="BN157" s="105" t="str">
        <f>IFERROR(__xludf.DUMMYFUNCTION("""COMPUTED_VALUE"""),"A Saya suka mengerjakan teka-teki atau memecahkan persoalan sampai selesai.")</f>
        <v>A Saya suka mengerjakan teka-teki atau memecahkan persoalan sampai selesai.</v>
      </c>
      <c r="BO157" s="105" t="str">
        <f>IFERROR(__xludf.DUMMYFUNCTION("""COMPUTED_VALUE"""),"B Saya ingin diperlakukan dengan baik oleh teman-teman saya.")</f>
        <v>B Saya ingin diperlakukan dengan baik oleh teman-teman saya.</v>
      </c>
      <c r="BP157" s="105" t="str">
        <f>IFERROR(__xludf.DUMMYFUNCTION("""COMPUTED_VALUE"""),"A Saya ingin menyelesaikan sesuatu yang sangat penting artinya.")</f>
        <v>A Saya ingin menyelesaikan sesuatu yang sangat penting artinya.</v>
      </c>
      <c r="BQ157" s="105" t="str">
        <f>IFERROR(__xludf.DUMMYFUNCTION("""COMPUTED_VALUE"""),"A Saya ingin mengerjakannya tugas sampai selesai.")</f>
        <v>A Saya ingin mengerjakannya tugas sampai selesai.</v>
      </c>
      <c r="BR157" s="105" t="str">
        <f>IFERROR(__xludf.DUMMYFUNCTION("""COMPUTED_VALUE"""),"A Saya suka memaafkan teman-teman saya yang menyakiti hati saya.")</f>
        <v>A Saya suka memaafkan teman-teman saya yang menyakiti hati saya.</v>
      </c>
      <c r="BS157" s="105" t="str">
        <f>IFERROR(__xludf.DUMMYFUNCTION("""COMPUTED_VALUE"""),"B Saya ingin teman-teman saya membantu saya bila saya mengalami kesulitan")</f>
        <v>B Saya ingin teman-teman saya membantu saya bila saya mengalami kesulitan</v>
      </c>
      <c r="BT157" s="105" t="str">
        <f>IFERROR(__xludf.DUMMYFUNCTION("""COMPUTED_VALUE"""),"B Saya ingin teman-teman banyak menunjukkan rasa sayang mereka terhadap saya.")</f>
        <v>B Saya ingin teman-teman banyak menunjukkan rasa sayang mereka terhadap saya.</v>
      </c>
      <c r="BU157" s="105" t="str">
        <f>IFERROR(__xludf.DUMMYFUNCTION("""COMPUTED_VALUE"""),"B Saya ingin agar teman-teman saya merasa kasihan pada saya apabila saya sakit.")</f>
        <v>B Saya ingin agar teman-teman saya merasa kasihan pada saya apabila saya sakit.</v>
      </c>
      <c r="BV157" s="105" t="str">
        <f>IFERROR(__xludf.DUMMYFUNCTION("""COMPUTED_VALUE"""),"B Saya ingin teman-teman dengan gembira memberikan pertolongan kepada saya.")</f>
        <v>B Saya ingin teman-teman dengan gembira memberikan pertolongan kepada saya.</v>
      </c>
      <c r="BW157" s="105" t="str">
        <f>IFERROR(__xludf.DUMMYFUNCTION("""COMPUTED_VALUE"""),"B Saya ingin diperlakukan dengan baik oleh teman-teman saya.")</f>
        <v>B Saya ingin diperlakukan dengan baik oleh teman-teman saya.</v>
      </c>
      <c r="BX157" s="105" t="str">
        <f>IFERROR(__xludf.DUMMYFUNCTION("""COMPUTED_VALUE"""),"B Saya kadang-kadang suka melakukan hal-hal yang dapat dipuji oleh orang lain.")</f>
        <v>B Saya kadang-kadang suka melakukan hal-hal yang dapat dipuji oleh orang lain.</v>
      </c>
      <c r="BY157" s="105" t="str">
        <f>IFERROR(__xludf.DUMMYFUNCTION("""COMPUTED_VALUE"""),"A Saya suka melamun atau membayangkan hal-hal yang tidak jelas.")</f>
        <v>A Saya suka melamun atau membayangkan hal-hal yang tidak jelas.</v>
      </c>
      <c r="BZ157" s="105" t="str">
        <f>IFERROR(__xludf.DUMMYFUNCTION("""COMPUTED_VALUE"""),"B Saya suka diperhatikan, apabila saya ada di dalam suatu kelompok.")</f>
        <v>B Saya suka diperhatikan, apabila saya ada di dalam suatu kelompok.</v>
      </c>
      <c r="CA157" s="105" t="str">
        <f>IFERROR(__xludf.DUMMYFUNCTION("""COMPUTED_VALUE"""),"A Saya ingin teman-teman dengan gembira memberikan pertolongan kepada saya.")</f>
        <v>A Saya ingin teman-teman dengan gembira memberikan pertolongan kepada saya.</v>
      </c>
      <c r="CB157" s="105" t="str">
        <f>IFERROR(__xludf.DUMMYFUNCTION("""COMPUTED_VALUE"""),"B Saya suka berbicara tentang hal-hal yang telah saya capai.")</f>
        <v>B Saya suka berbicara tentang hal-hal yang telah saya capai.</v>
      </c>
      <c r="CC157" s="105" t="str">
        <f>IFERROR(__xludf.DUMMYFUNCTION("""COMPUTED_VALUE"""),"A Apabila saya berkumpul dalam kelompok, saya ingin dihargai teman-teman.")</f>
        <v>A Apabila saya berkumpul dalam kelompok, saya ingin dihargai teman-teman.</v>
      </c>
      <c r="CD157" s="105" t="str">
        <f>IFERROR(__xludf.DUMMYFUNCTION("""COMPUTED_VALUE"""),"A Saya suka menyelesaikan setiap tugas meskipun membutuhkan waktu lama.")</f>
        <v>A Saya suka menyelesaikan setiap tugas meskipun membutuhkan waktu lama.</v>
      </c>
      <c r="CE157" s="105" t="str">
        <f>IFERROR(__xludf.DUMMYFUNCTION("""COMPUTED_VALUE"""),"A Saya suka menyelesaikan setiap tugas belajar yang telah saya mulai.")</f>
        <v>A Saya suka menyelesaikan setiap tugas belajar yang telah saya mulai.</v>
      </c>
      <c r="CF157" s="105" t="str">
        <f>IFERROR(__xludf.DUMMYFUNCTION("""COMPUTED_VALUE"""),"A Saya ingin agar hidup saya teratur sesuai cita-cita saya.")</f>
        <v>A Saya ingin agar hidup saya teratur sesuai cita-cita saya.</v>
      </c>
      <c r="CG157" s="105" t="str">
        <f>IFERROR(__xludf.DUMMYFUNCTION("""COMPUTED_VALUE"""),"B Saya suka berbicara tentang hal-hal yang telah saya capai.")</f>
        <v>B Saya suka berbicara tentang hal-hal yang telah saya capai.</v>
      </c>
      <c r="CH157" s="105" t="str">
        <f>IFERROR(__xludf.DUMMYFUNCTION("""COMPUTED_VALUE"""),"A Saya ingin bisa melakukan dengan baik sesuatu pekerjaan sulit.")</f>
        <v>A Saya ingin bisa melakukan dengan baik sesuatu pekerjaan sulit.</v>
      </c>
      <c r="CI157" s="105" t="str">
        <f>IFERROR(__xludf.DUMMYFUNCTION("""COMPUTED_VALUE"""),"A Saya suka belajar saya teratur dan ada waktu-waktu tertentu untuk belajar.")</f>
        <v>A Saya suka belajar saya teratur dan ada waktu-waktu tertentu untuk belajar.</v>
      </c>
      <c r="CJ157" s="105" t="str">
        <f>IFERROR(__xludf.DUMMYFUNCTION("""COMPUTED_VALUE"""),"A Saya ingin tidak tergantung dari orang lain terhadap apa yang akan saya lakukan.")</f>
        <v>A Saya ingin tidak tergantung dari orang lain terhadap apa yang akan saya lakukan.</v>
      </c>
      <c r="CK157" s="105" t="str">
        <f>IFERROR(__xludf.DUMMYFUNCTION("""COMPUTED_VALUE"""),"B Saya senang ikut beraktivitas bersama teman sebaya saya.")</f>
        <v>B Saya senang ikut beraktivitas bersama teman sebaya saya.</v>
      </c>
      <c r="CL157" s="105" t="str">
        <f>IFERROR(__xludf.DUMMYFUNCTION("""COMPUTED_VALUE"""),"A Saya suka menolong teman-teman saya, apabila mereka dalam kesulitan.")</f>
        <v>A Saya suka menolong teman-teman saya, apabila mereka dalam kesulitan.</v>
      </c>
      <c r="CM157" s="105" t="str">
        <f>IFERROR(__xludf.DUMMYFUNCTION("""COMPUTED_VALUE"""),"A Saya ingin ditunjuk atau dipilih sebagai ketua dalam suatu kelompok.")</f>
        <v>A Saya ingin ditunjuk atau dipilih sebagai ketua dalam suatu kelompok.</v>
      </c>
      <c r="CN157" s="105" t="str">
        <f>IFERROR(__xludf.DUMMYFUNCTION("""COMPUTED_VALUE"""),"A Saya ingin diperlakukan dengan baik oleh teman-teman saya.")</f>
        <v>A Saya ingin diperlakukan dengan baik oleh teman-teman saya.</v>
      </c>
      <c r="CO157" s="105" t="str">
        <f>IFERROR(__xludf.DUMMYFUNCTION("""COMPUTED_VALUE"""),"A Saya suka menceritakan hal-hal lucu agar diperhatikan oleh orang lain.")</f>
        <v>A Saya suka menceritakan hal-hal lucu agar diperhatikan oleh orang lain.</v>
      </c>
      <c r="CP157" s="105" t="str">
        <f>IFERROR(__xludf.DUMMYFUNCTION("""COMPUTED_VALUE"""),"A Saya suka melamun atau membayangkan sesuatu sendirian.")</f>
        <v>A Saya suka melamun atau membayangkan sesuatu sendirian.</v>
      </c>
      <c r="CQ157" s="105" t="str">
        <f>IFERROR(__xludf.DUMMYFUNCTION("""COMPUTED_VALUE"""),"B Saya merasa kagum pada seseorang.")</f>
        <v>B Saya merasa kagum pada seseorang.</v>
      </c>
      <c r="CR157" s="105" t="str">
        <f>IFERROR(__xludf.DUMMYFUNCTION("""COMPUTED_VALUE"""),"B Saya rasanya ingin mengecam seseorang bila orang itu menjengkelkan.")</f>
        <v>B Saya rasanya ingin mengecam seseorang bila orang itu menjengkelkan.</v>
      </c>
      <c r="CS157" s="105" t="str">
        <f>IFERROR(__xludf.DUMMYFUNCTION("""COMPUTED_VALUE"""),"A Saya ingin terlihat menarik di depan teman-teman saya.")</f>
        <v>A Saya ingin terlihat menarik di depan teman-teman saya.</v>
      </c>
      <c r="CT157" s="105" t="str">
        <f>IFERROR(__xludf.DUMMYFUNCTION("""COMPUTED_VALUE"""),"A Saya ingin orang-orang memperhatikan komentar mengenai penampilan saya.")</f>
        <v>A Saya ingin orang-orang memperhatikan komentar mengenai penampilan saya.</v>
      </c>
      <c r="CU157" s="105" t="str">
        <f>IFERROR(__xludf.DUMMYFUNCTION("""COMPUTED_VALUE"""),"A Saya ingin diperlakukan dengan ramah oleh teman-teman saya.")</f>
        <v>A Saya ingin diperlakukan dengan ramah oleh teman-teman saya.</v>
      </c>
      <c r="CV157" s="105" t="str">
        <f>IFERROR(__xludf.DUMMYFUNCTION("""COMPUTED_VALUE"""),"A Saya ingin ditunjuk atau dipilih sebagai ketua dalam suatu kelompok.")</f>
        <v>A Saya ingin ditunjuk atau dipilih sebagai ketua dalam suatu kelompok.</v>
      </c>
      <c r="CW157" s="105" t="str">
        <f>IFERROR(__xludf.DUMMYFUNCTION("""COMPUTED_VALUE"""),"A Saya suka menolong teman-teman saya, apabila mereka dalam kesulitan.")</f>
        <v>A Saya suka menolong teman-teman saya, apabila mereka dalam kesulitan.</v>
      </c>
      <c r="CX157" s="105" t="str">
        <f>IFERROR(__xludf.DUMMYFUNCTION("""COMPUTED_VALUE"""),"A Saya suka belajar sampai malam untuk menyelesaikan suatu tugas.")</f>
        <v>A Saya suka belajar sampai malam untuk menyelesaikan suatu tugas.</v>
      </c>
      <c r="CY157" s="105" t="str">
        <f>IFERROR(__xludf.DUMMYFUNCTION("""COMPUTED_VALUE"""),"A Saya ingin tidak tergantung dari orang lain terhadap apa yang akan saya lakukan.")</f>
        <v>A Saya ingin tidak tergantung dari orang lain terhadap apa yang akan saya lakukan.</v>
      </c>
      <c r="CZ157" s="105" t="str">
        <f>IFERROR(__xludf.DUMMYFUNCTION("""COMPUTED_VALUE"""),"A Saya suka merencanakan dan mengatur setiap pekerjaan yang harus saya lakukan.")</f>
        <v>A Saya suka merencanakan dan mengatur setiap pekerjaan yang harus saya lakukan.</v>
      </c>
      <c r="DA157" s="105" t="str">
        <f>IFERROR(__xludf.DUMMYFUNCTION("""COMPUTED_VALUE"""),"A Saya ingin melakukan apa saja sebaik mungkin.")</f>
        <v>A Saya ingin melakukan apa saja sebaik mungkin.</v>
      </c>
      <c r="DB157" s="89" t="s">
        <v>23</v>
      </c>
      <c r="DC157" s="97" t="str">
        <f t="shared" ref="DC157:GX157" si="202">LEFT(F157,1)</f>
        <v>B</v>
      </c>
      <c r="DD157" s="97" t="str">
        <f t="shared" si="202"/>
        <v>A</v>
      </c>
      <c r="DE157" s="97" t="str">
        <f t="shared" si="202"/>
        <v>A</v>
      </c>
      <c r="DF157" s="97" t="str">
        <f t="shared" si="202"/>
        <v>B</v>
      </c>
      <c r="DG157" s="97" t="str">
        <f t="shared" si="202"/>
        <v>A</v>
      </c>
      <c r="DH157" s="97" t="str">
        <f t="shared" si="202"/>
        <v>B</v>
      </c>
      <c r="DI157" s="97" t="str">
        <f t="shared" si="202"/>
        <v>B</v>
      </c>
      <c r="DJ157" s="97" t="str">
        <f t="shared" si="202"/>
        <v>B</v>
      </c>
      <c r="DK157" s="97" t="str">
        <f t="shared" si="202"/>
        <v>A</v>
      </c>
      <c r="DL157" s="97" t="str">
        <f t="shared" si="202"/>
        <v>B</v>
      </c>
      <c r="DM157" s="97" t="str">
        <f t="shared" si="202"/>
        <v>B</v>
      </c>
      <c r="DN157" s="97" t="str">
        <f t="shared" si="202"/>
        <v>B</v>
      </c>
      <c r="DO157" s="97" t="str">
        <f t="shared" si="202"/>
        <v>B</v>
      </c>
      <c r="DP157" s="97" t="str">
        <f t="shared" si="202"/>
        <v>B</v>
      </c>
      <c r="DQ157" s="97" t="str">
        <f t="shared" si="202"/>
        <v>B</v>
      </c>
      <c r="DR157" s="97" t="str">
        <f t="shared" si="202"/>
        <v>A</v>
      </c>
      <c r="DS157" s="97" t="str">
        <f t="shared" si="202"/>
        <v>B</v>
      </c>
      <c r="DT157" s="97" t="str">
        <f t="shared" si="202"/>
        <v>B</v>
      </c>
      <c r="DU157" s="97" t="str">
        <f t="shared" si="202"/>
        <v>B</v>
      </c>
      <c r="DV157" s="97" t="str">
        <f t="shared" si="202"/>
        <v>B</v>
      </c>
      <c r="DW157" s="97" t="str">
        <f t="shared" si="202"/>
        <v>A</v>
      </c>
      <c r="DX157" s="97" t="str">
        <f t="shared" si="202"/>
        <v>A</v>
      </c>
      <c r="DY157" s="97" t="str">
        <f t="shared" si="202"/>
        <v>B</v>
      </c>
      <c r="DZ157" s="97" t="str">
        <f t="shared" si="202"/>
        <v>A</v>
      </c>
      <c r="EA157" s="97" t="str">
        <f t="shared" si="202"/>
        <v>A</v>
      </c>
      <c r="EB157" s="97" t="str">
        <f t="shared" si="202"/>
        <v>A</v>
      </c>
      <c r="EC157" s="97" t="str">
        <f t="shared" si="202"/>
        <v>A</v>
      </c>
      <c r="ED157" s="97" t="str">
        <f t="shared" si="202"/>
        <v>B</v>
      </c>
      <c r="EE157" s="97" t="str">
        <f t="shared" si="202"/>
        <v>B</v>
      </c>
      <c r="EF157" s="97" t="str">
        <f t="shared" si="202"/>
        <v>B</v>
      </c>
      <c r="EG157" s="97" t="str">
        <f t="shared" si="202"/>
        <v>B</v>
      </c>
      <c r="EH157" s="97" t="str">
        <f t="shared" si="202"/>
        <v>B</v>
      </c>
      <c r="EI157" s="97" t="str">
        <f t="shared" si="202"/>
        <v>B</v>
      </c>
      <c r="EJ157" s="97" t="str">
        <f t="shared" si="202"/>
        <v>B</v>
      </c>
      <c r="EK157" s="97" t="str">
        <f t="shared" si="202"/>
        <v>B</v>
      </c>
      <c r="EL157" s="97" t="str">
        <f t="shared" si="202"/>
        <v>B</v>
      </c>
      <c r="EM157" s="97" t="str">
        <f t="shared" si="202"/>
        <v>A</v>
      </c>
      <c r="EN157" s="97" t="str">
        <f t="shared" si="202"/>
        <v>B</v>
      </c>
      <c r="EO157" s="97" t="str">
        <f t="shared" si="202"/>
        <v>B</v>
      </c>
      <c r="EP157" s="97" t="str">
        <f t="shared" si="202"/>
        <v>B</v>
      </c>
      <c r="EQ157" s="97" t="str">
        <f t="shared" si="202"/>
        <v>B</v>
      </c>
      <c r="ER157" s="97" t="str">
        <f t="shared" si="202"/>
        <v>B</v>
      </c>
      <c r="ES157" s="97" t="str">
        <f t="shared" si="202"/>
        <v>B</v>
      </c>
      <c r="ET157" s="97" t="str">
        <f t="shared" si="202"/>
        <v>A</v>
      </c>
      <c r="EU157" s="97" t="str">
        <f t="shared" si="202"/>
        <v>B</v>
      </c>
      <c r="EV157" s="97" t="str">
        <f t="shared" si="202"/>
        <v>B</v>
      </c>
      <c r="EW157" s="97" t="str">
        <f t="shared" si="202"/>
        <v>A</v>
      </c>
      <c r="EX157" s="97" t="str">
        <f t="shared" si="202"/>
        <v>B</v>
      </c>
      <c r="EY157" s="97" t="str">
        <f t="shared" si="202"/>
        <v>B</v>
      </c>
      <c r="EZ157" s="97" t="str">
        <f t="shared" si="202"/>
        <v>B</v>
      </c>
      <c r="FA157" s="97" t="str">
        <f t="shared" si="202"/>
        <v>B</v>
      </c>
      <c r="FB157" s="97" t="str">
        <f t="shared" si="202"/>
        <v>B</v>
      </c>
      <c r="FC157" s="97" t="str">
        <f t="shared" si="202"/>
        <v>B</v>
      </c>
      <c r="FD157" s="97" t="str">
        <f t="shared" si="202"/>
        <v>A</v>
      </c>
      <c r="FE157" s="97" t="str">
        <f t="shared" si="202"/>
        <v>B</v>
      </c>
      <c r="FF157" s="97" t="str">
        <f t="shared" si="202"/>
        <v>A</v>
      </c>
      <c r="FG157" s="97" t="str">
        <f t="shared" si="202"/>
        <v>A</v>
      </c>
      <c r="FH157" s="97" t="str">
        <f t="shared" si="202"/>
        <v>A</v>
      </c>
      <c r="FI157" s="97" t="str">
        <f t="shared" si="202"/>
        <v>A</v>
      </c>
      <c r="FJ157" s="97" t="str">
        <f t="shared" si="202"/>
        <v>A</v>
      </c>
      <c r="FK157" s="97" t="str">
        <f t="shared" si="202"/>
        <v>A</v>
      </c>
      <c r="FL157" s="97" t="str">
        <f t="shared" si="202"/>
        <v>B</v>
      </c>
      <c r="FM157" s="97" t="str">
        <f t="shared" si="202"/>
        <v>A</v>
      </c>
      <c r="FN157" s="97" t="str">
        <f t="shared" si="202"/>
        <v>A</v>
      </c>
      <c r="FO157" s="97" t="str">
        <f t="shared" si="202"/>
        <v>A</v>
      </c>
      <c r="FP157" s="97" t="str">
        <f t="shared" si="202"/>
        <v>B</v>
      </c>
      <c r="FQ157" s="97" t="str">
        <f t="shared" si="202"/>
        <v>B</v>
      </c>
      <c r="FR157" s="97" t="str">
        <f t="shared" si="202"/>
        <v>B</v>
      </c>
      <c r="FS157" s="97" t="str">
        <f t="shared" si="202"/>
        <v>B</v>
      </c>
      <c r="FT157" s="97" t="str">
        <f t="shared" si="202"/>
        <v>B</v>
      </c>
      <c r="FU157" s="97" t="str">
        <f t="shared" si="202"/>
        <v>B</v>
      </c>
      <c r="FV157" s="97" t="str">
        <f t="shared" si="202"/>
        <v>A</v>
      </c>
      <c r="FW157" s="97" t="str">
        <f t="shared" si="202"/>
        <v>B</v>
      </c>
      <c r="FX157" s="97" t="str">
        <f t="shared" si="202"/>
        <v>A</v>
      </c>
      <c r="FY157" s="97" t="str">
        <f t="shared" si="202"/>
        <v>B</v>
      </c>
      <c r="FZ157" s="97" t="str">
        <f t="shared" si="202"/>
        <v>A</v>
      </c>
      <c r="GA157" s="97" t="str">
        <f t="shared" si="202"/>
        <v>A</v>
      </c>
      <c r="GB157" s="97" t="str">
        <f t="shared" si="202"/>
        <v>A</v>
      </c>
      <c r="GC157" s="97" t="str">
        <f t="shared" si="202"/>
        <v>A</v>
      </c>
      <c r="GD157" s="97" t="str">
        <f t="shared" si="202"/>
        <v>B</v>
      </c>
      <c r="GE157" s="97" t="str">
        <f t="shared" si="202"/>
        <v>A</v>
      </c>
      <c r="GF157" s="97" t="str">
        <f t="shared" si="202"/>
        <v>A</v>
      </c>
      <c r="GG157" s="97" t="str">
        <f t="shared" si="202"/>
        <v>A</v>
      </c>
      <c r="GH157" s="97" t="str">
        <f t="shared" si="202"/>
        <v>B</v>
      </c>
      <c r="GI157" s="97" t="str">
        <f t="shared" si="202"/>
        <v>A</v>
      </c>
      <c r="GJ157" s="97" t="str">
        <f t="shared" si="202"/>
        <v>A</v>
      </c>
      <c r="GK157" s="97" t="str">
        <f t="shared" si="202"/>
        <v>A</v>
      </c>
      <c r="GL157" s="97" t="str">
        <f t="shared" si="202"/>
        <v>A</v>
      </c>
      <c r="GM157" s="97" t="str">
        <f t="shared" si="202"/>
        <v>A</v>
      </c>
      <c r="GN157" s="97" t="str">
        <f t="shared" si="202"/>
        <v>B</v>
      </c>
      <c r="GO157" s="97" t="str">
        <f t="shared" si="202"/>
        <v>B</v>
      </c>
      <c r="GP157" s="97" t="str">
        <f t="shared" si="202"/>
        <v>A</v>
      </c>
      <c r="GQ157" s="97" t="str">
        <f t="shared" si="202"/>
        <v>A</v>
      </c>
      <c r="GR157" s="97" t="str">
        <f t="shared" si="202"/>
        <v>A</v>
      </c>
      <c r="GS157" s="97" t="str">
        <f t="shared" si="202"/>
        <v>A</v>
      </c>
      <c r="GT157" s="97" t="str">
        <f t="shared" si="202"/>
        <v>A</v>
      </c>
      <c r="GU157" s="97" t="str">
        <f t="shared" si="202"/>
        <v>A</v>
      </c>
      <c r="GV157" s="97" t="str">
        <f t="shared" si="202"/>
        <v>A</v>
      </c>
      <c r="GW157" s="97" t="str">
        <f t="shared" si="202"/>
        <v>A</v>
      </c>
      <c r="GX157" s="97" t="str">
        <f t="shared" si="202"/>
        <v>A</v>
      </c>
      <c r="GY157" s="98"/>
      <c r="GZ157" s="97">
        <f t="shared" si="3"/>
        <v>47</v>
      </c>
      <c r="HA157" s="97">
        <f t="shared" si="4"/>
        <v>53</v>
      </c>
      <c r="HB157" s="90">
        <f t="shared" si="5"/>
        <v>100</v>
      </c>
      <c r="HC157" s="99"/>
      <c r="HD157" s="97">
        <f t="shared" si="6"/>
        <v>5</v>
      </c>
      <c r="HE157" s="97">
        <f t="shared" si="7"/>
        <v>5</v>
      </c>
      <c r="HF157" s="90">
        <f t="shared" si="8"/>
        <v>10</v>
      </c>
      <c r="HG157" s="99"/>
      <c r="HH157" s="97">
        <f t="shared" si="9"/>
        <v>6</v>
      </c>
      <c r="HI157" s="97">
        <f t="shared" si="10"/>
        <v>9</v>
      </c>
      <c r="HJ157" s="90">
        <f t="shared" si="11"/>
        <v>15</v>
      </c>
      <c r="HK157" s="99"/>
      <c r="HL157" s="97">
        <f t="shared" si="12"/>
        <v>6</v>
      </c>
      <c r="HM157" s="97">
        <f t="shared" si="13"/>
        <v>4</v>
      </c>
      <c r="HN157" s="90">
        <f t="shared" si="14"/>
        <v>10</v>
      </c>
      <c r="HO157" s="99"/>
      <c r="HP157" s="97">
        <f t="shared" si="15"/>
        <v>6</v>
      </c>
      <c r="HQ157" s="97">
        <f t="shared" si="16"/>
        <v>9</v>
      </c>
      <c r="HR157" s="90">
        <f t="shared" si="17"/>
        <v>15</v>
      </c>
      <c r="HS157" s="99"/>
      <c r="HT157" s="97">
        <f t="shared" si="18"/>
        <v>8</v>
      </c>
      <c r="HU157" s="97">
        <f t="shared" si="19"/>
        <v>8</v>
      </c>
      <c r="HV157" s="90">
        <f t="shared" si="20"/>
        <v>16</v>
      </c>
      <c r="HW157" s="99"/>
      <c r="HX157" s="97">
        <f t="shared" si="21"/>
        <v>3</v>
      </c>
      <c r="HY157" s="97">
        <f t="shared" si="22"/>
        <v>4</v>
      </c>
      <c r="HZ157" s="90">
        <f t="shared" si="23"/>
        <v>7</v>
      </c>
      <c r="IA157" s="99"/>
      <c r="IB157" s="97">
        <f t="shared" si="24"/>
        <v>6</v>
      </c>
      <c r="IC157" s="97">
        <f t="shared" si="25"/>
        <v>6</v>
      </c>
      <c r="ID157" s="90">
        <f t="shared" si="26"/>
        <v>12</v>
      </c>
      <c r="IE157" s="99"/>
      <c r="IF157" s="97">
        <f t="shared" si="27"/>
        <v>2</v>
      </c>
      <c r="IG157" s="97">
        <f t="shared" si="28"/>
        <v>4</v>
      </c>
      <c r="IH157" s="90">
        <f t="shared" si="29"/>
        <v>6</v>
      </c>
      <c r="II157" s="99"/>
      <c r="IJ157" s="97">
        <f t="shared" si="30"/>
        <v>3</v>
      </c>
      <c r="IK157" s="97">
        <f t="shared" si="31"/>
        <v>2</v>
      </c>
      <c r="IL157" s="90">
        <f t="shared" si="32"/>
        <v>5</v>
      </c>
      <c r="IM157" s="99"/>
      <c r="IN157" s="97">
        <f t="shared" si="33"/>
        <v>0</v>
      </c>
      <c r="IO157" s="97">
        <f t="shared" si="34"/>
        <v>1</v>
      </c>
      <c r="IP157" s="90">
        <f t="shared" si="35"/>
        <v>1</v>
      </c>
      <c r="IS157" s="100">
        <f t="shared" si="36"/>
        <v>10</v>
      </c>
      <c r="IT157" s="100">
        <f t="shared" si="37"/>
        <v>15</v>
      </c>
      <c r="IU157" s="100">
        <f t="shared" si="38"/>
        <v>10</v>
      </c>
      <c r="IV157" s="100">
        <f t="shared" si="39"/>
        <v>15</v>
      </c>
      <c r="IW157" s="100">
        <f t="shared" si="40"/>
        <v>16</v>
      </c>
      <c r="IX157" s="100">
        <f t="shared" si="41"/>
        <v>7</v>
      </c>
      <c r="IY157" s="100">
        <f t="shared" si="42"/>
        <v>12</v>
      </c>
      <c r="IZ157" s="100">
        <f t="shared" si="43"/>
        <v>6</v>
      </c>
      <c r="JA157" s="100">
        <f t="shared" si="44"/>
        <v>5</v>
      </c>
      <c r="JB157" s="101">
        <f t="shared" si="45"/>
        <v>1</v>
      </c>
      <c r="JC157" s="102">
        <f t="shared" si="46"/>
        <v>97</v>
      </c>
      <c r="JD157" s="67">
        <f t="shared" si="50"/>
        <v>0</v>
      </c>
      <c r="JE157" s="67">
        <f t="shared" si="47"/>
        <v>1</v>
      </c>
      <c r="JF157" s="67">
        <f t="shared" si="48"/>
        <v>1</v>
      </c>
    </row>
    <row r="158">
      <c r="A158" s="104">
        <f>IFERROR(__xludf.DUMMYFUNCTION("""COMPUTED_VALUE"""),46026.47613921296)</f>
        <v>46026.47614</v>
      </c>
      <c r="B158" s="105" t="str">
        <f>IFERROR(__xludf.DUMMYFUNCTION("""COMPUTED_VALUE"""),"Muhammad Azka Rizky Ramadhan ")</f>
        <v>Muhammad Azka Rizky Ramadhan </v>
      </c>
      <c r="C158" s="7" t="str">
        <f>IFERROR(__xludf.DUMMYFUNCTION("""COMPUTED_VALUE"""),"C260001")</f>
        <v>C260001</v>
      </c>
      <c r="D158" s="7" t="str">
        <f>IFERROR(__xludf.DUMMYFUNCTION("""COMPUTED_VALUE"""),"SMA")</f>
        <v>SMA</v>
      </c>
      <c r="E158" s="7" t="str">
        <f>IFERROR(__xludf.DUMMYFUNCTION("""COMPUTED_VALUE"""),"Ya")</f>
        <v>Ya</v>
      </c>
      <c r="F158" s="105" t="str">
        <f>IFERROR(__xludf.DUMMYFUNCTION("""COMPUTED_VALUE"""),"B Saya ingin melakukan apa saja sebaik mungkin.")</f>
        <v>B Saya ingin melakukan apa saja sebaik mungkin.</v>
      </c>
      <c r="G158" s="105" t="str">
        <f>IFERROR(__xludf.DUMMYFUNCTION("""COMPUTED_VALUE"""),"A Saya ingin setiap tulisan saya teliti, rapi, dan tersusun dengan baik.")</f>
        <v>A Saya ingin setiap tulisan saya teliti, rapi, dan tersusun dengan baik.</v>
      </c>
      <c r="H158" s="105" t="str">
        <f>IFERROR(__xludf.DUMMYFUNCTION("""COMPUTED_VALUE"""),"A Saya ingin berbuat sesuai kata hati saya.")</f>
        <v>A Saya ingin berbuat sesuai kata hati saya.</v>
      </c>
      <c r="I158" s="105" t="str">
        <f>IFERROR(__xludf.DUMMYFUNCTION("""COMPUTED_VALUE"""),"B Saya ingin bisa melakukan dengan baik meskipun tugas yang sulit.")</f>
        <v>B Saya ingin bisa melakukan dengan baik meskipun tugas yang sulit.</v>
      </c>
      <c r="J158" s="105" t="str">
        <f>IFERROR(__xludf.DUMMYFUNCTION("""COMPUTED_VALUE"""),"A Saya suka membantu teman-teman saya apabila mereka mengalami kesulitan.")</f>
        <v>A Saya suka membantu teman-teman saya apabila mereka mengalami kesulitan.</v>
      </c>
      <c r="K158" s="105" t="str">
        <f>IFERROR(__xludf.DUMMYFUNCTION("""COMPUTED_VALUE"""),"A Saya ingin menjadi pemimpin dalam suatu kelompok.")</f>
        <v>A Saya ingin menjadi pemimpin dalam suatu kelompok.</v>
      </c>
      <c r="L158" s="105" t="str">
        <f>IFERROR(__xludf.DUMMYFUNCTION("""COMPUTED_VALUE"""),"A Saya ingin menjadi pemimpin dalam suatu kelompok")</f>
        <v>A Saya ingin menjadi pemimpin dalam suatu kelompok</v>
      </c>
      <c r="M158" s="105" t="str">
        <f>IFERROR(__xludf.DUMMYFUNCTION("""COMPUTED_VALUE"""),"B Saya ingin mengerjakan segala tugas lebih baik daripada orang lain.")</f>
        <v>B Saya ingin mengerjakan segala tugas lebih baik daripada orang lain.</v>
      </c>
      <c r="N158" s="105" t="str">
        <f>IFERROR(__xludf.DUMMYFUNCTION("""COMPUTED_VALUE"""),"B Saya suka memecahkan persoalan yang sukar bagi orang lain.")</f>
        <v>B Saya suka memecahkan persoalan yang sukar bagi orang lain.</v>
      </c>
      <c r="O158" s="105" t="str">
        <f>IFERROR(__xludf.DUMMYFUNCTION("""COMPUTED_VALUE"""),"B Saya suka melakukan tugas sebaik mungkin.")</f>
        <v>B Saya suka melakukan tugas sebaik mungkin.</v>
      </c>
      <c r="P158" s="105" t="str">
        <f>IFERROR(__xludf.DUMMYFUNCTION("""COMPUTED_VALUE"""),"B Saya ingin setiap belajar itu teratur dan direncanakan.")</f>
        <v>B Saya ingin setiap belajar itu teratur dan direncanakan.</v>
      </c>
      <c r="Q158" s="105" t="str">
        <f>IFERROR(__xludf.DUMMYFUNCTION("""COMPUTED_VALUE"""),"B Saya merencanakan keperluan yang dibutuhkan sebelum bepergian.")</f>
        <v>B Saya merencanakan keperluan yang dibutuhkan sebelum bepergian.</v>
      </c>
      <c r="R158" s="105" t="str">
        <f>IFERROR(__xludf.DUMMYFUNCTION("""COMPUTED_VALUE"""),"B Saya suka barang-barang saya tersusun rapi dan teratur.")</f>
        <v>B Saya suka barang-barang saya tersusun rapi dan teratur.</v>
      </c>
      <c r="S158" s="105" t="str">
        <f>IFERROR(__xludf.DUMMYFUNCTION("""COMPUTED_VALUE"""),"B Saya suka membuat perencanaan sebelum memulai tugas yang sulit.")</f>
        <v>B Saya suka membuat perencanaan sebelum memulai tugas yang sulit.</v>
      </c>
      <c r="T158" s="105" t="str">
        <f>IFERROR(__xludf.DUMMYFUNCTION("""COMPUTED_VALUE"""),"B Saya ingin agar hidup saya teratur sesuai cita-cita saya.")</f>
        <v>B Saya ingin agar hidup saya teratur sesuai cita-cita saya.</v>
      </c>
      <c r="U158" s="105" t="str">
        <f>IFERROR(__xludf.DUMMYFUNCTION("""COMPUTED_VALUE"""),"A Saya suka memberikan bantuan kepada teman-teman saya.")</f>
        <v>A Saya suka memberikan bantuan kepada teman-teman saya.</v>
      </c>
      <c r="V158" s="105" t="str">
        <f>IFERROR(__xludf.DUMMYFUNCTION("""COMPUTED_VALUE"""),"B Saya suka belajar saya teratur dan ada waktu-waktu tertentu untuk belajar.")</f>
        <v>B Saya suka belajar saya teratur dan ada waktu-waktu tertentu untuk belajar.</v>
      </c>
      <c r="W158" s="105" t="str">
        <f>IFERROR(__xludf.DUMMYFUNCTION("""COMPUTED_VALUE"""),"B Saya ingin kegiatan itu teratur dan direncanakan.")</f>
        <v>B Saya ingin kegiatan itu teratur dan direncanakan.</v>
      </c>
      <c r="X158" s="105" t="str">
        <f>IFERROR(__xludf.DUMMYFUNCTION("""COMPUTED_VALUE"""),"A Saya suka merencanakan dan mengatur setiap apa yang harus saya lakukan.")</f>
        <v>A Saya suka merencanakan dan mengatur setiap apa yang harus saya lakukan.</v>
      </c>
      <c r="Y158" s="105" t="str">
        <f>IFERROR(__xludf.DUMMYFUNCTION("""COMPUTED_VALUE"""),"A Saya suka menyelesaikan tugas-tugas yang membutuhkan ketrampilan dan usaha.")</f>
        <v>A Saya suka menyelesaikan tugas-tugas yang membutuhkan ketrampilan dan usaha.</v>
      </c>
      <c r="Z158" s="105" t="str">
        <f>IFERROR(__xludf.DUMMYFUNCTION("""COMPUTED_VALUE"""),"A Saya ingin berhasil dengan belajar yang saya lakukan.")</f>
        <v>A Saya ingin berhasil dengan belajar yang saya lakukan.</v>
      </c>
      <c r="AA158" s="105" t="str">
        <f>IFERROR(__xludf.DUMMYFUNCTION("""COMPUTED_VALUE"""),"A Saya suka menyelesaikan tugas yang telah saya rencanakan.")</f>
        <v>A Saya suka menyelesaikan tugas yang telah saya rencanakan.</v>
      </c>
      <c r="AB158" s="105" t="str">
        <f>IFERROR(__xludf.DUMMYFUNCTION("""COMPUTED_VALUE"""),"B Saya ingin menyelesaikan pekerjaan satu persatu sebelum memulai yang lain.")</f>
        <v>B Saya ingin menyelesaikan pekerjaan satu persatu sebelum memulai yang lain.</v>
      </c>
      <c r="AC158" s="105" t="str">
        <f>IFERROR(__xludf.DUMMYFUNCTION("""COMPUTED_VALUE"""),"A Saya suka menyelesaikan setiap tugas meskipun membutuhkan waktu lama.")</f>
        <v>A Saya suka menyelesaikan setiap tugas meskipun membutuhkan waktu lama.</v>
      </c>
      <c r="AD158" s="105" t="str">
        <f>IFERROR(__xludf.DUMMYFUNCTION("""COMPUTED_VALUE"""),"B Saya suka menyatakan pendapat saya tentang berbagai hal.")</f>
        <v>B Saya suka menyatakan pendapat saya tentang berbagai hal.</v>
      </c>
      <c r="AE158" s="105" t="str">
        <f>IFERROR(__xludf.DUMMYFUNCTION("""COMPUTED_VALUE"""),"B Saya suka melakukan hal-hal yang dianggap orang lain tidak sesuai.")</f>
        <v>B Saya suka melakukan hal-hal yang dianggap orang lain tidak sesuai.</v>
      </c>
      <c r="AF158" s="105" t="str">
        <f>IFERROR(__xludf.DUMMYFUNCTION("""COMPUTED_VALUE"""),"B Saya suka melakukan hal-hal dengan cara saya sendiri.")</f>
        <v>B Saya suka melakukan hal-hal dengan cara saya sendiri.</v>
      </c>
      <c r="AG158" s="105" t="str">
        <f>IFERROR(__xludf.DUMMYFUNCTION("""COMPUTED_VALUE"""),"B Saya ingin berhasil dengan tugas yang saya lakukan.")</f>
        <v>B Saya ingin berhasil dengan tugas yang saya lakukan.</v>
      </c>
      <c r="AH158" s="105" t="str">
        <f>IFERROR(__xludf.DUMMYFUNCTION("""COMPUTED_VALUE"""),"A Saya suka membaca buku-buku tentang pergaulan remaja.")</f>
        <v>A Saya suka membaca buku-buku tentang pergaulan remaja.</v>
      </c>
      <c r="AI158" s="105" t="str">
        <f>IFERROR(__xludf.DUMMYFUNCTION("""COMPUTED_VALUE"""),"B Saya suka melakukan kegiatan sesuai kondisi yang saya inginkan.")</f>
        <v>B Saya suka melakukan kegiatan sesuai kondisi yang saya inginkan.</v>
      </c>
      <c r="AJ158" s="105" t="str">
        <f>IFERROR(__xludf.DUMMYFUNCTION("""COMPUTED_VALUE"""),"B Saya suka bertahan menghadapi satu masalah meskipun belum tentu berhasil.")</f>
        <v>B Saya suka bertahan menghadapi satu masalah meskipun belum tentu berhasil.</v>
      </c>
      <c r="AK158" s="105" t="str">
        <f>IFERROR(__xludf.DUMMYFUNCTION("""COMPUTED_VALUE"""),"B Bila saya harus melakukan suatu tugas, saya ingin mengerjakan sampai selesai.")</f>
        <v>B Bila saya harus melakukan suatu tugas, saya ingin mengerjakan sampai selesai.</v>
      </c>
      <c r="AL158" s="105" t="str">
        <f>IFERROR(__xludf.DUMMYFUNCTION("""COMPUTED_VALUE"""),"B Saya ingin menghindarkan gangguan bila saya sedang belajar.")</f>
        <v>B Saya ingin menghindarkan gangguan bila saya sedang belajar.</v>
      </c>
      <c r="AM158" s="105" t="str">
        <f>IFERROR(__xludf.DUMMYFUNCTION("""COMPUTED_VALUE"""),"B Saya suka belajar sampai malam untuk menyelesaikan suatu tugas.")</f>
        <v>B Saya suka belajar sampai malam untuk menyelesaikan suatu tugas.</v>
      </c>
      <c r="AN158" s="105" t="str">
        <f>IFERROR(__xludf.DUMMYFUNCTION("""COMPUTED_VALUE"""),"A Saya tidak suka pada orang yang semena-mena.")</f>
        <v>A Saya tidak suka pada orang yang semena-mena.</v>
      </c>
      <c r="AO158" s="105" t="str">
        <f>IFERROR(__xludf.DUMMYFUNCTION("""COMPUTED_VALUE"""),"A Saya suka berlaku sangat ramah terhadap teman-teman saya.")</f>
        <v>A Saya suka berlaku sangat ramah terhadap teman-teman saya.</v>
      </c>
      <c r="AP158" s="105" t="str">
        <f>IFERROR(__xludf.DUMMYFUNCTION("""COMPUTED_VALUE"""),"B Saya suka bertahan menghadapi satu masalah meskipun belum tentu berhasil.")</f>
        <v>B Saya suka bertahan menghadapi satu masalah meskipun belum tentu berhasil.</v>
      </c>
      <c r="AQ158" s="105" t="str">
        <f>IFERROR(__xludf.DUMMYFUNCTION("""COMPUTED_VALUE"""),"B Bila saya harus melakukan suatu tugas, saya ingin mengerjakan sampai selesai.")</f>
        <v>B Bila saya harus melakukan suatu tugas, saya ingin mengerjakan sampai selesai.</v>
      </c>
      <c r="AR158" s="105" t="str">
        <f>IFERROR(__xludf.DUMMYFUNCTION("""COMPUTED_VALUE"""),"A Saya suka menyimpan catatan secara rapi.")</f>
        <v>A Saya suka menyimpan catatan secara rapi.</v>
      </c>
      <c r="AS158" s="105" t="str">
        <f>IFERROR(__xludf.DUMMYFUNCTION("""COMPUTED_VALUE"""),"A Saya ingin dapat menyelesaikan persoalan yang dianggap sukar bagi orang lain.")</f>
        <v>A Saya ingin dapat menyelesaikan persoalan yang dianggap sukar bagi orang lain.</v>
      </c>
      <c r="AT158" s="105" t="str">
        <f>IFERROR(__xludf.DUMMYFUNCTION("""COMPUTED_VALUE"""),"A Saya ingin bisa melakukan dengan baik sesuatu pekerjaan sulit.")</f>
        <v>A Saya ingin bisa melakukan dengan baik sesuatu pekerjaan sulit.</v>
      </c>
      <c r="AU158" s="105" t="str">
        <f>IFERROR(__xludf.DUMMYFUNCTION("""COMPUTED_VALUE"""),"B Saya suka bermurah hati terhadap teman-teman saya.")</f>
        <v>B Saya suka bermurah hati terhadap teman-teman saya.</v>
      </c>
      <c r="AV158" s="105" t="str">
        <f>IFERROR(__xludf.DUMMYFUNCTION("""COMPUTED_VALUE"""),"B Saya suka menolong teman-teman saya.")</f>
        <v>B Saya suka menolong teman-teman saya.</v>
      </c>
      <c r="AW158" s="105" t="str">
        <f>IFERROR(__xludf.DUMMYFUNCTION("""COMPUTED_VALUE"""),"A Saya ingin mengerjakan tugas sampai selesai.")</f>
        <v>A Saya ingin mengerjakan tugas sampai selesai.</v>
      </c>
      <c r="AX158" s="105" t="str">
        <f>IFERROR(__xludf.DUMMYFUNCTION("""COMPUTED_VALUE"""),"A Saya suka menolong teman-teman saya apabila mereka dalam kesulitan.")</f>
        <v>A Saya suka menolong teman-teman saya apabila mereka dalam kesulitan.</v>
      </c>
      <c r="AY158" s="105" t="str">
        <f>IFERROR(__xludf.DUMMYFUNCTION("""COMPUTED_VALUE"""),"B Saya suka menolong teman-teman saya apabila mereka dalam kesulitan.")</f>
        <v>B Saya suka menolong teman-teman saya apabila mereka dalam kesulitan.</v>
      </c>
      <c r="AZ158" s="105" t="str">
        <f>IFERROR(__xludf.DUMMYFUNCTION("""COMPUTED_VALUE"""),"B Saya suka menunjukkan simpati saya kepada teman-teman saya.")</f>
        <v>B Saya suka menunjukkan simpati saya kepada teman-teman saya.</v>
      </c>
      <c r="BA158" s="105" t="str">
        <f>IFERROR(__xludf.DUMMYFUNCTION("""COMPUTED_VALUE"""),"A Saya suka menyatakan pendapat saya tentang berbagai hal.")</f>
        <v>A Saya suka menyatakan pendapat saya tentang berbagai hal.</v>
      </c>
      <c r="BB158" s="105" t="str">
        <f>IFERROR(__xludf.DUMMYFUNCTION("""COMPUTED_VALUE"""),"B Saya suka bermurah hati terhadap teman-teman saya.")</f>
        <v>B Saya suka bermurah hati terhadap teman-teman saya.</v>
      </c>
      <c r="BC158" s="105" t="str">
        <f>IFERROR(__xludf.DUMMYFUNCTION("""COMPUTED_VALUE"""),"A Saya rasanya ingin mengecam seseorang bila orang itu menjengkelkan.")</f>
        <v>A Saya rasanya ingin mengecam seseorang bila orang itu menjengkelkan.</v>
      </c>
      <c r="BD158" s="105" t="str">
        <f>IFERROR(__xludf.DUMMYFUNCTION("""COMPUTED_VALUE"""),"B Saya suka bersikukuh dengan pendirian saya.")</f>
        <v>B Saya suka bersikukuh dengan pendirian saya.</v>
      </c>
      <c r="BE158" s="105" t="str">
        <f>IFERROR(__xludf.DUMMYFUNCTION("""COMPUTED_VALUE"""),"B Saya ingin orang lain melakukan apa yang saya kehendaki.")</f>
        <v>B Saya ingin orang lain melakukan apa yang saya kehendaki.</v>
      </c>
      <c r="BF158" s="105" t="str">
        <f>IFERROR(__xludf.DUMMYFUNCTION("""COMPUTED_VALUE"""),"A Saya ingin orang lain memperhatikan dan berkomentar tentang penampilan saya.")</f>
        <v>A Saya ingin orang lain memperhatikan dan berkomentar tentang penampilan saya.</v>
      </c>
      <c r="BG158" s="105" t="str">
        <f>IFERROR(__xludf.DUMMYFUNCTION("""COMPUTED_VALUE"""),"B Saya suka mengarahkan kepada orang lain apa yang harus dilakukan.")</f>
        <v>B Saya suka mengarahkan kepada orang lain apa yang harus dilakukan.</v>
      </c>
      <c r="BH158" s="105" t="str">
        <f>IFERROR(__xludf.DUMMYFUNCTION("""COMPUTED_VALUE"""),"A Saya suka menghindar dari situasi yang tidak saya harapkan.")</f>
        <v>A Saya suka menghindar dari situasi yang tidak saya harapkan.</v>
      </c>
      <c r="BI158" s="105" t="str">
        <f>IFERROR(__xludf.DUMMYFUNCTION("""COMPUTED_VALUE"""),"A Saya suka bermurah hati terhadap teman-teman saya.")</f>
        <v>A Saya suka bermurah hati terhadap teman-teman saya.</v>
      </c>
      <c r="BJ158" s="105" t="str">
        <f>IFERROR(__xludf.DUMMYFUNCTION("""COMPUTED_VALUE"""),"B Saya ingin menjadi pemimpin dalam kelompok di mana saya ada di situ")</f>
        <v>B Saya ingin menjadi pemimpin dalam kelompok di mana saya ada di situ</v>
      </c>
      <c r="BK158" s="105" t="str">
        <f>IFERROR(__xludf.DUMMYFUNCTION("""COMPUTED_VALUE"""),"A Saya ingin menyelesaikan pekerjaan satu persatu sebelum memulai yang lain.")</f>
        <v>A Saya ingin menyelesaikan pekerjaan satu persatu sebelum memulai yang lain.</v>
      </c>
      <c r="BL158" s="105" t="str">
        <f>IFERROR(__xludf.DUMMYFUNCTION("""COMPUTED_VALUE"""),"A Saya suka belajar saya teratur dan ada waktu-waktu tertentu untuk belajar.")</f>
        <v>A Saya suka belajar saya teratur dan ada waktu-waktu tertentu untuk belajar.</v>
      </c>
      <c r="BM158" s="105" t="str">
        <f>IFERROR(__xludf.DUMMYFUNCTION("""COMPUTED_VALUE"""),"A Saya suka melakukan pekerjaan sebaik mungkin.")</f>
        <v>A Saya suka melakukan pekerjaan sebaik mungkin.</v>
      </c>
      <c r="BN158" s="105" t="str">
        <f>IFERROR(__xludf.DUMMYFUNCTION("""COMPUTED_VALUE"""),"A Saya suka mengerjakan teka-teki atau memecahkan persoalan sampai selesai.")</f>
        <v>A Saya suka mengerjakan teka-teki atau memecahkan persoalan sampai selesai.</v>
      </c>
      <c r="BO158" s="105" t="str">
        <f>IFERROR(__xludf.DUMMYFUNCTION("""COMPUTED_VALUE"""),"A Saya suka membuat perencanaan sebelum memulai belajar yang sulit.")</f>
        <v>A Saya suka membuat perencanaan sebelum memulai belajar yang sulit.</v>
      </c>
      <c r="BP158" s="105" t="str">
        <f>IFERROR(__xludf.DUMMYFUNCTION("""COMPUTED_VALUE"""),"A Saya ingin menyelesaikan sesuatu yang sangat penting artinya.")</f>
        <v>A Saya ingin menyelesaikan sesuatu yang sangat penting artinya.</v>
      </c>
      <c r="BQ158" s="105" t="str">
        <f>IFERROR(__xludf.DUMMYFUNCTION("""COMPUTED_VALUE"""),"A Saya ingin mengerjakannya tugas sampai selesai.")</f>
        <v>A Saya ingin mengerjakannya tugas sampai selesai.</v>
      </c>
      <c r="BR158" s="105" t="str">
        <f>IFERROR(__xludf.DUMMYFUNCTION("""COMPUTED_VALUE"""),"B Saya ingin agar teman-teman saya bersimpati dan menghibur saya bila saya sedih.")</f>
        <v>B Saya ingin agar teman-teman saya bersimpati dan menghibur saya bila saya sedih.</v>
      </c>
      <c r="BS158" s="105" t="str">
        <f>IFERROR(__xludf.DUMMYFUNCTION("""COMPUTED_VALUE"""),"B Saya ingin teman-teman saya membantu saya bila saya mengalami kesulitan")</f>
        <v>B Saya ingin teman-teman saya membantu saya bila saya mengalami kesulitan</v>
      </c>
      <c r="BT158" s="105" t="str">
        <f>IFERROR(__xludf.DUMMYFUNCTION("""COMPUTED_VALUE"""),"B Saya ingin teman-teman banyak menunjukkan rasa sayang mereka terhadap saya.")</f>
        <v>B Saya ingin teman-teman banyak menunjukkan rasa sayang mereka terhadap saya.</v>
      </c>
      <c r="BU158" s="105" t="str">
        <f>IFERROR(__xludf.DUMMYFUNCTION("""COMPUTED_VALUE"""),"A Saya kadang-kadang suka melakukan hal-hal yang dapat dipuji oleh orang lain.")</f>
        <v>A Saya kadang-kadang suka melakukan hal-hal yang dapat dipuji oleh orang lain.</v>
      </c>
      <c r="BV158" s="105" t="str">
        <f>IFERROR(__xludf.DUMMYFUNCTION("""COMPUTED_VALUE"""),"B Saya ingin teman-teman dengan gembira memberikan pertolongan kepada saya.")</f>
        <v>B Saya ingin teman-teman dengan gembira memberikan pertolongan kepada saya.</v>
      </c>
      <c r="BW158" s="105" t="str">
        <f>IFERROR(__xludf.DUMMYFUNCTION("""COMPUTED_VALUE"""),"A Saya akan menyerang pendapat yang bertentangan dengan pendirian saya.")</f>
        <v>A Saya akan menyerang pendapat yang bertentangan dengan pendirian saya.</v>
      </c>
      <c r="BX158" s="105" t="str">
        <f>IFERROR(__xludf.DUMMYFUNCTION("""COMPUTED_VALUE"""),"B Saya kadang-kadang suka melakukan hal-hal yang dapat dipuji oleh orang lain.")</f>
        <v>B Saya kadang-kadang suka melakukan hal-hal yang dapat dipuji oleh orang lain.</v>
      </c>
      <c r="BY158" s="105" t="str">
        <f>IFERROR(__xludf.DUMMYFUNCTION("""COMPUTED_VALUE"""),"B Saya ingin orang lain memperhatikan dan berkomentar tentang penampilan saya.")</f>
        <v>B Saya ingin orang lain memperhatikan dan berkomentar tentang penampilan saya.</v>
      </c>
      <c r="BZ158" s="105" t="str">
        <f>IFERROR(__xludf.DUMMYFUNCTION("""COMPUTED_VALUE"""),"B Saya suka diperhatikan, apabila saya ada di dalam suatu kelompok.")</f>
        <v>B Saya suka diperhatikan, apabila saya ada di dalam suatu kelompok.</v>
      </c>
      <c r="CA158" s="105" t="str">
        <f>IFERROR(__xludf.DUMMYFUNCTION("""COMPUTED_VALUE"""),"A Saya ingin teman-teman dengan gembira memberikan pertolongan kepada saya.")</f>
        <v>A Saya ingin teman-teman dengan gembira memberikan pertolongan kepada saya.</v>
      </c>
      <c r="CB158" s="105" t="str">
        <f>IFERROR(__xludf.DUMMYFUNCTION("""COMPUTED_VALUE"""),"B Saya suka berbicara tentang hal-hal yang telah saya capai.")</f>
        <v>B Saya suka berbicara tentang hal-hal yang telah saya capai.</v>
      </c>
      <c r="CC158" s="105" t="str">
        <f>IFERROR(__xludf.DUMMYFUNCTION("""COMPUTED_VALUE"""),"A Apabila saya berkumpul dalam kelompok, saya ingin dihargai teman-teman.")</f>
        <v>A Apabila saya berkumpul dalam kelompok, saya ingin dihargai teman-teman.</v>
      </c>
      <c r="CD158" s="105" t="str">
        <f>IFERROR(__xludf.DUMMYFUNCTION("""COMPUTED_VALUE"""),"A Saya suka menyelesaikan setiap tugas meskipun membutuhkan waktu lama.")</f>
        <v>A Saya suka menyelesaikan setiap tugas meskipun membutuhkan waktu lama.</v>
      </c>
      <c r="CE158" s="105" t="str">
        <f>IFERROR(__xludf.DUMMYFUNCTION("""COMPUTED_VALUE"""),"A Saya suka menyelesaikan setiap tugas belajar yang telah saya mulai.")</f>
        <v>A Saya suka menyelesaikan setiap tugas belajar yang telah saya mulai.</v>
      </c>
      <c r="CF158" s="105" t="str">
        <f>IFERROR(__xludf.DUMMYFUNCTION("""COMPUTED_VALUE"""),"A Saya ingin agar hidup saya teratur sesuai cita-cita saya.")</f>
        <v>A Saya ingin agar hidup saya teratur sesuai cita-cita saya.</v>
      </c>
      <c r="CG158" s="105" t="str">
        <f>IFERROR(__xludf.DUMMYFUNCTION("""COMPUTED_VALUE"""),"A Saya ingin berhasil dalam apa yang saya lakukan.")</f>
        <v>A Saya ingin berhasil dalam apa yang saya lakukan.</v>
      </c>
      <c r="CH158" s="105" t="str">
        <f>IFERROR(__xludf.DUMMYFUNCTION("""COMPUTED_VALUE"""),"A Saya ingin bisa melakukan dengan baik sesuatu pekerjaan sulit.")</f>
        <v>A Saya ingin bisa melakukan dengan baik sesuatu pekerjaan sulit.</v>
      </c>
      <c r="CI158" s="105" t="str">
        <f>IFERROR(__xludf.DUMMYFUNCTION("""COMPUTED_VALUE"""),"A Saya suka belajar saya teratur dan ada waktu-waktu tertentu untuk belajar.")</f>
        <v>A Saya suka belajar saya teratur dan ada waktu-waktu tertentu untuk belajar.</v>
      </c>
      <c r="CJ158" s="105" t="str">
        <f>IFERROR(__xludf.DUMMYFUNCTION("""COMPUTED_VALUE"""),"A Saya ingin tidak tergantung dari orang lain terhadap apa yang akan saya lakukan.")</f>
        <v>A Saya ingin tidak tergantung dari orang lain terhadap apa yang akan saya lakukan.</v>
      </c>
      <c r="CK158" s="105" t="str">
        <f>IFERROR(__xludf.DUMMYFUNCTION("""COMPUTED_VALUE"""),"A Saya suka bertahan menghadapi satu masalah, meskipun belum tentu berhasil.")</f>
        <v>A Saya suka bertahan menghadapi satu masalah, meskipun belum tentu berhasil.</v>
      </c>
      <c r="CL158" s="105" t="str">
        <f>IFERROR(__xludf.DUMMYFUNCTION("""COMPUTED_VALUE"""),"A Saya suka menolong teman-teman saya, apabila mereka dalam kesulitan.")</f>
        <v>A Saya suka menolong teman-teman saya, apabila mereka dalam kesulitan.</v>
      </c>
      <c r="CM158" s="105" t="str">
        <f>IFERROR(__xludf.DUMMYFUNCTION("""COMPUTED_VALUE"""),"A Saya ingin ditunjuk atau dipilih sebagai ketua dalam suatu kelompok.")</f>
        <v>A Saya ingin ditunjuk atau dipilih sebagai ketua dalam suatu kelompok.</v>
      </c>
      <c r="CN158" s="105" t="str">
        <f>IFERROR(__xludf.DUMMYFUNCTION("""COMPUTED_VALUE"""),"A Saya ingin diperlakukan dengan baik oleh teman-teman saya.")</f>
        <v>A Saya ingin diperlakukan dengan baik oleh teman-teman saya.</v>
      </c>
      <c r="CO158" s="105" t="str">
        <f>IFERROR(__xludf.DUMMYFUNCTION("""COMPUTED_VALUE"""),"B Saya suka memuji orang yang saya kagumi.")</f>
        <v>B Saya suka memuji orang yang saya kagumi.</v>
      </c>
      <c r="CP158" s="105" t="str">
        <f>IFERROR(__xludf.DUMMYFUNCTION("""COMPUTED_VALUE"""),"B Saya ingin dianggap menarik oleh orang lain.")</f>
        <v>B Saya ingin dianggap menarik oleh orang lain.</v>
      </c>
      <c r="CQ158" s="105" t="str">
        <f>IFERROR(__xludf.DUMMYFUNCTION("""COMPUTED_VALUE"""),"B Saya merasa kagum pada seseorang.")</f>
        <v>B Saya merasa kagum pada seseorang.</v>
      </c>
      <c r="CR158" s="105" t="str">
        <f>IFERROR(__xludf.DUMMYFUNCTION("""COMPUTED_VALUE"""),"B Saya rasanya ingin mengecam seseorang bila orang itu menjengkelkan.")</f>
        <v>B Saya rasanya ingin mengecam seseorang bila orang itu menjengkelkan.</v>
      </c>
      <c r="CS158" s="105" t="str">
        <f>IFERROR(__xludf.DUMMYFUNCTION("""COMPUTED_VALUE"""),"A Saya ingin terlihat menarik di depan teman-teman saya.")</f>
        <v>A Saya ingin terlihat menarik di depan teman-teman saya.</v>
      </c>
      <c r="CT158" s="105" t="str">
        <f>IFERROR(__xludf.DUMMYFUNCTION("""COMPUTED_VALUE"""),"A Saya ingin orang-orang memperhatikan komentar mengenai penampilan saya.")</f>
        <v>A Saya ingin orang-orang memperhatikan komentar mengenai penampilan saya.</v>
      </c>
      <c r="CU158" s="105" t="str">
        <f>IFERROR(__xludf.DUMMYFUNCTION("""COMPUTED_VALUE"""),"A Saya ingin diperlakukan dengan ramah oleh teman-teman saya.")</f>
        <v>A Saya ingin diperlakukan dengan ramah oleh teman-teman saya.</v>
      </c>
      <c r="CV158" s="105" t="str">
        <f>IFERROR(__xludf.DUMMYFUNCTION("""COMPUTED_VALUE"""),"A Saya ingin ditunjuk atau dipilih sebagai ketua dalam suatu kelompok.")</f>
        <v>A Saya ingin ditunjuk atau dipilih sebagai ketua dalam suatu kelompok.</v>
      </c>
      <c r="CW158" s="105" t="str">
        <f>IFERROR(__xludf.DUMMYFUNCTION("""COMPUTED_VALUE"""),"A Saya suka menolong teman-teman saya, apabila mereka dalam kesulitan.")</f>
        <v>A Saya suka menolong teman-teman saya, apabila mereka dalam kesulitan.</v>
      </c>
      <c r="CX158" s="105" t="str">
        <f>IFERROR(__xludf.DUMMYFUNCTION("""COMPUTED_VALUE"""),"A Saya suka belajar sampai malam untuk menyelesaikan suatu tugas.")</f>
        <v>A Saya suka belajar sampai malam untuk menyelesaikan suatu tugas.</v>
      </c>
      <c r="CY158" s="105" t="str">
        <f>IFERROR(__xludf.DUMMYFUNCTION("""COMPUTED_VALUE"""),"A Saya ingin tidak tergantung dari orang lain terhadap apa yang akan saya lakukan.")</f>
        <v>A Saya ingin tidak tergantung dari orang lain terhadap apa yang akan saya lakukan.</v>
      </c>
      <c r="CZ158" s="105" t="str">
        <f>IFERROR(__xludf.DUMMYFUNCTION("""COMPUTED_VALUE"""),"A Saya suka merencanakan dan mengatur setiap pekerjaan yang harus saya lakukan.")</f>
        <v>A Saya suka merencanakan dan mengatur setiap pekerjaan yang harus saya lakukan.</v>
      </c>
      <c r="DA158" s="105" t="str">
        <f>IFERROR(__xludf.DUMMYFUNCTION("""COMPUTED_VALUE"""),"A Saya ingin melakukan apa saja sebaik mungkin.")</f>
        <v>A Saya ingin melakukan apa saja sebaik mungkin.</v>
      </c>
      <c r="DB158" s="89" t="s">
        <v>23</v>
      </c>
      <c r="DC158" s="97" t="str">
        <f t="shared" ref="DC158:GX158" si="203">LEFT(F158,1)</f>
        <v>B</v>
      </c>
      <c r="DD158" s="97" t="str">
        <f t="shared" si="203"/>
        <v>A</v>
      </c>
      <c r="DE158" s="97" t="str">
        <f t="shared" si="203"/>
        <v>A</v>
      </c>
      <c r="DF158" s="97" t="str">
        <f t="shared" si="203"/>
        <v>B</v>
      </c>
      <c r="DG158" s="97" t="str">
        <f t="shared" si="203"/>
        <v>A</v>
      </c>
      <c r="DH158" s="97" t="str">
        <f t="shared" si="203"/>
        <v>A</v>
      </c>
      <c r="DI158" s="97" t="str">
        <f t="shared" si="203"/>
        <v>A</v>
      </c>
      <c r="DJ158" s="97" t="str">
        <f t="shared" si="203"/>
        <v>B</v>
      </c>
      <c r="DK158" s="97" t="str">
        <f t="shared" si="203"/>
        <v>B</v>
      </c>
      <c r="DL158" s="97" t="str">
        <f t="shared" si="203"/>
        <v>B</v>
      </c>
      <c r="DM158" s="97" t="str">
        <f t="shared" si="203"/>
        <v>B</v>
      </c>
      <c r="DN158" s="97" t="str">
        <f t="shared" si="203"/>
        <v>B</v>
      </c>
      <c r="DO158" s="97" t="str">
        <f t="shared" si="203"/>
        <v>B</v>
      </c>
      <c r="DP158" s="97" t="str">
        <f t="shared" si="203"/>
        <v>B</v>
      </c>
      <c r="DQ158" s="97" t="str">
        <f t="shared" si="203"/>
        <v>B</v>
      </c>
      <c r="DR158" s="97" t="str">
        <f t="shared" si="203"/>
        <v>A</v>
      </c>
      <c r="DS158" s="97" t="str">
        <f t="shared" si="203"/>
        <v>B</v>
      </c>
      <c r="DT158" s="97" t="str">
        <f t="shared" si="203"/>
        <v>B</v>
      </c>
      <c r="DU158" s="97" t="str">
        <f t="shared" si="203"/>
        <v>A</v>
      </c>
      <c r="DV158" s="97" t="str">
        <f t="shared" si="203"/>
        <v>A</v>
      </c>
      <c r="DW158" s="97" t="str">
        <f t="shared" si="203"/>
        <v>A</v>
      </c>
      <c r="DX158" s="97" t="str">
        <f t="shared" si="203"/>
        <v>A</v>
      </c>
      <c r="DY158" s="97" t="str">
        <f t="shared" si="203"/>
        <v>B</v>
      </c>
      <c r="DZ158" s="97" t="str">
        <f t="shared" si="203"/>
        <v>A</v>
      </c>
      <c r="EA158" s="97" t="str">
        <f t="shared" si="203"/>
        <v>B</v>
      </c>
      <c r="EB158" s="97" t="str">
        <f t="shared" si="203"/>
        <v>B</v>
      </c>
      <c r="EC158" s="97" t="str">
        <f t="shared" si="203"/>
        <v>B</v>
      </c>
      <c r="ED158" s="97" t="str">
        <f t="shared" si="203"/>
        <v>B</v>
      </c>
      <c r="EE158" s="97" t="str">
        <f t="shared" si="203"/>
        <v>A</v>
      </c>
      <c r="EF158" s="97" t="str">
        <f t="shared" si="203"/>
        <v>B</v>
      </c>
      <c r="EG158" s="97" t="str">
        <f t="shared" si="203"/>
        <v>B</v>
      </c>
      <c r="EH158" s="97" t="str">
        <f t="shared" si="203"/>
        <v>B</v>
      </c>
      <c r="EI158" s="97" t="str">
        <f t="shared" si="203"/>
        <v>B</v>
      </c>
      <c r="EJ158" s="97" t="str">
        <f t="shared" si="203"/>
        <v>B</v>
      </c>
      <c r="EK158" s="97" t="str">
        <f t="shared" si="203"/>
        <v>A</v>
      </c>
      <c r="EL158" s="97" t="str">
        <f t="shared" si="203"/>
        <v>A</v>
      </c>
      <c r="EM158" s="97" t="str">
        <f t="shared" si="203"/>
        <v>B</v>
      </c>
      <c r="EN158" s="97" t="str">
        <f t="shared" si="203"/>
        <v>B</v>
      </c>
      <c r="EO158" s="97" t="str">
        <f t="shared" si="203"/>
        <v>A</v>
      </c>
      <c r="EP158" s="97" t="str">
        <f t="shared" si="203"/>
        <v>A</v>
      </c>
      <c r="EQ158" s="97" t="str">
        <f t="shared" si="203"/>
        <v>A</v>
      </c>
      <c r="ER158" s="97" t="str">
        <f t="shared" si="203"/>
        <v>B</v>
      </c>
      <c r="ES158" s="97" t="str">
        <f t="shared" si="203"/>
        <v>B</v>
      </c>
      <c r="ET158" s="97" t="str">
        <f t="shared" si="203"/>
        <v>A</v>
      </c>
      <c r="EU158" s="97" t="str">
        <f t="shared" si="203"/>
        <v>A</v>
      </c>
      <c r="EV158" s="97" t="str">
        <f t="shared" si="203"/>
        <v>B</v>
      </c>
      <c r="EW158" s="97" t="str">
        <f t="shared" si="203"/>
        <v>B</v>
      </c>
      <c r="EX158" s="97" t="str">
        <f t="shared" si="203"/>
        <v>A</v>
      </c>
      <c r="EY158" s="97" t="str">
        <f t="shared" si="203"/>
        <v>B</v>
      </c>
      <c r="EZ158" s="97" t="str">
        <f t="shared" si="203"/>
        <v>A</v>
      </c>
      <c r="FA158" s="97" t="str">
        <f t="shared" si="203"/>
        <v>B</v>
      </c>
      <c r="FB158" s="97" t="str">
        <f t="shared" si="203"/>
        <v>B</v>
      </c>
      <c r="FC158" s="97" t="str">
        <f t="shared" si="203"/>
        <v>A</v>
      </c>
      <c r="FD158" s="97" t="str">
        <f t="shared" si="203"/>
        <v>B</v>
      </c>
      <c r="FE158" s="97" t="str">
        <f t="shared" si="203"/>
        <v>A</v>
      </c>
      <c r="FF158" s="97" t="str">
        <f t="shared" si="203"/>
        <v>A</v>
      </c>
      <c r="FG158" s="97" t="str">
        <f t="shared" si="203"/>
        <v>B</v>
      </c>
      <c r="FH158" s="97" t="str">
        <f t="shared" si="203"/>
        <v>A</v>
      </c>
      <c r="FI158" s="97" t="str">
        <f t="shared" si="203"/>
        <v>A</v>
      </c>
      <c r="FJ158" s="97" t="str">
        <f t="shared" si="203"/>
        <v>A</v>
      </c>
      <c r="FK158" s="97" t="str">
        <f t="shared" si="203"/>
        <v>A</v>
      </c>
      <c r="FL158" s="97" t="str">
        <f t="shared" si="203"/>
        <v>A</v>
      </c>
      <c r="FM158" s="97" t="str">
        <f t="shared" si="203"/>
        <v>A</v>
      </c>
      <c r="FN158" s="97" t="str">
        <f t="shared" si="203"/>
        <v>A</v>
      </c>
      <c r="FO158" s="97" t="str">
        <f t="shared" si="203"/>
        <v>B</v>
      </c>
      <c r="FP158" s="97" t="str">
        <f t="shared" si="203"/>
        <v>B</v>
      </c>
      <c r="FQ158" s="97" t="str">
        <f t="shared" si="203"/>
        <v>B</v>
      </c>
      <c r="FR158" s="97" t="str">
        <f t="shared" si="203"/>
        <v>A</v>
      </c>
      <c r="FS158" s="97" t="str">
        <f t="shared" si="203"/>
        <v>B</v>
      </c>
      <c r="FT158" s="97" t="str">
        <f t="shared" si="203"/>
        <v>A</v>
      </c>
      <c r="FU158" s="97" t="str">
        <f t="shared" si="203"/>
        <v>B</v>
      </c>
      <c r="FV158" s="97" t="str">
        <f t="shared" si="203"/>
        <v>B</v>
      </c>
      <c r="FW158" s="97" t="str">
        <f t="shared" si="203"/>
        <v>B</v>
      </c>
      <c r="FX158" s="97" t="str">
        <f t="shared" si="203"/>
        <v>A</v>
      </c>
      <c r="FY158" s="97" t="str">
        <f t="shared" si="203"/>
        <v>B</v>
      </c>
      <c r="FZ158" s="97" t="str">
        <f t="shared" si="203"/>
        <v>A</v>
      </c>
      <c r="GA158" s="97" t="str">
        <f t="shared" si="203"/>
        <v>A</v>
      </c>
      <c r="GB158" s="97" t="str">
        <f t="shared" si="203"/>
        <v>A</v>
      </c>
      <c r="GC158" s="97" t="str">
        <f t="shared" si="203"/>
        <v>A</v>
      </c>
      <c r="GD158" s="97" t="str">
        <f t="shared" si="203"/>
        <v>A</v>
      </c>
      <c r="GE158" s="97" t="str">
        <f t="shared" si="203"/>
        <v>A</v>
      </c>
      <c r="GF158" s="97" t="str">
        <f t="shared" si="203"/>
        <v>A</v>
      </c>
      <c r="GG158" s="97" t="str">
        <f t="shared" si="203"/>
        <v>A</v>
      </c>
      <c r="GH158" s="97" t="str">
        <f t="shared" si="203"/>
        <v>A</v>
      </c>
      <c r="GI158" s="97" t="str">
        <f t="shared" si="203"/>
        <v>A</v>
      </c>
      <c r="GJ158" s="97" t="str">
        <f t="shared" si="203"/>
        <v>A</v>
      </c>
      <c r="GK158" s="97" t="str">
        <f t="shared" si="203"/>
        <v>A</v>
      </c>
      <c r="GL158" s="97" t="str">
        <f t="shared" si="203"/>
        <v>B</v>
      </c>
      <c r="GM158" s="97" t="str">
        <f t="shared" si="203"/>
        <v>B</v>
      </c>
      <c r="GN158" s="97" t="str">
        <f t="shared" si="203"/>
        <v>B</v>
      </c>
      <c r="GO158" s="97" t="str">
        <f t="shared" si="203"/>
        <v>B</v>
      </c>
      <c r="GP158" s="97" t="str">
        <f t="shared" si="203"/>
        <v>A</v>
      </c>
      <c r="GQ158" s="97" t="str">
        <f t="shared" si="203"/>
        <v>A</v>
      </c>
      <c r="GR158" s="97" t="str">
        <f t="shared" si="203"/>
        <v>A</v>
      </c>
      <c r="GS158" s="97" t="str">
        <f t="shared" si="203"/>
        <v>A</v>
      </c>
      <c r="GT158" s="97" t="str">
        <f t="shared" si="203"/>
        <v>A</v>
      </c>
      <c r="GU158" s="97" t="str">
        <f t="shared" si="203"/>
        <v>A</v>
      </c>
      <c r="GV158" s="97" t="str">
        <f t="shared" si="203"/>
        <v>A</v>
      </c>
      <c r="GW158" s="97" t="str">
        <f t="shared" si="203"/>
        <v>A</v>
      </c>
      <c r="GX158" s="97" t="str">
        <f t="shared" si="203"/>
        <v>A</v>
      </c>
      <c r="GY158" s="98"/>
      <c r="GZ158" s="97">
        <f t="shared" si="3"/>
        <v>55</v>
      </c>
      <c r="HA158" s="97">
        <f t="shared" si="4"/>
        <v>45</v>
      </c>
      <c r="HB158" s="90">
        <f t="shared" si="5"/>
        <v>100</v>
      </c>
      <c r="HC158" s="99"/>
      <c r="HD158" s="97">
        <f t="shared" si="6"/>
        <v>9</v>
      </c>
      <c r="HE158" s="97">
        <f t="shared" si="7"/>
        <v>4</v>
      </c>
      <c r="HF158" s="90">
        <f t="shared" si="8"/>
        <v>13</v>
      </c>
      <c r="HG158" s="99"/>
      <c r="HH158" s="97">
        <f t="shared" si="9"/>
        <v>8</v>
      </c>
      <c r="HI158" s="97">
        <f t="shared" si="10"/>
        <v>7</v>
      </c>
      <c r="HJ158" s="90">
        <f t="shared" si="11"/>
        <v>15</v>
      </c>
      <c r="HK158" s="99"/>
      <c r="HL158" s="97">
        <f t="shared" si="12"/>
        <v>6</v>
      </c>
      <c r="HM158" s="97">
        <f t="shared" si="13"/>
        <v>6</v>
      </c>
      <c r="HN158" s="90">
        <f t="shared" si="14"/>
        <v>12</v>
      </c>
      <c r="HO158" s="99"/>
      <c r="HP158" s="97">
        <f t="shared" si="15"/>
        <v>6</v>
      </c>
      <c r="HQ158" s="97">
        <f t="shared" si="16"/>
        <v>6</v>
      </c>
      <c r="HR158" s="90">
        <f t="shared" si="17"/>
        <v>12</v>
      </c>
      <c r="HS158" s="99"/>
      <c r="HT158" s="97">
        <f t="shared" si="18"/>
        <v>7</v>
      </c>
      <c r="HU158" s="97">
        <f t="shared" si="19"/>
        <v>5</v>
      </c>
      <c r="HV158" s="90">
        <f t="shared" si="20"/>
        <v>12</v>
      </c>
      <c r="HW158" s="99"/>
      <c r="HX158" s="97">
        <f t="shared" si="21"/>
        <v>4</v>
      </c>
      <c r="HY158" s="97">
        <f t="shared" si="22"/>
        <v>4</v>
      </c>
      <c r="HZ158" s="90">
        <f t="shared" si="23"/>
        <v>8</v>
      </c>
      <c r="IA158" s="99"/>
      <c r="IB158" s="97">
        <f t="shared" si="24"/>
        <v>4</v>
      </c>
      <c r="IC158" s="97">
        <f t="shared" si="25"/>
        <v>4</v>
      </c>
      <c r="ID158" s="90">
        <f t="shared" si="26"/>
        <v>8</v>
      </c>
      <c r="IE158" s="99"/>
      <c r="IF158" s="97">
        <f t="shared" si="27"/>
        <v>4</v>
      </c>
      <c r="IG158" s="97">
        <f t="shared" si="28"/>
        <v>4</v>
      </c>
      <c r="IH158" s="90">
        <f t="shared" si="29"/>
        <v>8</v>
      </c>
      <c r="II158" s="99"/>
      <c r="IJ158" s="97">
        <f t="shared" si="30"/>
        <v>2</v>
      </c>
      <c r="IK158" s="97">
        <f t="shared" si="31"/>
        <v>3</v>
      </c>
      <c r="IL158" s="90">
        <f t="shared" si="32"/>
        <v>5</v>
      </c>
      <c r="IM158" s="99"/>
      <c r="IN158" s="97">
        <f t="shared" si="33"/>
        <v>2</v>
      </c>
      <c r="IO158" s="97">
        <f t="shared" si="34"/>
        <v>1</v>
      </c>
      <c r="IP158" s="90">
        <f t="shared" si="35"/>
        <v>3</v>
      </c>
      <c r="IS158" s="100">
        <f t="shared" si="36"/>
        <v>13</v>
      </c>
      <c r="IT158" s="100">
        <f t="shared" si="37"/>
        <v>15</v>
      </c>
      <c r="IU158" s="100">
        <f t="shared" si="38"/>
        <v>12</v>
      </c>
      <c r="IV158" s="100">
        <f t="shared" si="39"/>
        <v>12</v>
      </c>
      <c r="IW158" s="100">
        <f t="shared" si="40"/>
        <v>12</v>
      </c>
      <c r="IX158" s="100">
        <f t="shared" si="41"/>
        <v>8</v>
      </c>
      <c r="IY158" s="100">
        <f t="shared" si="42"/>
        <v>8</v>
      </c>
      <c r="IZ158" s="100">
        <f t="shared" si="43"/>
        <v>8</v>
      </c>
      <c r="JA158" s="100">
        <f t="shared" si="44"/>
        <v>5</v>
      </c>
      <c r="JB158" s="101">
        <f t="shared" si="45"/>
        <v>3</v>
      </c>
      <c r="JC158" s="102">
        <f t="shared" si="46"/>
        <v>96</v>
      </c>
      <c r="JD158" s="67">
        <f t="shared" si="50"/>
        <v>0</v>
      </c>
      <c r="JE158" s="67">
        <f t="shared" si="47"/>
        <v>0</v>
      </c>
      <c r="JF158" s="67">
        <f t="shared" si="48"/>
        <v>0</v>
      </c>
    </row>
    <row r="159">
      <c r="A159" s="104">
        <f>IFERROR(__xludf.DUMMYFUNCTION("""COMPUTED_VALUE"""),46046.620473738425)</f>
        <v>46046.62047</v>
      </c>
      <c r="B159" s="105" t="str">
        <f>IFERROR(__xludf.DUMMYFUNCTION("""COMPUTED_VALUE"""),"IMAN SETIAWAN")</f>
        <v>IMAN SETIAWAN</v>
      </c>
      <c r="C159" s="7" t="str">
        <f>IFERROR(__xludf.DUMMYFUNCTION("""COMPUTED_VALUE"""),"C250030")</f>
        <v>C250030</v>
      </c>
      <c r="D159" s="7" t="str">
        <f>IFERROR(__xludf.DUMMYFUNCTION("""COMPUTED_VALUE"""),"IL Putra")</f>
        <v>IL Putra</v>
      </c>
      <c r="E159" s="7" t="str">
        <f>IFERROR(__xludf.DUMMYFUNCTION("""COMPUTED_VALUE"""),"Ya")</f>
        <v>Ya</v>
      </c>
      <c r="F159" s="105" t="str">
        <f>IFERROR(__xludf.DUMMYFUNCTION("""COMPUTED_VALUE"""),"B Saya ingin melakukan apa saja sebaik mungkin.")</f>
        <v>B Saya ingin melakukan apa saja sebaik mungkin.</v>
      </c>
      <c r="G159" s="105" t="str">
        <f>IFERROR(__xludf.DUMMYFUNCTION("""COMPUTED_VALUE"""),"B Saya ingin menyelesaikan tugas yang segera dikumpulkan.")</f>
        <v>B Saya ingin menyelesaikan tugas yang segera dikumpulkan.</v>
      </c>
      <c r="H159" s="105" t="str">
        <f>IFERROR(__xludf.DUMMYFUNCTION("""COMPUTED_VALUE"""),"A Saya ingin berbuat sesuai kata hati saya.")</f>
        <v>A Saya ingin berbuat sesuai kata hati saya.</v>
      </c>
      <c r="I159" s="105" t="str">
        <f>IFERROR(__xludf.DUMMYFUNCTION("""COMPUTED_VALUE"""),"A Saya suka belajar keras pada tiap pelajaran yang saya hadapi.")</f>
        <v>A Saya suka belajar keras pada tiap pelajaran yang saya hadapi.</v>
      </c>
      <c r="J159" s="105" t="str">
        <f>IFERROR(__xludf.DUMMYFUNCTION("""COMPUTED_VALUE"""),"B Saya ingin mengerjakan tugas sebaik mungkin.")</f>
        <v>B Saya ingin mengerjakan tugas sebaik mungkin.</v>
      </c>
      <c r="K159" s="105" t="str">
        <f>IFERROR(__xludf.DUMMYFUNCTION("""COMPUTED_VALUE"""),"B Saya ingin mengatakan telah melakukan dengan baik sesuatu tugas yang sulit.")</f>
        <v>B Saya ingin mengatakan telah melakukan dengan baik sesuatu tugas yang sulit.</v>
      </c>
      <c r="L159" s="105" t="str">
        <f>IFERROR(__xludf.DUMMYFUNCTION("""COMPUTED_VALUE"""),"B Saya ingin mengatakan telah melakukan dengan baik sesuatu tugas yang sulit")</f>
        <v>B Saya ingin mengatakan telah melakukan dengan baik sesuatu tugas yang sulit</v>
      </c>
      <c r="M159" s="105" t="str">
        <f>IFERROR(__xludf.DUMMYFUNCTION("""COMPUTED_VALUE"""),"B Saya ingin mengerjakan segala tugas lebih baik daripada orang lain.")</f>
        <v>B Saya ingin mengerjakan segala tugas lebih baik daripada orang lain.</v>
      </c>
      <c r="N159" s="105" t="str">
        <f>IFERROR(__xludf.DUMMYFUNCTION("""COMPUTED_VALUE"""),"A Saya suka pergi dengan pakaian rapi agar lebih menarik perhatian orang lain.")</f>
        <v>A Saya suka pergi dengan pakaian rapi agar lebih menarik perhatian orang lain.</v>
      </c>
      <c r="O159" s="105" t="str">
        <f>IFERROR(__xludf.DUMMYFUNCTION("""COMPUTED_VALUE"""),"B Saya suka melakukan tugas sebaik mungkin.")</f>
        <v>B Saya suka melakukan tugas sebaik mungkin.</v>
      </c>
      <c r="P159" s="105" t="str">
        <f>IFERROR(__xludf.DUMMYFUNCTION("""COMPUTED_VALUE"""),"B Saya ingin setiap belajar itu teratur dan direncanakan.")</f>
        <v>B Saya ingin setiap belajar itu teratur dan direncanakan.</v>
      </c>
      <c r="Q159" s="105" t="str">
        <f>IFERROR(__xludf.DUMMYFUNCTION("""COMPUTED_VALUE"""),"A Saya mulai suka dengan lawan jenis.")</f>
        <v>A Saya mulai suka dengan lawan jenis.</v>
      </c>
      <c r="R159" s="105" t="str">
        <f>IFERROR(__xludf.DUMMYFUNCTION("""COMPUTED_VALUE"""),"B Saya suka barang-barang saya tersusun rapi dan teratur.")</f>
        <v>B Saya suka barang-barang saya tersusun rapi dan teratur.</v>
      </c>
      <c r="S159" s="105" t="str">
        <f>IFERROR(__xludf.DUMMYFUNCTION("""COMPUTED_VALUE"""),"A Saya ingin agar teman-teman pengertian bila saya mengalami kesukaran.")</f>
        <v>A Saya ingin agar teman-teman pengertian bila saya mengalami kesukaran.</v>
      </c>
      <c r="T159" s="105" t="str">
        <f>IFERROR(__xludf.DUMMYFUNCTION("""COMPUTED_VALUE"""),"B Saya ingin agar hidup saya teratur sesuai cita-cita saya.")</f>
        <v>B Saya ingin agar hidup saya teratur sesuai cita-cita saya.</v>
      </c>
      <c r="U159" s="105" t="str">
        <f>IFERROR(__xludf.DUMMYFUNCTION("""COMPUTED_VALUE"""),"A Saya suka memberikan bantuan kepada teman-teman saya.")</f>
        <v>A Saya suka memberikan bantuan kepada teman-teman saya.</v>
      </c>
      <c r="V159" s="105" t="str">
        <f>IFERROR(__xludf.DUMMYFUNCTION("""COMPUTED_VALUE"""),"A Saya suka belajar sampai malam untuk menyelesaikan suatu tugas.")</f>
        <v>A Saya suka belajar sampai malam untuk menyelesaikan suatu tugas.</v>
      </c>
      <c r="W159" s="105" t="str">
        <f>IFERROR(__xludf.DUMMYFUNCTION("""COMPUTED_VALUE"""),"A Saya suka melakukan kegiatan sesuai kondisi yang saya inginkan.")</f>
        <v>A Saya suka melakukan kegiatan sesuai kondisi yang saya inginkan.</v>
      </c>
      <c r="X159" s="105" t="str">
        <f>IFERROR(__xludf.DUMMYFUNCTION("""COMPUTED_VALUE"""),"B Saya ingin agar hidup saya teratur sesuai cita-cita saya.")</f>
        <v>B Saya ingin agar hidup saya teratur sesuai cita-cita saya.</v>
      </c>
      <c r="Y159" s="105" t="str">
        <f>IFERROR(__xludf.DUMMYFUNCTION("""COMPUTED_VALUE"""),"B Saya senang merencanakan untuk masa depan.")</f>
        <v>B Saya senang merencanakan untuk masa depan.</v>
      </c>
      <c r="Z159" s="105" t="str">
        <f>IFERROR(__xludf.DUMMYFUNCTION("""COMPUTED_VALUE"""),"B Saya ingin merasa bebas untuk melakukan apa yang saya inginkan.")</f>
        <v>B Saya ingin merasa bebas untuk melakukan apa yang saya inginkan.</v>
      </c>
      <c r="AA159" s="105" t="str">
        <f>IFERROR(__xludf.DUMMYFUNCTION("""COMPUTED_VALUE"""),"B Saya tidak suka pada orang yang berbuat seenaknya sendiri.")</f>
        <v>B Saya tidak suka pada orang yang berbuat seenaknya sendiri.</v>
      </c>
      <c r="AB159" s="105" t="str">
        <f>IFERROR(__xludf.DUMMYFUNCTION("""COMPUTED_VALUE"""),"A Saya ingin tidak tergantung dari orang lain terhadap apa yang akan saya lakukan.")</f>
        <v>A Saya ingin tidak tergantung dari orang lain terhadap apa yang akan saya lakukan.</v>
      </c>
      <c r="AC159" s="105" t="str">
        <f>IFERROR(__xludf.DUMMYFUNCTION("""COMPUTED_VALUE"""),"A Saya suka menyelesaikan setiap tugas meskipun membutuhkan waktu lama.")</f>
        <v>A Saya suka menyelesaikan setiap tugas meskipun membutuhkan waktu lama.</v>
      </c>
      <c r="AD159" s="105" t="str">
        <f>IFERROR(__xludf.DUMMYFUNCTION("""COMPUTED_VALUE"""),"A Saya suka bermurah hati terhadap teman-teman saya.")</f>
        <v>A Saya suka bermurah hati terhadap teman-teman saya.</v>
      </c>
      <c r="AE159" s="105" t="str">
        <f>IFERROR(__xludf.DUMMYFUNCTION("""COMPUTED_VALUE"""),"B Saya suka melakukan hal-hal yang dianggap orang lain tidak sesuai.")</f>
        <v>B Saya suka melakukan hal-hal yang dianggap orang lain tidak sesuai.</v>
      </c>
      <c r="AF159" s="105" t="str">
        <f>IFERROR(__xludf.DUMMYFUNCTION("""COMPUTED_VALUE"""),"A Saya ingin agar teman-teman mengerti bila saya mengalami kesukaran.")</f>
        <v>A Saya ingin agar teman-teman mengerti bila saya mengalami kesukaran.</v>
      </c>
      <c r="AG159" s="105" t="str">
        <f>IFERROR(__xludf.DUMMYFUNCTION("""COMPUTED_VALUE"""),"A Saya mengajari orang lain bagaimana mereka harus melakukan pekerjaan mereka.")</f>
        <v>A Saya mengajari orang lain bagaimana mereka harus melakukan pekerjaan mereka.</v>
      </c>
      <c r="AH159" s="105" t="str">
        <f>IFERROR(__xludf.DUMMYFUNCTION("""COMPUTED_VALUE"""),"A Saya suka membaca buku-buku tentang pergaulan remaja.")</f>
        <v>A Saya suka membaca buku-buku tentang pergaulan remaja.</v>
      </c>
      <c r="AI159" s="105" t="str">
        <f>IFERROR(__xludf.DUMMYFUNCTION("""COMPUTED_VALUE"""),"B Saya suka melakukan kegiatan sesuai kondisi yang saya inginkan.")</f>
        <v>B Saya suka melakukan kegiatan sesuai kondisi yang saya inginkan.</v>
      </c>
      <c r="AJ159" s="105" t="str">
        <f>IFERROR(__xludf.DUMMYFUNCTION("""COMPUTED_VALUE"""),"A Saya rasanya ingin membalas dendam bila seseorang menghina saya.")</f>
        <v>A Saya rasanya ingin membalas dendam bila seseorang menghina saya.</v>
      </c>
      <c r="AK159" s="105" t="str">
        <f>IFERROR(__xludf.DUMMYFUNCTION("""COMPUTED_VALUE"""),"B Bila saya harus melakukan suatu tugas, saya ingin mengerjakan sampai selesai.")</f>
        <v>B Bila saya harus melakukan suatu tugas, saya ingin mengerjakan sampai selesai.</v>
      </c>
      <c r="AL159" s="105" t="str">
        <f>IFERROR(__xludf.DUMMYFUNCTION("""COMPUTED_VALUE"""),"B Saya ingin menghindarkan gangguan bila saya sedang belajar.")</f>
        <v>B Saya ingin menghindarkan gangguan bila saya sedang belajar.</v>
      </c>
      <c r="AM159" s="105" t="str">
        <f>IFERROR(__xludf.DUMMYFUNCTION("""COMPUTED_VALUE"""),"B Saya suka belajar sampai malam untuk menyelesaikan suatu tugas.")</f>
        <v>B Saya suka belajar sampai malam untuk menyelesaikan suatu tugas.</v>
      </c>
      <c r="AN159" s="105" t="str">
        <f>IFERROR(__xludf.DUMMYFUNCTION("""COMPUTED_VALUE"""),"A Saya tidak suka pada orang yang semena-mena.")</f>
        <v>A Saya tidak suka pada orang yang semena-mena.</v>
      </c>
      <c r="AO159" s="105" t="str">
        <f>IFERROR(__xludf.DUMMYFUNCTION("""COMPUTED_VALUE"""),"A Saya suka berlaku sangat ramah terhadap teman-teman saya.")</f>
        <v>A Saya suka berlaku sangat ramah terhadap teman-teman saya.</v>
      </c>
      <c r="AP159" s="105" t="str">
        <f>IFERROR(__xludf.DUMMYFUNCTION("""COMPUTED_VALUE"""),"B Saya suka bertahan menghadapi satu masalah meskipun belum tentu berhasil.")</f>
        <v>B Saya suka bertahan menghadapi satu masalah meskipun belum tentu berhasil.</v>
      </c>
      <c r="AQ159" s="105" t="str">
        <f>IFERROR(__xludf.DUMMYFUNCTION("""COMPUTED_VALUE"""),"B Bila saya harus melakukan suatu tugas, saya ingin mengerjakan sampai selesai.")</f>
        <v>B Bila saya harus melakukan suatu tugas, saya ingin mengerjakan sampai selesai.</v>
      </c>
      <c r="AR159" s="105" t="str">
        <f>IFERROR(__xludf.DUMMYFUNCTION("""COMPUTED_VALUE"""),"B Saya suka belajar keras pada tiap pelajaran yang saya hadapi.")</f>
        <v>B Saya suka belajar keras pada tiap pelajaran yang saya hadapi.</v>
      </c>
      <c r="AS159" s="105" t="str">
        <f>IFERROR(__xludf.DUMMYFUNCTION("""COMPUTED_VALUE"""),"A Saya ingin dapat menyelesaikan persoalan yang dianggap sukar bagi orang lain.")</f>
        <v>A Saya ingin dapat menyelesaikan persoalan yang dianggap sukar bagi orang lain.</v>
      </c>
      <c r="AT159" s="105" t="str">
        <f>IFERROR(__xludf.DUMMYFUNCTION("""COMPUTED_VALUE"""),"B Saya suka membantu orang lain yang menurut saya perlu dikasihani.")</f>
        <v>B Saya suka membantu orang lain yang menurut saya perlu dikasihani.</v>
      </c>
      <c r="AU159" s="105" t="str">
        <f>IFERROR(__xludf.DUMMYFUNCTION("""COMPUTED_VALUE"""),"B Saya suka bermurah hati terhadap teman-teman saya.")</f>
        <v>B Saya suka bermurah hati terhadap teman-teman saya.</v>
      </c>
      <c r="AV159" s="105" t="str">
        <f>IFERROR(__xludf.DUMMYFUNCTION("""COMPUTED_VALUE"""),"B Saya suka menolong teman-teman saya.")</f>
        <v>B Saya suka menolong teman-teman saya.</v>
      </c>
      <c r="AW159" s="105" t="str">
        <f>IFERROR(__xludf.DUMMYFUNCTION("""COMPUTED_VALUE"""),"B Saya ingin teman-teman saya percaya bahwa saya bisa menolong mereka.")</f>
        <v>B Saya ingin teman-teman saya percaya bahwa saya bisa menolong mereka.</v>
      </c>
      <c r="AX159" s="105" t="str">
        <f>IFERROR(__xludf.DUMMYFUNCTION("""COMPUTED_VALUE"""),"A Saya suka menolong teman-teman saya apabila mereka dalam kesulitan.")</f>
        <v>A Saya suka menolong teman-teman saya apabila mereka dalam kesulitan.</v>
      </c>
      <c r="AY159" s="105" t="str">
        <f>IFERROR(__xludf.DUMMYFUNCTION("""COMPUTED_VALUE"""),"A Saya rasanya ingin marah saat tidak sesuai dengan hati.")</f>
        <v>A Saya rasanya ingin marah saat tidak sesuai dengan hati.</v>
      </c>
      <c r="AZ159" s="105" t="str">
        <f>IFERROR(__xludf.DUMMYFUNCTION("""COMPUTED_VALUE"""),"B Saya suka menunjukkan simpati saya kepada teman-teman saya.")</f>
        <v>B Saya suka menunjukkan simpati saya kepada teman-teman saya.</v>
      </c>
      <c r="BA159" s="105" t="str">
        <f>IFERROR(__xludf.DUMMYFUNCTION("""COMPUTED_VALUE"""),"B Saya suka memperlakukan orang lain dengan baik dan ramah.")</f>
        <v>B Saya suka memperlakukan orang lain dengan baik dan ramah.</v>
      </c>
      <c r="BB159" s="105" t="str">
        <f>IFERROR(__xludf.DUMMYFUNCTION("""COMPUTED_VALUE"""),"A Saya berkeinginan untuk bersama orang yang menarik bagi saya.")</f>
        <v>A Saya berkeinginan untuk bersama orang yang menarik bagi saya.</v>
      </c>
      <c r="BC159" s="105" t="str">
        <f>IFERROR(__xludf.DUMMYFUNCTION("""COMPUTED_VALUE"""),"B Saya suka membantu orang lain yang menurut saya perlu dikasihani.")</f>
        <v>B Saya suka membantu orang lain yang menurut saya perlu dikasihani.</v>
      </c>
      <c r="BD159" s="105" t="str">
        <f>IFERROR(__xludf.DUMMYFUNCTION("""COMPUTED_VALUE"""),"A Saya rasanya ingin menyalahkan orang lain bila keadaan tidak baik bagi saya.")</f>
        <v>A Saya rasanya ingin menyalahkan orang lain bila keadaan tidak baik bagi saya.</v>
      </c>
      <c r="BE159" s="105" t="str">
        <f>IFERROR(__xludf.DUMMYFUNCTION("""COMPUTED_VALUE"""),"B Saya ingin orang lain melakukan apa yang saya kehendaki.")</f>
        <v>B Saya ingin orang lain melakukan apa yang saya kehendaki.</v>
      </c>
      <c r="BF159" s="105" t="str">
        <f>IFERROR(__xludf.DUMMYFUNCTION("""COMPUTED_VALUE"""),"B Bila saya dalam kelompok, saya ingin menentukan apa yang akan kita lakukan.")</f>
        <v>B Bila saya dalam kelompok, saya ingin menentukan apa yang akan kita lakukan.</v>
      </c>
      <c r="BG159" s="105" t="str">
        <f>IFERROR(__xludf.DUMMYFUNCTION("""COMPUTED_VALUE"""),"B Saya suka mengarahkan kepada orang lain apa yang harus dilakukan.")</f>
        <v>B Saya suka mengarahkan kepada orang lain apa yang harus dilakukan.</v>
      </c>
      <c r="BH159" s="105" t="str">
        <f>IFERROR(__xludf.DUMMYFUNCTION("""COMPUTED_VALUE"""),"A Saya suka menghindar dari situasi yang tidak saya harapkan.")</f>
        <v>A Saya suka menghindar dari situasi yang tidak saya harapkan.</v>
      </c>
      <c r="BI159" s="105" t="str">
        <f>IFERROR(__xludf.DUMMYFUNCTION("""COMPUTED_VALUE"""),"A Saya suka bermurah hati terhadap teman-teman saya.")</f>
        <v>A Saya suka bermurah hati terhadap teman-teman saya.</v>
      </c>
      <c r="BJ159" s="105" t="str">
        <f>IFERROR(__xludf.DUMMYFUNCTION("""COMPUTED_VALUE"""),"A Saya ingin mengerjakan tugas sampai selesai.")</f>
        <v>A Saya ingin mengerjakan tugas sampai selesai.</v>
      </c>
      <c r="BK159" s="105" t="str">
        <f>IFERROR(__xludf.DUMMYFUNCTION("""COMPUTED_VALUE"""),"A Saya ingin menyelesaikan pekerjaan satu persatu sebelum memulai yang lain.")</f>
        <v>A Saya ingin menyelesaikan pekerjaan satu persatu sebelum memulai yang lain.</v>
      </c>
      <c r="BL159" s="105" t="str">
        <f>IFERROR(__xludf.DUMMYFUNCTION("""COMPUTED_VALUE"""),"B Saya suka bersikukuh dengan pendirian saya.")</f>
        <v>B Saya suka bersikukuh dengan pendirian saya.</v>
      </c>
      <c r="BM159" s="105" t="str">
        <f>IFERROR(__xludf.DUMMYFUNCTION("""COMPUTED_VALUE"""),"A Saya suka melakukan pekerjaan sebaik mungkin.")</f>
        <v>A Saya suka melakukan pekerjaan sebaik mungkin.</v>
      </c>
      <c r="BN159" s="105" t="str">
        <f>IFERROR(__xludf.DUMMYFUNCTION("""COMPUTED_VALUE"""),"B Saya ingin teman-teman memberi dorongan bila saya menghadapi kegagalan.")</f>
        <v>B Saya ingin teman-teman memberi dorongan bila saya menghadapi kegagalan.</v>
      </c>
      <c r="BO159" s="105" t="str">
        <f>IFERROR(__xludf.DUMMYFUNCTION("""COMPUTED_VALUE"""),"B Saya ingin diperlakukan dengan baik oleh teman-teman saya.")</f>
        <v>B Saya ingin diperlakukan dengan baik oleh teman-teman saya.</v>
      </c>
      <c r="BP159" s="105" t="str">
        <f>IFERROR(__xludf.DUMMYFUNCTION("""COMPUTED_VALUE"""),"A Saya ingin menyelesaikan sesuatu yang sangat penting artinya.")</f>
        <v>A Saya ingin menyelesaikan sesuatu yang sangat penting artinya.</v>
      </c>
      <c r="BQ159" s="105" t="str">
        <f>IFERROR(__xludf.DUMMYFUNCTION("""COMPUTED_VALUE"""),"A Saya ingin mengerjakannya tugas sampai selesai.")</f>
        <v>A Saya ingin mengerjakannya tugas sampai selesai.</v>
      </c>
      <c r="BR159" s="105" t="str">
        <f>IFERROR(__xludf.DUMMYFUNCTION("""COMPUTED_VALUE"""),"A Saya suka memaafkan teman-teman saya yang menyakiti hati saya.")</f>
        <v>A Saya suka memaafkan teman-teman saya yang menyakiti hati saya.</v>
      </c>
      <c r="BS159" s="105" t="str">
        <f>IFERROR(__xludf.DUMMYFUNCTION("""COMPUTED_VALUE"""),"B Saya ingin teman-teman saya membantu saya bila saya mengalami kesulitan")</f>
        <v>B Saya ingin teman-teman saya membantu saya bila saya mengalami kesulitan</v>
      </c>
      <c r="BT159" s="105" t="str">
        <f>IFERROR(__xludf.DUMMYFUNCTION("""COMPUTED_VALUE"""),"B Saya ingin teman-teman banyak menunjukkan rasa sayang mereka terhadap saya.")</f>
        <v>B Saya ingin teman-teman banyak menunjukkan rasa sayang mereka terhadap saya.</v>
      </c>
      <c r="BU159" s="105" t="str">
        <f>IFERROR(__xludf.DUMMYFUNCTION("""COMPUTED_VALUE"""),"A Saya kadang-kadang suka melakukan hal-hal yang dapat dipuji oleh orang lain.")</f>
        <v>A Saya kadang-kadang suka melakukan hal-hal yang dapat dipuji oleh orang lain.</v>
      </c>
      <c r="BV159" s="105" t="str">
        <f>IFERROR(__xludf.DUMMYFUNCTION("""COMPUTED_VALUE"""),"A Saya ingin dianggap menarik oleh orang lain.")</f>
        <v>A Saya ingin dianggap menarik oleh orang lain.</v>
      </c>
      <c r="BW159" s="105" t="str">
        <f>IFERROR(__xludf.DUMMYFUNCTION("""COMPUTED_VALUE"""),"B Saya ingin diperlakukan dengan baik oleh teman-teman saya.")</f>
        <v>B Saya ingin diperlakukan dengan baik oleh teman-teman saya.</v>
      </c>
      <c r="BX159" s="105" t="str">
        <f>IFERROR(__xludf.DUMMYFUNCTION("""COMPUTED_VALUE"""),"B Saya kadang-kadang suka melakukan hal-hal yang dapat dipuji oleh orang lain.")</f>
        <v>B Saya kadang-kadang suka melakukan hal-hal yang dapat dipuji oleh orang lain.</v>
      </c>
      <c r="BY159" s="105" t="str">
        <f>IFERROR(__xludf.DUMMYFUNCTION("""COMPUTED_VALUE"""),"A Saya suka melamun atau membayangkan hal-hal yang tidak jelas.")</f>
        <v>A Saya suka melamun atau membayangkan hal-hal yang tidak jelas.</v>
      </c>
      <c r="BZ159" s="105" t="str">
        <f>IFERROR(__xludf.DUMMYFUNCTION("""COMPUTED_VALUE"""),"A Saya suka berkata yang artinya sulit dipahami oleh orang lain.")</f>
        <v>A Saya suka berkata yang artinya sulit dipahami oleh orang lain.</v>
      </c>
      <c r="CA159" s="105" t="str">
        <f>IFERROR(__xludf.DUMMYFUNCTION("""COMPUTED_VALUE"""),"B Saya suka mengajukan pertanyaan agar orang lain memperhatikan saya.")</f>
        <v>B Saya suka mengajukan pertanyaan agar orang lain memperhatikan saya.</v>
      </c>
      <c r="CB159" s="105" t="str">
        <f>IFERROR(__xludf.DUMMYFUNCTION("""COMPUTED_VALUE"""),"B Saya suka berbicara tentang hal-hal yang telah saya capai.")</f>
        <v>B Saya suka berbicara tentang hal-hal yang telah saya capai.</v>
      </c>
      <c r="CC159" s="105" t="str">
        <f>IFERROR(__xludf.DUMMYFUNCTION("""COMPUTED_VALUE"""),"B Saya suka menceritakan hal-hal lucu agar diperhatikan oleh orang lain.")</f>
        <v>B Saya suka menceritakan hal-hal lucu agar diperhatikan oleh orang lain.</v>
      </c>
      <c r="CD159" s="105" t="str">
        <f>IFERROR(__xludf.DUMMYFUNCTION("""COMPUTED_VALUE"""),"A Saya suka menyelesaikan setiap tugas meskipun membutuhkan waktu lama.")</f>
        <v>A Saya suka menyelesaikan setiap tugas meskipun membutuhkan waktu lama.</v>
      </c>
      <c r="CE159" s="105" t="str">
        <f>IFERROR(__xludf.DUMMYFUNCTION("""COMPUTED_VALUE"""),"A Saya suka menyelesaikan setiap tugas belajar yang telah saya mulai.")</f>
        <v>A Saya suka menyelesaikan setiap tugas belajar yang telah saya mulai.</v>
      </c>
      <c r="CF159" s="105" t="str">
        <f>IFERROR(__xludf.DUMMYFUNCTION("""COMPUTED_VALUE"""),"B Saya ingin orang lain memperhatikan dan berkomentar tentang penampilan saya.")</f>
        <v>B Saya ingin orang lain memperhatikan dan berkomentar tentang penampilan saya.</v>
      </c>
      <c r="CG159" s="105" t="str">
        <f>IFERROR(__xludf.DUMMYFUNCTION("""COMPUTED_VALUE"""),"A Saya ingin berhasil dalam apa yang saya lakukan.")</f>
        <v>A Saya ingin berhasil dalam apa yang saya lakukan.</v>
      </c>
      <c r="CH159" s="105" t="str">
        <f>IFERROR(__xludf.DUMMYFUNCTION("""COMPUTED_VALUE"""),"B Saya suka dengan orang yang berpenampilan menarik.")</f>
        <v>B Saya suka dengan orang yang berpenampilan menarik.</v>
      </c>
      <c r="CI159" s="105" t="str">
        <f>IFERROR(__xludf.DUMMYFUNCTION("""COMPUTED_VALUE"""),"B Saya ingin dianggap menarik oleh orang lain.")</f>
        <v>B Saya ingin dianggap menarik oleh orang lain.</v>
      </c>
      <c r="CJ159" s="105" t="str">
        <f>IFERROR(__xludf.DUMMYFUNCTION("""COMPUTED_VALUE"""),"A Saya ingin tidak tergantung dari orang lain terhadap apa yang akan saya lakukan.")</f>
        <v>A Saya ingin tidak tergantung dari orang lain terhadap apa yang akan saya lakukan.</v>
      </c>
      <c r="CK159" s="105" t="str">
        <f>IFERROR(__xludf.DUMMYFUNCTION("""COMPUTED_VALUE"""),"A Saya suka bertahan menghadapi satu masalah, meskipun belum tentu berhasil.")</f>
        <v>A Saya suka bertahan menghadapi satu masalah, meskipun belum tentu berhasil.</v>
      </c>
      <c r="CL159" s="105" t="str">
        <f>IFERROR(__xludf.DUMMYFUNCTION("""COMPUTED_VALUE"""),"A Saya suka menolong teman-teman saya, apabila mereka dalam kesulitan.")</f>
        <v>A Saya suka menolong teman-teman saya, apabila mereka dalam kesulitan.</v>
      </c>
      <c r="CM159" s="105" t="str">
        <f>IFERROR(__xludf.DUMMYFUNCTION("""COMPUTED_VALUE"""),"B Saya merasa kagum pada seseorang.")</f>
        <v>B Saya merasa kagum pada seseorang.</v>
      </c>
      <c r="CN159" s="105" t="str">
        <f>IFERROR(__xludf.DUMMYFUNCTION("""COMPUTED_VALUE"""),"A Saya ingin diperlakukan dengan baik oleh teman-teman saya.")</f>
        <v>A Saya ingin diperlakukan dengan baik oleh teman-teman saya.</v>
      </c>
      <c r="CO159" s="105" t="str">
        <f>IFERROR(__xludf.DUMMYFUNCTION("""COMPUTED_VALUE"""),"A Saya suka menceritakan hal-hal lucu agar diperhatikan oleh orang lain.")</f>
        <v>A Saya suka menceritakan hal-hal lucu agar diperhatikan oleh orang lain.</v>
      </c>
      <c r="CP159" s="105" t="str">
        <f>IFERROR(__xludf.DUMMYFUNCTION("""COMPUTED_VALUE"""),"A Saya suka melamun atau membayangkan sesuatu sendirian.")</f>
        <v>A Saya suka melamun atau membayangkan sesuatu sendirian.</v>
      </c>
      <c r="CQ159" s="105" t="str">
        <f>IFERROR(__xludf.DUMMYFUNCTION("""COMPUTED_VALUE"""),"B Saya merasa kagum pada seseorang.")</f>
        <v>B Saya merasa kagum pada seseorang.</v>
      </c>
      <c r="CR159" s="105" t="str">
        <f>IFERROR(__xludf.DUMMYFUNCTION("""COMPUTED_VALUE"""),"B Saya rasanya ingin mengecam seseorang bila orang itu menjengkelkan.")</f>
        <v>B Saya rasanya ingin mengecam seseorang bila orang itu menjengkelkan.</v>
      </c>
      <c r="CS159" s="105" t="str">
        <f>IFERROR(__xludf.DUMMYFUNCTION("""COMPUTED_VALUE"""),"A Saya ingin terlihat menarik di depan teman-teman saya.")</f>
        <v>A Saya ingin terlihat menarik di depan teman-teman saya.</v>
      </c>
      <c r="CT159" s="105" t="str">
        <f>IFERROR(__xludf.DUMMYFUNCTION("""COMPUTED_VALUE"""),"B Saya saat marah rasanya ingin melemparkan dan merusak barang-barang.")</f>
        <v>B Saya saat marah rasanya ingin melemparkan dan merusak barang-barang.</v>
      </c>
      <c r="CU159" s="105" t="str">
        <f>IFERROR(__xludf.DUMMYFUNCTION("""COMPUTED_VALUE"""),"A Saya ingin diperlakukan dengan ramah oleh teman-teman saya.")</f>
        <v>A Saya ingin diperlakukan dengan ramah oleh teman-teman saya.</v>
      </c>
      <c r="CV159" s="105" t="str">
        <f>IFERROR(__xludf.DUMMYFUNCTION("""COMPUTED_VALUE"""),"A Saya ingin ditunjuk atau dipilih sebagai ketua dalam suatu kelompok.")</f>
        <v>A Saya ingin ditunjuk atau dipilih sebagai ketua dalam suatu kelompok.</v>
      </c>
      <c r="CW159" s="105" t="str">
        <f>IFERROR(__xludf.DUMMYFUNCTION("""COMPUTED_VALUE"""),"A Saya suka menolong teman-teman saya, apabila mereka dalam kesulitan.")</f>
        <v>A Saya suka menolong teman-teman saya, apabila mereka dalam kesulitan.</v>
      </c>
      <c r="CX159" s="105" t="str">
        <f>IFERROR(__xludf.DUMMYFUNCTION("""COMPUTED_VALUE"""),"A Saya suka belajar sampai malam untuk menyelesaikan suatu tugas.")</f>
        <v>A Saya suka belajar sampai malam untuk menyelesaikan suatu tugas.</v>
      </c>
      <c r="CY159" s="105" t="str">
        <f>IFERROR(__xludf.DUMMYFUNCTION("""COMPUTED_VALUE"""),"A Saya ingin tidak tergantung dari orang lain terhadap apa yang akan saya lakukan.")</f>
        <v>A Saya ingin tidak tergantung dari orang lain terhadap apa yang akan saya lakukan.</v>
      </c>
      <c r="CZ159" s="105" t="str">
        <f>IFERROR(__xludf.DUMMYFUNCTION("""COMPUTED_VALUE"""),"A Saya suka merencanakan dan mengatur setiap pekerjaan yang harus saya lakukan.")</f>
        <v>A Saya suka merencanakan dan mengatur setiap pekerjaan yang harus saya lakukan.</v>
      </c>
      <c r="DA159" s="105" t="str">
        <f>IFERROR(__xludf.DUMMYFUNCTION("""COMPUTED_VALUE"""),"A Saya ingin melakukan apa saja sebaik mungkin.")</f>
        <v>A Saya ingin melakukan apa saja sebaik mungkin.</v>
      </c>
      <c r="DB159" s="89" t="s">
        <v>23</v>
      </c>
      <c r="DC159" s="97" t="str">
        <f t="shared" ref="DC159:GX159" si="204">LEFT(F159,1)</f>
        <v>B</v>
      </c>
      <c r="DD159" s="97" t="str">
        <f t="shared" si="204"/>
        <v>B</v>
      </c>
      <c r="DE159" s="97" t="str">
        <f t="shared" si="204"/>
        <v>A</v>
      </c>
      <c r="DF159" s="97" t="str">
        <f t="shared" si="204"/>
        <v>A</v>
      </c>
      <c r="DG159" s="97" t="str">
        <f t="shared" si="204"/>
        <v>B</v>
      </c>
      <c r="DH159" s="97" t="str">
        <f t="shared" si="204"/>
        <v>B</v>
      </c>
      <c r="DI159" s="97" t="str">
        <f t="shared" si="204"/>
        <v>B</v>
      </c>
      <c r="DJ159" s="97" t="str">
        <f t="shared" si="204"/>
        <v>B</v>
      </c>
      <c r="DK159" s="97" t="str">
        <f t="shared" si="204"/>
        <v>A</v>
      </c>
      <c r="DL159" s="97" t="str">
        <f t="shared" si="204"/>
        <v>B</v>
      </c>
      <c r="DM159" s="97" t="str">
        <f t="shared" si="204"/>
        <v>B</v>
      </c>
      <c r="DN159" s="97" t="str">
        <f t="shared" si="204"/>
        <v>A</v>
      </c>
      <c r="DO159" s="97" t="str">
        <f t="shared" si="204"/>
        <v>B</v>
      </c>
      <c r="DP159" s="97" t="str">
        <f t="shared" si="204"/>
        <v>A</v>
      </c>
      <c r="DQ159" s="97" t="str">
        <f t="shared" si="204"/>
        <v>B</v>
      </c>
      <c r="DR159" s="97" t="str">
        <f t="shared" si="204"/>
        <v>A</v>
      </c>
      <c r="DS159" s="97" t="str">
        <f t="shared" si="204"/>
        <v>A</v>
      </c>
      <c r="DT159" s="97" t="str">
        <f t="shared" si="204"/>
        <v>A</v>
      </c>
      <c r="DU159" s="97" t="str">
        <f t="shared" si="204"/>
        <v>B</v>
      </c>
      <c r="DV159" s="97" t="str">
        <f t="shared" si="204"/>
        <v>B</v>
      </c>
      <c r="DW159" s="97" t="str">
        <f t="shared" si="204"/>
        <v>B</v>
      </c>
      <c r="DX159" s="97" t="str">
        <f t="shared" si="204"/>
        <v>B</v>
      </c>
      <c r="DY159" s="97" t="str">
        <f t="shared" si="204"/>
        <v>A</v>
      </c>
      <c r="DZ159" s="97" t="str">
        <f t="shared" si="204"/>
        <v>A</v>
      </c>
      <c r="EA159" s="97" t="str">
        <f t="shared" si="204"/>
        <v>A</v>
      </c>
      <c r="EB159" s="97" t="str">
        <f t="shared" si="204"/>
        <v>B</v>
      </c>
      <c r="EC159" s="97" t="str">
        <f t="shared" si="204"/>
        <v>A</v>
      </c>
      <c r="ED159" s="97" t="str">
        <f t="shared" si="204"/>
        <v>A</v>
      </c>
      <c r="EE159" s="97" t="str">
        <f t="shared" si="204"/>
        <v>A</v>
      </c>
      <c r="EF159" s="97" t="str">
        <f t="shared" si="204"/>
        <v>B</v>
      </c>
      <c r="EG159" s="97" t="str">
        <f t="shared" si="204"/>
        <v>A</v>
      </c>
      <c r="EH159" s="97" t="str">
        <f t="shared" si="204"/>
        <v>B</v>
      </c>
      <c r="EI159" s="97" t="str">
        <f t="shared" si="204"/>
        <v>B</v>
      </c>
      <c r="EJ159" s="97" t="str">
        <f t="shared" si="204"/>
        <v>B</v>
      </c>
      <c r="EK159" s="97" t="str">
        <f t="shared" si="204"/>
        <v>A</v>
      </c>
      <c r="EL159" s="97" t="str">
        <f t="shared" si="204"/>
        <v>A</v>
      </c>
      <c r="EM159" s="97" t="str">
        <f t="shared" si="204"/>
        <v>B</v>
      </c>
      <c r="EN159" s="97" t="str">
        <f t="shared" si="204"/>
        <v>B</v>
      </c>
      <c r="EO159" s="97" t="str">
        <f t="shared" si="204"/>
        <v>B</v>
      </c>
      <c r="EP159" s="97" t="str">
        <f t="shared" si="204"/>
        <v>A</v>
      </c>
      <c r="EQ159" s="97" t="str">
        <f t="shared" si="204"/>
        <v>B</v>
      </c>
      <c r="ER159" s="97" t="str">
        <f t="shared" si="204"/>
        <v>B</v>
      </c>
      <c r="ES159" s="97" t="str">
        <f t="shared" si="204"/>
        <v>B</v>
      </c>
      <c r="ET159" s="97" t="str">
        <f t="shared" si="204"/>
        <v>B</v>
      </c>
      <c r="EU159" s="97" t="str">
        <f t="shared" si="204"/>
        <v>A</v>
      </c>
      <c r="EV159" s="97" t="str">
        <f t="shared" si="204"/>
        <v>A</v>
      </c>
      <c r="EW159" s="97" t="str">
        <f t="shared" si="204"/>
        <v>B</v>
      </c>
      <c r="EX159" s="97" t="str">
        <f t="shared" si="204"/>
        <v>B</v>
      </c>
      <c r="EY159" s="97" t="str">
        <f t="shared" si="204"/>
        <v>A</v>
      </c>
      <c r="EZ159" s="97" t="str">
        <f t="shared" si="204"/>
        <v>B</v>
      </c>
      <c r="FA159" s="97" t="str">
        <f t="shared" si="204"/>
        <v>A</v>
      </c>
      <c r="FB159" s="97" t="str">
        <f t="shared" si="204"/>
        <v>B</v>
      </c>
      <c r="FC159" s="97" t="str">
        <f t="shared" si="204"/>
        <v>B</v>
      </c>
      <c r="FD159" s="97" t="str">
        <f t="shared" si="204"/>
        <v>B</v>
      </c>
      <c r="FE159" s="97" t="str">
        <f t="shared" si="204"/>
        <v>A</v>
      </c>
      <c r="FF159" s="97" t="str">
        <f t="shared" si="204"/>
        <v>A</v>
      </c>
      <c r="FG159" s="97" t="str">
        <f t="shared" si="204"/>
        <v>A</v>
      </c>
      <c r="FH159" s="97" t="str">
        <f t="shared" si="204"/>
        <v>A</v>
      </c>
      <c r="FI159" s="97" t="str">
        <f t="shared" si="204"/>
        <v>B</v>
      </c>
      <c r="FJ159" s="97" t="str">
        <f t="shared" si="204"/>
        <v>A</v>
      </c>
      <c r="FK159" s="97" t="str">
        <f t="shared" si="204"/>
        <v>B</v>
      </c>
      <c r="FL159" s="97" t="str">
        <f t="shared" si="204"/>
        <v>B</v>
      </c>
      <c r="FM159" s="97" t="str">
        <f t="shared" si="204"/>
        <v>A</v>
      </c>
      <c r="FN159" s="97" t="str">
        <f t="shared" si="204"/>
        <v>A</v>
      </c>
      <c r="FO159" s="97" t="str">
        <f t="shared" si="204"/>
        <v>A</v>
      </c>
      <c r="FP159" s="97" t="str">
        <f t="shared" si="204"/>
        <v>B</v>
      </c>
      <c r="FQ159" s="97" t="str">
        <f t="shared" si="204"/>
        <v>B</v>
      </c>
      <c r="FR159" s="97" t="str">
        <f t="shared" si="204"/>
        <v>A</v>
      </c>
      <c r="FS159" s="97" t="str">
        <f t="shared" si="204"/>
        <v>A</v>
      </c>
      <c r="FT159" s="97" t="str">
        <f t="shared" si="204"/>
        <v>B</v>
      </c>
      <c r="FU159" s="97" t="str">
        <f t="shared" si="204"/>
        <v>B</v>
      </c>
      <c r="FV159" s="97" t="str">
        <f t="shared" si="204"/>
        <v>A</v>
      </c>
      <c r="FW159" s="97" t="str">
        <f t="shared" si="204"/>
        <v>A</v>
      </c>
      <c r="FX159" s="97" t="str">
        <f t="shared" si="204"/>
        <v>B</v>
      </c>
      <c r="FY159" s="97" t="str">
        <f t="shared" si="204"/>
        <v>B</v>
      </c>
      <c r="FZ159" s="97" t="str">
        <f t="shared" si="204"/>
        <v>B</v>
      </c>
      <c r="GA159" s="97" t="str">
        <f t="shared" si="204"/>
        <v>A</v>
      </c>
      <c r="GB159" s="97" t="str">
        <f t="shared" si="204"/>
        <v>A</v>
      </c>
      <c r="GC159" s="97" t="str">
        <f t="shared" si="204"/>
        <v>B</v>
      </c>
      <c r="GD159" s="97" t="str">
        <f t="shared" si="204"/>
        <v>A</v>
      </c>
      <c r="GE159" s="97" t="str">
        <f t="shared" si="204"/>
        <v>B</v>
      </c>
      <c r="GF159" s="97" t="str">
        <f t="shared" si="204"/>
        <v>B</v>
      </c>
      <c r="GG159" s="97" t="str">
        <f t="shared" si="204"/>
        <v>A</v>
      </c>
      <c r="GH159" s="97" t="str">
        <f t="shared" si="204"/>
        <v>A</v>
      </c>
      <c r="GI159" s="97" t="str">
        <f t="shared" si="204"/>
        <v>A</v>
      </c>
      <c r="GJ159" s="97" t="str">
        <f t="shared" si="204"/>
        <v>B</v>
      </c>
      <c r="GK159" s="97" t="str">
        <f t="shared" si="204"/>
        <v>A</v>
      </c>
      <c r="GL159" s="97" t="str">
        <f t="shared" si="204"/>
        <v>A</v>
      </c>
      <c r="GM159" s="97" t="str">
        <f t="shared" si="204"/>
        <v>A</v>
      </c>
      <c r="GN159" s="97" t="str">
        <f t="shared" si="204"/>
        <v>B</v>
      </c>
      <c r="GO159" s="97" t="str">
        <f t="shared" si="204"/>
        <v>B</v>
      </c>
      <c r="GP159" s="97" t="str">
        <f t="shared" si="204"/>
        <v>A</v>
      </c>
      <c r="GQ159" s="97" t="str">
        <f t="shared" si="204"/>
        <v>B</v>
      </c>
      <c r="GR159" s="97" t="str">
        <f t="shared" si="204"/>
        <v>A</v>
      </c>
      <c r="GS159" s="97" t="str">
        <f t="shared" si="204"/>
        <v>A</v>
      </c>
      <c r="GT159" s="97" t="str">
        <f t="shared" si="204"/>
        <v>A</v>
      </c>
      <c r="GU159" s="97" t="str">
        <f t="shared" si="204"/>
        <v>A</v>
      </c>
      <c r="GV159" s="97" t="str">
        <f t="shared" si="204"/>
        <v>A</v>
      </c>
      <c r="GW159" s="97" t="str">
        <f t="shared" si="204"/>
        <v>A</v>
      </c>
      <c r="GX159" s="97" t="str">
        <f t="shared" si="204"/>
        <v>A</v>
      </c>
      <c r="GY159" s="98"/>
      <c r="GZ159" s="97">
        <f t="shared" si="3"/>
        <v>51</v>
      </c>
      <c r="HA159" s="97">
        <f t="shared" si="4"/>
        <v>49</v>
      </c>
      <c r="HB159" s="90">
        <f t="shared" si="5"/>
        <v>100</v>
      </c>
      <c r="HC159" s="99"/>
      <c r="HD159" s="97">
        <f t="shared" si="6"/>
        <v>4</v>
      </c>
      <c r="HE159" s="97">
        <f t="shared" si="7"/>
        <v>6</v>
      </c>
      <c r="HF159" s="90">
        <f t="shared" si="8"/>
        <v>10</v>
      </c>
      <c r="HG159" s="99"/>
      <c r="HH159" s="97">
        <f t="shared" si="9"/>
        <v>1</v>
      </c>
      <c r="HI159" s="97">
        <f t="shared" si="10"/>
        <v>5</v>
      </c>
      <c r="HJ159" s="90">
        <f t="shared" si="11"/>
        <v>6</v>
      </c>
      <c r="HK159" s="99"/>
      <c r="HL159" s="97">
        <f t="shared" si="12"/>
        <v>7</v>
      </c>
      <c r="HM159" s="97">
        <f t="shared" si="13"/>
        <v>4</v>
      </c>
      <c r="HN159" s="90">
        <f t="shared" si="14"/>
        <v>11</v>
      </c>
      <c r="HO159" s="99"/>
      <c r="HP159" s="97">
        <f t="shared" si="15"/>
        <v>8</v>
      </c>
      <c r="HQ159" s="97">
        <f t="shared" si="16"/>
        <v>6</v>
      </c>
      <c r="HR159" s="90">
        <f t="shared" si="17"/>
        <v>14</v>
      </c>
      <c r="HS159" s="99"/>
      <c r="HT159" s="97">
        <f t="shared" si="18"/>
        <v>7</v>
      </c>
      <c r="HU159" s="97">
        <f t="shared" si="19"/>
        <v>7</v>
      </c>
      <c r="HV159" s="90">
        <f t="shared" si="20"/>
        <v>14</v>
      </c>
      <c r="HW159" s="99"/>
      <c r="HX159" s="97">
        <f t="shared" si="21"/>
        <v>3</v>
      </c>
      <c r="HY159" s="97">
        <f t="shared" si="22"/>
        <v>4</v>
      </c>
      <c r="HZ159" s="90">
        <f t="shared" si="23"/>
        <v>7</v>
      </c>
      <c r="IA159" s="99"/>
      <c r="IB159" s="97">
        <f t="shared" si="24"/>
        <v>4</v>
      </c>
      <c r="IC159" s="97">
        <f t="shared" si="25"/>
        <v>5</v>
      </c>
      <c r="ID159" s="90">
        <f t="shared" si="26"/>
        <v>9</v>
      </c>
      <c r="IE159" s="99"/>
      <c r="IF159" s="97">
        <f t="shared" si="27"/>
        <v>3</v>
      </c>
      <c r="IG159" s="97">
        <f t="shared" si="28"/>
        <v>5</v>
      </c>
      <c r="IH159" s="90">
        <f t="shared" si="29"/>
        <v>8</v>
      </c>
      <c r="II159" s="99"/>
      <c r="IJ159" s="97">
        <f t="shared" si="30"/>
        <v>7</v>
      </c>
      <c r="IK159" s="97">
        <f t="shared" si="31"/>
        <v>4</v>
      </c>
      <c r="IL159" s="90">
        <f t="shared" si="32"/>
        <v>11</v>
      </c>
      <c r="IM159" s="99"/>
      <c r="IN159" s="97">
        <f t="shared" si="33"/>
        <v>2</v>
      </c>
      <c r="IO159" s="97">
        <f t="shared" si="34"/>
        <v>2</v>
      </c>
      <c r="IP159" s="90">
        <f t="shared" si="35"/>
        <v>4</v>
      </c>
      <c r="IS159" s="100">
        <f t="shared" si="36"/>
        <v>10</v>
      </c>
      <c r="IT159" s="100">
        <f t="shared" si="37"/>
        <v>6</v>
      </c>
      <c r="IU159" s="100">
        <f t="shared" si="38"/>
        <v>11</v>
      </c>
      <c r="IV159" s="100">
        <f t="shared" si="39"/>
        <v>14</v>
      </c>
      <c r="IW159" s="100">
        <f t="shared" si="40"/>
        <v>14</v>
      </c>
      <c r="IX159" s="100">
        <f t="shared" si="41"/>
        <v>7</v>
      </c>
      <c r="IY159" s="100">
        <f t="shared" si="42"/>
        <v>9</v>
      </c>
      <c r="IZ159" s="100">
        <f t="shared" si="43"/>
        <v>8</v>
      </c>
      <c r="JA159" s="100">
        <f t="shared" si="44"/>
        <v>11</v>
      </c>
      <c r="JB159" s="101">
        <f t="shared" si="45"/>
        <v>4</v>
      </c>
      <c r="JC159" s="102">
        <f t="shared" si="46"/>
        <v>94</v>
      </c>
      <c r="JD159" s="67">
        <f t="shared" si="50"/>
        <v>0</v>
      </c>
      <c r="JE159" s="67">
        <f t="shared" si="47"/>
        <v>1</v>
      </c>
      <c r="JF159" s="67">
        <f t="shared" si="48"/>
        <v>1</v>
      </c>
    </row>
    <row r="160">
      <c r="A160" s="104">
        <f>IFERROR(__xludf.DUMMYFUNCTION("""COMPUTED_VALUE"""),46070.51699795139)</f>
        <v>46070.517</v>
      </c>
      <c r="B160" s="105" t="str">
        <f>IFERROR(__xludf.DUMMYFUNCTION("""COMPUTED_VALUE"""),"hudzaifah al fawwaz")</f>
        <v>hudzaifah al fawwaz</v>
      </c>
      <c r="C160" s="7" t="str">
        <f>IFERROR(__xludf.DUMMYFUNCTION("""COMPUTED_VALUE"""),"000000")</f>
        <v>000000</v>
      </c>
      <c r="D160" s="7" t="str">
        <f>IFERROR(__xludf.DUMMYFUNCTION("""COMPUTED_VALUE"""),"IL Putra")</f>
        <v>IL Putra</v>
      </c>
      <c r="E160" s="7" t="str">
        <f>IFERROR(__xludf.DUMMYFUNCTION("""COMPUTED_VALUE"""),"Ya")</f>
        <v>Ya</v>
      </c>
      <c r="F160" s="105" t="str">
        <f>IFERROR(__xludf.DUMMYFUNCTION("""COMPUTED_VALUE"""),"B Saya ingin melakukan apa saja sebaik mungkin.")</f>
        <v>B Saya ingin melakukan apa saja sebaik mungkin.</v>
      </c>
      <c r="G160" s="105" t="str">
        <f>IFERROR(__xludf.DUMMYFUNCTION("""COMPUTED_VALUE"""),"A Saya ingin setiap tulisan saya teliti, rapi, dan tersusun dengan baik.")</f>
        <v>A Saya ingin setiap tulisan saya teliti, rapi, dan tersusun dengan baik.</v>
      </c>
      <c r="H160" s="105" t="str">
        <f>IFERROR(__xludf.DUMMYFUNCTION("""COMPUTED_VALUE"""),"A Saya ingin berbuat sesuai kata hati saya.")</f>
        <v>A Saya ingin berbuat sesuai kata hati saya.</v>
      </c>
      <c r="I160" s="105" t="str">
        <f>IFERROR(__xludf.DUMMYFUNCTION("""COMPUTED_VALUE"""),"B Saya ingin bisa melakukan dengan baik meskipun tugas yang sulit.")</f>
        <v>B Saya ingin bisa melakukan dengan baik meskipun tugas yang sulit.</v>
      </c>
      <c r="J160" s="105" t="str">
        <f>IFERROR(__xludf.DUMMYFUNCTION("""COMPUTED_VALUE"""),"A Saya suka membantu teman-teman saya apabila mereka mengalami kesulitan.")</f>
        <v>A Saya suka membantu teman-teman saya apabila mereka mengalami kesulitan.</v>
      </c>
      <c r="K160" s="105" t="str">
        <f>IFERROR(__xludf.DUMMYFUNCTION("""COMPUTED_VALUE"""),"B Saya ingin mengatakan telah melakukan dengan baik sesuatu tugas yang sulit.")</f>
        <v>B Saya ingin mengatakan telah melakukan dengan baik sesuatu tugas yang sulit.</v>
      </c>
      <c r="L160" s="105" t="str">
        <f>IFERROR(__xludf.DUMMYFUNCTION("""COMPUTED_VALUE"""),"B Saya ingin mengatakan telah melakukan dengan baik sesuatu tugas yang sulit")</f>
        <v>B Saya ingin mengatakan telah melakukan dengan baik sesuatu tugas yang sulit</v>
      </c>
      <c r="M160" s="105" t="str">
        <f>IFERROR(__xludf.DUMMYFUNCTION("""COMPUTED_VALUE"""),"B Saya ingin mengerjakan segala tugas lebih baik daripada orang lain.")</f>
        <v>B Saya ingin mengerjakan segala tugas lebih baik daripada orang lain.</v>
      </c>
      <c r="N160" s="105" t="str">
        <f>IFERROR(__xludf.DUMMYFUNCTION("""COMPUTED_VALUE"""),"A Saya suka pergi dengan pakaian rapi agar lebih menarik perhatian orang lain.")</f>
        <v>A Saya suka pergi dengan pakaian rapi agar lebih menarik perhatian orang lain.</v>
      </c>
      <c r="O160" s="105" t="str">
        <f>IFERROR(__xludf.DUMMYFUNCTION("""COMPUTED_VALUE"""),"B Saya suka melakukan tugas sebaik mungkin.")</f>
        <v>B Saya suka melakukan tugas sebaik mungkin.</v>
      </c>
      <c r="P160" s="105" t="str">
        <f>IFERROR(__xludf.DUMMYFUNCTION("""COMPUTED_VALUE"""),"B Saya ingin setiap belajar itu teratur dan direncanakan.")</f>
        <v>B Saya ingin setiap belajar itu teratur dan direncanakan.</v>
      </c>
      <c r="Q160" s="105" t="str">
        <f>IFERROR(__xludf.DUMMYFUNCTION("""COMPUTED_VALUE"""),"B Saya merencanakan keperluan yang dibutuhkan sebelum bepergian.")</f>
        <v>B Saya merencanakan keperluan yang dibutuhkan sebelum bepergian.</v>
      </c>
      <c r="R160" s="105" t="str">
        <f>IFERROR(__xludf.DUMMYFUNCTION("""COMPUTED_VALUE"""),"B Saya suka barang-barang saya tersusun rapi dan teratur.")</f>
        <v>B Saya suka barang-barang saya tersusun rapi dan teratur.</v>
      </c>
      <c r="S160" s="105" t="str">
        <f>IFERROR(__xludf.DUMMYFUNCTION("""COMPUTED_VALUE"""),"A Saya ingin agar teman-teman pengertian bila saya mengalami kesukaran.")</f>
        <v>A Saya ingin agar teman-teman pengertian bila saya mengalami kesukaran.</v>
      </c>
      <c r="T160" s="105" t="str">
        <f>IFERROR(__xludf.DUMMYFUNCTION("""COMPUTED_VALUE"""),"B Saya ingin agar hidup saya teratur sesuai cita-cita saya.")</f>
        <v>B Saya ingin agar hidup saya teratur sesuai cita-cita saya.</v>
      </c>
      <c r="U160" s="105" t="str">
        <f>IFERROR(__xludf.DUMMYFUNCTION("""COMPUTED_VALUE"""),"A Saya suka memberikan bantuan kepada teman-teman saya.")</f>
        <v>A Saya suka memberikan bantuan kepada teman-teman saya.</v>
      </c>
      <c r="V160" s="105" t="str">
        <f>IFERROR(__xludf.DUMMYFUNCTION("""COMPUTED_VALUE"""),"B Saya suka belajar saya teratur dan ada waktu-waktu tertentu untuk belajar.")</f>
        <v>B Saya suka belajar saya teratur dan ada waktu-waktu tertentu untuk belajar.</v>
      </c>
      <c r="W160" s="105" t="str">
        <f>IFERROR(__xludf.DUMMYFUNCTION("""COMPUTED_VALUE"""),"B Saya ingin kegiatan itu teratur dan direncanakan.")</f>
        <v>B Saya ingin kegiatan itu teratur dan direncanakan.</v>
      </c>
      <c r="X160" s="105" t="str">
        <f>IFERROR(__xludf.DUMMYFUNCTION("""COMPUTED_VALUE"""),"B Saya ingin agar hidup saya teratur sesuai cita-cita saya.")</f>
        <v>B Saya ingin agar hidup saya teratur sesuai cita-cita saya.</v>
      </c>
      <c r="Y160" s="105" t="str">
        <f>IFERROR(__xludf.DUMMYFUNCTION("""COMPUTED_VALUE"""),"B Saya senang merencanakan untuk masa depan.")</f>
        <v>B Saya senang merencanakan untuk masa depan.</v>
      </c>
      <c r="Z160" s="105" t="str">
        <f>IFERROR(__xludf.DUMMYFUNCTION("""COMPUTED_VALUE"""),"B Saya ingin merasa bebas untuk melakukan apa yang saya inginkan.")</f>
        <v>B Saya ingin merasa bebas untuk melakukan apa yang saya inginkan.</v>
      </c>
      <c r="AA160" s="105" t="str">
        <f>IFERROR(__xludf.DUMMYFUNCTION("""COMPUTED_VALUE"""),"B Saya tidak suka pada orang yang berbuat seenaknya sendiri.")</f>
        <v>B Saya tidak suka pada orang yang berbuat seenaknya sendiri.</v>
      </c>
      <c r="AB160" s="105" t="str">
        <f>IFERROR(__xludf.DUMMYFUNCTION("""COMPUTED_VALUE"""),"B Saya ingin menyelesaikan pekerjaan satu persatu sebelum memulai yang lain.")</f>
        <v>B Saya ingin menyelesaikan pekerjaan satu persatu sebelum memulai yang lain.</v>
      </c>
      <c r="AC160" s="105" t="str">
        <f>IFERROR(__xludf.DUMMYFUNCTION("""COMPUTED_VALUE"""),"B Saya suka melakukan kegiatan sesuai kondisi yang saya inginkan.")</f>
        <v>B Saya suka melakukan kegiatan sesuai kondisi yang saya inginkan.</v>
      </c>
      <c r="AD160" s="105" t="str">
        <f>IFERROR(__xludf.DUMMYFUNCTION("""COMPUTED_VALUE"""),"A Saya suka bermurah hati terhadap teman-teman saya.")</f>
        <v>A Saya suka bermurah hati terhadap teman-teman saya.</v>
      </c>
      <c r="AE160" s="105" t="str">
        <f>IFERROR(__xludf.DUMMYFUNCTION("""COMPUTED_VALUE"""),"A Saya ingin dianggap sebagai pemimpin oleh teman di kelompok.")</f>
        <v>A Saya ingin dianggap sebagai pemimpin oleh teman di kelompok.</v>
      </c>
      <c r="AF160" s="105" t="str">
        <f>IFERROR(__xludf.DUMMYFUNCTION("""COMPUTED_VALUE"""),"A Saya ingin agar teman-teman mengerti bila saya mengalami kesukaran.")</f>
        <v>A Saya ingin agar teman-teman mengerti bila saya mengalami kesukaran.</v>
      </c>
      <c r="AG160" s="105" t="str">
        <f>IFERROR(__xludf.DUMMYFUNCTION("""COMPUTED_VALUE"""),"B Saya ingin berhasil dengan tugas yang saya lakukan.")</f>
        <v>B Saya ingin berhasil dengan tugas yang saya lakukan.</v>
      </c>
      <c r="AH160" s="105" t="str">
        <f>IFERROR(__xludf.DUMMYFUNCTION("""COMPUTED_VALUE"""),"B Saya ingin merasa bebas untuk melakukan apa yang saya kehendaki.")</f>
        <v>B Saya ingin merasa bebas untuk melakukan apa yang saya kehendaki.</v>
      </c>
      <c r="AI160" s="105" t="str">
        <f>IFERROR(__xludf.DUMMYFUNCTION("""COMPUTED_VALUE"""),"B Saya suka melakukan kegiatan sesuai kondisi yang saya inginkan.")</f>
        <v>B Saya suka melakukan kegiatan sesuai kondisi yang saya inginkan.</v>
      </c>
      <c r="AJ160" s="105" t="str">
        <f>IFERROR(__xludf.DUMMYFUNCTION("""COMPUTED_VALUE"""),"B Saya suka bertahan menghadapi satu masalah meskipun belum tentu berhasil.")</f>
        <v>B Saya suka bertahan menghadapi satu masalah meskipun belum tentu berhasil.</v>
      </c>
      <c r="AK160" s="105" t="str">
        <f>IFERROR(__xludf.DUMMYFUNCTION("""COMPUTED_VALUE"""),"B Bila saya harus melakukan suatu tugas, saya ingin mengerjakan sampai selesai.")</f>
        <v>B Bila saya harus melakukan suatu tugas, saya ingin mengerjakan sampai selesai.</v>
      </c>
      <c r="AL160" s="105" t="str">
        <f>IFERROR(__xludf.DUMMYFUNCTION("""COMPUTED_VALUE"""),"B Saya ingin menghindarkan gangguan bila saya sedang belajar.")</f>
        <v>B Saya ingin menghindarkan gangguan bila saya sedang belajar.</v>
      </c>
      <c r="AM160" s="105" t="str">
        <f>IFERROR(__xludf.DUMMYFUNCTION("""COMPUTED_VALUE"""),"B Saya suka belajar sampai malam untuk menyelesaikan suatu tugas.")</f>
        <v>B Saya suka belajar sampai malam untuk menyelesaikan suatu tugas.</v>
      </c>
      <c r="AN160" s="105" t="str">
        <f>IFERROR(__xludf.DUMMYFUNCTION("""COMPUTED_VALUE"""),"A Saya tidak suka pada orang yang semena-mena.")</f>
        <v>A Saya tidak suka pada orang yang semena-mena.</v>
      </c>
      <c r="AO160" s="105" t="str">
        <f>IFERROR(__xludf.DUMMYFUNCTION("""COMPUTED_VALUE"""),"A Saya suka berlaku sangat ramah terhadap teman-teman saya.")</f>
        <v>A Saya suka berlaku sangat ramah terhadap teman-teman saya.</v>
      </c>
      <c r="AP160" s="105" t="str">
        <f>IFERROR(__xludf.DUMMYFUNCTION("""COMPUTED_VALUE"""),"A Saya ingin mengerjakannya tugas sampai selesai.")</f>
        <v>A Saya ingin mengerjakannya tugas sampai selesai.</v>
      </c>
      <c r="AQ160" s="105" t="str">
        <f>IFERROR(__xludf.DUMMYFUNCTION("""COMPUTED_VALUE"""),"B Bila saya harus melakukan suatu tugas, saya ingin mengerjakan sampai selesai.")</f>
        <v>B Bila saya harus melakukan suatu tugas, saya ingin mengerjakan sampai selesai.</v>
      </c>
      <c r="AR160" s="105" t="str">
        <f>IFERROR(__xludf.DUMMYFUNCTION("""COMPUTED_VALUE"""),"A Saya suka menyimpan catatan secara rapi.")</f>
        <v>A Saya suka menyimpan catatan secara rapi.</v>
      </c>
      <c r="AS160" s="105" t="str">
        <f>IFERROR(__xludf.DUMMYFUNCTION("""COMPUTED_VALUE"""),"A Saya ingin dapat menyelesaikan persoalan yang dianggap sukar bagi orang lain.")</f>
        <v>A Saya ingin dapat menyelesaikan persoalan yang dianggap sukar bagi orang lain.</v>
      </c>
      <c r="AT160" s="105" t="str">
        <f>IFERROR(__xludf.DUMMYFUNCTION("""COMPUTED_VALUE"""),"B Saya suka membantu orang lain yang menurut saya perlu dikasihani.")</f>
        <v>B Saya suka membantu orang lain yang menurut saya perlu dikasihani.</v>
      </c>
      <c r="AU160" s="105" t="str">
        <f>IFERROR(__xludf.DUMMYFUNCTION("""COMPUTED_VALUE"""),"B Saya suka bermurah hati terhadap teman-teman saya.")</f>
        <v>B Saya suka bermurah hati terhadap teman-teman saya.</v>
      </c>
      <c r="AV160" s="105" t="str">
        <f>IFERROR(__xludf.DUMMYFUNCTION("""COMPUTED_VALUE"""),"B Saya suka menolong teman-teman saya.")</f>
        <v>B Saya suka menolong teman-teman saya.</v>
      </c>
      <c r="AW160" s="105" t="str">
        <f>IFERROR(__xludf.DUMMYFUNCTION("""COMPUTED_VALUE"""),"A Saya ingin mengerjakan tugas sampai selesai.")</f>
        <v>A Saya ingin mengerjakan tugas sampai selesai.</v>
      </c>
      <c r="AX160" s="105" t="str">
        <f>IFERROR(__xludf.DUMMYFUNCTION("""COMPUTED_VALUE"""),"B Saya suka memaafkan teman-teman saya yang menyakiti hati saya.")</f>
        <v>B Saya suka memaafkan teman-teman saya yang menyakiti hati saya.</v>
      </c>
      <c r="AY160" s="105" t="str">
        <f>IFERROR(__xludf.DUMMYFUNCTION("""COMPUTED_VALUE"""),"B Saya suka menolong teman-teman saya apabila mereka dalam kesulitan.")</f>
        <v>B Saya suka menolong teman-teman saya apabila mereka dalam kesulitan.</v>
      </c>
      <c r="AZ160" s="105" t="str">
        <f>IFERROR(__xludf.DUMMYFUNCTION("""COMPUTED_VALUE"""),"B Saya suka menunjukkan simpati saya kepada teman-teman saya.")</f>
        <v>B Saya suka menunjukkan simpati saya kepada teman-teman saya.</v>
      </c>
      <c r="BA160" s="105" t="str">
        <f>IFERROR(__xludf.DUMMYFUNCTION("""COMPUTED_VALUE"""),"B Saya suka memperlakukan orang lain dengan baik dan ramah.")</f>
        <v>B Saya suka memperlakukan orang lain dengan baik dan ramah.</v>
      </c>
      <c r="BB160" s="105" t="str">
        <f>IFERROR(__xludf.DUMMYFUNCTION("""COMPUTED_VALUE"""),"A Saya berkeinginan untuk bersama orang yang menarik bagi saya.")</f>
        <v>A Saya berkeinginan untuk bersama orang yang menarik bagi saya.</v>
      </c>
      <c r="BC160" s="105" t="str">
        <f>IFERROR(__xludf.DUMMYFUNCTION("""COMPUTED_VALUE"""),"B Saya suka membantu orang lain yang menurut saya perlu dikasihani.")</f>
        <v>B Saya suka membantu orang lain yang menurut saya perlu dikasihani.</v>
      </c>
      <c r="BD160" s="105" t="str">
        <f>IFERROR(__xludf.DUMMYFUNCTION("""COMPUTED_VALUE"""),"B Saya suka bersikukuh dengan pendirian saya.")</f>
        <v>B Saya suka bersikukuh dengan pendirian saya.</v>
      </c>
      <c r="BE160" s="105" t="str">
        <f>IFERROR(__xludf.DUMMYFUNCTION("""COMPUTED_VALUE"""),"B Saya ingin orang lain melakukan apa yang saya kehendaki.")</f>
        <v>B Saya ingin orang lain melakukan apa yang saya kehendaki.</v>
      </c>
      <c r="BF160" s="105" t="str">
        <f>IFERROR(__xludf.DUMMYFUNCTION("""COMPUTED_VALUE"""),"B Bila saya dalam kelompok, saya ingin menentukan apa yang akan kita lakukan.")</f>
        <v>B Bila saya dalam kelompok, saya ingin menentukan apa yang akan kita lakukan.</v>
      </c>
      <c r="BG160" s="105" t="str">
        <f>IFERROR(__xludf.DUMMYFUNCTION("""COMPUTED_VALUE"""),"B Saya suka mengarahkan kepada orang lain apa yang harus dilakukan.")</f>
        <v>B Saya suka mengarahkan kepada orang lain apa yang harus dilakukan.</v>
      </c>
      <c r="BH160" s="105" t="str">
        <f>IFERROR(__xludf.DUMMYFUNCTION("""COMPUTED_VALUE"""),"A Saya suka menghindar dari situasi yang tidak saya harapkan.")</f>
        <v>A Saya suka menghindar dari situasi yang tidak saya harapkan.</v>
      </c>
      <c r="BI160" s="105" t="str">
        <f>IFERROR(__xludf.DUMMYFUNCTION("""COMPUTED_VALUE"""),"A Saya suka bermurah hati terhadap teman-teman saya.")</f>
        <v>A Saya suka bermurah hati terhadap teman-teman saya.</v>
      </c>
      <c r="BJ160" s="105" t="str">
        <f>IFERROR(__xludf.DUMMYFUNCTION("""COMPUTED_VALUE"""),"A Saya ingin mengerjakan tugas sampai selesai.")</f>
        <v>A Saya ingin mengerjakan tugas sampai selesai.</v>
      </c>
      <c r="BK160" s="105" t="str">
        <f>IFERROR(__xludf.DUMMYFUNCTION("""COMPUTED_VALUE"""),"A Saya ingin menyelesaikan pekerjaan satu persatu sebelum memulai yang lain.")</f>
        <v>A Saya ingin menyelesaikan pekerjaan satu persatu sebelum memulai yang lain.</v>
      </c>
      <c r="BL160" s="105" t="str">
        <f>IFERROR(__xludf.DUMMYFUNCTION("""COMPUTED_VALUE"""),"A Saya suka belajar saya teratur dan ada waktu-waktu tertentu untuk belajar.")</f>
        <v>A Saya suka belajar saya teratur dan ada waktu-waktu tertentu untuk belajar.</v>
      </c>
      <c r="BM160" s="105" t="str">
        <f>IFERROR(__xludf.DUMMYFUNCTION("""COMPUTED_VALUE"""),"A Saya suka melakukan pekerjaan sebaik mungkin.")</f>
        <v>A Saya suka melakukan pekerjaan sebaik mungkin.</v>
      </c>
      <c r="BN160" s="105" t="str">
        <f>IFERROR(__xludf.DUMMYFUNCTION("""COMPUTED_VALUE"""),"B Saya ingin teman-teman memberi dorongan bila saya menghadapi kegagalan.")</f>
        <v>B Saya ingin teman-teman memberi dorongan bila saya menghadapi kegagalan.</v>
      </c>
      <c r="BO160" s="105" t="str">
        <f>IFERROR(__xludf.DUMMYFUNCTION("""COMPUTED_VALUE"""),"B Saya ingin diperlakukan dengan baik oleh teman-teman saya.")</f>
        <v>B Saya ingin diperlakukan dengan baik oleh teman-teman saya.</v>
      </c>
      <c r="BP160" s="105" t="str">
        <f>IFERROR(__xludf.DUMMYFUNCTION("""COMPUTED_VALUE"""),"A Saya ingin menyelesaikan sesuatu yang sangat penting artinya.")</f>
        <v>A Saya ingin menyelesaikan sesuatu yang sangat penting artinya.</v>
      </c>
      <c r="BQ160" s="105" t="str">
        <f>IFERROR(__xludf.DUMMYFUNCTION("""COMPUTED_VALUE"""),"A Saya ingin mengerjakannya tugas sampai selesai.")</f>
        <v>A Saya ingin mengerjakannya tugas sampai selesai.</v>
      </c>
      <c r="BR160" s="105" t="str">
        <f>IFERROR(__xludf.DUMMYFUNCTION("""COMPUTED_VALUE"""),"A Saya suka memaafkan teman-teman saya yang menyakiti hati saya.")</f>
        <v>A Saya suka memaafkan teman-teman saya yang menyakiti hati saya.</v>
      </c>
      <c r="BS160" s="105" t="str">
        <f>IFERROR(__xludf.DUMMYFUNCTION("""COMPUTED_VALUE"""),"B Saya ingin teman-teman saya membantu saya bila saya mengalami kesulitan")</f>
        <v>B Saya ingin teman-teman saya membantu saya bila saya mengalami kesulitan</v>
      </c>
      <c r="BT160" s="105" t="str">
        <f>IFERROR(__xludf.DUMMYFUNCTION("""COMPUTED_VALUE"""),"B Saya ingin teman-teman banyak menunjukkan rasa sayang mereka terhadap saya.")</f>
        <v>B Saya ingin teman-teman banyak menunjukkan rasa sayang mereka terhadap saya.</v>
      </c>
      <c r="BU160" s="105" t="str">
        <f>IFERROR(__xludf.DUMMYFUNCTION("""COMPUTED_VALUE"""),"A Saya kadang-kadang suka melakukan hal-hal yang dapat dipuji oleh orang lain.")</f>
        <v>A Saya kadang-kadang suka melakukan hal-hal yang dapat dipuji oleh orang lain.</v>
      </c>
      <c r="BV160" s="105" t="str">
        <f>IFERROR(__xludf.DUMMYFUNCTION("""COMPUTED_VALUE"""),"B Saya ingin teman-teman dengan gembira memberikan pertolongan kepada saya.")</f>
        <v>B Saya ingin teman-teman dengan gembira memberikan pertolongan kepada saya.</v>
      </c>
      <c r="BW160" s="105" t="str">
        <f>IFERROR(__xludf.DUMMYFUNCTION("""COMPUTED_VALUE"""),"B Saya ingin diperlakukan dengan baik oleh teman-teman saya.")</f>
        <v>B Saya ingin diperlakukan dengan baik oleh teman-teman saya.</v>
      </c>
      <c r="BX160" s="105" t="str">
        <f>IFERROR(__xludf.DUMMYFUNCTION("""COMPUTED_VALUE"""),"B Saya kadang-kadang suka melakukan hal-hal yang dapat dipuji oleh orang lain.")</f>
        <v>B Saya kadang-kadang suka melakukan hal-hal yang dapat dipuji oleh orang lain.</v>
      </c>
      <c r="BY160" s="105" t="str">
        <f>IFERROR(__xludf.DUMMYFUNCTION("""COMPUTED_VALUE"""),"A Saya suka melamun atau membayangkan hal-hal yang tidak jelas.")</f>
        <v>A Saya suka melamun atau membayangkan hal-hal yang tidak jelas.</v>
      </c>
      <c r="BZ160" s="105" t="str">
        <f>IFERROR(__xludf.DUMMYFUNCTION("""COMPUTED_VALUE"""),"B Saya suka diperhatikan, apabila saya ada di dalam suatu kelompok.")</f>
        <v>B Saya suka diperhatikan, apabila saya ada di dalam suatu kelompok.</v>
      </c>
      <c r="CA160" s="105" t="str">
        <f>IFERROR(__xludf.DUMMYFUNCTION("""COMPUTED_VALUE"""),"A Saya ingin teman-teman dengan gembira memberikan pertolongan kepada saya.")</f>
        <v>A Saya ingin teman-teman dengan gembira memberikan pertolongan kepada saya.</v>
      </c>
      <c r="CB160" s="105" t="str">
        <f>IFERROR(__xludf.DUMMYFUNCTION("""COMPUTED_VALUE"""),"A Saya suka menghindar dari tanggung jawab yang tidak saya inginkan.")</f>
        <v>A Saya suka menghindar dari tanggung jawab yang tidak saya inginkan.</v>
      </c>
      <c r="CC160" s="105" t="str">
        <f>IFERROR(__xludf.DUMMYFUNCTION("""COMPUTED_VALUE"""),"A Apabila saya berkumpul dalam kelompok, saya ingin dihargai teman-teman.")</f>
        <v>A Apabila saya berkumpul dalam kelompok, saya ingin dihargai teman-teman.</v>
      </c>
      <c r="CD160" s="105" t="str">
        <f>IFERROR(__xludf.DUMMYFUNCTION("""COMPUTED_VALUE"""),"A Saya suka menyelesaikan setiap tugas meskipun membutuhkan waktu lama.")</f>
        <v>A Saya suka menyelesaikan setiap tugas meskipun membutuhkan waktu lama.</v>
      </c>
      <c r="CE160" s="105" t="str">
        <f>IFERROR(__xludf.DUMMYFUNCTION("""COMPUTED_VALUE"""),"A Saya suka menyelesaikan setiap tugas belajar yang telah saya mulai.")</f>
        <v>A Saya suka menyelesaikan setiap tugas belajar yang telah saya mulai.</v>
      </c>
      <c r="CF160" s="105" t="str">
        <f>IFERROR(__xludf.DUMMYFUNCTION("""COMPUTED_VALUE"""),"A Saya ingin agar hidup saya teratur sesuai cita-cita saya.")</f>
        <v>A Saya ingin agar hidup saya teratur sesuai cita-cita saya.</v>
      </c>
      <c r="CG160" s="105" t="str">
        <f>IFERROR(__xludf.DUMMYFUNCTION("""COMPUTED_VALUE"""),"A Saya ingin berhasil dalam apa yang saya lakukan.")</f>
        <v>A Saya ingin berhasil dalam apa yang saya lakukan.</v>
      </c>
      <c r="CH160" s="105" t="str">
        <f>IFERROR(__xludf.DUMMYFUNCTION("""COMPUTED_VALUE"""),"A Saya ingin bisa melakukan dengan baik sesuatu pekerjaan sulit.")</f>
        <v>A Saya ingin bisa melakukan dengan baik sesuatu pekerjaan sulit.</v>
      </c>
      <c r="CI160" s="105" t="str">
        <f>IFERROR(__xludf.DUMMYFUNCTION("""COMPUTED_VALUE"""),"A Saya suka belajar saya teratur dan ada waktu-waktu tertentu untuk belajar.")</f>
        <v>A Saya suka belajar saya teratur dan ada waktu-waktu tertentu untuk belajar.</v>
      </c>
      <c r="CJ160" s="105" t="str">
        <f>IFERROR(__xludf.DUMMYFUNCTION("""COMPUTED_VALUE"""),"A Saya ingin tidak tergantung dari orang lain terhadap apa yang akan saya lakukan.")</f>
        <v>A Saya ingin tidak tergantung dari orang lain terhadap apa yang akan saya lakukan.</v>
      </c>
      <c r="CK160" s="105" t="str">
        <f>IFERROR(__xludf.DUMMYFUNCTION("""COMPUTED_VALUE"""),"B Saya senang ikut beraktivitas bersama teman sebaya saya.")</f>
        <v>B Saya senang ikut beraktivitas bersama teman sebaya saya.</v>
      </c>
      <c r="CL160" s="105" t="str">
        <f>IFERROR(__xludf.DUMMYFUNCTION("""COMPUTED_VALUE"""),"A Saya suka menolong teman-teman saya, apabila mereka dalam kesulitan.")</f>
        <v>A Saya suka menolong teman-teman saya, apabila mereka dalam kesulitan.</v>
      </c>
      <c r="CM160" s="105" t="str">
        <f>IFERROR(__xludf.DUMMYFUNCTION("""COMPUTED_VALUE"""),"B Saya merasa kagum pada seseorang.")</f>
        <v>B Saya merasa kagum pada seseorang.</v>
      </c>
      <c r="CN160" s="105" t="str">
        <f>IFERROR(__xludf.DUMMYFUNCTION("""COMPUTED_VALUE"""),"A Saya ingin diperlakukan dengan baik oleh teman-teman saya.")</f>
        <v>A Saya ingin diperlakukan dengan baik oleh teman-teman saya.</v>
      </c>
      <c r="CO160" s="105" t="str">
        <f>IFERROR(__xludf.DUMMYFUNCTION("""COMPUTED_VALUE"""),"B Saya suka memuji orang yang saya kagumi.")</f>
        <v>B Saya suka memuji orang yang saya kagumi.</v>
      </c>
      <c r="CP160" s="105" t="str">
        <f>IFERROR(__xludf.DUMMYFUNCTION("""COMPUTED_VALUE"""),"A Saya suka melamun atau membayangkan sesuatu sendirian.")</f>
        <v>A Saya suka melamun atau membayangkan sesuatu sendirian.</v>
      </c>
      <c r="CQ160" s="105" t="str">
        <f>IFERROR(__xludf.DUMMYFUNCTION("""COMPUTED_VALUE"""),"B Saya merasa kagum pada seseorang.")</f>
        <v>B Saya merasa kagum pada seseorang.</v>
      </c>
      <c r="CR160" s="105" t="str">
        <f>IFERROR(__xludf.DUMMYFUNCTION("""COMPUTED_VALUE"""),"B Saya rasanya ingin mengecam seseorang bila orang itu menjengkelkan.")</f>
        <v>B Saya rasanya ingin mengecam seseorang bila orang itu menjengkelkan.</v>
      </c>
      <c r="CS160" s="105" t="str">
        <f>IFERROR(__xludf.DUMMYFUNCTION("""COMPUTED_VALUE"""),"A Saya ingin terlihat menarik di depan teman-teman saya.")</f>
        <v>A Saya ingin terlihat menarik di depan teman-teman saya.</v>
      </c>
      <c r="CT160" s="105" t="str">
        <f>IFERROR(__xludf.DUMMYFUNCTION("""COMPUTED_VALUE"""),"A Saya ingin orang-orang memperhatikan komentar mengenai penampilan saya.")</f>
        <v>A Saya ingin orang-orang memperhatikan komentar mengenai penampilan saya.</v>
      </c>
      <c r="CU160" s="105" t="str">
        <f>IFERROR(__xludf.DUMMYFUNCTION("""COMPUTED_VALUE"""),"B Saya ingin menyalahkan orang lain bila keadaan tidak baik bagi saya.")</f>
        <v>B Saya ingin menyalahkan orang lain bila keadaan tidak baik bagi saya.</v>
      </c>
      <c r="CV160" s="105" t="str">
        <f>IFERROR(__xludf.DUMMYFUNCTION("""COMPUTED_VALUE"""),"B Saya menyerang pendirian-pendirian yang bertentangan dengan pendirian saya.")</f>
        <v>B Saya menyerang pendirian-pendirian yang bertentangan dengan pendirian saya.</v>
      </c>
      <c r="CW160" s="105" t="str">
        <f>IFERROR(__xludf.DUMMYFUNCTION("""COMPUTED_VALUE"""),"A Saya suka menolong teman-teman saya, apabila mereka dalam kesulitan.")</f>
        <v>A Saya suka menolong teman-teman saya, apabila mereka dalam kesulitan.</v>
      </c>
      <c r="CX160" s="105" t="str">
        <f>IFERROR(__xludf.DUMMYFUNCTION("""COMPUTED_VALUE"""),"A Saya suka belajar sampai malam untuk menyelesaikan suatu tugas.")</f>
        <v>A Saya suka belajar sampai malam untuk menyelesaikan suatu tugas.</v>
      </c>
      <c r="CY160" s="105" t="str">
        <f>IFERROR(__xludf.DUMMYFUNCTION("""COMPUTED_VALUE"""),"A Saya ingin tidak tergantung dari orang lain terhadap apa yang akan saya lakukan.")</f>
        <v>A Saya ingin tidak tergantung dari orang lain terhadap apa yang akan saya lakukan.</v>
      </c>
      <c r="CZ160" s="105" t="str">
        <f>IFERROR(__xludf.DUMMYFUNCTION("""COMPUTED_VALUE"""),"B Saya rasanya ingin menggertak orang bila saya berbeda pendapat dengan mereka.")</f>
        <v>B Saya rasanya ingin menggertak orang bila saya berbeda pendapat dengan mereka.</v>
      </c>
      <c r="DA160" s="105" t="str">
        <f>IFERROR(__xludf.DUMMYFUNCTION("""COMPUTED_VALUE"""),"A Saya ingin melakukan apa saja sebaik mungkin.")</f>
        <v>A Saya ingin melakukan apa saja sebaik mungkin.</v>
      </c>
      <c r="DB160" s="89" t="s">
        <v>23</v>
      </c>
      <c r="DC160" s="97" t="str">
        <f t="shared" ref="DC160:GX160" si="205">LEFT(F160,1)</f>
        <v>B</v>
      </c>
      <c r="DD160" s="97" t="str">
        <f t="shared" si="205"/>
        <v>A</v>
      </c>
      <c r="DE160" s="97" t="str">
        <f t="shared" si="205"/>
        <v>A</v>
      </c>
      <c r="DF160" s="97" t="str">
        <f t="shared" si="205"/>
        <v>B</v>
      </c>
      <c r="DG160" s="97" t="str">
        <f t="shared" si="205"/>
        <v>A</v>
      </c>
      <c r="DH160" s="97" t="str">
        <f t="shared" si="205"/>
        <v>B</v>
      </c>
      <c r="DI160" s="97" t="str">
        <f t="shared" si="205"/>
        <v>B</v>
      </c>
      <c r="DJ160" s="97" t="str">
        <f t="shared" si="205"/>
        <v>B</v>
      </c>
      <c r="DK160" s="97" t="str">
        <f t="shared" si="205"/>
        <v>A</v>
      </c>
      <c r="DL160" s="97" t="str">
        <f t="shared" si="205"/>
        <v>B</v>
      </c>
      <c r="DM160" s="97" t="str">
        <f t="shared" si="205"/>
        <v>B</v>
      </c>
      <c r="DN160" s="97" t="str">
        <f t="shared" si="205"/>
        <v>B</v>
      </c>
      <c r="DO160" s="97" t="str">
        <f t="shared" si="205"/>
        <v>B</v>
      </c>
      <c r="DP160" s="97" t="str">
        <f t="shared" si="205"/>
        <v>A</v>
      </c>
      <c r="DQ160" s="97" t="str">
        <f t="shared" si="205"/>
        <v>B</v>
      </c>
      <c r="DR160" s="97" t="str">
        <f t="shared" si="205"/>
        <v>A</v>
      </c>
      <c r="DS160" s="97" t="str">
        <f t="shared" si="205"/>
        <v>B</v>
      </c>
      <c r="DT160" s="97" t="str">
        <f t="shared" si="205"/>
        <v>B</v>
      </c>
      <c r="DU160" s="97" t="str">
        <f t="shared" si="205"/>
        <v>B</v>
      </c>
      <c r="DV160" s="97" t="str">
        <f t="shared" si="205"/>
        <v>B</v>
      </c>
      <c r="DW160" s="97" t="str">
        <f t="shared" si="205"/>
        <v>B</v>
      </c>
      <c r="DX160" s="97" t="str">
        <f t="shared" si="205"/>
        <v>B</v>
      </c>
      <c r="DY160" s="97" t="str">
        <f t="shared" si="205"/>
        <v>B</v>
      </c>
      <c r="DZ160" s="97" t="str">
        <f t="shared" si="205"/>
        <v>B</v>
      </c>
      <c r="EA160" s="97" t="str">
        <f t="shared" si="205"/>
        <v>A</v>
      </c>
      <c r="EB160" s="97" t="str">
        <f t="shared" si="205"/>
        <v>A</v>
      </c>
      <c r="EC160" s="97" t="str">
        <f t="shared" si="205"/>
        <v>A</v>
      </c>
      <c r="ED160" s="97" t="str">
        <f t="shared" si="205"/>
        <v>B</v>
      </c>
      <c r="EE160" s="97" t="str">
        <f t="shared" si="205"/>
        <v>B</v>
      </c>
      <c r="EF160" s="97" t="str">
        <f t="shared" si="205"/>
        <v>B</v>
      </c>
      <c r="EG160" s="97" t="str">
        <f t="shared" si="205"/>
        <v>B</v>
      </c>
      <c r="EH160" s="97" t="str">
        <f t="shared" si="205"/>
        <v>B</v>
      </c>
      <c r="EI160" s="97" t="str">
        <f t="shared" si="205"/>
        <v>B</v>
      </c>
      <c r="EJ160" s="97" t="str">
        <f t="shared" si="205"/>
        <v>B</v>
      </c>
      <c r="EK160" s="97" t="str">
        <f t="shared" si="205"/>
        <v>A</v>
      </c>
      <c r="EL160" s="97" t="str">
        <f t="shared" si="205"/>
        <v>A</v>
      </c>
      <c r="EM160" s="97" t="str">
        <f t="shared" si="205"/>
        <v>A</v>
      </c>
      <c r="EN160" s="97" t="str">
        <f t="shared" si="205"/>
        <v>B</v>
      </c>
      <c r="EO160" s="97" t="str">
        <f t="shared" si="205"/>
        <v>A</v>
      </c>
      <c r="EP160" s="97" t="str">
        <f t="shared" si="205"/>
        <v>A</v>
      </c>
      <c r="EQ160" s="97" t="str">
        <f t="shared" si="205"/>
        <v>B</v>
      </c>
      <c r="ER160" s="97" t="str">
        <f t="shared" si="205"/>
        <v>B</v>
      </c>
      <c r="ES160" s="97" t="str">
        <f t="shared" si="205"/>
        <v>B</v>
      </c>
      <c r="ET160" s="97" t="str">
        <f t="shared" si="205"/>
        <v>A</v>
      </c>
      <c r="EU160" s="97" t="str">
        <f t="shared" si="205"/>
        <v>B</v>
      </c>
      <c r="EV160" s="97" t="str">
        <f t="shared" si="205"/>
        <v>B</v>
      </c>
      <c r="EW160" s="97" t="str">
        <f t="shared" si="205"/>
        <v>B</v>
      </c>
      <c r="EX160" s="97" t="str">
        <f t="shared" si="205"/>
        <v>B</v>
      </c>
      <c r="EY160" s="97" t="str">
        <f t="shared" si="205"/>
        <v>A</v>
      </c>
      <c r="EZ160" s="97" t="str">
        <f t="shared" si="205"/>
        <v>B</v>
      </c>
      <c r="FA160" s="97" t="str">
        <f t="shared" si="205"/>
        <v>B</v>
      </c>
      <c r="FB160" s="97" t="str">
        <f t="shared" si="205"/>
        <v>B</v>
      </c>
      <c r="FC160" s="97" t="str">
        <f t="shared" si="205"/>
        <v>B</v>
      </c>
      <c r="FD160" s="97" t="str">
        <f t="shared" si="205"/>
        <v>B</v>
      </c>
      <c r="FE160" s="97" t="str">
        <f t="shared" si="205"/>
        <v>A</v>
      </c>
      <c r="FF160" s="97" t="str">
        <f t="shared" si="205"/>
        <v>A</v>
      </c>
      <c r="FG160" s="97" t="str">
        <f t="shared" si="205"/>
        <v>A</v>
      </c>
      <c r="FH160" s="97" t="str">
        <f t="shared" si="205"/>
        <v>A</v>
      </c>
      <c r="FI160" s="97" t="str">
        <f t="shared" si="205"/>
        <v>A</v>
      </c>
      <c r="FJ160" s="97" t="str">
        <f t="shared" si="205"/>
        <v>A</v>
      </c>
      <c r="FK160" s="97" t="str">
        <f t="shared" si="205"/>
        <v>B</v>
      </c>
      <c r="FL160" s="97" t="str">
        <f t="shared" si="205"/>
        <v>B</v>
      </c>
      <c r="FM160" s="97" t="str">
        <f t="shared" si="205"/>
        <v>A</v>
      </c>
      <c r="FN160" s="97" t="str">
        <f t="shared" si="205"/>
        <v>A</v>
      </c>
      <c r="FO160" s="97" t="str">
        <f t="shared" si="205"/>
        <v>A</v>
      </c>
      <c r="FP160" s="97" t="str">
        <f t="shared" si="205"/>
        <v>B</v>
      </c>
      <c r="FQ160" s="97" t="str">
        <f t="shared" si="205"/>
        <v>B</v>
      </c>
      <c r="FR160" s="97" t="str">
        <f t="shared" si="205"/>
        <v>A</v>
      </c>
      <c r="FS160" s="97" t="str">
        <f t="shared" si="205"/>
        <v>B</v>
      </c>
      <c r="FT160" s="97" t="str">
        <f t="shared" si="205"/>
        <v>B</v>
      </c>
      <c r="FU160" s="97" t="str">
        <f t="shared" si="205"/>
        <v>B</v>
      </c>
      <c r="FV160" s="97" t="str">
        <f t="shared" si="205"/>
        <v>A</v>
      </c>
      <c r="FW160" s="97" t="str">
        <f t="shared" si="205"/>
        <v>B</v>
      </c>
      <c r="FX160" s="97" t="str">
        <f t="shared" si="205"/>
        <v>A</v>
      </c>
      <c r="FY160" s="97" t="str">
        <f t="shared" si="205"/>
        <v>A</v>
      </c>
      <c r="FZ160" s="97" t="str">
        <f t="shared" si="205"/>
        <v>A</v>
      </c>
      <c r="GA160" s="97" t="str">
        <f t="shared" si="205"/>
        <v>A</v>
      </c>
      <c r="GB160" s="97" t="str">
        <f t="shared" si="205"/>
        <v>A</v>
      </c>
      <c r="GC160" s="97" t="str">
        <f t="shared" si="205"/>
        <v>A</v>
      </c>
      <c r="GD160" s="97" t="str">
        <f t="shared" si="205"/>
        <v>A</v>
      </c>
      <c r="GE160" s="97" t="str">
        <f t="shared" si="205"/>
        <v>A</v>
      </c>
      <c r="GF160" s="97" t="str">
        <f t="shared" si="205"/>
        <v>A</v>
      </c>
      <c r="GG160" s="97" t="str">
        <f t="shared" si="205"/>
        <v>A</v>
      </c>
      <c r="GH160" s="97" t="str">
        <f t="shared" si="205"/>
        <v>B</v>
      </c>
      <c r="GI160" s="97" t="str">
        <f t="shared" si="205"/>
        <v>A</v>
      </c>
      <c r="GJ160" s="97" t="str">
        <f t="shared" si="205"/>
        <v>B</v>
      </c>
      <c r="GK160" s="97" t="str">
        <f t="shared" si="205"/>
        <v>A</v>
      </c>
      <c r="GL160" s="97" t="str">
        <f t="shared" si="205"/>
        <v>B</v>
      </c>
      <c r="GM160" s="97" t="str">
        <f t="shared" si="205"/>
        <v>A</v>
      </c>
      <c r="GN160" s="97" t="str">
        <f t="shared" si="205"/>
        <v>B</v>
      </c>
      <c r="GO160" s="97" t="str">
        <f t="shared" si="205"/>
        <v>B</v>
      </c>
      <c r="GP160" s="97" t="str">
        <f t="shared" si="205"/>
        <v>A</v>
      </c>
      <c r="GQ160" s="97" t="str">
        <f t="shared" si="205"/>
        <v>A</v>
      </c>
      <c r="GR160" s="97" t="str">
        <f t="shared" si="205"/>
        <v>B</v>
      </c>
      <c r="GS160" s="97" t="str">
        <f t="shared" si="205"/>
        <v>B</v>
      </c>
      <c r="GT160" s="97" t="str">
        <f t="shared" si="205"/>
        <v>A</v>
      </c>
      <c r="GU160" s="97" t="str">
        <f t="shared" si="205"/>
        <v>A</v>
      </c>
      <c r="GV160" s="97" t="str">
        <f t="shared" si="205"/>
        <v>A</v>
      </c>
      <c r="GW160" s="97" t="str">
        <f t="shared" si="205"/>
        <v>B</v>
      </c>
      <c r="GX160" s="97" t="str">
        <f t="shared" si="205"/>
        <v>A</v>
      </c>
      <c r="GY160" s="98"/>
      <c r="GZ160" s="97">
        <f t="shared" si="3"/>
        <v>46</v>
      </c>
      <c r="HA160" s="97">
        <f t="shared" si="4"/>
        <v>54</v>
      </c>
      <c r="HB160" s="90">
        <f t="shared" si="5"/>
        <v>100</v>
      </c>
      <c r="HC160" s="99"/>
      <c r="HD160" s="97">
        <f t="shared" si="6"/>
        <v>5</v>
      </c>
      <c r="HE160" s="97">
        <f t="shared" si="7"/>
        <v>5</v>
      </c>
      <c r="HF160" s="90">
        <f t="shared" si="8"/>
        <v>10</v>
      </c>
      <c r="HG160" s="99"/>
      <c r="HH160" s="97">
        <f t="shared" si="9"/>
        <v>5</v>
      </c>
      <c r="HI160" s="97">
        <f t="shared" si="10"/>
        <v>8</v>
      </c>
      <c r="HJ160" s="90">
        <f t="shared" si="11"/>
        <v>13</v>
      </c>
      <c r="HK160" s="99"/>
      <c r="HL160" s="97">
        <f t="shared" si="12"/>
        <v>6</v>
      </c>
      <c r="HM160" s="97">
        <f t="shared" si="13"/>
        <v>7</v>
      </c>
      <c r="HN160" s="90">
        <f t="shared" si="14"/>
        <v>13</v>
      </c>
      <c r="HO160" s="99"/>
      <c r="HP160" s="97">
        <f t="shared" si="15"/>
        <v>5</v>
      </c>
      <c r="HQ160" s="97">
        <f t="shared" si="16"/>
        <v>5</v>
      </c>
      <c r="HR160" s="90">
        <f t="shared" si="17"/>
        <v>10</v>
      </c>
      <c r="HS160" s="99"/>
      <c r="HT160" s="97">
        <f t="shared" si="18"/>
        <v>9</v>
      </c>
      <c r="HU160" s="97">
        <f t="shared" si="19"/>
        <v>8</v>
      </c>
      <c r="HV160" s="90">
        <f t="shared" si="20"/>
        <v>17</v>
      </c>
      <c r="HW160" s="99"/>
      <c r="HX160" s="97">
        <f t="shared" si="21"/>
        <v>3</v>
      </c>
      <c r="HY160" s="97">
        <f t="shared" si="22"/>
        <v>4</v>
      </c>
      <c r="HZ160" s="90">
        <f t="shared" si="23"/>
        <v>7</v>
      </c>
      <c r="IA160" s="99"/>
      <c r="IB160" s="97">
        <f t="shared" si="24"/>
        <v>4</v>
      </c>
      <c r="IC160" s="97">
        <f t="shared" si="25"/>
        <v>6</v>
      </c>
      <c r="ID160" s="90">
        <f t="shared" si="26"/>
        <v>10</v>
      </c>
      <c r="IE160" s="99"/>
      <c r="IF160" s="97">
        <f t="shared" si="27"/>
        <v>2</v>
      </c>
      <c r="IG160" s="97">
        <f t="shared" si="28"/>
        <v>2</v>
      </c>
      <c r="IH160" s="90">
        <f t="shared" si="29"/>
        <v>4</v>
      </c>
      <c r="II160" s="99"/>
      <c r="IJ160" s="97">
        <f t="shared" si="30"/>
        <v>4</v>
      </c>
      <c r="IK160" s="97">
        <f t="shared" si="31"/>
        <v>4</v>
      </c>
      <c r="IL160" s="90">
        <f t="shared" si="32"/>
        <v>8</v>
      </c>
      <c r="IM160" s="99"/>
      <c r="IN160" s="97">
        <f t="shared" si="33"/>
        <v>0</v>
      </c>
      <c r="IO160" s="97">
        <f t="shared" si="34"/>
        <v>4</v>
      </c>
      <c r="IP160" s="90">
        <f t="shared" si="35"/>
        <v>4</v>
      </c>
      <c r="IS160" s="100">
        <f t="shared" si="36"/>
        <v>10</v>
      </c>
      <c r="IT160" s="100">
        <f t="shared" si="37"/>
        <v>13</v>
      </c>
      <c r="IU160" s="100">
        <f t="shared" si="38"/>
        <v>13</v>
      </c>
      <c r="IV160" s="100">
        <f t="shared" si="39"/>
        <v>10</v>
      </c>
      <c r="IW160" s="100">
        <f t="shared" si="40"/>
        <v>17</v>
      </c>
      <c r="IX160" s="100">
        <f t="shared" si="41"/>
        <v>7</v>
      </c>
      <c r="IY160" s="100">
        <f t="shared" si="42"/>
        <v>10</v>
      </c>
      <c r="IZ160" s="100">
        <f t="shared" si="43"/>
        <v>4</v>
      </c>
      <c r="JA160" s="100">
        <f t="shared" si="44"/>
        <v>8</v>
      </c>
      <c r="JB160" s="101">
        <f t="shared" si="45"/>
        <v>4</v>
      </c>
      <c r="JC160" s="102">
        <f t="shared" si="46"/>
        <v>96</v>
      </c>
      <c r="JD160" s="67">
        <f t="shared" si="50"/>
        <v>0</v>
      </c>
      <c r="JE160" s="67">
        <f t="shared" si="47"/>
        <v>1</v>
      </c>
      <c r="JF160" s="67">
        <f t="shared" si="48"/>
        <v>1</v>
      </c>
    </row>
    <row r="161">
      <c r="A161" s="7"/>
      <c r="B161" s="105"/>
      <c r="C161" s="7"/>
      <c r="D161" s="7"/>
      <c r="E161" s="7"/>
      <c r="F161" s="105"/>
      <c r="G161" s="105"/>
      <c r="H161" s="105"/>
      <c r="I161" s="105"/>
      <c r="J161" s="105"/>
      <c r="K161" s="105"/>
      <c r="L161" s="105"/>
      <c r="M161" s="105"/>
      <c r="N161" s="105"/>
      <c r="O161" s="105"/>
      <c r="P161" s="105"/>
      <c r="Q161" s="105"/>
      <c r="R161" s="105"/>
      <c r="S161" s="105"/>
      <c r="T161" s="105"/>
      <c r="U161" s="105"/>
      <c r="V161" s="105"/>
      <c r="W161" s="105"/>
      <c r="X161" s="105"/>
      <c r="Y161" s="105"/>
      <c r="Z161" s="105"/>
      <c r="AA161" s="105"/>
      <c r="AB161" s="105"/>
      <c r="AC161" s="105"/>
      <c r="AD161" s="105"/>
      <c r="AE161" s="105"/>
      <c r="AF161" s="105"/>
      <c r="AG161" s="105"/>
      <c r="AH161" s="105"/>
      <c r="AI161" s="105"/>
      <c r="AJ161" s="105"/>
      <c r="AK161" s="105"/>
      <c r="AL161" s="105"/>
      <c r="AM161" s="105"/>
      <c r="AN161" s="105"/>
      <c r="AO161" s="105"/>
      <c r="AP161" s="105"/>
      <c r="AQ161" s="105"/>
      <c r="AR161" s="105"/>
      <c r="AS161" s="105"/>
      <c r="AT161" s="105"/>
      <c r="AU161" s="105"/>
      <c r="AV161" s="105"/>
      <c r="AW161" s="105"/>
      <c r="AX161" s="105"/>
      <c r="AY161" s="105"/>
      <c r="AZ161" s="105"/>
      <c r="BA161" s="105"/>
      <c r="BB161" s="105"/>
      <c r="BC161" s="105"/>
      <c r="BD161" s="105"/>
      <c r="BE161" s="105"/>
      <c r="BF161" s="105"/>
      <c r="BG161" s="105"/>
      <c r="BH161" s="105"/>
      <c r="BI161" s="105"/>
      <c r="BJ161" s="105"/>
      <c r="BK161" s="105"/>
      <c r="BL161" s="105"/>
      <c r="BM161" s="105"/>
      <c r="BN161" s="105"/>
      <c r="BO161" s="105"/>
      <c r="BP161" s="105"/>
      <c r="BQ161" s="105"/>
      <c r="BR161" s="105"/>
      <c r="BS161" s="105"/>
      <c r="BT161" s="105"/>
      <c r="BU161" s="105"/>
      <c r="BV161" s="105"/>
      <c r="BW161" s="105"/>
      <c r="BX161" s="105"/>
      <c r="BY161" s="105"/>
      <c r="BZ161" s="105"/>
      <c r="CA161" s="105"/>
      <c r="CB161" s="105"/>
      <c r="CC161" s="105"/>
      <c r="CD161" s="105"/>
      <c r="CE161" s="105"/>
      <c r="CF161" s="105"/>
      <c r="CG161" s="105"/>
      <c r="CH161" s="105"/>
      <c r="CI161" s="105"/>
      <c r="CJ161" s="105"/>
      <c r="CK161" s="105"/>
      <c r="CL161" s="105"/>
      <c r="CM161" s="105"/>
      <c r="CN161" s="105"/>
      <c r="CO161" s="105"/>
      <c r="CP161" s="105"/>
      <c r="CQ161" s="105"/>
      <c r="CR161" s="105"/>
      <c r="CS161" s="105"/>
      <c r="CT161" s="105"/>
      <c r="CU161" s="105"/>
      <c r="CV161" s="105"/>
      <c r="CW161" s="105"/>
      <c r="CX161" s="105"/>
      <c r="CY161" s="105"/>
      <c r="CZ161" s="105"/>
      <c r="DA161" s="105"/>
      <c r="DB161" s="89" t="s">
        <v>23</v>
      </c>
      <c r="DC161" s="97" t="str">
        <f t="shared" ref="DC161:GX161" si="206">LEFT(F161,1)</f>
        <v/>
      </c>
      <c r="DD161" s="97" t="str">
        <f t="shared" si="206"/>
        <v/>
      </c>
      <c r="DE161" s="97" t="str">
        <f t="shared" si="206"/>
        <v/>
      </c>
      <c r="DF161" s="97" t="str">
        <f t="shared" si="206"/>
        <v/>
      </c>
      <c r="DG161" s="97" t="str">
        <f t="shared" si="206"/>
        <v/>
      </c>
      <c r="DH161" s="97" t="str">
        <f t="shared" si="206"/>
        <v/>
      </c>
      <c r="DI161" s="97" t="str">
        <f t="shared" si="206"/>
        <v/>
      </c>
      <c r="DJ161" s="97" t="str">
        <f t="shared" si="206"/>
        <v/>
      </c>
      <c r="DK161" s="97" t="str">
        <f t="shared" si="206"/>
        <v/>
      </c>
      <c r="DL161" s="97" t="str">
        <f t="shared" si="206"/>
        <v/>
      </c>
      <c r="DM161" s="97" t="str">
        <f t="shared" si="206"/>
        <v/>
      </c>
      <c r="DN161" s="97" t="str">
        <f t="shared" si="206"/>
        <v/>
      </c>
      <c r="DO161" s="97" t="str">
        <f t="shared" si="206"/>
        <v/>
      </c>
      <c r="DP161" s="97" t="str">
        <f t="shared" si="206"/>
        <v/>
      </c>
      <c r="DQ161" s="97" t="str">
        <f t="shared" si="206"/>
        <v/>
      </c>
      <c r="DR161" s="97" t="str">
        <f t="shared" si="206"/>
        <v/>
      </c>
      <c r="DS161" s="97" t="str">
        <f t="shared" si="206"/>
        <v/>
      </c>
      <c r="DT161" s="97" t="str">
        <f t="shared" si="206"/>
        <v/>
      </c>
      <c r="DU161" s="97" t="str">
        <f t="shared" si="206"/>
        <v/>
      </c>
      <c r="DV161" s="97" t="str">
        <f t="shared" si="206"/>
        <v/>
      </c>
      <c r="DW161" s="97" t="str">
        <f t="shared" si="206"/>
        <v/>
      </c>
      <c r="DX161" s="97" t="str">
        <f t="shared" si="206"/>
        <v/>
      </c>
      <c r="DY161" s="97" t="str">
        <f t="shared" si="206"/>
        <v/>
      </c>
      <c r="DZ161" s="97" t="str">
        <f t="shared" si="206"/>
        <v/>
      </c>
      <c r="EA161" s="97" t="str">
        <f t="shared" si="206"/>
        <v/>
      </c>
      <c r="EB161" s="97" t="str">
        <f t="shared" si="206"/>
        <v/>
      </c>
      <c r="EC161" s="97" t="str">
        <f t="shared" si="206"/>
        <v/>
      </c>
      <c r="ED161" s="97" t="str">
        <f t="shared" si="206"/>
        <v/>
      </c>
      <c r="EE161" s="97" t="str">
        <f t="shared" si="206"/>
        <v/>
      </c>
      <c r="EF161" s="97" t="str">
        <f t="shared" si="206"/>
        <v/>
      </c>
      <c r="EG161" s="97" t="str">
        <f t="shared" si="206"/>
        <v/>
      </c>
      <c r="EH161" s="97" t="str">
        <f t="shared" si="206"/>
        <v/>
      </c>
      <c r="EI161" s="97" t="str">
        <f t="shared" si="206"/>
        <v/>
      </c>
      <c r="EJ161" s="97" t="str">
        <f t="shared" si="206"/>
        <v/>
      </c>
      <c r="EK161" s="97" t="str">
        <f t="shared" si="206"/>
        <v/>
      </c>
      <c r="EL161" s="97" t="str">
        <f t="shared" si="206"/>
        <v/>
      </c>
      <c r="EM161" s="97" t="str">
        <f t="shared" si="206"/>
        <v/>
      </c>
      <c r="EN161" s="97" t="str">
        <f t="shared" si="206"/>
        <v/>
      </c>
      <c r="EO161" s="97" t="str">
        <f t="shared" si="206"/>
        <v/>
      </c>
      <c r="EP161" s="97" t="str">
        <f t="shared" si="206"/>
        <v/>
      </c>
      <c r="EQ161" s="97" t="str">
        <f t="shared" si="206"/>
        <v/>
      </c>
      <c r="ER161" s="97" t="str">
        <f t="shared" si="206"/>
        <v/>
      </c>
      <c r="ES161" s="97" t="str">
        <f t="shared" si="206"/>
        <v/>
      </c>
      <c r="ET161" s="97" t="str">
        <f t="shared" si="206"/>
        <v/>
      </c>
      <c r="EU161" s="97" t="str">
        <f t="shared" si="206"/>
        <v/>
      </c>
      <c r="EV161" s="97" t="str">
        <f t="shared" si="206"/>
        <v/>
      </c>
      <c r="EW161" s="97" t="str">
        <f t="shared" si="206"/>
        <v/>
      </c>
      <c r="EX161" s="97" t="str">
        <f t="shared" si="206"/>
        <v/>
      </c>
      <c r="EY161" s="97" t="str">
        <f t="shared" si="206"/>
        <v/>
      </c>
      <c r="EZ161" s="97" t="str">
        <f t="shared" si="206"/>
        <v/>
      </c>
      <c r="FA161" s="97" t="str">
        <f t="shared" si="206"/>
        <v/>
      </c>
      <c r="FB161" s="97" t="str">
        <f t="shared" si="206"/>
        <v/>
      </c>
      <c r="FC161" s="97" t="str">
        <f t="shared" si="206"/>
        <v/>
      </c>
      <c r="FD161" s="97" t="str">
        <f t="shared" si="206"/>
        <v/>
      </c>
      <c r="FE161" s="97" t="str">
        <f t="shared" si="206"/>
        <v/>
      </c>
      <c r="FF161" s="97" t="str">
        <f t="shared" si="206"/>
        <v/>
      </c>
      <c r="FG161" s="97" t="str">
        <f t="shared" si="206"/>
        <v/>
      </c>
      <c r="FH161" s="97" t="str">
        <f t="shared" si="206"/>
        <v/>
      </c>
      <c r="FI161" s="97" t="str">
        <f t="shared" si="206"/>
        <v/>
      </c>
      <c r="FJ161" s="97" t="str">
        <f t="shared" si="206"/>
        <v/>
      </c>
      <c r="FK161" s="97" t="str">
        <f t="shared" si="206"/>
        <v/>
      </c>
      <c r="FL161" s="97" t="str">
        <f t="shared" si="206"/>
        <v/>
      </c>
      <c r="FM161" s="97" t="str">
        <f t="shared" si="206"/>
        <v/>
      </c>
      <c r="FN161" s="97" t="str">
        <f t="shared" si="206"/>
        <v/>
      </c>
      <c r="FO161" s="97" t="str">
        <f t="shared" si="206"/>
        <v/>
      </c>
      <c r="FP161" s="97" t="str">
        <f t="shared" si="206"/>
        <v/>
      </c>
      <c r="FQ161" s="97" t="str">
        <f t="shared" si="206"/>
        <v/>
      </c>
      <c r="FR161" s="97" t="str">
        <f t="shared" si="206"/>
        <v/>
      </c>
      <c r="FS161" s="97" t="str">
        <f t="shared" si="206"/>
        <v/>
      </c>
      <c r="FT161" s="97" t="str">
        <f t="shared" si="206"/>
        <v/>
      </c>
      <c r="FU161" s="97" t="str">
        <f t="shared" si="206"/>
        <v/>
      </c>
      <c r="FV161" s="97" t="str">
        <f t="shared" si="206"/>
        <v/>
      </c>
      <c r="FW161" s="97" t="str">
        <f t="shared" si="206"/>
        <v/>
      </c>
      <c r="FX161" s="97" t="str">
        <f t="shared" si="206"/>
        <v/>
      </c>
      <c r="FY161" s="97" t="str">
        <f t="shared" si="206"/>
        <v/>
      </c>
      <c r="FZ161" s="97" t="str">
        <f t="shared" si="206"/>
        <v/>
      </c>
      <c r="GA161" s="97" t="str">
        <f t="shared" si="206"/>
        <v/>
      </c>
      <c r="GB161" s="97" t="str">
        <f t="shared" si="206"/>
        <v/>
      </c>
      <c r="GC161" s="97" t="str">
        <f t="shared" si="206"/>
        <v/>
      </c>
      <c r="GD161" s="97" t="str">
        <f t="shared" si="206"/>
        <v/>
      </c>
      <c r="GE161" s="97" t="str">
        <f t="shared" si="206"/>
        <v/>
      </c>
      <c r="GF161" s="97" t="str">
        <f t="shared" si="206"/>
        <v/>
      </c>
      <c r="GG161" s="97" t="str">
        <f t="shared" si="206"/>
        <v/>
      </c>
      <c r="GH161" s="97" t="str">
        <f t="shared" si="206"/>
        <v/>
      </c>
      <c r="GI161" s="97" t="str">
        <f t="shared" si="206"/>
        <v/>
      </c>
      <c r="GJ161" s="97" t="str">
        <f t="shared" si="206"/>
        <v/>
      </c>
      <c r="GK161" s="97" t="str">
        <f t="shared" si="206"/>
        <v/>
      </c>
      <c r="GL161" s="97" t="str">
        <f t="shared" si="206"/>
        <v/>
      </c>
      <c r="GM161" s="97" t="str">
        <f t="shared" si="206"/>
        <v/>
      </c>
      <c r="GN161" s="97" t="str">
        <f t="shared" si="206"/>
        <v/>
      </c>
      <c r="GO161" s="97" t="str">
        <f t="shared" si="206"/>
        <v/>
      </c>
      <c r="GP161" s="97" t="str">
        <f t="shared" si="206"/>
        <v/>
      </c>
      <c r="GQ161" s="97" t="str">
        <f t="shared" si="206"/>
        <v/>
      </c>
      <c r="GR161" s="97" t="str">
        <f t="shared" si="206"/>
        <v/>
      </c>
      <c r="GS161" s="97" t="str">
        <f t="shared" si="206"/>
        <v/>
      </c>
      <c r="GT161" s="97" t="str">
        <f t="shared" si="206"/>
        <v/>
      </c>
      <c r="GU161" s="97" t="str">
        <f t="shared" si="206"/>
        <v/>
      </c>
      <c r="GV161" s="97" t="str">
        <f t="shared" si="206"/>
        <v/>
      </c>
      <c r="GW161" s="97" t="str">
        <f t="shared" si="206"/>
        <v/>
      </c>
      <c r="GX161" s="97" t="str">
        <f t="shared" si="206"/>
        <v/>
      </c>
      <c r="GY161" s="98"/>
      <c r="GZ161" s="97">
        <f t="shared" si="3"/>
        <v>0</v>
      </c>
      <c r="HA161" s="97">
        <f t="shared" si="4"/>
        <v>0</v>
      </c>
      <c r="HB161" s="90">
        <f t="shared" si="5"/>
        <v>0</v>
      </c>
      <c r="HC161" s="99"/>
      <c r="HD161" s="97">
        <f t="shared" si="6"/>
        <v>0</v>
      </c>
      <c r="HE161" s="97">
        <f t="shared" si="7"/>
        <v>0</v>
      </c>
      <c r="HF161" s="90">
        <f t="shared" si="8"/>
        <v>0</v>
      </c>
      <c r="HG161" s="99"/>
      <c r="HH161" s="97">
        <f t="shared" si="9"/>
        <v>0</v>
      </c>
      <c r="HI161" s="97">
        <f t="shared" si="10"/>
        <v>0</v>
      </c>
      <c r="HJ161" s="90">
        <f t="shared" si="11"/>
        <v>0</v>
      </c>
      <c r="HK161" s="99"/>
      <c r="HL161" s="97">
        <f t="shared" si="12"/>
        <v>0</v>
      </c>
      <c r="HM161" s="97">
        <f t="shared" si="13"/>
        <v>0</v>
      </c>
      <c r="HN161" s="90">
        <f t="shared" si="14"/>
        <v>0</v>
      </c>
      <c r="HO161" s="99"/>
      <c r="HP161" s="97">
        <f t="shared" si="15"/>
        <v>0</v>
      </c>
      <c r="HQ161" s="97">
        <f t="shared" si="16"/>
        <v>0</v>
      </c>
      <c r="HR161" s="90">
        <f t="shared" si="17"/>
        <v>0</v>
      </c>
      <c r="HS161" s="99"/>
      <c r="HT161" s="97">
        <f t="shared" si="18"/>
        <v>0</v>
      </c>
      <c r="HU161" s="97">
        <f t="shared" si="19"/>
        <v>0</v>
      </c>
      <c r="HV161" s="90">
        <f t="shared" si="20"/>
        <v>0</v>
      </c>
      <c r="HW161" s="99"/>
      <c r="HX161" s="97">
        <f t="shared" si="21"/>
        <v>0</v>
      </c>
      <c r="HY161" s="97">
        <f t="shared" si="22"/>
        <v>0</v>
      </c>
      <c r="HZ161" s="90">
        <f t="shared" si="23"/>
        <v>0</v>
      </c>
      <c r="IA161" s="99"/>
      <c r="IB161" s="97">
        <f t="shared" si="24"/>
        <v>0</v>
      </c>
      <c r="IC161" s="97">
        <f t="shared" si="25"/>
        <v>0</v>
      </c>
      <c r="ID161" s="90">
        <f t="shared" si="26"/>
        <v>0</v>
      </c>
      <c r="IE161" s="99"/>
      <c r="IF161" s="97">
        <f t="shared" si="27"/>
        <v>0</v>
      </c>
      <c r="IG161" s="97">
        <f t="shared" si="28"/>
        <v>0</v>
      </c>
      <c r="IH161" s="90">
        <f t="shared" si="29"/>
        <v>0</v>
      </c>
      <c r="II161" s="99"/>
      <c r="IJ161" s="97">
        <f t="shared" si="30"/>
        <v>0</v>
      </c>
      <c r="IK161" s="97">
        <f t="shared" si="31"/>
        <v>0</v>
      </c>
      <c r="IL161" s="90">
        <f t="shared" si="32"/>
        <v>0</v>
      </c>
      <c r="IM161" s="99"/>
      <c r="IN161" s="97">
        <f t="shared" si="33"/>
        <v>0</v>
      </c>
      <c r="IO161" s="97">
        <f t="shared" si="34"/>
        <v>0</v>
      </c>
      <c r="IP161" s="90">
        <f t="shared" si="35"/>
        <v>0</v>
      </c>
      <c r="IS161" s="100">
        <f t="shared" si="36"/>
        <v>0</v>
      </c>
      <c r="IT161" s="100">
        <f t="shared" si="37"/>
        <v>0</v>
      </c>
      <c r="IU161" s="100">
        <f t="shared" si="38"/>
        <v>0</v>
      </c>
      <c r="IV161" s="100">
        <f t="shared" si="39"/>
        <v>0</v>
      </c>
      <c r="IW161" s="100">
        <f t="shared" si="40"/>
        <v>0</v>
      </c>
      <c r="IX161" s="100">
        <f t="shared" si="41"/>
        <v>0</v>
      </c>
      <c r="IY161" s="100">
        <f t="shared" si="42"/>
        <v>0</v>
      </c>
      <c r="IZ161" s="100">
        <f t="shared" si="43"/>
        <v>0</v>
      </c>
      <c r="JA161" s="100">
        <f t="shared" si="44"/>
        <v>0</v>
      </c>
      <c r="JB161" s="101">
        <f t="shared" si="45"/>
        <v>0</v>
      </c>
      <c r="JC161" s="102">
        <f t="shared" si="46"/>
        <v>0</v>
      </c>
      <c r="JD161" s="67">
        <f t="shared" si="50"/>
        <v>5</v>
      </c>
      <c r="JE161" s="67">
        <f t="shared" si="47"/>
        <v>0</v>
      </c>
      <c r="JF161" s="67">
        <f t="shared" si="48"/>
        <v>5</v>
      </c>
    </row>
    <row r="162">
      <c r="A162" s="7"/>
      <c r="B162" s="105"/>
      <c r="C162" s="7"/>
      <c r="D162" s="7"/>
      <c r="E162" s="7"/>
      <c r="F162" s="105"/>
      <c r="G162" s="105"/>
      <c r="H162" s="105"/>
      <c r="I162" s="105"/>
      <c r="J162" s="105"/>
      <c r="K162" s="105"/>
      <c r="L162" s="105"/>
      <c r="M162" s="105"/>
      <c r="N162" s="105"/>
      <c r="O162" s="105"/>
      <c r="P162" s="105"/>
      <c r="Q162" s="105"/>
      <c r="R162" s="105"/>
      <c r="S162" s="105"/>
      <c r="T162" s="105"/>
      <c r="U162" s="105"/>
      <c r="V162" s="105"/>
      <c r="W162" s="105"/>
      <c r="X162" s="105"/>
      <c r="Y162" s="105"/>
      <c r="Z162" s="105"/>
      <c r="AA162" s="105"/>
      <c r="AB162" s="105"/>
      <c r="AC162" s="105"/>
      <c r="AD162" s="105"/>
      <c r="AE162" s="105"/>
      <c r="AF162" s="105"/>
      <c r="AG162" s="105"/>
      <c r="AH162" s="105"/>
      <c r="AI162" s="105"/>
      <c r="AJ162" s="105"/>
      <c r="AK162" s="105"/>
      <c r="AL162" s="105"/>
      <c r="AM162" s="105"/>
      <c r="AN162" s="105"/>
      <c r="AO162" s="105"/>
      <c r="AP162" s="105"/>
      <c r="AQ162" s="105"/>
      <c r="AR162" s="105"/>
      <c r="AS162" s="105"/>
      <c r="AT162" s="105"/>
      <c r="AU162" s="105"/>
      <c r="AV162" s="105"/>
      <c r="AW162" s="105"/>
      <c r="AX162" s="105"/>
      <c r="AY162" s="105"/>
      <c r="AZ162" s="105"/>
      <c r="BA162" s="105"/>
      <c r="BB162" s="105"/>
      <c r="BC162" s="105"/>
      <c r="BD162" s="105"/>
      <c r="BE162" s="105"/>
      <c r="BF162" s="105"/>
      <c r="BG162" s="105"/>
      <c r="BH162" s="105"/>
      <c r="BI162" s="105"/>
      <c r="BJ162" s="105"/>
      <c r="BK162" s="105"/>
      <c r="BL162" s="105"/>
      <c r="BM162" s="105"/>
      <c r="BN162" s="105"/>
      <c r="BO162" s="105"/>
      <c r="BP162" s="105"/>
      <c r="BQ162" s="105"/>
      <c r="BR162" s="105"/>
      <c r="BS162" s="105"/>
      <c r="BT162" s="105"/>
      <c r="BU162" s="105"/>
      <c r="BV162" s="105"/>
      <c r="BW162" s="105"/>
      <c r="BX162" s="105"/>
      <c r="BY162" s="105"/>
      <c r="BZ162" s="105"/>
      <c r="CA162" s="105"/>
      <c r="CB162" s="105"/>
      <c r="CC162" s="105"/>
      <c r="CD162" s="105"/>
      <c r="CE162" s="105"/>
      <c r="CF162" s="105"/>
      <c r="CG162" s="105"/>
      <c r="CH162" s="105"/>
      <c r="CI162" s="105"/>
      <c r="CJ162" s="105"/>
      <c r="CK162" s="105"/>
      <c r="CL162" s="105"/>
      <c r="CM162" s="105"/>
      <c r="CN162" s="105"/>
      <c r="CO162" s="105"/>
      <c r="CP162" s="105"/>
      <c r="CQ162" s="105"/>
      <c r="CR162" s="105"/>
      <c r="CS162" s="105"/>
      <c r="CT162" s="105"/>
      <c r="CU162" s="105"/>
      <c r="CV162" s="105"/>
      <c r="CW162" s="105"/>
      <c r="CX162" s="105"/>
      <c r="CY162" s="105"/>
      <c r="CZ162" s="105"/>
      <c r="DA162" s="105"/>
      <c r="DB162" s="89" t="s">
        <v>23</v>
      </c>
      <c r="DC162" s="97" t="str">
        <f t="shared" ref="DC162:GX162" si="207">LEFT(F162,1)</f>
        <v/>
      </c>
      <c r="DD162" s="97" t="str">
        <f t="shared" si="207"/>
        <v/>
      </c>
      <c r="DE162" s="97" t="str">
        <f t="shared" si="207"/>
        <v/>
      </c>
      <c r="DF162" s="97" t="str">
        <f t="shared" si="207"/>
        <v/>
      </c>
      <c r="DG162" s="97" t="str">
        <f t="shared" si="207"/>
        <v/>
      </c>
      <c r="DH162" s="97" t="str">
        <f t="shared" si="207"/>
        <v/>
      </c>
      <c r="DI162" s="97" t="str">
        <f t="shared" si="207"/>
        <v/>
      </c>
      <c r="DJ162" s="97" t="str">
        <f t="shared" si="207"/>
        <v/>
      </c>
      <c r="DK162" s="97" t="str">
        <f t="shared" si="207"/>
        <v/>
      </c>
      <c r="DL162" s="97" t="str">
        <f t="shared" si="207"/>
        <v/>
      </c>
      <c r="DM162" s="97" t="str">
        <f t="shared" si="207"/>
        <v/>
      </c>
      <c r="DN162" s="97" t="str">
        <f t="shared" si="207"/>
        <v/>
      </c>
      <c r="DO162" s="97" t="str">
        <f t="shared" si="207"/>
        <v/>
      </c>
      <c r="DP162" s="97" t="str">
        <f t="shared" si="207"/>
        <v/>
      </c>
      <c r="DQ162" s="97" t="str">
        <f t="shared" si="207"/>
        <v/>
      </c>
      <c r="DR162" s="97" t="str">
        <f t="shared" si="207"/>
        <v/>
      </c>
      <c r="DS162" s="97" t="str">
        <f t="shared" si="207"/>
        <v/>
      </c>
      <c r="DT162" s="97" t="str">
        <f t="shared" si="207"/>
        <v/>
      </c>
      <c r="DU162" s="97" t="str">
        <f t="shared" si="207"/>
        <v/>
      </c>
      <c r="DV162" s="97" t="str">
        <f t="shared" si="207"/>
        <v/>
      </c>
      <c r="DW162" s="97" t="str">
        <f t="shared" si="207"/>
        <v/>
      </c>
      <c r="DX162" s="97" t="str">
        <f t="shared" si="207"/>
        <v/>
      </c>
      <c r="DY162" s="97" t="str">
        <f t="shared" si="207"/>
        <v/>
      </c>
      <c r="DZ162" s="97" t="str">
        <f t="shared" si="207"/>
        <v/>
      </c>
      <c r="EA162" s="97" t="str">
        <f t="shared" si="207"/>
        <v/>
      </c>
      <c r="EB162" s="97" t="str">
        <f t="shared" si="207"/>
        <v/>
      </c>
      <c r="EC162" s="97" t="str">
        <f t="shared" si="207"/>
        <v/>
      </c>
      <c r="ED162" s="97" t="str">
        <f t="shared" si="207"/>
        <v/>
      </c>
      <c r="EE162" s="97" t="str">
        <f t="shared" si="207"/>
        <v/>
      </c>
      <c r="EF162" s="97" t="str">
        <f t="shared" si="207"/>
        <v/>
      </c>
      <c r="EG162" s="97" t="str">
        <f t="shared" si="207"/>
        <v/>
      </c>
      <c r="EH162" s="97" t="str">
        <f t="shared" si="207"/>
        <v/>
      </c>
      <c r="EI162" s="97" t="str">
        <f t="shared" si="207"/>
        <v/>
      </c>
      <c r="EJ162" s="97" t="str">
        <f t="shared" si="207"/>
        <v/>
      </c>
      <c r="EK162" s="97" t="str">
        <f t="shared" si="207"/>
        <v/>
      </c>
      <c r="EL162" s="97" t="str">
        <f t="shared" si="207"/>
        <v/>
      </c>
      <c r="EM162" s="97" t="str">
        <f t="shared" si="207"/>
        <v/>
      </c>
      <c r="EN162" s="97" t="str">
        <f t="shared" si="207"/>
        <v/>
      </c>
      <c r="EO162" s="97" t="str">
        <f t="shared" si="207"/>
        <v/>
      </c>
      <c r="EP162" s="97" t="str">
        <f t="shared" si="207"/>
        <v/>
      </c>
      <c r="EQ162" s="97" t="str">
        <f t="shared" si="207"/>
        <v/>
      </c>
      <c r="ER162" s="97" t="str">
        <f t="shared" si="207"/>
        <v/>
      </c>
      <c r="ES162" s="97" t="str">
        <f t="shared" si="207"/>
        <v/>
      </c>
      <c r="ET162" s="97" t="str">
        <f t="shared" si="207"/>
        <v/>
      </c>
      <c r="EU162" s="97" t="str">
        <f t="shared" si="207"/>
        <v/>
      </c>
      <c r="EV162" s="97" t="str">
        <f t="shared" si="207"/>
        <v/>
      </c>
      <c r="EW162" s="97" t="str">
        <f t="shared" si="207"/>
        <v/>
      </c>
      <c r="EX162" s="97" t="str">
        <f t="shared" si="207"/>
        <v/>
      </c>
      <c r="EY162" s="97" t="str">
        <f t="shared" si="207"/>
        <v/>
      </c>
      <c r="EZ162" s="97" t="str">
        <f t="shared" si="207"/>
        <v/>
      </c>
      <c r="FA162" s="97" t="str">
        <f t="shared" si="207"/>
        <v/>
      </c>
      <c r="FB162" s="97" t="str">
        <f t="shared" si="207"/>
        <v/>
      </c>
      <c r="FC162" s="97" t="str">
        <f t="shared" si="207"/>
        <v/>
      </c>
      <c r="FD162" s="97" t="str">
        <f t="shared" si="207"/>
        <v/>
      </c>
      <c r="FE162" s="97" t="str">
        <f t="shared" si="207"/>
        <v/>
      </c>
      <c r="FF162" s="97" t="str">
        <f t="shared" si="207"/>
        <v/>
      </c>
      <c r="FG162" s="97" t="str">
        <f t="shared" si="207"/>
        <v/>
      </c>
      <c r="FH162" s="97" t="str">
        <f t="shared" si="207"/>
        <v/>
      </c>
      <c r="FI162" s="97" t="str">
        <f t="shared" si="207"/>
        <v/>
      </c>
      <c r="FJ162" s="97" t="str">
        <f t="shared" si="207"/>
        <v/>
      </c>
      <c r="FK162" s="97" t="str">
        <f t="shared" si="207"/>
        <v/>
      </c>
      <c r="FL162" s="97" t="str">
        <f t="shared" si="207"/>
        <v/>
      </c>
      <c r="FM162" s="97" t="str">
        <f t="shared" si="207"/>
        <v/>
      </c>
      <c r="FN162" s="97" t="str">
        <f t="shared" si="207"/>
        <v/>
      </c>
      <c r="FO162" s="97" t="str">
        <f t="shared" si="207"/>
        <v/>
      </c>
      <c r="FP162" s="97" t="str">
        <f t="shared" si="207"/>
        <v/>
      </c>
      <c r="FQ162" s="97" t="str">
        <f t="shared" si="207"/>
        <v/>
      </c>
      <c r="FR162" s="97" t="str">
        <f t="shared" si="207"/>
        <v/>
      </c>
      <c r="FS162" s="97" t="str">
        <f t="shared" si="207"/>
        <v/>
      </c>
      <c r="FT162" s="97" t="str">
        <f t="shared" si="207"/>
        <v/>
      </c>
      <c r="FU162" s="97" t="str">
        <f t="shared" si="207"/>
        <v/>
      </c>
      <c r="FV162" s="97" t="str">
        <f t="shared" si="207"/>
        <v/>
      </c>
      <c r="FW162" s="97" t="str">
        <f t="shared" si="207"/>
        <v/>
      </c>
      <c r="FX162" s="97" t="str">
        <f t="shared" si="207"/>
        <v/>
      </c>
      <c r="FY162" s="97" t="str">
        <f t="shared" si="207"/>
        <v/>
      </c>
      <c r="FZ162" s="97" t="str">
        <f t="shared" si="207"/>
        <v/>
      </c>
      <c r="GA162" s="97" t="str">
        <f t="shared" si="207"/>
        <v/>
      </c>
      <c r="GB162" s="97" t="str">
        <f t="shared" si="207"/>
        <v/>
      </c>
      <c r="GC162" s="97" t="str">
        <f t="shared" si="207"/>
        <v/>
      </c>
      <c r="GD162" s="97" t="str">
        <f t="shared" si="207"/>
        <v/>
      </c>
      <c r="GE162" s="97" t="str">
        <f t="shared" si="207"/>
        <v/>
      </c>
      <c r="GF162" s="97" t="str">
        <f t="shared" si="207"/>
        <v/>
      </c>
      <c r="GG162" s="97" t="str">
        <f t="shared" si="207"/>
        <v/>
      </c>
      <c r="GH162" s="97" t="str">
        <f t="shared" si="207"/>
        <v/>
      </c>
      <c r="GI162" s="97" t="str">
        <f t="shared" si="207"/>
        <v/>
      </c>
      <c r="GJ162" s="97" t="str">
        <f t="shared" si="207"/>
        <v/>
      </c>
      <c r="GK162" s="97" t="str">
        <f t="shared" si="207"/>
        <v/>
      </c>
      <c r="GL162" s="97" t="str">
        <f t="shared" si="207"/>
        <v/>
      </c>
      <c r="GM162" s="97" t="str">
        <f t="shared" si="207"/>
        <v/>
      </c>
      <c r="GN162" s="97" t="str">
        <f t="shared" si="207"/>
        <v/>
      </c>
      <c r="GO162" s="97" t="str">
        <f t="shared" si="207"/>
        <v/>
      </c>
      <c r="GP162" s="97" t="str">
        <f t="shared" si="207"/>
        <v/>
      </c>
      <c r="GQ162" s="97" t="str">
        <f t="shared" si="207"/>
        <v/>
      </c>
      <c r="GR162" s="97" t="str">
        <f t="shared" si="207"/>
        <v/>
      </c>
      <c r="GS162" s="97" t="str">
        <f t="shared" si="207"/>
        <v/>
      </c>
      <c r="GT162" s="97" t="str">
        <f t="shared" si="207"/>
        <v/>
      </c>
      <c r="GU162" s="97" t="str">
        <f t="shared" si="207"/>
        <v/>
      </c>
      <c r="GV162" s="97" t="str">
        <f t="shared" si="207"/>
        <v/>
      </c>
      <c r="GW162" s="97" t="str">
        <f t="shared" si="207"/>
        <v/>
      </c>
      <c r="GX162" s="97" t="str">
        <f t="shared" si="207"/>
        <v/>
      </c>
      <c r="GY162" s="98"/>
      <c r="GZ162" s="97">
        <f t="shared" si="3"/>
        <v>0</v>
      </c>
      <c r="HA162" s="97">
        <f t="shared" si="4"/>
        <v>0</v>
      </c>
      <c r="HB162" s="90">
        <f t="shared" si="5"/>
        <v>0</v>
      </c>
      <c r="HC162" s="99"/>
      <c r="HD162" s="97">
        <f t="shared" si="6"/>
        <v>0</v>
      </c>
      <c r="HE162" s="97">
        <f t="shared" si="7"/>
        <v>0</v>
      </c>
      <c r="HF162" s="90">
        <f t="shared" si="8"/>
        <v>0</v>
      </c>
      <c r="HG162" s="99"/>
      <c r="HH162" s="97">
        <f t="shared" si="9"/>
        <v>0</v>
      </c>
      <c r="HI162" s="97">
        <f t="shared" si="10"/>
        <v>0</v>
      </c>
      <c r="HJ162" s="90">
        <f t="shared" si="11"/>
        <v>0</v>
      </c>
      <c r="HK162" s="99"/>
      <c r="HL162" s="97">
        <f t="shared" si="12"/>
        <v>0</v>
      </c>
      <c r="HM162" s="97">
        <f t="shared" si="13"/>
        <v>0</v>
      </c>
      <c r="HN162" s="90">
        <f t="shared" si="14"/>
        <v>0</v>
      </c>
      <c r="HO162" s="99"/>
      <c r="HP162" s="97">
        <f t="shared" si="15"/>
        <v>0</v>
      </c>
      <c r="HQ162" s="97">
        <f t="shared" si="16"/>
        <v>0</v>
      </c>
      <c r="HR162" s="90">
        <f t="shared" si="17"/>
        <v>0</v>
      </c>
      <c r="HS162" s="99"/>
      <c r="HT162" s="97">
        <f t="shared" si="18"/>
        <v>0</v>
      </c>
      <c r="HU162" s="97">
        <f t="shared" si="19"/>
        <v>0</v>
      </c>
      <c r="HV162" s="90">
        <f t="shared" si="20"/>
        <v>0</v>
      </c>
      <c r="HW162" s="99"/>
      <c r="HX162" s="97">
        <f t="shared" si="21"/>
        <v>0</v>
      </c>
      <c r="HY162" s="97">
        <f t="shared" si="22"/>
        <v>0</v>
      </c>
      <c r="HZ162" s="90">
        <f t="shared" si="23"/>
        <v>0</v>
      </c>
      <c r="IA162" s="99"/>
      <c r="IB162" s="97">
        <f t="shared" si="24"/>
        <v>0</v>
      </c>
      <c r="IC162" s="97">
        <f t="shared" si="25"/>
        <v>0</v>
      </c>
      <c r="ID162" s="90">
        <f t="shared" si="26"/>
        <v>0</v>
      </c>
      <c r="IE162" s="99"/>
      <c r="IF162" s="97">
        <f t="shared" si="27"/>
        <v>0</v>
      </c>
      <c r="IG162" s="97">
        <f t="shared" si="28"/>
        <v>0</v>
      </c>
      <c r="IH162" s="90">
        <f t="shared" si="29"/>
        <v>0</v>
      </c>
      <c r="II162" s="99"/>
      <c r="IJ162" s="97">
        <f t="shared" si="30"/>
        <v>0</v>
      </c>
      <c r="IK162" s="97">
        <f t="shared" si="31"/>
        <v>0</v>
      </c>
      <c r="IL162" s="90">
        <f t="shared" si="32"/>
        <v>0</v>
      </c>
      <c r="IM162" s="99"/>
      <c r="IN162" s="97">
        <f t="shared" si="33"/>
        <v>0</v>
      </c>
      <c r="IO162" s="97">
        <f t="shared" si="34"/>
        <v>0</v>
      </c>
      <c r="IP162" s="90">
        <f t="shared" si="35"/>
        <v>0</v>
      </c>
      <c r="IS162" s="100">
        <f t="shared" si="36"/>
        <v>0</v>
      </c>
      <c r="IT162" s="100">
        <f t="shared" si="37"/>
        <v>0</v>
      </c>
      <c r="IU162" s="100">
        <f t="shared" si="38"/>
        <v>0</v>
      </c>
      <c r="IV162" s="100">
        <f t="shared" si="39"/>
        <v>0</v>
      </c>
      <c r="IW162" s="100">
        <f t="shared" si="40"/>
        <v>0</v>
      </c>
      <c r="IX162" s="100">
        <f t="shared" si="41"/>
        <v>0</v>
      </c>
      <c r="IY162" s="100">
        <f t="shared" si="42"/>
        <v>0</v>
      </c>
      <c r="IZ162" s="100">
        <f t="shared" si="43"/>
        <v>0</v>
      </c>
      <c r="JA162" s="100">
        <f t="shared" si="44"/>
        <v>0</v>
      </c>
      <c r="JB162" s="101">
        <f t="shared" si="45"/>
        <v>0</v>
      </c>
      <c r="JC162" s="102">
        <f t="shared" si="46"/>
        <v>0</v>
      </c>
      <c r="JD162" s="67">
        <f t="shared" si="50"/>
        <v>5</v>
      </c>
      <c r="JE162" s="67">
        <f t="shared" si="47"/>
        <v>0</v>
      </c>
      <c r="JF162" s="67">
        <f t="shared" si="48"/>
        <v>5</v>
      </c>
    </row>
    <row r="163">
      <c r="A163" s="7"/>
      <c r="B163" s="105"/>
      <c r="C163" s="7"/>
      <c r="D163" s="7"/>
      <c r="E163" s="7"/>
      <c r="F163" s="105"/>
      <c r="G163" s="105"/>
      <c r="H163" s="105"/>
      <c r="I163" s="105"/>
      <c r="J163" s="105"/>
      <c r="K163" s="105"/>
      <c r="L163" s="105"/>
      <c r="M163" s="105"/>
      <c r="N163" s="105"/>
      <c r="O163" s="105"/>
      <c r="P163" s="105"/>
      <c r="Q163" s="105"/>
      <c r="R163" s="105"/>
      <c r="S163" s="105"/>
      <c r="T163" s="105"/>
      <c r="U163" s="105"/>
      <c r="V163" s="105"/>
      <c r="W163" s="105"/>
      <c r="X163" s="105"/>
      <c r="Y163" s="105"/>
      <c r="Z163" s="105"/>
      <c r="AA163" s="105"/>
      <c r="AB163" s="105"/>
      <c r="AC163" s="105"/>
      <c r="AD163" s="105"/>
      <c r="AE163" s="105"/>
      <c r="AF163" s="105"/>
      <c r="AG163" s="105"/>
      <c r="AH163" s="105"/>
      <c r="AI163" s="105"/>
      <c r="AJ163" s="105"/>
      <c r="AK163" s="105"/>
      <c r="AL163" s="105"/>
      <c r="AM163" s="105"/>
      <c r="AN163" s="105"/>
      <c r="AO163" s="105"/>
      <c r="AP163" s="105"/>
      <c r="AQ163" s="105"/>
      <c r="AR163" s="105"/>
      <c r="AS163" s="105"/>
      <c r="AT163" s="105"/>
      <c r="AU163" s="105"/>
      <c r="AV163" s="105"/>
      <c r="AW163" s="105"/>
      <c r="AX163" s="105"/>
      <c r="AY163" s="105"/>
      <c r="AZ163" s="105"/>
      <c r="BA163" s="105"/>
      <c r="BB163" s="105"/>
      <c r="BC163" s="105"/>
      <c r="BD163" s="105"/>
      <c r="BE163" s="105"/>
      <c r="BF163" s="105"/>
      <c r="BG163" s="105"/>
      <c r="BH163" s="105"/>
      <c r="BI163" s="105"/>
      <c r="BJ163" s="105"/>
      <c r="BK163" s="105"/>
      <c r="BL163" s="105"/>
      <c r="BM163" s="105"/>
      <c r="BN163" s="105"/>
      <c r="BO163" s="105"/>
      <c r="BP163" s="105"/>
      <c r="BQ163" s="105"/>
      <c r="BR163" s="105"/>
      <c r="BS163" s="105"/>
      <c r="BT163" s="105"/>
      <c r="BU163" s="105"/>
      <c r="BV163" s="105"/>
      <c r="BW163" s="105"/>
      <c r="BX163" s="105"/>
      <c r="BY163" s="105"/>
      <c r="BZ163" s="105"/>
      <c r="CA163" s="105"/>
      <c r="CB163" s="105"/>
      <c r="CC163" s="105"/>
      <c r="CD163" s="105"/>
      <c r="CE163" s="105"/>
      <c r="CF163" s="105"/>
      <c r="CG163" s="105"/>
      <c r="CH163" s="105"/>
      <c r="CI163" s="105"/>
      <c r="CJ163" s="105"/>
      <c r="CK163" s="105"/>
      <c r="CL163" s="105"/>
      <c r="CM163" s="105"/>
      <c r="CN163" s="105"/>
      <c r="CO163" s="105"/>
      <c r="CP163" s="105"/>
      <c r="CQ163" s="105"/>
      <c r="CR163" s="105"/>
      <c r="CS163" s="105"/>
      <c r="CT163" s="105"/>
      <c r="CU163" s="105"/>
      <c r="CV163" s="105"/>
      <c r="CW163" s="105"/>
      <c r="CX163" s="105"/>
      <c r="CY163" s="105"/>
      <c r="CZ163" s="105"/>
      <c r="DA163" s="105"/>
      <c r="DB163" s="89" t="s">
        <v>23</v>
      </c>
      <c r="DC163" s="97" t="str">
        <f t="shared" ref="DC163:GX163" si="208">LEFT(F163,1)</f>
        <v/>
      </c>
      <c r="DD163" s="97" t="str">
        <f t="shared" si="208"/>
        <v/>
      </c>
      <c r="DE163" s="97" t="str">
        <f t="shared" si="208"/>
        <v/>
      </c>
      <c r="DF163" s="97" t="str">
        <f t="shared" si="208"/>
        <v/>
      </c>
      <c r="DG163" s="97" t="str">
        <f t="shared" si="208"/>
        <v/>
      </c>
      <c r="DH163" s="97" t="str">
        <f t="shared" si="208"/>
        <v/>
      </c>
      <c r="DI163" s="97" t="str">
        <f t="shared" si="208"/>
        <v/>
      </c>
      <c r="DJ163" s="97" t="str">
        <f t="shared" si="208"/>
        <v/>
      </c>
      <c r="DK163" s="97" t="str">
        <f t="shared" si="208"/>
        <v/>
      </c>
      <c r="DL163" s="97" t="str">
        <f t="shared" si="208"/>
        <v/>
      </c>
      <c r="DM163" s="97" t="str">
        <f t="shared" si="208"/>
        <v/>
      </c>
      <c r="DN163" s="97" t="str">
        <f t="shared" si="208"/>
        <v/>
      </c>
      <c r="DO163" s="97" t="str">
        <f t="shared" si="208"/>
        <v/>
      </c>
      <c r="DP163" s="97" t="str">
        <f t="shared" si="208"/>
        <v/>
      </c>
      <c r="DQ163" s="97" t="str">
        <f t="shared" si="208"/>
        <v/>
      </c>
      <c r="DR163" s="97" t="str">
        <f t="shared" si="208"/>
        <v/>
      </c>
      <c r="DS163" s="97" t="str">
        <f t="shared" si="208"/>
        <v/>
      </c>
      <c r="DT163" s="97" t="str">
        <f t="shared" si="208"/>
        <v/>
      </c>
      <c r="DU163" s="97" t="str">
        <f t="shared" si="208"/>
        <v/>
      </c>
      <c r="DV163" s="97" t="str">
        <f t="shared" si="208"/>
        <v/>
      </c>
      <c r="DW163" s="97" t="str">
        <f t="shared" si="208"/>
        <v/>
      </c>
      <c r="DX163" s="97" t="str">
        <f t="shared" si="208"/>
        <v/>
      </c>
      <c r="DY163" s="97" t="str">
        <f t="shared" si="208"/>
        <v/>
      </c>
      <c r="DZ163" s="97" t="str">
        <f t="shared" si="208"/>
        <v/>
      </c>
      <c r="EA163" s="97" t="str">
        <f t="shared" si="208"/>
        <v/>
      </c>
      <c r="EB163" s="97" t="str">
        <f t="shared" si="208"/>
        <v/>
      </c>
      <c r="EC163" s="97" t="str">
        <f t="shared" si="208"/>
        <v/>
      </c>
      <c r="ED163" s="97" t="str">
        <f t="shared" si="208"/>
        <v/>
      </c>
      <c r="EE163" s="97" t="str">
        <f t="shared" si="208"/>
        <v/>
      </c>
      <c r="EF163" s="97" t="str">
        <f t="shared" si="208"/>
        <v/>
      </c>
      <c r="EG163" s="97" t="str">
        <f t="shared" si="208"/>
        <v/>
      </c>
      <c r="EH163" s="97" t="str">
        <f t="shared" si="208"/>
        <v/>
      </c>
      <c r="EI163" s="97" t="str">
        <f t="shared" si="208"/>
        <v/>
      </c>
      <c r="EJ163" s="97" t="str">
        <f t="shared" si="208"/>
        <v/>
      </c>
      <c r="EK163" s="97" t="str">
        <f t="shared" si="208"/>
        <v/>
      </c>
      <c r="EL163" s="97" t="str">
        <f t="shared" si="208"/>
        <v/>
      </c>
      <c r="EM163" s="97" t="str">
        <f t="shared" si="208"/>
        <v/>
      </c>
      <c r="EN163" s="97" t="str">
        <f t="shared" si="208"/>
        <v/>
      </c>
      <c r="EO163" s="97" t="str">
        <f t="shared" si="208"/>
        <v/>
      </c>
      <c r="EP163" s="97" t="str">
        <f t="shared" si="208"/>
        <v/>
      </c>
      <c r="EQ163" s="97" t="str">
        <f t="shared" si="208"/>
        <v/>
      </c>
      <c r="ER163" s="97" t="str">
        <f t="shared" si="208"/>
        <v/>
      </c>
      <c r="ES163" s="97" t="str">
        <f t="shared" si="208"/>
        <v/>
      </c>
      <c r="ET163" s="97" t="str">
        <f t="shared" si="208"/>
        <v/>
      </c>
      <c r="EU163" s="97" t="str">
        <f t="shared" si="208"/>
        <v/>
      </c>
      <c r="EV163" s="97" t="str">
        <f t="shared" si="208"/>
        <v/>
      </c>
      <c r="EW163" s="97" t="str">
        <f t="shared" si="208"/>
        <v/>
      </c>
      <c r="EX163" s="97" t="str">
        <f t="shared" si="208"/>
        <v/>
      </c>
      <c r="EY163" s="97" t="str">
        <f t="shared" si="208"/>
        <v/>
      </c>
      <c r="EZ163" s="97" t="str">
        <f t="shared" si="208"/>
        <v/>
      </c>
      <c r="FA163" s="97" t="str">
        <f t="shared" si="208"/>
        <v/>
      </c>
      <c r="FB163" s="97" t="str">
        <f t="shared" si="208"/>
        <v/>
      </c>
      <c r="FC163" s="97" t="str">
        <f t="shared" si="208"/>
        <v/>
      </c>
      <c r="FD163" s="97" t="str">
        <f t="shared" si="208"/>
        <v/>
      </c>
      <c r="FE163" s="97" t="str">
        <f t="shared" si="208"/>
        <v/>
      </c>
      <c r="FF163" s="97" t="str">
        <f t="shared" si="208"/>
        <v/>
      </c>
      <c r="FG163" s="97" t="str">
        <f t="shared" si="208"/>
        <v/>
      </c>
      <c r="FH163" s="97" t="str">
        <f t="shared" si="208"/>
        <v/>
      </c>
      <c r="FI163" s="97" t="str">
        <f t="shared" si="208"/>
        <v/>
      </c>
      <c r="FJ163" s="97" t="str">
        <f t="shared" si="208"/>
        <v/>
      </c>
      <c r="FK163" s="97" t="str">
        <f t="shared" si="208"/>
        <v/>
      </c>
      <c r="FL163" s="97" t="str">
        <f t="shared" si="208"/>
        <v/>
      </c>
      <c r="FM163" s="97" t="str">
        <f t="shared" si="208"/>
        <v/>
      </c>
      <c r="FN163" s="97" t="str">
        <f t="shared" si="208"/>
        <v/>
      </c>
      <c r="FO163" s="97" t="str">
        <f t="shared" si="208"/>
        <v/>
      </c>
      <c r="FP163" s="97" t="str">
        <f t="shared" si="208"/>
        <v/>
      </c>
      <c r="FQ163" s="97" t="str">
        <f t="shared" si="208"/>
        <v/>
      </c>
      <c r="FR163" s="97" t="str">
        <f t="shared" si="208"/>
        <v/>
      </c>
      <c r="FS163" s="97" t="str">
        <f t="shared" si="208"/>
        <v/>
      </c>
      <c r="FT163" s="97" t="str">
        <f t="shared" si="208"/>
        <v/>
      </c>
      <c r="FU163" s="97" t="str">
        <f t="shared" si="208"/>
        <v/>
      </c>
      <c r="FV163" s="97" t="str">
        <f t="shared" si="208"/>
        <v/>
      </c>
      <c r="FW163" s="97" t="str">
        <f t="shared" si="208"/>
        <v/>
      </c>
      <c r="FX163" s="97" t="str">
        <f t="shared" si="208"/>
        <v/>
      </c>
      <c r="FY163" s="97" t="str">
        <f t="shared" si="208"/>
        <v/>
      </c>
      <c r="FZ163" s="97" t="str">
        <f t="shared" si="208"/>
        <v/>
      </c>
      <c r="GA163" s="97" t="str">
        <f t="shared" si="208"/>
        <v/>
      </c>
      <c r="GB163" s="97" t="str">
        <f t="shared" si="208"/>
        <v/>
      </c>
      <c r="GC163" s="97" t="str">
        <f t="shared" si="208"/>
        <v/>
      </c>
      <c r="GD163" s="97" t="str">
        <f t="shared" si="208"/>
        <v/>
      </c>
      <c r="GE163" s="97" t="str">
        <f t="shared" si="208"/>
        <v/>
      </c>
      <c r="GF163" s="97" t="str">
        <f t="shared" si="208"/>
        <v/>
      </c>
      <c r="GG163" s="97" t="str">
        <f t="shared" si="208"/>
        <v/>
      </c>
      <c r="GH163" s="97" t="str">
        <f t="shared" si="208"/>
        <v/>
      </c>
      <c r="GI163" s="97" t="str">
        <f t="shared" si="208"/>
        <v/>
      </c>
      <c r="GJ163" s="97" t="str">
        <f t="shared" si="208"/>
        <v/>
      </c>
      <c r="GK163" s="97" t="str">
        <f t="shared" si="208"/>
        <v/>
      </c>
      <c r="GL163" s="97" t="str">
        <f t="shared" si="208"/>
        <v/>
      </c>
      <c r="GM163" s="97" t="str">
        <f t="shared" si="208"/>
        <v/>
      </c>
      <c r="GN163" s="97" t="str">
        <f t="shared" si="208"/>
        <v/>
      </c>
      <c r="GO163" s="97" t="str">
        <f t="shared" si="208"/>
        <v/>
      </c>
      <c r="GP163" s="97" t="str">
        <f t="shared" si="208"/>
        <v/>
      </c>
      <c r="GQ163" s="97" t="str">
        <f t="shared" si="208"/>
        <v/>
      </c>
      <c r="GR163" s="97" t="str">
        <f t="shared" si="208"/>
        <v/>
      </c>
      <c r="GS163" s="97" t="str">
        <f t="shared" si="208"/>
        <v/>
      </c>
      <c r="GT163" s="97" t="str">
        <f t="shared" si="208"/>
        <v/>
      </c>
      <c r="GU163" s="97" t="str">
        <f t="shared" si="208"/>
        <v/>
      </c>
      <c r="GV163" s="97" t="str">
        <f t="shared" si="208"/>
        <v/>
      </c>
      <c r="GW163" s="97" t="str">
        <f t="shared" si="208"/>
        <v/>
      </c>
      <c r="GX163" s="97" t="str">
        <f t="shared" si="208"/>
        <v/>
      </c>
      <c r="GY163" s="98"/>
      <c r="GZ163" s="97">
        <f t="shared" si="3"/>
        <v>0</v>
      </c>
      <c r="HA163" s="97">
        <f t="shared" si="4"/>
        <v>0</v>
      </c>
      <c r="HB163" s="90">
        <f t="shared" si="5"/>
        <v>0</v>
      </c>
      <c r="HC163" s="99"/>
      <c r="HD163" s="97">
        <f t="shared" si="6"/>
        <v>0</v>
      </c>
      <c r="HE163" s="97">
        <f t="shared" si="7"/>
        <v>0</v>
      </c>
      <c r="HF163" s="90">
        <f t="shared" si="8"/>
        <v>0</v>
      </c>
      <c r="HG163" s="99"/>
      <c r="HH163" s="97">
        <f t="shared" si="9"/>
        <v>0</v>
      </c>
      <c r="HI163" s="97">
        <f t="shared" si="10"/>
        <v>0</v>
      </c>
      <c r="HJ163" s="90">
        <f t="shared" si="11"/>
        <v>0</v>
      </c>
      <c r="HK163" s="99"/>
      <c r="HL163" s="97">
        <f t="shared" si="12"/>
        <v>0</v>
      </c>
      <c r="HM163" s="97">
        <f t="shared" si="13"/>
        <v>0</v>
      </c>
      <c r="HN163" s="90">
        <f t="shared" si="14"/>
        <v>0</v>
      </c>
      <c r="HO163" s="99"/>
      <c r="HP163" s="97">
        <f t="shared" si="15"/>
        <v>0</v>
      </c>
      <c r="HQ163" s="97">
        <f t="shared" si="16"/>
        <v>0</v>
      </c>
      <c r="HR163" s="90">
        <f t="shared" si="17"/>
        <v>0</v>
      </c>
      <c r="HS163" s="99"/>
      <c r="HT163" s="97">
        <f t="shared" si="18"/>
        <v>0</v>
      </c>
      <c r="HU163" s="97">
        <f t="shared" si="19"/>
        <v>0</v>
      </c>
      <c r="HV163" s="90">
        <f t="shared" si="20"/>
        <v>0</v>
      </c>
      <c r="HW163" s="99"/>
      <c r="HX163" s="97">
        <f t="shared" si="21"/>
        <v>0</v>
      </c>
      <c r="HY163" s="97">
        <f t="shared" si="22"/>
        <v>0</v>
      </c>
      <c r="HZ163" s="90">
        <f t="shared" si="23"/>
        <v>0</v>
      </c>
      <c r="IA163" s="99"/>
      <c r="IB163" s="97">
        <f t="shared" si="24"/>
        <v>0</v>
      </c>
      <c r="IC163" s="97">
        <f t="shared" si="25"/>
        <v>0</v>
      </c>
      <c r="ID163" s="90">
        <f t="shared" si="26"/>
        <v>0</v>
      </c>
      <c r="IE163" s="99"/>
      <c r="IF163" s="97">
        <f t="shared" si="27"/>
        <v>0</v>
      </c>
      <c r="IG163" s="97">
        <f t="shared" si="28"/>
        <v>0</v>
      </c>
      <c r="IH163" s="90">
        <f t="shared" si="29"/>
        <v>0</v>
      </c>
      <c r="II163" s="99"/>
      <c r="IJ163" s="97">
        <f t="shared" si="30"/>
        <v>0</v>
      </c>
      <c r="IK163" s="97">
        <f t="shared" si="31"/>
        <v>0</v>
      </c>
      <c r="IL163" s="90">
        <f t="shared" si="32"/>
        <v>0</v>
      </c>
      <c r="IM163" s="99"/>
      <c r="IN163" s="97">
        <f t="shared" si="33"/>
        <v>0</v>
      </c>
      <c r="IO163" s="97">
        <f t="shared" si="34"/>
        <v>0</v>
      </c>
      <c r="IP163" s="90">
        <f t="shared" si="35"/>
        <v>0</v>
      </c>
      <c r="IS163" s="100">
        <f t="shared" si="36"/>
        <v>0</v>
      </c>
      <c r="IT163" s="100">
        <f t="shared" si="37"/>
        <v>0</v>
      </c>
      <c r="IU163" s="100">
        <f t="shared" si="38"/>
        <v>0</v>
      </c>
      <c r="IV163" s="100">
        <f t="shared" si="39"/>
        <v>0</v>
      </c>
      <c r="IW163" s="100">
        <f t="shared" si="40"/>
        <v>0</v>
      </c>
      <c r="IX163" s="100">
        <f t="shared" si="41"/>
        <v>0</v>
      </c>
      <c r="IY163" s="100">
        <f t="shared" si="42"/>
        <v>0</v>
      </c>
      <c r="IZ163" s="100">
        <f t="shared" si="43"/>
        <v>0</v>
      </c>
      <c r="JA163" s="100">
        <f t="shared" si="44"/>
        <v>0</v>
      </c>
      <c r="JB163" s="101">
        <f t="shared" si="45"/>
        <v>0</v>
      </c>
      <c r="JC163" s="102">
        <f t="shared" si="46"/>
        <v>0</v>
      </c>
      <c r="JD163" s="67">
        <f t="shared" si="50"/>
        <v>5</v>
      </c>
      <c r="JE163" s="67">
        <f t="shared" si="47"/>
        <v>0</v>
      </c>
      <c r="JF163" s="67">
        <f t="shared" si="48"/>
        <v>5</v>
      </c>
    </row>
    <row r="164">
      <c r="A164" s="7"/>
      <c r="B164" s="105"/>
      <c r="C164" s="7"/>
      <c r="D164" s="7"/>
      <c r="E164" s="7"/>
      <c r="F164" s="105"/>
      <c r="G164" s="105"/>
      <c r="H164" s="105"/>
      <c r="I164" s="105"/>
      <c r="J164" s="105"/>
      <c r="K164" s="105"/>
      <c r="L164" s="105"/>
      <c r="M164" s="105"/>
      <c r="N164" s="105"/>
      <c r="O164" s="105"/>
      <c r="P164" s="105"/>
      <c r="Q164" s="105"/>
      <c r="R164" s="105"/>
      <c r="S164" s="105"/>
      <c r="T164" s="105"/>
      <c r="U164" s="105"/>
      <c r="V164" s="105"/>
      <c r="W164" s="105"/>
      <c r="X164" s="105"/>
      <c r="Y164" s="105"/>
      <c r="Z164" s="105"/>
      <c r="AA164" s="105"/>
      <c r="AB164" s="105"/>
      <c r="AC164" s="105"/>
      <c r="AD164" s="105"/>
      <c r="AE164" s="105"/>
      <c r="AF164" s="105"/>
      <c r="AG164" s="105"/>
      <c r="AH164" s="105"/>
      <c r="AI164" s="105"/>
      <c r="AJ164" s="105"/>
      <c r="AK164" s="105"/>
      <c r="AL164" s="105"/>
      <c r="AM164" s="105"/>
      <c r="AN164" s="105"/>
      <c r="AO164" s="105"/>
      <c r="AP164" s="105"/>
      <c r="AQ164" s="105"/>
      <c r="AR164" s="105"/>
      <c r="AS164" s="105"/>
      <c r="AT164" s="105"/>
      <c r="AU164" s="105"/>
      <c r="AV164" s="105"/>
      <c r="AW164" s="105"/>
      <c r="AX164" s="105"/>
      <c r="AY164" s="105"/>
      <c r="AZ164" s="105"/>
      <c r="BA164" s="105"/>
      <c r="BB164" s="105"/>
      <c r="BC164" s="105"/>
      <c r="BD164" s="105"/>
      <c r="BE164" s="105"/>
      <c r="BF164" s="105"/>
      <c r="BG164" s="105"/>
      <c r="BH164" s="105"/>
      <c r="BI164" s="105"/>
      <c r="BJ164" s="105"/>
      <c r="BK164" s="105"/>
      <c r="BL164" s="105"/>
      <c r="BM164" s="105"/>
      <c r="BN164" s="105"/>
      <c r="BO164" s="105"/>
      <c r="BP164" s="105"/>
      <c r="BQ164" s="105"/>
      <c r="BR164" s="105"/>
      <c r="BS164" s="105"/>
      <c r="BT164" s="105"/>
      <c r="BU164" s="105"/>
      <c r="BV164" s="105"/>
      <c r="BW164" s="105"/>
      <c r="BX164" s="105"/>
      <c r="BY164" s="105"/>
      <c r="BZ164" s="105"/>
      <c r="CA164" s="105"/>
      <c r="CB164" s="105"/>
      <c r="CC164" s="105"/>
      <c r="CD164" s="105"/>
      <c r="CE164" s="105"/>
      <c r="CF164" s="105"/>
      <c r="CG164" s="105"/>
      <c r="CH164" s="105"/>
      <c r="CI164" s="105"/>
      <c r="CJ164" s="105"/>
      <c r="CK164" s="105"/>
      <c r="CL164" s="105"/>
      <c r="CM164" s="105"/>
      <c r="CN164" s="105"/>
      <c r="CO164" s="105"/>
      <c r="CP164" s="105"/>
      <c r="CQ164" s="105"/>
      <c r="CR164" s="105"/>
      <c r="CS164" s="105"/>
      <c r="CT164" s="105"/>
      <c r="CU164" s="105"/>
      <c r="CV164" s="105"/>
      <c r="CW164" s="105"/>
      <c r="CX164" s="105"/>
      <c r="CY164" s="105"/>
      <c r="CZ164" s="105"/>
      <c r="DA164" s="105"/>
      <c r="DB164" s="89" t="s">
        <v>23</v>
      </c>
      <c r="DC164" s="97" t="str">
        <f t="shared" ref="DC164:GX164" si="209">LEFT(F164,1)</f>
        <v/>
      </c>
      <c r="DD164" s="97" t="str">
        <f t="shared" si="209"/>
        <v/>
      </c>
      <c r="DE164" s="97" t="str">
        <f t="shared" si="209"/>
        <v/>
      </c>
      <c r="DF164" s="97" t="str">
        <f t="shared" si="209"/>
        <v/>
      </c>
      <c r="DG164" s="97" t="str">
        <f t="shared" si="209"/>
        <v/>
      </c>
      <c r="DH164" s="97" t="str">
        <f t="shared" si="209"/>
        <v/>
      </c>
      <c r="DI164" s="97" t="str">
        <f t="shared" si="209"/>
        <v/>
      </c>
      <c r="DJ164" s="97" t="str">
        <f t="shared" si="209"/>
        <v/>
      </c>
      <c r="DK164" s="97" t="str">
        <f t="shared" si="209"/>
        <v/>
      </c>
      <c r="DL164" s="97" t="str">
        <f t="shared" si="209"/>
        <v/>
      </c>
      <c r="DM164" s="97" t="str">
        <f t="shared" si="209"/>
        <v/>
      </c>
      <c r="DN164" s="97" t="str">
        <f t="shared" si="209"/>
        <v/>
      </c>
      <c r="DO164" s="97" t="str">
        <f t="shared" si="209"/>
        <v/>
      </c>
      <c r="DP164" s="97" t="str">
        <f t="shared" si="209"/>
        <v/>
      </c>
      <c r="DQ164" s="97" t="str">
        <f t="shared" si="209"/>
        <v/>
      </c>
      <c r="DR164" s="97" t="str">
        <f t="shared" si="209"/>
        <v/>
      </c>
      <c r="DS164" s="97" t="str">
        <f t="shared" si="209"/>
        <v/>
      </c>
      <c r="DT164" s="97" t="str">
        <f t="shared" si="209"/>
        <v/>
      </c>
      <c r="DU164" s="97" t="str">
        <f t="shared" si="209"/>
        <v/>
      </c>
      <c r="DV164" s="97" t="str">
        <f t="shared" si="209"/>
        <v/>
      </c>
      <c r="DW164" s="97" t="str">
        <f t="shared" si="209"/>
        <v/>
      </c>
      <c r="DX164" s="97" t="str">
        <f t="shared" si="209"/>
        <v/>
      </c>
      <c r="DY164" s="97" t="str">
        <f t="shared" si="209"/>
        <v/>
      </c>
      <c r="DZ164" s="97" t="str">
        <f t="shared" si="209"/>
        <v/>
      </c>
      <c r="EA164" s="97" t="str">
        <f t="shared" si="209"/>
        <v/>
      </c>
      <c r="EB164" s="97" t="str">
        <f t="shared" si="209"/>
        <v/>
      </c>
      <c r="EC164" s="97" t="str">
        <f t="shared" si="209"/>
        <v/>
      </c>
      <c r="ED164" s="97" t="str">
        <f t="shared" si="209"/>
        <v/>
      </c>
      <c r="EE164" s="97" t="str">
        <f t="shared" si="209"/>
        <v/>
      </c>
      <c r="EF164" s="97" t="str">
        <f t="shared" si="209"/>
        <v/>
      </c>
      <c r="EG164" s="97" t="str">
        <f t="shared" si="209"/>
        <v/>
      </c>
      <c r="EH164" s="97" t="str">
        <f t="shared" si="209"/>
        <v/>
      </c>
      <c r="EI164" s="97" t="str">
        <f t="shared" si="209"/>
        <v/>
      </c>
      <c r="EJ164" s="97" t="str">
        <f t="shared" si="209"/>
        <v/>
      </c>
      <c r="EK164" s="97" t="str">
        <f t="shared" si="209"/>
        <v/>
      </c>
      <c r="EL164" s="97" t="str">
        <f t="shared" si="209"/>
        <v/>
      </c>
      <c r="EM164" s="97" t="str">
        <f t="shared" si="209"/>
        <v/>
      </c>
      <c r="EN164" s="97" t="str">
        <f t="shared" si="209"/>
        <v/>
      </c>
      <c r="EO164" s="97" t="str">
        <f t="shared" si="209"/>
        <v/>
      </c>
      <c r="EP164" s="97" t="str">
        <f t="shared" si="209"/>
        <v/>
      </c>
      <c r="EQ164" s="97" t="str">
        <f t="shared" si="209"/>
        <v/>
      </c>
      <c r="ER164" s="97" t="str">
        <f t="shared" si="209"/>
        <v/>
      </c>
      <c r="ES164" s="97" t="str">
        <f t="shared" si="209"/>
        <v/>
      </c>
      <c r="ET164" s="97" t="str">
        <f t="shared" si="209"/>
        <v/>
      </c>
      <c r="EU164" s="97" t="str">
        <f t="shared" si="209"/>
        <v/>
      </c>
      <c r="EV164" s="97" t="str">
        <f t="shared" si="209"/>
        <v/>
      </c>
      <c r="EW164" s="97" t="str">
        <f t="shared" si="209"/>
        <v/>
      </c>
      <c r="EX164" s="97" t="str">
        <f t="shared" si="209"/>
        <v/>
      </c>
      <c r="EY164" s="97" t="str">
        <f t="shared" si="209"/>
        <v/>
      </c>
      <c r="EZ164" s="97" t="str">
        <f t="shared" si="209"/>
        <v/>
      </c>
      <c r="FA164" s="97" t="str">
        <f t="shared" si="209"/>
        <v/>
      </c>
      <c r="FB164" s="97" t="str">
        <f t="shared" si="209"/>
        <v/>
      </c>
      <c r="FC164" s="97" t="str">
        <f t="shared" si="209"/>
        <v/>
      </c>
      <c r="FD164" s="97" t="str">
        <f t="shared" si="209"/>
        <v/>
      </c>
      <c r="FE164" s="97" t="str">
        <f t="shared" si="209"/>
        <v/>
      </c>
      <c r="FF164" s="97" t="str">
        <f t="shared" si="209"/>
        <v/>
      </c>
      <c r="FG164" s="97" t="str">
        <f t="shared" si="209"/>
        <v/>
      </c>
      <c r="FH164" s="97" t="str">
        <f t="shared" si="209"/>
        <v/>
      </c>
      <c r="FI164" s="97" t="str">
        <f t="shared" si="209"/>
        <v/>
      </c>
      <c r="FJ164" s="97" t="str">
        <f t="shared" si="209"/>
        <v/>
      </c>
      <c r="FK164" s="97" t="str">
        <f t="shared" si="209"/>
        <v/>
      </c>
      <c r="FL164" s="97" t="str">
        <f t="shared" si="209"/>
        <v/>
      </c>
      <c r="FM164" s="97" t="str">
        <f t="shared" si="209"/>
        <v/>
      </c>
      <c r="FN164" s="97" t="str">
        <f t="shared" si="209"/>
        <v/>
      </c>
      <c r="FO164" s="97" t="str">
        <f t="shared" si="209"/>
        <v/>
      </c>
      <c r="FP164" s="97" t="str">
        <f t="shared" si="209"/>
        <v/>
      </c>
      <c r="FQ164" s="97" t="str">
        <f t="shared" si="209"/>
        <v/>
      </c>
      <c r="FR164" s="97" t="str">
        <f t="shared" si="209"/>
        <v/>
      </c>
      <c r="FS164" s="97" t="str">
        <f t="shared" si="209"/>
        <v/>
      </c>
      <c r="FT164" s="97" t="str">
        <f t="shared" si="209"/>
        <v/>
      </c>
      <c r="FU164" s="97" t="str">
        <f t="shared" si="209"/>
        <v/>
      </c>
      <c r="FV164" s="97" t="str">
        <f t="shared" si="209"/>
        <v/>
      </c>
      <c r="FW164" s="97" t="str">
        <f t="shared" si="209"/>
        <v/>
      </c>
      <c r="FX164" s="97" t="str">
        <f t="shared" si="209"/>
        <v/>
      </c>
      <c r="FY164" s="97" t="str">
        <f t="shared" si="209"/>
        <v/>
      </c>
      <c r="FZ164" s="97" t="str">
        <f t="shared" si="209"/>
        <v/>
      </c>
      <c r="GA164" s="97" t="str">
        <f t="shared" si="209"/>
        <v/>
      </c>
      <c r="GB164" s="97" t="str">
        <f t="shared" si="209"/>
        <v/>
      </c>
      <c r="GC164" s="97" t="str">
        <f t="shared" si="209"/>
        <v/>
      </c>
      <c r="GD164" s="97" t="str">
        <f t="shared" si="209"/>
        <v/>
      </c>
      <c r="GE164" s="97" t="str">
        <f t="shared" si="209"/>
        <v/>
      </c>
      <c r="GF164" s="97" t="str">
        <f t="shared" si="209"/>
        <v/>
      </c>
      <c r="GG164" s="97" t="str">
        <f t="shared" si="209"/>
        <v/>
      </c>
      <c r="GH164" s="97" t="str">
        <f t="shared" si="209"/>
        <v/>
      </c>
      <c r="GI164" s="97" t="str">
        <f t="shared" si="209"/>
        <v/>
      </c>
      <c r="GJ164" s="97" t="str">
        <f t="shared" si="209"/>
        <v/>
      </c>
      <c r="GK164" s="97" t="str">
        <f t="shared" si="209"/>
        <v/>
      </c>
      <c r="GL164" s="97" t="str">
        <f t="shared" si="209"/>
        <v/>
      </c>
      <c r="GM164" s="97" t="str">
        <f t="shared" si="209"/>
        <v/>
      </c>
      <c r="GN164" s="97" t="str">
        <f t="shared" si="209"/>
        <v/>
      </c>
      <c r="GO164" s="97" t="str">
        <f t="shared" si="209"/>
        <v/>
      </c>
      <c r="GP164" s="97" t="str">
        <f t="shared" si="209"/>
        <v/>
      </c>
      <c r="GQ164" s="97" t="str">
        <f t="shared" si="209"/>
        <v/>
      </c>
      <c r="GR164" s="97" t="str">
        <f t="shared" si="209"/>
        <v/>
      </c>
      <c r="GS164" s="97" t="str">
        <f t="shared" si="209"/>
        <v/>
      </c>
      <c r="GT164" s="97" t="str">
        <f t="shared" si="209"/>
        <v/>
      </c>
      <c r="GU164" s="97" t="str">
        <f t="shared" si="209"/>
        <v/>
      </c>
      <c r="GV164" s="97" t="str">
        <f t="shared" si="209"/>
        <v/>
      </c>
      <c r="GW164" s="97" t="str">
        <f t="shared" si="209"/>
        <v/>
      </c>
      <c r="GX164" s="97" t="str">
        <f t="shared" si="209"/>
        <v/>
      </c>
      <c r="GY164" s="98"/>
      <c r="GZ164" s="97">
        <f t="shared" si="3"/>
        <v>0</v>
      </c>
      <c r="HA164" s="97">
        <f t="shared" si="4"/>
        <v>0</v>
      </c>
      <c r="HB164" s="90">
        <f t="shared" si="5"/>
        <v>0</v>
      </c>
      <c r="HC164" s="99"/>
      <c r="HD164" s="97">
        <f t="shared" si="6"/>
        <v>0</v>
      </c>
      <c r="HE164" s="97">
        <f t="shared" si="7"/>
        <v>0</v>
      </c>
      <c r="HF164" s="90">
        <f t="shared" si="8"/>
        <v>0</v>
      </c>
      <c r="HG164" s="99"/>
      <c r="HH164" s="97">
        <f t="shared" si="9"/>
        <v>0</v>
      </c>
      <c r="HI164" s="97">
        <f t="shared" si="10"/>
        <v>0</v>
      </c>
      <c r="HJ164" s="90">
        <f t="shared" si="11"/>
        <v>0</v>
      </c>
      <c r="HK164" s="99"/>
      <c r="HL164" s="97">
        <f t="shared" si="12"/>
        <v>0</v>
      </c>
      <c r="HM164" s="97">
        <f t="shared" si="13"/>
        <v>0</v>
      </c>
      <c r="HN164" s="90">
        <f t="shared" si="14"/>
        <v>0</v>
      </c>
      <c r="HO164" s="99"/>
      <c r="HP164" s="97">
        <f t="shared" si="15"/>
        <v>0</v>
      </c>
      <c r="HQ164" s="97">
        <f t="shared" si="16"/>
        <v>0</v>
      </c>
      <c r="HR164" s="90">
        <f t="shared" si="17"/>
        <v>0</v>
      </c>
      <c r="HS164" s="99"/>
      <c r="HT164" s="97">
        <f t="shared" si="18"/>
        <v>0</v>
      </c>
      <c r="HU164" s="97">
        <f t="shared" si="19"/>
        <v>0</v>
      </c>
      <c r="HV164" s="90">
        <f t="shared" si="20"/>
        <v>0</v>
      </c>
      <c r="HW164" s="99"/>
      <c r="HX164" s="97">
        <f t="shared" si="21"/>
        <v>0</v>
      </c>
      <c r="HY164" s="97">
        <f t="shared" si="22"/>
        <v>0</v>
      </c>
      <c r="HZ164" s="90">
        <f t="shared" si="23"/>
        <v>0</v>
      </c>
      <c r="IA164" s="99"/>
      <c r="IB164" s="97">
        <f t="shared" si="24"/>
        <v>0</v>
      </c>
      <c r="IC164" s="97">
        <f t="shared" si="25"/>
        <v>0</v>
      </c>
      <c r="ID164" s="90">
        <f t="shared" si="26"/>
        <v>0</v>
      </c>
      <c r="IE164" s="99"/>
      <c r="IF164" s="97">
        <f t="shared" si="27"/>
        <v>0</v>
      </c>
      <c r="IG164" s="97">
        <f t="shared" si="28"/>
        <v>0</v>
      </c>
      <c r="IH164" s="90">
        <f t="shared" si="29"/>
        <v>0</v>
      </c>
      <c r="II164" s="99"/>
      <c r="IJ164" s="97">
        <f t="shared" si="30"/>
        <v>0</v>
      </c>
      <c r="IK164" s="97">
        <f t="shared" si="31"/>
        <v>0</v>
      </c>
      <c r="IL164" s="90">
        <f t="shared" si="32"/>
        <v>0</v>
      </c>
      <c r="IM164" s="99"/>
      <c r="IN164" s="97">
        <f t="shared" si="33"/>
        <v>0</v>
      </c>
      <c r="IO164" s="97">
        <f t="shared" si="34"/>
        <v>0</v>
      </c>
      <c r="IP164" s="90">
        <f t="shared" si="35"/>
        <v>0</v>
      </c>
      <c r="IS164" s="100">
        <f t="shared" si="36"/>
        <v>0</v>
      </c>
      <c r="IT164" s="100">
        <f t="shared" si="37"/>
        <v>0</v>
      </c>
      <c r="IU164" s="100">
        <f t="shared" si="38"/>
        <v>0</v>
      </c>
      <c r="IV164" s="100">
        <f t="shared" si="39"/>
        <v>0</v>
      </c>
      <c r="IW164" s="100">
        <f t="shared" si="40"/>
        <v>0</v>
      </c>
      <c r="IX164" s="100">
        <f t="shared" si="41"/>
        <v>0</v>
      </c>
      <c r="IY164" s="100">
        <f t="shared" si="42"/>
        <v>0</v>
      </c>
      <c r="IZ164" s="100">
        <f t="shared" si="43"/>
        <v>0</v>
      </c>
      <c r="JA164" s="100">
        <f t="shared" si="44"/>
        <v>0</v>
      </c>
      <c r="JB164" s="101">
        <f t="shared" si="45"/>
        <v>0</v>
      </c>
      <c r="JC164" s="102">
        <f t="shared" si="46"/>
        <v>0</v>
      </c>
      <c r="JD164" s="67">
        <f t="shared" si="50"/>
        <v>5</v>
      </c>
      <c r="JE164" s="67">
        <f t="shared" si="47"/>
        <v>0</v>
      </c>
      <c r="JF164" s="67">
        <f t="shared" si="48"/>
        <v>5</v>
      </c>
    </row>
    <row r="165">
      <c r="A165" s="7"/>
      <c r="B165" s="105"/>
      <c r="C165" s="7"/>
      <c r="D165" s="7"/>
      <c r="E165" s="7"/>
      <c r="F165" s="105"/>
      <c r="G165" s="105"/>
      <c r="H165" s="105"/>
      <c r="I165" s="105"/>
      <c r="J165" s="105"/>
      <c r="K165" s="105"/>
      <c r="L165" s="105"/>
      <c r="M165" s="105"/>
      <c r="N165" s="105"/>
      <c r="O165" s="105"/>
      <c r="P165" s="105"/>
      <c r="Q165" s="105"/>
      <c r="R165" s="105"/>
      <c r="S165" s="105"/>
      <c r="T165" s="105"/>
      <c r="U165" s="105"/>
      <c r="V165" s="105"/>
      <c r="W165" s="105"/>
      <c r="X165" s="105"/>
      <c r="Y165" s="105"/>
      <c r="Z165" s="105"/>
      <c r="AA165" s="105"/>
      <c r="AB165" s="105"/>
      <c r="AC165" s="105"/>
      <c r="AD165" s="105"/>
      <c r="AE165" s="105"/>
      <c r="AF165" s="105"/>
      <c r="AG165" s="105"/>
      <c r="AH165" s="105"/>
      <c r="AI165" s="105"/>
      <c r="AJ165" s="105"/>
      <c r="AK165" s="105"/>
      <c r="AL165" s="105"/>
      <c r="AM165" s="105"/>
      <c r="AN165" s="105"/>
      <c r="AO165" s="105"/>
      <c r="AP165" s="105"/>
      <c r="AQ165" s="105"/>
      <c r="AR165" s="105"/>
      <c r="AS165" s="105"/>
      <c r="AT165" s="105"/>
      <c r="AU165" s="105"/>
      <c r="AV165" s="105"/>
      <c r="AW165" s="105"/>
      <c r="AX165" s="105"/>
      <c r="AY165" s="105"/>
      <c r="AZ165" s="105"/>
      <c r="BA165" s="105"/>
      <c r="BB165" s="105"/>
      <c r="BC165" s="105"/>
      <c r="BD165" s="105"/>
      <c r="BE165" s="105"/>
      <c r="BF165" s="105"/>
      <c r="BG165" s="105"/>
      <c r="BH165" s="105"/>
      <c r="BI165" s="105"/>
      <c r="BJ165" s="105"/>
      <c r="BK165" s="105"/>
      <c r="BL165" s="105"/>
      <c r="BM165" s="105"/>
      <c r="BN165" s="105"/>
      <c r="BO165" s="105"/>
      <c r="BP165" s="105"/>
      <c r="BQ165" s="105"/>
      <c r="BR165" s="105"/>
      <c r="BS165" s="105"/>
      <c r="BT165" s="105"/>
      <c r="BU165" s="105"/>
      <c r="BV165" s="105"/>
      <c r="BW165" s="105"/>
      <c r="BX165" s="105"/>
      <c r="BY165" s="105"/>
      <c r="BZ165" s="105"/>
      <c r="CA165" s="105"/>
      <c r="CB165" s="105"/>
      <c r="CC165" s="105"/>
      <c r="CD165" s="105"/>
      <c r="CE165" s="105"/>
      <c r="CF165" s="105"/>
      <c r="CG165" s="105"/>
      <c r="CH165" s="105"/>
      <c r="CI165" s="105"/>
      <c r="CJ165" s="105"/>
      <c r="CK165" s="105"/>
      <c r="CL165" s="105"/>
      <c r="CM165" s="105"/>
      <c r="CN165" s="105"/>
      <c r="CO165" s="105"/>
      <c r="CP165" s="105"/>
      <c r="CQ165" s="105"/>
      <c r="CR165" s="105"/>
      <c r="CS165" s="105"/>
      <c r="CT165" s="105"/>
      <c r="CU165" s="105"/>
      <c r="CV165" s="105"/>
      <c r="CW165" s="105"/>
      <c r="CX165" s="105"/>
      <c r="CY165" s="105"/>
      <c r="CZ165" s="105"/>
      <c r="DA165" s="105"/>
      <c r="DB165" s="89" t="s">
        <v>23</v>
      </c>
      <c r="DC165" s="97" t="str">
        <f t="shared" ref="DC165:GX165" si="210">LEFT(F165,1)</f>
        <v/>
      </c>
      <c r="DD165" s="97" t="str">
        <f t="shared" si="210"/>
        <v/>
      </c>
      <c r="DE165" s="97" t="str">
        <f t="shared" si="210"/>
        <v/>
      </c>
      <c r="DF165" s="97" t="str">
        <f t="shared" si="210"/>
        <v/>
      </c>
      <c r="DG165" s="97" t="str">
        <f t="shared" si="210"/>
        <v/>
      </c>
      <c r="DH165" s="97" t="str">
        <f t="shared" si="210"/>
        <v/>
      </c>
      <c r="DI165" s="97" t="str">
        <f t="shared" si="210"/>
        <v/>
      </c>
      <c r="DJ165" s="97" t="str">
        <f t="shared" si="210"/>
        <v/>
      </c>
      <c r="DK165" s="97" t="str">
        <f t="shared" si="210"/>
        <v/>
      </c>
      <c r="DL165" s="97" t="str">
        <f t="shared" si="210"/>
        <v/>
      </c>
      <c r="DM165" s="97" t="str">
        <f t="shared" si="210"/>
        <v/>
      </c>
      <c r="DN165" s="97" t="str">
        <f t="shared" si="210"/>
        <v/>
      </c>
      <c r="DO165" s="97" t="str">
        <f t="shared" si="210"/>
        <v/>
      </c>
      <c r="DP165" s="97" t="str">
        <f t="shared" si="210"/>
        <v/>
      </c>
      <c r="DQ165" s="97" t="str">
        <f t="shared" si="210"/>
        <v/>
      </c>
      <c r="DR165" s="97" t="str">
        <f t="shared" si="210"/>
        <v/>
      </c>
      <c r="DS165" s="97" t="str">
        <f t="shared" si="210"/>
        <v/>
      </c>
      <c r="DT165" s="97" t="str">
        <f t="shared" si="210"/>
        <v/>
      </c>
      <c r="DU165" s="97" t="str">
        <f t="shared" si="210"/>
        <v/>
      </c>
      <c r="DV165" s="97" t="str">
        <f t="shared" si="210"/>
        <v/>
      </c>
      <c r="DW165" s="97" t="str">
        <f t="shared" si="210"/>
        <v/>
      </c>
      <c r="DX165" s="97" t="str">
        <f t="shared" si="210"/>
        <v/>
      </c>
      <c r="DY165" s="97" t="str">
        <f t="shared" si="210"/>
        <v/>
      </c>
      <c r="DZ165" s="97" t="str">
        <f t="shared" si="210"/>
        <v/>
      </c>
      <c r="EA165" s="97" t="str">
        <f t="shared" si="210"/>
        <v/>
      </c>
      <c r="EB165" s="97" t="str">
        <f t="shared" si="210"/>
        <v/>
      </c>
      <c r="EC165" s="97" t="str">
        <f t="shared" si="210"/>
        <v/>
      </c>
      <c r="ED165" s="97" t="str">
        <f t="shared" si="210"/>
        <v/>
      </c>
      <c r="EE165" s="97" t="str">
        <f t="shared" si="210"/>
        <v/>
      </c>
      <c r="EF165" s="97" t="str">
        <f t="shared" si="210"/>
        <v/>
      </c>
      <c r="EG165" s="97" t="str">
        <f t="shared" si="210"/>
        <v/>
      </c>
      <c r="EH165" s="97" t="str">
        <f t="shared" si="210"/>
        <v/>
      </c>
      <c r="EI165" s="97" t="str">
        <f t="shared" si="210"/>
        <v/>
      </c>
      <c r="EJ165" s="97" t="str">
        <f t="shared" si="210"/>
        <v/>
      </c>
      <c r="EK165" s="97" t="str">
        <f t="shared" si="210"/>
        <v/>
      </c>
      <c r="EL165" s="97" t="str">
        <f t="shared" si="210"/>
        <v/>
      </c>
      <c r="EM165" s="97" t="str">
        <f t="shared" si="210"/>
        <v/>
      </c>
      <c r="EN165" s="97" t="str">
        <f t="shared" si="210"/>
        <v/>
      </c>
      <c r="EO165" s="97" t="str">
        <f t="shared" si="210"/>
        <v/>
      </c>
      <c r="EP165" s="97" t="str">
        <f t="shared" si="210"/>
        <v/>
      </c>
      <c r="EQ165" s="97" t="str">
        <f t="shared" si="210"/>
        <v/>
      </c>
      <c r="ER165" s="97" t="str">
        <f t="shared" si="210"/>
        <v/>
      </c>
      <c r="ES165" s="97" t="str">
        <f t="shared" si="210"/>
        <v/>
      </c>
      <c r="ET165" s="97" t="str">
        <f t="shared" si="210"/>
        <v/>
      </c>
      <c r="EU165" s="97" t="str">
        <f t="shared" si="210"/>
        <v/>
      </c>
      <c r="EV165" s="97" t="str">
        <f t="shared" si="210"/>
        <v/>
      </c>
      <c r="EW165" s="97" t="str">
        <f t="shared" si="210"/>
        <v/>
      </c>
      <c r="EX165" s="97" t="str">
        <f t="shared" si="210"/>
        <v/>
      </c>
      <c r="EY165" s="97" t="str">
        <f t="shared" si="210"/>
        <v/>
      </c>
      <c r="EZ165" s="97" t="str">
        <f t="shared" si="210"/>
        <v/>
      </c>
      <c r="FA165" s="97" t="str">
        <f t="shared" si="210"/>
        <v/>
      </c>
      <c r="FB165" s="97" t="str">
        <f t="shared" si="210"/>
        <v/>
      </c>
      <c r="FC165" s="97" t="str">
        <f t="shared" si="210"/>
        <v/>
      </c>
      <c r="FD165" s="97" t="str">
        <f t="shared" si="210"/>
        <v/>
      </c>
      <c r="FE165" s="97" t="str">
        <f t="shared" si="210"/>
        <v/>
      </c>
      <c r="FF165" s="97" t="str">
        <f t="shared" si="210"/>
        <v/>
      </c>
      <c r="FG165" s="97" t="str">
        <f t="shared" si="210"/>
        <v/>
      </c>
      <c r="FH165" s="97" t="str">
        <f t="shared" si="210"/>
        <v/>
      </c>
      <c r="FI165" s="97" t="str">
        <f t="shared" si="210"/>
        <v/>
      </c>
      <c r="FJ165" s="97" t="str">
        <f t="shared" si="210"/>
        <v/>
      </c>
      <c r="FK165" s="97" t="str">
        <f t="shared" si="210"/>
        <v/>
      </c>
      <c r="FL165" s="97" t="str">
        <f t="shared" si="210"/>
        <v/>
      </c>
      <c r="FM165" s="97" t="str">
        <f t="shared" si="210"/>
        <v/>
      </c>
      <c r="FN165" s="97" t="str">
        <f t="shared" si="210"/>
        <v/>
      </c>
      <c r="FO165" s="97" t="str">
        <f t="shared" si="210"/>
        <v/>
      </c>
      <c r="FP165" s="97" t="str">
        <f t="shared" si="210"/>
        <v/>
      </c>
      <c r="FQ165" s="97" t="str">
        <f t="shared" si="210"/>
        <v/>
      </c>
      <c r="FR165" s="97" t="str">
        <f t="shared" si="210"/>
        <v/>
      </c>
      <c r="FS165" s="97" t="str">
        <f t="shared" si="210"/>
        <v/>
      </c>
      <c r="FT165" s="97" t="str">
        <f t="shared" si="210"/>
        <v/>
      </c>
      <c r="FU165" s="97" t="str">
        <f t="shared" si="210"/>
        <v/>
      </c>
      <c r="FV165" s="97" t="str">
        <f t="shared" si="210"/>
        <v/>
      </c>
      <c r="FW165" s="97" t="str">
        <f t="shared" si="210"/>
        <v/>
      </c>
      <c r="FX165" s="97" t="str">
        <f t="shared" si="210"/>
        <v/>
      </c>
      <c r="FY165" s="97" t="str">
        <f t="shared" si="210"/>
        <v/>
      </c>
      <c r="FZ165" s="97" t="str">
        <f t="shared" si="210"/>
        <v/>
      </c>
      <c r="GA165" s="97" t="str">
        <f t="shared" si="210"/>
        <v/>
      </c>
      <c r="GB165" s="97" t="str">
        <f t="shared" si="210"/>
        <v/>
      </c>
      <c r="GC165" s="97" t="str">
        <f t="shared" si="210"/>
        <v/>
      </c>
      <c r="GD165" s="97" t="str">
        <f t="shared" si="210"/>
        <v/>
      </c>
      <c r="GE165" s="97" t="str">
        <f t="shared" si="210"/>
        <v/>
      </c>
      <c r="GF165" s="97" t="str">
        <f t="shared" si="210"/>
        <v/>
      </c>
      <c r="GG165" s="97" t="str">
        <f t="shared" si="210"/>
        <v/>
      </c>
      <c r="GH165" s="97" t="str">
        <f t="shared" si="210"/>
        <v/>
      </c>
      <c r="GI165" s="97" t="str">
        <f t="shared" si="210"/>
        <v/>
      </c>
      <c r="GJ165" s="97" t="str">
        <f t="shared" si="210"/>
        <v/>
      </c>
      <c r="GK165" s="97" t="str">
        <f t="shared" si="210"/>
        <v/>
      </c>
      <c r="GL165" s="97" t="str">
        <f t="shared" si="210"/>
        <v/>
      </c>
      <c r="GM165" s="97" t="str">
        <f t="shared" si="210"/>
        <v/>
      </c>
      <c r="GN165" s="97" t="str">
        <f t="shared" si="210"/>
        <v/>
      </c>
      <c r="GO165" s="97" t="str">
        <f t="shared" si="210"/>
        <v/>
      </c>
      <c r="GP165" s="97" t="str">
        <f t="shared" si="210"/>
        <v/>
      </c>
      <c r="GQ165" s="97" t="str">
        <f t="shared" si="210"/>
        <v/>
      </c>
      <c r="GR165" s="97" t="str">
        <f t="shared" si="210"/>
        <v/>
      </c>
      <c r="GS165" s="97" t="str">
        <f t="shared" si="210"/>
        <v/>
      </c>
      <c r="GT165" s="97" t="str">
        <f t="shared" si="210"/>
        <v/>
      </c>
      <c r="GU165" s="97" t="str">
        <f t="shared" si="210"/>
        <v/>
      </c>
      <c r="GV165" s="97" t="str">
        <f t="shared" si="210"/>
        <v/>
      </c>
      <c r="GW165" s="97" t="str">
        <f t="shared" si="210"/>
        <v/>
      </c>
      <c r="GX165" s="97" t="str">
        <f t="shared" si="210"/>
        <v/>
      </c>
      <c r="GY165" s="98"/>
      <c r="GZ165" s="97">
        <f t="shared" si="3"/>
        <v>0</v>
      </c>
      <c r="HA165" s="97">
        <f t="shared" si="4"/>
        <v>0</v>
      </c>
      <c r="HB165" s="90">
        <f t="shared" si="5"/>
        <v>0</v>
      </c>
      <c r="HC165" s="99"/>
      <c r="HD165" s="97">
        <f t="shared" si="6"/>
        <v>0</v>
      </c>
      <c r="HE165" s="97">
        <f t="shared" si="7"/>
        <v>0</v>
      </c>
      <c r="HF165" s="90">
        <f t="shared" si="8"/>
        <v>0</v>
      </c>
      <c r="HG165" s="99"/>
      <c r="HH165" s="97">
        <f t="shared" si="9"/>
        <v>0</v>
      </c>
      <c r="HI165" s="97">
        <f t="shared" si="10"/>
        <v>0</v>
      </c>
      <c r="HJ165" s="90">
        <f t="shared" si="11"/>
        <v>0</v>
      </c>
      <c r="HK165" s="99"/>
      <c r="HL165" s="97">
        <f t="shared" si="12"/>
        <v>0</v>
      </c>
      <c r="HM165" s="97">
        <f t="shared" si="13"/>
        <v>0</v>
      </c>
      <c r="HN165" s="90">
        <f t="shared" si="14"/>
        <v>0</v>
      </c>
      <c r="HO165" s="99"/>
      <c r="HP165" s="97">
        <f t="shared" si="15"/>
        <v>0</v>
      </c>
      <c r="HQ165" s="97">
        <f t="shared" si="16"/>
        <v>0</v>
      </c>
      <c r="HR165" s="90">
        <f t="shared" si="17"/>
        <v>0</v>
      </c>
      <c r="HS165" s="99"/>
      <c r="HT165" s="97">
        <f t="shared" si="18"/>
        <v>0</v>
      </c>
      <c r="HU165" s="97">
        <f t="shared" si="19"/>
        <v>0</v>
      </c>
      <c r="HV165" s="90">
        <f t="shared" si="20"/>
        <v>0</v>
      </c>
      <c r="HW165" s="99"/>
      <c r="HX165" s="97">
        <f t="shared" si="21"/>
        <v>0</v>
      </c>
      <c r="HY165" s="97">
        <f t="shared" si="22"/>
        <v>0</v>
      </c>
      <c r="HZ165" s="90">
        <f t="shared" si="23"/>
        <v>0</v>
      </c>
      <c r="IA165" s="99"/>
      <c r="IB165" s="97">
        <f t="shared" si="24"/>
        <v>0</v>
      </c>
      <c r="IC165" s="97">
        <f t="shared" si="25"/>
        <v>0</v>
      </c>
      <c r="ID165" s="90">
        <f t="shared" si="26"/>
        <v>0</v>
      </c>
      <c r="IE165" s="99"/>
      <c r="IF165" s="97">
        <f t="shared" si="27"/>
        <v>0</v>
      </c>
      <c r="IG165" s="97">
        <f t="shared" si="28"/>
        <v>0</v>
      </c>
      <c r="IH165" s="90">
        <f t="shared" si="29"/>
        <v>0</v>
      </c>
      <c r="II165" s="99"/>
      <c r="IJ165" s="97">
        <f t="shared" si="30"/>
        <v>0</v>
      </c>
      <c r="IK165" s="97">
        <f t="shared" si="31"/>
        <v>0</v>
      </c>
      <c r="IL165" s="90">
        <f t="shared" si="32"/>
        <v>0</v>
      </c>
      <c r="IM165" s="99"/>
      <c r="IN165" s="97">
        <f t="shared" si="33"/>
        <v>0</v>
      </c>
      <c r="IO165" s="97">
        <f t="shared" si="34"/>
        <v>0</v>
      </c>
      <c r="IP165" s="90">
        <f t="shared" si="35"/>
        <v>0</v>
      </c>
      <c r="IS165" s="100">
        <f t="shared" si="36"/>
        <v>0</v>
      </c>
      <c r="IT165" s="100">
        <f t="shared" si="37"/>
        <v>0</v>
      </c>
      <c r="IU165" s="100">
        <f t="shared" si="38"/>
        <v>0</v>
      </c>
      <c r="IV165" s="100">
        <f t="shared" si="39"/>
        <v>0</v>
      </c>
      <c r="IW165" s="100">
        <f t="shared" si="40"/>
        <v>0</v>
      </c>
      <c r="IX165" s="100">
        <f t="shared" si="41"/>
        <v>0</v>
      </c>
      <c r="IY165" s="100">
        <f t="shared" si="42"/>
        <v>0</v>
      </c>
      <c r="IZ165" s="100">
        <f t="shared" si="43"/>
        <v>0</v>
      </c>
      <c r="JA165" s="100">
        <f t="shared" si="44"/>
        <v>0</v>
      </c>
      <c r="JB165" s="101">
        <f t="shared" si="45"/>
        <v>0</v>
      </c>
      <c r="JC165" s="102">
        <f t="shared" si="46"/>
        <v>0</v>
      </c>
      <c r="JD165" s="67">
        <f t="shared" si="50"/>
        <v>5</v>
      </c>
      <c r="JE165" s="67">
        <f t="shared" si="47"/>
        <v>0</v>
      </c>
      <c r="JF165" s="67">
        <f t="shared" si="48"/>
        <v>5</v>
      </c>
    </row>
    <row r="166">
      <c r="A166" s="7"/>
      <c r="B166" s="105"/>
      <c r="C166" s="7"/>
      <c r="D166" s="7"/>
      <c r="E166" s="7"/>
      <c r="F166" s="105"/>
      <c r="G166" s="105"/>
      <c r="H166" s="105"/>
      <c r="I166" s="105"/>
      <c r="J166" s="105"/>
      <c r="K166" s="105"/>
      <c r="L166" s="105"/>
      <c r="M166" s="105"/>
      <c r="N166" s="105"/>
      <c r="O166" s="105"/>
      <c r="P166" s="105"/>
      <c r="Q166" s="105"/>
      <c r="R166" s="105"/>
      <c r="S166" s="105"/>
      <c r="T166" s="105"/>
      <c r="U166" s="105"/>
      <c r="V166" s="105"/>
      <c r="W166" s="105"/>
      <c r="X166" s="105"/>
      <c r="Y166" s="105"/>
      <c r="Z166" s="105"/>
      <c r="AA166" s="105"/>
      <c r="AB166" s="105"/>
      <c r="AC166" s="105"/>
      <c r="AD166" s="105"/>
      <c r="AE166" s="105"/>
      <c r="AF166" s="105"/>
      <c r="AG166" s="105"/>
      <c r="AH166" s="105"/>
      <c r="AI166" s="105"/>
      <c r="AJ166" s="105"/>
      <c r="AK166" s="105"/>
      <c r="AL166" s="105"/>
      <c r="AM166" s="105"/>
      <c r="AN166" s="105"/>
      <c r="AO166" s="105"/>
      <c r="AP166" s="105"/>
      <c r="AQ166" s="105"/>
      <c r="AR166" s="105"/>
      <c r="AS166" s="105"/>
      <c r="AT166" s="105"/>
      <c r="AU166" s="105"/>
      <c r="AV166" s="105"/>
      <c r="AW166" s="105"/>
      <c r="AX166" s="105"/>
      <c r="AY166" s="105"/>
      <c r="AZ166" s="105"/>
      <c r="BA166" s="105"/>
      <c r="BB166" s="105"/>
      <c r="BC166" s="105"/>
      <c r="BD166" s="105"/>
      <c r="BE166" s="105"/>
      <c r="BF166" s="105"/>
      <c r="BG166" s="105"/>
      <c r="BH166" s="105"/>
      <c r="BI166" s="105"/>
      <c r="BJ166" s="105"/>
      <c r="BK166" s="105"/>
      <c r="BL166" s="105"/>
      <c r="BM166" s="105"/>
      <c r="BN166" s="105"/>
      <c r="BO166" s="105"/>
      <c r="BP166" s="105"/>
      <c r="BQ166" s="105"/>
      <c r="BR166" s="105"/>
      <c r="BS166" s="105"/>
      <c r="BT166" s="105"/>
      <c r="BU166" s="105"/>
      <c r="BV166" s="105"/>
      <c r="BW166" s="105"/>
      <c r="BX166" s="105"/>
      <c r="BY166" s="105"/>
      <c r="BZ166" s="105"/>
      <c r="CA166" s="105"/>
      <c r="CB166" s="105"/>
      <c r="CC166" s="105"/>
      <c r="CD166" s="105"/>
      <c r="CE166" s="105"/>
      <c r="CF166" s="105"/>
      <c r="CG166" s="105"/>
      <c r="CH166" s="105"/>
      <c r="CI166" s="105"/>
      <c r="CJ166" s="105"/>
      <c r="CK166" s="105"/>
      <c r="CL166" s="105"/>
      <c r="CM166" s="105"/>
      <c r="CN166" s="105"/>
      <c r="CO166" s="105"/>
      <c r="CP166" s="105"/>
      <c r="CQ166" s="105"/>
      <c r="CR166" s="105"/>
      <c r="CS166" s="105"/>
      <c r="CT166" s="105"/>
      <c r="CU166" s="105"/>
      <c r="CV166" s="105"/>
      <c r="CW166" s="105"/>
      <c r="CX166" s="105"/>
      <c r="CY166" s="105"/>
      <c r="CZ166" s="105"/>
      <c r="DA166" s="105"/>
      <c r="DB166" s="89" t="s">
        <v>23</v>
      </c>
      <c r="DC166" s="97" t="str">
        <f t="shared" ref="DC166:GX166" si="211">LEFT(F166,1)</f>
        <v/>
      </c>
      <c r="DD166" s="97" t="str">
        <f t="shared" si="211"/>
        <v/>
      </c>
      <c r="DE166" s="97" t="str">
        <f t="shared" si="211"/>
        <v/>
      </c>
      <c r="DF166" s="97" t="str">
        <f t="shared" si="211"/>
        <v/>
      </c>
      <c r="DG166" s="97" t="str">
        <f t="shared" si="211"/>
        <v/>
      </c>
      <c r="DH166" s="97" t="str">
        <f t="shared" si="211"/>
        <v/>
      </c>
      <c r="DI166" s="97" t="str">
        <f t="shared" si="211"/>
        <v/>
      </c>
      <c r="DJ166" s="97" t="str">
        <f t="shared" si="211"/>
        <v/>
      </c>
      <c r="DK166" s="97" t="str">
        <f t="shared" si="211"/>
        <v/>
      </c>
      <c r="DL166" s="97" t="str">
        <f t="shared" si="211"/>
        <v/>
      </c>
      <c r="DM166" s="97" t="str">
        <f t="shared" si="211"/>
        <v/>
      </c>
      <c r="DN166" s="97" t="str">
        <f t="shared" si="211"/>
        <v/>
      </c>
      <c r="DO166" s="97" t="str">
        <f t="shared" si="211"/>
        <v/>
      </c>
      <c r="DP166" s="97" t="str">
        <f t="shared" si="211"/>
        <v/>
      </c>
      <c r="DQ166" s="97" t="str">
        <f t="shared" si="211"/>
        <v/>
      </c>
      <c r="DR166" s="97" t="str">
        <f t="shared" si="211"/>
        <v/>
      </c>
      <c r="DS166" s="97" t="str">
        <f t="shared" si="211"/>
        <v/>
      </c>
      <c r="DT166" s="97" t="str">
        <f t="shared" si="211"/>
        <v/>
      </c>
      <c r="DU166" s="97" t="str">
        <f t="shared" si="211"/>
        <v/>
      </c>
      <c r="DV166" s="97" t="str">
        <f t="shared" si="211"/>
        <v/>
      </c>
      <c r="DW166" s="97" t="str">
        <f t="shared" si="211"/>
        <v/>
      </c>
      <c r="DX166" s="97" t="str">
        <f t="shared" si="211"/>
        <v/>
      </c>
      <c r="DY166" s="97" t="str">
        <f t="shared" si="211"/>
        <v/>
      </c>
      <c r="DZ166" s="97" t="str">
        <f t="shared" si="211"/>
        <v/>
      </c>
      <c r="EA166" s="97" t="str">
        <f t="shared" si="211"/>
        <v/>
      </c>
      <c r="EB166" s="97" t="str">
        <f t="shared" si="211"/>
        <v/>
      </c>
      <c r="EC166" s="97" t="str">
        <f t="shared" si="211"/>
        <v/>
      </c>
      <c r="ED166" s="97" t="str">
        <f t="shared" si="211"/>
        <v/>
      </c>
      <c r="EE166" s="97" t="str">
        <f t="shared" si="211"/>
        <v/>
      </c>
      <c r="EF166" s="97" t="str">
        <f t="shared" si="211"/>
        <v/>
      </c>
      <c r="EG166" s="97" t="str">
        <f t="shared" si="211"/>
        <v/>
      </c>
      <c r="EH166" s="97" t="str">
        <f t="shared" si="211"/>
        <v/>
      </c>
      <c r="EI166" s="97" t="str">
        <f t="shared" si="211"/>
        <v/>
      </c>
      <c r="EJ166" s="97" t="str">
        <f t="shared" si="211"/>
        <v/>
      </c>
      <c r="EK166" s="97" t="str">
        <f t="shared" si="211"/>
        <v/>
      </c>
      <c r="EL166" s="97" t="str">
        <f t="shared" si="211"/>
        <v/>
      </c>
      <c r="EM166" s="97" t="str">
        <f t="shared" si="211"/>
        <v/>
      </c>
      <c r="EN166" s="97" t="str">
        <f t="shared" si="211"/>
        <v/>
      </c>
      <c r="EO166" s="97" t="str">
        <f t="shared" si="211"/>
        <v/>
      </c>
      <c r="EP166" s="97" t="str">
        <f t="shared" si="211"/>
        <v/>
      </c>
      <c r="EQ166" s="97" t="str">
        <f t="shared" si="211"/>
        <v/>
      </c>
      <c r="ER166" s="97" t="str">
        <f t="shared" si="211"/>
        <v/>
      </c>
      <c r="ES166" s="97" t="str">
        <f t="shared" si="211"/>
        <v/>
      </c>
      <c r="ET166" s="97" t="str">
        <f t="shared" si="211"/>
        <v/>
      </c>
      <c r="EU166" s="97" t="str">
        <f t="shared" si="211"/>
        <v/>
      </c>
      <c r="EV166" s="97" t="str">
        <f t="shared" si="211"/>
        <v/>
      </c>
      <c r="EW166" s="97" t="str">
        <f t="shared" si="211"/>
        <v/>
      </c>
      <c r="EX166" s="97" t="str">
        <f t="shared" si="211"/>
        <v/>
      </c>
      <c r="EY166" s="97" t="str">
        <f t="shared" si="211"/>
        <v/>
      </c>
      <c r="EZ166" s="97" t="str">
        <f t="shared" si="211"/>
        <v/>
      </c>
      <c r="FA166" s="97" t="str">
        <f t="shared" si="211"/>
        <v/>
      </c>
      <c r="FB166" s="97" t="str">
        <f t="shared" si="211"/>
        <v/>
      </c>
      <c r="FC166" s="97" t="str">
        <f t="shared" si="211"/>
        <v/>
      </c>
      <c r="FD166" s="97" t="str">
        <f t="shared" si="211"/>
        <v/>
      </c>
      <c r="FE166" s="97" t="str">
        <f t="shared" si="211"/>
        <v/>
      </c>
      <c r="FF166" s="97" t="str">
        <f t="shared" si="211"/>
        <v/>
      </c>
      <c r="FG166" s="97" t="str">
        <f t="shared" si="211"/>
        <v/>
      </c>
      <c r="FH166" s="97" t="str">
        <f t="shared" si="211"/>
        <v/>
      </c>
      <c r="FI166" s="97" t="str">
        <f t="shared" si="211"/>
        <v/>
      </c>
      <c r="FJ166" s="97" t="str">
        <f t="shared" si="211"/>
        <v/>
      </c>
      <c r="FK166" s="97" t="str">
        <f t="shared" si="211"/>
        <v/>
      </c>
      <c r="FL166" s="97" t="str">
        <f t="shared" si="211"/>
        <v/>
      </c>
      <c r="FM166" s="97" t="str">
        <f t="shared" si="211"/>
        <v/>
      </c>
      <c r="FN166" s="97" t="str">
        <f t="shared" si="211"/>
        <v/>
      </c>
      <c r="FO166" s="97" t="str">
        <f t="shared" si="211"/>
        <v/>
      </c>
      <c r="FP166" s="97" t="str">
        <f t="shared" si="211"/>
        <v/>
      </c>
      <c r="FQ166" s="97" t="str">
        <f t="shared" si="211"/>
        <v/>
      </c>
      <c r="FR166" s="97" t="str">
        <f t="shared" si="211"/>
        <v/>
      </c>
      <c r="FS166" s="97" t="str">
        <f t="shared" si="211"/>
        <v/>
      </c>
      <c r="FT166" s="97" t="str">
        <f t="shared" si="211"/>
        <v/>
      </c>
      <c r="FU166" s="97" t="str">
        <f t="shared" si="211"/>
        <v/>
      </c>
      <c r="FV166" s="97" t="str">
        <f t="shared" si="211"/>
        <v/>
      </c>
      <c r="FW166" s="97" t="str">
        <f t="shared" si="211"/>
        <v/>
      </c>
      <c r="FX166" s="97" t="str">
        <f t="shared" si="211"/>
        <v/>
      </c>
      <c r="FY166" s="97" t="str">
        <f t="shared" si="211"/>
        <v/>
      </c>
      <c r="FZ166" s="97" t="str">
        <f t="shared" si="211"/>
        <v/>
      </c>
      <c r="GA166" s="97" t="str">
        <f t="shared" si="211"/>
        <v/>
      </c>
      <c r="GB166" s="97" t="str">
        <f t="shared" si="211"/>
        <v/>
      </c>
      <c r="GC166" s="97" t="str">
        <f t="shared" si="211"/>
        <v/>
      </c>
      <c r="GD166" s="97" t="str">
        <f t="shared" si="211"/>
        <v/>
      </c>
      <c r="GE166" s="97" t="str">
        <f t="shared" si="211"/>
        <v/>
      </c>
      <c r="GF166" s="97" t="str">
        <f t="shared" si="211"/>
        <v/>
      </c>
      <c r="GG166" s="97" t="str">
        <f t="shared" si="211"/>
        <v/>
      </c>
      <c r="GH166" s="97" t="str">
        <f t="shared" si="211"/>
        <v/>
      </c>
      <c r="GI166" s="97" t="str">
        <f t="shared" si="211"/>
        <v/>
      </c>
      <c r="GJ166" s="97" t="str">
        <f t="shared" si="211"/>
        <v/>
      </c>
      <c r="GK166" s="97" t="str">
        <f t="shared" si="211"/>
        <v/>
      </c>
      <c r="GL166" s="97" t="str">
        <f t="shared" si="211"/>
        <v/>
      </c>
      <c r="GM166" s="97" t="str">
        <f t="shared" si="211"/>
        <v/>
      </c>
      <c r="GN166" s="97" t="str">
        <f t="shared" si="211"/>
        <v/>
      </c>
      <c r="GO166" s="97" t="str">
        <f t="shared" si="211"/>
        <v/>
      </c>
      <c r="GP166" s="97" t="str">
        <f t="shared" si="211"/>
        <v/>
      </c>
      <c r="GQ166" s="97" t="str">
        <f t="shared" si="211"/>
        <v/>
      </c>
      <c r="GR166" s="97" t="str">
        <f t="shared" si="211"/>
        <v/>
      </c>
      <c r="GS166" s="97" t="str">
        <f t="shared" si="211"/>
        <v/>
      </c>
      <c r="GT166" s="97" t="str">
        <f t="shared" si="211"/>
        <v/>
      </c>
      <c r="GU166" s="97" t="str">
        <f t="shared" si="211"/>
        <v/>
      </c>
      <c r="GV166" s="97" t="str">
        <f t="shared" si="211"/>
        <v/>
      </c>
      <c r="GW166" s="97" t="str">
        <f t="shared" si="211"/>
        <v/>
      </c>
      <c r="GX166" s="97" t="str">
        <f t="shared" si="211"/>
        <v/>
      </c>
      <c r="GY166" s="98"/>
      <c r="GZ166" s="97">
        <f t="shared" si="3"/>
        <v>0</v>
      </c>
      <c r="HA166" s="97">
        <f t="shared" si="4"/>
        <v>0</v>
      </c>
      <c r="HB166" s="90">
        <f t="shared" si="5"/>
        <v>0</v>
      </c>
      <c r="HC166" s="99"/>
      <c r="HD166" s="97">
        <f t="shared" si="6"/>
        <v>0</v>
      </c>
      <c r="HE166" s="97">
        <f t="shared" si="7"/>
        <v>0</v>
      </c>
      <c r="HF166" s="90">
        <f t="shared" si="8"/>
        <v>0</v>
      </c>
      <c r="HG166" s="99"/>
      <c r="HH166" s="97">
        <f t="shared" si="9"/>
        <v>0</v>
      </c>
      <c r="HI166" s="97">
        <f t="shared" si="10"/>
        <v>0</v>
      </c>
      <c r="HJ166" s="90">
        <f t="shared" si="11"/>
        <v>0</v>
      </c>
      <c r="HK166" s="99"/>
      <c r="HL166" s="97">
        <f t="shared" si="12"/>
        <v>0</v>
      </c>
      <c r="HM166" s="97">
        <f t="shared" si="13"/>
        <v>0</v>
      </c>
      <c r="HN166" s="90">
        <f t="shared" si="14"/>
        <v>0</v>
      </c>
      <c r="HO166" s="99"/>
      <c r="HP166" s="97">
        <f t="shared" si="15"/>
        <v>0</v>
      </c>
      <c r="HQ166" s="97">
        <f t="shared" si="16"/>
        <v>0</v>
      </c>
      <c r="HR166" s="90">
        <f t="shared" si="17"/>
        <v>0</v>
      </c>
      <c r="HS166" s="99"/>
      <c r="HT166" s="97">
        <f t="shared" si="18"/>
        <v>0</v>
      </c>
      <c r="HU166" s="97">
        <f t="shared" si="19"/>
        <v>0</v>
      </c>
      <c r="HV166" s="90">
        <f t="shared" si="20"/>
        <v>0</v>
      </c>
      <c r="HW166" s="99"/>
      <c r="HX166" s="97">
        <f t="shared" si="21"/>
        <v>0</v>
      </c>
      <c r="HY166" s="97">
        <f t="shared" si="22"/>
        <v>0</v>
      </c>
      <c r="HZ166" s="90">
        <f t="shared" si="23"/>
        <v>0</v>
      </c>
      <c r="IA166" s="99"/>
      <c r="IB166" s="97">
        <f t="shared" si="24"/>
        <v>0</v>
      </c>
      <c r="IC166" s="97">
        <f t="shared" si="25"/>
        <v>0</v>
      </c>
      <c r="ID166" s="90">
        <f t="shared" si="26"/>
        <v>0</v>
      </c>
      <c r="IE166" s="99"/>
      <c r="IF166" s="97">
        <f t="shared" si="27"/>
        <v>0</v>
      </c>
      <c r="IG166" s="97">
        <f t="shared" si="28"/>
        <v>0</v>
      </c>
      <c r="IH166" s="90">
        <f t="shared" si="29"/>
        <v>0</v>
      </c>
      <c r="II166" s="99"/>
      <c r="IJ166" s="97">
        <f t="shared" si="30"/>
        <v>0</v>
      </c>
      <c r="IK166" s="97">
        <f t="shared" si="31"/>
        <v>0</v>
      </c>
      <c r="IL166" s="90">
        <f t="shared" si="32"/>
        <v>0</v>
      </c>
      <c r="IM166" s="99"/>
      <c r="IN166" s="97">
        <f t="shared" si="33"/>
        <v>0</v>
      </c>
      <c r="IO166" s="97">
        <f t="shared" si="34"/>
        <v>0</v>
      </c>
      <c r="IP166" s="90">
        <f t="shared" si="35"/>
        <v>0</v>
      </c>
      <c r="IS166" s="100">
        <f t="shared" si="36"/>
        <v>0</v>
      </c>
      <c r="IT166" s="100">
        <f t="shared" si="37"/>
        <v>0</v>
      </c>
      <c r="IU166" s="100">
        <f t="shared" si="38"/>
        <v>0</v>
      </c>
      <c r="IV166" s="100">
        <f t="shared" si="39"/>
        <v>0</v>
      </c>
      <c r="IW166" s="100">
        <f t="shared" si="40"/>
        <v>0</v>
      </c>
      <c r="IX166" s="100">
        <f t="shared" si="41"/>
        <v>0</v>
      </c>
      <c r="IY166" s="100">
        <f t="shared" si="42"/>
        <v>0</v>
      </c>
      <c r="IZ166" s="100">
        <f t="shared" si="43"/>
        <v>0</v>
      </c>
      <c r="JA166" s="100">
        <f t="shared" si="44"/>
        <v>0</v>
      </c>
      <c r="JB166" s="101">
        <f t="shared" si="45"/>
        <v>0</v>
      </c>
      <c r="JC166" s="102">
        <f t="shared" si="46"/>
        <v>0</v>
      </c>
      <c r="JD166" s="67">
        <f t="shared" si="50"/>
        <v>5</v>
      </c>
      <c r="JE166" s="67">
        <f t="shared" si="47"/>
        <v>0</v>
      </c>
      <c r="JF166" s="67">
        <f t="shared" si="48"/>
        <v>5</v>
      </c>
    </row>
    <row r="167">
      <c r="A167" s="7"/>
      <c r="B167" s="105"/>
      <c r="C167" s="7"/>
      <c r="D167" s="7"/>
      <c r="E167" s="7"/>
      <c r="F167" s="105"/>
      <c r="G167" s="105"/>
      <c r="H167" s="105"/>
      <c r="I167" s="105"/>
      <c r="J167" s="105"/>
      <c r="K167" s="105"/>
      <c r="L167" s="105"/>
      <c r="M167" s="105"/>
      <c r="N167" s="105"/>
      <c r="O167" s="105"/>
      <c r="P167" s="105"/>
      <c r="Q167" s="105"/>
      <c r="R167" s="105"/>
      <c r="S167" s="105"/>
      <c r="T167" s="105"/>
      <c r="U167" s="105"/>
      <c r="V167" s="105"/>
      <c r="W167" s="105"/>
      <c r="X167" s="105"/>
      <c r="Y167" s="105"/>
      <c r="Z167" s="105"/>
      <c r="AA167" s="105"/>
      <c r="AB167" s="105"/>
      <c r="AC167" s="105"/>
      <c r="AD167" s="105"/>
      <c r="AE167" s="105"/>
      <c r="AF167" s="105"/>
      <c r="AG167" s="105"/>
      <c r="AH167" s="105"/>
      <c r="AI167" s="105"/>
      <c r="AJ167" s="105"/>
      <c r="AK167" s="105"/>
      <c r="AL167" s="105"/>
      <c r="AM167" s="105"/>
      <c r="AN167" s="105"/>
      <c r="AO167" s="105"/>
      <c r="AP167" s="105"/>
      <c r="AQ167" s="105"/>
      <c r="AR167" s="105"/>
      <c r="AS167" s="105"/>
      <c r="AT167" s="105"/>
      <c r="AU167" s="105"/>
      <c r="AV167" s="105"/>
      <c r="AW167" s="105"/>
      <c r="AX167" s="105"/>
      <c r="AY167" s="105"/>
      <c r="AZ167" s="105"/>
      <c r="BA167" s="105"/>
      <c r="BB167" s="105"/>
      <c r="BC167" s="105"/>
      <c r="BD167" s="105"/>
      <c r="BE167" s="105"/>
      <c r="BF167" s="105"/>
      <c r="BG167" s="105"/>
      <c r="BH167" s="105"/>
      <c r="BI167" s="105"/>
      <c r="BJ167" s="105"/>
      <c r="BK167" s="105"/>
      <c r="BL167" s="105"/>
      <c r="BM167" s="105"/>
      <c r="BN167" s="105"/>
      <c r="BO167" s="105"/>
      <c r="BP167" s="105"/>
      <c r="BQ167" s="105"/>
      <c r="BR167" s="105"/>
      <c r="BS167" s="105"/>
      <c r="BT167" s="105"/>
      <c r="BU167" s="105"/>
      <c r="BV167" s="105"/>
      <c r="BW167" s="105"/>
      <c r="BX167" s="105"/>
      <c r="BY167" s="105"/>
      <c r="BZ167" s="105"/>
      <c r="CA167" s="105"/>
      <c r="CB167" s="105"/>
      <c r="CC167" s="105"/>
      <c r="CD167" s="105"/>
      <c r="CE167" s="105"/>
      <c r="CF167" s="105"/>
      <c r="CG167" s="105"/>
      <c r="CH167" s="105"/>
      <c r="CI167" s="105"/>
      <c r="CJ167" s="105"/>
      <c r="CK167" s="105"/>
      <c r="CL167" s="105"/>
      <c r="CM167" s="105"/>
      <c r="CN167" s="105"/>
      <c r="CO167" s="105"/>
      <c r="CP167" s="105"/>
      <c r="CQ167" s="105"/>
      <c r="CR167" s="105"/>
      <c r="CS167" s="105"/>
      <c r="CT167" s="105"/>
      <c r="CU167" s="105"/>
      <c r="CV167" s="105"/>
      <c r="CW167" s="105"/>
      <c r="CX167" s="105"/>
      <c r="CY167" s="105"/>
      <c r="CZ167" s="105"/>
      <c r="DA167" s="105"/>
      <c r="DB167" s="89" t="s">
        <v>23</v>
      </c>
      <c r="DC167" s="97" t="str">
        <f t="shared" ref="DC167:GX167" si="212">LEFT(F167,1)</f>
        <v/>
      </c>
      <c r="DD167" s="97" t="str">
        <f t="shared" si="212"/>
        <v/>
      </c>
      <c r="DE167" s="97" t="str">
        <f t="shared" si="212"/>
        <v/>
      </c>
      <c r="DF167" s="97" t="str">
        <f t="shared" si="212"/>
        <v/>
      </c>
      <c r="DG167" s="97" t="str">
        <f t="shared" si="212"/>
        <v/>
      </c>
      <c r="DH167" s="97" t="str">
        <f t="shared" si="212"/>
        <v/>
      </c>
      <c r="DI167" s="97" t="str">
        <f t="shared" si="212"/>
        <v/>
      </c>
      <c r="DJ167" s="97" t="str">
        <f t="shared" si="212"/>
        <v/>
      </c>
      <c r="DK167" s="97" t="str">
        <f t="shared" si="212"/>
        <v/>
      </c>
      <c r="DL167" s="97" t="str">
        <f t="shared" si="212"/>
        <v/>
      </c>
      <c r="DM167" s="97" t="str">
        <f t="shared" si="212"/>
        <v/>
      </c>
      <c r="DN167" s="97" t="str">
        <f t="shared" si="212"/>
        <v/>
      </c>
      <c r="DO167" s="97" t="str">
        <f t="shared" si="212"/>
        <v/>
      </c>
      <c r="DP167" s="97" t="str">
        <f t="shared" si="212"/>
        <v/>
      </c>
      <c r="DQ167" s="97" t="str">
        <f t="shared" si="212"/>
        <v/>
      </c>
      <c r="DR167" s="97" t="str">
        <f t="shared" si="212"/>
        <v/>
      </c>
      <c r="DS167" s="97" t="str">
        <f t="shared" si="212"/>
        <v/>
      </c>
      <c r="DT167" s="97" t="str">
        <f t="shared" si="212"/>
        <v/>
      </c>
      <c r="DU167" s="97" t="str">
        <f t="shared" si="212"/>
        <v/>
      </c>
      <c r="DV167" s="97" t="str">
        <f t="shared" si="212"/>
        <v/>
      </c>
      <c r="DW167" s="97" t="str">
        <f t="shared" si="212"/>
        <v/>
      </c>
      <c r="DX167" s="97" t="str">
        <f t="shared" si="212"/>
        <v/>
      </c>
      <c r="DY167" s="97" t="str">
        <f t="shared" si="212"/>
        <v/>
      </c>
      <c r="DZ167" s="97" t="str">
        <f t="shared" si="212"/>
        <v/>
      </c>
      <c r="EA167" s="97" t="str">
        <f t="shared" si="212"/>
        <v/>
      </c>
      <c r="EB167" s="97" t="str">
        <f t="shared" si="212"/>
        <v/>
      </c>
      <c r="EC167" s="97" t="str">
        <f t="shared" si="212"/>
        <v/>
      </c>
      <c r="ED167" s="97" t="str">
        <f t="shared" si="212"/>
        <v/>
      </c>
      <c r="EE167" s="97" t="str">
        <f t="shared" si="212"/>
        <v/>
      </c>
      <c r="EF167" s="97" t="str">
        <f t="shared" si="212"/>
        <v/>
      </c>
      <c r="EG167" s="97" t="str">
        <f t="shared" si="212"/>
        <v/>
      </c>
      <c r="EH167" s="97" t="str">
        <f t="shared" si="212"/>
        <v/>
      </c>
      <c r="EI167" s="97" t="str">
        <f t="shared" si="212"/>
        <v/>
      </c>
      <c r="EJ167" s="97" t="str">
        <f t="shared" si="212"/>
        <v/>
      </c>
      <c r="EK167" s="97" t="str">
        <f t="shared" si="212"/>
        <v/>
      </c>
      <c r="EL167" s="97" t="str">
        <f t="shared" si="212"/>
        <v/>
      </c>
      <c r="EM167" s="97" t="str">
        <f t="shared" si="212"/>
        <v/>
      </c>
      <c r="EN167" s="97" t="str">
        <f t="shared" si="212"/>
        <v/>
      </c>
      <c r="EO167" s="97" t="str">
        <f t="shared" si="212"/>
        <v/>
      </c>
      <c r="EP167" s="97" t="str">
        <f t="shared" si="212"/>
        <v/>
      </c>
      <c r="EQ167" s="97" t="str">
        <f t="shared" si="212"/>
        <v/>
      </c>
      <c r="ER167" s="97" t="str">
        <f t="shared" si="212"/>
        <v/>
      </c>
      <c r="ES167" s="97" t="str">
        <f t="shared" si="212"/>
        <v/>
      </c>
      <c r="ET167" s="97" t="str">
        <f t="shared" si="212"/>
        <v/>
      </c>
      <c r="EU167" s="97" t="str">
        <f t="shared" si="212"/>
        <v/>
      </c>
      <c r="EV167" s="97" t="str">
        <f t="shared" si="212"/>
        <v/>
      </c>
      <c r="EW167" s="97" t="str">
        <f t="shared" si="212"/>
        <v/>
      </c>
      <c r="EX167" s="97" t="str">
        <f t="shared" si="212"/>
        <v/>
      </c>
      <c r="EY167" s="97" t="str">
        <f t="shared" si="212"/>
        <v/>
      </c>
      <c r="EZ167" s="97" t="str">
        <f t="shared" si="212"/>
        <v/>
      </c>
      <c r="FA167" s="97" t="str">
        <f t="shared" si="212"/>
        <v/>
      </c>
      <c r="FB167" s="97" t="str">
        <f t="shared" si="212"/>
        <v/>
      </c>
      <c r="FC167" s="97" t="str">
        <f t="shared" si="212"/>
        <v/>
      </c>
      <c r="FD167" s="97" t="str">
        <f t="shared" si="212"/>
        <v/>
      </c>
      <c r="FE167" s="97" t="str">
        <f t="shared" si="212"/>
        <v/>
      </c>
      <c r="FF167" s="97" t="str">
        <f t="shared" si="212"/>
        <v/>
      </c>
      <c r="FG167" s="97" t="str">
        <f t="shared" si="212"/>
        <v/>
      </c>
      <c r="FH167" s="97" t="str">
        <f t="shared" si="212"/>
        <v/>
      </c>
      <c r="FI167" s="97" t="str">
        <f t="shared" si="212"/>
        <v/>
      </c>
      <c r="FJ167" s="97" t="str">
        <f t="shared" si="212"/>
        <v/>
      </c>
      <c r="FK167" s="97" t="str">
        <f t="shared" si="212"/>
        <v/>
      </c>
      <c r="FL167" s="97" t="str">
        <f t="shared" si="212"/>
        <v/>
      </c>
      <c r="FM167" s="97" t="str">
        <f t="shared" si="212"/>
        <v/>
      </c>
      <c r="FN167" s="97" t="str">
        <f t="shared" si="212"/>
        <v/>
      </c>
      <c r="FO167" s="97" t="str">
        <f t="shared" si="212"/>
        <v/>
      </c>
      <c r="FP167" s="97" t="str">
        <f t="shared" si="212"/>
        <v/>
      </c>
      <c r="FQ167" s="97" t="str">
        <f t="shared" si="212"/>
        <v/>
      </c>
      <c r="FR167" s="97" t="str">
        <f t="shared" si="212"/>
        <v/>
      </c>
      <c r="FS167" s="97" t="str">
        <f t="shared" si="212"/>
        <v/>
      </c>
      <c r="FT167" s="97" t="str">
        <f t="shared" si="212"/>
        <v/>
      </c>
      <c r="FU167" s="97" t="str">
        <f t="shared" si="212"/>
        <v/>
      </c>
      <c r="FV167" s="97" t="str">
        <f t="shared" si="212"/>
        <v/>
      </c>
      <c r="FW167" s="97" t="str">
        <f t="shared" si="212"/>
        <v/>
      </c>
      <c r="FX167" s="97" t="str">
        <f t="shared" si="212"/>
        <v/>
      </c>
      <c r="FY167" s="97" t="str">
        <f t="shared" si="212"/>
        <v/>
      </c>
      <c r="FZ167" s="97" t="str">
        <f t="shared" si="212"/>
        <v/>
      </c>
      <c r="GA167" s="97" t="str">
        <f t="shared" si="212"/>
        <v/>
      </c>
      <c r="GB167" s="97" t="str">
        <f t="shared" si="212"/>
        <v/>
      </c>
      <c r="GC167" s="97" t="str">
        <f t="shared" si="212"/>
        <v/>
      </c>
      <c r="GD167" s="97" t="str">
        <f t="shared" si="212"/>
        <v/>
      </c>
      <c r="GE167" s="97" t="str">
        <f t="shared" si="212"/>
        <v/>
      </c>
      <c r="GF167" s="97" t="str">
        <f t="shared" si="212"/>
        <v/>
      </c>
      <c r="GG167" s="97" t="str">
        <f t="shared" si="212"/>
        <v/>
      </c>
      <c r="GH167" s="97" t="str">
        <f t="shared" si="212"/>
        <v/>
      </c>
      <c r="GI167" s="97" t="str">
        <f t="shared" si="212"/>
        <v/>
      </c>
      <c r="GJ167" s="97" t="str">
        <f t="shared" si="212"/>
        <v/>
      </c>
      <c r="GK167" s="97" t="str">
        <f t="shared" si="212"/>
        <v/>
      </c>
      <c r="GL167" s="97" t="str">
        <f t="shared" si="212"/>
        <v/>
      </c>
      <c r="GM167" s="97" t="str">
        <f t="shared" si="212"/>
        <v/>
      </c>
      <c r="GN167" s="97" t="str">
        <f t="shared" si="212"/>
        <v/>
      </c>
      <c r="GO167" s="97" t="str">
        <f t="shared" si="212"/>
        <v/>
      </c>
      <c r="GP167" s="97" t="str">
        <f t="shared" si="212"/>
        <v/>
      </c>
      <c r="GQ167" s="97" t="str">
        <f t="shared" si="212"/>
        <v/>
      </c>
      <c r="GR167" s="97" t="str">
        <f t="shared" si="212"/>
        <v/>
      </c>
      <c r="GS167" s="97" t="str">
        <f t="shared" si="212"/>
        <v/>
      </c>
      <c r="GT167" s="97" t="str">
        <f t="shared" si="212"/>
        <v/>
      </c>
      <c r="GU167" s="97" t="str">
        <f t="shared" si="212"/>
        <v/>
      </c>
      <c r="GV167" s="97" t="str">
        <f t="shared" si="212"/>
        <v/>
      </c>
      <c r="GW167" s="97" t="str">
        <f t="shared" si="212"/>
        <v/>
      </c>
      <c r="GX167" s="97" t="str">
        <f t="shared" si="212"/>
        <v/>
      </c>
      <c r="GY167" s="98"/>
      <c r="GZ167" s="97">
        <f t="shared" si="3"/>
        <v>0</v>
      </c>
      <c r="HA167" s="97">
        <f t="shared" si="4"/>
        <v>0</v>
      </c>
      <c r="HB167" s="90">
        <f t="shared" si="5"/>
        <v>0</v>
      </c>
      <c r="HC167" s="99"/>
      <c r="HD167" s="97">
        <f t="shared" si="6"/>
        <v>0</v>
      </c>
      <c r="HE167" s="97">
        <f t="shared" si="7"/>
        <v>0</v>
      </c>
      <c r="HF167" s="90">
        <f t="shared" si="8"/>
        <v>0</v>
      </c>
      <c r="HG167" s="99"/>
      <c r="HH167" s="97">
        <f t="shared" si="9"/>
        <v>0</v>
      </c>
      <c r="HI167" s="97">
        <f t="shared" si="10"/>
        <v>0</v>
      </c>
      <c r="HJ167" s="90">
        <f t="shared" si="11"/>
        <v>0</v>
      </c>
      <c r="HK167" s="99"/>
      <c r="HL167" s="97">
        <f t="shared" si="12"/>
        <v>0</v>
      </c>
      <c r="HM167" s="97">
        <f t="shared" si="13"/>
        <v>0</v>
      </c>
      <c r="HN167" s="90">
        <f t="shared" si="14"/>
        <v>0</v>
      </c>
      <c r="HO167" s="99"/>
      <c r="HP167" s="97">
        <f t="shared" si="15"/>
        <v>0</v>
      </c>
      <c r="HQ167" s="97">
        <f t="shared" si="16"/>
        <v>0</v>
      </c>
      <c r="HR167" s="90">
        <f t="shared" si="17"/>
        <v>0</v>
      </c>
      <c r="HS167" s="99"/>
      <c r="HT167" s="97">
        <f t="shared" si="18"/>
        <v>0</v>
      </c>
      <c r="HU167" s="97">
        <f t="shared" si="19"/>
        <v>0</v>
      </c>
      <c r="HV167" s="90">
        <f t="shared" si="20"/>
        <v>0</v>
      </c>
      <c r="HW167" s="99"/>
      <c r="HX167" s="97">
        <f t="shared" si="21"/>
        <v>0</v>
      </c>
      <c r="HY167" s="97">
        <f t="shared" si="22"/>
        <v>0</v>
      </c>
      <c r="HZ167" s="90">
        <f t="shared" si="23"/>
        <v>0</v>
      </c>
      <c r="IA167" s="99"/>
      <c r="IB167" s="97">
        <f t="shared" si="24"/>
        <v>0</v>
      </c>
      <c r="IC167" s="97">
        <f t="shared" si="25"/>
        <v>0</v>
      </c>
      <c r="ID167" s="90">
        <f t="shared" si="26"/>
        <v>0</v>
      </c>
      <c r="IE167" s="99"/>
      <c r="IF167" s="97">
        <f t="shared" si="27"/>
        <v>0</v>
      </c>
      <c r="IG167" s="97">
        <f t="shared" si="28"/>
        <v>0</v>
      </c>
      <c r="IH167" s="90">
        <f t="shared" si="29"/>
        <v>0</v>
      </c>
      <c r="II167" s="99"/>
      <c r="IJ167" s="97">
        <f t="shared" si="30"/>
        <v>0</v>
      </c>
      <c r="IK167" s="97">
        <f t="shared" si="31"/>
        <v>0</v>
      </c>
      <c r="IL167" s="90">
        <f t="shared" si="32"/>
        <v>0</v>
      </c>
      <c r="IM167" s="99"/>
      <c r="IN167" s="97">
        <f t="shared" si="33"/>
        <v>0</v>
      </c>
      <c r="IO167" s="97">
        <f t="shared" si="34"/>
        <v>0</v>
      </c>
      <c r="IP167" s="90">
        <f t="shared" si="35"/>
        <v>0</v>
      </c>
      <c r="IS167" s="100">
        <f t="shared" si="36"/>
        <v>0</v>
      </c>
      <c r="IT167" s="100">
        <f t="shared" si="37"/>
        <v>0</v>
      </c>
      <c r="IU167" s="100">
        <f t="shared" si="38"/>
        <v>0</v>
      </c>
      <c r="IV167" s="100">
        <f t="shared" si="39"/>
        <v>0</v>
      </c>
      <c r="IW167" s="100">
        <f t="shared" si="40"/>
        <v>0</v>
      </c>
      <c r="IX167" s="100">
        <f t="shared" si="41"/>
        <v>0</v>
      </c>
      <c r="IY167" s="100">
        <f t="shared" si="42"/>
        <v>0</v>
      </c>
      <c r="IZ167" s="100">
        <f t="shared" si="43"/>
        <v>0</v>
      </c>
      <c r="JA167" s="100">
        <f t="shared" si="44"/>
        <v>0</v>
      </c>
      <c r="JB167" s="101">
        <f t="shared" si="45"/>
        <v>0</v>
      </c>
      <c r="JC167" s="102">
        <f t="shared" si="46"/>
        <v>0</v>
      </c>
      <c r="JD167" s="67">
        <f t="shared" si="50"/>
        <v>5</v>
      </c>
      <c r="JE167" s="67">
        <f t="shared" si="47"/>
        <v>0</v>
      </c>
      <c r="JF167" s="67">
        <f t="shared" si="48"/>
        <v>5</v>
      </c>
    </row>
    <row r="168">
      <c r="A168" s="7"/>
      <c r="B168" s="105"/>
      <c r="C168" s="7"/>
      <c r="D168" s="7"/>
      <c r="E168" s="7"/>
      <c r="F168" s="105"/>
      <c r="G168" s="105"/>
      <c r="H168" s="105"/>
      <c r="I168" s="105"/>
      <c r="J168" s="105"/>
      <c r="K168" s="105"/>
      <c r="L168" s="105"/>
      <c r="M168" s="105"/>
      <c r="N168" s="105"/>
      <c r="O168" s="105"/>
      <c r="P168" s="105"/>
      <c r="Q168" s="105"/>
      <c r="R168" s="105"/>
      <c r="S168" s="105"/>
      <c r="T168" s="105"/>
      <c r="U168" s="105"/>
      <c r="V168" s="105"/>
      <c r="W168" s="105"/>
      <c r="X168" s="105"/>
      <c r="Y168" s="105"/>
      <c r="Z168" s="105"/>
      <c r="AA168" s="105"/>
      <c r="AB168" s="105"/>
      <c r="AC168" s="105"/>
      <c r="AD168" s="105"/>
      <c r="AE168" s="105"/>
      <c r="AF168" s="105"/>
      <c r="AG168" s="105"/>
      <c r="AH168" s="105"/>
      <c r="AI168" s="105"/>
      <c r="AJ168" s="105"/>
      <c r="AK168" s="105"/>
      <c r="AL168" s="105"/>
      <c r="AM168" s="105"/>
      <c r="AN168" s="105"/>
      <c r="AO168" s="105"/>
      <c r="AP168" s="105"/>
      <c r="AQ168" s="105"/>
      <c r="AR168" s="105"/>
      <c r="AS168" s="105"/>
      <c r="AT168" s="105"/>
      <c r="AU168" s="105"/>
      <c r="AV168" s="105"/>
      <c r="AW168" s="105"/>
      <c r="AX168" s="105"/>
      <c r="AY168" s="105"/>
      <c r="AZ168" s="105"/>
      <c r="BA168" s="105"/>
      <c r="BB168" s="105"/>
      <c r="BC168" s="105"/>
      <c r="BD168" s="105"/>
      <c r="BE168" s="105"/>
      <c r="BF168" s="105"/>
      <c r="BG168" s="105"/>
      <c r="BH168" s="105"/>
      <c r="BI168" s="105"/>
      <c r="BJ168" s="105"/>
      <c r="BK168" s="105"/>
      <c r="BL168" s="105"/>
      <c r="BM168" s="105"/>
      <c r="BN168" s="105"/>
      <c r="BO168" s="105"/>
      <c r="BP168" s="105"/>
      <c r="BQ168" s="105"/>
      <c r="BR168" s="105"/>
      <c r="BS168" s="105"/>
      <c r="BT168" s="105"/>
      <c r="BU168" s="105"/>
      <c r="BV168" s="105"/>
      <c r="BW168" s="105"/>
      <c r="BX168" s="105"/>
      <c r="BY168" s="105"/>
      <c r="BZ168" s="105"/>
      <c r="CA168" s="105"/>
      <c r="CB168" s="105"/>
      <c r="CC168" s="105"/>
      <c r="CD168" s="105"/>
      <c r="CE168" s="105"/>
      <c r="CF168" s="105"/>
      <c r="CG168" s="105"/>
      <c r="CH168" s="105"/>
      <c r="CI168" s="105"/>
      <c r="CJ168" s="105"/>
      <c r="CK168" s="105"/>
      <c r="CL168" s="105"/>
      <c r="CM168" s="105"/>
      <c r="CN168" s="105"/>
      <c r="CO168" s="105"/>
      <c r="CP168" s="105"/>
      <c r="CQ168" s="105"/>
      <c r="CR168" s="105"/>
      <c r="CS168" s="105"/>
      <c r="CT168" s="105"/>
      <c r="CU168" s="105"/>
      <c r="CV168" s="105"/>
      <c r="CW168" s="105"/>
      <c r="CX168" s="105"/>
      <c r="CY168" s="105"/>
      <c r="CZ168" s="105"/>
      <c r="DA168" s="105"/>
      <c r="DB168" s="89" t="s">
        <v>23</v>
      </c>
      <c r="DC168" s="97" t="str">
        <f t="shared" ref="DC168:GX168" si="213">LEFT(F168,1)</f>
        <v/>
      </c>
      <c r="DD168" s="97" t="str">
        <f t="shared" si="213"/>
        <v/>
      </c>
      <c r="DE168" s="97" t="str">
        <f t="shared" si="213"/>
        <v/>
      </c>
      <c r="DF168" s="97" t="str">
        <f t="shared" si="213"/>
        <v/>
      </c>
      <c r="DG168" s="97" t="str">
        <f t="shared" si="213"/>
        <v/>
      </c>
      <c r="DH168" s="97" t="str">
        <f t="shared" si="213"/>
        <v/>
      </c>
      <c r="DI168" s="97" t="str">
        <f t="shared" si="213"/>
        <v/>
      </c>
      <c r="DJ168" s="97" t="str">
        <f t="shared" si="213"/>
        <v/>
      </c>
      <c r="DK168" s="97" t="str">
        <f t="shared" si="213"/>
        <v/>
      </c>
      <c r="DL168" s="97" t="str">
        <f t="shared" si="213"/>
        <v/>
      </c>
      <c r="DM168" s="97" t="str">
        <f t="shared" si="213"/>
        <v/>
      </c>
      <c r="DN168" s="97" t="str">
        <f t="shared" si="213"/>
        <v/>
      </c>
      <c r="DO168" s="97" t="str">
        <f t="shared" si="213"/>
        <v/>
      </c>
      <c r="DP168" s="97" t="str">
        <f t="shared" si="213"/>
        <v/>
      </c>
      <c r="DQ168" s="97" t="str">
        <f t="shared" si="213"/>
        <v/>
      </c>
      <c r="DR168" s="97" t="str">
        <f t="shared" si="213"/>
        <v/>
      </c>
      <c r="DS168" s="97" t="str">
        <f t="shared" si="213"/>
        <v/>
      </c>
      <c r="DT168" s="97" t="str">
        <f t="shared" si="213"/>
        <v/>
      </c>
      <c r="DU168" s="97" t="str">
        <f t="shared" si="213"/>
        <v/>
      </c>
      <c r="DV168" s="97" t="str">
        <f t="shared" si="213"/>
        <v/>
      </c>
      <c r="DW168" s="97" t="str">
        <f t="shared" si="213"/>
        <v/>
      </c>
      <c r="DX168" s="97" t="str">
        <f t="shared" si="213"/>
        <v/>
      </c>
      <c r="DY168" s="97" t="str">
        <f t="shared" si="213"/>
        <v/>
      </c>
      <c r="DZ168" s="97" t="str">
        <f t="shared" si="213"/>
        <v/>
      </c>
      <c r="EA168" s="97" t="str">
        <f t="shared" si="213"/>
        <v/>
      </c>
      <c r="EB168" s="97" t="str">
        <f t="shared" si="213"/>
        <v/>
      </c>
      <c r="EC168" s="97" t="str">
        <f t="shared" si="213"/>
        <v/>
      </c>
      <c r="ED168" s="97" t="str">
        <f t="shared" si="213"/>
        <v/>
      </c>
      <c r="EE168" s="97" t="str">
        <f t="shared" si="213"/>
        <v/>
      </c>
      <c r="EF168" s="97" t="str">
        <f t="shared" si="213"/>
        <v/>
      </c>
      <c r="EG168" s="97" t="str">
        <f t="shared" si="213"/>
        <v/>
      </c>
      <c r="EH168" s="97" t="str">
        <f t="shared" si="213"/>
        <v/>
      </c>
      <c r="EI168" s="97" t="str">
        <f t="shared" si="213"/>
        <v/>
      </c>
      <c r="EJ168" s="97" t="str">
        <f t="shared" si="213"/>
        <v/>
      </c>
      <c r="EK168" s="97" t="str">
        <f t="shared" si="213"/>
        <v/>
      </c>
      <c r="EL168" s="97" t="str">
        <f t="shared" si="213"/>
        <v/>
      </c>
      <c r="EM168" s="97" t="str">
        <f t="shared" si="213"/>
        <v/>
      </c>
      <c r="EN168" s="97" t="str">
        <f t="shared" si="213"/>
        <v/>
      </c>
      <c r="EO168" s="97" t="str">
        <f t="shared" si="213"/>
        <v/>
      </c>
      <c r="EP168" s="97" t="str">
        <f t="shared" si="213"/>
        <v/>
      </c>
      <c r="EQ168" s="97" t="str">
        <f t="shared" si="213"/>
        <v/>
      </c>
      <c r="ER168" s="97" t="str">
        <f t="shared" si="213"/>
        <v/>
      </c>
      <c r="ES168" s="97" t="str">
        <f t="shared" si="213"/>
        <v/>
      </c>
      <c r="ET168" s="97" t="str">
        <f t="shared" si="213"/>
        <v/>
      </c>
      <c r="EU168" s="97" t="str">
        <f t="shared" si="213"/>
        <v/>
      </c>
      <c r="EV168" s="97" t="str">
        <f t="shared" si="213"/>
        <v/>
      </c>
      <c r="EW168" s="97" t="str">
        <f t="shared" si="213"/>
        <v/>
      </c>
      <c r="EX168" s="97" t="str">
        <f t="shared" si="213"/>
        <v/>
      </c>
      <c r="EY168" s="97" t="str">
        <f t="shared" si="213"/>
        <v/>
      </c>
      <c r="EZ168" s="97" t="str">
        <f t="shared" si="213"/>
        <v/>
      </c>
      <c r="FA168" s="97" t="str">
        <f t="shared" si="213"/>
        <v/>
      </c>
      <c r="FB168" s="97" t="str">
        <f t="shared" si="213"/>
        <v/>
      </c>
      <c r="FC168" s="97" t="str">
        <f t="shared" si="213"/>
        <v/>
      </c>
      <c r="FD168" s="97" t="str">
        <f t="shared" si="213"/>
        <v/>
      </c>
      <c r="FE168" s="97" t="str">
        <f t="shared" si="213"/>
        <v/>
      </c>
      <c r="FF168" s="97" t="str">
        <f t="shared" si="213"/>
        <v/>
      </c>
      <c r="FG168" s="97" t="str">
        <f t="shared" si="213"/>
        <v/>
      </c>
      <c r="FH168" s="97" t="str">
        <f t="shared" si="213"/>
        <v/>
      </c>
      <c r="FI168" s="97" t="str">
        <f t="shared" si="213"/>
        <v/>
      </c>
      <c r="FJ168" s="97" t="str">
        <f t="shared" si="213"/>
        <v/>
      </c>
      <c r="FK168" s="97" t="str">
        <f t="shared" si="213"/>
        <v/>
      </c>
      <c r="FL168" s="97" t="str">
        <f t="shared" si="213"/>
        <v/>
      </c>
      <c r="FM168" s="97" t="str">
        <f t="shared" si="213"/>
        <v/>
      </c>
      <c r="FN168" s="97" t="str">
        <f t="shared" si="213"/>
        <v/>
      </c>
      <c r="FO168" s="97" t="str">
        <f t="shared" si="213"/>
        <v/>
      </c>
      <c r="FP168" s="97" t="str">
        <f t="shared" si="213"/>
        <v/>
      </c>
      <c r="FQ168" s="97" t="str">
        <f t="shared" si="213"/>
        <v/>
      </c>
      <c r="FR168" s="97" t="str">
        <f t="shared" si="213"/>
        <v/>
      </c>
      <c r="FS168" s="97" t="str">
        <f t="shared" si="213"/>
        <v/>
      </c>
      <c r="FT168" s="97" t="str">
        <f t="shared" si="213"/>
        <v/>
      </c>
      <c r="FU168" s="97" t="str">
        <f t="shared" si="213"/>
        <v/>
      </c>
      <c r="FV168" s="97" t="str">
        <f t="shared" si="213"/>
        <v/>
      </c>
      <c r="FW168" s="97" t="str">
        <f t="shared" si="213"/>
        <v/>
      </c>
      <c r="FX168" s="97" t="str">
        <f t="shared" si="213"/>
        <v/>
      </c>
      <c r="FY168" s="97" t="str">
        <f t="shared" si="213"/>
        <v/>
      </c>
      <c r="FZ168" s="97" t="str">
        <f t="shared" si="213"/>
        <v/>
      </c>
      <c r="GA168" s="97" t="str">
        <f t="shared" si="213"/>
        <v/>
      </c>
      <c r="GB168" s="97" t="str">
        <f t="shared" si="213"/>
        <v/>
      </c>
      <c r="GC168" s="97" t="str">
        <f t="shared" si="213"/>
        <v/>
      </c>
      <c r="GD168" s="97" t="str">
        <f t="shared" si="213"/>
        <v/>
      </c>
      <c r="GE168" s="97" t="str">
        <f t="shared" si="213"/>
        <v/>
      </c>
      <c r="GF168" s="97" t="str">
        <f t="shared" si="213"/>
        <v/>
      </c>
      <c r="GG168" s="97" t="str">
        <f t="shared" si="213"/>
        <v/>
      </c>
      <c r="GH168" s="97" t="str">
        <f t="shared" si="213"/>
        <v/>
      </c>
      <c r="GI168" s="97" t="str">
        <f t="shared" si="213"/>
        <v/>
      </c>
      <c r="GJ168" s="97" t="str">
        <f t="shared" si="213"/>
        <v/>
      </c>
      <c r="GK168" s="97" t="str">
        <f t="shared" si="213"/>
        <v/>
      </c>
      <c r="GL168" s="97" t="str">
        <f t="shared" si="213"/>
        <v/>
      </c>
      <c r="GM168" s="97" t="str">
        <f t="shared" si="213"/>
        <v/>
      </c>
      <c r="GN168" s="97" t="str">
        <f t="shared" si="213"/>
        <v/>
      </c>
      <c r="GO168" s="97" t="str">
        <f t="shared" si="213"/>
        <v/>
      </c>
      <c r="GP168" s="97" t="str">
        <f t="shared" si="213"/>
        <v/>
      </c>
      <c r="GQ168" s="97" t="str">
        <f t="shared" si="213"/>
        <v/>
      </c>
      <c r="GR168" s="97" t="str">
        <f t="shared" si="213"/>
        <v/>
      </c>
      <c r="GS168" s="97" t="str">
        <f t="shared" si="213"/>
        <v/>
      </c>
      <c r="GT168" s="97" t="str">
        <f t="shared" si="213"/>
        <v/>
      </c>
      <c r="GU168" s="97" t="str">
        <f t="shared" si="213"/>
        <v/>
      </c>
      <c r="GV168" s="97" t="str">
        <f t="shared" si="213"/>
        <v/>
      </c>
      <c r="GW168" s="97" t="str">
        <f t="shared" si="213"/>
        <v/>
      </c>
      <c r="GX168" s="97" t="str">
        <f t="shared" si="213"/>
        <v/>
      </c>
      <c r="GY168" s="98"/>
      <c r="GZ168" s="97">
        <f t="shared" si="3"/>
        <v>0</v>
      </c>
      <c r="HA168" s="97">
        <f t="shared" si="4"/>
        <v>0</v>
      </c>
      <c r="HB168" s="90">
        <f t="shared" si="5"/>
        <v>0</v>
      </c>
      <c r="HC168" s="99"/>
      <c r="HD168" s="97">
        <f t="shared" si="6"/>
        <v>0</v>
      </c>
      <c r="HE168" s="97">
        <f t="shared" si="7"/>
        <v>0</v>
      </c>
      <c r="HF168" s="90">
        <f t="shared" si="8"/>
        <v>0</v>
      </c>
      <c r="HG168" s="99"/>
      <c r="HH168" s="97">
        <f t="shared" si="9"/>
        <v>0</v>
      </c>
      <c r="HI168" s="97">
        <f t="shared" si="10"/>
        <v>0</v>
      </c>
      <c r="HJ168" s="90">
        <f t="shared" si="11"/>
        <v>0</v>
      </c>
      <c r="HK168" s="99"/>
      <c r="HL168" s="97">
        <f t="shared" si="12"/>
        <v>0</v>
      </c>
      <c r="HM168" s="97">
        <f t="shared" si="13"/>
        <v>0</v>
      </c>
      <c r="HN168" s="90">
        <f t="shared" si="14"/>
        <v>0</v>
      </c>
      <c r="HO168" s="99"/>
      <c r="HP168" s="97">
        <f t="shared" si="15"/>
        <v>0</v>
      </c>
      <c r="HQ168" s="97">
        <f t="shared" si="16"/>
        <v>0</v>
      </c>
      <c r="HR168" s="90">
        <f t="shared" si="17"/>
        <v>0</v>
      </c>
      <c r="HS168" s="99"/>
      <c r="HT168" s="97">
        <f t="shared" si="18"/>
        <v>0</v>
      </c>
      <c r="HU168" s="97">
        <f t="shared" si="19"/>
        <v>0</v>
      </c>
      <c r="HV168" s="90">
        <f t="shared" si="20"/>
        <v>0</v>
      </c>
      <c r="HW168" s="99"/>
      <c r="HX168" s="97">
        <f t="shared" si="21"/>
        <v>0</v>
      </c>
      <c r="HY168" s="97">
        <f t="shared" si="22"/>
        <v>0</v>
      </c>
      <c r="HZ168" s="90">
        <f t="shared" si="23"/>
        <v>0</v>
      </c>
      <c r="IA168" s="99"/>
      <c r="IB168" s="97">
        <f t="shared" si="24"/>
        <v>0</v>
      </c>
      <c r="IC168" s="97">
        <f t="shared" si="25"/>
        <v>0</v>
      </c>
      <c r="ID168" s="90">
        <f t="shared" si="26"/>
        <v>0</v>
      </c>
      <c r="IE168" s="99"/>
      <c r="IF168" s="97">
        <f t="shared" si="27"/>
        <v>0</v>
      </c>
      <c r="IG168" s="97">
        <f t="shared" si="28"/>
        <v>0</v>
      </c>
      <c r="IH168" s="90">
        <f t="shared" si="29"/>
        <v>0</v>
      </c>
      <c r="II168" s="99"/>
      <c r="IJ168" s="97">
        <f t="shared" si="30"/>
        <v>0</v>
      </c>
      <c r="IK168" s="97">
        <f t="shared" si="31"/>
        <v>0</v>
      </c>
      <c r="IL168" s="90">
        <f t="shared" si="32"/>
        <v>0</v>
      </c>
      <c r="IM168" s="99"/>
      <c r="IN168" s="97">
        <f t="shared" si="33"/>
        <v>0</v>
      </c>
      <c r="IO168" s="97">
        <f t="shared" si="34"/>
        <v>0</v>
      </c>
      <c r="IP168" s="90">
        <f t="shared" si="35"/>
        <v>0</v>
      </c>
      <c r="IS168" s="100">
        <f t="shared" si="36"/>
        <v>0</v>
      </c>
      <c r="IT168" s="100">
        <f t="shared" si="37"/>
        <v>0</v>
      </c>
      <c r="IU168" s="100">
        <f t="shared" si="38"/>
        <v>0</v>
      </c>
      <c r="IV168" s="100">
        <f t="shared" si="39"/>
        <v>0</v>
      </c>
      <c r="IW168" s="100">
        <f t="shared" si="40"/>
        <v>0</v>
      </c>
      <c r="IX168" s="100">
        <f t="shared" si="41"/>
        <v>0</v>
      </c>
      <c r="IY168" s="100">
        <f t="shared" si="42"/>
        <v>0</v>
      </c>
      <c r="IZ168" s="100">
        <f t="shared" si="43"/>
        <v>0</v>
      </c>
      <c r="JA168" s="100">
        <f t="shared" si="44"/>
        <v>0</v>
      </c>
      <c r="JB168" s="101">
        <f t="shared" si="45"/>
        <v>0</v>
      </c>
      <c r="JC168" s="102">
        <f t="shared" si="46"/>
        <v>0</v>
      </c>
      <c r="JD168" s="67">
        <f t="shared" si="50"/>
        <v>5</v>
      </c>
      <c r="JE168" s="67">
        <f t="shared" si="47"/>
        <v>0</v>
      </c>
      <c r="JF168" s="67">
        <f t="shared" si="48"/>
        <v>5</v>
      </c>
    </row>
    <row r="169">
      <c r="A169" s="7"/>
      <c r="B169" s="105"/>
      <c r="C169" s="7"/>
      <c r="D169" s="7"/>
      <c r="E169" s="7"/>
      <c r="F169" s="105"/>
      <c r="G169" s="105"/>
      <c r="H169" s="105"/>
      <c r="I169" s="105"/>
      <c r="J169" s="105"/>
      <c r="K169" s="105"/>
      <c r="L169" s="105"/>
      <c r="M169" s="105"/>
      <c r="N169" s="105"/>
      <c r="O169" s="105"/>
      <c r="P169" s="105"/>
      <c r="Q169" s="105"/>
      <c r="R169" s="105"/>
      <c r="S169" s="105"/>
      <c r="T169" s="105"/>
      <c r="U169" s="105"/>
      <c r="V169" s="105"/>
      <c r="W169" s="105"/>
      <c r="X169" s="105"/>
      <c r="Y169" s="105"/>
      <c r="Z169" s="105"/>
      <c r="AA169" s="105"/>
      <c r="AB169" s="105"/>
      <c r="AC169" s="105"/>
      <c r="AD169" s="105"/>
      <c r="AE169" s="105"/>
      <c r="AF169" s="105"/>
      <c r="AG169" s="105"/>
      <c r="AH169" s="105"/>
      <c r="AI169" s="105"/>
      <c r="AJ169" s="105"/>
      <c r="AK169" s="105"/>
      <c r="AL169" s="105"/>
      <c r="AM169" s="105"/>
      <c r="AN169" s="105"/>
      <c r="AO169" s="105"/>
      <c r="AP169" s="105"/>
      <c r="AQ169" s="105"/>
      <c r="AR169" s="105"/>
      <c r="AS169" s="105"/>
      <c r="AT169" s="105"/>
      <c r="AU169" s="105"/>
      <c r="AV169" s="105"/>
      <c r="AW169" s="105"/>
      <c r="AX169" s="105"/>
      <c r="AY169" s="105"/>
      <c r="AZ169" s="105"/>
      <c r="BA169" s="105"/>
      <c r="BB169" s="105"/>
      <c r="BC169" s="105"/>
      <c r="BD169" s="105"/>
      <c r="BE169" s="105"/>
      <c r="BF169" s="105"/>
      <c r="BG169" s="105"/>
      <c r="BH169" s="105"/>
      <c r="BI169" s="105"/>
      <c r="BJ169" s="105"/>
      <c r="BK169" s="105"/>
      <c r="BL169" s="105"/>
      <c r="BM169" s="105"/>
      <c r="BN169" s="105"/>
      <c r="BO169" s="105"/>
      <c r="BP169" s="105"/>
      <c r="BQ169" s="105"/>
      <c r="BR169" s="105"/>
      <c r="BS169" s="105"/>
      <c r="BT169" s="105"/>
      <c r="BU169" s="105"/>
      <c r="BV169" s="105"/>
      <c r="BW169" s="105"/>
      <c r="BX169" s="105"/>
      <c r="BY169" s="105"/>
      <c r="BZ169" s="105"/>
      <c r="CA169" s="105"/>
      <c r="CB169" s="105"/>
      <c r="CC169" s="105"/>
      <c r="CD169" s="105"/>
      <c r="CE169" s="105"/>
      <c r="CF169" s="105"/>
      <c r="CG169" s="105"/>
      <c r="CH169" s="105"/>
      <c r="CI169" s="105"/>
      <c r="CJ169" s="105"/>
      <c r="CK169" s="105"/>
      <c r="CL169" s="105"/>
      <c r="CM169" s="105"/>
      <c r="CN169" s="105"/>
      <c r="CO169" s="105"/>
      <c r="CP169" s="105"/>
      <c r="CQ169" s="105"/>
      <c r="CR169" s="105"/>
      <c r="CS169" s="105"/>
      <c r="CT169" s="105"/>
      <c r="CU169" s="105"/>
      <c r="CV169" s="105"/>
      <c r="CW169" s="105"/>
      <c r="CX169" s="105"/>
      <c r="CY169" s="105"/>
      <c r="CZ169" s="105"/>
      <c r="DA169" s="105"/>
      <c r="DB169" s="89" t="s">
        <v>23</v>
      </c>
      <c r="DC169" s="97" t="str">
        <f t="shared" ref="DC169:GX169" si="214">LEFT(F169,1)</f>
        <v/>
      </c>
      <c r="DD169" s="97" t="str">
        <f t="shared" si="214"/>
        <v/>
      </c>
      <c r="DE169" s="97" t="str">
        <f t="shared" si="214"/>
        <v/>
      </c>
      <c r="DF169" s="97" t="str">
        <f t="shared" si="214"/>
        <v/>
      </c>
      <c r="DG169" s="97" t="str">
        <f t="shared" si="214"/>
        <v/>
      </c>
      <c r="DH169" s="97" t="str">
        <f t="shared" si="214"/>
        <v/>
      </c>
      <c r="DI169" s="97" t="str">
        <f t="shared" si="214"/>
        <v/>
      </c>
      <c r="DJ169" s="97" t="str">
        <f t="shared" si="214"/>
        <v/>
      </c>
      <c r="DK169" s="97" t="str">
        <f t="shared" si="214"/>
        <v/>
      </c>
      <c r="DL169" s="97" t="str">
        <f t="shared" si="214"/>
        <v/>
      </c>
      <c r="DM169" s="97" t="str">
        <f t="shared" si="214"/>
        <v/>
      </c>
      <c r="DN169" s="97" t="str">
        <f t="shared" si="214"/>
        <v/>
      </c>
      <c r="DO169" s="97" t="str">
        <f t="shared" si="214"/>
        <v/>
      </c>
      <c r="DP169" s="97" t="str">
        <f t="shared" si="214"/>
        <v/>
      </c>
      <c r="DQ169" s="97" t="str">
        <f t="shared" si="214"/>
        <v/>
      </c>
      <c r="DR169" s="97" t="str">
        <f t="shared" si="214"/>
        <v/>
      </c>
      <c r="DS169" s="97" t="str">
        <f t="shared" si="214"/>
        <v/>
      </c>
      <c r="DT169" s="97" t="str">
        <f t="shared" si="214"/>
        <v/>
      </c>
      <c r="DU169" s="97" t="str">
        <f t="shared" si="214"/>
        <v/>
      </c>
      <c r="DV169" s="97" t="str">
        <f t="shared" si="214"/>
        <v/>
      </c>
      <c r="DW169" s="97" t="str">
        <f t="shared" si="214"/>
        <v/>
      </c>
      <c r="DX169" s="97" t="str">
        <f t="shared" si="214"/>
        <v/>
      </c>
      <c r="DY169" s="97" t="str">
        <f t="shared" si="214"/>
        <v/>
      </c>
      <c r="DZ169" s="97" t="str">
        <f t="shared" si="214"/>
        <v/>
      </c>
      <c r="EA169" s="97" t="str">
        <f t="shared" si="214"/>
        <v/>
      </c>
      <c r="EB169" s="97" t="str">
        <f t="shared" si="214"/>
        <v/>
      </c>
      <c r="EC169" s="97" t="str">
        <f t="shared" si="214"/>
        <v/>
      </c>
      <c r="ED169" s="97" t="str">
        <f t="shared" si="214"/>
        <v/>
      </c>
      <c r="EE169" s="97" t="str">
        <f t="shared" si="214"/>
        <v/>
      </c>
      <c r="EF169" s="97" t="str">
        <f t="shared" si="214"/>
        <v/>
      </c>
      <c r="EG169" s="97" t="str">
        <f t="shared" si="214"/>
        <v/>
      </c>
      <c r="EH169" s="97" t="str">
        <f t="shared" si="214"/>
        <v/>
      </c>
      <c r="EI169" s="97" t="str">
        <f t="shared" si="214"/>
        <v/>
      </c>
      <c r="EJ169" s="97" t="str">
        <f t="shared" si="214"/>
        <v/>
      </c>
      <c r="EK169" s="97" t="str">
        <f t="shared" si="214"/>
        <v/>
      </c>
      <c r="EL169" s="97" t="str">
        <f t="shared" si="214"/>
        <v/>
      </c>
      <c r="EM169" s="97" t="str">
        <f t="shared" si="214"/>
        <v/>
      </c>
      <c r="EN169" s="97" t="str">
        <f t="shared" si="214"/>
        <v/>
      </c>
      <c r="EO169" s="97" t="str">
        <f t="shared" si="214"/>
        <v/>
      </c>
      <c r="EP169" s="97" t="str">
        <f t="shared" si="214"/>
        <v/>
      </c>
      <c r="EQ169" s="97" t="str">
        <f t="shared" si="214"/>
        <v/>
      </c>
      <c r="ER169" s="97" t="str">
        <f t="shared" si="214"/>
        <v/>
      </c>
      <c r="ES169" s="97" t="str">
        <f t="shared" si="214"/>
        <v/>
      </c>
      <c r="ET169" s="97" t="str">
        <f t="shared" si="214"/>
        <v/>
      </c>
      <c r="EU169" s="97" t="str">
        <f t="shared" si="214"/>
        <v/>
      </c>
      <c r="EV169" s="97" t="str">
        <f t="shared" si="214"/>
        <v/>
      </c>
      <c r="EW169" s="97" t="str">
        <f t="shared" si="214"/>
        <v/>
      </c>
      <c r="EX169" s="97" t="str">
        <f t="shared" si="214"/>
        <v/>
      </c>
      <c r="EY169" s="97" t="str">
        <f t="shared" si="214"/>
        <v/>
      </c>
      <c r="EZ169" s="97" t="str">
        <f t="shared" si="214"/>
        <v/>
      </c>
      <c r="FA169" s="97" t="str">
        <f t="shared" si="214"/>
        <v/>
      </c>
      <c r="FB169" s="97" t="str">
        <f t="shared" si="214"/>
        <v/>
      </c>
      <c r="FC169" s="97" t="str">
        <f t="shared" si="214"/>
        <v/>
      </c>
      <c r="FD169" s="97" t="str">
        <f t="shared" si="214"/>
        <v/>
      </c>
      <c r="FE169" s="97" t="str">
        <f t="shared" si="214"/>
        <v/>
      </c>
      <c r="FF169" s="97" t="str">
        <f t="shared" si="214"/>
        <v/>
      </c>
      <c r="FG169" s="97" t="str">
        <f t="shared" si="214"/>
        <v/>
      </c>
      <c r="FH169" s="97" t="str">
        <f t="shared" si="214"/>
        <v/>
      </c>
      <c r="FI169" s="97" t="str">
        <f t="shared" si="214"/>
        <v/>
      </c>
      <c r="FJ169" s="97" t="str">
        <f t="shared" si="214"/>
        <v/>
      </c>
      <c r="FK169" s="97" t="str">
        <f t="shared" si="214"/>
        <v/>
      </c>
      <c r="FL169" s="97" t="str">
        <f t="shared" si="214"/>
        <v/>
      </c>
      <c r="FM169" s="97" t="str">
        <f t="shared" si="214"/>
        <v/>
      </c>
      <c r="FN169" s="97" t="str">
        <f t="shared" si="214"/>
        <v/>
      </c>
      <c r="FO169" s="97" t="str">
        <f t="shared" si="214"/>
        <v/>
      </c>
      <c r="FP169" s="97" t="str">
        <f t="shared" si="214"/>
        <v/>
      </c>
      <c r="FQ169" s="97" t="str">
        <f t="shared" si="214"/>
        <v/>
      </c>
      <c r="FR169" s="97" t="str">
        <f t="shared" si="214"/>
        <v/>
      </c>
      <c r="FS169" s="97" t="str">
        <f t="shared" si="214"/>
        <v/>
      </c>
      <c r="FT169" s="97" t="str">
        <f t="shared" si="214"/>
        <v/>
      </c>
      <c r="FU169" s="97" t="str">
        <f t="shared" si="214"/>
        <v/>
      </c>
      <c r="FV169" s="97" t="str">
        <f t="shared" si="214"/>
        <v/>
      </c>
      <c r="FW169" s="97" t="str">
        <f t="shared" si="214"/>
        <v/>
      </c>
      <c r="FX169" s="97" t="str">
        <f t="shared" si="214"/>
        <v/>
      </c>
      <c r="FY169" s="97" t="str">
        <f t="shared" si="214"/>
        <v/>
      </c>
      <c r="FZ169" s="97" t="str">
        <f t="shared" si="214"/>
        <v/>
      </c>
      <c r="GA169" s="97" t="str">
        <f t="shared" si="214"/>
        <v/>
      </c>
      <c r="GB169" s="97" t="str">
        <f t="shared" si="214"/>
        <v/>
      </c>
      <c r="GC169" s="97" t="str">
        <f t="shared" si="214"/>
        <v/>
      </c>
      <c r="GD169" s="97" t="str">
        <f t="shared" si="214"/>
        <v/>
      </c>
      <c r="GE169" s="97" t="str">
        <f t="shared" si="214"/>
        <v/>
      </c>
      <c r="GF169" s="97" t="str">
        <f t="shared" si="214"/>
        <v/>
      </c>
      <c r="GG169" s="97" t="str">
        <f t="shared" si="214"/>
        <v/>
      </c>
      <c r="GH169" s="97" t="str">
        <f t="shared" si="214"/>
        <v/>
      </c>
      <c r="GI169" s="97" t="str">
        <f t="shared" si="214"/>
        <v/>
      </c>
      <c r="GJ169" s="97" t="str">
        <f t="shared" si="214"/>
        <v/>
      </c>
      <c r="GK169" s="97" t="str">
        <f t="shared" si="214"/>
        <v/>
      </c>
      <c r="GL169" s="97" t="str">
        <f t="shared" si="214"/>
        <v/>
      </c>
      <c r="GM169" s="97" t="str">
        <f t="shared" si="214"/>
        <v/>
      </c>
      <c r="GN169" s="97" t="str">
        <f t="shared" si="214"/>
        <v/>
      </c>
      <c r="GO169" s="97" t="str">
        <f t="shared" si="214"/>
        <v/>
      </c>
      <c r="GP169" s="97" t="str">
        <f t="shared" si="214"/>
        <v/>
      </c>
      <c r="GQ169" s="97" t="str">
        <f t="shared" si="214"/>
        <v/>
      </c>
      <c r="GR169" s="97" t="str">
        <f t="shared" si="214"/>
        <v/>
      </c>
      <c r="GS169" s="97" t="str">
        <f t="shared" si="214"/>
        <v/>
      </c>
      <c r="GT169" s="97" t="str">
        <f t="shared" si="214"/>
        <v/>
      </c>
      <c r="GU169" s="97" t="str">
        <f t="shared" si="214"/>
        <v/>
      </c>
      <c r="GV169" s="97" t="str">
        <f t="shared" si="214"/>
        <v/>
      </c>
      <c r="GW169" s="97" t="str">
        <f t="shared" si="214"/>
        <v/>
      </c>
      <c r="GX169" s="97" t="str">
        <f t="shared" si="214"/>
        <v/>
      </c>
      <c r="GY169" s="98"/>
      <c r="GZ169" s="97">
        <f t="shared" si="3"/>
        <v>0</v>
      </c>
      <c r="HA169" s="97">
        <f t="shared" si="4"/>
        <v>0</v>
      </c>
      <c r="HB169" s="90">
        <f t="shared" si="5"/>
        <v>0</v>
      </c>
      <c r="HC169" s="99"/>
      <c r="HD169" s="97">
        <f t="shared" si="6"/>
        <v>0</v>
      </c>
      <c r="HE169" s="97">
        <f t="shared" si="7"/>
        <v>0</v>
      </c>
      <c r="HF169" s="90">
        <f t="shared" si="8"/>
        <v>0</v>
      </c>
      <c r="HG169" s="99"/>
      <c r="HH169" s="97">
        <f t="shared" si="9"/>
        <v>0</v>
      </c>
      <c r="HI169" s="97">
        <f t="shared" si="10"/>
        <v>0</v>
      </c>
      <c r="HJ169" s="90">
        <f t="shared" si="11"/>
        <v>0</v>
      </c>
      <c r="HK169" s="99"/>
      <c r="HL169" s="97">
        <f t="shared" si="12"/>
        <v>0</v>
      </c>
      <c r="HM169" s="97">
        <f t="shared" si="13"/>
        <v>0</v>
      </c>
      <c r="HN169" s="90">
        <f t="shared" si="14"/>
        <v>0</v>
      </c>
      <c r="HO169" s="99"/>
      <c r="HP169" s="97">
        <f t="shared" si="15"/>
        <v>0</v>
      </c>
      <c r="HQ169" s="97">
        <f t="shared" si="16"/>
        <v>0</v>
      </c>
      <c r="HR169" s="90">
        <f t="shared" si="17"/>
        <v>0</v>
      </c>
      <c r="HS169" s="99"/>
      <c r="HT169" s="97">
        <f t="shared" si="18"/>
        <v>0</v>
      </c>
      <c r="HU169" s="97">
        <f t="shared" si="19"/>
        <v>0</v>
      </c>
      <c r="HV169" s="90">
        <f t="shared" si="20"/>
        <v>0</v>
      </c>
      <c r="HW169" s="99"/>
      <c r="HX169" s="97">
        <f t="shared" si="21"/>
        <v>0</v>
      </c>
      <c r="HY169" s="97">
        <f t="shared" si="22"/>
        <v>0</v>
      </c>
      <c r="HZ169" s="90">
        <f t="shared" si="23"/>
        <v>0</v>
      </c>
      <c r="IA169" s="99"/>
      <c r="IB169" s="97">
        <f t="shared" si="24"/>
        <v>0</v>
      </c>
      <c r="IC169" s="97">
        <f t="shared" si="25"/>
        <v>0</v>
      </c>
      <c r="ID169" s="90">
        <f t="shared" si="26"/>
        <v>0</v>
      </c>
      <c r="IE169" s="99"/>
      <c r="IF169" s="97">
        <f t="shared" si="27"/>
        <v>0</v>
      </c>
      <c r="IG169" s="97">
        <f t="shared" si="28"/>
        <v>0</v>
      </c>
      <c r="IH169" s="90">
        <f t="shared" si="29"/>
        <v>0</v>
      </c>
      <c r="II169" s="99"/>
      <c r="IJ169" s="97">
        <f t="shared" si="30"/>
        <v>0</v>
      </c>
      <c r="IK169" s="97">
        <f t="shared" si="31"/>
        <v>0</v>
      </c>
      <c r="IL169" s="90">
        <f t="shared" si="32"/>
        <v>0</v>
      </c>
      <c r="IM169" s="99"/>
      <c r="IN169" s="97">
        <f t="shared" si="33"/>
        <v>0</v>
      </c>
      <c r="IO169" s="97">
        <f t="shared" si="34"/>
        <v>0</v>
      </c>
      <c r="IP169" s="90">
        <f t="shared" si="35"/>
        <v>0</v>
      </c>
      <c r="IS169" s="100">
        <f t="shared" si="36"/>
        <v>0</v>
      </c>
      <c r="IT169" s="100">
        <f t="shared" si="37"/>
        <v>0</v>
      </c>
      <c r="IU169" s="100">
        <f t="shared" si="38"/>
        <v>0</v>
      </c>
      <c r="IV169" s="100">
        <f t="shared" si="39"/>
        <v>0</v>
      </c>
      <c r="IW169" s="100">
        <f t="shared" si="40"/>
        <v>0</v>
      </c>
      <c r="IX169" s="100">
        <f t="shared" si="41"/>
        <v>0</v>
      </c>
      <c r="IY169" s="100">
        <f t="shared" si="42"/>
        <v>0</v>
      </c>
      <c r="IZ169" s="100">
        <f t="shared" si="43"/>
        <v>0</v>
      </c>
      <c r="JA169" s="100">
        <f t="shared" si="44"/>
        <v>0</v>
      </c>
      <c r="JB169" s="101">
        <f t="shared" si="45"/>
        <v>0</v>
      </c>
      <c r="JC169" s="102">
        <f t="shared" si="46"/>
        <v>0</v>
      </c>
      <c r="JD169" s="67">
        <f t="shared" si="50"/>
        <v>5</v>
      </c>
      <c r="JE169" s="67">
        <f t="shared" si="47"/>
        <v>0</v>
      </c>
      <c r="JF169" s="67">
        <f t="shared" si="48"/>
        <v>5</v>
      </c>
    </row>
    <row r="170">
      <c r="A170" s="7"/>
      <c r="B170" s="105"/>
      <c r="C170" s="7"/>
      <c r="D170" s="7"/>
      <c r="E170" s="7"/>
      <c r="F170" s="105"/>
      <c r="G170" s="105"/>
      <c r="H170" s="105"/>
      <c r="I170" s="105"/>
      <c r="J170" s="105"/>
      <c r="K170" s="105"/>
      <c r="L170" s="105"/>
      <c r="M170" s="105"/>
      <c r="N170" s="105"/>
      <c r="O170" s="105"/>
      <c r="P170" s="105"/>
      <c r="Q170" s="105"/>
      <c r="R170" s="105"/>
      <c r="S170" s="105"/>
      <c r="T170" s="105"/>
      <c r="U170" s="105"/>
      <c r="V170" s="105"/>
      <c r="W170" s="105"/>
      <c r="X170" s="105"/>
      <c r="Y170" s="105"/>
      <c r="Z170" s="105"/>
      <c r="AA170" s="105"/>
      <c r="AB170" s="105"/>
      <c r="AC170" s="105"/>
      <c r="AD170" s="105"/>
      <c r="AE170" s="105"/>
      <c r="AF170" s="105"/>
      <c r="AG170" s="105"/>
      <c r="AH170" s="105"/>
      <c r="AI170" s="105"/>
      <c r="AJ170" s="105"/>
      <c r="AK170" s="105"/>
      <c r="AL170" s="105"/>
      <c r="AM170" s="105"/>
      <c r="AN170" s="105"/>
      <c r="AO170" s="105"/>
      <c r="AP170" s="105"/>
      <c r="AQ170" s="105"/>
      <c r="AR170" s="105"/>
      <c r="AS170" s="105"/>
      <c r="AT170" s="105"/>
      <c r="AU170" s="105"/>
      <c r="AV170" s="105"/>
      <c r="AW170" s="105"/>
      <c r="AX170" s="105"/>
      <c r="AY170" s="105"/>
      <c r="AZ170" s="105"/>
      <c r="BA170" s="105"/>
      <c r="BB170" s="105"/>
      <c r="BC170" s="105"/>
      <c r="BD170" s="105"/>
      <c r="BE170" s="105"/>
      <c r="BF170" s="105"/>
      <c r="BG170" s="105"/>
      <c r="BH170" s="105"/>
      <c r="BI170" s="105"/>
      <c r="BJ170" s="105"/>
      <c r="BK170" s="105"/>
      <c r="BL170" s="105"/>
      <c r="BM170" s="105"/>
      <c r="BN170" s="105"/>
      <c r="BO170" s="105"/>
      <c r="BP170" s="105"/>
      <c r="BQ170" s="105"/>
      <c r="BR170" s="105"/>
      <c r="BS170" s="105"/>
      <c r="BT170" s="105"/>
      <c r="BU170" s="105"/>
      <c r="BV170" s="105"/>
      <c r="BW170" s="105"/>
      <c r="BX170" s="105"/>
      <c r="BY170" s="105"/>
      <c r="BZ170" s="105"/>
      <c r="CA170" s="105"/>
      <c r="CB170" s="105"/>
      <c r="CC170" s="105"/>
      <c r="CD170" s="105"/>
      <c r="CE170" s="105"/>
      <c r="CF170" s="105"/>
      <c r="CG170" s="105"/>
      <c r="CH170" s="105"/>
      <c r="CI170" s="105"/>
      <c r="CJ170" s="105"/>
      <c r="CK170" s="105"/>
      <c r="CL170" s="105"/>
      <c r="CM170" s="105"/>
      <c r="CN170" s="105"/>
      <c r="CO170" s="105"/>
      <c r="CP170" s="105"/>
      <c r="CQ170" s="105"/>
      <c r="CR170" s="105"/>
      <c r="CS170" s="105"/>
      <c r="CT170" s="105"/>
      <c r="CU170" s="105"/>
      <c r="CV170" s="105"/>
      <c r="CW170" s="105"/>
      <c r="CX170" s="105"/>
      <c r="CY170" s="105"/>
      <c r="CZ170" s="105"/>
      <c r="DA170" s="105"/>
      <c r="DB170" s="89" t="s">
        <v>23</v>
      </c>
      <c r="DC170" s="97" t="str">
        <f t="shared" ref="DC170:GX170" si="215">LEFT(F170,1)</f>
        <v/>
      </c>
      <c r="DD170" s="97" t="str">
        <f t="shared" si="215"/>
        <v/>
      </c>
      <c r="DE170" s="97" t="str">
        <f t="shared" si="215"/>
        <v/>
      </c>
      <c r="DF170" s="97" t="str">
        <f t="shared" si="215"/>
        <v/>
      </c>
      <c r="DG170" s="97" t="str">
        <f t="shared" si="215"/>
        <v/>
      </c>
      <c r="DH170" s="97" t="str">
        <f t="shared" si="215"/>
        <v/>
      </c>
      <c r="DI170" s="97" t="str">
        <f t="shared" si="215"/>
        <v/>
      </c>
      <c r="DJ170" s="97" t="str">
        <f t="shared" si="215"/>
        <v/>
      </c>
      <c r="DK170" s="97" t="str">
        <f t="shared" si="215"/>
        <v/>
      </c>
      <c r="DL170" s="97" t="str">
        <f t="shared" si="215"/>
        <v/>
      </c>
      <c r="DM170" s="97" t="str">
        <f t="shared" si="215"/>
        <v/>
      </c>
      <c r="DN170" s="97" t="str">
        <f t="shared" si="215"/>
        <v/>
      </c>
      <c r="DO170" s="97" t="str">
        <f t="shared" si="215"/>
        <v/>
      </c>
      <c r="DP170" s="97" t="str">
        <f t="shared" si="215"/>
        <v/>
      </c>
      <c r="DQ170" s="97" t="str">
        <f t="shared" si="215"/>
        <v/>
      </c>
      <c r="DR170" s="97" t="str">
        <f t="shared" si="215"/>
        <v/>
      </c>
      <c r="DS170" s="97" t="str">
        <f t="shared" si="215"/>
        <v/>
      </c>
      <c r="DT170" s="97" t="str">
        <f t="shared" si="215"/>
        <v/>
      </c>
      <c r="DU170" s="97" t="str">
        <f t="shared" si="215"/>
        <v/>
      </c>
      <c r="DV170" s="97" t="str">
        <f t="shared" si="215"/>
        <v/>
      </c>
      <c r="DW170" s="97" t="str">
        <f t="shared" si="215"/>
        <v/>
      </c>
      <c r="DX170" s="97" t="str">
        <f t="shared" si="215"/>
        <v/>
      </c>
      <c r="DY170" s="97" t="str">
        <f t="shared" si="215"/>
        <v/>
      </c>
      <c r="DZ170" s="97" t="str">
        <f t="shared" si="215"/>
        <v/>
      </c>
      <c r="EA170" s="97" t="str">
        <f t="shared" si="215"/>
        <v/>
      </c>
      <c r="EB170" s="97" t="str">
        <f t="shared" si="215"/>
        <v/>
      </c>
      <c r="EC170" s="97" t="str">
        <f t="shared" si="215"/>
        <v/>
      </c>
      <c r="ED170" s="97" t="str">
        <f t="shared" si="215"/>
        <v/>
      </c>
      <c r="EE170" s="97" t="str">
        <f t="shared" si="215"/>
        <v/>
      </c>
      <c r="EF170" s="97" t="str">
        <f t="shared" si="215"/>
        <v/>
      </c>
      <c r="EG170" s="97" t="str">
        <f t="shared" si="215"/>
        <v/>
      </c>
      <c r="EH170" s="97" t="str">
        <f t="shared" si="215"/>
        <v/>
      </c>
      <c r="EI170" s="97" t="str">
        <f t="shared" si="215"/>
        <v/>
      </c>
      <c r="EJ170" s="97" t="str">
        <f t="shared" si="215"/>
        <v/>
      </c>
      <c r="EK170" s="97" t="str">
        <f t="shared" si="215"/>
        <v/>
      </c>
      <c r="EL170" s="97" t="str">
        <f t="shared" si="215"/>
        <v/>
      </c>
      <c r="EM170" s="97" t="str">
        <f t="shared" si="215"/>
        <v/>
      </c>
      <c r="EN170" s="97" t="str">
        <f t="shared" si="215"/>
        <v/>
      </c>
      <c r="EO170" s="97" t="str">
        <f t="shared" si="215"/>
        <v/>
      </c>
      <c r="EP170" s="97" t="str">
        <f t="shared" si="215"/>
        <v/>
      </c>
      <c r="EQ170" s="97" t="str">
        <f t="shared" si="215"/>
        <v/>
      </c>
      <c r="ER170" s="97" t="str">
        <f t="shared" si="215"/>
        <v/>
      </c>
      <c r="ES170" s="97" t="str">
        <f t="shared" si="215"/>
        <v/>
      </c>
      <c r="ET170" s="97" t="str">
        <f t="shared" si="215"/>
        <v/>
      </c>
      <c r="EU170" s="97" t="str">
        <f t="shared" si="215"/>
        <v/>
      </c>
      <c r="EV170" s="97" t="str">
        <f t="shared" si="215"/>
        <v/>
      </c>
      <c r="EW170" s="97" t="str">
        <f t="shared" si="215"/>
        <v/>
      </c>
      <c r="EX170" s="97" t="str">
        <f t="shared" si="215"/>
        <v/>
      </c>
      <c r="EY170" s="97" t="str">
        <f t="shared" si="215"/>
        <v/>
      </c>
      <c r="EZ170" s="97" t="str">
        <f t="shared" si="215"/>
        <v/>
      </c>
      <c r="FA170" s="97" t="str">
        <f t="shared" si="215"/>
        <v/>
      </c>
      <c r="FB170" s="97" t="str">
        <f t="shared" si="215"/>
        <v/>
      </c>
      <c r="FC170" s="97" t="str">
        <f t="shared" si="215"/>
        <v/>
      </c>
      <c r="FD170" s="97" t="str">
        <f t="shared" si="215"/>
        <v/>
      </c>
      <c r="FE170" s="97" t="str">
        <f t="shared" si="215"/>
        <v/>
      </c>
      <c r="FF170" s="97" t="str">
        <f t="shared" si="215"/>
        <v/>
      </c>
      <c r="FG170" s="97" t="str">
        <f t="shared" si="215"/>
        <v/>
      </c>
      <c r="FH170" s="97" t="str">
        <f t="shared" si="215"/>
        <v/>
      </c>
      <c r="FI170" s="97" t="str">
        <f t="shared" si="215"/>
        <v/>
      </c>
      <c r="FJ170" s="97" t="str">
        <f t="shared" si="215"/>
        <v/>
      </c>
      <c r="FK170" s="97" t="str">
        <f t="shared" si="215"/>
        <v/>
      </c>
      <c r="FL170" s="97" t="str">
        <f t="shared" si="215"/>
        <v/>
      </c>
      <c r="FM170" s="97" t="str">
        <f t="shared" si="215"/>
        <v/>
      </c>
      <c r="FN170" s="97" t="str">
        <f t="shared" si="215"/>
        <v/>
      </c>
      <c r="FO170" s="97" t="str">
        <f t="shared" si="215"/>
        <v/>
      </c>
      <c r="FP170" s="97" t="str">
        <f t="shared" si="215"/>
        <v/>
      </c>
      <c r="FQ170" s="97" t="str">
        <f t="shared" si="215"/>
        <v/>
      </c>
      <c r="FR170" s="97" t="str">
        <f t="shared" si="215"/>
        <v/>
      </c>
      <c r="FS170" s="97" t="str">
        <f t="shared" si="215"/>
        <v/>
      </c>
      <c r="FT170" s="97" t="str">
        <f t="shared" si="215"/>
        <v/>
      </c>
      <c r="FU170" s="97" t="str">
        <f t="shared" si="215"/>
        <v/>
      </c>
      <c r="FV170" s="97" t="str">
        <f t="shared" si="215"/>
        <v/>
      </c>
      <c r="FW170" s="97" t="str">
        <f t="shared" si="215"/>
        <v/>
      </c>
      <c r="FX170" s="97" t="str">
        <f t="shared" si="215"/>
        <v/>
      </c>
      <c r="FY170" s="97" t="str">
        <f t="shared" si="215"/>
        <v/>
      </c>
      <c r="FZ170" s="97" t="str">
        <f t="shared" si="215"/>
        <v/>
      </c>
      <c r="GA170" s="97" t="str">
        <f t="shared" si="215"/>
        <v/>
      </c>
      <c r="GB170" s="97" t="str">
        <f t="shared" si="215"/>
        <v/>
      </c>
      <c r="GC170" s="97" t="str">
        <f t="shared" si="215"/>
        <v/>
      </c>
      <c r="GD170" s="97" t="str">
        <f t="shared" si="215"/>
        <v/>
      </c>
      <c r="GE170" s="97" t="str">
        <f t="shared" si="215"/>
        <v/>
      </c>
      <c r="GF170" s="97" t="str">
        <f t="shared" si="215"/>
        <v/>
      </c>
      <c r="GG170" s="97" t="str">
        <f t="shared" si="215"/>
        <v/>
      </c>
      <c r="GH170" s="97" t="str">
        <f t="shared" si="215"/>
        <v/>
      </c>
      <c r="GI170" s="97" t="str">
        <f t="shared" si="215"/>
        <v/>
      </c>
      <c r="GJ170" s="97" t="str">
        <f t="shared" si="215"/>
        <v/>
      </c>
      <c r="GK170" s="97" t="str">
        <f t="shared" si="215"/>
        <v/>
      </c>
      <c r="GL170" s="97" t="str">
        <f t="shared" si="215"/>
        <v/>
      </c>
      <c r="GM170" s="97" t="str">
        <f t="shared" si="215"/>
        <v/>
      </c>
      <c r="GN170" s="97" t="str">
        <f t="shared" si="215"/>
        <v/>
      </c>
      <c r="GO170" s="97" t="str">
        <f t="shared" si="215"/>
        <v/>
      </c>
      <c r="GP170" s="97" t="str">
        <f t="shared" si="215"/>
        <v/>
      </c>
      <c r="GQ170" s="97" t="str">
        <f t="shared" si="215"/>
        <v/>
      </c>
      <c r="GR170" s="97" t="str">
        <f t="shared" si="215"/>
        <v/>
      </c>
      <c r="GS170" s="97" t="str">
        <f t="shared" si="215"/>
        <v/>
      </c>
      <c r="GT170" s="97" t="str">
        <f t="shared" si="215"/>
        <v/>
      </c>
      <c r="GU170" s="97" t="str">
        <f t="shared" si="215"/>
        <v/>
      </c>
      <c r="GV170" s="97" t="str">
        <f t="shared" si="215"/>
        <v/>
      </c>
      <c r="GW170" s="97" t="str">
        <f t="shared" si="215"/>
        <v/>
      </c>
      <c r="GX170" s="97" t="str">
        <f t="shared" si="215"/>
        <v/>
      </c>
      <c r="GY170" s="98"/>
      <c r="GZ170" s="97">
        <f t="shared" si="3"/>
        <v>0</v>
      </c>
      <c r="HA170" s="97">
        <f t="shared" si="4"/>
        <v>0</v>
      </c>
      <c r="HB170" s="90">
        <f t="shared" si="5"/>
        <v>0</v>
      </c>
      <c r="HC170" s="99"/>
      <c r="HD170" s="97">
        <f t="shared" si="6"/>
        <v>0</v>
      </c>
      <c r="HE170" s="97">
        <f t="shared" si="7"/>
        <v>0</v>
      </c>
      <c r="HF170" s="90">
        <f t="shared" si="8"/>
        <v>0</v>
      </c>
      <c r="HG170" s="99"/>
      <c r="HH170" s="97">
        <f t="shared" si="9"/>
        <v>0</v>
      </c>
      <c r="HI170" s="97">
        <f t="shared" si="10"/>
        <v>0</v>
      </c>
      <c r="HJ170" s="90">
        <f t="shared" si="11"/>
        <v>0</v>
      </c>
      <c r="HK170" s="99"/>
      <c r="HL170" s="97">
        <f t="shared" si="12"/>
        <v>0</v>
      </c>
      <c r="HM170" s="97">
        <f t="shared" si="13"/>
        <v>0</v>
      </c>
      <c r="HN170" s="90">
        <f t="shared" si="14"/>
        <v>0</v>
      </c>
      <c r="HO170" s="99"/>
      <c r="HP170" s="97">
        <f t="shared" si="15"/>
        <v>0</v>
      </c>
      <c r="HQ170" s="97">
        <f t="shared" si="16"/>
        <v>0</v>
      </c>
      <c r="HR170" s="90">
        <f t="shared" si="17"/>
        <v>0</v>
      </c>
      <c r="HS170" s="99"/>
      <c r="HT170" s="97">
        <f t="shared" si="18"/>
        <v>0</v>
      </c>
      <c r="HU170" s="97">
        <f t="shared" si="19"/>
        <v>0</v>
      </c>
      <c r="HV170" s="90">
        <f t="shared" si="20"/>
        <v>0</v>
      </c>
      <c r="HW170" s="99"/>
      <c r="HX170" s="97">
        <f t="shared" si="21"/>
        <v>0</v>
      </c>
      <c r="HY170" s="97">
        <f t="shared" si="22"/>
        <v>0</v>
      </c>
      <c r="HZ170" s="90">
        <f t="shared" si="23"/>
        <v>0</v>
      </c>
      <c r="IA170" s="99"/>
      <c r="IB170" s="97">
        <f t="shared" si="24"/>
        <v>0</v>
      </c>
      <c r="IC170" s="97">
        <f t="shared" si="25"/>
        <v>0</v>
      </c>
      <c r="ID170" s="90">
        <f t="shared" si="26"/>
        <v>0</v>
      </c>
      <c r="IE170" s="99"/>
      <c r="IF170" s="97">
        <f t="shared" si="27"/>
        <v>0</v>
      </c>
      <c r="IG170" s="97">
        <f t="shared" si="28"/>
        <v>0</v>
      </c>
      <c r="IH170" s="90">
        <f t="shared" si="29"/>
        <v>0</v>
      </c>
      <c r="II170" s="99"/>
      <c r="IJ170" s="97">
        <f t="shared" si="30"/>
        <v>0</v>
      </c>
      <c r="IK170" s="97">
        <f t="shared" si="31"/>
        <v>0</v>
      </c>
      <c r="IL170" s="90">
        <f t="shared" si="32"/>
        <v>0</v>
      </c>
      <c r="IM170" s="99"/>
      <c r="IN170" s="97">
        <f t="shared" si="33"/>
        <v>0</v>
      </c>
      <c r="IO170" s="97">
        <f t="shared" si="34"/>
        <v>0</v>
      </c>
      <c r="IP170" s="90">
        <f t="shared" si="35"/>
        <v>0</v>
      </c>
      <c r="IS170" s="100">
        <f t="shared" si="36"/>
        <v>0</v>
      </c>
      <c r="IT170" s="100">
        <f t="shared" si="37"/>
        <v>0</v>
      </c>
      <c r="IU170" s="100">
        <f t="shared" si="38"/>
        <v>0</v>
      </c>
      <c r="IV170" s="100">
        <f t="shared" si="39"/>
        <v>0</v>
      </c>
      <c r="IW170" s="100">
        <f t="shared" si="40"/>
        <v>0</v>
      </c>
      <c r="IX170" s="100">
        <f t="shared" si="41"/>
        <v>0</v>
      </c>
      <c r="IY170" s="100">
        <f t="shared" si="42"/>
        <v>0</v>
      </c>
      <c r="IZ170" s="100">
        <f t="shared" si="43"/>
        <v>0</v>
      </c>
      <c r="JA170" s="100">
        <f t="shared" si="44"/>
        <v>0</v>
      </c>
      <c r="JB170" s="101">
        <f t="shared" si="45"/>
        <v>0</v>
      </c>
      <c r="JC170" s="102">
        <f t="shared" si="46"/>
        <v>0</v>
      </c>
      <c r="JD170" s="67">
        <f t="shared" si="50"/>
        <v>5</v>
      </c>
      <c r="JE170" s="67">
        <f t="shared" si="47"/>
        <v>0</v>
      </c>
      <c r="JF170" s="67">
        <f t="shared" si="48"/>
        <v>5</v>
      </c>
    </row>
    <row r="171">
      <c r="A171" s="7"/>
      <c r="B171" s="105"/>
      <c r="C171" s="7"/>
      <c r="D171" s="7"/>
      <c r="E171" s="7"/>
      <c r="F171" s="105"/>
      <c r="G171" s="105"/>
      <c r="H171" s="105"/>
      <c r="I171" s="105"/>
      <c r="J171" s="105"/>
      <c r="K171" s="105"/>
      <c r="L171" s="105"/>
      <c r="M171" s="105"/>
      <c r="N171" s="105"/>
      <c r="O171" s="105"/>
      <c r="P171" s="105"/>
      <c r="Q171" s="105"/>
      <c r="R171" s="105"/>
      <c r="S171" s="105"/>
      <c r="T171" s="105"/>
      <c r="U171" s="105"/>
      <c r="V171" s="105"/>
      <c r="W171" s="105"/>
      <c r="X171" s="105"/>
      <c r="Y171" s="105"/>
      <c r="Z171" s="105"/>
      <c r="AA171" s="105"/>
      <c r="AB171" s="105"/>
      <c r="AC171" s="105"/>
      <c r="AD171" s="105"/>
      <c r="AE171" s="105"/>
      <c r="AF171" s="105"/>
      <c r="AG171" s="105"/>
      <c r="AH171" s="105"/>
      <c r="AI171" s="105"/>
      <c r="AJ171" s="105"/>
      <c r="AK171" s="105"/>
      <c r="AL171" s="105"/>
      <c r="AM171" s="105"/>
      <c r="AN171" s="105"/>
      <c r="AO171" s="105"/>
      <c r="AP171" s="105"/>
      <c r="AQ171" s="105"/>
      <c r="AR171" s="105"/>
      <c r="AS171" s="105"/>
      <c r="AT171" s="105"/>
      <c r="AU171" s="105"/>
      <c r="AV171" s="105"/>
      <c r="AW171" s="105"/>
      <c r="AX171" s="105"/>
      <c r="AY171" s="105"/>
      <c r="AZ171" s="105"/>
      <c r="BA171" s="105"/>
      <c r="BB171" s="105"/>
      <c r="BC171" s="105"/>
      <c r="BD171" s="105"/>
      <c r="BE171" s="105"/>
      <c r="BF171" s="105"/>
      <c r="BG171" s="105"/>
      <c r="BH171" s="105"/>
      <c r="BI171" s="105"/>
      <c r="BJ171" s="105"/>
      <c r="BK171" s="105"/>
      <c r="BL171" s="105"/>
      <c r="BM171" s="105"/>
      <c r="BN171" s="105"/>
      <c r="BO171" s="105"/>
      <c r="BP171" s="105"/>
      <c r="BQ171" s="105"/>
      <c r="BR171" s="105"/>
      <c r="BS171" s="105"/>
      <c r="BT171" s="105"/>
      <c r="BU171" s="105"/>
      <c r="BV171" s="105"/>
      <c r="BW171" s="105"/>
      <c r="BX171" s="105"/>
      <c r="BY171" s="105"/>
      <c r="BZ171" s="105"/>
      <c r="CA171" s="105"/>
      <c r="CB171" s="105"/>
      <c r="CC171" s="105"/>
      <c r="CD171" s="105"/>
      <c r="CE171" s="105"/>
      <c r="CF171" s="105"/>
      <c r="CG171" s="105"/>
      <c r="CH171" s="105"/>
      <c r="CI171" s="105"/>
      <c r="CJ171" s="105"/>
      <c r="CK171" s="105"/>
      <c r="CL171" s="105"/>
      <c r="CM171" s="105"/>
      <c r="CN171" s="105"/>
      <c r="CO171" s="105"/>
      <c r="CP171" s="105"/>
      <c r="CQ171" s="105"/>
      <c r="CR171" s="105"/>
      <c r="CS171" s="105"/>
      <c r="CT171" s="105"/>
      <c r="CU171" s="105"/>
      <c r="CV171" s="105"/>
      <c r="CW171" s="105"/>
      <c r="CX171" s="105"/>
      <c r="CY171" s="105"/>
      <c r="CZ171" s="105"/>
      <c r="DA171" s="105"/>
    </row>
    <row r="172">
      <c r="A172" s="7"/>
      <c r="B172" s="105"/>
      <c r="C172" s="7"/>
      <c r="D172" s="7"/>
      <c r="E172" s="7"/>
      <c r="F172" s="105"/>
      <c r="G172" s="105"/>
      <c r="H172" s="105"/>
      <c r="I172" s="105"/>
      <c r="J172" s="105"/>
      <c r="K172" s="105"/>
      <c r="L172" s="105"/>
      <c r="M172" s="105"/>
      <c r="N172" s="105"/>
      <c r="O172" s="105"/>
      <c r="P172" s="105"/>
      <c r="Q172" s="105"/>
      <c r="R172" s="105"/>
      <c r="S172" s="105"/>
      <c r="T172" s="105"/>
      <c r="U172" s="105"/>
      <c r="V172" s="105"/>
      <c r="W172" s="105"/>
      <c r="X172" s="105"/>
      <c r="Y172" s="105"/>
      <c r="Z172" s="105"/>
      <c r="AA172" s="105"/>
      <c r="AB172" s="105"/>
      <c r="AC172" s="105"/>
      <c r="AD172" s="105"/>
      <c r="AE172" s="105"/>
      <c r="AF172" s="105"/>
      <c r="AG172" s="105"/>
      <c r="AH172" s="105"/>
      <c r="AI172" s="105"/>
      <c r="AJ172" s="105"/>
      <c r="AK172" s="105"/>
      <c r="AL172" s="105"/>
      <c r="AM172" s="105"/>
      <c r="AN172" s="105"/>
      <c r="AO172" s="105"/>
      <c r="AP172" s="105"/>
      <c r="AQ172" s="105"/>
      <c r="AR172" s="105"/>
      <c r="AS172" s="105"/>
      <c r="AT172" s="105"/>
      <c r="AU172" s="105"/>
      <c r="AV172" s="105"/>
      <c r="AW172" s="105"/>
      <c r="AX172" s="105"/>
      <c r="AY172" s="105"/>
      <c r="AZ172" s="105"/>
      <c r="BA172" s="105"/>
      <c r="BB172" s="105"/>
      <c r="BC172" s="105"/>
      <c r="BD172" s="105"/>
      <c r="BE172" s="105"/>
      <c r="BF172" s="105"/>
      <c r="BG172" s="105"/>
      <c r="BH172" s="105"/>
      <c r="BI172" s="105"/>
      <c r="BJ172" s="105"/>
      <c r="BK172" s="105"/>
      <c r="BL172" s="105"/>
      <c r="BM172" s="105"/>
      <c r="BN172" s="105"/>
      <c r="BO172" s="105"/>
      <c r="BP172" s="105"/>
      <c r="BQ172" s="105"/>
      <c r="BR172" s="105"/>
      <c r="BS172" s="105"/>
      <c r="BT172" s="105"/>
      <c r="BU172" s="105"/>
      <c r="BV172" s="105"/>
      <c r="BW172" s="105"/>
      <c r="BX172" s="105"/>
      <c r="BY172" s="105"/>
      <c r="BZ172" s="105"/>
      <c r="CA172" s="105"/>
      <c r="CB172" s="105"/>
      <c r="CC172" s="105"/>
      <c r="CD172" s="105"/>
      <c r="CE172" s="105"/>
      <c r="CF172" s="105"/>
      <c r="CG172" s="105"/>
      <c r="CH172" s="105"/>
      <c r="CI172" s="105"/>
      <c r="CJ172" s="105"/>
      <c r="CK172" s="105"/>
      <c r="CL172" s="105"/>
      <c r="CM172" s="105"/>
      <c r="CN172" s="105"/>
      <c r="CO172" s="105"/>
      <c r="CP172" s="105"/>
      <c r="CQ172" s="105"/>
      <c r="CR172" s="105"/>
      <c r="CS172" s="105"/>
      <c r="CT172" s="105"/>
      <c r="CU172" s="105"/>
      <c r="CV172" s="105"/>
      <c r="CW172" s="105"/>
      <c r="CX172" s="105"/>
      <c r="CY172" s="105"/>
      <c r="CZ172" s="105"/>
      <c r="DA172" s="105"/>
    </row>
    <row r="173">
      <c r="A173" s="7"/>
      <c r="B173" s="105"/>
      <c r="C173" s="7"/>
      <c r="D173" s="7"/>
      <c r="E173" s="7"/>
      <c r="F173" s="105"/>
      <c r="G173" s="105"/>
      <c r="H173" s="105"/>
      <c r="I173" s="105"/>
      <c r="J173" s="105"/>
      <c r="K173" s="105"/>
      <c r="L173" s="105"/>
      <c r="M173" s="105"/>
      <c r="N173" s="105"/>
      <c r="O173" s="105"/>
      <c r="P173" s="105"/>
      <c r="Q173" s="105"/>
      <c r="R173" s="105"/>
      <c r="S173" s="105"/>
      <c r="T173" s="105"/>
      <c r="U173" s="105"/>
      <c r="V173" s="105"/>
      <c r="W173" s="105"/>
      <c r="X173" s="105"/>
      <c r="Y173" s="105"/>
      <c r="Z173" s="105"/>
      <c r="AA173" s="105"/>
      <c r="AB173" s="105"/>
      <c r="AC173" s="105"/>
      <c r="AD173" s="105"/>
      <c r="AE173" s="105"/>
      <c r="AF173" s="105"/>
      <c r="AG173" s="105"/>
      <c r="AH173" s="105"/>
      <c r="AI173" s="105"/>
      <c r="AJ173" s="105"/>
      <c r="AK173" s="105"/>
      <c r="AL173" s="105"/>
      <c r="AM173" s="105"/>
      <c r="AN173" s="105"/>
      <c r="AO173" s="105"/>
      <c r="AP173" s="105"/>
      <c r="AQ173" s="105"/>
      <c r="AR173" s="105"/>
      <c r="AS173" s="105"/>
      <c r="AT173" s="105"/>
      <c r="AU173" s="105"/>
      <c r="AV173" s="105"/>
      <c r="AW173" s="105"/>
      <c r="AX173" s="105"/>
      <c r="AY173" s="105"/>
      <c r="AZ173" s="105"/>
      <c r="BA173" s="105"/>
      <c r="BB173" s="105"/>
      <c r="BC173" s="105"/>
      <c r="BD173" s="105"/>
      <c r="BE173" s="105"/>
      <c r="BF173" s="105"/>
      <c r="BG173" s="105"/>
      <c r="BH173" s="105"/>
      <c r="BI173" s="105"/>
      <c r="BJ173" s="105"/>
      <c r="BK173" s="105"/>
      <c r="BL173" s="105"/>
      <c r="BM173" s="105"/>
      <c r="BN173" s="105"/>
      <c r="BO173" s="105"/>
      <c r="BP173" s="105"/>
      <c r="BQ173" s="105"/>
      <c r="BR173" s="105"/>
      <c r="BS173" s="105"/>
      <c r="BT173" s="105"/>
      <c r="BU173" s="105"/>
      <c r="BV173" s="105"/>
      <c r="BW173" s="105"/>
      <c r="BX173" s="105"/>
      <c r="BY173" s="105"/>
      <c r="BZ173" s="105"/>
      <c r="CA173" s="105"/>
      <c r="CB173" s="105"/>
      <c r="CC173" s="105"/>
      <c r="CD173" s="105"/>
      <c r="CE173" s="105"/>
      <c r="CF173" s="105"/>
      <c r="CG173" s="105"/>
      <c r="CH173" s="105"/>
      <c r="CI173" s="105"/>
      <c r="CJ173" s="105"/>
      <c r="CK173" s="105"/>
      <c r="CL173" s="105"/>
      <c r="CM173" s="105"/>
      <c r="CN173" s="105"/>
      <c r="CO173" s="105"/>
      <c r="CP173" s="105"/>
      <c r="CQ173" s="105"/>
      <c r="CR173" s="105"/>
      <c r="CS173" s="105"/>
      <c r="CT173" s="105"/>
      <c r="CU173" s="105"/>
      <c r="CV173" s="105"/>
      <c r="CW173" s="105"/>
      <c r="CX173" s="105"/>
      <c r="CY173" s="105"/>
      <c r="CZ173" s="105"/>
      <c r="DA173" s="105"/>
    </row>
    <row r="174">
      <c r="A174" s="7"/>
      <c r="B174" s="105"/>
      <c r="C174" s="7"/>
      <c r="D174" s="7"/>
      <c r="E174" s="7"/>
      <c r="F174" s="105"/>
      <c r="G174" s="105"/>
      <c r="H174" s="105"/>
      <c r="I174" s="105"/>
      <c r="J174" s="105"/>
      <c r="K174" s="105"/>
      <c r="L174" s="105"/>
      <c r="M174" s="105"/>
      <c r="N174" s="105"/>
      <c r="O174" s="105"/>
      <c r="P174" s="105"/>
      <c r="Q174" s="105"/>
      <c r="R174" s="105"/>
      <c r="S174" s="105"/>
      <c r="T174" s="105"/>
      <c r="U174" s="105"/>
      <c r="V174" s="105"/>
      <c r="W174" s="105"/>
      <c r="X174" s="105"/>
      <c r="Y174" s="105"/>
      <c r="Z174" s="105"/>
      <c r="AA174" s="105"/>
      <c r="AB174" s="105"/>
      <c r="AC174" s="105"/>
      <c r="AD174" s="105"/>
      <c r="AE174" s="105"/>
      <c r="AF174" s="105"/>
      <c r="AG174" s="105"/>
      <c r="AH174" s="105"/>
      <c r="AI174" s="105"/>
      <c r="AJ174" s="105"/>
      <c r="AK174" s="105"/>
      <c r="AL174" s="105"/>
      <c r="AM174" s="105"/>
      <c r="AN174" s="105"/>
      <c r="AO174" s="105"/>
      <c r="AP174" s="105"/>
      <c r="AQ174" s="105"/>
      <c r="AR174" s="105"/>
      <c r="AS174" s="105"/>
      <c r="AT174" s="105"/>
      <c r="AU174" s="105"/>
      <c r="AV174" s="105"/>
      <c r="AW174" s="105"/>
      <c r="AX174" s="105"/>
      <c r="AY174" s="105"/>
      <c r="AZ174" s="105"/>
      <c r="BA174" s="105"/>
      <c r="BB174" s="105"/>
      <c r="BC174" s="105"/>
      <c r="BD174" s="105"/>
      <c r="BE174" s="105"/>
      <c r="BF174" s="105"/>
      <c r="BG174" s="105"/>
      <c r="BH174" s="105"/>
      <c r="BI174" s="105"/>
      <c r="BJ174" s="105"/>
      <c r="BK174" s="105"/>
      <c r="BL174" s="105"/>
      <c r="BM174" s="105"/>
      <c r="BN174" s="105"/>
      <c r="BO174" s="105"/>
      <c r="BP174" s="105"/>
      <c r="BQ174" s="105"/>
      <c r="BR174" s="105"/>
      <c r="BS174" s="105"/>
      <c r="BT174" s="105"/>
      <c r="BU174" s="105"/>
      <c r="BV174" s="105"/>
      <c r="BW174" s="105"/>
      <c r="BX174" s="105"/>
      <c r="BY174" s="105"/>
      <c r="BZ174" s="105"/>
      <c r="CA174" s="105"/>
      <c r="CB174" s="105"/>
      <c r="CC174" s="105"/>
      <c r="CD174" s="105"/>
      <c r="CE174" s="105"/>
      <c r="CF174" s="105"/>
      <c r="CG174" s="105"/>
      <c r="CH174" s="105"/>
      <c r="CI174" s="105"/>
      <c r="CJ174" s="105"/>
      <c r="CK174" s="105"/>
      <c r="CL174" s="105"/>
      <c r="CM174" s="105"/>
      <c r="CN174" s="105"/>
      <c r="CO174" s="105"/>
      <c r="CP174" s="105"/>
      <c r="CQ174" s="105"/>
      <c r="CR174" s="105"/>
      <c r="CS174" s="105"/>
      <c r="CT174" s="105"/>
      <c r="CU174" s="105"/>
      <c r="CV174" s="105"/>
      <c r="CW174" s="105"/>
      <c r="CX174" s="105"/>
      <c r="CY174" s="105"/>
      <c r="CZ174" s="105"/>
      <c r="DA174" s="105"/>
    </row>
    <row r="175">
      <c r="A175" s="7"/>
      <c r="B175" s="105"/>
      <c r="C175" s="7"/>
      <c r="D175" s="7"/>
      <c r="E175" s="7"/>
      <c r="F175" s="105"/>
      <c r="G175" s="105"/>
      <c r="H175" s="105"/>
      <c r="I175" s="105"/>
      <c r="J175" s="105"/>
      <c r="K175" s="105"/>
      <c r="L175" s="105"/>
      <c r="M175" s="105"/>
      <c r="N175" s="105"/>
      <c r="O175" s="105"/>
      <c r="P175" s="105"/>
      <c r="Q175" s="105"/>
      <c r="R175" s="105"/>
      <c r="S175" s="105"/>
      <c r="T175" s="105"/>
      <c r="U175" s="105"/>
      <c r="V175" s="105"/>
      <c r="W175" s="105"/>
      <c r="X175" s="105"/>
      <c r="Y175" s="105"/>
      <c r="Z175" s="105"/>
      <c r="AA175" s="105"/>
      <c r="AB175" s="105"/>
      <c r="AC175" s="105"/>
      <c r="AD175" s="105"/>
      <c r="AE175" s="105"/>
      <c r="AF175" s="105"/>
      <c r="AG175" s="105"/>
      <c r="AH175" s="105"/>
      <c r="AI175" s="105"/>
      <c r="AJ175" s="105"/>
      <c r="AK175" s="105"/>
      <c r="AL175" s="105"/>
      <c r="AM175" s="105"/>
      <c r="AN175" s="105"/>
      <c r="AO175" s="105"/>
      <c r="AP175" s="105"/>
      <c r="AQ175" s="105"/>
      <c r="AR175" s="105"/>
      <c r="AS175" s="105"/>
      <c r="AT175" s="105"/>
      <c r="AU175" s="105"/>
      <c r="AV175" s="105"/>
      <c r="AW175" s="105"/>
      <c r="AX175" s="105"/>
      <c r="AY175" s="105"/>
      <c r="AZ175" s="105"/>
      <c r="BA175" s="105"/>
      <c r="BB175" s="105"/>
      <c r="BC175" s="105"/>
      <c r="BD175" s="105"/>
      <c r="BE175" s="105"/>
      <c r="BF175" s="105"/>
      <c r="BG175" s="105"/>
      <c r="BH175" s="105"/>
      <c r="BI175" s="105"/>
      <c r="BJ175" s="105"/>
      <c r="BK175" s="105"/>
      <c r="BL175" s="105"/>
      <c r="BM175" s="105"/>
      <c r="BN175" s="105"/>
      <c r="BO175" s="105"/>
      <c r="BP175" s="105"/>
      <c r="BQ175" s="105"/>
      <c r="BR175" s="105"/>
      <c r="BS175" s="105"/>
      <c r="BT175" s="105"/>
      <c r="BU175" s="105"/>
      <c r="BV175" s="105"/>
      <c r="BW175" s="105"/>
      <c r="BX175" s="105"/>
      <c r="BY175" s="105"/>
      <c r="BZ175" s="105"/>
      <c r="CA175" s="105"/>
      <c r="CB175" s="105"/>
      <c r="CC175" s="105"/>
      <c r="CD175" s="105"/>
      <c r="CE175" s="105"/>
      <c r="CF175" s="105"/>
      <c r="CG175" s="105"/>
      <c r="CH175" s="105"/>
      <c r="CI175" s="105"/>
      <c r="CJ175" s="105"/>
      <c r="CK175" s="105"/>
      <c r="CL175" s="105"/>
      <c r="CM175" s="105"/>
      <c r="CN175" s="105"/>
      <c r="CO175" s="105"/>
      <c r="CP175" s="105"/>
      <c r="CQ175" s="105"/>
      <c r="CR175" s="105"/>
      <c r="CS175" s="105"/>
      <c r="CT175" s="105"/>
      <c r="CU175" s="105"/>
      <c r="CV175" s="105"/>
      <c r="CW175" s="105"/>
      <c r="CX175" s="105"/>
      <c r="CY175" s="105"/>
      <c r="CZ175" s="105"/>
      <c r="DA175" s="105"/>
    </row>
    <row r="176">
      <c r="A176" s="7"/>
      <c r="B176" s="105"/>
      <c r="C176" s="7"/>
      <c r="D176" s="7"/>
      <c r="E176" s="7"/>
      <c r="F176" s="105"/>
      <c r="G176" s="105"/>
      <c r="H176" s="105"/>
      <c r="I176" s="105"/>
      <c r="J176" s="105"/>
      <c r="K176" s="105"/>
      <c r="L176" s="105"/>
      <c r="M176" s="105"/>
      <c r="N176" s="105"/>
      <c r="O176" s="105"/>
      <c r="P176" s="105"/>
      <c r="Q176" s="105"/>
      <c r="R176" s="105"/>
      <c r="S176" s="105"/>
      <c r="T176" s="105"/>
      <c r="U176" s="105"/>
      <c r="V176" s="105"/>
      <c r="W176" s="105"/>
      <c r="X176" s="105"/>
      <c r="Y176" s="105"/>
      <c r="Z176" s="105"/>
      <c r="AA176" s="105"/>
      <c r="AB176" s="105"/>
      <c r="AC176" s="105"/>
      <c r="AD176" s="105"/>
      <c r="AE176" s="105"/>
      <c r="AF176" s="105"/>
      <c r="AG176" s="105"/>
      <c r="AH176" s="105"/>
      <c r="AI176" s="105"/>
      <c r="AJ176" s="105"/>
      <c r="AK176" s="105"/>
      <c r="AL176" s="105"/>
      <c r="AM176" s="105"/>
      <c r="AN176" s="105"/>
      <c r="AO176" s="105"/>
      <c r="AP176" s="105"/>
      <c r="AQ176" s="105"/>
      <c r="AR176" s="105"/>
      <c r="AS176" s="105"/>
      <c r="AT176" s="105"/>
      <c r="AU176" s="105"/>
      <c r="AV176" s="105"/>
      <c r="AW176" s="105"/>
      <c r="AX176" s="105"/>
      <c r="AY176" s="105"/>
      <c r="AZ176" s="105"/>
      <c r="BA176" s="105"/>
      <c r="BB176" s="105"/>
      <c r="BC176" s="105"/>
      <c r="BD176" s="105"/>
      <c r="BE176" s="105"/>
      <c r="BF176" s="105"/>
      <c r="BG176" s="105"/>
      <c r="BH176" s="105"/>
      <c r="BI176" s="105"/>
      <c r="BJ176" s="105"/>
      <c r="BK176" s="105"/>
      <c r="BL176" s="105"/>
      <c r="BM176" s="105"/>
      <c r="BN176" s="105"/>
      <c r="BO176" s="105"/>
      <c r="BP176" s="105"/>
      <c r="BQ176" s="105"/>
      <c r="BR176" s="105"/>
      <c r="BS176" s="105"/>
      <c r="BT176" s="105"/>
      <c r="BU176" s="105"/>
      <c r="BV176" s="105"/>
      <c r="BW176" s="105"/>
      <c r="BX176" s="105"/>
      <c r="BY176" s="105"/>
      <c r="BZ176" s="105"/>
      <c r="CA176" s="105"/>
      <c r="CB176" s="105"/>
      <c r="CC176" s="105"/>
      <c r="CD176" s="105"/>
      <c r="CE176" s="105"/>
      <c r="CF176" s="105"/>
      <c r="CG176" s="105"/>
      <c r="CH176" s="105"/>
      <c r="CI176" s="105"/>
      <c r="CJ176" s="105"/>
      <c r="CK176" s="105"/>
      <c r="CL176" s="105"/>
      <c r="CM176" s="105"/>
      <c r="CN176" s="105"/>
      <c r="CO176" s="105"/>
      <c r="CP176" s="105"/>
      <c r="CQ176" s="105"/>
      <c r="CR176" s="105"/>
      <c r="CS176" s="105"/>
      <c r="CT176" s="105"/>
      <c r="CU176" s="105"/>
      <c r="CV176" s="105"/>
      <c r="CW176" s="105"/>
      <c r="CX176" s="105"/>
      <c r="CY176" s="105"/>
      <c r="CZ176" s="105"/>
      <c r="DA176" s="105"/>
    </row>
    <row r="177">
      <c r="A177" s="7"/>
      <c r="B177" s="105"/>
      <c r="C177" s="7"/>
      <c r="D177" s="7"/>
      <c r="E177" s="7"/>
      <c r="F177" s="105"/>
      <c r="G177" s="105"/>
      <c r="H177" s="105"/>
      <c r="I177" s="105"/>
      <c r="J177" s="105"/>
      <c r="K177" s="105"/>
      <c r="L177" s="105"/>
      <c r="M177" s="105"/>
      <c r="N177" s="105"/>
      <c r="O177" s="105"/>
      <c r="P177" s="105"/>
      <c r="Q177" s="105"/>
      <c r="R177" s="105"/>
      <c r="S177" s="105"/>
      <c r="T177" s="105"/>
      <c r="U177" s="105"/>
      <c r="V177" s="105"/>
      <c r="W177" s="105"/>
      <c r="X177" s="105"/>
      <c r="Y177" s="105"/>
      <c r="Z177" s="105"/>
      <c r="AA177" s="105"/>
      <c r="AB177" s="105"/>
      <c r="AC177" s="105"/>
      <c r="AD177" s="105"/>
      <c r="AE177" s="105"/>
      <c r="AF177" s="105"/>
      <c r="AG177" s="105"/>
      <c r="AH177" s="105"/>
      <c r="AI177" s="105"/>
      <c r="AJ177" s="105"/>
      <c r="AK177" s="105"/>
      <c r="AL177" s="105"/>
      <c r="AM177" s="105"/>
      <c r="AN177" s="105"/>
      <c r="AO177" s="105"/>
      <c r="AP177" s="105"/>
      <c r="AQ177" s="105"/>
      <c r="AR177" s="105"/>
      <c r="AS177" s="105"/>
      <c r="AT177" s="105"/>
      <c r="AU177" s="105"/>
      <c r="AV177" s="105"/>
      <c r="AW177" s="105"/>
      <c r="AX177" s="105"/>
      <c r="AY177" s="105"/>
      <c r="AZ177" s="105"/>
      <c r="BA177" s="105"/>
      <c r="BB177" s="105"/>
      <c r="BC177" s="105"/>
      <c r="BD177" s="105"/>
      <c r="BE177" s="105"/>
      <c r="BF177" s="105"/>
      <c r="BG177" s="105"/>
      <c r="BH177" s="105"/>
      <c r="BI177" s="105"/>
      <c r="BJ177" s="105"/>
      <c r="BK177" s="105"/>
      <c r="BL177" s="105"/>
      <c r="BM177" s="105"/>
      <c r="BN177" s="105"/>
      <c r="BO177" s="105"/>
      <c r="BP177" s="105"/>
      <c r="BQ177" s="105"/>
      <c r="BR177" s="105"/>
      <c r="BS177" s="105"/>
      <c r="BT177" s="105"/>
      <c r="BU177" s="105"/>
      <c r="BV177" s="105"/>
      <c r="BW177" s="105"/>
      <c r="BX177" s="105"/>
      <c r="BY177" s="105"/>
      <c r="BZ177" s="105"/>
      <c r="CA177" s="105"/>
      <c r="CB177" s="105"/>
      <c r="CC177" s="105"/>
      <c r="CD177" s="105"/>
      <c r="CE177" s="105"/>
      <c r="CF177" s="105"/>
      <c r="CG177" s="105"/>
      <c r="CH177" s="105"/>
      <c r="CI177" s="105"/>
      <c r="CJ177" s="105"/>
      <c r="CK177" s="105"/>
      <c r="CL177" s="105"/>
      <c r="CM177" s="105"/>
      <c r="CN177" s="105"/>
      <c r="CO177" s="105"/>
      <c r="CP177" s="105"/>
      <c r="CQ177" s="105"/>
      <c r="CR177" s="105"/>
      <c r="CS177" s="105"/>
      <c r="CT177" s="105"/>
      <c r="CU177" s="105"/>
      <c r="CV177" s="105"/>
      <c r="CW177" s="105"/>
      <c r="CX177" s="105"/>
      <c r="CY177" s="105"/>
      <c r="CZ177" s="105"/>
      <c r="DA177" s="105"/>
    </row>
    <row r="178">
      <c r="A178" s="7"/>
      <c r="B178" s="105"/>
      <c r="C178" s="7"/>
      <c r="D178" s="7"/>
      <c r="E178" s="7"/>
      <c r="F178" s="105"/>
      <c r="G178" s="105"/>
      <c r="H178" s="105"/>
      <c r="I178" s="105"/>
      <c r="J178" s="105"/>
      <c r="K178" s="105"/>
      <c r="L178" s="105"/>
      <c r="M178" s="105"/>
      <c r="N178" s="105"/>
      <c r="O178" s="105"/>
      <c r="P178" s="105"/>
      <c r="Q178" s="105"/>
      <c r="R178" s="105"/>
      <c r="S178" s="105"/>
      <c r="T178" s="105"/>
      <c r="U178" s="105"/>
      <c r="V178" s="105"/>
      <c r="W178" s="105"/>
      <c r="X178" s="105"/>
      <c r="Y178" s="105"/>
      <c r="Z178" s="105"/>
      <c r="AA178" s="105"/>
      <c r="AB178" s="105"/>
      <c r="AC178" s="105"/>
      <c r="AD178" s="105"/>
      <c r="AE178" s="105"/>
      <c r="AF178" s="105"/>
      <c r="AG178" s="105"/>
      <c r="AH178" s="105"/>
      <c r="AI178" s="105"/>
      <c r="AJ178" s="105"/>
      <c r="AK178" s="105"/>
      <c r="AL178" s="105"/>
      <c r="AM178" s="105"/>
      <c r="AN178" s="105"/>
      <c r="AO178" s="105"/>
      <c r="AP178" s="105"/>
      <c r="AQ178" s="105"/>
      <c r="AR178" s="105"/>
      <c r="AS178" s="105"/>
      <c r="AT178" s="105"/>
      <c r="AU178" s="105"/>
      <c r="AV178" s="105"/>
      <c r="AW178" s="105"/>
      <c r="AX178" s="105"/>
      <c r="AY178" s="105"/>
      <c r="AZ178" s="105"/>
      <c r="BA178" s="105"/>
      <c r="BB178" s="105"/>
      <c r="BC178" s="105"/>
      <c r="BD178" s="105"/>
      <c r="BE178" s="105"/>
      <c r="BF178" s="105"/>
      <c r="BG178" s="105"/>
      <c r="BH178" s="105"/>
      <c r="BI178" s="105"/>
      <c r="BJ178" s="105"/>
      <c r="BK178" s="105"/>
      <c r="BL178" s="105"/>
      <c r="BM178" s="105"/>
      <c r="BN178" s="105"/>
      <c r="BO178" s="105"/>
      <c r="BP178" s="105"/>
      <c r="BQ178" s="105"/>
      <c r="BR178" s="105"/>
      <c r="BS178" s="105"/>
      <c r="BT178" s="105"/>
      <c r="BU178" s="105"/>
      <c r="BV178" s="105"/>
      <c r="BW178" s="105"/>
      <c r="BX178" s="105"/>
      <c r="BY178" s="105"/>
      <c r="BZ178" s="105"/>
      <c r="CA178" s="105"/>
      <c r="CB178" s="105"/>
      <c r="CC178" s="105"/>
      <c r="CD178" s="105"/>
      <c r="CE178" s="105"/>
      <c r="CF178" s="105"/>
      <c r="CG178" s="105"/>
      <c r="CH178" s="105"/>
      <c r="CI178" s="105"/>
      <c r="CJ178" s="105"/>
      <c r="CK178" s="105"/>
      <c r="CL178" s="105"/>
      <c r="CM178" s="105"/>
      <c r="CN178" s="105"/>
      <c r="CO178" s="105"/>
      <c r="CP178" s="105"/>
      <c r="CQ178" s="105"/>
      <c r="CR178" s="105"/>
      <c r="CS178" s="105"/>
      <c r="CT178" s="105"/>
      <c r="CU178" s="105"/>
      <c r="CV178" s="105"/>
      <c r="CW178" s="105"/>
      <c r="CX178" s="105"/>
      <c r="CY178" s="105"/>
      <c r="CZ178" s="105"/>
      <c r="DA178" s="105"/>
    </row>
    <row r="179">
      <c r="A179" s="7"/>
      <c r="B179" s="105"/>
      <c r="C179" s="7"/>
      <c r="D179" s="7"/>
      <c r="E179" s="7"/>
      <c r="F179" s="105"/>
      <c r="G179" s="105"/>
      <c r="H179" s="105"/>
      <c r="I179" s="105"/>
      <c r="J179" s="105"/>
      <c r="K179" s="105"/>
      <c r="L179" s="105"/>
      <c r="M179" s="105"/>
      <c r="N179" s="105"/>
      <c r="O179" s="105"/>
      <c r="P179" s="105"/>
      <c r="Q179" s="105"/>
      <c r="R179" s="105"/>
      <c r="S179" s="105"/>
      <c r="T179" s="105"/>
      <c r="U179" s="105"/>
      <c r="V179" s="105"/>
      <c r="W179" s="105"/>
      <c r="X179" s="105"/>
      <c r="Y179" s="105"/>
      <c r="Z179" s="105"/>
      <c r="AA179" s="105"/>
      <c r="AB179" s="105"/>
      <c r="AC179" s="105"/>
      <c r="AD179" s="105"/>
      <c r="AE179" s="105"/>
      <c r="AF179" s="105"/>
      <c r="AG179" s="105"/>
      <c r="AH179" s="105"/>
      <c r="AI179" s="105"/>
      <c r="AJ179" s="105"/>
      <c r="AK179" s="105"/>
      <c r="AL179" s="105"/>
      <c r="AM179" s="105"/>
      <c r="AN179" s="105"/>
      <c r="AO179" s="105"/>
      <c r="AP179" s="105"/>
      <c r="AQ179" s="105"/>
      <c r="AR179" s="105"/>
      <c r="AS179" s="105"/>
      <c r="AT179" s="105"/>
      <c r="AU179" s="105"/>
      <c r="AV179" s="105"/>
      <c r="AW179" s="105"/>
      <c r="AX179" s="105"/>
      <c r="AY179" s="105"/>
      <c r="AZ179" s="105"/>
      <c r="BA179" s="105"/>
      <c r="BB179" s="105"/>
      <c r="BC179" s="105"/>
      <c r="BD179" s="105"/>
      <c r="BE179" s="105"/>
      <c r="BF179" s="105"/>
      <c r="BG179" s="105"/>
      <c r="BH179" s="105"/>
      <c r="BI179" s="105"/>
      <c r="BJ179" s="105"/>
      <c r="BK179" s="105"/>
      <c r="BL179" s="105"/>
      <c r="BM179" s="105"/>
      <c r="BN179" s="105"/>
      <c r="BO179" s="105"/>
      <c r="BP179" s="105"/>
      <c r="BQ179" s="105"/>
      <c r="BR179" s="105"/>
      <c r="BS179" s="105"/>
      <c r="BT179" s="105"/>
      <c r="BU179" s="105"/>
      <c r="BV179" s="105"/>
      <c r="BW179" s="105"/>
      <c r="BX179" s="105"/>
      <c r="BY179" s="105"/>
      <c r="BZ179" s="105"/>
      <c r="CA179" s="105"/>
      <c r="CB179" s="105"/>
      <c r="CC179" s="105"/>
      <c r="CD179" s="105"/>
      <c r="CE179" s="105"/>
      <c r="CF179" s="105"/>
      <c r="CG179" s="105"/>
      <c r="CH179" s="105"/>
      <c r="CI179" s="105"/>
      <c r="CJ179" s="105"/>
      <c r="CK179" s="105"/>
      <c r="CL179" s="105"/>
      <c r="CM179" s="105"/>
      <c r="CN179" s="105"/>
      <c r="CO179" s="105"/>
      <c r="CP179" s="105"/>
      <c r="CQ179" s="105"/>
      <c r="CR179" s="105"/>
      <c r="CS179" s="105"/>
      <c r="CT179" s="105"/>
      <c r="CU179" s="105"/>
      <c r="CV179" s="105"/>
      <c r="CW179" s="105"/>
      <c r="CX179" s="105"/>
      <c r="CY179" s="105"/>
      <c r="CZ179" s="105"/>
      <c r="DA179" s="105"/>
    </row>
    <row r="180">
      <c r="A180" s="7"/>
      <c r="B180" s="105"/>
      <c r="C180" s="7"/>
      <c r="D180" s="7"/>
      <c r="E180" s="7"/>
      <c r="F180" s="105"/>
      <c r="G180" s="105"/>
      <c r="H180" s="105"/>
      <c r="I180" s="105"/>
      <c r="J180" s="105"/>
      <c r="K180" s="105"/>
      <c r="L180" s="105"/>
      <c r="M180" s="105"/>
      <c r="N180" s="105"/>
      <c r="O180" s="105"/>
      <c r="P180" s="105"/>
      <c r="Q180" s="105"/>
      <c r="R180" s="105"/>
      <c r="S180" s="105"/>
      <c r="T180" s="105"/>
      <c r="U180" s="105"/>
      <c r="V180" s="105"/>
      <c r="W180" s="105"/>
      <c r="X180" s="105"/>
      <c r="Y180" s="105"/>
      <c r="Z180" s="105"/>
      <c r="AA180" s="105"/>
      <c r="AB180" s="105"/>
      <c r="AC180" s="105"/>
      <c r="AD180" s="105"/>
      <c r="AE180" s="105"/>
      <c r="AF180" s="105"/>
      <c r="AG180" s="105"/>
      <c r="AH180" s="105"/>
      <c r="AI180" s="105"/>
      <c r="AJ180" s="105"/>
      <c r="AK180" s="105"/>
      <c r="AL180" s="105"/>
      <c r="AM180" s="105"/>
      <c r="AN180" s="105"/>
      <c r="AO180" s="105"/>
      <c r="AP180" s="105"/>
      <c r="AQ180" s="105"/>
      <c r="AR180" s="105"/>
      <c r="AS180" s="105"/>
      <c r="AT180" s="105"/>
      <c r="AU180" s="105"/>
      <c r="AV180" s="105"/>
      <c r="AW180" s="105"/>
      <c r="AX180" s="105"/>
      <c r="AY180" s="105"/>
      <c r="AZ180" s="105"/>
      <c r="BA180" s="105"/>
      <c r="BB180" s="105"/>
      <c r="BC180" s="105"/>
      <c r="BD180" s="105"/>
      <c r="BE180" s="105"/>
      <c r="BF180" s="105"/>
      <c r="BG180" s="105"/>
      <c r="BH180" s="105"/>
      <c r="BI180" s="105"/>
      <c r="BJ180" s="105"/>
      <c r="BK180" s="105"/>
      <c r="BL180" s="105"/>
      <c r="BM180" s="105"/>
      <c r="BN180" s="105"/>
      <c r="BO180" s="105"/>
      <c r="BP180" s="105"/>
      <c r="BQ180" s="105"/>
      <c r="BR180" s="105"/>
      <c r="BS180" s="105"/>
      <c r="BT180" s="105"/>
      <c r="BU180" s="105"/>
      <c r="BV180" s="105"/>
      <c r="BW180" s="105"/>
      <c r="BX180" s="105"/>
      <c r="BY180" s="105"/>
      <c r="BZ180" s="105"/>
      <c r="CA180" s="105"/>
      <c r="CB180" s="105"/>
      <c r="CC180" s="105"/>
      <c r="CD180" s="105"/>
      <c r="CE180" s="105"/>
      <c r="CF180" s="105"/>
      <c r="CG180" s="105"/>
      <c r="CH180" s="105"/>
      <c r="CI180" s="105"/>
      <c r="CJ180" s="105"/>
      <c r="CK180" s="105"/>
      <c r="CL180" s="105"/>
      <c r="CM180" s="105"/>
      <c r="CN180" s="105"/>
      <c r="CO180" s="105"/>
      <c r="CP180" s="105"/>
      <c r="CQ180" s="105"/>
      <c r="CR180" s="105"/>
      <c r="CS180" s="105"/>
      <c r="CT180" s="105"/>
      <c r="CU180" s="105"/>
      <c r="CV180" s="105"/>
      <c r="CW180" s="105"/>
      <c r="CX180" s="105"/>
      <c r="CY180" s="105"/>
      <c r="CZ180" s="105"/>
      <c r="DA180" s="105"/>
    </row>
    <row r="181">
      <c r="A181" s="7"/>
      <c r="B181" s="105"/>
      <c r="C181" s="7"/>
      <c r="D181" s="7"/>
      <c r="E181" s="7"/>
      <c r="F181" s="105"/>
      <c r="G181" s="105"/>
      <c r="H181" s="105"/>
      <c r="I181" s="105"/>
      <c r="J181" s="105"/>
      <c r="K181" s="105"/>
      <c r="L181" s="105"/>
      <c r="M181" s="105"/>
      <c r="N181" s="105"/>
      <c r="O181" s="105"/>
      <c r="P181" s="105"/>
      <c r="Q181" s="105"/>
      <c r="R181" s="105"/>
      <c r="S181" s="105"/>
      <c r="T181" s="105"/>
      <c r="U181" s="105"/>
      <c r="V181" s="105"/>
      <c r="W181" s="105"/>
      <c r="X181" s="105"/>
      <c r="Y181" s="105"/>
      <c r="Z181" s="105"/>
      <c r="AA181" s="105"/>
      <c r="AB181" s="105"/>
      <c r="AC181" s="105"/>
      <c r="AD181" s="105"/>
      <c r="AE181" s="105"/>
      <c r="AF181" s="105"/>
      <c r="AG181" s="105"/>
      <c r="AH181" s="105"/>
      <c r="AI181" s="105"/>
      <c r="AJ181" s="105"/>
      <c r="AK181" s="105"/>
      <c r="AL181" s="105"/>
      <c r="AM181" s="105"/>
      <c r="AN181" s="105"/>
      <c r="AO181" s="105"/>
      <c r="AP181" s="105"/>
      <c r="AQ181" s="105"/>
      <c r="AR181" s="105"/>
      <c r="AS181" s="105"/>
      <c r="AT181" s="105"/>
      <c r="AU181" s="105"/>
      <c r="AV181" s="105"/>
      <c r="AW181" s="105"/>
      <c r="AX181" s="105"/>
      <c r="AY181" s="105"/>
      <c r="AZ181" s="105"/>
      <c r="BA181" s="105"/>
      <c r="BB181" s="105"/>
      <c r="BC181" s="105"/>
      <c r="BD181" s="105"/>
      <c r="BE181" s="105"/>
      <c r="BF181" s="105"/>
      <c r="BG181" s="105"/>
      <c r="BH181" s="105"/>
      <c r="BI181" s="105"/>
      <c r="BJ181" s="105"/>
      <c r="BK181" s="105"/>
      <c r="BL181" s="105"/>
      <c r="BM181" s="105"/>
      <c r="BN181" s="105"/>
      <c r="BO181" s="105"/>
      <c r="BP181" s="105"/>
      <c r="BQ181" s="105"/>
      <c r="BR181" s="105"/>
      <c r="BS181" s="105"/>
      <c r="BT181" s="105"/>
      <c r="BU181" s="105"/>
      <c r="BV181" s="105"/>
      <c r="BW181" s="105"/>
      <c r="BX181" s="105"/>
      <c r="BY181" s="105"/>
      <c r="BZ181" s="105"/>
      <c r="CA181" s="105"/>
      <c r="CB181" s="105"/>
      <c r="CC181" s="105"/>
      <c r="CD181" s="105"/>
      <c r="CE181" s="105"/>
      <c r="CF181" s="105"/>
      <c r="CG181" s="105"/>
      <c r="CH181" s="105"/>
      <c r="CI181" s="105"/>
      <c r="CJ181" s="105"/>
      <c r="CK181" s="105"/>
      <c r="CL181" s="105"/>
      <c r="CM181" s="105"/>
      <c r="CN181" s="105"/>
      <c r="CO181" s="105"/>
      <c r="CP181" s="105"/>
      <c r="CQ181" s="105"/>
      <c r="CR181" s="105"/>
      <c r="CS181" s="105"/>
      <c r="CT181" s="105"/>
      <c r="CU181" s="105"/>
      <c r="CV181" s="105"/>
      <c r="CW181" s="105"/>
      <c r="CX181" s="105"/>
      <c r="CY181" s="105"/>
      <c r="CZ181" s="105"/>
      <c r="DA181" s="105"/>
    </row>
    <row r="182">
      <c r="A182" s="7"/>
      <c r="B182" s="105"/>
      <c r="C182" s="7"/>
      <c r="D182" s="7"/>
      <c r="E182" s="7"/>
      <c r="F182" s="105"/>
      <c r="G182" s="105"/>
      <c r="H182" s="105"/>
      <c r="I182" s="105"/>
      <c r="J182" s="105"/>
      <c r="K182" s="105"/>
      <c r="L182" s="105"/>
      <c r="M182" s="105"/>
      <c r="N182" s="105"/>
      <c r="O182" s="105"/>
      <c r="P182" s="105"/>
      <c r="Q182" s="105"/>
      <c r="R182" s="105"/>
      <c r="S182" s="105"/>
      <c r="T182" s="105"/>
      <c r="U182" s="105"/>
      <c r="V182" s="105"/>
      <c r="W182" s="105"/>
      <c r="X182" s="105"/>
      <c r="Y182" s="105"/>
      <c r="Z182" s="105"/>
      <c r="AA182" s="105"/>
      <c r="AB182" s="105"/>
      <c r="AC182" s="105"/>
      <c r="AD182" s="105"/>
      <c r="AE182" s="105"/>
      <c r="AF182" s="105"/>
      <c r="AG182" s="105"/>
      <c r="AH182" s="105"/>
      <c r="AI182" s="105"/>
      <c r="AJ182" s="105"/>
      <c r="AK182" s="105"/>
      <c r="AL182" s="105"/>
      <c r="AM182" s="105"/>
      <c r="AN182" s="105"/>
      <c r="AO182" s="105"/>
      <c r="AP182" s="105"/>
      <c r="AQ182" s="105"/>
      <c r="AR182" s="105"/>
      <c r="AS182" s="105"/>
      <c r="AT182" s="105"/>
      <c r="AU182" s="105"/>
      <c r="AV182" s="105"/>
      <c r="AW182" s="105"/>
      <c r="AX182" s="105"/>
      <c r="AY182" s="105"/>
      <c r="AZ182" s="105"/>
      <c r="BA182" s="105"/>
      <c r="BB182" s="105"/>
      <c r="BC182" s="105"/>
      <c r="BD182" s="105"/>
      <c r="BE182" s="105"/>
      <c r="BF182" s="105"/>
      <c r="BG182" s="105"/>
      <c r="BH182" s="105"/>
      <c r="BI182" s="105"/>
      <c r="BJ182" s="105"/>
      <c r="BK182" s="105"/>
      <c r="BL182" s="105"/>
      <c r="BM182" s="105"/>
      <c r="BN182" s="105"/>
      <c r="BO182" s="105"/>
      <c r="BP182" s="105"/>
      <c r="BQ182" s="105"/>
      <c r="BR182" s="105"/>
      <c r="BS182" s="105"/>
      <c r="BT182" s="105"/>
      <c r="BU182" s="105"/>
      <c r="BV182" s="105"/>
      <c r="BW182" s="105"/>
      <c r="BX182" s="105"/>
      <c r="BY182" s="105"/>
      <c r="BZ182" s="105"/>
      <c r="CA182" s="105"/>
      <c r="CB182" s="105"/>
      <c r="CC182" s="105"/>
      <c r="CD182" s="105"/>
      <c r="CE182" s="105"/>
      <c r="CF182" s="105"/>
      <c r="CG182" s="105"/>
      <c r="CH182" s="105"/>
      <c r="CI182" s="105"/>
      <c r="CJ182" s="105"/>
      <c r="CK182" s="105"/>
      <c r="CL182" s="105"/>
      <c r="CM182" s="105"/>
      <c r="CN182" s="105"/>
      <c r="CO182" s="105"/>
      <c r="CP182" s="105"/>
      <c r="CQ182" s="105"/>
      <c r="CR182" s="105"/>
      <c r="CS182" s="105"/>
      <c r="CT182" s="105"/>
      <c r="CU182" s="105"/>
      <c r="CV182" s="105"/>
      <c r="CW182" s="105"/>
      <c r="CX182" s="105"/>
      <c r="CY182" s="105"/>
      <c r="CZ182" s="105"/>
      <c r="DA182" s="105"/>
    </row>
    <row r="183">
      <c r="A183" s="7"/>
      <c r="B183" s="105"/>
      <c r="C183" s="7"/>
      <c r="D183" s="7"/>
      <c r="E183" s="7"/>
      <c r="F183" s="105"/>
      <c r="G183" s="105"/>
      <c r="H183" s="105"/>
      <c r="I183" s="105"/>
      <c r="J183" s="105"/>
      <c r="K183" s="105"/>
      <c r="L183" s="105"/>
      <c r="M183" s="105"/>
      <c r="N183" s="105"/>
      <c r="O183" s="105"/>
      <c r="P183" s="105"/>
      <c r="Q183" s="105"/>
      <c r="R183" s="105"/>
      <c r="S183" s="105"/>
      <c r="T183" s="105"/>
      <c r="U183" s="105"/>
      <c r="V183" s="105"/>
      <c r="W183" s="105"/>
      <c r="X183" s="105"/>
      <c r="Y183" s="105"/>
      <c r="Z183" s="105"/>
      <c r="AA183" s="105"/>
      <c r="AB183" s="105"/>
      <c r="AC183" s="105"/>
      <c r="AD183" s="105"/>
      <c r="AE183" s="105"/>
      <c r="AF183" s="105"/>
      <c r="AG183" s="105"/>
      <c r="AH183" s="105"/>
      <c r="AI183" s="105"/>
      <c r="AJ183" s="105"/>
      <c r="AK183" s="105"/>
      <c r="AL183" s="105"/>
      <c r="AM183" s="105"/>
      <c r="AN183" s="105"/>
      <c r="AO183" s="105"/>
      <c r="AP183" s="105"/>
      <c r="AQ183" s="105"/>
      <c r="AR183" s="105"/>
      <c r="AS183" s="105"/>
      <c r="AT183" s="105"/>
      <c r="AU183" s="105"/>
      <c r="AV183" s="105"/>
      <c r="AW183" s="105"/>
      <c r="AX183" s="105"/>
      <c r="AY183" s="105"/>
      <c r="AZ183" s="105"/>
      <c r="BA183" s="105"/>
      <c r="BB183" s="105"/>
      <c r="BC183" s="105"/>
      <c r="BD183" s="105"/>
      <c r="BE183" s="105"/>
      <c r="BF183" s="105"/>
      <c r="BG183" s="105"/>
      <c r="BH183" s="105"/>
      <c r="BI183" s="105"/>
      <c r="BJ183" s="105"/>
      <c r="BK183" s="105"/>
      <c r="BL183" s="105"/>
      <c r="BM183" s="105"/>
      <c r="BN183" s="105"/>
      <c r="BO183" s="105"/>
      <c r="BP183" s="105"/>
      <c r="BQ183" s="105"/>
      <c r="BR183" s="105"/>
      <c r="BS183" s="105"/>
      <c r="BT183" s="105"/>
      <c r="BU183" s="105"/>
      <c r="BV183" s="105"/>
      <c r="BW183" s="105"/>
      <c r="BX183" s="105"/>
      <c r="BY183" s="105"/>
      <c r="BZ183" s="105"/>
      <c r="CA183" s="105"/>
      <c r="CB183" s="105"/>
      <c r="CC183" s="105"/>
      <c r="CD183" s="105"/>
      <c r="CE183" s="105"/>
      <c r="CF183" s="105"/>
      <c r="CG183" s="105"/>
      <c r="CH183" s="105"/>
      <c r="CI183" s="105"/>
      <c r="CJ183" s="105"/>
      <c r="CK183" s="105"/>
      <c r="CL183" s="105"/>
      <c r="CM183" s="105"/>
      <c r="CN183" s="105"/>
      <c r="CO183" s="105"/>
      <c r="CP183" s="105"/>
      <c r="CQ183" s="105"/>
      <c r="CR183" s="105"/>
      <c r="CS183" s="105"/>
      <c r="CT183" s="105"/>
      <c r="CU183" s="105"/>
      <c r="CV183" s="105"/>
      <c r="CW183" s="105"/>
      <c r="CX183" s="105"/>
      <c r="CY183" s="105"/>
      <c r="CZ183" s="105"/>
      <c r="DA183" s="105"/>
    </row>
    <row r="184">
      <c r="A184" s="7"/>
      <c r="B184" s="105"/>
      <c r="C184" s="7"/>
      <c r="D184" s="7"/>
      <c r="E184" s="7"/>
      <c r="F184" s="105"/>
      <c r="G184" s="105"/>
      <c r="H184" s="105"/>
      <c r="I184" s="105"/>
      <c r="J184" s="105"/>
      <c r="K184" s="105"/>
      <c r="L184" s="105"/>
      <c r="M184" s="105"/>
      <c r="N184" s="105"/>
      <c r="O184" s="105"/>
      <c r="P184" s="105"/>
      <c r="Q184" s="105"/>
      <c r="R184" s="105"/>
      <c r="S184" s="105"/>
      <c r="T184" s="105"/>
      <c r="U184" s="105"/>
      <c r="V184" s="105"/>
      <c r="W184" s="105"/>
      <c r="X184" s="105"/>
      <c r="Y184" s="105"/>
      <c r="Z184" s="105"/>
      <c r="AA184" s="105"/>
      <c r="AB184" s="105"/>
      <c r="AC184" s="105"/>
      <c r="AD184" s="105"/>
      <c r="AE184" s="105"/>
      <c r="AF184" s="105"/>
      <c r="AG184" s="105"/>
      <c r="AH184" s="105"/>
      <c r="AI184" s="105"/>
      <c r="AJ184" s="105"/>
      <c r="AK184" s="105"/>
      <c r="AL184" s="105"/>
      <c r="AM184" s="105"/>
      <c r="AN184" s="105"/>
      <c r="AO184" s="105"/>
      <c r="AP184" s="105"/>
      <c r="AQ184" s="105"/>
      <c r="AR184" s="105"/>
      <c r="AS184" s="105"/>
      <c r="AT184" s="105"/>
      <c r="AU184" s="105"/>
      <c r="AV184" s="105"/>
      <c r="AW184" s="105"/>
      <c r="AX184" s="105"/>
      <c r="AY184" s="105"/>
      <c r="AZ184" s="105"/>
      <c r="BA184" s="105"/>
      <c r="BB184" s="105"/>
      <c r="BC184" s="105"/>
      <c r="BD184" s="105"/>
      <c r="BE184" s="105"/>
      <c r="BF184" s="105"/>
      <c r="BG184" s="105"/>
      <c r="BH184" s="105"/>
      <c r="BI184" s="105"/>
      <c r="BJ184" s="105"/>
      <c r="BK184" s="105"/>
      <c r="BL184" s="105"/>
      <c r="BM184" s="105"/>
      <c r="BN184" s="105"/>
      <c r="BO184" s="105"/>
      <c r="BP184" s="105"/>
      <c r="BQ184" s="105"/>
      <c r="BR184" s="105"/>
      <c r="BS184" s="105"/>
      <c r="BT184" s="105"/>
      <c r="BU184" s="105"/>
      <c r="BV184" s="105"/>
      <c r="BW184" s="105"/>
      <c r="BX184" s="105"/>
      <c r="BY184" s="105"/>
      <c r="BZ184" s="105"/>
      <c r="CA184" s="105"/>
      <c r="CB184" s="105"/>
      <c r="CC184" s="105"/>
      <c r="CD184" s="105"/>
      <c r="CE184" s="105"/>
      <c r="CF184" s="105"/>
      <c r="CG184" s="105"/>
      <c r="CH184" s="105"/>
      <c r="CI184" s="105"/>
      <c r="CJ184" s="105"/>
      <c r="CK184" s="105"/>
      <c r="CL184" s="105"/>
      <c r="CM184" s="105"/>
      <c r="CN184" s="105"/>
      <c r="CO184" s="105"/>
      <c r="CP184" s="105"/>
      <c r="CQ184" s="105"/>
      <c r="CR184" s="105"/>
      <c r="CS184" s="105"/>
      <c r="CT184" s="105"/>
      <c r="CU184" s="105"/>
      <c r="CV184" s="105"/>
      <c r="CW184" s="105"/>
      <c r="CX184" s="105"/>
      <c r="CY184" s="105"/>
      <c r="CZ184" s="105"/>
      <c r="DA184" s="105"/>
    </row>
    <row r="185">
      <c r="A185" s="7"/>
      <c r="B185" s="105"/>
      <c r="C185" s="7"/>
      <c r="D185" s="7"/>
      <c r="E185" s="7"/>
      <c r="F185" s="105"/>
      <c r="G185" s="105"/>
      <c r="H185" s="105"/>
      <c r="I185" s="105"/>
      <c r="J185" s="105"/>
      <c r="K185" s="105"/>
      <c r="L185" s="105"/>
      <c r="M185" s="105"/>
      <c r="N185" s="105"/>
      <c r="O185" s="105"/>
      <c r="P185" s="105"/>
      <c r="Q185" s="105"/>
      <c r="R185" s="105"/>
      <c r="S185" s="105"/>
      <c r="T185" s="105"/>
      <c r="U185" s="105"/>
      <c r="V185" s="105"/>
      <c r="W185" s="105"/>
      <c r="X185" s="105"/>
      <c r="Y185" s="105"/>
      <c r="Z185" s="105"/>
      <c r="AA185" s="105"/>
      <c r="AB185" s="105"/>
      <c r="AC185" s="105"/>
      <c r="AD185" s="105"/>
      <c r="AE185" s="105"/>
      <c r="AF185" s="105"/>
      <c r="AG185" s="105"/>
      <c r="AH185" s="105"/>
      <c r="AI185" s="105"/>
      <c r="AJ185" s="105"/>
      <c r="AK185" s="105"/>
      <c r="AL185" s="105"/>
      <c r="AM185" s="105"/>
      <c r="AN185" s="105"/>
      <c r="AO185" s="105"/>
      <c r="AP185" s="105"/>
      <c r="AQ185" s="105"/>
      <c r="AR185" s="105"/>
      <c r="AS185" s="105"/>
      <c r="AT185" s="105"/>
      <c r="AU185" s="105"/>
      <c r="AV185" s="105"/>
      <c r="AW185" s="105"/>
      <c r="AX185" s="105"/>
      <c r="AY185" s="105"/>
      <c r="AZ185" s="105"/>
      <c r="BA185" s="105"/>
      <c r="BB185" s="105"/>
      <c r="BC185" s="105"/>
      <c r="BD185" s="105"/>
      <c r="BE185" s="105"/>
      <c r="BF185" s="105"/>
      <c r="BG185" s="105"/>
      <c r="BH185" s="105"/>
      <c r="BI185" s="105"/>
      <c r="BJ185" s="105"/>
      <c r="BK185" s="105"/>
      <c r="BL185" s="105"/>
      <c r="BM185" s="105"/>
      <c r="BN185" s="105"/>
      <c r="BO185" s="105"/>
      <c r="BP185" s="105"/>
      <c r="BQ185" s="105"/>
      <c r="BR185" s="105"/>
      <c r="BS185" s="105"/>
      <c r="BT185" s="105"/>
      <c r="BU185" s="105"/>
      <c r="BV185" s="105"/>
      <c r="BW185" s="105"/>
      <c r="BX185" s="105"/>
      <c r="BY185" s="105"/>
      <c r="BZ185" s="105"/>
      <c r="CA185" s="105"/>
      <c r="CB185" s="105"/>
      <c r="CC185" s="105"/>
      <c r="CD185" s="105"/>
      <c r="CE185" s="105"/>
      <c r="CF185" s="105"/>
      <c r="CG185" s="105"/>
      <c r="CH185" s="105"/>
      <c r="CI185" s="105"/>
      <c r="CJ185" s="105"/>
      <c r="CK185" s="105"/>
      <c r="CL185" s="105"/>
      <c r="CM185" s="105"/>
      <c r="CN185" s="105"/>
      <c r="CO185" s="105"/>
      <c r="CP185" s="105"/>
      <c r="CQ185" s="105"/>
      <c r="CR185" s="105"/>
      <c r="CS185" s="105"/>
      <c r="CT185" s="105"/>
      <c r="CU185" s="105"/>
      <c r="CV185" s="105"/>
      <c r="CW185" s="105"/>
      <c r="CX185" s="105"/>
      <c r="CY185" s="105"/>
      <c r="CZ185" s="105"/>
      <c r="DA185" s="105"/>
    </row>
    <row r="186">
      <c r="A186" s="7"/>
      <c r="B186" s="105"/>
      <c r="C186" s="7"/>
      <c r="D186" s="7"/>
      <c r="E186" s="7"/>
      <c r="F186" s="105"/>
      <c r="G186" s="105"/>
      <c r="H186" s="105"/>
      <c r="I186" s="105"/>
      <c r="J186" s="105"/>
      <c r="K186" s="105"/>
      <c r="L186" s="105"/>
      <c r="M186" s="105"/>
      <c r="N186" s="105"/>
      <c r="O186" s="105"/>
      <c r="P186" s="105"/>
      <c r="Q186" s="105"/>
      <c r="R186" s="105"/>
      <c r="S186" s="105"/>
      <c r="T186" s="105"/>
      <c r="U186" s="105"/>
      <c r="V186" s="105"/>
      <c r="W186" s="105"/>
      <c r="X186" s="105"/>
      <c r="Y186" s="105"/>
      <c r="Z186" s="105"/>
      <c r="AA186" s="105"/>
      <c r="AB186" s="105"/>
      <c r="AC186" s="105"/>
      <c r="AD186" s="105"/>
      <c r="AE186" s="105"/>
      <c r="AF186" s="105"/>
      <c r="AG186" s="105"/>
      <c r="AH186" s="105"/>
      <c r="AI186" s="105"/>
      <c r="AJ186" s="105"/>
      <c r="AK186" s="105"/>
      <c r="AL186" s="105"/>
      <c r="AM186" s="105"/>
      <c r="AN186" s="105"/>
      <c r="AO186" s="105"/>
      <c r="AP186" s="105"/>
      <c r="AQ186" s="105"/>
      <c r="AR186" s="105"/>
      <c r="AS186" s="105"/>
      <c r="AT186" s="105"/>
      <c r="AU186" s="105"/>
      <c r="AV186" s="105"/>
      <c r="AW186" s="105"/>
      <c r="AX186" s="105"/>
      <c r="AY186" s="105"/>
      <c r="AZ186" s="105"/>
      <c r="BA186" s="105"/>
      <c r="BB186" s="105"/>
      <c r="BC186" s="105"/>
      <c r="BD186" s="105"/>
      <c r="BE186" s="105"/>
      <c r="BF186" s="105"/>
      <c r="BG186" s="105"/>
      <c r="BH186" s="105"/>
      <c r="BI186" s="105"/>
      <c r="BJ186" s="105"/>
      <c r="BK186" s="105"/>
      <c r="BL186" s="105"/>
      <c r="BM186" s="105"/>
      <c r="BN186" s="105"/>
      <c r="BO186" s="105"/>
      <c r="BP186" s="105"/>
      <c r="BQ186" s="105"/>
      <c r="BR186" s="105"/>
      <c r="BS186" s="105"/>
      <c r="BT186" s="105"/>
      <c r="BU186" s="105"/>
      <c r="BV186" s="105"/>
      <c r="BW186" s="105"/>
      <c r="BX186" s="105"/>
      <c r="BY186" s="105"/>
      <c r="BZ186" s="105"/>
      <c r="CA186" s="105"/>
      <c r="CB186" s="105"/>
      <c r="CC186" s="105"/>
      <c r="CD186" s="105"/>
      <c r="CE186" s="105"/>
      <c r="CF186" s="105"/>
      <c r="CG186" s="105"/>
      <c r="CH186" s="105"/>
      <c r="CI186" s="105"/>
      <c r="CJ186" s="105"/>
      <c r="CK186" s="105"/>
      <c r="CL186" s="105"/>
      <c r="CM186" s="105"/>
      <c r="CN186" s="105"/>
      <c r="CO186" s="105"/>
      <c r="CP186" s="105"/>
      <c r="CQ186" s="105"/>
      <c r="CR186" s="105"/>
      <c r="CS186" s="105"/>
      <c r="CT186" s="105"/>
      <c r="CU186" s="105"/>
      <c r="CV186" s="105"/>
      <c r="CW186" s="105"/>
      <c r="CX186" s="105"/>
      <c r="CY186" s="105"/>
      <c r="CZ186" s="105"/>
      <c r="DA186" s="105"/>
    </row>
    <row r="187">
      <c r="A187" s="7"/>
      <c r="B187" s="105"/>
      <c r="C187" s="7"/>
      <c r="D187" s="7"/>
      <c r="E187" s="7"/>
      <c r="F187" s="105"/>
      <c r="G187" s="105"/>
      <c r="H187" s="105"/>
      <c r="I187" s="105"/>
      <c r="J187" s="105"/>
      <c r="K187" s="105"/>
      <c r="L187" s="105"/>
      <c r="M187" s="105"/>
      <c r="N187" s="105"/>
      <c r="O187" s="105"/>
      <c r="P187" s="105"/>
      <c r="Q187" s="105"/>
      <c r="R187" s="105"/>
      <c r="S187" s="105"/>
      <c r="T187" s="105"/>
      <c r="U187" s="105"/>
      <c r="V187" s="105"/>
      <c r="W187" s="105"/>
      <c r="X187" s="105"/>
      <c r="Y187" s="105"/>
      <c r="Z187" s="105"/>
      <c r="AA187" s="105"/>
      <c r="AB187" s="105"/>
      <c r="AC187" s="105"/>
      <c r="AD187" s="105"/>
      <c r="AE187" s="105"/>
      <c r="AF187" s="105"/>
      <c r="AG187" s="105"/>
      <c r="AH187" s="105"/>
      <c r="AI187" s="105"/>
      <c r="AJ187" s="105"/>
      <c r="AK187" s="105"/>
      <c r="AL187" s="105"/>
      <c r="AM187" s="105"/>
      <c r="AN187" s="105"/>
      <c r="AO187" s="105"/>
      <c r="AP187" s="105"/>
      <c r="AQ187" s="105"/>
      <c r="AR187" s="105"/>
      <c r="AS187" s="105"/>
      <c r="AT187" s="105"/>
      <c r="AU187" s="105"/>
      <c r="AV187" s="105"/>
      <c r="AW187" s="105"/>
      <c r="AX187" s="105"/>
      <c r="AY187" s="105"/>
      <c r="AZ187" s="105"/>
      <c r="BA187" s="105"/>
      <c r="BB187" s="105"/>
      <c r="BC187" s="105"/>
      <c r="BD187" s="105"/>
      <c r="BE187" s="105"/>
      <c r="BF187" s="105"/>
      <c r="BG187" s="105"/>
      <c r="BH187" s="105"/>
      <c r="BI187" s="105"/>
      <c r="BJ187" s="105"/>
      <c r="BK187" s="105"/>
      <c r="BL187" s="105"/>
      <c r="BM187" s="105"/>
      <c r="BN187" s="105"/>
      <c r="BO187" s="105"/>
      <c r="BP187" s="105"/>
      <c r="BQ187" s="105"/>
      <c r="BR187" s="105"/>
      <c r="BS187" s="105"/>
      <c r="BT187" s="105"/>
      <c r="BU187" s="105"/>
      <c r="BV187" s="105"/>
      <c r="BW187" s="105"/>
      <c r="BX187" s="105"/>
      <c r="BY187" s="105"/>
      <c r="BZ187" s="105"/>
      <c r="CA187" s="105"/>
      <c r="CB187" s="105"/>
      <c r="CC187" s="105"/>
      <c r="CD187" s="105"/>
      <c r="CE187" s="105"/>
      <c r="CF187" s="105"/>
      <c r="CG187" s="105"/>
      <c r="CH187" s="105"/>
      <c r="CI187" s="105"/>
      <c r="CJ187" s="105"/>
      <c r="CK187" s="105"/>
      <c r="CL187" s="105"/>
      <c r="CM187" s="105"/>
      <c r="CN187" s="105"/>
      <c r="CO187" s="105"/>
      <c r="CP187" s="105"/>
      <c r="CQ187" s="105"/>
      <c r="CR187" s="105"/>
      <c r="CS187" s="105"/>
      <c r="CT187" s="105"/>
      <c r="CU187" s="105"/>
      <c r="CV187" s="105"/>
      <c r="CW187" s="105"/>
      <c r="CX187" s="105"/>
      <c r="CY187" s="105"/>
      <c r="CZ187" s="105"/>
      <c r="DA187" s="105"/>
    </row>
    <row r="188">
      <c r="A188" s="7"/>
      <c r="B188" s="105"/>
      <c r="C188" s="7"/>
      <c r="D188" s="7"/>
      <c r="E188" s="7"/>
      <c r="F188" s="105"/>
      <c r="G188" s="105"/>
      <c r="H188" s="105"/>
      <c r="I188" s="105"/>
      <c r="J188" s="105"/>
      <c r="K188" s="105"/>
      <c r="L188" s="105"/>
      <c r="M188" s="105"/>
      <c r="N188" s="105"/>
      <c r="O188" s="105"/>
      <c r="P188" s="105"/>
      <c r="Q188" s="105"/>
      <c r="R188" s="105"/>
      <c r="S188" s="105"/>
      <c r="T188" s="105"/>
      <c r="U188" s="105"/>
      <c r="V188" s="105"/>
      <c r="W188" s="105"/>
      <c r="X188" s="105"/>
      <c r="Y188" s="105"/>
      <c r="Z188" s="105"/>
      <c r="AA188" s="105"/>
      <c r="AB188" s="105"/>
      <c r="AC188" s="105"/>
      <c r="AD188" s="105"/>
      <c r="AE188" s="105"/>
      <c r="AF188" s="105"/>
      <c r="AG188" s="105"/>
      <c r="AH188" s="105"/>
      <c r="AI188" s="105"/>
      <c r="AJ188" s="105"/>
      <c r="AK188" s="105"/>
      <c r="AL188" s="105"/>
      <c r="AM188" s="105"/>
      <c r="AN188" s="105"/>
      <c r="AO188" s="105"/>
      <c r="AP188" s="105"/>
      <c r="AQ188" s="105"/>
      <c r="AR188" s="105"/>
      <c r="AS188" s="105"/>
      <c r="AT188" s="105"/>
      <c r="AU188" s="105"/>
      <c r="AV188" s="105"/>
      <c r="AW188" s="105"/>
      <c r="AX188" s="105"/>
      <c r="AY188" s="105"/>
      <c r="AZ188" s="105"/>
      <c r="BA188" s="105"/>
      <c r="BB188" s="105"/>
      <c r="BC188" s="105"/>
      <c r="BD188" s="105"/>
      <c r="BE188" s="105"/>
      <c r="BF188" s="105"/>
      <c r="BG188" s="105"/>
      <c r="BH188" s="105"/>
      <c r="BI188" s="105"/>
      <c r="BJ188" s="105"/>
      <c r="BK188" s="105"/>
      <c r="BL188" s="105"/>
      <c r="BM188" s="105"/>
      <c r="BN188" s="105"/>
      <c r="BO188" s="105"/>
      <c r="BP188" s="105"/>
      <c r="BQ188" s="105"/>
      <c r="BR188" s="105"/>
      <c r="BS188" s="105"/>
      <c r="BT188" s="105"/>
      <c r="BU188" s="105"/>
      <c r="BV188" s="105"/>
      <c r="BW188" s="105"/>
      <c r="BX188" s="105"/>
      <c r="BY188" s="105"/>
      <c r="BZ188" s="105"/>
      <c r="CA188" s="105"/>
      <c r="CB188" s="105"/>
      <c r="CC188" s="105"/>
      <c r="CD188" s="105"/>
      <c r="CE188" s="105"/>
      <c r="CF188" s="105"/>
      <c r="CG188" s="105"/>
      <c r="CH188" s="105"/>
      <c r="CI188" s="105"/>
      <c r="CJ188" s="105"/>
      <c r="CK188" s="105"/>
      <c r="CL188" s="105"/>
      <c r="CM188" s="105"/>
      <c r="CN188" s="105"/>
      <c r="CO188" s="105"/>
      <c r="CP188" s="105"/>
      <c r="CQ188" s="105"/>
      <c r="CR188" s="105"/>
      <c r="CS188" s="105"/>
      <c r="CT188" s="105"/>
      <c r="CU188" s="105"/>
      <c r="CV188" s="105"/>
      <c r="CW188" s="105"/>
      <c r="CX188" s="105"/>
      <c r="CY188" s="105"/>
      <c r="CZ188" s="105"/>
      <c r="DA188" s="105"/>
    </row>
    <row r="189">
      <c r="A189" s="7"/>
      <c r="B189" s="105"/>
      <c r="C189" s="7"/>
      <c r="D189" s="7"/>
      <c r="E189" s="7"/>
      <c r="F189" s="105"/>
      <c r="G189" s="105"/>
      <c r="H189" s="105"/>
      <c r="I189" s="105"/>
      <c r="J189" s="105"/>
      <c r="K189" s="105"/>
      <c r="L189" s="105"/>
      <c r="M189" s="105"/>
      <c r="N189" s="105"/>
      <c r="O189" s="105"/>
      <c r="P189" s="105"/>
      <c r="Q189" s="105"/>
      <c r="R189" s="105"/>
      <c r="S189" s="105"/>
      <c r="T189" s="105"/>
      <c r="U189" s="105"/>
      <c r="V189" s="105"/>
      <c r="W189" s="105"/>
      <c r="X189" s="105"/>
      <c r="Y189" s="105"/>
      <c r="Z189" s="105"/>
      <c r="AA189" s="105"/>
      <c r="AB189" s="105"/>
      <c r="AC189" s="105"/>
      <c r="AD189" s="105"/>
      <c r="AE189" s="105"/>
      <c r="AF189" s="105"/>
      <c r="AG189" s="105"/>
      <c r="AH189" s="105"/>
      <c r="AI189" s="105"/>
      <c r="AJ189" s="105"/>
      <c r="AK189" s="105"/>
      <c r="AL189" s="105"/>
      <c r="AM189" s="105"/>
      <c r="AN189" s="105"/>
      <c r="AO189" s="105"/>
      <c r="AP189" s="105"/>
      <c r="AQ189" s="105"/>
      <c r="AR189" s="105"/>
      <c r="AS189" s="105"/>
      <c r="AT189" s="105"/>
      <c r="AU189" s="105"/>
      <c r="AV189" s="105"/>
      <c r="AW189" s="105"/>
      <c r="AX189" s="105"/>
      <c r="AY189" s="105"/>
      <c r="AZ189" s="105"/>
      <c r="BA189" s="105"/>
      <c r="BB189" s="105"/>
      <c r="BC189" s="105"/>
      <c r="BD189" s="105"/>
      <c r="BE189" s="105"/>
      <c r="BF189" s="105"/>
      <c r="BG189" s="105"/>
      <c r="BH189" s="105"/>
      <c r="BI189" s="105"/>
      <c r="BJ189" s="105"/>
      <c r="BK189" s="105"/>
      <c r="BL189" s="105"/>
      <c r="BM189" s="105"/>
      <c r="BN189" s="105"/>
      <c r="BO189" s="105"/>
      <c r="BP189" s="105"/>
      <c r="BQ189" s="105"/>
      <c r="BR189" s="105"/>
      <c r="BS189" s="105"/>
      <c r="BT189" s="105"/>
      <c r="BU189" s="105"/>
      <c r="BV189" s="105"/>
      <c r="BW189" s="105"/>
      <c r="BX189" s="105"/>
      <c r="BY189" s="105"/>
      <c r="BZ189" s="105"/>
      <c r="CA189" s="105"/>
      <c r="CB189" s="105"/>
      <c r="CC189" s="105"/>
      <c r="CD189" s="105"/>
      <c r="CE189" s="105"/>
      <c r="CF189" s="105"/>
      <c r="CG189" s="105"/>
      <c r="CH189" s="105"/>
      <c r="CI189" s="105"/>
      <c r="CJ189" s="105"/>
      <c r="CK189" s="105"/>
      <c r="CL189" s="105"/>
      <c r="CM189" s="105"/>
      <c r="CN189" s="105"/>
      <c r="CO189" s="105"/>
      <c r="CP189" s="105"/>
      <c r="CQ189" s="105"/>
      <c r="CR189" s="105"/>
      <c r="CS189" s="105"/>
      <c r="CT189" s="105"/>
      <c r="CU189" s="105"/>
      <c r="CV189" s="105"/>
      <c r="CW189" s="105"/>
      <c r="CX189" s="105"/>
      <c r="CY189" s="105"/>
      <c r="CZ189" s="105"/>
      <c r="DA189" s="105"/>
    </row>
    <row r="190">
      <c r="A190" s="7"/>
      <c r="B190" s="105"/>
      <c r="C190" s="7"/>
      <c r="D190" s="7"/>
      <c r="E190" s="7"/>
      <c r="F190" s="105"/>
      <c r="G190" s="105"/>
      <c r="H190" s="105"/>
      <c r="I190" s="105"/>
      <c r="J190" s="105"/>
      <c r="K190" s="105"/>
      <c r="L190" s="105"/>
      <c r="M190" s="105"/>
      <c r="N190" s="105"/>
      <c r="O190" s="105"/>
      <c r="P190" s="105"/>
      <c r="Q190" s="105"/>
      <c r="R190" s="105"/>
      <c r="S190" s="105"/>
      <c r="T190" s="105"/>
      <c r="U190" s="105"/>
      <c r="V190" s="105"/>
      <c r="W190" s="105"/>
      <c r="X190" s="105"/>
      <c r="Y190" s="105"/>
      <c r="Z190" s="105"/>
      <c r="AA190" s="105"/>
      <c r="AB190" s="105"/>
      <c r="AC190" s="105"/>
      <c r="AD190" s="105"/>
      <c r="AE190" s="105"/>
      <c r="AF190" s="105"/>
      <c r="AG190" s="105"/>
      <c r="AH190" s="105"/>
      <c r="AI190" s="105"/>
      <c r="AJ190" s="105"/>
      <c r="AK190" s="105"/>
      <c r="AL190" s="105"/>
      <c r="AM190" s="105"/>
      <c r="AN190" s="105"/>
      <c r="AO190" s="105"/>
      <c r="AP190" s="105"/>
      <c r="AQ190" s="105"/>
      <c r="AR190" s="105"/>
      <c r="AS190" s="105"/>
      <c r="AT190" s="105"/>
      <c r="AU190" s="105"/>
      <c r="AV190" s="105"/>
      <c r="AW190" s="105"/>
      <c r="AX190" s="105"/>
      <c r="AY190" s="105"/>
      <c r="AZ190" s="105"/>
      <c r="BA190" s="105"/>
      <c r="BB190" s="105"/>
      <c r="BC190" s="105"/>
      <c r="BD190" s="105"/>
      <c r="BE190" s="105"/>
      <c r="BF190" s="105"/>
      <c r="BG190" s="105"/>
      <c r="BH190" s="105"/>
      <c r="BI190" s="105"/>
      <c r="BJ190" s="105"/>
      <c r="BK190" s="105"/>
      <c r="BL190" s="105"/>
      <c r="BM190" s="105"/>
      <c r="BN190" s="105"/>
      <c r="BO190" s="105"/>
      <c r="BP190" s="105"/>
      <c r="BQ190" s="105"/>
      <c r="BR190" s="105"/>
      <c r="BS190" s="105"/>
      <c r="BT190" s="105"/>
      <c r="BU190" s="105"/>
      <c r="BV190" s="105"/>
      <c r="BW190" s="105"/>
      <c r="BX190" s="105"/>
      <c r="BY190" s="105"/>
      <c r="BZ190" s="105"/>
      <c r="CA190" s="105"/>
      <c r="CB190" s="105"/>
      <c r="CC190" s="105"/>
      <c r="CD190" s="105"/>
      <c r="CE190" s="105"/>
      <c r="CF190" s="105"/>
      <c r="CG190" s="105"/>
      <c r="CH190" s="105"/>
      <c r="CI190" s="105"/>
      <c r="CJ190" s="105"/>
      <c r="CK190" s="105"/>
      <c r="CL190" s="105"/>
      <c r="CM190" s="105"/>
      <c r="CN190" s="105"/>
      <c r="CO190" s="105"/>
      <c r="CP190" s="105"/>
      <c r="CQ190" s="105"/>
      <c r="CR190" s="105"/>
      <c r="CS190" s="105"/>
      <c r="CT190" s="105"/>
      <c r="CU190" s="105"/>
      <c r="CV190" s="105"/>
      <c r="CW190" s="105"/>
      <c r="CX190" s="105"/>
      <c r="CY190" s="105"/>
      <c r="CZ190" s="105"/>
      <c r="DA190" s="105"/>
    </row>
    <row r="191">
      <c r="A191" s="7"/>
      <c r="B191" s="105"/>
      <c r="C191" s="7"/>
      <c r="D191" s="7"/>
      <c r="E191" s="7"/>
      <c r="F191" s="105"/>
      <c r="G191" s="105"/>
      <c r="H191" s="105"/>
      <c r="I191" s="105"/>
      <c r="J191" s="105"/>
      <c r="K191" s="105"/>
      <c r="L191" s="105"/>
      <c r="M191" s="105"/>
      <c r="N191" s="105"/>
      <c r="O191" s="105"/>
      <c r="P191" s="105"/>
      <c r="Q191" s="105"/>
      <c r="R191" s="105"/>
      <c r="S191" s="105"/>
      <c r="T191" s="105"/>
      <c r="U191" s="105"/>
      <c r="V191" s="105"/>
      <c r="W191" s="105"/>
      <c r="X191" s="105"/>
      <c r="Y191" s="105"/>
      <c r="Z191" s="105"/>
      <c r="AA191" s="105"/>
      <c r="AB191" s="105"/>
      <c r="AC191" s="105"/>
      <c r="AD191" s="105"/>
      <c r="AE191" s="105"/>
      <c r="AF191" s="105"/>
      <c r="AG191" s="105"/>
      <c r="AH191" s="105"/>
      <c r="AI191" s="105"/>
      <c r="AJ191" s="105"/>
      <c r="AK191" s="105"/>
      <c r="AL191" s="105"/>
      <c r="AM191" s="105"/>
      <c r="AN191" s="105"/>
      <c r="AO191" s="105"/>
      <c r="AP191" s="105"/>
      <c r="AQ191" s="105"/>
      <c r="AR191" s="105"/>
      <c r="AS191" s="105"/>
      <c r="AT191" s="105"/>
      <c r="AU191" s="105"/>
      <c r="AV191" s="105"/>
      <c r="AW191" s="105"/>
      <c r="AX191" s="105"/>
      <c r="AY191" s="105"/>
      <c r="AZ191" s="105"/>
      <c r="BA191" s="105"/>
      <c r="BB191" s="105"/>
      <c r="BC191" s="105"/>
      <c r="BD191" s="105"/>
      <c r="BE191" s="105"/>
      <c r="BF191" s="105"/>
      <c r="BG191" s="105"/>
      <c r="BH191" s="105"/>
      <c r="BI191" s="105"/>
      <c r="BJ191" s="105"/>
      <c r="BK191" s="105"/>
      <c r="BL191" s="105"/>
      <c r="BM191" s="105"/>
      <c r="BN191" s="105"/>
      <c r="BO191" s="105"/>
      <c r="BP191" s="105"/>
      <c r="BQ191" s="105"/>
      <c r="BR191" s="105"/>
      <c r="BS191" s="105"/>
      <c r="BT191" s="105"/>
      <c r="BU191" s="105"/>
      <c r="BV191" s="105"/>
      <c r="BW191" s="105"/>
      <c r="BX191" s="105"/>
      <c r="BY191" s="105"/>
      <c r="BZ191" s="105"/>
      <c r="CA191" s="105"/>
      <c r="CB191" s="105"/>
      <c r="CC191" s="105"/>
      <c r="CD191" s="105"/>
      <c r="CE191" s="105"/>
      <c r="CF191" s="105"/>
      <c r="CG191" s="105"/>
      <c r="CH191" s="105"/>
      <c r="CI191" s="105"/>
      <c r="CJ191" s="105"/>
      <c r="CK191" s="105"/>
      <c r="CL191" s="105"/>
      <c r="CM191" s="105"/>
      <c r="CN191" s="105"/>
      <c r="CO191" s="105"/>
      <c r="CP191" s="105"/>
      <c r="CQ191" s="105"/>
      <c r="CR191" s="105"/>
      <c r="CS191" s="105"/>
      <c r="CT191" s="105"/>
      <c r="CU191" s="105"/>
      <c r="CV191" s="105"/>
      <c r="CW191" s="105"/>
      <c r="CX191" s="105"/>
      <c r="CY191" s="105"/>
      <c r="CZ191" s="105"/>
      <c r="DA191" s="105"/>
    </row>
    <row r="192">
      <c r="A192" s="7"/>
      <c r="B192" s="105"/>
      <c r="C192" s="7"/>
      <c r="D192" s="7"/>
      <c r="E192" s="7"/>
      <c r="F192" s="105"/>
      <c r="G192" s="105"/>
      <c r="H192" s="105"/>
      <c r="I192" s="105"/>
      <c r="J192" s="105"/>
      <c r="K192" s="105"/>
      <c r="L192" s="105"/>
      <c r="M192" s="105"/>
      <c r="N192" s="105"/>
      <c r="O192" s="105"/>
      <c r="P192" s="105"/>
      <c r="Q192" s="105"/>
      <c r="R192" s="105"/>
      <c r="S192" s="105"/>
      <c r="T192" s="105"/>
      <c r="U192" s="105"/>
      <c r="V192" s="105"/>
      <c r="W192" s="105"/>
      <c r="X192" s="105"/>
      <c r="Y192" s="105"/>
      <c r="Z192" s="105"/>
      <c r="AA192" s="105"/>
      <c r="AB192" s="105"/>
      <c r="AC192" s="105"/>
      <c r="AD192" s="105"/>
      <c r="AE192" s="105"/>
      <c r="AF192" s="105"/>
      <c r="AG192" s="105"/>
      <c r="AH192" s="105"/>
      <c r="AI192" s="105"/>
      <c r="AJ192" s="105"/>
      <c r="AK192" s="105"/>
      <c r="AL192" s="105"/>
      <c r="AM192" s="105"/>
      <c r="AN192" s="105"/>
      <c r="AO192" s="105"/>
      <c r="AP192" s="105"/>
      <c r="AQ192" s="105"/>
      <c r="AR192" s="105"/>
      <c r="AS192" s="105"/>
      <c r="AT192" s="105"/>
      <c r="AU192" s="105"/>
      <c r="AV192" s="105"/>
      <c r="AW192" s="105"/>
      <c r="AX192" s="105"/>
      <c r="AY192" s="105"/>
      <c r="AZ192" s="105"/>
      <c r="BA192" s="105"/>
      <c r="BB192" s="105"/>
      <c r="BC192" s="105"/>
      <c r="BD192" s="105"/>
      <c r="BE192" s="105"/>
      <c r="BF192" s="105"/>
      <c r="BG192" s="105"/>
      <c r="BH192" s="105"/>
      <c r="BI192" s="105"/>
      <c r="BJ192" s="105"/>
      <c r="BK192" s="105"/>
      <c r="BL192" s="105"/>
      <c r="BM192" s="105"/>
      <c r="BN192" s="105"/>
      <c r="BO192" s="105"/>
      <c r="BP192" s="105"/>
      <c r="BQ192" s="105"/>
      <c r="BR192" s="105"/>
      <c r="BS192" s="105"/>
      <c r="BT192" s="105"/>
      <c r="BU192" s="105"/>
      <c r="BV192" s="105"/>
      <c r="BW192" s="105"/>
      <c r="BX192" s="105"/>
      <c r="BY192" s="105"/>
      <c r="BZ192" s="105"/>
      <c r="CA192" s="105"/>
      <c r="CB192" s="105"/>
      <c r="CC192" s="105"/>
      <c r="CD192" s="105"/>
      <c r="CE192" s="105"/>
      <c r="CF192" s="105"/>
      <c r="CG192" s="105"/>
      <c r="CH192" s="105"/>
      <c r="CI192" s="105"/>
      <c r="CJ192" s="105"/>
      <c r="CK192" s="105"/>
      <c r="CL192" s="105"/>
      <c r="CM192" s="105"/>
      <c r="CN192" s="105"/>
      <c r="CO192" s="105"/>
      <c r="CP192" s="105"/>
      <c r="CQ192" s="105"/>
      <c r="CR192" s="105"/>
      <c r="CS192" s="105"/>
      <c r="CT192" s="105"/>
      <c r="CU192" s="105"/>
      <c r="CV192" s="105"/>
      <c r="CW192" s="105"/>
      <c r="CX192" s="105"/>
      <c r="CY192" s="105"/>
      <c r="CZ192" s="105"/>
      <c r="DA192" s="105"/>
    </row>
    <row r="193">
      <c r="A193" s="7"/>
      <c r="B193" s="105"/>
      <c r="C193" s="7"/>
      <c r="D193" s="7"/>
      <c r="E193" s="7"/>
      <c r="F193" s="105"/>
      <c r="G193" s="105"/>
      <c r="H193" s="105"/>
      <c r="I193" s="105"/>
      <c r="J193" s="105"/>
      <c r="K193" s="105"/>
      <c r="L193" s="105"/>
      <c r="M193" s="105"/>
      <c r="N193" s="105"/>
      <c r="O193" s="105"/>
      <c r="P193" s="105"/>
      <c r="Q193" s="105"/>
      <c r="R193" s="105"/>
      <c r="S193" s="105"/>
      <c r="T193" s="105"/>
      <c r="U193" s="105"/>
      <c r="V193" s="105"/>
      <c r="W193" s="105"/>
      <c r="X193" s="105"/>
      <c r="Y193" s="105"/>
      <c r="Z193" s="105"/>
      <c r="AA193" s="105"/>
      <c r="AB193" s="105"/>
      <c r="AC193" s="105"/>
      <c r="AD193" s="105"/>
      <c r="AE193" s="105"/>
      <c r="AF193" s="105"/>
      <c r="AG193" s="105"/>
      <c r="AH193" s="105"/>
      <c r="AI193" s="105"/>
      <c r="AJ193" s="105"/>
      <c r="AK193" s="105"/>
      <c r="AL193" s="105"/>
      <c r="AM193" s="105"/>
      <c r="AN193" s="105"/>
      <c r="AO193" s="105"/>
      <c r="AP193" s="105"/>
      <c r="AQ193" s="105"/>
      <c r="AR193" s="105"/>
      <c r="AS193" s="105"/>
      <c r="AT193" s="105"/>
      <c r="AU193" s="105"/>
      <c r="AV193" s="105"/>
      <c r="AW193" s="105"/>
      <c r="AX193" s="105"/>
      <c r="AY193" s="105"/>
      <c r="AZ193" s="105"/>
      <c r="BA193" s="105"/>
      <c r="BB193" s="105"/>
      <c r="BC193" s="105"/>
      <c r="BD193" s="105"/>
      <c r="BE193" s="105"/>
      <c r="BF193" s="105"/>
      <c r="BG193" s="105"/>
      <c r="BH193" s="105"/>
      <c r="BI193" s="105"/>
      <c r="BJ193" s="105"/>
      <c r="BK193" s="105"/>
      <c r="BL193" s="105"/>
      <c r="BM193" s="105"/>
      <c r="BN193" s="105"/>
      <c r="BO193" s="105"/>
      <c r="BP193" s="105"/>
      <c r="BQ193" s="105"/>
      <c r="BR193" s="105"/>
      <c r="BS193" s="105"/>
      <c r="BT193" s="105"/>
      <c r="BU193" s="105"/>
      <c r="BV193" s="105"/>
      <c r="BW193" s="105"/>
      <c r="BX193" s="105"/>
      <c r="BY193" s="105"/>
      <c r="BZ193" s="105"/>
      <c r="CA193" s="105"/>
      <c r="CB193" s="105"/>
      <c r="CC193" s="105"/>
      <c r="CD193" s="105"/>
      <c r="CE193" s="105"/>
      <c r="CF193" s="105"/>
      <c r="CG193" s="105"/>
      <c r="CH193" s="105"/>
      <c r="CI193" s="105"/>
      <c r="CJ193" s="105"/>
      <c r="CK193" s="105"/>
      <c r="CL193" s="105"/>
      <c r="CM193" s="105"/>
      <c r="CN193" s="105"/>
      <c r="CO193" s="105"/>
      <c r="CP193" s="105"/>
      <c r="CQ193" s="105"/>
      <c r="CR193" s="105"/>
      <c r="CS193" s="105"/>
      <c r="CT193" s="105"/>
      <c r="CU193" s="105"/>
      <c r="CV193" s="105"/>
      <c r="CW193" s="105"/>
      <c r="CX193" s="105"/>
      <c r="CY193" s="105"/>
      <c r="CZ193" s="105"/>
      <c r="DA193" s="105"/>
    </row>
    <row r="194">
      <c r="A194" s="7"/>
      <c r="B194" s="105"/>
      <c r="C194" s="7"/>
      <c r="D194" s="7"/>
      <c r="E194" s="7"/>
      <c r="F194" s="105"/>
      <c r="G194" s="105"/>
      <c r="H194" s="105"/>
      <c r="I194" s="105"/>
      <c r="J194" s="105"/>
      <c r="K194" s="105"/>
      <c r="L194" s="105"/>
      <c r="M194" s="105"/>
      <c r="N194" s="105"/>
      <c r="O194" s="105"/>
      <c r="P194" s="105"/>
      <c r="Q194" s="105"/>
      <c r="R194" s="105"/>
      <c r="S194" s="105"/>
      <c r="T194" s="105"/>
      <c r="U194" s="105"/>
      <c r="V194" s="105"/>
      <c r="W194" s="105"/>
      <c r="X194" s="105"/>
      <c r="Y194" s="105"/>
      <c r="Z194" s="105"/>
      <c r="AA194" s="105"/>
      <c r="AB194" s="105"/>
      <c r="AC194" s="105"/>
      <c r="AD194" s="105"/>
      <c r="AE194" s="105"/>
      <c r="AF194" s="105"/>
      <c r="AG194" s="105"/>
      <c r="AH194" s="105"/>
      <c r="AI194" s="105"/>
      <c r="AJ194" s="105"/>
      <c r="AK194" s="105"/>
      <c r="AL194" s="105"/>
      <c r="AM194" s="105"/>
      <c r="AN194" s="105"/>
      <c r="AO194" s="105"/>
      <c r="AP194" s="105"/>
      <c r="AQ194" s="105"/>
      <c r="AR194" s="105"/>
      <c r="AS194" s="105"/>
      <c r="AT194" s="105"/>
      <c r="AU194" s="105"/>
      <c r="AV194" s="105"/>
      <c r="AW194" s="105"/>
      <c r="AX194" s="105"/>
      <c r="AY194" s="105"/>
      <c r="AZ194" s="105"/>
      <c r="BA194" s="105"/>
      <c r="BB194" s="105"/>
      <c r="BC194" s="105"/>
      <c r="BD194" s="105"/>
      <c r="BE194" s="105"/>
      <c r="BF194" s="105"/>
      <c r="BG194" s="105"/>
      <c r="BH194" s="105"/>
      <c r="BI194" s="105"/>
      <c r="BJ194" s="105"/>
      <c r="BK194" s="105"/>
      <c r="BL194" s="105"/>
      <c r="BM194" s="105"/>
      <c r="BN194" s="105"/>
      <c r="BO194" s="105"/>
      <c r="BP194" s="105"/>
      <c r="BQ194" s="105"/>
      <c r="BR194" s="105"/>
      <c r="BS194" s="105"/>
      <c r="BT194" s="105"/>
      <c r="BU194" s="105"/>
      <c r="BV194" s="105"/>
      <c r="BW194" s="105"/>
      <c r="BX194" s="105"/>
      <c r="BY194" s="105"/>
      <c r="BZ194" s="105"/>
      <c r="CA194" s="105"/>
      <c r="CB194" s="105"/>
      <c r="CC194" s="105"/>
      <c r="CD194" s="105"/>
      <c r="CE194" s="105"/>
      <c r="CF194" s="105"/>
      <c r="CG194" s="105"/>
      <c r="CH194" s="105"/>
      <c r="CI194" s="105"/>
      <c r="CJ194" s="105"/>
      <c r="CK194" s="105"/>
      <c r="CL194" s="105"/>
      <c r="CM194" s="105"/>
      <c r="CN194" s="105"/>
      <c r="CO194" s="105"/>
      <c r="CP194" s="105"/>
      <c r="CQ194" s="105"/>
      <c r="CR194" s="105"/>
      <c r="CS194" s="105"/>
      <c r="CT194" s="105"/>
      <c r="CU194" s="105"/>
      <c r="CV194" s="105"/>
      <c r="CW194" s="105"/>
      <c r="CX194" s="105"/>
      <c r="CY194" s="105"/>
      <c r="CZ194" s="105"/>
      <c r="DA194" s="105"/>
    </row>
    <row r="195">
      <c r="A195" s="7"/>
      <c r="B195" s="105"/>
      <c r="C195" s="7"/>
      <c r="D195" s="7"/>
      <c r="E195" s="7"/>
      <c r="F195" s="105"/>
      <c r="G195" s="105"/>
      <c r="H195" s="105"/>
      <c r="I195" s="105"/>
      <c r="J195" s="105"/>
      <c r="K195" s="105"/>
      <c r="L195" s="105"/>
      <c r="M195" s="105"/>
      <c r="N195" s="105"/>
      <c r="O195" s="105"/>
      <c r="P195" s="105"/>
      <c r="Q195" s="105"/>
      <c r="R195" s="105"/>
      <c r="S195" s="105"/>
      <c r="T195" s="105"/>
      <c r="U195" s="105"/>
      <c r="V195" s="105"/>
      <c r="W195" s="105"/>
      <c r="X195" s="105"/>
      <c r="Y195" s="105"/>
      <c r="Z195" s="105"/>
      <c r="AA195" s="105"/>
      <c r="AB195" s="105"/>
      <c r="AC195" s="105"/>
      <c r="AD195" s="105"/>
      <c r="AE195" s="105"/>
      <c r="AF195" s="105"/>
      <c r="AG195" s="105"/>
      <c r="AH195" s="105"/>
      <c r="AI195" s="105"/>
      <c r="AJ195" s="105"/>
      <c r="AK195" s="105"/>
      <c r="AL195" s="105"/>
      <c r="AM195" s="105"/>
      <c r="AN195" s="105"/>
      <c r="AO195" s="105"/>
      <c r="AP195" s="105"/>
      <c r="AQ195" s="105"/>
      <c r="AR195" s="105"/>
      <c r="AS195" s="105"/>
      <c r="AT195" s="105"/>
      <c r="AU195" s="105"/>
      <c r="AV195" s="105"/>
      <c r="AW195" s="105"/>
      <c r="AX195" s="105"/>
      <c r="AY195" s="105"/>
      <c r="AZ195" s="105"/>
      <c r="BA195" s="105"/>
      <c r="BB195" s="105"/>
      <c r="BC195" s="105"/>
      <c r="BD195" s="105"/>
      <c r="BE195" s="105"/>
      <c r="BF195" s="105"/>
      <c r="BG195" s="105"/>
      <c r="BH195" s="105"/>
      <c r="BI195" s="105"/>
      <c r="BJ195" s="105"/>
      <c r="BK195" s="105"/>
      <c r="BL195" s="105"/>
      <c r="BM195" s="105"/>
      <c r="BN195" s="105"/>
      <c r="BO195" s="105"/>
      <c r="BP195" s="105"/>
      <c r="BQ195" s="105"/>
      <c r="BR195" s="105"/>
      <c r="BS195" s="105"/>
      <c r="BT195" s="105"/>
      <c r="BU195" s="105"/>
      <c r="BV195" s="105"/>
      <c r="BW195" s="105"/>
      <c r="BX195" s="105"/>
      <c r="BY195" s="105"/>
      <c r="BZ195" s="105"/>
      <c r="CA195" s="105"/>
      <c r="CB195" s="105"/>
      <c r="CC195" s="105"/>
      <c r="CD195" s="105"/>
      <c r="CE195" s="105"/>
      <c r="CF195" s="105"/>
      <c r="CG195" s="105"/>
      <c r="CH195" s="105"/>
      <c r="CI195" s="105"/>
      <c r="CJ195" s="105"/>
      <c r="CK195" s="105"/>
      <c r="CL195" s="105"/>
      <c r="CM195" s="105"/>
      <c r="CN195" s="105"/>
      <c r="CO195" s="105"/>
      <c r="CP195" s="105"/>
      <c r="CQ195" s="105"/>
      <c r="CR195" s="105"/>
      <c r="CS195" s="105"/>
      <c r="CT195" s="105"/>
      <c r="CU195" s="105"/>
      <c r="CV195" s="105"/>
      <c r="CW195" s="105"/>
      <c r="CX195" s="105"/>
      <c r="CY195" s="105"/>
      <c r="CZ195" s="105"/>
      <c r="DA195" s="105"/>
    </row>
    <row r="196">
      <c r="A196" s="7"/>
      <c r="B196" s="105"/>
      <c r="C196" s="7"/>
      <c r="D196" s="7"/>
      <c r="E196" s="7"/>
      <c r="F196" s="105"/>
      <c r="G196" s="105"/>
      <c r="H196" s="105"/>
      <c r="I196" s="105"/>
      <c r="J196" s="105"/>
      <c r="K196" s="105"/>
      <c r="L196" s="105"/>
      <c r="M196" s="105"/>
      <c r="N196" s="105"/>
      <c r="O196" s="105"/>
      <c r="P196" s="105"/>
      <c r="Q196" s="105"/>
      <c r="R196" s="105"/>
      <c r="S196" s="105"/>
      <c r="T196" s="105"/>
      <c r="U196" s="105"/>
      <c r="V196" s="105"/>
      <c r="W196" s="105"/>
      <c r="X196" s="105"/>
      <c r="Y196" s="105"/>
      <c r="Z196" s="105"/>
      <c r="AA196" s="105"/>
      <c r="AB196" s="105"/>
      <c r="AC196" s="105"/>
      <c r="AD196" s="105"/>
      <c r="AE196" s="105"/>
      <c r="AF196" s="105"/>
      <c r="AG196" s="105"/>
      <c r="AH196" s="105"/>
      <c r="AI196" s="105"/>
      <c r="AJ196" s="105"/>
      <c r="AK196" s="105"/>
      <c r="AL196" s="105"/>
      <c r="AM196" s="105"/>
      <c r="AN196" s="105"/>
      <c r="AO196" s="105"/>
      <c r="AP196" s="105"/>
      <c r="AQ196" s="105"/>
      <c r="AR196" s="105"/>
      <c r="AS196" s="105"/>
      <c r="AT196" s="105"/>
      <c r="AU196" s="105"/>
      <c r="AV196" s="105"/>
      <c r="AW196" s="105"/>
      <c r="AX196" s="105"/>
      <c r="AY196" s="105"/>
      <c r="AZ196" s="105"/>
      <c r="BA196" s="105"/>
      <c r="BB196" s="105"/>
      <c r="BC196" s="105"/>
      <c r="BD196" s="105"/>
      <c r="BE196" s="105"/>
      <c r="BF196" s="105"/>
      <c r="BG196" s="105"/>
      <c r="BH196" s="105"/>
      <c r="BI196" s="105"/>
      <c r="BJ196" s="105"/>
      <c r="BK196" s="105"/>
      <c r="BL196" s="105"/>
      <c r="BM196" s="105"/>
      <c r="BN196" s="105"/>
      <c r="BO196" s="105"/>
      <c r="BP196" s="105"/>
      <c r="BQ196" s="105"/>
      <c r="BR196" s="105"/>
      <c r="BS196" s="105"/>
      <c r="BT196" s="105"/>
      <c r="BU196" s="105"/>
      <c r="BV196" s="105"/>
      <c r="BW196" s="105"/>
      <c r="BX196" s="105"/>
      <c r="BY196" s="105"/>
      <c r="BZ196" s="105"/>
      <c r="CA196" s="105"/>
      <c r="CB196" s="105"/>
      <c r="CC196" s="105"/>
      <c r="CD196" s="105"/>
      <c r="CE196" s="105"/>
      <c r="CF196" s="105"/>
      <c r="CG196" s="105"/>
      <c r="CH196" s="105"/>
      <c r="CI196" s="105"/>
      <c r="CJ196" s="105"/>
      <c r="CK196" s="105"/>
      <c r="CL196" s="105"/>
      <c r="CM196" s="105"/>
      <c r="CN196" s="105"/>
      <c r="CO196" s="105"/>
      <c r="CP196" s="105"/>
      <c r="CQ196" s="105"/>
      <c r="CR196" s="105"/>
      <c r="CS196" s="105"/>
      <c r="CT196" s="105"/>
      <c r="CU196" s="105"/>
      <c r="CV196" s="105"/>
      <c r="CW196" s="105"/>
      <c r="CX196" s="105"/>
      <c r="CY196" s="105"/>
      <c r="CZ196" s="105"/>
      <c r="DA196" s="105"/>
    </row>
    <row r="197">
      <c r="A197" s="7"/>
      <c r="B197" s="105"/>
      <c r="C197" s="7"/>
      <c r="D197" s="7"/>
      <c r="E197" s="7"/>
      <c r="F197" s="105"/>
      <c r="G197" s="105"/>
      <c r="H197" s="105"/>
      <c r="I197" s="105"/>
      <c r="J197" s="105"/>
      <c r="K197" s="105"/>
      <c r="L197" s="105"/>
      <c r="M197" s="105"/>
      <c r="N197" s="105"/>
      <c r="O197" s="105"/>
      <c r="P197" s="105"/>
      <c r="Q197" s="105"/>
      <c r="R197" s="105"/>
      <c r="S197" s="105"/>
      <c r="T197" s="105"/>
      <c r="U197" s="105"/>
      <c r="V197" s="105"/>
      <c r="W197" s="105"/>
      <c r="X197" s="105"/>
      <c r="Y197" s="105"/>
      <c r="Z197" s="105"/>
      <c r="AA197" s="105"/>
      <c r="AB197" s="105"/>
      <c r="AC197" s="105"/>
      <c r="AD197" s="105"/>
      <c r="AE197" s="105"/>
      <c r="AF197" s="105"/>
      <c r="AG197" s="105"/>
      <c r="AH197" s="105"/>
      <c r="AI197" s="105"/>
      <c r="AJ197" s="105"/>
      <c r="AK197" s="105"/>
      <c r="AL197" s="105"/>
      <c r="AM197" s="105"/>
      <c r="AN197" s="105"/>
      <c r="AO197" s="105"/>
      <c r="AP197" s="105"/>
      <c r="AQ197" s="105"/>
      <c r="AR197" s="105"/>
      <c r="AS197" s="105"/>
      <c r="AT197" s="105"/>
      <c r="AU197" s="105"/>
      <c r="AV197" s="105"/>
      <c r="AW197" s="105"/>
      <c r="AX197" s="105"/>
      <c r="AY197" s="105"/>
      <c r="AZ197" s="105"/>
      <c r="BA197" s="105"/>
      <c r="BB197" s="105"/>
      <c r="BC197" s="105"/>
      <c r="BD197" s="105"/>
      <c r="BE197" s="105"/>
      <c r="BF197" s="105"/>
      <c r="BG197" s="105"/>
      <c r="BH197" s="105"/>
      <c r="BI197" s="105"/>
      <c r="BJ197" s="105"/>
      <c r="BK197" s="105"/>
      <c r="BL197" s="105"/>
      <c r="BM197" s="105"/>
      <c r="BN197" s="105"/>
      <c r="BO197" s="105"/>
      <c r="BP197" s="105"/>
      <c r="BQ197" s="105"/>
      <c r="BR197" s="105"/>
      <c r="BS197" s="105"/>
      <c r="BT197" s="105"/>
      <c r="BU197" s="105"/>
      <c r="BV197" s="105"/>
      <c r="BW197" s="105"/>
      <c r="BX197" s="105"/>
      <c r="BY197" s="105"/>
      <c r="BZ197" s="105"/>
      <c r="CA197" s="105"/>
      <c r="CB197" s="105"/>
      <c r="CC197" s="105"/>
      <c r="CD197" s="105"/>
      <c r="CE197" s="105"/>
      <c r="CF197" s="105"/>
      <c r="CG197" s="105"/>
      <c r="CH197" s="105"/>
      <c r="CI197" s="105"/>
      <c r="CJ197" s="105"/>
      <c r="CK197" s="105"/>
      <c r="CL197" s="105"/>
      <c r="CM197" s="105"/>
      <c r="CN197" s="105"/>
      <c r="CO197" s="105"/>
      <c r="CP197" s="105"/>
      <c r="CQ197" s="105"/>
      <c r="CR197" s="105"/>
      <c r="CS197" s="105"/>
      <c r="CT197" s="105"/>
      <c r="CU197" s="105"/>
      <c r="CV197" s="105"/>
      <c r="CW197" s="105"/>
      <c r="CX197" s="105"/>
      <c r="CY197" s="105"/>
      <c r="CZ197" s="105"/>
      <c r="DA197" s="105"/>
    </row>
    <row r="198">
      <c r="A198" s="7"/>
      <c r="B198" s="105"/>
      <c r="C198" s="7"/>
      <c r="D198" s="7"/>
      <c r="E198" s="7"/>
      <c r="F198" s="105"/>
      <c r="G198" s="105"/>
      <c r="H198" s="105"/>
      <c r="I198" s="105"/>
      <c r="J198" s="105"/>
      <c r="K198" s="105"/>
      <c r="L198" s="105"/>
      <c r="M198" s="105"/>
      <c r="N198" s="105"/>
      <c r="O198" s="105"/>
      <c r="P198" s="105"/>
      <c r="Q198" s="105"/>
      <c r="R198" s="105"/>
      <c r="S198" s="105"/>
      <c r="T198" s="105"/>
      <c r="U198" s="105"/>
      <c r="V198" s="105"/>
      <c r="W198" s="105"/>
      <c r="X198" s="105"/>
      <c r="Y198" s="105"/>
      <c r="Z198" s="105"/>
      <c r="AA198" s="105"/>
      <c r="AB198" s="105"/>
      <c r="AC198" s="105"/>
      <c r="AD198" s="105"/>
      <c r="AE198" s="105"/>
      <c r="AF198" s="105"/>
      <c r="AG198" s="105"/>
      <c r="AH198" s="105"/>
      <c r="AI198" s="105"/>
      <c r="AJ198" s="105"/>
      <c r="AK198" s="105"/>
      <c r="AL198" s="105"/>
      <c r="AM198" s="105"/>
      <c r="AN198" s="105"/>
      <c r="AO198" s="105"/>
      <c r="AP198" s="105"/>
      <c r="AQ198" s="105"/>
      <c r="AR198" s="105"/>
      <c r="AS198" s="105"/>
      <c r="AT198" s="105"/>
      <c r="AU198" s="105"/>
      <c r="AV198" s="105"/>
      <c r="AW198" s="105"/>
      <c r="AX198" s="105"/>
      <c r="AY198" s="105"/>
      <c r="AZ198" s="105"/>
      <c r="BA198" s="105"/>
      <c r="BB198" s="105"/>
      <c r="BC198" s="105"/>
      <c r="BD198" s="105"/>
      <c r="BE198" s="105"/>
      <c r="BF198" s="105"/>
      <c r="BG198" s="105"/>
      <c r="BH198" s="105"/>
      <c r="BI198" s="105"/>
      <c r="BJ198" s="105"/>
      <c r="BK198" s="105"/>
      <c r="BL198" s="105"/>
      <c r="BM198" s="105"/>
      <c r="BN198" s="105"/>
      <c r="BO198" s="105"/>
      <c r="BP198" s="105"/>
      <c r="BQ198" s="105"/>
      <c r="BR198" s="105"/>
      <c r="BS198" s="105"/>
      <c r="BT198" s="105"/>
      <c r="BU198" s="105"/>
      <c r="BV198" s="105"/>
      <c r="BW198" s="105"/>
      <c r="BX198" s="105"/>
      <c r="BY198" s="105"/>
      <c r="BZ198" s="105"/>
      <c r="CA198" s="105"/>
      <c r="CB198" s="105"/>
      <c r="CC198" s="105"/>
      <c r="CD198" s="105"/>
      <c r="CE198" s="105"/>
      <c r="CF198" s="105"/>
      <c r="CG198" s="105"/>
      <c r="CH198" s="105"/>
      <c r="CI198" s="105"/>
      <c r="CJ198" s="105"/>
      <c r="CK198" s="105"/>
      <c r="CL198" s="105"/>
      <c r="CM198" s="105"/>
      <c r="CN198" s="105"/>
      <c r="CO198" s="105"/>
      <c r="CP198" s="105"/>
      <c r="CQ198" s="105"/>
      <c r="CR198" s="105"/>
      <c r="CS198" s="105"/>
      <c r="CT198" s="105"/>
      <c r="CU198" s="105"/>
      <c r="CV198" s="105"/>
      <c r="CW198" s="105"/>
      <c r="CX198" s="105"/>
      <c r="CY198" s="105"/>
      <c r="CZ198" s="105"/>
      <c r="DA198" s="105"/>
    </row>
    <row r="199">
      <c r="A199" s="7"/>
      <c r="B199" s="105"/>
      <c r="C199" s="7"/>
      <c r="D199" s="7"/>
      <c r="E199" s="7"/>
      <c r="F199" s="105"/>
      <c r="G199" s="105"/>
      <c r="H199" s="105"/>
      <c r="I199" s="105"/>
      <c r="J199" s="105"/>
      <c r="K199" s="105"/>
      <c r="L199" s="105"/>
      <c r="M199" s="105"/>
      <c r="N199" s="105"/>
      <c r="O199" s="105"/>
      <c r="P199" s="105"/>
      <c r="Q199" s="105"/>
      <c r="R199" s="105"/>
      <c r="S199" s="105"/>
      <c r="T199" s="105"/>
      <c r="U199" s="105"/>
      <c r="V199" s="105"/>
      <c r="W199" s="105"/>
      <c r="X199" s="105"/>
      <c r="Y199" s="105"/>
      <c r="Z199" s="105"/>
      <c r="AA199" s="105"/>
      <c r="AB199" s="105"/>
      <c r="AC199" s="105"/>
      <c r="AD199" s="105"/>
      <c r="AE199" s="105"/>
      <c r="AF199" s="105"/>
      <c r="AG199" s="105"/>
      <c r="AH199" s="105"/>
      <c r="AI199" s="105"/>
      <c r="AJ199" s="105"/>
      <c r="AK199" s="105"/>
      <c r="AL199" s="105"/>
      <c r="AM199" s="105"/>
      <c r="AN199" s="105"/>
      <c r="AO199" s="105"/>
      <c r="AP199" s="105"/>
      <c r="AQ199" s="105"/>
      <c r="AR199" s="105"/>
      <c r="AS199" s="105"/>
      <c r="AT199" s="105"/>
      <c r="AU199" s="105"/>
      <c r="AV199" s="105"/>
      <c r="AW199" s="105"/>
      <c r="AX199" s="105"/>
      <c r="AY199" s="105"/>
      <c r="AZ199" s="105"/>
      <c r="BA199" s="105"/>
      <c r="BB199" s="105"/>
      <c r="BC199" s="105"/>
      <c r="BD199" s="105"/>
      <c r="BE199" s="105"/>
      <c r="BF199" s="105"/>
      <c r="BG199" s="105"/>
      <c r="BH199" s="105"/>
      <c r="BI199" s="105"/>
      <c r="BJ199" s="105"/>
      <c r="BK199" s="105"/>
      <c r="BL199" s="105"/>
      <c r="BM199" s="105"/>
      <c r="BN199" s="105"/>
      <c r="BO199" s="105"/>
      <c r="BP199" s="105"/>
      <c r="BQ199" s="105"/>
      <c r="BR199" s="105"/>
      <c r="BS199" s="105"/>
      <c r="BT199" s="105"/>
      <c r="BU199" s="105"/>
      <c r="BV199" s="105"/>
      <c r="BW199" s="105"/>
      <c r="BX199" s="105"/>
      <c r="BY199" s="105"/>
      <c r="BZ199" s="105"/>
      <c r="CA199" s="105"/>
      <c r="CB199" s="105"/>
      <c r="CC199" s="105"/>
      <c r="CD199" s="105"/>
      <c r="CE199" s="105"/>
      <c r="CF199" s="105"/>
      <c r="CG199" s="105"/>
      <c r="CH199" s="105"/>
      <c r="CI199" s="105"/>
      <c r="CJ199" s="105"/>
      <c r="CK199" s="105"/>
      <c r="CL199" s="105"/>
      <c r="CM199" s="105"/>
      <c r="CN199" s="105"/>
      <c r="CO199" s="105"/>
      <c r="CP199" s="105"/>
      <c r="CQ199" s="105"/>
      <c r="CR199" s="105"/>
      <c r="CS199" s="105"/>
      <c r="CT199" s="105"/>
      <c r="CU199" s="105"/>
      <c r="CV199" s="105"/>
      <c r="CW199" s="105"/>
      <c r="CX199" s="105"/>
      <c r="CY199" s="105"/>
      <c r="CZ199" s="105"/>
      <c r="DA199" s="105"/>
    </row>
    <row r="200">
      <c r="A200" s="7"/>
      <c r="B200" s="105"/>
      <c r="C200" s="7"/>
      <c r="D200" s="7"/>
      <c r="E200" s="7"/>
      <c r="F200" s="105"/>
      <c r="G200" s="105"/>
      <c r="H200" s="105"/>
      <c r="I200" s="105"/>
      <c r="J200" s="105"/>
      <c r="K200" s="105"/>
      <c r="L200" s="105"/>
      <c r="M200" s="105"/>
      <c r="N200" s="105"/>
      <c r="O200" s="105"/>
      <c r="P200" s="105"/>
      <c r="Q200" s="105"/>
      <c r="R200" s="105"/>
      <c r="S200" s="105"/>
      <c r="T200" s="105"/>
      <c r="U200" s="105"/>
      <c r="V200" s="105"/>
      <c r="W200" s="105"/>
      <c r="X200" s="105"/>
      <c r="Y200" s="105"/>
      <c r="Z200" s="105"/>
      <c r="AA200" s="105"/>
      <c r="AB200" s="105"/>
      <c r="AC200" s="105"/>
      <c r="AD200" s="105"/>
      <c r="AE200" s="105"/>
      <c r="AF200" s="105"/>
      <c r="AG200" s="105"/>
      <c r="AH200" s="105"/>
      <c r="AI200" s="105"/>
      <c r="AJ200" s="105"/>
      <c r="AK200" s="105"/>
      <c r="AL200" s="105"/>
      <c r="AM200" s="105"/>
      <c r="AN200" s="105"/>
      <c r="AO200" s="105"/>
      <c r="AP200" s="105"/>
      <c r="AQ200" s="105"/>
      <c r="AR200" s="105"/>
      <c r="AS200" s="105"/>
      <c r="AT200" s="105"/>
      <c r="AU200" s="105"/>
      <c r="AV200" s="105"/>
      <c r="AW200" s="105"/>
      <c r="AX200" s="105"/>
      <c r="AY200" s="105"/>
      <c r="AZ200" s="105"/>
      <c r="BA200" s="105"/>
      <c r="BB200" s="105"/>
      <c r="BC200" s="105"/>
      <c r="BD200" s="105"/>
      <c r="BE200" s="105"/>
      <c r="BF200" s="105"/>
      <c r="BG200" s="105"/>
      <c r="BH200" s="105"/>
      <c r="BI200" s="105"/>
      <c r="BJ200" s="105"/>
      <c r="BK200" s="105"/>
      <c r="BL200" s="105"/>
      <c r="BM200" s="105"/>
      <c r="BN200" s="105"/>
      <c r="BO200" s="105"/>
      <c r="BP200" s="105"/>
      <c r="BQ200" s="105"/>
      <c r="BR200" s="105"/>
      <c r="BS200" s="105"/>
      <c r="BT200" s="105"/>
      <c r="BU200" s="105"/>
      <c r="BV200" s="105"/>
      <c r="BW200" s="105"/>
      <c r="BX200" s="105"/>
      <c r="BY200" s="105"/>
      <c r="BZ200" s="105"/>
      <c r="CA200" s="105"/>
      <c r="CB200" s="105"/>
      <c r="CC200" s="105"/>
      <c r="CD200" s="105"/>
      <c r="CE200" s="105"/>
      <c r="CF200" s="105"/>
      <c r="CG200" s="105"/>
      <c r="CH200" s="105"/>
      <c r="CI200" s="105"/>
      <c r="CJ200" s="105"/>
      <c r="CK200" s="105"/>
      <c r="CL200" s="105"/>
      <c r="CM200" s="105"/>
      <c r="CN200" s="105"/>
      <c r="CO200" s="105"/>
      <c r="CP200" s="105"/>
      <c r="CQ200" s="105"/>
      <c r="CR200" s="105"/>
      <c r="CS200" s="105"/>
      <c r="CT200" s="105"/>
      <c r="CU200" s="105"/>
      <c r="CV200" s="105"/>
      <c r="CW200" s="105"/>
      <c r="CX200" s="105"/>
      <c r="CY200" s="105"/>
      <c r="CZ200" s="105"/>
      <c r="DA200" s="105"/>
    </row>
    <row r="201">
      <c r="A201" s="7"/>
      <c r="B201" s="105"/>
      <c r="C201" s="7"/>
      <c r="D201" s="7"/>
      <c r="E201" s="7"/>
      <c r="F201" s="105"/>
      <c r="G201" s="105"/>
      <c r="H201" s="105"/>
      <c r="I201" s="105"/>
      <c r="J201" s="105"/>
      <c r="K201" s="105"/>
      <c r="L201" s="105"/>
      <c r="M201" s="105"/>
      <c r="N201" s="105"/>
      <c r="O201" s="105"/>
      <c r="P201" s="105"/>
      <c r="Q201" s="105"/>
      <c r="R201" s="105"/>
      <c r="S201" s="105"/>
      <c r="T201" s="105"/>
      <c r="U201" s="105"/>
      <c r="V201" s="105"/>
      <c r="W201" s="105"/>
      <c r="X201" s="105"/>
      <c r="Y201" s="105"/>
      <c r="Z201" s="105"/>
      <c r="AA201" s="105"/>
      <c r="AB201" s="105"/>
      <c r="AC201" s="105"/>
      <c r="AD201" s="105"/>
      <c r="AE201" s="105"/>
      <c r="AF201" s="105"/>
      <c r="AG201" s="105"/>
      <c r="AH201" s="105"/>
      <c r="AI201" s="105"/>
      <c r="AJ201" s="105"/>
      <c r="AK201" s="105"/>
      <c r="AL201" s="105"/>
      <c r="AM201" s="105"/>
      <c r="AN201" s="105"/>
      <c r="AO201" s="105"/>
      <c r="AP201" s="105"/>
      <c r="AQ201" s="105"/>
      <c r="AR201" s="105"/>
      <c r="AS201" s="105"/>
      <c r="AT201" s="105"/>
      <c r="AU201" s="105"/>
      <c r="AV201" s="105"/>
      <c r="AW201" s="105"/>
      <c r="AX201" s="105"/>
      <c r="AY201" s="105"/>
      <c r="AZ201" s="105"/>
      <c r="BA201" s="105"/>
      <c r="BB201" s="105"/>
      <c r="BC201" s="105"/>
      <c r="BD201" s="105"/>
      <c r="BE201" s="105"/>
      <c r="BF201" s="105"/>
      <c r="BG201" s="105"/>
      <c r="BH201" s="105"/>
      <c r="BI201" s="105"/>
      <c r="BJ201" s="105"/>
      <c r="BK201" s="105"/>
      <c r="BL201" s="105"/>
      <c r="BM201" s="105"/>
      <c r="BN201" s="105"/>
      <c r="BO201" s="105"/>
      <c r="BP201" s="105"/>
      <c r="BQ201" s="105"/>
      <c r="BR201" s="105"/>
      <c r="BS201" s="105"/>
      <c r="BT201" s="105"/>
      <c r="BU201" s="105"/>
      <c r="BV201" s="105"/>
      <c r="BW201" s="105"/>
      <c r="BX201" s="105"/>
      <c r="BY201" s="105"/>
      <c r="BZ201" s="105"/>
      <c r="CA201" s="105"/>
      <c r="CB201" s="105"/>
      <c r="CC201" s="105"/>
      <c r="CD201" s="105"/>
      <c r="CE201" s="105"/>
      <c r="CF201" s="105"/>
      <c r="CG201" s="105"/>
      <c r="CH201" s="105"/>
      <c r="CI201" s="105"/>
      <c r="CJ201" s="105"/>
      <c r="CK201" s="105"/>
      <c r="CL201" s="105"/>
      <c r="CM201" s="105"/>
      <c r="CN201" s="105"/>
      <c r="CO201" s="105"/>
      <c r="CP201" s="105"/>
      <c r="CQ201" s="105"/>
      <c r="CR201" s="105"/>
      <c r="CS201" s="105"/>
      <c r="CT201" s="105"/>
      <c r="CU201" s="105"/>
      <c r="CV201" s="105"/>
      <c r="CW201" s="105"/>
      <c r="CX201" s="105"/>
      <c r="CY201" s="105"/>
      <c r="CZ201" s="105"/>
      <c r="DA201" s="105"/>
    </row>
    <row r="202">
      <c r="A202" s="7"/>
      <c r="B202" s="105"/>
      <c r="C202" s="7"/>
      <c r="D202" s="7"/>
      <c r="E202" s="7"/>
      <c r="F202" s="105"/>
      <c r="G202" s="105"/>
      <c r="H202" s="105"/>
      <c r="I202" s="105"/>
      <c r="J202" s="105"/>
      <c r="K202" s="105"/>
      <c r="L202" s="105"/>
      <c r="M202" s="105"/>
      <c r="N202" s="105"/>
      <c r="O202" s="105"/>
      <c r="P202" s="105"/>
      <c r="Q202" s="105"/>
      <c r="R202" s="105"/>
      <c r="S202" s="105"/>
      <c r="T202" s="105"/>
      <c r="U202" s="105"/>
      <c r="V202" s="105"/>
      <c r="W202" s="105"/>
      <c r="X202" s="105"/>
      <c r="Y202" s="105"/>
      <c r="Z202" s="105"/>
      <c r="AA202" s="105"/>
      <c r="AB202" s="105"/>
      <c r="AC202" s="105"/>
      <c r="AD202" s="105"/>
      <c r="AE202" s="105"/>
      <c r="AF202" s="105"/>
      <c r="AG202" s="105"/>
      <c r="AH202" s="105"/>
      <c r="AI202" s="105"/>
      <c r="AJ202" s="105"/>
      <c r="AK202" s="105"/>
      <c r="AL202" s="105"/>
      <c r="AM202" s="105"/>
      <c r="AN202" s="105"/>
      <c r="AO202" s="105"/>
      <c r="AP202" s="105"/>
      <c r="AQ202" s="105"/>
      <c r="AR202" s="105"/>
      <c r="AS202" s="105"/>
      <c r="AT202" s="105"/>
      <c r="AU202" s="105"/>
      <c r="AV202" s="105"/>
      <c r="AW202" s="105"/>
      <c r="AX202" s="105"/>
      <c r="AY202" s="105"/>
      <c r="AZ202" s="105"/>
      <c r="BA202" s="105"/>
      <c r="BB202" s="105"/>
      <c r="BC202" s="105"/>
      <c r="BD202" s="105"/>
      <c r="BE202" s="105"/>
      <c r="BF202" s="105"/>
      <c r="BG202" s="105"/>
      <c r="BH202" s="105"/>
      <c r="BI202" s="105"/>
      <c r="BJ202" s="105"/>
      <c r="BK202" s="105"/>
      <c r="BL202" s="105"/>
      <c r="BM202" s="105"/>
      <c r="BN202" s="105"/>
      <c r="BO202" s="105"/>
      <c r="BP202" s="105"/>
      <c r="BQ202" s="105"/>
      <c r="BR202" s="105"/>
      <c r="BS202" s="105"/>
      <c r="BT202" s="105"/>
      <c r="BU202" s="105"/>
      <c r="BV202" s="105"/>
      <c r="BW202" s="105"/>
      <c r="BX202" s="105"/>
      <c r="BY202" s="105"/>
      <c r="BZ202" s="105"/>
      <c r="CA202" s="105"/>
      <c r="CB202" s="105"/>
      <c r="CC202" s="105"/>
      <c r="CD202" s="105"/>
      <c r="CE202" s="105"/>
      <c r="CF202" s="105"/>
      <c r="CG202" s="105"/>
      <c r="CH202" s="105"/>
      <c r="CI202" s="105"/>
      <c r="CJ202" s="105"/>
      <c r="CK202" s="105"/>
      <c r="CL202" s="105"/>
      <c r="CM202" s="105"/>
      <c r="CN202" s="105"/>
      <c r="CO202" s="105"/>
      <c r="CP202" s="105"/>
      <c r="CQ202" s="105"/>
      <c r="CR202" s="105"/>
      <c r="CS202" s="105"/>
      <c r="CT202" s="105"/>
      <c r="CU202" s="105"/>
      <c r="CV202" s="105"/>
      <c r="CW202" s="105"/>
      <c r="CX202" s="105"/>
      <c r="CY202" s="105"/>
      <c r="CZ202" s="105"/>
      <c r="DA202" s="105"/>
    </row>
    <row r="203">
      <c r="A203" s="7"/>
      <c r="B203" s="105"/>
      <c r="C203" s="7"/>
      <c r="D203" s="7"/>
      <c r="E203" s="7"/>
      <c r="F203" s="105"/>
      <c r="G203" s="105"/>
      <c r="H203" s="105"/>
      <c r="I203" s="105"/>
      <c r="J203" s="105"/>
      <c r="K203" s="105"/>
      <c r="L203" s="105"/>
      <c r="M203" s="105"/>
      <c r="N203" s="105"/>
      <c r="O203" s="105"/>
      <c r="P203" s="105"/>
      <c r="Q203" s="105"/>
      <c r="R203" s="105"/>
      <c r="S203" s="105"/>
      <c r="T203" s="105"/>
      <c r="U203" s="105"/>
      <c r="V203" s="105"/>
      <c r="W203" s="105"/>
      <c r="X203" s="105"/>
      <c r="Y203" s="105"/>
      <c r="Z203" s="105"/>
      <c r="AA203" s="105"/>
      <c r="AB203" s="105"/>
      <c r="AC203" s="105"/>
      <c r="AD203" s="105"/>
      <c r="AE203" s="105"/>
      <c r="AF203" s="105"/>
      <c r="AG203" s="105"/>
      <c r="AH203" s="105"/>
      <c r="AI203" s="105"/>
      <c r="AJ203" s="105"/>
      <c r="AK203" s="105"/>
      <c r="AL203" s="105"/>
      <c r="AM203" s="105"/>
      <c r="AN203" s="105"/>
      <c r="AO203" s="105"/>
      <c r="AP203" s="105"/>
      <c r="AQ203" s="105"/>
      <c r="AR203" s="105"/>
      <c r="AS203" s="105"/>
      <c r="AT203" s="105"/>
      <c r="AU203" s="105"/>
      <c r="AV203" s="105"/>
      <c r="AW203" s="105"/>
      <c r="AX203" s="105"/>
      <c r="AY203" s="105"/>
      <c r="AZ203" s="105"/>
      <c r="BA203" s="105"/>
      <c r="BB203" s="105"/>
      <c r="BC203" s="105"/>
      <c r="BD203" s="105"/>
      <c r="BE203" s="105"/>
      <c r="BF203" s="105"/>
      <c r="BG203" s="105"/>
      <c r="BH203" s="105"/>
      <c r="BI203" s="105"/>
      <c r="BJ203" s="105"/>
      <c r="BK203" s="105"/>
      <c r="BL203" s="105"/>
      <c r="BM203" s="105"/>
      <c r="BN203" s="105"/>
      <c r="BO203" s="105"/>
      <c r="BP203" s="105"/>
      <c r="BQ203" s="105"/>
      <c r="BR203" s="105"/>
      <c r="BS203" s="105"/>
      <c r="BT203" s="105"/>
      <c r="BU203" s="105"/>
      <c r="BV203" s="105"/>
      <c r="BW203" s="105"/>
      <c r="BX203" s="105"/>
      <c r="BY203" s="105"/>
      <c r="BZ203" s="105"/>
      <c r="CA203" s="105"/>
      <c r="CB203" s="105"/>
      <c r="CC203" s="105"/>
      <c r="CD203" s="105"/>
      <c r="CE203" s="105"/>
      <c r="CF203" s="105"/>
      <c r="CG203" s="105"/>
      <c r="CH203" s="105"/>
      <c r="CI203" s="105"/>
      <c r="CJ203" s="105"/>
      <c r="CK203" s="105"/>
      <c r="CL203" s="105"/>
      <c r="CM203" s="105"/>
      <c r="CN203" s="105"/>
      <c r="CO203" s="105"/>
      <c r="CP203" s="105"/>
      <c r="CQ203" s="105"/>
      <c r="CR203" s="105"/>
      <c r="CS203" s="105"/>
      <c r="CT203" s="105"/>
      <c r="CU203" s="105"/>
      <c r="CV203" s="105"/>
      <c r="CW203" s="105"/>
      <c r="CX203" s="105"/>
      <c r="CY203" s="105"/>
      <c r="CZ203" s="105"/>
      <c r="DA203" s="105"/>
    </row>
    <row r="204">
      <c r="A204" s="7"/>
      <c r="B204" s="105"/>
      <c r="C204" s="7"/>
      <c r="D204" s="7"/>
      <c r="E204" s="7"/>
      <c r="F204" s="105"/>
      <c r="G204" s="105"/>
      <c r="H204" s="105"/>
      <c r="I204" s="105"/>
      <c r="J204" s="105"/>
      <c r="K204" s="105"/>
      <c r="L204" s="105"/>
      <c r="M204" s="105"/>
      <c r="N204" s="105"/>
      <c r="O204" s="105"/>
      <c r="P204" s="105"/>
      <c r="Q204" s="105"/>
      <c r="R204" s="105"/>
      <c r="S204" s="105"/>
      <c r="T204" s="105"/>
      <c r="U204" s="105"/>
      <c r="V204" s="105"/>
      <c r="W204" s="105"/>
      <c r="X204" s="105"/>
      <c r="Y204" s="105"/>
      <c r="Z204" s="105"/>
      <c r="AA204" s="105"/>
      <c r="AB204" s="105"/>
      <c r="AC204" s="105"/>
      <c r="AD204" s="105"/>
      <c r="AE204" s="105"/>
      <c r="AF204" s="105"/>
      <c r="AG204" s="105"/>
      <c r="AH204" s="105"/>
      <c r="AI204" s="105"/>
      <c r="AJ204" s="105"/>
      <c r="AK204" s="105"/>
      <c r="AL204" s="105"/>
      <c r="AM204" s="105"/>
      <c r="AN204" s="105"/>
      <c r="AO204" s="105"/>
      <c r="AP204" s="105"/>
      <c r="AQ204" s="105"/>
      <c r="AR204" s="105"/>
      <c r="AS204" s="105"/>
      <c r="AT204" s="105"/>
      <c r="AU204" s="105"/>
      <c r="AV204" s="105"/>
      <c r="AW204" s="105"/>
      <c r="AX204" s="105"/>
      <c r="AY204" s="105"/>
      <c r="AZ204" s="105"/>
      <c r="BA204" s="105"/>
      <c r="BB204" s="105"/>
      <c r="BC204" s="105"/>
      <c r="BD204" s="105"/>
      <c r="BE204" s="105"/>
      <c r="BF204" s="105"/>
      <c r="BG204" s="105"/>
      <c r="BH204" s="105"/>
      <c r="BI204" s="105"/>
      <c r="BJ204" s="105"/>
      <c r="BK204" s="105"/>
      <c r="BL204" s="105"/>
      <c r="BM204" s="105"/>
      <c r="BN204" s="105"/>
      <c r="BO204" s="105"/>
      <c r="BP204" s="105"/>
      <c r="BQ204" s="105"/>
      <c r="BR204" s="105"/>
      <c r="BS204" s="105"/>
      <c r="BT204" s="105"/>
      <c r="BU204" s="105"/>
      <c r="BV204" s="105"/>
      <c r="BW204" s="105"/>
      <c r="BX204" s="105"/>
      <c r="BY204" s="105"/>
      <c r="BZ204" s="105"/>
      <c r="CA204" s="105"/>
      <c r="CB204" s="105"/>
      <c r="CC204" s="105"/>
      <c r="CD204" s="105"/>
      <c r="CE204" s="105"/>
      <c r="CF204" s="105"/>
      <c r="CG204" s="105"/>
      <c r="CH204" s="105"/>
      <c r="CI204" s="105"/>
      <c r="CJ204" s="105"/>
      <c r="CK204" s="105"/>
      <c r="CL204" s="105"/>
      <c r="CM204" s="105"/>
      <c r="CN204" s="105"/>
      <c r="CO204" s="105"/>
      <c r="CP204" s="105"/>
      <c r="CQ204" s="105"/>
      <c r="CR204" s="105"/>
      <c r="CS204" s="105"/>
      <c r="CT204" s="105"/>
      <c r="CU204" s="105"/>
      <c r="CV204" s="105"/>
      <c r="CW204" s="105"/>
      <c r="CX204" s="105"/>
      <c r="CY204" s="105"/>
      <c r="CZ204" s="105"/>
      <c r="DA204" s="105"/>
    </row>
    <row r="205">
      <c r="A205" s="7"/>
      <c r="B205" s="105"/>
      <c r="C205" s="7"/>
      <c r="D205" s="7"/>
      <c r="E205" s="7"/>
      <c r="F205" s="105"/>
      <c r="G205" s="105"/>
      <c r="H205" s="105"/>
      <c r="I205" s="105"/>
      <c r="J205" s="105"/>
      <c r="K205" s="105"/>
      <c r="L205" s="105"/>
      <c r="M205" s="105"/>
      <c r="N205" s="105"/>
      <c r="O205" s="105"/>
      <c r="P205" s="105"/>
      <c r="Q205" s="105"/>
      <c r="R205" s="105"/>
      <c r="S205" s="105"/>
      <c r="T205" s="105"/>
      <c r="U205" s="105"/>
      <c r="V205" s="105"/>
      <c r="W205" s="105"/>
      <c r="X205" s="105"/>
      <c r="Y205" s="105"/>
      <c r="Z205" s="105"/>
      <c r="AA205" s="105"/>
      <c r="AB205" s="105"/>
      <c r="AC205" s="105"/>
      <c r="AD205" s="105"/>
      <c r="AE205" s="105"/>
      <c r="AF205" s="105"/>
      <c r="AG205" s="105"/>
      <c r="AH205" s="105"/>
      <c r="AI205" s="105"/>
      <c r="AJ205" s="105"/>
      <c r="AK205" s="105"/>
      <c r="AL205" s="105"/>
      <c r="AM205" s="105"/>
      <c r="AN205" s="105"/>
      <c r="AO205" s="105"/>
      <c r="AP205" s="105"/>
      <c r="AQ205" s="105"/>
      <c r="AR205" s="105"/>
      <c r="AS205" s="105"/>
      <c r="AT205" s="105"/>
      <c r="AU205" s="105"/>
      <c r="AV205" s="105"/>
      <c r="AW205" s="105"/>
      <c r="AX205" s="105"/>
      <c r="AY205" s="105"/>
      <c r="AZ205" s="105"/>
      <c r="BA205" s="105"/>
      <c r="BB205" s="105"/>
      <c r="BC205" s="105"/>
      <c r="BD205" s="105"/>
      <c r="BE205" s="105"/>
      <c r="BF205" s="105"/>
      <c r="BG205" s="105"/>
      <c r="BH205" s="105"/>
      <c r="BI205" s="105"/>
      <c r="BJ205" s="105"/>
      <c r="BK205" s="105"/>
      <c r="BL205" s="105"/>
      <c r="BM205" s="105"/>
      <c r="BN205" s="105"/>
      <c r="BO205" s="105"/>
      <c r="BP205" s="105"/>
      <c r="BQ205" s="105"/>
      <c r="BR205" s="105"/>
      <c r="BS205" s="105"/>
      <c r="BT205" s="105"/>
      <c r="BU205" s="105"/>
      <c r="BV205" s="105"/>
      <c r="BW205" s="105"/>
      <c r="BX205" s="105"/>
      <c r="BY205" s="105"/>
      <c r="BZ205" s="105"/>
      <c r="CA205" s="105"/>
      <c r="CB205" s="105"/>
      <c r="CC205" s="105"/>
      <c r="CD205" s="105"/>
      <c r="CE205" s="105"/>
      <c r="CF205" s="105"/>
      <c r="CG205" s="105"/>
      <c r="CH205" s="105"/>
      <c r="CI205" s="105"/>
      <c r="CJ205" s="105"/>
      <c r="CK205" s="105"/>
      <c r="CL205" s="105"/>
      <c r="CM205" s="105"/>
      <c r="CN205" s="105"/>
      <c r="CO205" s="105"/>
      <c r="CP205" s="105"/>
      <c r="CQ205" s="105"/>
      <c r="CR205" s="105"/>
      <c r="CS205" s="105"/>
      <c r="CT205" s="105"/>
      <c r="CU205" s="105"/>
      <c r="CV205" s="105"/>
      <c r="CW205" s="105"/>
      <c r="CX205" s="105"/>
      <c r="CY205" s="105"/>
      <c r="CZ205" s="105"/>
      <c r="DA205" s="105"/>
    </row>
    <row r="206">
      <c r="A206" s="7"/>
      <c r="B206" s="105"/>
      <c r="C206" s="7"/>
      <c r="D206" s="7"/>
      <c r="E206" s="7"/>
      <c r="F206" s="105"/>
      <c r="G206" s="105"/>
      <c r="H206" s="105"/>
      <c r="I206" s="105"/>
      <c r="J206" s="105"/>
      <c r="K206" s="105"/>
      <c r="L206" s="105"/>
      <c r="M206" s="105"/>
      <c r="N206" s="105"/>
      <c r="O206" s="105"/>
      <c r="P206" s="105"/>
      <c r="Q206" s="105"/>
      <c r="R206" s="105"/>
      <c r="S206" s="105"/>
      <c r="T206" s="105"/>
      <c r="U206" s="105"/>
      <c r="V206" s="105"/>
      <c r="W206" s="105"/>
      <c r="X206" s="105"/>
      <c r="Y206" s="105"/>
      <c r="Z206" s="105"/>
      <c r="AA206" s="105"/>
      <c r="AB206" s="105"/>
      <c r="AC206" s="105"/>
      <c r="AD206" s="105"/>
      <c r="AE206" s="105"/>
      <c r="AF206" s="105"/>
      <c r="AG206" s="105"/>
      <c r="AH206" s="105"/>
      <c r="AI206" s="105"/>
      <c r="AJ206" s="105"/>
      <c r="AK206" s="105"/>
      <c r="AL206" s="105"/>
      <c r="AM206" s="105"/>
      <c r="AN206" s="105"/>
      <c r="AO206" s="105"/>
      <c r="AP206" s="105"/>
      <c r="AQ206" s="105"/>
      <c r="AR206" s="105"/>
      <c r="AS206" s="105"/>
      <c r="AT206" s="105"/>
      <c r="AU206" s="105"/>
      <c r="AV206" s="105"/>
      <c r="AW206" s="105"/>
      <c r="AX206" s="105"/>
      <c r="AY206" s="105"/>
      <c r="AZ206" s="105"/>
      <c r="BA206" s="105"/>
      <c r="BB206" s="105"/>
      <c r="BC206" s="105"/>
      <c r="BD206" s="105"/>
      <c r="BE206" s="105"/>
      <c r="BF206" s="105"/>
      <c r="BG206" s="105"/>
      <c r="BH206" s="105"/>
      <c r="BI206" s="105"/>
      <c r="BJ206" s="105"/>
      <c r="BK206" s="105"/>
      <c r="BL206" s="105"/>
      <c r="BM206" s="105"/>
      <c r="BN206" s="105"/>
      <c r="BO206" s="105"/>
      <c r="BP206" s="105"/>
      <c r="BQ206" s="105"/>
      <c r="BR206" s="105"/>
      <c r="BS206" s="105"/>
      <c r="BT206" s="105"/>
      <c r="BU206" s="105"/>
      <c r="BV206" s="105"/>
      <c r="BW206" s="105"/>
      <c r="BX206" s="105"/>
      <c r="BY206" s="105"/>
      <c r="BZ206" s="105"/>
      <c r="CA206" s="105"/>
      <c r="CB206" s="105"/>
      <c r="CC206" s="105"/>
      <c r="CD206" s="105"/>
      <c r="CE206" s="105"/>
      <c r="CF206" s="105"/>
      <c r="CG206" s="105"/>
      <c r="CH206" s="105"/>
      <c r="CI206" s="105"/>
      <c r="CJ206" s="105"/>
      <c r="CK206" s="105"/>
      <c r="CL206" s="105"/>
      <c r="CM206" s="105"/>
      <c r="CN206" s="105"/>
      <c r="CO206" s="105"/>
      <c r="CP206" s="105"/>
      <c r="CQ206" s="105"/>
      <c r="CR206" s="105"/>
      <c r="CS206" s="105"/>
      <c r="CT206" s="105"/>
      <c r="CU206" s="105"/>
      <c r="CV206" s="105"/>
      <c r="CW206" s="105"/>
      <c r="CX206" s="105"/>
      <c r="CY206" s="105"/>
      <c r="CZ206" s="105"/>
      <c r="DA206" s="105"/>
    </row>
    <row r="207">
      <c r="A207" s="7"/>
      <c r="B207" s="105"/>
      <c r="C207" s="7"/>
      <c r="D207" s="7"/>
      <c r="E207" s="7"/>
      <c r="F207" s="105"/>
      <c r="G207" s="105"/>
      <c r="H207" s="105"/>
      <c r="I207" s="105"/>
      <c r="J207" s="105"/>
      <c r="K207" s="105"/>
      <c r="L207" s="105"/>
      <c r="M207" s="105"/>
      <c r="N207" s="105"/>
      <c r="O207" s="105"/>
      <c r="P207" s="105"/>
      <c r="Q207" s="105"/>
      <c r="R207" s="105"/>
      <c r="S207" s="105"/>
      <c r="T207" s="105"/>
      <c r="U207" s="105"/>
      <c r="V207" s="105"/>
      <c r="W207" s="105"/>
      <c r="X207" s="105"/>
      <c r="Y207" s="105"/>
      <c r="Z207" s="105"/>
      <c r="AA207" s="105"/>
      <c r="AB207" s="105"/>
      <c r="AC207" s="105"/>
      <c r="AD207" s="105"/>
      <c r="AE207" s="105"/>
      <c r="AF207" s="105"/>
      <c r="AG207" s="105"/>
      <c r="AH207" s="105"/>
      <c r="AI207" s="105"/>
      <c r="AJ207" s="105"/>
      <c r="AK207" s="105"/>
      <c r="AL207" s="105"/>
      <c r="AM207" s="105"/>
      <c r="AN207" s="105"/>
      <c r="AO207" s="105"/>
      <c r="AP207" s="105"/>
      <c r="AQ207" s="105"/>
      <c r="AR207" s="105"/>
      <c r="AS207" s="105"/>
      <c r="AT207" s="105"/>
      <c r="AU207" s="105"/>
      <c r="AV207" s="105"/>
      <c r="AW207" s="105"/>
      <c r="AX207" s="105"/>
      <c r="AY207" s="105"/>
      <c r="AZ207" s="105"/>
      <c r="BA207" s="105"/>
      <c r="BB207" s="105"/>
      <c r="BC207" s="105"/>
      <c r="BD207" s="105"/>
      <c r="BE207" s="105"/>
      <c r="BF207" s="105"/>
      <c r="BG207" s="105"/>
      <c r="BH207" s="105"/>
      <c r="BI207" s="105"/>
      <c r="BJ207" s="105"/>
      <c r="BK207" s="105"/>
      <c r="BL207" s="105"/>
      <c r="BM207" s="105"/>
      <c r="BN207" s="105"/>
      <c r="BO207" s="105"/>
      <c r="BP207" s="105"/>
      <c r="BQ207" s="105"/>
      <c r="BR207" s="105"/>
      <c r="BS207" s="105"/>
      <c r="BT207" s="105"/>
      <c r="BU207" s="105"/>
      <c r="BV207" s="105"/>
      <c r="BW207" s="105"/>
      <c r="BX207" s="105"/>
      <c r="BY207" s="105"/>
      <c r="BZ207" s="105"/>
      <c r="CA207" s="105"/>
      <c r="CB207" s="105"/>
      <c r="CC207" s="105"/>
      <c r="CD207" s="105"/>
      <c r="CE207" s="105"/>
      <c r="CF207" s="105"/>
      <c r="CG207" s="105"/>
      <c r="CH207" s="105"/>
      <c r="CI207" s="105"/>
      <c r="CJ207" s="105"/>
      <c r="CK207" s="105"/>
      <c r="CL207" s="105"/>
      <c r="CM207" s="105"/>
      <c r="CN207" s="105"/>
      <c r="CO207" s="105"/>
      <c r="CP207" s="105"/>
      <c r="CQ207" s="105"/>
      <c r="CR207" s="105"/>
      <c r="CS207" s="105"/>
      <c r="CT207" s="105"/>
      <c r="CU207" s="105"/>
      <c r="CV207" s="105"/>
      <c r="CW207" s="105"/>
      <c r="CX207" s="105"/>
      <c r="CY207" s="105"/>
      <c r="CZ207" s="105"/>
      <c r="DA207" s="105"/>
    </row>
    <row r="208">
      <c r="A208" s="7"/>
      <c r="B208" s="105"/>
      <c r="C208" s="7"/>
      <c r="D208" s="7"/>
      <c r="E208" s="7"/>
      <c r="F208" s="105"/>
      <c r="G208" s="105"/>
      <c r="H208" s="105"/>
      <c r="I208" s="105"/>
      <c r="J208" s="105"/>
      <c r="K208" s="105"/>
      <c r="L208" s="105"/>
      <c r="M208" s="105"/>
      <c r="N208" s="105"/>
      <c r="O208" s="105"/>
      <c r="P208" s="105"/>
      <c r="Q208" s="105"/>
      <c r="R208" s="105"/>
      <c r="S208" s="105"/>
      <c r="T208" s="105"/>
      <c r="U208" s="105"/>
      <c r="V208" s="105"/>
      <c r="W208" s="105"/>
      <c r="X208" s="105"/>
      <c r="Y208" s="105"/>
      <c r="Z208" s="105"/>
      <c r="AA208" s="105"/>
      <c r="AB208" s="105"/>
      <c r="AC208" s="105"/>
      <c r="AD208" s="105"/>
      <c r="AE208" s="105"/>
      <c r="AF208" s="105"/>
      <c r="AG208" s="105"/>
      <c r="AH208" s="105"/>
      <c r="AI208" s="105"/>
      <c r="AJ208" s="105"/>
      <c r="AK208" s="105"/>
      <c r="AL208" s="105"/>
      <c r="AM208" s="105"/>
      <c r="AN208" s="105"/>
      <c r="AO208" s="105"/>
      <c r="AP208" s="105"/>
      <c r="AQ208" s="105"/>
      <c r="AR208" s="105"/>
      <c r="AS208" s="105"/>
      <c r="AT208" s="105"/>
      <c r="AU208" s="105"/>
      <c r="AV208" s="105"/>
      <c r="AW208" s="105"/>
      <c r="AX208" s="105"/>
      <c r="AY208" s="105"/>
      <c r="AZ208" s="105"/>
      <c r="BA208" s="105"/>
      <c r="BB208" s="105"/>
      <c r="BC208" s="105"/>
      <c r="BD208" s="105"/>
      <c r="BE208" s="105"/>
      <c r="BF208" s="105"/>
      <c r="BG208" s="105"/>
      <c r="BH208" s="105"/>
      <c r="BI208" s="105"/>
      <c r="BJ208" s="105"/>
      <c r="BK208" s="105"/>
      <c r="BL208" s="105"/>
      <c r="BM208" s="105"/>
      <c r="BN208" s="105"/>
      <c r="BO208" s="105"/>
      <c r="BP208" s="105"/>
      <c r="BQ208" s="105"/>
      <c r="BR208" s="105"/>
      <c r="BS208" s="105"/>
      <c r="BT208" s="105"/>
      <c r="BU208" s="105"/>
      <c r="BV208" s="105"/>
      <c r="BW208" s="105"/>
      <c r="BX208" s="105"/>
      <c r="BY208" s="105"/>
      <c r="BZ208" s="105"/>
      <c r="CA208" s="105"/>
      <c r="CB208" s="105"/>
      <c r="CC208" s="105"/>
      <c r="CD208" s="105"/>
      <c r="CE208" s="105"/>
      <c r="CF208" s="105"/>
      <c r="CG208" s="105"/>
      <c r="CH208" s="105"/>
      <c r="CI208" s="105"/>
      <c r="CJ208" s="105"/>
      <c r="CK208" s="105"/>
      <c r="CL208" s="105"/>
      <c r="CM208" s="105"/>
      <c r="CN208" s="105"/>
      <c r="CO208" s="105"/>
      <c r="CP208" s="105"/>
      <c r="CQ208" s="105"/>
      <c r="CR208" s="105"/>
      <c r="CS208" s="105"/>
      <c r="CT208" s="105"/>
      <c r="CU208" s="105"/>
      <c r="CV208" s="105"/>
      <c r="CW208" s="105"/>
      <c r="CX208" s="105"/>
      <c r="CY208" s="105"/>
      <c r="CZ208" s="105"/>
      <c r="DA208" s="105"/>
    </row>
    <row r="209">
      <c r="A209" s="7"/>
      <c r="B209" s="105"/>
      <c r="C209" s="7"/>
      <c r="D209" s="7"/>
      <c r="E209" s="7"/>
      <c r="F209" s="105"/>
      <c r="G209" s="105"/>
      <c r="H209" s="105"/>
      <c r="I209" s="105"/>
      <c r="J209" s="105"/>
      <c r="K209" s="105"/>
      <c r="L209" s="105"/>
      <c r="M209" s="105"/>
      <c r="N209" s="105"/>
      <c r="O209" s="105"/>
      <c r="P209" s="105"/>
      <c r="Q209" s="105"/>
      <c r="R209" s="105"/>
      <c r="S209" s="105"/>
      <c r="T209" s="105"/>
      <c r="U209" s="105"/>
      <c r="V209" s="105"/>
      <c r="W209" s="105"/>
      <c r="X209" s="105"/>
      <c r="Y209" s="105"/>
      <c r="Z209" s="105"/>
      <c r="AA209" s="105"/>
      <c r="AB209" s="105"/>
      <c r="AC209" s="105"/>
      <c r="AD209" s="105"/>
      <c r="AE209" s="105"/>
      <c r="AF209" s="105"/>
      <c r="AG209" s="105"/>
      <c r="AH209" s="105"/>
      <c r="AI209" s="105"/>
      <c r="AJ209" s="105"/>
      <c r="AK209" s="105"/>
      <c r="AL209" s="105"/>
      <c r="AM209" s="105"/>
      <c r="AN209" s="105"/>
      <c r="AO209" s="105"/>
      <c r="AP209" s="105"/>
      <c r="AQ209" s="105"/>
      <c r="AR209" s="105"/>
      <c r="AS209" s="105"/>
      <c r="AT209" s="105"/>
      <c r="AU209" s="105"/>
      <c r="AV209" s="105"/>
      <c r="AW209" s="105"/>
      <c r="AX209" s="105"/>
      <c r="AY209" s="105"/>
      <c r="AZ209" s="105"/>
      <c r="BA209" s="105"/>
      <c r="BB209" s="105"/>
      <c r="BC209" s="105"/>
      <c r="BD209" s="105"/>
      <c r="BE209" s="105"/>
      <c r="BF209" s="105"/>
      <c r="BG209" s="105"/>
      <c r="BH209" s="105"/>
      <c r="BI209" s="105"/>
      <c r="BJ209" s="105"/>
      <c r="BK209" s="105"/>
      <c r="BL209" s="105"/>
      <c r="BM209" s="105"/>
      <c r="BN209" s="105"/>
      <c r="BO209" s="105"/>
      <c r="BP209" s="105"/>
      <c r="BQ209" s="105"/>
      <c r="BR209" s="105"/>
      <c r="BS209" s="105"/>
      <c r="BT209" s="105"/>
      <c r="BU209" s="105"/>
      <c r="BV209" s="105"/>
      <c r="BW209" s="105"/>
      <c r="BX209" s="105"/>
      <c r="BY209" s="105"/>
      <c r="BZ209" s="105"/>
      <c r="CA209" s="105"/>
      <c r="CB209" s="105"/>
      <c r="CC209" s="105"/>
      <c r="CD209" s="105"/>
      <c r="CE209" s="105"/>
      <c r="CF209" s="105"/>
      <c r="CG209" s="105"/>
      <c r="CH209" s="105"/>
      <c r="CI209" s="105"/>
      <c r="CJ209" s="105"/>
      <c r="CK209" s="105"/>
      <c r="CL209" s="105"/>
      <c r="CM209" s="105"/>
      <c r="CN209" s="105"/>
      <c r="CO209" s="105"/>
      <c r="CP209" s="105"/>
      <c r="CQ209" s="105"/>
      <c r="CR209" s="105"/>
      <c r="CS209" s="105"/>
      <c r="CT209" s="105"/>
      <c r="CU209" s="105"/>
      <c r="CV209" s="105"/>
      <c r="CW209" s="105"/>
      <c r="CX209" s="105"/>
      <c r="CY209" s="105"/>
      <c r="CZ209" s="105"/>
      <c r="DA209" s="105"/>
    </row>
    <row r="210">
      <c r="A210" s="7"/>
      <c r="B210" s="105"/>
      <c r="C210" s="7"/>
      <c r="D210" s="7"/>
      <c r="E210" s="7"/>
      <c r="F210" s="105"/>
      <c r="G210" s="105"/>
      <c r="H210" s="105"/>
      <c r="I210" s="105"/>
      <c r="J210" s="105"/>
      <c r="K210" s="105"/>
      <c r="L210" s="105"/>
      <c r="M210" s="105"/>
      <c r="N210" s="105"/>
      <c r="O210" s="105"/>
      <c r="P210" s="105"/>
      <c r="Q210" s="105"/>
      <c r="R210" s="105"/>
      <c r="S210" s="105"/>
      <c r="T210" s="105"/>
      <c r="U210" s="105"/>
      <c r="V210" s="105"/>
      <c r="W210" s="105"/>
      <c r="X210" s="105"/>
      <c r="Y210" s="105"/>
      <c r="Z210" s="105"/>
      <c r="AA210" s="105"/>
      <c r="AB210" s="105"/>
      <c r="AC210" s="105"/>
      <c r="AD210" s="105"/>
      <c r="AE210" s="105"/>
      <c r="AF210" s="105"/>
      <c r="AG210" s="105"/>
      <c r="AH210" s="105"/>
      <c r="AI210" s="105"/>
      <c r="AJ210" s="105"/>
      <c r="AK210" s="105"/>
      <c r="AL210" s="105"/>
      <c r="AM210" s="105"/>
      <c r="AN210" s="105"/>
      <c r="AO210" s="105"/>
      <c r="AP210" s="105"/>
      <c r="AQ210" s="105"/>
      <c r="AR210" s="105"/>
      <c r="AS210" s="105"/>
      <c r="AT210" s="105"/>
      <c r="AU210" s="105"/>
      <c r="AV210" s="105"/>
      <c r="AW210" s="105"/>
      <c r="AX210" s="105"/>
      <c r="AY210" s="105"/>
      <c r="AZ210" s="105"/>
      <c r="BA210" s="105"/>
      <c r="BB210" s="105"/>
      <c r="BC210" s="105"/>
      <c r="BD210" s="105"/>
      <c r="BE210" s="105"/>
      <c r="BF210" s="105"/>
      <c r="BG210" s="105"/>
      <c r="BH210" s="105"/>
      <c r="BI210" s="105"/>
      <c r="BJ210" s="105"/>
      <c r="BK210" s="105"/>
      <c r="BL210" s="105"/>
      <c r="BM210" s="105"/>
      <c r="BN210" s="105"/>
      <c r="BO210" s="105"/>
      <c r="BP210" s="105"/>
      <c r="BQ210" s="105"/>
      <c r="BR210" s="105"/>
      <c r="BS210" s="105"/>
      <c r="BT210" s="105"/>
      <c r="BU210" s="105"/>
      <c r="BV210" s="105"/>
      <c r="BW210" s="105"/>
      <c r="BX210" s="105"/>
      <c r="BY210" s="105"/>
      <c r="BZ210" s="105"/>
      <c r="CA210" s="105"/>
      <c r="CB210" s="105"/>
      <c r="CC210" s="105"/>
      <c r="CD210" s="105"/>
      <c r="CE210" s="105"/>
      <c r="CF210" s="105"/>
      <c r="CG210" s="105"/>
      <c r="CH210" s="105"/>
      <c r="CI210" s="105"/>
      <c r="CJ210" s="105"/>
      <c r="CK210" s="105"/>
      <c r="CL210" s="105"/>
      <c r="CM210" s="105"/>
      <c r="CN210" s="105"/>
      <c r="CO210" s="105"/>
      <c r="CP210" s="105"/>
      <c r="CQ210" s="105"/>
      <c r="CR210" s="105"/>
      <c r="CS210" s="105"/>
      <c r="CT210" s="105"/>
      <c r="CU210" s="105"/>
      <c r="CV210" s="105"/>
      <c r="CW210" s="105"/>
      <c r="CX210" s="105"/>
      <c r="CY210" s="105"/>
      <c r="CZ210" s="105"/>
      <c r="DA210" s="105"/>
    </row>
    <row r="211">
      <c r="A211" s="7"/>
      <c r="B211" s="105"/>
      <c r="C211" s="7"/>
      <c r="D211" s="7"/>
      <c r="E211" s="7"/>
      <c r="F211" s="105"/>
      <c r="G211" s="105"/>
      <c r="H211" s="105"/>
      <c r="I211" s="105"/>
      <c r="J211" s="105"/>
      <c r="K211" s="105"/>
      <c r="L211" s="105"/>
      <c r="M211" s="105"/>
      <c r="N211" s="105"/>
      <c r="O211" s="105"/>
      <c r="P211" s="105"/>
      <c r="Q211" s="105"/>
      <c r="R211" s="105"/>
      <c r="S211" s="105"/>
      <c r="T211" s="105"/>
      <c r="U211" s="105"/>
      <c r="V211" s="105"/>
      <c r="W211" s="105"/>
      <c r="X211" s="105"/>
      <c r="Y211" s="105"/>
      <c r="Z211" s="105"/>
      <c r="AA211" s="105"/>
      <c r="AB211" s="105"/>
      <c r="AC211" s="105"/>
      <c r="AD211" s="105"/>
      <c r="AE211" s="105"/>
      <c r="AF211" s="105"/>
      <c r="AG211" s="105"/>
      <c r="AH211" s="105"/>
      <c r="AI211" s="105"/>
      <c r="AJ211" s="105"/>
      <c r="AK211" s="105"/>
      <c r="AL211" s="105"/>
      <c r="AM211" s="105"/>
      <c r="AN211" s="105"/>
      <c r="AO211" s="105"/>
      <c r="AP211" s="105"/>
      <c r="AQ211" s="105"/>
      <c r="AR211" s="105"/>
      <c r="AS211" s="105"/>
      <c r="AT211" s="105"/>
      <c r="AU211" s="105"/>
      <c r="AV211" s="105"/>
      <c r="AW211" s="105"/>
      <c r="AX211" s="105"/>
      <c r="AY211" s="105"/>
      <c r="AZ211" s="105"/>
      <c r="BA211" s="105"/>
      <c r="BB211" s="105"/>
      <c r="BC211" s="105"/>
      <c r="BD211" s="105"/>
      <c r="BE211" s="105"/>
      <c r="BF211" s="105"/>
      <c r="BG211" s="105"/>
      <c r="BH211" s="105"/>
      <c r="BI211" s="105"/>
      <c r="BJ211" s="105"/>
      <c r="BK211" s="105"/>
      <c r="BL211" s="105"/>
      <c r="BM211" s="105"/>
      <c r="BN211" s="105"/>
      <c r="BO211" s="105"/>
      <c r="BP211" s="105"/>
      <c r="BQ211" s="105"/>
      <c r="BR211" s="105"/>
      <c r="BS211" s="105"/>
      <c r="BT211" s="105"/>
      <c r="BU211" s="105"/>
      <c r="BV211" s="105"/>
      <c r="BW211" s="105"/>
      <c r="BX211" s="105"/>
      <c r="BY211" s="105"/>
      <c r="BZ211" s="105"/>
      <c r="CA211" s="105"/>
      <c r="CB211" s="105"/>
      <c r="CC211" s="105"/>
      <c r="CD211" s="105"/>
      <c r="CE211" s="105"/>
      <c r="CF211" s="105"/>
      <c r="CG211" s="105"/>
      <c r="CH211" s="105"/>
      <c r="CI211" s="105"/>
      <c r="CJ211" s="105"/>
      <c r="CK211" s="105"/>
      <c r="CL211" s="105"/>
      <c r="CM211" s="105"/>
      <c r="CN211" s="105"/>
      <c r="CO211" s="105"/>
      <c r="CP211" s="105"/>
      <c r="CQ211" s="105"/>
      <c r="CR211" s="105"/>
      <c r="CS211" s="105"/>
      <c r="CT211" s="105"/>
      <c r="CU211" s="105"/>
      <c r="CV211" s="105"/>
      <c r="CW211" s="105"/>
      <c r="CX211" s="105"/>
      <c r="CY211" s="105"/>
      <c r="CZ211" s="105"/>
      <c r="DA211" s="105"/>
    </row>
    <row r="212">
      <c r="A212" s="7"/>
      <c r="B212" s="105"/>
      <c r="C212" s="7"/>
      <c r="D212" s="7"/>
      <c r="E212" s="7"/>
      <c r="F212" s="105"/>
      <c r="G212" s="105"/>
      <c r="H212" s="105"/>
      <c r="I212" s="105"/>
      <c r="J212" s="105"/>
      <c r="K212" s="105"/>
      <c r="L212" s="105"/>
      <c r="M212" s="105"/>
      <c r="N212" s="105"/>
      <c r="O212" s="105"/>
      <c r="P212" s="105"/>
      <c r="Q212" s="105"/>
      <c r="R212" s="105"/>
      <c r="S212" s="105"/>
      <c r="T212" s="105"/>
      <c r="U212" s="105"/>
      <c r="V212" s="105"/>
      <c r="W212" s="105"/>
      <c r="X212" s="105"/>
      <c r="Y212" s="105"/>
      <c r="Z212" s="105"/>
      <c r="AA212" s="105"/>
      <c r="AB212" s="105"/>
      <c r="AC212" s="105"/>
      <c r="AD212" s="105"/>
      <c r="AE212" s="105"/>
      <c r="AF212" s="105"/>
      <c r="AG212" s="105"/>
      <c r="AH212" s="105"/>
      <c r="AI212" s="105"/>
      <c r="AJ212" s="105"/>
      <c r="AK212" s="105"/>
      <c r="AL212" s="105"/>
      <c r="AM212" s="105"/>
      <c r="AN212" s="105"/>
      <c r="AO212" s="105"/>
      <c r="AP212" s="105"/>
      <c r="AQ212" s="105"/>
      <c r="AR212" s="105"/>
      <c r="AS212" s="105"/>
      <c r="AT212" s="105"/>
      <c r="AU212" s="105"/>
      <c r="AV212" s="105"/>
      <c r="AW212" s="105"/>
      <c r="AX212" s="105"/>
      <c r="AY212" s="105"/>
      <c r="AZ212" s="105"/>
      <c r="BA212" s="105"/>
      <c r="BB212" s="105"/>
      <c r="BC212" s="105"/>
      <c r="BD212" s="105"/>
      <c r="BE212" s="105"/>
      <c r="BF212" s="105"/>
      <c r="BG212" s="105"/>
      <c r="BH212" s="105"/>
      <c r="BI212" s="105"/>
      <c r="BJ212" s="105"/>
      <c r="BK212" s="105"/>
      <c r="BL212" s="105"/>
      <c r="BM212" s="105"/>
      <c r="BN212" s="105"/>
      <c r="BO212" s="105"/>
      <c r="BP212" s="105"/>
      <c r="BQ212" s="105"/>
      <c r="BR212" s="105"/>
      <c r="BS212" s="105"/>
      <c r="BT212" s="105"/>
      <c r="BU212" s="105"/>
      <c r="BV212" s="105"/>
      <c r="BW212" s="105"/>
      <c r="BX212" s="105"/>
      <c r="BY212" s="105"/>
      <c r="BZ212" s="105"/>
      <c r="CA212" s="105"/>
      <c r="CB212" s="105"/>
      <c r="CC212" s="105"/>
      <c r="CD212" s="105"/>
      <c r="CE212" s="105"/>
      <c r="CF212" s="105"/>
      <c r="CG212" s="105"/>
      <c r="CH212" s="105"/>
      <c r="CI212" s="105"/>
      <c r="CJ212" s="105"/>
      <c r="CK212" s="105"/>
      <c r="CL212" s="105"/>
      <c r="CM212" s="105"/>
      <c r="CN212" s="105"/>
      <c r="CO212" s="105"/>
      <c r="CP212" s="105"/>
      <c r="CQ212" s="105"/>
      <c r="CR212" s="105"/>
      <c r="CS212" s="105"/>
      <c r="CT212" s="105"/>
      <c r="CU212" s="105"/>
      <c r="CV212" s="105"/>
      <c r="CW212" s="105"/>
      <c r="CX212" s="105"/>
      <c r="CY212" s="105"/>
      <c r="CZ212" s="105"/>
      <c r="DA212" s="105"/>
    </row>
    <row r="213">
      <c r="A213" s="7"/>
      <c r="B213" s="105"/>
      <c r="C213" s="7"/>
      <c r="D213" s="7"/>
      <c r="E213" s="7"/>
      <c r="F213" s="105"/>
      <c r="G213" s="105"/>
      <c r="H213" s="105"/>
      <c r="I213" s="105"/>
      <c r="J213" s="105"/>
      <c r="K213" s="105"/>
      <c r="L213" s="105"/>
      <c r="M213" s="105"/>
      <c r="N213" s="105"/>
      <c r="O213" s="105"/>
      <c r="P213" s="105"/>
      <c r="Q213" s="105"/>
      <c r="R213" s="105"/>
      <c r="S213" s="105"/>
      <c r="T213" s="105"/>
      <c r="U213" s="105"/>
      <c r="V213" s="105"/>
      <c r="W213" s="105"/>
      <c r="X213" s="105"/>
      <c r="Y213" s="105"/>
      <c r="Z213" s="105"/>
      <c r="AA213" s="105"/>
      <c r="AB213" s="105"/>
      <c r="AC213" s="105"/>
      <c r="AD213" s="105"/>
      <c r="AE213" s="105"/>
      <c r="AF213" s="105"/>
      <c r="AG213" s="105"/>
      <c r="AH213" s="105"/>
      <c r="AI213" s="105"/>
      <c r="AJ213" s="105"/>
      <c r="AK213" s="105"/>
      <c r="AL213" s="105"/>
      <c r="AM213" s="105"/>
      <c r="AN213" s="105"/>
      <c r="AO213" s="105"/>
      <c r="AP213" s="105"/>
      <c r="AQ213" s="105"/>
      <c r="AR213" s="105"/>
      <c r="AS213" s="105"/>
      <c r="AT213" s="105"/>
      <c r="AU213" s="105"/>
      <c r="AV213" s="105"/>
      <c r="AW213" s="105"/>
      <c r="AX213" s="105"/>
      <c r="AY213" s="105"/>
      <c r="AZ213" s="105"/>
      <c r="BA213" s="105"/>
      <c r="BB213" s="105"/>
      <c r="BC213" s="105"/>
      <c r="BD213" s="105"/>
      <c r="BE213" s="105"/>
      <c r="BF213" s="105"/>
      <c r="BG213" s="105"/>
      <c r="BH213" s="105"/>
      <c r="BI213" s="105"/>
      <c r="BJ213" s="105"/>
      <c r="BK213" s="105"/>
      <c r="BL213" s="105"/>
      <c r="BM213" s="105"/>
      <c r="BN213" s="105"/>
      <c r="BO213" s="105"/>
      <c r="BP213" s="105"/>
      <c r="BQ213" s="105"/>
      <c r="BR213" s="105"/>
      <c r="BS213" s="105"/>
      <c r="BT213" s="105"/>
      <c r="BU213" s="105"/>
      <c r="BV213" s="105"/>
      <c r="BW213" s="105"/>
      <c r="BX213" s="105"/>
      <c r="BY213" s="105"/>
      <c r="BZ213" s="105"/>
      <c r="CA213" s="105"/>
      <c r="CB213" s="105"/>
      <c r="CC213" s="105"/>
      <c r="CD213" s="105"/>
      <c r="CE213" s="105"/>
      <c r="CF213" s="105"/>
      <c r="CG213" s="105"/>
      <c r="CH213" s="105"/>
      <c r="CI213" s="105"/>
      <c r="CJ213" s="105"/>
      <c r="CK213" s="105"/>
      <c r="CL213" s="105"/>
      <c r="CM213" s="105"/>
      <c r="CN213" s="105"/>
      <c r="CO213" s="105"/>
      <c r="CP213" s="105"/>
      <c r="CQ213" s="105"/>
      <c r="CR213" s="105"/>
      <c r="CS213" s="105"/>
      <c r="CT213" s="105"/>
      <c r="CU213" s="105"/>
      <c r="CV213" s="105"/>
      <c r="CW213" s="105"/>
      <c r="CX213" s="105"/>
      <c r="CY213" s="105"/>
      <c r="CZ213" s="105"/>
      <c r="DA213" s="105"/>
    </row>
    <row r="214">
      <c r="A214" s="7"/>
      <c r="B214" s="105"/>
      <c r="C214" s="7"/>
      <c r="D214" s="7"/>
      <c r="E214" s="7"/>
      <c r="F214" s="105"/>
      <c r="G214" s="105"/>
      <c r="H214" s="105"/>
      <c r="I214" s="105"/>
      <c r="J214" s="105"/>
      <c r="K214" s="105"/>
      <c r="L214" s="105"/>
      <c r="M214" s="105"/>
      <c r="N214" s="105"/>
      <c r="O214" s="105"/>
      <c r="P214" s="105"/>
      <c r="Q214" s="105"/>
      <c r="R214" s="105"/>
      <c r="S214" s="105"/>
      <c r="T214" s="105"/>
      <c r="U214" s="105"/>
      <c r="V214" s="105"/>
      <c r="W214" s="105"/>
      <c r="X214" s="105"/>
      <c r="Y214" s="105"/>
      <c r="Z214" s="105"/>
      <c r="AA214" s="105"/>
      <c r="AB214" s="105"/>
      <c r="AC214" s="105"/>
      <c r="AD214" s="105"/>
      <c r="AE214" s="105"/>
      <c r="AF214" s="105"/>
      <c r="AG214" s="105"/>
      <c r="AH214" s="105"/>
      <c r="AI214" s="105"/>
      <c r="AJ214" s="105"/>
      <c r="AK214" s="105"/>
      <c r="AL214" s="105"/>
      <c r="AM214" s="105"/>
      <c r="AN214" s="105"/>
      <c r="AO214" s="105"/>
      <c r="AP214" s="105"/>
      <c r="AQ214" s="105"/>
      <c r="AR214" s="105"/>
      <c r="AS214" s="105"/>
      <c r="AT214" s="105"/>
      <c r="AU214" s="105"/>
      <c r="AV214" s="105"/>
      <c r="AW214" s="105"/>
      <c r="AX214" s="105"/>
      <c r="AY214" s="105"/>
      <c r="AZ214" s="105"/>
      <c r="BA214" s="105"/>
      <c r="BB214" s="105"/>
      <c r="BC214" s="105"/>
      <c r="BD214" s="105"/>
      <c r="BE214" s="105"/>
      <c r="BF214" s="105"/>
      <c r="BG214" s="105"/>
      <c r="BH214" s="105"/>
      <c r="BI214" s="105"/>
      <c r="BJ214" s="105"/>
      <c r="BK214" s="105"/>
      <c r="BL214" s="105"/>
      <c r="BM214" s="105"/>
      <c r="BN214" s="105"/>
      <c r="BO214" s="105"/>
      <c r="BP214" s="105"/>
      <c r="BQ214" s="105"/>
      <c r="BR214" s="105"/>
      <c r="BS214" s="105"/>
      <c r="BT214" s="105"/>
      <c r="BU214" s="105"/>
      <c r="BV214" s="105"/>
      <c r="BW214" s="105"/>
      <c r="BX214" s="105"/>
      <c r="BY214" s="105"/>
      <c r="BZ214" s="105"/>
      <c r="CA214" s="105"/>
      <c r="CB214" s="105"/>
      <c r="CC214" s="105"/>
      <c r="CD214" s="105"/>
      <c r="CE214" s="105"/>
      <c r="CF214" s="105"/>
      <c r="CG214" s="105"/>
      <c r="CH214" s="105"/>
      <c r="CI214" s="105"/>
      <c r="CJ214" s="105"/>
      <c r="CK214" s="105"/>
      <c r="CL214" s="105"/>
      <c r="CM214" s="105"/>
      <c r="CN214" s="105"/>
      <c r="CO214" s="105"/>
      <c r="CP214" s="105"/>
      <c r="CQ214" s="105"/>
      <c r="CR214" s="105"/>
      <c r="CS214" s="105"/>
      <c r="CT214" s="105"/>
      <c r="CU214" s="105"/>
      <c r="CV214" s="105"/>
      <c r="CW214" s="105"/>
      <c r="CX214" s="105"/>
      <c r="CY214" s="105"/>
      <c r="CZ214" s="105"/>
      <c r="DA214" s="105"/>
    </row>
    <row r="215">
      <c r="A215" s="7"/>
      <c r="B215" s="105"/>
      <c r="C215" s="7"/>
      <c r="D215" s="7"/>
      <c r="E215" s="7"/>
      <c r="F215" s="105"/>
      <c r="G215" s="105"/>
      <c r="H215" s="105"/>
      <c r="I215" s="105"/>
      <c r="J215" s="105"/>
      <c r="K215" s="105"/>
      <c r="L215" s="105"/>
      <c r="M215" s="105"/>
      <c r="N215" s="105"/>
      <c r="O215" s="105"/>
      <c r="P215" s="105"/>
      <c r="Q215" s="105"/>
      <c r="R215" s="105"/>
      <c r="S215" s="105"/>
      <c r="T215" s="105"/>
      <c r="U215" s="105"/>
      <c r="V215" s="105"/>
      <c r="W215" s="105"/>
      <c r="X215" s="105"/>
      <c r="Y215" s="105"/>
      <c r="Z215" s="105"/>
      <c r="AA215" s="105"/>
      <c r="AB215" s="105"/>
      <c r="AC215" s="105"/>
      <c r="AD215" s="105"/>
      <c r="AE215" s="105"/>
      <c r="AF215" s="105"/>
      <c r="AG215" s="105"/>
      <c r="AH215" s="105"/>
      <c r="AI215" s="105"/>
      <c r="AJ215" s="105"/>
      <c r="AK215" s="105"/>
      <c r="AL215" s="105"/>
      <c r="AM215" s="105"/>
      <c r="AN215" s="105"/>
      <c r="AO215" s="105"/>
      <c r="AP215" s="105"/>
      <c r="AQ215" s="105"/>
      <c r="AR215" s="105"/>
      <c r="AS215" s="105"/>
      <c r="AT215" s="105"/>
      <c r="AU215" s="105"/>
      <c r="AV215" s="105"/>
      <c r="AW215" s="105"/>
      <c r="AX215" s="105"/>
      <c r="AY215" s="105"/>
      <c r="AZ215" s="105"/>
      <c r="BA215" s="105"/>
      <c r="BB215" s="105"/>
      <c r="BC215" s="105"/>
      <c r="BD215" s="105"/>
      <c r="BE215" s="105"/>
      <c r="BF215" s="105"/>
      <c r="BG215" s="105"/>
      <c r="BH215" s="105"/>
      <c r="BI215" s="105"/>
      <c r="BJ215" s="105"/>
      <c r="BK215" s="105"/>
      <c r="BL215" s="105"/>
      <c r="BM215" s="105"/>
      <c r="BN215" s="105"/>
      <c r="BO215" s="105"/>
      <c r="BP215" s="105"/>
      <c r="BQ215" s="105"/>
      <c r="BR215" s="105"/>
      <c r="BS215" s="105"/>
      <c r="BT215" s="105"/>
      <c r="BU215" s="105"/>
      <c r="BV215" s="105"/>
      <c r="BW215" s="105"/>
      <c r="BX215" s="105"/>
      <c r="BY215" s="105"/>
      <c r="BZ215" s="105"/>
      <c r="CA215" s="105"/>
      <c r="CB215" s="105"/>
      <c r="CC215" s="105"/>
      <c r="CD215" s="105"/>
      <c r="CE215" s="105"/>
      <c r="CF215" s="105"/>
      <c r="CG215" s="105"/>
      <c r="CH215" s="105"/>
      <c r="CI215" s="105"/>
      <c r="CJ215" s="105"/>
      <c r="CK215" s="105"/>
      <c r="CL215" s="105"/>
      <c r="CM215" s="105"/>
      <c r="CN215" s="105"/>
      <c r="CO215" s="105"/>
      <c r="CP215" s="105"/>
      <c r="CQ215" s="105"/>
      <c r="CR215" s="105"/>
      <c r="CS215" s="105"/>
      <c r="CT215" s="105"/>
      <c r="CU215" s="105"/>
      <c r="CV215" s="105"/>
      <c r="CW215" s="105"/>
      <c r="CX215" s="105"/>
      <c r="CY215" s="105"/>
      <c r="CZ215" s="105"/>
      <c r="DA215" s="105"/>
    </row>
    <row r="216">
      <c r="A216" s="7"/>
      <c r="B216" s="105"/>
      <c r="C216" s="7"/>
      <c r="D216" s="7"/>
      <c r="E216" s="7"/>
      <c r="F216" s="105"/>
      <c r="G216" s="105"/>
      <c r="H216" s="105"/>
      <c r="I216" s="105"/>
      <c r="J216" s="105"/>
      <c r="K216" s="105"/>
      <c r="L216" s="105"/>
      <c r="M216" s="105"/>
      <c r="N216" s="105"/>
      <c r="O216" s="105"/>
      <c r="P216" s="105"/>
      <c r="Q216" s="105"/>
      <c r="R216" s="105"/>
      <c r="S216" s="105"/>
      <c r="T216" s="105"/>
      <c r="U216" s="105"/>
      <c r="V216" s="105"/>
      <c r="W216" s="105"/>
      <c r="X216" s="105"/>
      <c r="Y216" s="105"/>
      <c r="Z216" s="105"/>
      <c r="AA216" s="105"/>
      <c r="AB216" s="105"/>
      <c r="AC216" s="105"/>
      <c r="AD216" s="105"/>
      <c r="AE216" s="105"/>
      <c r="AF216" s="105"/>
      <c r="AG216" s="105"/>
      <c r="AH216" s="105"/>
      <c r="AI216" s="105"/>
      <c r="AJ216" s="105"/>
      <c r="AK216" s="105"/>
      <c r="AL216" s="105"/>
      <c r="AM216" s="105"/>
      <c r="AN216" s="105"/>
      <c r="AO216" s="105"/>
      <c r="AP216" s="105"/>
      <c r="AQ216" s="105"/>
      <c r="AR216" s="105"/>
      <c r="AS216" s="105"/>
      <c r="AT216" s="105"/>
      <c r="AU216" s="105"/>
      <c r="AV216" s="105"/>
      <c r="AW216" s="105"/>
      <c r="AX216" s="105"/>
      <c r="AY216" s="105"/>
      <c r="AZ216" s="105"/>
      <c r="BA216" s="105"/>
      <c r="BB216" s="105"/>
      <c r="BC216" s="105"/>
      <c r="BD216" s="105"/>
      <c r="BE216" s="105"/>
      <c r="BF216" s="105"/>
      <c r="BG216" s="105"/>
      <c r="BH216" s="105"/>
      <c r="BI216" s="105"/>
      <c r="BJ216" s="105"/>
      <c r="BK216" s="105"/>
      <c r="BL216" s="105"/>
      <c r="BM216" s="105"/>
      <c r="BN216" s="105"/>
      <c r="BO216" s="105"/>
      <c r="BP216" s="105"/>
      <c r="BQ216" s="105"/>
      <c r="BR216" s="105"/>
      <c r="BS216" s="105"/>
      <c r="BT216" s="105"/>
      <c r="BU216" s="105"/>
      <c r="BV216" s="105"/>
      <c r="BW216" s="105"/>
      <c r="BX216" s="105"/>
      <c r="BY216" s="105"/>
      <c r="BZ216" s="105"/>
      <c r="CA216" s="105"/>
      <c r="CB216" s="105"/>
      <c r="CC216" s="105"/>
      <c r="CD216" s="105"/>
      <c r="CE216" s="105"/>
      <c r="CF216" s="105"/>
      <c r="CG216" s="105"/>
      <c r="CH216" s="105"/>
      <c r="CI216" s="105"/>
      <c r="CJ216" s="105"/>
      <c r="CK216" s="105"/>
      <c r="CL216" s="105"/>
      <c r="CM216" s="105"/>
      <c r="CN216" s="105"/>
      <c r="CO216" s="105"/>
      <c r="CP216" s="105"/>
      <c r="CQ216" s="105"/>
      <c r="CR216" s="105"/>
      <c r="CS216" s="105"/>
      <c r="CT216" s="105"/>
      <c r="CU216" s="105"/>
      <c r="CV216" s="105"/>
      <c r="CW216" s="105"/>
      <c r="CX216" s="105"/>
      <c r="CY216" s="105"/>
      <c r="CZ216" s="105"/>
      <c r="DA216" s="105"/>
    </row>
    <row r="217">
      <c r="A217" s="7"/>
      <c r="B217" s="105"/>
      <c r="C217" s="7"/>
      <c r="D217" s="7"/>
      <c r="E217" s="7"/>
      <c r="F217" s="105"/>
      <c r="G217" s="105"/>
      <c r="H217" s="105"/>
      <c r="I217" s="105"/>
      <c r="J217" s="105"/>
      <c r="K217" s="105"/>
      <c r="L217" s="105"/>
      <c r="M217" s="105"/>
      <c r="N217" s="105"/>
      <c r="O217" s="105"/>
      <c r="P217" s="105"/>
      <c r="Q217" s="105"/>
      <c r="R217" s="105"/>
      <c r="S217" s="105"/>
      <c r="T217" s="105"/>
      <c r="U217" s="105"/>
      <c r="V217" s="105"/>
      <c r="W217" s="105"/>
      <c r="X217" s="105"/>
      <c r="Y217" s="105"/>
      <c r="Z217" s="105"/>
      <c r="AA217" s="105"/>
      <c r="AB217" s="105"/>
      <c r="AC217" s="105"/>
      <c r="AD217" s="105"/>
      <c r="AE217" s="105"/>
      <c r="AF217" s="105"/>
      <c r="AG217" s="105"/>
      <c r="AH217" s="105"/>
      <c r="AI217" s="105"/>
      <c r="AJ217" s="105"/>
      <c r="AK217" s="105"/>
      <c r="AL217" s="105"/>
      <c r="AM217" s="105"/>
      <c r="AN217" s="105"/>
      <c r="AO217" s="105"/>
      <c r="AP217" s="105"/>
      <c r="AQ217" s="105"/>
      <c r="AR217" s="105"/>
      <c r="AS217" s="105"/>
      <c r="AT217" s="105"/>
      <c r="AU217" s="105"/>
      <c r="AV217" s="105"/>
      <c r="AW217" s="105"/>
      <c r="AX217" s="105"/>
      <c r="AY217" s="105"/>
      <c r="AZ217" s="105"/>
      <c r="BA217" s="105"/>
      <c r="BB217" s="105"/>
      <c r="BC217" s="105"/>
      <c r="BD217" s="105"/>
      <c r="BE217" s="105"/>
      <c r="BF217" s="105"/>
      <c r="BG217" s="105"/>
      <c r="BH217" s="105"/>
      <c r="BI217" s="105"/>
      <c r="BJ217" s="105"/>
      <c r="BK217" s="105"/>
      <c r="BL217" s="105"/>
      <c r="BM217" s="105"/>
      <c r="BN217" s="105"/>
      <c r="BO217" s="105"/>
      <c r="BP217" s="105"/>
      <c r="BQ217" s="105"/>
      <c r="BR217" s="105"/>
      <c r="BS217" s="105"/>
      <c r="BT217" s="105"/>
      <c r="BU217" s="105"/>
      <c r="BV217" s="105"/>
      <c r="BW217" s="105"/>
      <c r="BX217" s="105"/>
      <c r="BY217" s="105"/>
      <c r="BZ217" s="105"/>
      <c r="CA217" s="105"/>
      <c r="CB217" s="105"/>
      <c r="CC217" s="105"/>
      <c r="CD217" s="105"/>
      <c r="CE217" s="105"/>
      <c r="CF217" s="105"/>
      <c r="CG217" s="105"/>
      <c r="CH217" s="105"/>
      <c r="CI217" s="105"/>
      <c r="CJ217" s="105"/>
      <c r="CK217" s="105"/>
      <c r="CL217" s="105"/>
      <c r="CM217" s="105"/>
      <c r="CN217" s="105"/>
      <c r="CO217" s="105"/>
      <c r="CP217" s="105"/>
      <c r="CQ217" s="105"/>
      <c r="CR217" s="105"/>
      <c r="CS217" s="105"/>
      <c r="CT217" s="105"/>
      <c r="CU217" s="105"/>
      <c r="CV217" s="105"/>
      <c r="CW217" s="105"/>
      <c r="CX217" s="105"/>
      <c r="CY217" s="105"/>
      <c r="CZ217" s="105"/>
      <c r="DA217" s="105"/>
    </row>
    <row r="218">
      <c r="A218" s="7"/>
      <c r="B218" s="105"/>
      <c r="C218" s="7"/>
      <c r="D218" s="7"/>
      <c r="E218" s="7"/>
      <c r="F218" s="105"/>
      <c r="G218" s="105"/>
      <c r="H218" s="105"/>
      <c r="I218" s="105"/>
      <c r="J218" s="105"/>
      <c r="K218" s="105"/>
      <c r="L218" s="105"/>
      <c r="M218" s="105"/>
      <c r="N218" s="105"/>
      <c r="O218" s="105"/>
      <c r="P218" s="105"/>
      <c r="Q218" s="105"/>
      <c r="R218" s="105"/>
      <c r="S218" s="105"/>
      <c r="T218" s="105"/>
      <c r="U218" s="105"/>
      <c r="V218" s="105"/>
      <c r="W218" s="105"/>
      <c r="X218" s="105"/>
      <c r="Y218" s="105"/>
      <c r="Z218" s="105"/>
      <c r="AA218" s="105"/>
      <c r="AB218" s="105"/>
      <c r="AC218" s="105"/>
      <c r="AD218" s="105"/>
      <c r="AE218" s="105"/>
      <c r="AF218" s="105"/>
      <c r="AG218" s="105"/>
      <c r="AH218" s="105"/>
      <c r="AI218" s="105"/>
      <c r="AJ218" s="105"/>
      <c r="AK218" s="105"/>
      <c r="AL218" s="105"/>
      <c r="AM218" s="105"/>
      <c r="AN218" s="105"/>
      <c r="AO218" s="105"/>
      <c r="AP218" s="105"/>
      <c r="AQ218" s="105"/>
      <c r="AR218" s="105"/>
      <c r="AS218" s="105"/>
      <c r="AT218" s="105"/>
      <c r="AU218" s="105"/>
      <c r="AV218" s="105"/>
      <c r="AW218" s="105"/>
      <c r="AX218" s="105"/>
      <c r="AY218" s="105"/>
      <c r="AZ218" s="105"/>
      <c r="BA218" s="105"/>
      <c r="BB218" s="105"/>
      <c r="BC218" s="105"/>
      <c r="BD218" s="105"/>
      <c r="BE218" s="105"/>
      <c r="BF218" s="105"/>
      <c r="BG218" s="105"/>
      <c r="BH218" s="105"/>
      <c r="BI218" s="105"/>
      <c r="BJ218" s="105"/>
      <c r="BK218" s="105"/>
      <c r="BL218" s="105"/>
      <c r="BM218" s="105"/>
      <c r="BN218" s="105"/>
      <c r="BO218" s="105"/>
      <c r="BP218" s="105"/>
      <c r="BQ218" s="105"/>
      <c r="BR218" s="105"/>
      <c r="BS218" s="105"/>
      <c r="BT218" s="105"/>
      <c r="BU218" s="105"/>
      <c r="BV218" s="105"/>
      <c r="BW218" s="105"/>
      <c r="BX218" s="105"/>
      <c r="BY218" s="105"/>
      <c r="BZ218" s="105"/>
      <c r="CA218" s="105"/>
      <c r="CB218" s="105"/>
      <c r="CC218" s="105"/>
      <c r="CD218" s="105"/>
      <c r="CE218" s="105"/>
      <c r="CF218" s="105"/>
      <c r="CG218" s="105"/>
      <c r="CH218" s="105"/>
      <c r="CI218" s="105"/>
      <c r="CJ218" s="105"/>
      <c r="CK218" s="105"/>
      <c r="CL218" s="105"/>
      <c r="CM218" s="105"/>
      <c r="CN218" s="105"/>
      <c r="CO218" s="105"/>
      <c r="CP218" s="105"/>
      <c r="CQ218" s="105"/>
      <c r="CR218" s="105"/>
      <c r="CS218" s="105"/>
      <c r="CT218" s="105"/>
      <c r="CU218" s="105"/>
      <c r="CV218" s="105"/>
      <c r="CW218" s="105"/>
      <c r="CX218" s="105"/>
      <c r="CY218" s="105"/>
      <c r="CZ218" s="105"/>
      <c r="DA218" s="105"/>
    </row>
    <row r="219">
      <c r="A219" s="7"/>
      <c r="B219" s="105"/>
      <c r="C219" s="7"/>
      <c r="D219" s="7"/>
      <c r="E219" s="7"/>
      <c r="F219" s="105"/>
      <c r="G219" s="105"/>
      <c r="H219" s="105"/>
      <c r="I219" s="105"/>
      <c r="J219" s="105"/>
      <c r="K219" s="105"/>
      <c r="L219" s="105"/>
      <c r="M219" s="105"/>
      <c r="N219" s="105"/>
      <c r="O219" s="105"/>
      <c r="P219" s="105"/>
      <c r="Q219" s="105"/>
      <c r="R219" s="105"/>
      <c r="S219" s="105"/>
      <c r="T219" s="105"/>
      <c r="U219" s="105"/>
      <c r="V219" s="105"/>
      <c r="W219" s="105"/>
      <c r="X219" s="105"/>
      <c r="Y219" s="105"/>
      <c r="Z219" s="105"/>
      <c r="AA219" s="105"/>
      <c r="AB219" s="105"/>
      <c r="AC219" s="105"/>
      <c r="AD219" s="105"/>
      <c r="AE219" s="105"/>
      <c r="AF219" s="105"/>
      <c r="AG219" s="105"/>
      <c r="AH219" s="105"/>
      <c r="AI219" s="105"/>
      <c r="AJ219" s="105"/>
      <c r="AK219" s="105"/>
      <c r="AL219" s="105"/>
      <c r="AM219" s="105"/>
      <c r="AN219" s="105"/>
      <c r="AO219" s="105"/>
      <c r="AP219" s="105"/>
      <c r="AQ219" s="105"/>
      <c r="AR219" s="105"/>
      <c r="AS219" s="105"/>
      <c r="AT219" s="105"/>
      <c r="AU219" s="105"/>
      <c r="AV219" s="105"/>
      <c r="AW219" s="105"/>
      <c r="AX219" s="105"/>
      <c r="AY219" s="105"/>
      <c r="AZ219" s="105"/>
      <c r="BA219" s="105"/>
      <c r="BB219" s="105"/>
      <c r="BC219" s="105"/>
      <c r="BD219" s="105"/>
      <c r="BE219" s="105"/>
      <c r="BF219" s="105"/>
      <c r="BG219" s="105"/>
      <c r="BH219" s="105"/>
      <c r="BI219" s="105"/>
      <c r="BJ219" s="105"/>
      <c r="BK219" s="105"/>
      <c r="BL219" s="105"/>
      <c r="BM219" s="105"/>
      <c r="BN219" s="105"/>
      <c r="BO219" s="105"/>
      <c r="BP219" s="105"/>
      <c r="BQ219" s="105"/>
      <c r="BR219" s="105"/>
      <c r="BS219" s="105"/>
      <c r="BT219" s="105"/>
      <c r="BU219" s="105"/>
      <c r="BV219" s="105"/>
      <c r="BW219" s="105"/>
      <c r="BX219" s="105"/>
      <c r="BY219" s="105"/>
      <c r="BZ219" s="105"/>
      <c r="CA219" s="105"/>
      <c r="CB219" s="105"/>
      <c r="CC219" s="105"/>
      <c r="CD219" s="105"/>
      <c r="CE219" s="105"/>
      <c r="CF219" s="105"/>
      <c r="CG219" s="105"/>
      <c r="CH219" s="105"/>
      <c r="CI219" s="105"/>
      <c r="CJ219" s="105"/>
      <c r="CK219" s="105"/>
      <c r="CL219" s="105"/>
      <c r="CM219" s="105"/>
      <c r="CN219" s="105"/>
      <c r="CO219" s="105"/>
      <c r="CP219" s="105"/>
      <c r="CQ219" s="105"/>
      <c r="CR219" s="105"/>
      <c r="CS219" s="105"/>
      <c r="CT219" s="105"/>
      <c r="CU219" s="105"/>
      <c r="CV219" s="105"/>
      <c r="CW219" s="105"/>
      <c r="CX219" s="105"/>
      <c r="CY219" s="105"/>
      <c r="CZ219" s="105"/>
      <c r="DA219" s="105"/>
    </row>
    <row r="220">
      <c r="A220" s="7"/>
      <c r="B220" s="105"/>
      <c r="C220" s="7"/>
      <c r="D220" s="7"/>
      <c r="E220" s="7"/>
      <c r="F220" s="105"/>
      <c r="G220" s="105"/>
      <c r="H220" s="105"/>
      <c r="I220" s="105"/>
      <c r="J220" s="105"/>
      <c r="K220" s="105"/>
      <c r="L220" s="105"/>
      <c r="M220" s="105"/>
      <c r="N220" s="105"/>
      <c r="O220" s="105"/>
      <c r="P220" s="105"/>
      <c r="Q220" s="105"/>
      <c r="R220" s="105"/>
      <c r="S220" s="105"/>
      <c r="T220" s="105"/>
      <c r="U220" s="105"/>
      <c r="V220" s="105"/>
      <c r="W220" s="105"/>
      <c r="X220" s="105"/>
      <c r="Y220" s="105"/>
      <c r="Z220" s="105"/>
      <c r="AA220" s="105"/>
      <c r="AB220" s="105"/>
      <c r="AC220" s="105"/>
      <c r="AD220" s="105"/>
      <c r="AE220" s="105"/>
      <c r="AF220" s="105"/>
      <c r="AG220" s="105"/>
      <c r="AH220" s="105"/>
      <c r="AI220" s="105"/>
      <c r="AJ220" s="105"/>
      <c r="AK220" s="105"/>
      <c r="AL220" s="105"/>
      <c r="AM220" s="105"/>
      <c r="AN220" s="105"/>
      <c r="AO220" s="105"/>
      <c r="AP220" s="105"/>
      <c r="AQ220" s="105"/>
      <c r="AR220" s="105"/>
      <c r="AS220" s="105"/>
      <c r="AT220" s="105"/>
      <c r="AU220" s="105"/>
      <c r="AV220" s="105"/>
      <c r="AW220" s="105"/>
      <c r="AX220" s="105"/>
      <c r="AY220" s="105"/>
      <c r="AZ220" s="105"/>
      <c r="BA220" s="105"/>
      <c r="BB220" s="105"/>
      <c r="BC220" s="105"/>
      <c r="BD220" s="105"/>
      <c r="BE220" s="105"/>
      <c r="BF220" s="105"/>
      <c r="BG220" s="105"/>
      <c r="BH220" s="105"/>
      <c r="BI220" s="105"/>
      <c r="BJ220" s="105"/>
      <c r="BK220" s="105"/>
      <c r="BL220" s="105"/>
      <c r="BM220" s="105"/>
      <c r="BN220" s="105"/>
      <c r="BO220" s="105"/>
      <c r="BP220" s="105"/>
      <c r="BQ220" s="105"/>
      <c r="BR220" s="105"/>
      <c r="BS220" s="105"/>
      <c r="BT220" s="105"/>
      <c r="BU220" s="105"/>
      <c r="BV220" s="105"/>
      <c r="BW220" s="105"/>
      <c r="BX220" s="105"/>
      <c r="BY220" s="105"/>
      <c r="BZ220" s="105"/>
      <c r="CA220" s="105"/>
      <c r="CB220" s="105"/>
      <c r="CC220" s="105"/>
      <c r="CD220" s="105"/>
      <c r="CE220" s="105"/>
      <c r="CF220" s="105"/>
      <c r="CG220" s="105"/>
      <c r="CH220" s="105"/>
      <c r="CI220" s="105"/>
      <c r="CJ220" s="105"/>
      <c r="CK220" s="105"/>
      <c r="CL220" s="105"/>
      <c r="CM220" s="105"/>
      <c r="CN220" s="105"/>
      <c r="CO220" s="105"/>
      <c r="CP220" s="105"/>
      <c r="CQ220" s="105"/>
      <c r="CR220" s="105"/>
      <c r="CS220" s="105"/>
      <c r="CT220" s="105"/>
      <c r="CU220" s="105"/>
      <c r="CV220" s="105"/>
      <c r="CW220" s="105"/>
      <c r="CX220" s="105"/>
      <c r="CY220" s="105"/>
      <c r="CZ220" s="105"/>
      <c r="DA220" s="105"/>
    </row>
    <row r="221">
      <c r="A221" s="7"/>
      <c r="B221" s="105"/>
      <c r="C221" s="7"/>
      <c r="D221" s="7"/>
      <c r="E221" s="7"/>
      <c r="F221" s="105"/>
      <c r="G221" s="105"/>
      <c r="H221" s="105"/>
      <c r="I221" s="105"/>
      <c r="J221" s="105"/>
      <c r="K221" s="105"/>
      <c r="L221" s="105"/>
      <c r="M221" s="105"/>
      <c r="N221" s="105"/>
      <c r="O221" s="105"/>
      <c r="P221" s="105"/>
      <c r="Q221" s="105"/>
      <c r="R221" s="105"/>
      <c r="S221" s="105"/>
      <c r="T221" s="105"/>
      <c r="U221" s="105"/>
      <c r="V221" s="105"/>
      <c r="W221" s="105"/>
      <c r="X221" s="105"/>
      <c r="Y221" s="105"/>
      <c r="Z221" s="105"/>
      <c r="AA221" s="105"/>
      <c r="AB221" s="105"/>
      <c r="AC221" s="105"/>
      <c r="AD221" s="105"/>
      <c r="AE221" s="105"/>
      <c r="AF221" s="105"/>
      <c r="AG221" s="105"/>
      <c r="AH221" s="105"/>
      <c r="AI221" s="105"/>
      <c r="AJ221" s="105"/>
      <c r="AK221" s="105"/>
      <c r="AL221" s="105"/>
      <c r="AM221" s="105"/>
      <c r="AN221" s="105"/>
      <c r="AO221" s="105"/>
      <c r="AP221" s="105"/>
      <c r="AQ221" s="105"/>
      <c r="AR221" s="105"/>
      <c r="AS221" s="105"/>
      <c r="AT221" s="105"/>
      <c r="AU221" s="105"/>
      <c r="AV221" s="105"/>
      <c r="AW221" s="105"/>
      <c r="AX221" s="105"/>
      <c r="AY221" s="105"/>
      <c r="AZ221" s="105"/>
      <c r="BA221" s="105"/>
      <c r="BB221" s="105"/>
      <c r="BC221" s="105"/>
      <c r="BD221" s="105"/>
      <c r="BE221" s="105"/>
      <c r="BF221" s="105"/>
      <c r="BG221" s="105"/>
      <c r="BH221" s="105"/>
      <c r="BI221" s="105"/>
      <c r="BJ221" s="105"/>
      <c r="BK221" s="105"/>
      <c r="BL221" s="105"/>
      <c r="BM221" s="105"/>
      <c r="BN221" s="105"/>
      <c r="BO221" s="105"/>
      <c r="BP221" s="105"/>
      <c r="BQ221" s="105"/>
      <c r="BR221" s="105"/>
      <c r="BS221" s="105"/>
      <c r="BT221" s="105"/>
      <c r="BU221" s="105"/>
      <c r="BV221" s="105"/>
      <c r="BW221" s="105"/>
      <c r="BX221" s="105"/>
      <c r="BY221" s="105"/>
      <c r="BZ221" s="105"/>
      <c r="CA221" s="105"/>
      <c r="CB221" s="105"/>
      <c r="CC221" s="105"/>
      <c r="CD221" s="105"/>
      <c r="CE221" s="105"/>
      <c r="CF221" s="105"/>
      <c r="CG221" s="105"/>
      <c r="CH221" s="105"/>
      <c r="CI221" s="105"/>
      <c r="CJ221" s="105"/>
      <c r="CK221" s="105"/>
      <c r="CL221" s="105"/>
      <c r="CM221" s="105"/>
      <c r="CN221" s="105"/>
      <c r="CO221" s="105"/>
      <c r="CP221" s="105"/>
      <c r="CQ221" s="105"/>
      <c r="CR221" s="105"/>
      <c r="CS221" s="105"/>
      <c r="CT221" s="105"/>
      <c r="CU221" s="105"/>
      <c r="CV221" s="105"/>
      <c r="CW221" s="105"/>
      <c r="CX221" s="105"/>
      <c r="CY221" s="105"/>
      <c r="CZ221" s="105"/>
      <c r="DA221" s="105"/>
    </row>
    <row r="222">
      <c r="A222" s="7"/>
      <c r="B222" s="105"/>
      <c r="C222" s="7"/>
      <c r="D222" s="7"/>
      <c r="E222" s="7"/>
      <c r="F222" s="105"/>
      <c r="G222" s="105"/>
      <c r="H222" s="105"/>
      <c r="I222" s="105"/>
      <c r="J222" s="105"/>
      <c r="K222" s="105"/>
      <c r="L222" s="105"/>
      <c r="M222" s="105"/>
      <c r="N222" s="105"/>
      <c r="O222" s="105"/>
      <c r="P222" s="105"/>
      <c r="Q222" s="105"/>
      <c r="R222" s="105"/>
      <c r="S222" s="105"/>
      <c r="T222" s="105"/>
      <c r="U222" s="105"/>
      <c r="V222" s="105"/>
      <c r="W222" s="105"/>
      <c r="X222" s="105"/>
      <c r="Y222" s="105"/>
      <c r="Z222" s="105"/>
      <c r="AA222" s="105"/>
      <c r="AB222" s="105"/>
      <c r="AC222" s="105"/>
      <c r="AD222" s="105"/>
      <c r="AE222" s="105"/>
      <c r="AF222" s="105"/>
      <c r="AG222" s="105"/>
      <c r="AH222" s="105"/>
      <c r="AI222" s="105"/>
      <c r="AJ222" s="105"/>
      <c r="AK222" s="105"/>
      <c r="AL222" s="105"/>
      <c r="AM222" s="105"/>
      <c r="AN222" s="105"/>
      <c r="AO222" s="105"/>
      <c r="AP222" s="105"/>
      <c r="AQ222" s="105"/>
      <c r="AR222" s="105"/>
      <c r="AS222" s="105"/>
      <c r="AT222" s="105"/>
      <c r="AU222" s="105"/>
      <c r="AV222" s="105"/>
      <c r="AW222" s="105"/>
      <c r="AX222" s="105"/>
      <c r="AY222" s="105"/>
      <c r="AZ222" s="105"/>
      <c r="BA222" s="105"/>
      <c r="BB222" s="105"/>
      <c r="BC222" s="105"/>
      <c r="BD222" s="105"/>
      <c r="BE222" s="105"/>
      <c r="BF222" s="105"/>
      <c r="BG222" s="105"/>
      <c r="BH222" s="105"/>
      <c r="BI222" s="105"/>
      <c r="BJ222" s="105"/>
      <c r="BK222" s="105"/>
      <c r="BL222" s="105"/>
      <c r="BM222" s="105"/>
      <c r="BN222" s="105"/>
      <c r="BO222" s="105"/>
      <c r="BP222" s="105"/>
      <c r="BQ222" s="105"/>
      <c r="BR222" s="105"/>
      <c r="BS222" s="105"/>
      <c r="BT222" s="105"/>
      <c r="BU222" s="105"/>
      <c r="BV222" s="105"/>
      <c r="BW222" s="105"/>
      <c r="BX222" s="105"/>
      <c r="BY222" s="105"/>
      <c r="BZ222" s="105"/>
      <c r="CA222" s="105"/>
      <c r="CB222" s="105"/>
      <c r="CC222" s="105"/>
      <c r="CD222" s="105"/>
      <c r="CE222" s="105"/>
      <c r="CF222" s="105"/>
      <c r="CG222" s="105"/>
      <c r="CH222" s="105"/>
      <c r="CI222" s="105"/>
      <c r="CJ222" s="105"/>
      <c r="CK222" s="105"/>
      <c r="CL222" s="105"/>
      <c r="CM222" s="105"/>
      <c r="CN222" s="105"/>
      <c r="CO222" s="105"/>
      <c r="CP222" s="105"/>
      <c r="CQ222" s="105"/>
      <c r="CR222" s="105"/>
      <c r="CS222" s="105"/>
      <c r="CT222" s="105"/>
      <c r="CU222" s="105"/>
      <c r="CV222" s="105"/>
      <c r="CW222" s="105"/>
      <c r="CX222" s="105"/>
      <c r="CY222" s="105"/>
      <c r="CZ222" s="105"/>
      <c r="DA222" s="105"/>
    </row>
    <row r="223">
      <c r="A223" s="7"/>
      <c r="B223" s="105"/>
      <c r="C223" s="7"/>
      <c r="D223" s="7"/>
      <c r="E223" s="7"/>
      <c r="F223" s="105"/>
      <c r="G223" s="105"/>
      <c r="H223" s="105"/>
      <c r="I223" s="105"/>
      <c r="J223" s="105"/>
      <c r="K223" s="105"/>
      <c r="L223" s="105"/>
      <c r="M223" s="105"/>
      <c r="N223" s="105"/>
      <c r="O223" s="105"/>
      <c r="P223" s="105"/>
      <c r="Q223" s="105"/>
      <c r="R223" s="105"/>
      <c r="S223" s="105"/>
      <c r="T223" s="105"/>
      <c r="U223" s="105"/>
      <c r="V223" s="105"/>
      <c r="W223" s="105"/>
      <c r="X223" s="105"/>
      <c r="Y223" s="105"/>
      <c r="Z223" s="105"/>
      <c r="AA223" s="105"/>
      <c r="AB223" s="105"/>
      <c r="AC223" s="105"/>
      <c r="AD223" s="105"/>
      <c r="AE223" s="105"/>
      <c r="AF223" s="105"/>
      <c r="AG223" s="105"/>
      <c r="AH223" s="105"/>
      <c r="AI223" s="105"/>
      <c r="AJ223" s="105"/>
      <c r="AK223" s="105"/>
      <c r="AL223" s="105"/>
      <c r="AM223" s="105"/>
      <c r="AN223" s="105"/>
      <c r="AO223" s="105"/>
      <c r="AP223" s="105"/>
      <c r="AQ223" s="105"/>
      <c r="AR223" s="105"/>
      <c r="AS223" s="105"/>
      <c r="AT223" s="105"/>
      <c r="AU223" s="105"/>
      <c r="AV223" s="105"/>
      <c r="AW223" s="105"/>
      <c r="AX223" s="105"/>
      <c r="AY223" s="105"/>
      <c r="AZ223" s="105"/>
      <c r="BA223" s="105"/>
      <c r="BB223" s="105"/>
      <c r="BC223" s="105"/>
      <c r="BD223" s="105"/>
      <c r="BE223" s="105"/>
      <c r="BF223" s="105"/>
      <c r="BG223" s="105"/>
      <c r="BH223" s="105"/>
      <c r="BI223" s="105"/>
      <c r="BJ223" s="105"/>
      <c r="BK223" s="105"/>
      <c r="BL223" s="105"/>
      <c r="BM223" s="105"/>
      <c r="BN223" s="105"/>
      <c r="BO223" s="105"/>
      <c r="BP223" s="105"/>
      <c r="BQ223" s="105"/>
      <c r="BR223" s="105"/>
      <c r="BS223" s="105"/>
      <c r="BT223" s="105"/>
      <c r="BU223" s="105"/>
      <c r="BV223" s="105"/>
      <c r="BW223" s="105"/>
      <c r="BX223" s="105"/>
      <c r="BY223" s="105"/>
      <c r="BZ223" s="105"/>
      <c r="CA223" s="105"/>
      <c r="CB223" s="105"/>
      <c r="CC223" s="105"/>
      <c r="CD223" s="105"/>
      <c r="CE223" s="105"/>
      <c r="CF223" s="105"/>
      <c r="CG223" s="105"/>
      <c r="CH223" s="105"/>
      <c r="CI223" s="105"/>
      <c r="CJ223" s="105"/>
      <c r="CK223" s="105"/>
      <c r="CL223" s="105"/>
      <c r="CM223" s="105"/>
      <c r="CN223" s="105"/>
      <c r="CO223" s="105"/>
      <c r="CP223" s="105"/>
      <c r="CQ223" s="105"/>
      <c r="CR223" s="105"/>
      <c r="CS223" s="105"/>
      <c r="CT223" s="105"/>
      <c r="CU223" s="105"/>
      <c r="CV223" s="105"/>
      <c r="CW223" s="105"/>
      <c r="CX223" s="105"/>
      <c r="CY223" s="105"/>
      <c r="CZ223" s="105"/>
      <c r="DA223" s="105"/>
    </row>
    <row r="224">
      <c r="A224" s="7"/>
      <c r="B224" s="105"/>
      <c r="C224" s="7"/>
      <c r="D224" s="7"/>
      <c r="E224" s="7"/>
      <c r="F224" s="105"/>
      <c r="G224" s="105"/>
      <c r="H224" s="105"/>
      <c r="I224" s="105"/>
      <c r="J224" s="105"/>
      <c r="K224" s="105"/>
      <c r="L224" s="105"/>
      <c r="M224" s="105"/>
      <c r="N224" s="105"/>
      <c r="O224" s="105"/>
      <c r="P224" s="105"/>
      <c r="Q224" s="105"/>
      <c r="R224" s="105"/>
      <c r="S224" s="105"/>
      <c r="T224" s="105"/>
      <c r="U224" s="105"/>
      <c r="V224" s="105"/>
      <c r="W224" s="105"/>
      <c r="X224" s="105"/>
      <c r="Y224" s="105"/>
      <c r="Z224" s="105"/>
      <c r="AA224" s="105"/>
      <c r="AB224" s="105"/>
      <c r="AC224" s="105"/>
      <c r="AD224" s="105"/>
      <c r="AE224" s="105"/>
      <c r="AF224" s="105"/>
      <c r="AG224" s="105"/>
      <c r="AH224" s="105"/>
      <c r="AI224" s="105"/>
      <c r="AJ224" s="105"/>
      <c r="AK224" s="105"/>
      <c r="AL224" s="105"/>
      <c r="AM224" s="105"/>
      <c r="AN224" s="105"/>
      <c r="AO224" s="105"/>
      <c r="AP224" s="105"/>
      <c r="AQ224" s="105"/>
      <c r="AR224" s="105"/>
      <c r="AS224" s="105"/>
      <c r="AT224" s="105"/>
      <c r="AU224" s="105"/>
      <c r="AV224" s="105"/>
      <c r="AW224" s="105"/>
      <c r="AX224" s="105"/>
      <c r="AY224" s="105"/>
      <c r="AZ224" s="105"/>
      <c r="BA224" s="105"/>
      <c r="BB224" s="105"/>
      <c r="BC224" s="105"/>
      <c r="BD224" s="105"/>
      <c r="BE224" s="105"/>
      <c r="BF224" s="105"/>
      <c r="BG224" s="105"/>
      <c r="BH224" s="105"/>
      <c r="BI224" s="105"/>
      <c r="BJ224" s="105"/>
      <c r="BK224" s="105"/>
      <c r="BL224" s="105"/>
      <c r="BM224" s="105"/>
      <c r="BN224" s="105"/>
      <c r="BO224" s="105"/>
      <c r="BP224" s="105"/>
      <c r="BQ224" s="105"/>
      <c r="BR224" s="105"/>
      <c r="BS224" s="105"/>
      <c r="BT224" s="105"/>
      <c r="BU224" s="105"/>
      <c r="BV224" s="105"/>
      <c r="BW224" s="105"/>
      <c r="BX224" s="105"/>
      <c r="BY224" s="105"/>
      <c r="BZ224" s="105"/>
      <c r="CA224" s="105"/>
      <c r="CB224" s="105"/>
      <c r="CC224" s="105"/>
      <c r="CD224" s="105"/>
      <c r="CE224" s="105"/>
      <c r="CF224" s="105"/>
      <c r="CG224" s="105"/>
      <c r="CH224" s="105"/>
      <c r="CI224" s="105"/>
      <c r="CJ224" s="105"/>
      <c r="CK224" s="105"/>
      <c r="CL224" s="105"/>
      <c r="CM224" s="105"/>
      <c r="CN224" s="105"/>
      <c r="CO224" s="105"/>
      <c r="CP224" s="105"/>
      <c r="CQ224" s="105"/>
      <c r="CR224" s="105"/>
      <c r="CS224" s="105"/>
      <c r="CT224" s="105"/>
      <c r="CU224" s="105"/>
      <c r="CV224" s="105"/>
      <c r="CW224" s="105"/>
      <c r="CX224" s="105"/>
      <c r="CY224" s="105"/>
      <c r="CZ224" s="105"/>
      <c r="DA224" s="105"/>
    </row>
    <row r="225">
      <c r="A225" s="7"/>
      <c r="B225" s="105"/>
      <c r="C225" s="7"/>
      <c r="D225" s="7"/>
      <c r="E225" s="7"/>
      <c r="F225" s="105"/>
      <c r="G225" s="105"/>
      <c r="H225" s="105"/>
      <c r="I225" s="105"/>
      <c r="J225" s="105"/>
      <c r="K225" s="105"/>
      <c r="L225" s="105"/>
      <c r="M225" s="105"/>
      <c r="N225" s="105"/>
      <c r="O225" s="105"/>
      <c r="P225" s="105"/>
      <c r="Q225" s="105"/>
      <c r="R225" s="105"/>
      <c r="S225" s="105"/>
      <c r="T225" s="105"/>
      <c r="U225" s="105"/>
      <c r="V225" s="105"/>
      <c r="W225" s="105"/>
      <c r="X225" s="105"/>
      <c r="Y225" s="105"/>
      <c r="Z225" s="105"/>
      <c r="AA225" s="105"/>
      <c r="AB225" s="105"/>
      <c r="AC225" s="105"/>
      <c r="AD225" s="105"/>
      <c r="AE225" s="105"/>
      <c r="AF225" s="105"/>
      <c r="AG225" s="105"/>
      <c r="AH225" s="105"/>
      <c r="AI225" s="105"/>
      <c r="AJ225" s="105"/>
      <c r="AK225" s="105"/>
      <c r="AL225" s="105"/>
      <c r="AM225" s="105"/>
      <c r="AN225" s="105"/>
      <c r="AO225" s="105"/>
      <c r="AP225" s="105"/>
      <c r="AQ225" s="105"/>
      <c r="AR225" s="105"/>
      <c r="AS225" s="105"/>
      <c r="AT225" s="105"/>
      <c r="AU225" s="105"/>
      <c r="AV225" s="105"/>
      <c r="AW225" s="105"/>
      <c r="AX225" s="105"/>
      <c r="AY225" s="105"/>
      <c r="AZ225" s="105"/>
      <c r="BA225" s="105"/>
      <c r="BB225" s="105"/>
      <c r="BC225" s="105"/>
      <c r="BD225" s="105"/>
      <c r="BE225" s="105"/>
      <c r="BF225" s="105"/>
      <c r="BG225" s="105"/>
      <c r="BH225" s="105"/>
      <c r="BI225" s="105"/>
      <c r="BJ225" s="105"/>
      <c r="BK225" s="105"/>
      <c r="BL225" s="105"/>
      <c r="BM225" s="105"/>
      <c r="BN225" s="105"/>
      <c r="BO225" s="105"/>
      <c r="BP225" s="105"/>
      <c r="BQ225" s="105"/>
      <c r="BR225" s="105"/>
      <c r="BS225" s="105"/>
      <c r="BT225" s="105"/>
      <c r="BU225" s="105"/>
      <c r="BV225" s="105"/>
      <c r="BW225" s="105"/>
      <c r="BX225" s="105"/>
      <c r="BY225" s="105"/>
      <c r="BZ225" s="105"/>
      <c r="CA225" s="105"/>
      <c r="CB225" s="105"/>
      <c r="CC225" s="105"/>
      <c r="CD225" s="105"/>
      <c r="CE225" s="105"/>
      <c r="CF225" s="105"/>
      <c r="CG225" s="105"/>
      <c r="CH225" s="105"/>
      <c r="CI225" s="105"/>
      <c r="CJ225" s="105"/>
      <c r="CK225" s="105"/>
      <c r="CL225" s="105"/>
      <c r="CM225" s="105"/>
      <c r="CN225" s="105"/>
      <c r="CO225" s="105"/>
      <c r="CP225" s="105"/>
      <c r="CQ225" s="105"/>
      <c r="CR225" s="105"/>
      <c r="CS225" s="105"/>
      <c r="CT225" s="105"/>
      <c r="CU225" s="105"/>
      <c r="CV225" s="105"/>
      <c r="CW225" s="105"/>
      <c r="CX225" s="105"/>
      <c r="CY225" s="105"/>
      <c r="CZ225" s="105"/>
      <c r="DA225" s="105"/>
    </row>
    <row r="226">
      <c r="A226" s="7"/>
      <c r="B226" s="105"/>
      <c r="C226" s="7"/>
      <c r="D226" s="7"/>
      <c r="E226" s="7"/>
      <c r="F226" s="105"/>
      <c r="G226" s="105"/>
      <c r="H226" s="105"/>
      <c r="I226" s="105"/>
      <c r="J226" s="105"/>
      <c r="K226" s="105"/>
      <c r="L226" s="105"/>
      <c r="M226" s="105"/>
      <c r="N226" s="105"/>
      <c r="O226" s="105"/>
      <c r="P226" s="105"/>
      <c r="Q226" s="105"/>
      <c r="R226" s="105"/>
      <c r="S226" s="105"/>
      <c r="T226" s="105"/>
      <c r="U226" s="105"/>
      <c r="V226" s="105"/>
      <c r="W226" s="105"/>
      <c r="X226" s="105"/>
      <c r="Y226" s="105"/>
      <c r="Z226" s="105"/>
      <c r="AA226" s="105"/>
      <c r="AB226" s="105"/>
      <c r="AC226" s="105"/>
      <c r="AD226" s="105"/>
      <c r="AE226" s="105"/>
      <c r="AF226" s="105"/>
      <c r="AG226" s="105"/>
      <c r="AH226" s="105"/>
      <c r="AI226" s="105"/>
      <c r="AJ226" s="105"/>
      <c r="AK226" s="105"/>
      <c r="AL226" s="105"/>
      <c r="AM226" s="105"/>
      <c r="AN226" s="105"/>
      <c r="AO226" s="105"/>
      <c r="AP226" s="105"/>
      <c r="AQ226" s="105"/>
      <c r="AR226" s="105"/>
      <c r="AS226" s="105"/>
      <c r="AT226" s="105"/>
      <c r="AU226" s="105"/>
      <c r="AV226" s="105"/>
      <c r="AW226" s="105"/>
      <c r="AX226" s="105"/>
      <c r="AY226" s="105"/>
      <c r="AZ226" s="105"/>
      <c r="BA226" s="105"/>
      <c r="BB226" s="105"/>
      <c r="BC226" s="105"/>
      <c r="BD226" s="105"/>
      <c r="BE226" s="105"/>
      <c r="BF226" s="105"/>
      <c r="BG226" s="105"/>
      <c r="BH226" s="105"/>
      <c r="BI226" s="105"/>
      <c r="BJ226" s="105"/>
      <c r="BK226" s="105"/>
      <c r="BL226" s="105"/>
      <c r="BM226" s="105"/>
      <c r="BN226" s="105"/>
      <c r="BO226" s="105"/>
      <c r="BP226" s="105"/>
      <c r="BQ226" s="105"/>
      <c r="BR226" s="105"/>
      <c r="BS226" s="105"/>
      <c r="BT226" s="105"/>
      <c r="BU226" s="105"/>
      <c r="BV226" s="105"/>
      <c r="BW226" s="105"/>
      <c r="BX226" s="105"/>
      <c r="BY226" s="105"/>
      <c r="BZ226" s="105"/>
      <c r="CA226" s="105"/>
      <c r="CB226" s="105"/>
      <c r="CC226" s="105"/>
      <c r="CD226" s="105"/>
      <c r="CE226" s="105"/>
      <c r="CF226" s="105"/>
      <c r="CG226" s="105"/>
      <c r="CH226" s="105"/>
      <c r="CI226" s="105"/>
      <c r="CJ226" s="105"/>
      <c r="CK226" s="105"/>
      <c r="CL226" s="105"/>
      <c r="CM226" s="105"/>
      <c r="CN226" s="105"/>
      <c r="CO226" s="105"/>
      <c r="CP226" s="105"/>
      <c r="CQ226" s="105"/>
      <c r="CR226" s="105"/>
      <c r="CS226" s="105"/>
      <c r="CT226" s="105"/>
      <c r="CU226" s="105"/>
      <c r="CV226" s="105"/>
      <c r="CW226" s="105"/>
      <c r="CX226" s="105"/>
      <c r="CY226" s="105"/>
      <c r="CZ226" s="105"/>
      <c r="DA226" s="105"/>
    </row>
    <row r="227">
      <c r="A227" s="7"/>
      <c r="B227" s="105"/>
      <c r="C227" s="7"/>
      <c r="D227" s="7"/>
      <c r="E227" s="7"/>
      <c r="F227" s="105"/>
      <c r="G227" s="105"/>
      <c r="H227" s="105"/>
      <c r="I227" s="105"/>
      <c r="J227" s="105"/>
      <c r="K227" s="105"/>
      <c r="L227" s="105"/>
      <c r="M227" s="105"/>
      <c r="N227" s="105"/>
      <c r="O227" s="105"/>
      <c r="P227" s="105"/>
      <c r="Q227" s="105"/>
      <c r="R227" s="105"/>
      <c r="S227" s="105"/>
      <c r="T227" s="105"/>
      <c r="U227" s="105"/>
      <c r="V227" s="105"/>
      <c r="W227" s="105"/>
      <c r="X227" s="105"/>
      <c r="Y227" s="105"/>
      <c r="Z227" s="105"/>
      <c r="AA227" s="105"/>
      <c r="AB227" s="105"/>
      <c r="AC227" s="105"/>
      <c r="AD227" s="105"/>
      <c r="AE227" s="105"/>
      <c r="AF227" s="105"/>
      <c r="AG227" s="105"/>
      <c r="AH227" s="105"/>
      <c r="AI227" s="105"/>
      <c r="AJ227" s="105"/>
      <c r="AK227" s="105"/>
      <c r="AL227" s="105"/>
      <c r="AM227" s="105"/>
      <c r="AN227" s="105"/>
      <c r="AO227" s="105"/>
      <c r="AP227" s="105"/>
      <c r="AQ227" s="105"/>
      <c r="AR227" s="105"/>
      <c r="AS227" s="105"/>
      <c r="AT227" s="105"/>
      <c r="AU227" s="105"/>
      <c r="AV227" s="105"/>
      <c r="AW227" s="105"/>
      <c r="AX227" s="105"/>
      <c r="AY227" s="105"/>
      <c r="AZ227" s="105"/>
      <c r="BA227" s="105"/>
      <c r="BB227" s="105"/>
      <c r="BC227" s="105"/>
      <c r="BD227" s="105"/>
      <c r="BE227" s="105"/>
      <c r="BF227" s="105"/>
      <c r="BG227" s="105"/>
      <c r="BH227" s="105"/>
      <c r="BI227" s="105"/>
      <c r="BJ227" s="105"/>
      <c r="BK227" s="105"/>
      <c r="BL227" s="105"/>
      <c r="BM227" s="105"/>
      <c r="BN227" s="105"/>
      <c r="BO227" s="105"/>
      <c r="BP227" s="105"/>
      <c r="BQ227" s="105"/>
      <c r="BR227" s="105"/>
      <c r="BS227" s="105"/>
      <c r="BT227" s="105"/>
      <c r="BU227" s="105"/>
      <c r="BV227" s="105"/>
      <c r="BW227" s="105"/>
      <c r="BX227" s="105"/>
      <c r="BY227" s="105"/>
      <c r="BZ227" s="105"/>
      <c r="CA227" s="105"/>
      <c r="CB227" s="105"/>
      <c r="CC227" s="105"/>
      <c r="CD227" s="105"/>
      <c r="CE227" s="105"/>
      <c r="CF227" s="105"/>
      <c r="CG227" s="105"/>
      <c r="CH227" s="105"/>
      <c r="CI227" s="105"/>
      <c r="CJ227" s="105"/>
      <c r="CK227" s="105"/>
      <c r="CL227" s="105"/>
      <c r="CM227" s="105"/>
      <c r="CN227" s="105"/>
      <c r="CO227" s="105"/>
      <c r="CP227" s="105"/>
      <c r="CQ227" s="105"/>
      <c r="CR227" s="105"/>
      <c r="CS227" s="105"/>
      <c r="CT227" s="105"/>
      <c r="CU227" s="105"/>
      <c r="CV227" s="105"/>
      <c r="CW227" s="105"/>
      <c r="CX227" s="105"/>
      <c r="CY227" s="105"/>
      <c r="CZ227" s="105"/>
      <c r="DA227" s="105"/>
    </row>
    <row r="228">
      <c r="A228" s="7"/>
      <c r="B228" s="105"/>
      <c r="C228" s="7"/>
      <c r="D228" s="7"/>
      <c r="E228" s="7"/>
      <c r="F228" s="105"/>
      <c r="G228" s="105"/>
      <c r="H228" s="105"/>
      <c r="I228" s="105"/>
      <c r="J228" s="105"/>
      <c r="K228" s="105"/>
      <c r="L228" s="105"/>
      <c r="M228" s="105"/>
      <c r="N228" s="105"/>
      <c r="O228" s="105"/>
      <c r="P228" s="105"/>
      <c r="Q228" s="105"/>
      <c r="R228" s="105"/>
      <c r="S228" s="105"/>
      <c r="T228" s="105"/>
      <c r="U228" s="105"/>
      <c r="V228" s="105"/>
      <c r="W228" s="105"/>
      <c r="X228" s="105"/>
      <c r="Y228" s="105"/>
      <c r="Z228" s="105"/>
      <c r="AA228" s="105"/>
      <c r="AB228" s="105"/>
      <c r="AC228" s="105"/>
      <c r="AD228" s="105"/>
      <c r="AE228" s="105"/>
      <c r="AF228" s="105"/>
      <c r="AG228" s="105"/>
      <c r="AH228" s="105"/>
      <c r="AI228" s="105"/>
      <c r="AJ228" s="105"/>
      <c r="AK228" s="105"/>
      <c r="AL228" s="105"/>
      <c r="AM228" s="105"/>
      <c r="AN228" s="105"/>
      <c r="AO228" s="105"/>
      <c r="AP228" s="105"/>
      <c r="AQ228" s="105"/>
      <c r="AR228" s="105"/>
      <c r="AS228" s="105"/>
      <c r="AT228" s="105"/>
      <c r="AU228" s="105"/>
      <c r="AV228" s="105"/>
      <c r="AW228" s="105"/>
      <c r="AX228" s="105"/>
      <c r="AY228" s="105"/>
      <c r="AZ228" s="105"/>
      <c r="BA228" s="105"/>
      <c r="BB228" s="105"/>
      <c r="BC228" s="105"/>
      <c r="BD228" s="105"/>
      <c r="BE228" s="105"/>
      <c r="BF228" s="105"/>
      <c r="BG228" s="105"/>
      <c r="BH228" s="105"/>
      <c r="BI228" s="105"/>
      <c r="BJ228" s="105"/>
      <c r="BK228" s="105"/>
      <c r="BL228" s="105"/>
      <c r="BM228" s="105"/>
      <c r="BN228" s="105"/>
      <c r="BO228" s="105"/>
      <c r="BP228" s="105"/>
      <c r="BQ228" s="105"/>
      <c r="BR228" s="105"/>
      <c r="BS228" s="105"/>
      <c r="BT228" s="105"/>
      <c r="BU228" s="105"/>
      <c r="BV228" s="105"/>
      <c r="BW228" s="105"/>
      <c r="BX228" s="105"/>
      <c r="BY228" s="105"/>
      <c r="BZ228" s="105"/>
      <c r="CA228" s="105"/>
      <c r="CB228" s="105"/>
      <c r="CC228" s="105"/>
      <c r="CD228" s="105"/>
      <c r="CE228" s="105"/>
      <c r="CF228" s="105"/>
      <c r="CG228" s="105"/>
      <c r="CH228" s="105"/>
      <c r="CI228" s="105"/>
      <c r="CJ228" s="105"/>
      <c r="CK228" s="105"/>
      <c r="CL228" s="105"/>
      <c r="CM228" s="105"/>
      <c r="CN228" s="105"/>
      <c r="CO228" s="105"/>
      <c r="CP228" s="105"/>
      <c r="CQ228" s="105"/>
      <c r="CR228" s="105"/>
      <c r="CS228" s="105"/>
      <c r="CT228" s="105"/>
      <c r="CU228" s="105"/>
      <c r="CV228" s="105"/>
      <c r="CW228" s="105"/>
      <c r="CX228" s="105"/>
      <c r="CY228" s="105"/>
      <c r="CZ228" s="105"/>
      <c r="DA228" s="105"/>
    </row>
    <row r="229">
      <c r="A229" s="7"/>
      <c r="B229" s="105"/>
      <c r="C229" s="7"/>
      <c r="D229" s="7"/>
      <c r="E229" s="7"/>
      <c r="F229" s="105"/>
      <c r="G229" s="105"/>
      <c r="H229" s="105"/>
      <c r="I229" s="105"/>
      <c r="J229" s="105"/>
      <c r="K229" s="105"/>
      <c r="L229" s="105"/>
      <c r="M229" s="105"/>
      <c r="N229" s="105"/>
      <c r="O229" s="105"/>
      <c r="P229" s="105"/>
      <c r="Q229" s="105"/>
      <c r="R229" s="105"/>
      <c r="S229" s="105"/>
      <c r="T229" s="105"/>
      <c r="U229" s="105"/>
      <c r="V229" s="105"/>
      <c r="W229" s="105"/>
      <c r="X229" s="105"/>
      <c r="Y229" s="105"/>
      <c r="Z229" s="105"/>
      <c r="AA229" s="105"/>
      <c r="AB229" s="105"/>
      <c r="AC229" s="105"/>
      <c r="AD229" s="105"/>
      <c r="AE229" s="105"/>
      <c r="AF229" s="105"/>
      <c r="AG229" s="105"/>
      <c r="AH229" s="105"/>
      <c r="AI229" s="105"/>
      <c r="AJ229" s="105"/>
      <c r="AK229" s="105"/>
      <c r="AL229" s="105"/>
      <c r="AM229" s="105"/>
      <c r="AN229" s="105"/>
      <c r="AO229" s="105"/>
      <c r="AP229" s="105"/>
      <c r="AQ229" s="105"/>
      <c r="AR229" s="105"/>
      <c r="AS229" s="105"/>
      <c r="AT229" s="105"/>
      <c r="AU229" s="105"/>
      <c r="AV229" s="105"/>
      <c r="AW229" s="105"/>
      <c r="AX229" s="105"/>
      <c r="AY229" s="105"/>
      <c r="AZ229" s="105"/>
      <c r="BA229" s="105"/>
      <c r="BB229" s="105"/>
      <c r="BC229" s="105"/>
      <c r="BD229" s="105"/>
      <c r="BE229" s="105"/>
      <c r="BF229" s="105"/>
      <c r="BG229" s="105"/>
      <c r="BH229" s="105"/>
      <c r="BI229" s="105"/>
      <c r="BJ229" s="105"/>
      <c r="BK229" s="105"/>
      <c r="BL229" s="105"/>
      <c r="BM229" s="105"/>
      <c r="BN229" s="105"/>
      <c r="BO229" s="105"/>
      <c r="BP229" s="105"/>
      <c r="BQ229" s="105"/>
      <c r="BR229" s="105"/>
      <c r="BS229" s="105"/>
      <c r="BT229" s="105"/>
      <c r="BU229" s="105"/>
      <c r="BV229" s="105"/>
      <c r="BW229" s="105"/>
      <c r="BX229" s="105"/>
      <c r="BY229" s="105"/>
      <c r="BZ229" s="105"/>
      <c r="CA229" s="105"/>
      <c r="CB229" s="105"/>
      <c r="CC229" s="105"/>
      <c r="CD229" s="105"/>
      <c r="CE229" s="105"/>
      <c r="CF229" s="105"/>
      <c r="CG229" s="105"/>
      <c r="CH229" s="105"/>
      <c r="CI229" s="105"/>
      <c r="CJ229" s="105"/>
      <c r="CK229" s="105"/>
      <c r="CL229" s="105"/>
      <c r="CM229" s="105"/>
      <c r="CN229" s="105"/>
      <c r="CO229" s="105"/>
      <c r="CP229" s="105"/>
      <c r="CQ229" s="105"/>
      <c r="CR229" s="105"/>
      <c r="CS229" s="105"/>
      <c r="CT229" s="105"/>
      <c r="CU229" s="105"/>
      <c r="CV229" s="105"/>
      <c r="CW229" s="105"/>
      <c r="CX229" s="105"/>
      <c r="CY229" s="105"/>
      <c r="CZ229" s="105"/>
      <c r="DA229" s="105"/>
    </row>
    <row r="230">
      <c r="A230" s="7"/>
      <c r="B230" s="105"/>
      <c r="C230" s="7"/>
      <c r="D230" s="7"/>
      <c r="E230" s="7"/>
      <c r="F230" s="105"/>
      <c r="G230" s="105"/>
      <c r="H230" s="105"/>
      <c r="I230" s="105"/>
      <c r="J230" s="105"/>
      <c r="K230" s="105"/>
      <c r="L230" s="105"/>
      <c r="M230" s="105"/>
      <c r="N230" s="105"/>
      <c r="O230" s="105"/>
      <c r="P230" s="105"/>
      <c r="Q230" s="105"/>
      <c r="R230" s="105"/>
      <c r="S230" s="105"/>
      <c r="T230" s="105"/>
      <c r="U230" s="105"/>
      <c r="V230" s="105"/>
      <c r="W230" s="105"/>
      <c r="X230" s="105"/>
      <c r="Y230" s="105"/>
      <c r="Z230" s="105"/>
      <c r="AA230" s="105"/>
      <c r="AB230" s="105"/>
      <c r="AC230" s="105"/>
      <c r="AD230" s="105"/>
      <c r="AE230" s="105"/>
      <c r="AF230" s="105"/>
      <c r="AG230" s="105"/>
      <c r="AH230" s="105"/>
      <c r="AI230" s="105"/>
      <c r="AJ230" s="105"/>
      <c r="AK230" s="105"/>
      <c r="AL230" s="105"/>
      <c r="AM230" s="105"/>
      <c r="AN230" s="105"/>
      <c r="AO230" s="105"/>
      <c r="AP230" s="105"/>
      <c r="AQ230" s="105"/>
      <c r="AR230" s="105"/>
      <c r="AS230" s="105"/>
      <c r="AT230" s="105"/>
      <c r="AU230" s="105"/>
      <c r="AV230" s="105"/>
      <c r="AW230" s="105"/>
      <c r="AX230" s="105"/>
      <c r="AY230" s="105"/>
      <c r="AZ230" s="105"/>
      <c r="BA230" s="105"/>
      <c r="BB230" s="105"/>
      <c r="BC230" s="105"/>
      <c r="BD230" s="105"/>
      <c r="BE230" s="105"/>
      <c r="BF230" s="105"/>
      <c r="BG230" s="105"/>
      <c r="BH230" s="105"/>
      <c r="BI230" s="105"/>
      <c r="BJ230" s="105"/>
      <c r="BK230" s="105"/>
      <c r="BL230" s="105"/>
      <c r="BM230" s="105"/>
      <c r="BN230" s="105"/>
      <c r="BO230" s="105"/>
      <c r="BP230" s="105"/>
      <c r="BQ230" s="105"/>
      <c r="BR230" s="105"/>
      <c r="BS230" s="105"/>
      <c r="BT230" s="105"/>
      <c r="BU230" s="105"/>
      <c r="BV230" s="105"/>
      <c r="BW230" s="105"/>
      <c r="BX230" s="105"/>
      <c r="BY230" s="105"/>
      <c r="BZ230" s="105"/>
      <c r="CA230" s="105"/>
      <c r="CB230" s="105"/>
      <c r="CC230" s="105"/>
      <c r="CD230" s="105"/>
      <c r="CE230" s="105"/>
      <c r="CF230" s="105"/>
      <c r="CG230" s="105"/>
      <c r="CH230" s="105"/>
      <c r="CI230" s="105"/>
      <c r="CJ230" s="105"/>
      <c r="CK230" s="105"/>
      <c r="CL230" s="105"/>
      <c r="CM230" s="105"/>
      <c r="CN230" s="105"/>
      <c r="CO230" s="105"/>
      <c r="CP230" s="105"/>
      <c r="CQ230" s="105"/>
      <c r="CR230" s="105"/>
      <c r="CS230" s="105"/>
      <c r="CT230" s="105"/>
      <c r="CU230" s="105"/>
      <c r="CV230" s="105"/>
      <c r="CW230" s="105"/>
      <c r="CX230" s="105"/>
      <c r="CY230" s="105"/>
      <c r="CZ230" s="105"/>
      <c r="DA230" s="105"/>
    </row>
    <row r="231">
      <c r="A231" s="7"/>
      <c r="B231" s="105"/>
      <c r="C231" s="7"/>
      <c r="D231" s="7"/>
      <c r="E231" s="7"/>
      <c r="F231" s="105"/>
      <c r="G231" s="105"/>
      <c r="H231" s="105"/>
      <c r="I231" s="105"/>
      <c r="J231" s="105"/>
      <c r="K231" s="105"/>
      <c r="L231" s="105"/>
      <c r="M231" s="105"/>
      <c r="N231" s="105"/>
      <c r="O231" s="105"/>
      <c r="P231" s="105"/>
      <c r="Q231" s="105"/>
      <c r="R231" s="105"/>
      <c r="S231" s="105"/>
      <c r="T231" s="105"/>
      <c r="U231" s="105"/>
      <c r="V231" s="105"/>
      <c r="W231" s="105"/>
      <c r="X231" s="105"/>
      <c r="Y231" s="105"/>
      <c r="Z231" s="105"/>
      <c r="AA231" s="105"/>
      <c r="AB231" s="105"/>
      <c r="AC231" s="105"/>
      <c r="AD231" s="105"/>
      <c r="AE231" s="105"/>
      <c r="AF231" s="105"/>
      <c r="AG231" s="105"/>
      <c r="AH231" s="105"/>
      <c r="AI231" s="105"/>
      <c r="AJ231" s="105"/>
      <c r="AK231" s="105"/>
      <c r="AL231" s="105"/>
      <c r="AM231" s="105"/>
      <c r="AN231" s="105"/>
      <c r="AO231" s="105"/>
      <c r="AP231" s="105"/>
      <c r="AQ231" s="105"/>
      <c r="AR231" s="105"/>
      <c r="AS231" s="105"/>
      <c r="AT231" s="105"/>
      <c r="AU231" s="105"/>
      <c r="AV231" s="105"/>
      <c r="AW231" s="105"/>
      <c r="AX231" s="105"/>
      <c r="AY231" s="105"/>
      <c r="AZ231" s="105"/>
      <c r="BA231" s="105"/>
      <c r="BB231" s="105"/>
      <c r="BC231" s="105"/>
      <c r="BD231" s="105"/>
      <c r="BE231" s="105"/>
      <c r="BF231" s="105"/>
      <c r="BG231" s="105"/>
      <c r="BH231" s="105"/>
      <c r="BI231" s="105"/>
      <c r="BJ231" s="105"/>
      <c r="BK231" s="105"/>
      <c r="BL231" s="105"/>
      <c r="BM231" s="105"/>
      <c r="BN231" s="105"/>
      <c r="BO231" s="105"/>
      <c r="BP231" s="105"/>
      <c r="BQ231" s="105"/>
      <c r="BR231" s="105"/>
      <c r="BS231" s="105"/>
      <c r="BT231" s="105"/>
      <c r="BU231" s="105"/>
      <c r="BV231" s="105"/>
      <c r="BW231" s="105"/>
      <c r="BX231" s="105"/>
      <c r="BY231" s="105"/>
      <c r="BZ231" s="105"/>
      <c r="CA231" s="105"/>
      <c r="CB231" s="105"/>
      <c r="CC231" s="105"/>
      <c r="CD231" s="105"/>
      <c r="CE231" s="105"/>
      <c r="CF231" s="105"/>
      <c r="CG231" s="105"/>
      <c r="CH231" s="105"/>
      <c r="CI231" s="105"/>
      <c r="CJ231" s="105"/>
      <c r="CK231" s="105"/>
      <c r="CL231" s="105"/>
      <c r="CM231" s="105"/>
      <c r="CN231" s="105"/>
      <c r="CO231" s="105"/>
      <c r="CP231" s="105"/>
      <c r="CQ231" s="105"/>
      <c r="CR231" s="105"/>
      <c r="CS231" s="105"/>
      <c r="CT231" s="105"/>
      <c r="CU231" s="105"/>
      <c r="CV231" s="105"/>
      <c r="CW231" s="105"/>
      <c r="CX231" s="105"/>
      <c r="CY231" s="105"/>
      <c r="CZ231" s="105"/>
      <c r="DA231" s="105"/>
    </row>
    <row r="232">
      <c r="A232" s="7"/>
      <c r="B232" s="105"/>
      <c r="C232" s="7"/>
      <c r="D232" s="7"/>
      <c r="E232" s="7"/>
      <c r="F232" s="105"/>
      <c r="G232" s="105"/>
      <c r="H232" s="105"/>
      <c r="I232" s="105"/>
      <c r="J232" s="105"/>
      <c r="K232" s="105"/>
      <c r="L232" s="105"/>
      <c r="M232" s="105"/>
      <c r="N232" s="105"/>
      <c r="O232" s="105"/>
      <c r="P232" s="105"/>
      <c r="Q232" s="105"/>
      <c r="R232" s="105"/>
      <c r="S232" s="105"/>
      <c r="T232" s="105"/>
      <c r="U232" s="105"/>
      <c r="V232" s="105"/>
      <c r="W232" s="105"/>
      <c r="X232" s="105"/>
      <c r="Y232" s="105"/>
      <c r="Z232" s="105"/>
      <c r="AA232" s="105"/>
      <c r="AB232" s="105"/>
      <c r="AC232" s="105"/>
      <c r="AD232" s="105"/>
      <c r="AE232" s="105"/>
      <c r="AF232" s="105"/>
      <c r="AG232" s="105"/>
      <c r="AH232" s="105"/>
      <c r="AI232" s="105"/>
      <c r="AJ232" s="105"/>
      <c r="AK232" s="105"/>
      <c r="AL232" s="105"/>
      <c r="AM232" s="105"/>
      <c r="AN232" s="105"/>
      <c r="AO232" s="105"/>
      <c r="AP232" s="105"/>
      <c r="AQ232" s="105"/>
      <c r="AR232" s="105"/>
      <c r="AS232" s="105"/>
      <c r="AT232" s="105"/>
      <c r="AU232" s="105"/>
      <c r="AV232" s="105"/>
      <c r="AW232" s="105"/>
      <c r="AX232" s="105"/>
      <c r="AY232" s="105"/>
      <c r="AZ232" s="105"/>
      <c r="BA232" s="105"/>
      <c r="BB232" s="105"/>
      <c r="BC232" s="105"/>
      <c r="BD232" s="105"/>
      <c r="BE232" s="105"/>
      <c r="BF232" s="105"/>
      <c r="BG232" s="105"/>
      <c r="BH232" s="105"/>
      <c r="BI232" s="105"/>
      <c r="BJ232" s="105"/>
      <c r="BK232" s="105"/>
      <c r="BL232" s="105"/>
      <c r="BM232" s="105"/>
      <c r="BN232" s="105"/>
      <c r="BO232" s="105"/>
      <c r="BP232" s="105"/>
      <c r="BQ232" s="105"/>
      <c r="BR232" s="105"/>
      <c r="BS232" s="105"/>
      <c r="BT232" s="105"/>
      <c r="BU232" s="105"/>
      <c r="BV232" s="105"/>
      <c r="BW232" s="105"/>
      <c r="BX232" s="105"/>
      <c r="BY232" s="105"/>
      <c r="BZ232" s="105"/>
      <c r="CA232" s="105"/>
      <c r="CB232" s="105"/>
      <c r="CC232" s="105"/>
      <c r="CD232" s="105"/>
      <c r="CE232" s="105"/>
      <c r="CF232" s="105"/>
      <c r="CG232" s="105"/>
      <c r="CH232" s="105"/>
      <c r="CI232" s="105"/>
      <c r="CJ232" s="105"/>
      <c r="CK232" s="105"/>
      <c r="CL232" s="105"/>
      <c r="CM232" s="105"/>
      <c r="CN232" s="105"/>
      <c r="CO232" s="105"/>
      <c r="CP232" s="105"/>
      <c r="CQ232" s="105"/>
      <c r="CR232" s="105"/>
      <c r="CS232" s="105"/>
      <c r="CT232" s="105"/>
      <c r="CU232" s="105"/>
      <c r="CV232" s="105"/>
      <c r="CW232" s="105"/>
      <c r="CX232" s="105"/>
      <c r="CY232" s="105"/>
      <c r="CZ232" s="105"/>
      <c r="DA232" s="105"/>
    </row>
    <row r="233">
      <c r="A233" s="7"/>
      <c r="B233" s="105"/>
      <c r="C233" s="7"/>
      <c r="D233" s="7"/>
      <c r="E233" s="7"/>
      <c r="F233" s="105"/>
      <c r="G233" s="105"/>
      <c r="H233" s="105"/>
      <c r="I233" s="105"/>
      <c r="J233" s="105"/>
      <c r="K233" s="105"/>
      <c r="L233" s="105"/>
      <c r="M233" s="105"/>
      <c r="N233" s="105"/>
      <c r="O233" s="105"/>
      <c r="P233" s="105"/>
      <c r="Q233" s="105"/>
      <c r="R233" s="105"/>
      <c r="S233" s="105"/>
      <c r="T233" s="105"/>
      <c r="U233" s="105"/>
      <c r="V233" s="105"/>
      <c r="W233" s="105"/>
      <c r="X233" s="105"/>
      <c r="Y233" s="105"/>
      <c r="Z233" s="105"/>
      <c r="AA233" s="105"/>
      <c r="AB233" s="105"/>
      <c r="AC233" s="105"/>
      <c r="AD233" s="105"/>
      <c r="AE233" s="105"/>
      <c r="AF233" s="105"/>
      <c r="AG233" s="105"/>
      <c r="AH233" s="105"/>
      <c r="AI233" s="105"/>
      <c r="AJ233" s="105"/>
      <c r="AK233" s="105"/>
      <c r="AL233" s="105"/>
      <c r="AM233" s="105"/>
      <c r="AN233" s="105"/>
      <c r="AO233" s="105"/>
      <c r="AP233" s="105"/>
      <c r="AQ233" s="105"/>
      <c r="AR233" s="105"/>
      <c r="AS233" s="105"/>
      <c r="AT233" s="105"/>
      <c r="AU233" s="105"/>
      <c r="AV233" s="105"/>
      <c r="AW233" s="105"/>
      <c r="AX233" s="105"/>
      <c r="AY233" s="105"/>
      <c r="AZ233" s="105"/>
      <c r="BA233" s="105"/>
      <c r="BB233" s="105"/>
      <c r="BC233" s="105"/>
      <c r="BD233" s="105"/>
      <c r="BE233" s="105"/>
      <c r="BF233" s="105"/>
      <c r="BG233" s="105"/>
      <c r="BH233" s="105"/>
      <c r="BI233" s="105"/>
      <c r="BJ233" s="105"/>
      <c r="BK233" s="105"/>
      <c r="BL233" s="105"/>
      <c r="BM233" s="105"/>
      <c r="BN233" s="105"/>
      <c r="BO233" s="105"/>
      <c r="BP233" s="105"/>
      <c r="BQ233" s="105"/>
      <c r="BR233" s="105"/>
      <c r="BS233" s="105"/>
      <c r="BT233" s="105"/>
      <c r="BU233" s="105"/>
      <c r="BV233" s="105"/>
      <c r="BW233" s="105"/>
      <c r="BX233" s="105"/>
      <c r="BY233" s="105"/>
      <c r="BZ233" s="105"/>
      <c r="CA233" s="105"/>
      <c r="CB233" s="105"/>
      <c r="CC233" s="105"/>
      <c r="CD233" s="105"/>
      <c r="CE233" s="105"/>
      <c r="CF233" s="105"/>
      <c r="CG233" s="105"/>
      <c r="CH233" s="105"/>
      <c r="CI233" s="105"/>
      <c r="CJ233" s="105"/>
      <c r="CK233" s="105"/>
      <c r="CL233" s="105"/>
      <c r="CM233" s="105"/>
      <c r="CN233" s="105"/>
      <c r="CO233" s="105"/>
      <c r="CP233" s="105"/>
      <c r="CQ233" s="105"/>
      <c r="CR233" s="105"/>
      <c r="CS233" s="105"/>
      <c r="CT233" s="105"/>
      <c r="CU233" s="105"/>
      <c r="CV233" s="105"/>
      <c r="CW233" s="105"/>
      <c r="CX233" s="105"/>
      <c r="CY233" s="105"/>
      <c r="CZ233" s="105"/>
      <c r="DA233" s="105"/>
    </row>
    <row r="234">
      <c r="A234" s="7"/>
      <c r="B234" s="105"/>
      <c r="C234" s="7"/>
      <c r="D234" s="7"/>
      <c r="E234" s="7"/>
      <c r="F234" s="105"/>
      <c r="G234" s="105"/>
      <c r="H234" s="105"/>
      <c r="I234" s="105"/>
      <c r="J234" s="105"/>
      <c r="K234" s="105"/>
      <c r="L234" s="105"/>
      <c r="M234" s="105"/>
      <c r="N234" s="105"/>
      <c r="O234" s="105"/>
      <c r="P234" s="105"/>
      <c r="Q234" s="105"/>
      <c r="R234" s="105"/>
      <c r="S234" s="105"/>
      <c r="T234" s="105"/>
      <c r="U234" s="105"/>
      <c r="V234" s="105"/>
      <c r="W234" s="105"/>
      <c r="X234" s="105"/>
      <c r="Y234" s="105"/>
      <c r="Z234" s="105"/>
      <c r="AA234" s="105"/>
      <c r="AB234" s="105"/>
      <c r="AC234" s="105"/>
      <c r="AD234" s="105"/>
      <c r="AE234" s="105"/>
      <c r="AF234" s="105"/>
      <c r="AG234" s="105"/>
      <c r="AH234" s="105"/>
      <c r="AI234" s="105"/>
      <c r="AJ234" s="105"/>
      <c r="AK234" s="105"/>
      <c r="AL234" s="105"/>
      <c r="AM234" s="105"/>
      <c r="AN234" s="105"/>
      <c r="AO234" s="105"/>
      <c r="AP234" s="105"/>
      <c r="AQ234" s="105"/>
      <c r="AR234" s="105"/>
      <c r="AS234" s="105"/>
      <c r="AT234" s="105"/>
      <c r="AU234" s="105"/>
      <c r="AV234" s="105"/>
      <c r="AW234" s="105"/>
      <c r="AX234" s="105"/>
      <c r="AY234" s="105"/>
      <c r="AZ234" s="105"/>
      <c r="BA234" s="105"/>
      <c r="BB234" s="105"/>
      <c r="BC234" s="105"/>
      <c r="BD234" s="105"/>
      <c r="BE234" s="105"/>
      <c r="BF234" s="105"/>
      <c r="BG234" s="105"/>
      <c r="BH234" s="105"/>
      <c r="BI234" s="105"/>
      <c r="BJ234" s="105"/>
      <c r="BK234" s="105"/>
      <c r="BL234" s="105"/>
      <c r="BM234" s="105"/>
      <c r="BN234" s="105"/>
      <c r="BO234" s="105"/>
      <c r="BP234" s="105"/>
      <c r="BQ234" s="105"/>
      <c r="BR234" s="105"/>
      <c r="BS234" s="105"/>
      <c r="BT234" s="105"/>
      <c r="BU234" s="105"/>
      <c r="BV234" s="105"/>
      <c r="BW234" s="105"/>
      <c r="BX234" s="105"/>
      <c r="BY234" s="105"/>
      <c r="BZ234" s="105"/>
      <c r="CA234" s="105"/>
      <c r="CB234" s="105"/>
      <c r="CC234" s="105"/>
      <c r="CD234" s="105"/>
      <c r="CE234" s="105"/>
      <c r="CF234" s="105"/>
      <c r="CG234" s="105"/>
      <c r="CH234" s="105"/>
      <c r="CI234" s="105"/>
      <c r="CJ234" s="105"/>
      <c r="CK234" s="105"/>
      <c r="CL234" s="105"/>
      <c r="CM234" s="105"/>
      <c r="CN234" s="105"/>
      <c r="CO234" s="105"/>
      <c r="CP234" s="105"/>
      <c r="CQ234" s="105"/>
      <c r="CR234" s="105"/>
      <c r="CS234" s="105"/>
      <c r="CT234" s="105"/>
      <c r="CU234" s="105"/>
      <c r="CV234" s="105"/>
      <c r="CW234" s="105"/>
      <c r="CX234" s="105"/>
      <c r="CY234" s="105"/>
      <c r="CZ234" s="105"/>
      <c r="DA234" s="105"/>
    </row>
    <row r="235">
      <c r="A235" s="7"/>
      <c r="B235" s="105"/>
      <c r="C235" s="7"/>
      <c r="D235" s="7"/>
      <c r="E235" s="7"/>
      <c r="F235" s="105"/>
      <c r="G235" s="105"/>
      <c r="H235" s="105"/>
      <c r="I235" s="105"/>
      <c r="J235" s="105"/>
      <c r="K235" s="105"/>
      <c r="L235" s="105"/>
      <c r="M235" s="105"/>
      <c r="N235" s="105"/>
      <c r="O235" s="105"/>
      <c r="P235" s="105"/>
      <c r="Q235" s="105"/>
      <c r="R235" s="105"/>
      <c r="S235" s="105"/>
      <c r="T235" s="105"/>
      <c r="U235" s="105"/>
      <c r="V235" s="105"/>
      <c r="W235" s="105"/>
      <c r="X235" s="105"/>
      <c r="Y235" s="105"/>
      <c r="Z235" s="105"/>
      <c r="AA235" s="105"/>
      <c r="AB235" s="105"/>
      <c r="AC235" s="105"/>
      <c r="AD235" s="105"/>
      <c r="AE235" s="105"/>
      <c r="AF235" s="105"/>
      <c r="AG235" s="105"/>
      <c r="AH235" s="105"/>
      <c r="AI235" s="105"/>
      <c r="AJ235" s="105"/>
      <c r="AK235" s="105"/>
      <c r="AL235" s="105"/>
      <c r="AM235" s="105"/>
      <c r="AN235" s="105"/>
      <c r="AO235" s="105"/>
      <c r="AP235" s="105"/>
      <c r="AQ235" s="105"/>
      <c r="AR235" s="105"/>
      <c r="AS235" s="105"/>
      <c r="AT235" s="105"/>
      <c r="AU235" s="105"/>
      <c r="AV235" s="105"/>
      <c r="AW235" s="105"/>
      <c r="AX235" s="105"/>
      <c r="AY235" s="105"/>
      <c r="AZ235" s="105"/>
      <c r="BA235" s="105"/>
      <c r="BB235" s="105"/>
      <c r="BC235" s="105"/>
      <c r="BD235" s="105"/>
      <c r="BE235" s="105"/>
      <c r="BF235" s="105"/>
      <c r="BG235" s="105"/>
      <c r="BH235" s="105"/>
      <c r="BI235" s="105"/>
      <c r="BJ235" s="105"/>
      <c r="BK235" s="105"/>
      <c r="BL235" s="105"/>
      <c r="BM235" s="105"/>
      <c r="BN235" s="105"/>
      <c r="BO235" s="105"/>
      <c r="BP235" s="105"/>
      <c r="BQ235" s="105"/>
      <c r="BR235" s="105"/>
      <c r="BS235" s="105"/>
      <c r="BT235" s="105"/>
      <c r="BU235" s="105"/>
      <c r="BV235" s="105"/>
      <c r="BW235" s="105"/>
      <c r="BX235" s="105"/>
      <c r="BY235" s="105"/>
      <c r="BZ235" s="105"/>
      <c r="CA235" s="105"/>
      <c r="CB235" s="105"/>
      <c r="CC235" s="105"/>
      <c r="CD235" s="105"/>
      <c r="CE235" s="105"/>
      <c r="CF235" s="105"/>
      <c r="CG235" s="105"/>
      <c r="CH235" s="105"/>
      <c r="CI235" s="105"/>
      <c r="CJ235" s="105"/>
      <c r="CK235" s="105"/>
      <c r="CL235" s="105"/>
      <c r="CM235" s="105"/>
      <c r="CN235" s="105"/>
      <c r="CO235" s="105"/>
      <c r="CP235" s="105"/>
      <c r="CQ235" s="105"/>
      <c r="CR235" s="105"/>
      <c r="CS235" s="105"/>
      <c r="CT235" s="105"/>
      <c r="CU235" s="105"/>
      <c r="CV235" s="105"/>
      <c r="CW235" s="105"/>
      <c r="CX235" s="105"/>
      <c r="CY235" s="105"/>
      <c r="CZ235" s="105"/>
      <c r="DA235" s="105"/>
    </row>
    <row r="236">
      <c r="A236" s="7"/>
      <c r="B236" s="105"/>
      <c r="C236" s="7"/>
      <c r="D236" s="7"/>
      <c r="E236" s="7"/>
      <c r="F236" s="105"/>
      <c r="G236" s="105"/>
      <c r="H236" s="105"/>
      <c r="I236" s="105"/>
      <c r="J236" s="105"/>
      <c r="K236" s="105"/>
      <c r="L236" s="105"/>
      <c r="M236" s="105"/>
      <c r="N236" s="105"/>
      <c r="O236" s="105"/>
      <c r="P236" s="105"/>
      <c r="Q236" s="105"/>
      <c r="R236" s="105"/>
      <c r="S236" s="105"/>
      <c r="T236" s="105"/>
      <c r="U236" s="105"/>
      <c r="V236" s="105"/>
      <c r="W236" s="105"/>
      <c r="X236" s="105"/>
      <c r="Y236" s="105"/>
      <c r="Z236" s="105"/>
      <c r="AA236" s="105"/>
      <c r="AB236" s="105"/>
      <c r="AC236" s="105"/>
      <c r="AD236" s="105"/>
      <c r="AE236" s="105"/>
      <c r="AF236" s="105"/>
      <c r="AG236" s="105"/>
      <c r="AH236" s="105"/>
      <c r="AI236" s="105"/>
      <c r="AJ236" s="105"/>
      <c r="AK236" s="105"/>
      <c r="AL236" s="105"/>
      <c r="AM236" s="105"/>
      <c r="AN236" s="105"/>
      <c r="AO236" s="105"/>
      <c r="AP236" s="105"/>
      <c r="AQ236" s="105"/>
      <c r="AR236" s="105"/>
      <c r="AS236" s="105"/>
      <c r="AT236" s="105"/>
      <c r="AU236" s="105"/>
      <c r="AV236" s="105"/>
      <c r="AW236" s="105"/>
      <c r="AX236" s="105"/>
      <c r="AY236" s="105"/>
      <c r="AZ236" s="105"/>
      <c r="BA236" s="105"/>
      <c r="BB236" s="105"/>
      <c r="BC236" s="105"/>
      <c r="BD236" s="105"/>
      <c r="BE236" s="105"/>
      <c r="BF236" s="105"/>
      <c r="BG236" s="105"/>
      <c r="BH236" s="105"/>
      <c r="BI236" s="105"/>
      <c r="BJ236" s="105"/>
      <c r="BK236" s="105"/>
      <c r="BL236" s="105"/>
      <c r="BM236" s="105"/>
      <c r="BN236" s="105"/>
      <c r="BO236" s="105"/>
      <c r="BP236" s="105"/>
      <c r="BQ236" s="105"/>
      <c r="BR236" s="105"/>
      <c r="BS236" s="105"/>
      <c r="BT236" s="105"/>
      <c r="BU236" s="105"/>
      <c r="BV236" s="105"/>
      <c r="BW236" s="105"/>
      <c r="BX236" s="105"/>
      <c r="BY236" s="105"/>
      <c r="BZ236" s="105"/>
      <c r="CA236" s="105"/>
      <c r="CB236" s="105"/>
      <c r="CC236" s="105"/>
      <c r="CD236" s="105"/>
      <c r="CE236" s="105"/>
      <c r="CF236" s="105"/>
      <c r="CG236" s="105"/>
      <c r="CH236" s="105"/>
      <c r="CI236" s="105"/>
      <c r="CJ236" s="105"/>
      <c r="CK236" s="105"/>
      <c r="CL236" s="105"/>
      <c r="CM236" s="105"/>
      <c r="CN236" s="105"/>
      <c r="CO236" s="105"/>
      <c r="CP236" s="105"/>
      <c r="CQ236" s="105"/>
      <c r="CR236" s="105"/>
      <c r="CS236" s="105"/>
      <c r="CT236" s="105"/>
      <c r="CU236" s="105"/>
      <c r="CV236" s="105"/>
      <c r="CW236" s="105"/>
      <c r="CX236" s="105"/>
      <c r="CY236" s="105"/>
      <c r="CZ236" s="105"/>
      <c r="DA236" s="105"/>
    </row>
    <row r="237">
      <c r="A237" s="7"/>
      <c r="B237" s="105"/>
      <c r="C237" s="7"/>
      <c r="D237" s="7"/>
      <c r="E237" s="7"/>
      <c r="F237" s="105"/>
      <c r="G237" s="105"/>
      <c r="H237" s="105"/>
      <c r="I237" s="105"/>
      <c r="J237" s="105"/>
      <c r="K237" s="105"/>
      <c r="L237" s="105"/>
      <c r="M237" s="105"/>
      <c r="N237" s="105"/>
      <c r="O237" s="105"/>
      <c r="P237" s="105"/>
      <c r="Q237" s="105"/>
      <c r="R237" s="105"/>
      <c r="S237" s="105"/>
      <c r="T237" s="105"/>
      <c r="U237" s="105"/>
      <c r="V237" s="105"/>
      <c r="W237" s="105"/>
      <c r="X237" s="105"/>
      <c r="Y237" s="105"/>
      <c r="Z237" s="105"/>
      <c r="AA237" s="105"/>
      <c r="AB237" s="105"/>
      <c r="AC237" s="105"/>
      <c r="AD237" s="105"/>
      <c r="AE237" s="105"/>
      <c r="AF237" s="105"/>
      <c r="AG237" s="105"/>
      <c r="AH237" s="105"/>
      <c r="AI237" s="105"/>
      <c r="AJ237" s="105"/>
      <c r="AK237" s="105"/>
      <c r="AL237" s="105"/>
      <c r="AM237" s="105"/>
      <c r="AN237" s="105"/>
      <c r="AO237" s="105"/>
      <c r="AP237" s="105"/>
      <c r="AQ237" s="105"/>
      <c r="AR237" s="105"/>
      <c r="AS237" s="105"/>
      <c r="AT237" s="105"/>
      <c r="AU237" s="105"/>
      <c r="AV237" s="105"/>
      <c r="AW237" s="105"/>
      <c r="AX237" s="105"/>
      <c r="AY237" s="105"/>
      <c r="AZ237" s="105"/>
      <c r="BA237" s="105"/>
      <c r="BB237" s="105"/>
      <c r="BC237" s="105"/>
      <c r="BD237" s="105"/>
      <c r="BE237" s="105"/>
      <c r="BF237" s="105"/>
      <c r="BG237" s="105"/>
      <c r="BH237" s="105"/>
      <c r="BI237" s="105"/>
      <c r="BJ237" s="105"/>
      <c r="BK237" s="105"/>
      <c r="BL237" s="105"/>
      <c r="BM237" s="105"/>
      <c r="BN237" s="105"/>
      <c r="BO237" s="105"/>
      <c r="BP237" s="105"/>
      <c r="BQ237" s="105"/>
      <c r="BR237" s="105"/>
      <c r="BS237" s="105"/>
      <c r="BT237" s="105"/>
      <c r="BU237" s="105"/>
      <c r="BV237" s="105"/>
      <c r="BW237" s="105"/>
      <c r="BX237" s="105"/>
      <c r="BY237" s="105"/>
      <c r="BZ237" s="105"/>
      <c r="CA237" s="105"/>
      <c r="CB237" s="105"/>
      <c r="CC237" s="105"/>
      <c r="CD237" s="105"/>
      <c r="CE237" s="105"/>
      <c r="CF237" s="105"/>
      <c r="CG237" s="105"/>
      <c r="CH237" s="105"/>
      <c r="CI237" s="105"/>
      <c r="CJ237" s="105"/>
      <c r="CK237" s="105"/>
      <c r="CL237" s="105"/>
      <c r="CM237" s="105"/>
      <c r="CN237" s="105"/>
      <c r="CO237" s="105"/>
      <c r="CP237" s="105"/>
      <c r="CQ237" s="105"/>
      <c r="CR237" s="105"/>
      <c r="CS237" s="105"/>
      <c r="CT237" s="105"/>
      <c r="CU237" s="105"/>
      <c r="CV237" s="105"/>
      <c r="CW237" s="105"/>
      <c r="CX237" s="105"/>
      <c r="CY237" s="105"/>
      <c r="CZ237" s="105"/>
      <c r="DA237" s="105"/>
    </row>
    <row r="238">
      <c r="A238" s="7"/>
      <c r="B238" s="105"/>
      <c r="C238" s="7"/>
      <c r="D238" s="7"/>
      <c r="E238" s="7"/>
      <c r="F238" s="105"/>
      <c r="G238" s="105"/>
      <c r="H238" s="105"/>
      <c r="I238" s="105"/>
      <c r="J238" s="105"/>
      <c r="K238" s="105"/>
      <c r="L238" s="105"/>
      <c r="M238" s="105"/>
      <c r="N238" s="105"/>
      <c r="O238" s="105"/>
      <c r="P238" s="105"/>
      <c r="Q238" s="105"/>
      <c r="R238" s="105"/>
      <c r="S238" s="105"/>
      <c r="T238" s="105"/>
      <c r="U238" s="105"/>
      <c r="V238" s="105"/>
      <c r="W238" s="105"/>
      <c r="X238" s="105"/>
      <c r="Y238" s="105"/>
      <c r="Z238" s="105"/>
      <c r="AA238" s="105"/>
      <c r="AB238" s="105"/>
      <c r="AC238" s="105"/>
      <c r="AD238" s="105"/>
      <c r="AE238" s="105"/>
      <c r="AF238" s="105"/>
      <c r="AG238" s="105"/>
      <c r="AH238" s="105"/>
      <c r="AI238" s="105"/>
      <c r="AJ238" s="105"/>
      <c r="AK238" s="105"/>
      <c r="AL238" s="105"/>
      <c r="AM238" s="105"/>
      <c r="AN238" s="105"/>
      <c r="AO238" s="105"/>
      <c r="AP238" s="105"/>
      <c r="AQ238" s="105"/>
      <c r="AR238" s="105"/>
      <c r="AS238" s="105"/>
      <c r="AT238" s="105"/>
      <c r="AU238" s="105"/>
      <c r="AV238" s="105"/>
      <c r="AW238" s="105"/>
      <c r="AX238" s="105"/>
      <c r="AY238" s="105"/>
      <c r="AZ238" s="105"/>
      <c r="BA238" s="105"/>
      <c r="BB238" s="105"/>
      <c r="BC238" s="105"/>
      <c r="BD238" s="105"/>
      <c r="BE238" s="105"/>
      <c r="BF238" s="105"/>
      <c r="BG238" s="105"/>
      <c r="BH238" s="105"/>
      <c r="BI238" s="105"/>
      <c r="BJ238" s="105"/>
      <c r="BK238" s="105"/>
      <c r="BL238" s="105"/>
      <c r="BM238" s="105"/>
      <c r="BN238" s="105"/>
      <c r="BO238" s="105"/>
      <c r="BP238" s="105"/>
      <c r="BQ238" s="105"/>
      <c r="BR238" s="105"/>
      <c r="BS238" s="105"/>
      <c r="BT238" s="105"/>
      <c r="BU238" s="105"/>
      <c r="BV238" s="105"/>
      <c r="BW238" s="105"/>
      <c r="BX238" s="105"/>
      <c r="BY238" s="105"/>
      <c r="BZ238" s="105"/>
      <c r="CA238" s="105"/>
      <c r="CB238" s="105"/>
      <c r="CC238" s="105"/>
      <c r="CD238" s="105"/>
      <c r="CE238" s="105"/>
      <c r="CF238" s="105"/>
      <c r="CG238" s="105"/>
      <c r="CH238" s="105"/>
      <c r="CI238" s="105"/>
      <c r="CJ238" s="105"/>
      <c r="CK238" s="105"/>
      <c r="CL238" s="105"/>
      <c r="CM238" s="105"/>
      <c r="CN238" s="105"/>
      <c r="CO238" s="105"/>
      <c r="CP238" s="105"/>
      <c r="CQ238" s="105"/>
      <c r="CR238" s="105"/>
      <c r="CS238" s="105"/>
      <c r="CT238" s="105"/>
      <c r="CU238" s="105"/>
      <c r="CV238" s="105"/>
      <c r="CW238" s="105"/>
      <c r="CX238" s="105"/>
      <c r="CY238" s="105"/>
      <c r="CZ238" s="105"/>
      <c r="DA238" s="105"/>
    </row>
    <row r="239">
      <c r="A239" s="7"/>
      <c r="B239" s="105"/>
      <c r="C239" s="7"/>
      <c r="D239" s="7"/>
      <c r="E239" s="7"/>
      <c r="F239" s="105"/>
      <c r="G239" s="105"/>
      <c r="H239" s="105"/>
      <c r="I239" s="105"/>
      <c r="J239" s="105"/>
      <c r="K239" s="105"/>
      <c r="L239" s="105"/>
      <c r="M239" s="105"/>
      <c r="N239" s="105"/>
      <c r="O239" s="105"/>
      <c r="P239" s="105"/>
      <c r="Q239" s="105"/>
      <c r="R239" s="105"/>
      <c r="S239" s="105"/>
      <c r="T239" s="105"/>
      <c r="U239" s="105"/>
      <c r="V239" s="105"/>
      <c r="W239" s="105"/>
      <c r="X239" s="105"/>
      <c r="Y239" s="105"/>
      <c r="Z239" s="105"/>
      <c r="AA239" s="105"/>
      <c r="AB239" s="105"/>
      <c r="AC239" s="105"/>
      <c r="AD239" s="105"/>
      <c r="AE239" s="105"/>
      <c r="AF239" s="105"/>
      <c r="AG239" s="105"/>
      <c r="AH239" s="105"/>
      <c r="AI239" s="105"/>
      <c r="AJ239" s="105"/>
      <c r="AK239" s="105"/>
      <c r="AL239" s="105"/>
      <c r="AM239" s="105"/>
      <c r="AN239" s="105"/>
      <c r="AO239" s="105"/>
      <c r="AP239" s="105"/>
      <c r="AQ239" s="105"/>
      <c r="AR239" s="105"/>
      <c r="AS239" s="105"/>
      <c r="AT239" s="105"/>
      <c r="AU239" s="105"/>
      <c r="AV239" s="105"/>
      <c r="AW239" s="105"/>
      <c r="AX239" s="105"/>
      <c r="AY239" s="105"/>
      <c r="AZ239" s="105"/>
      <c r="BA239" s="105"/>
      <c r="BB239" s="105"/>
      <c r="BC239" s="105"/>
      <c r="BD239" s="105"/>
      <c r="BE239" s="105"/>
      <c r="BF239" s="105"/>
      <c r="BG239" s="105"/>
      <c r="BH239" s="105"/>
      <c r="BI239" s="105"/>
      <c r="BJ239" s="105"/>
      <c r="BK239" s="105"/>
      <c r="BL239" s="105"/>
      <c r="BM239" s="105"/>
      <c r="BN239" s="105"/>
      <c r="BO239" s="105"/>
      <c r="BP239" s="105"/>
      <c r="BQ239" s="105"/>
      <c r="BR239" s="105"/>
      <c r="BS239" s="105"/>
      <c r="BT239" s="105"/>
      <c r="BU239" s="105"/>
      <c r="BV239" s="105"/>
      <c r="BW239" s="105"/>
      <c r="BX239" s="105"/>
      <c r="BY239" s="105"/>
      <c r="BZ239" s="105"/>
      <c r="CA239" s="105"/>
      <c r="CB239" s="105"/>
      <c r="CC239" s="105"/>
      <c r="CD239" s="105"/>
      <c r="CE239" s="105"/>
      <c r="CF239" s="105"/>
      <c r="CG239" s="105"/>
      <c r="CH239" s="105"/>
      <c r="CI239" s="105"/>
      <c r="CJ239" s="105"/>
      <c r="CK239" s="105"/>
      <c r="CL239" s="105"/>
      <c r="CM239" s="105"/>
      <c r="CN239" s="105"/>
      <c r="CO239" s="105"/>
      <c r="CP239" s="105"/>
      <c r="CQ239" s="105"/>
      <c r="CR239" s="105"/>
      <c r="CS239" s="105"/>
      <c r="CT239" s="105"/>
      <c r="CU239" s="105"/>
      <c r="CV239" s="105"/>
      <c r="CW239" s="105"/>
      <c r="CX239" s="105"/>
      <c r="CY239" s="105"/>
      <c r="CZ239" s="105"/>
      <c r="DA239" s="105"/>
    </row>
    <row r="240">
      <c r="A240" s="7"/>
      <c r="B240" s="105"/>
      <c r="C240" s="7"/>
      <c r="D240" s="7"/>
      <c r="E240" s="7"/>
      <c r="F240" s="105"/>
      <c r="G240" s="105"/>
      <c r="H240" s="105"/>
      <c r="I240" s="105"/>
      <c r="J240" s="105"/>
      <c r="K240" s="105"/>
      <c r="L240" s="105"/>
      <c r="M240" s="105"/>
      <c r="N240" s="105"/>
      <c r="O240" s="105"/>
      <c r="P240" s="105"/>
      <c r="Q240" s="105"/>
      <c r="R240" s="105"/>
      <c r="S240" s="105"/>
      <c r="T240" s="105"/>
      <c r="U240" s="105"/>
      <c r="V240" s="105"/>
      <c r="W240" s="105"/>
      <c r="X240" s="105"/>
      <c r="Y240" s="105"/>
      <c r="Z240" s="105"/>
      <c r="AA240" s="105"/>
      <c r="AB240" s="105"/>
      <c r="AC240" s="105"/>
      <c r="AD240" s="105"/>
      <c r="AE240" s="105"/>
      <c r="AF240" s="105"/>
      <c r="AG240" s="105"/>
      <c r="AH240" s="105"/>
      <c r="AI240" s="105"/>
      <c r="AJ240" s="105"/>
      <c r="AK240" s="105"/>
      <c r="AL240" s="105"/>
      <c r="AM240" s="105"/>
      <c r="AN240" s="105"/>
      <c r="AO240" s="105"/>
      <c r="AP240" s="105"/>
      <c r="AQ240" s="105"/>
      <c r="AR240" s="105"/>
      <c r="AS240" s="105"/>
      <c r="AT240" s="105"/>
      <c r="AU240" s="105"/>
      <c r="AV240" s="105"/>
      <c r="AW240" s="105"/>
      <c r="AX240" s="105"/>
      <c r="AY240" s="105"/>
      <c r="AZ240" s="105"/>
      <c r="BA240" s="105"/>
      <c r="BB240" s="105"/>
      <c r="BC240" s="105"/>
      <c r="BD240" s="105"/>
      <c r="BE240" s="105"/>
      <c r="BF240" s="105"/>
      <c r="BG240" s="105"/>
      <c r="BH240" s="105"/>
      <c r="BI240" s="105"/>
      <c r="BJ240" s="105"/>
      <c r="BK240" s="105"/>
      <c r="BL240" s="105"/>
      <c r="BM240" s="105"/>
      <c r="BN240" s="105"/>
      <c r="BO240" s="105"/>
      <c r="BP240" s="105"/>
      <c r="BQ240" s="105"/>
      <c r="BR240" s="105"/>
      <c r="BS240" s="105"/>
      <c r="BT240" s="105"/>
      <c r="BU240" s="105"/>
      <c r="BV240" s="105"/>
      <c r="BW240" s="105"/>
      <c r="BX240" s="105"/>
      <c r="BY240" s="105"/>
      <c r="BZ240" s="105"/>
      <c r="CA240" s="105"/>
      <c r="CB240" s="105"/>
      <c r="CC240" s="105"/>
      <c r="CD240" s="105"/>
      <c r="CE240" s="105"/>
      <c r="CF240" s="105"/>
      <c r="CG240" s="105"/>
      <c r="CH240" s="105"/>
      <c r="CI240" s="105"/>
      <c r="CJ240" s="105"/>
      <c r="CK240" s="105"/>
      <c r="CL240" s="105"/>
      <c r="CM240" s="105"/>
      <c r="CN240" s="105"/>
      <c r="CO240" s="105"/>
      <c r="CP240" s="105"/>
      <c r="CQ240" s="105"/>
      <c r="CR240" s="105"/>
      <c r="CS240" s="105"/>
      <c r="CT240" s="105"/>
      <c r="CU240" s="105"/>
      <c r="CV240" s="105"/>
      <c r="CW240" s="105"/>
      <c r="CX240" s="105"/>
      <c r="CY240" s="105"/>
      <c r="CZ240" s="105"/>
      <c r="DA240" s="105"/>
    </row>
    <row r="241">
      <c r="A241" s="7"/>
      <c r="B241" s="105"/>
      <c r="C241" s="7"/>
      <c r="D241" s="7"/>
      <c r="E241" s="7"/>
      <c r="F241" s="105"/>
      <c r="G241" s="105"/>
      <c r="H241" s="105"/>
      <c r="I241" s="105"/>
      <c r="J241" s="105"/>
      <c r="K241" s="105"/>
      <c r="L241" s="105"/>
      <c r="M241" s="105"/>
      <c r="N241" s="105"/>
      <c r="O241" s="105"/>
      <c r="P241" s="105"/>
      <c r="Q241" s="105"/>
      <c r="R241" s="105"/>
      <c r="S241" s="105"/>
      <c r="T241" s="105"/>
      <c r="U241" s="105"/>
      <c r="V241" s="105"/>
      <c r="W241" s="105"/>
      <c r="X241" s="105"/>
      <c r="Y241" s="105"/>
      <c r="Z241" s="105"/>
      <c r="AA241" s="105"/>
      <c r="AB241" s="105"/>
      <c r="AC241" s="105"/>
      <c r="AD241" s="105"/>
      <c r="AE241" s="105"/>
      <c r="AF241" s="105"/>
      <c r="AG241" s="105"/>
      <c r="AH241" s="105"/>
      <c r="AI241" s="105"/>
      <c r="AJ241" s="105"/>
      <c r="AK241" s="105"/>
      <c r="AL241" s="105"/>
      <c r="AM241" s="105"/>
      <c r="AN241" s="105"/>
      <c r="AO241" s="105"/>
      <c r="AP241" s="105"/>
      <c r="AQ241" s="105"/>
      <c r="AR241" s="105"/>
      <c r="AS241" s="105"/>
      <c r="AT241" s="105"/>
      <c r="AU241" s="105"/>
      <c r="AV241" s="105"/>
      <c r="AW241" s="105"/>
      <c r="AX241" s="105"/>
      <c r="AY241" s="105"/>
      <c r="AZ241" s="105"/>
      <c r="BA241" s="105"/>
      <c r="BB241" s="105"/>
      <c r="BC241" s="105"/>
      <c r="BD241" s="105"/>
      <c r="BE241" s="105"/>
      <c r="BF241" s="105"/>
      <c r="BG241" s="105"/>
      <c r="BH241" s="105"/>
      <c r="BI241" s="105"/>
      <c r="BJ241" s="105"/>
      <c r="BK241" s="105"/>
      <c r="BL241" s="105"/>
      <c r="BM241" s="105"/>
      <c r="BN241" s="105"/>
      <c r="BO241" s="105"/>
      <c r="BP241" s="105"/>
      <c r="BQ241" s="105"/>
      <c r="BR241" s="105"/>
      <c r="BS241" s="105"/>
      <c r="BT241" s="105"/>
      <c r="BU241" s="105"/>
      <c r="BV241" s="105"/>
      <c r="BW241" s="105"/>
      <c r="BX241" s="105"/>
      <c r="BY241" s="105"/>
      <c r="BZ241" s="105"/>
      <c r="CA241" s="105"/>
      <c r="CB241" s="105"/>
      <c r="CC241" s="105"/>
      <c r="CD241" s="105"/>
      <c r="CE241" s="105"/>
      <c r="CF241" s="105"/>
      <c r="CG241" s="105"/>
      <c r="CH241" s="105"/>
      <c r="CI241" s="105"/>
      <c r="CJ241" s="105"/>
      <c r="CK241" s="105"/>
      <c r="CL241" s="105"/>
      <c r="CM241" s="105"/>
      <c r="CN241" s="105"/>
      <c r="CO241" s="105"/>
      <c r="CP241" s="105"/>
      <c r="CQ241" s="105"/>
      <c r="CR241" s="105"/>
      <c r="CS241" s="105"/>
      <c r="CT241" s="105"/>
      <c r="CU241" s="105"/>
      <c r="CV241" s="105"/>
      <c r="CW241" s="105"/>
      <c r="CX241" s="105"/>
      <c r="CY241" s="105"/>
      <c r="CZ241" s="105"/>
      <c r="DA241" s="105"/>
    </row>
    <row r="242">
      <c r="A242" s="7"/>
      <c r="B242" s="105"/>
      <c r="C242" s="7"/>
      <c r="D242" s="7"/>
      <c r="E242" s="7"/>
      <c r="F242" s="105"/>
      <c r="G242" s="105"/>
      <c r="H242" s="105"/>
      <c r="I242" s="105"/>
      <c r="J242" s="105"/>
      <c r="K242" s="105"/>
      <c r="L242" s="105"/>
      <c r="M242" s="105"/>
      <c r="N242" s="105"/>
      <c r="O242" s="105"/>
      <c r="P242" s="105"/>
      <c r="Q242" s="105"/>
      <c r="R242" s="105"/>
      <c r="S242" s="105"/>
      <c r="T242" s="105"/>
      <c r="U242" s="105"/>
      <c r="V242" s="105"/>
      <c r="W242" s="105"/>
      <c r="X242" s="105"/>
      <c r="Y242" s="105"/>
      <c r="Z242" s="105"/>
      <c r="AA242" s="105"/>
      <c r="AB242" s="105"/>
      <c r="AC242" s="105"/>
      <c r="AD242" s="105"/>
      <c r="AE242" s="105"/>
      <c r="AF242" s="105"/>
      <c r="AG242" s="105"/>
      <c r="AH242" s="105"/>
      <c r="AI242" s="105"/>
      <c r="AJ242" s="105"/>
      <c r="AK242" s="105"/>
      <c r="AL242" s="105"/>
      <c r="AM242" s="105"/>
      <c r="AN242" s="105"/>
      <c r="AO242" s="105"/>
      <c r="AP242" s="105"/>
      <c r="AQ242" s="105"/>
      <c r="AR242" s="105"/>
      <c r="AS242" s="105"/>
      <c r="AT242" s="105"/>
      <c r="AU242" s="105"/>
      <c r="AV242" s="105"/>
      <c r="AW242" s="105"/>
      <c r="AX242" s="105"/>
      <c r="AY242" s="105"/>
      <c r="AZ242" s="105"/>
      <c r="BA242" s="105"/>
      <c r="BB242" s="105"/>
      <c r="BC242" s="105"/>
      <c r="BD242" s="105"/>
      <c r="BE242" s="105"/>
      <c r="BF242" s="105"/>
      <c r="BG242" s="105"/>
      <c r="BH242" s="105"/>
      <c r="BI242" s="105"/>
      <c r="BJ242" s="105"/>
      <c r="BK242" s="105"/>
      <c r="BL242" s="105"/>
      <c r="BM242" s="105"/>
      <c r="BN242" s="105"/>
      <c r="BO242" s="105"/>
      <c r="BP242" s="105"/>
      <c r="BQ242" s="105"/>
      <c r="BR242" s="105"/>
      <c r="BS242" s="105"/>
      <c r="BT242" s="105"/>
      <c r="BU242" s="105"/>
      <c r="BV242" s="105"/>
      <c r="BW242" s="105"/>
      <c r="BX242" s="105"/>
      <c r="BY242" s="105"/>
      <c r="BZ242" s="105"/>
      <c r="CA242" s="105"/>
      <c r="CB242" s="105"/>
      <c r="CC242" s="105"/>
      <c r="CD242" s="105"/>
      <c r="CE242" s="105"/>
      <c r="CF242" s="105"/>
      <c r="CG242" s="105"/>
      <c r="CH242" s="105"/>
      <c r="CI242" s="105"/>
      <c r="CJ242" s="105"/>
      <c r="CK242" s="105"/>
      <c r="CL242" s="105"/>
      <c r="CM242" s="105"/>
      <c r="CN242" s="105"/>
      <c r="CO242" s="105"/>
      <c r="CP242" s="105"/>
      <c r="CQ242" s="105"/>
      <c r="CR242" s="105"/>
      <c r="CS242" s="105"/>
      <c r="CT242" s="105"/>
      <c r="CU242" s="105"/>
      <c r="CV242" s="105"/>
      <c r="CW242" s="105"/>
      <c r="CX242" s="105"/>
      <c r="CY242" s="105"/>
      <c r="CZ242" s="105"/>
      <c r="DA242" s="105"/>
    </row>
    <row r="243">
      <c r="A243" s="7"/>
      <c r="B243" s="105"/>
      <c r="C243" s="7"/>
      <c r="D243" s="7"/>
      <c r="E243" s="7"/>
      <c r="F243" s="105"/>
      <c r="G243" s="105"/>
      <c r="H243" s="105"/>
      <c r="I243" s="105"/>
      <c r="J243" s="105"/>
      <c r="K243" s="105"/>
      <c r="L243" s="105"/>
      <c r="M243" s="105"/>
      <c r="N243" s="105"/>
      <c r="O243" s="105"/>
      <c r="P243" s="105"/>
      <c r="Q243" s="105"/>
      <c r="R243" s="105"/>
      <c r="S243" s="105"/>
      <c r="T243" s="105"/>
      <c r="U243" s="105"/>
      <c r="V243" s="105"/>
      <c r="W243" s="105"/>
      <c r="X243" s="105"/>
      <c r="Y243" s="105"/>
      <c r="Z243" s="105"/>
      <c r="AA243" s="105"/>
      <c r="AB243" s="105"/>
      <c r="AC243" s="105"/>
      <c r="AD243" s="105"/>
      <c r="AE243" s="105"/>
      <c r="AF243" s="105"/>
      <c r="AG243" s="105"/>
      <c r="AH243" s="105"/>
      <c r="AI243" s="105"/>
      <c r="AJ243" s="105"/>
      <c r="AK243" s="105"/>
      <c r="AL243" s="105"/>
      <c r="AM243" s="105"/>
      <c r="AN243" s="105"/>
      <c r="AO243" s="105"/>
      <c r="AP243" s="105"/>
      <c r="AQ243" s="105"/>
      <c r="AR243" s="105"/>
      <c r="AS243" s="105"/>
      <c r="AT243" s="105"/>
      <c r="AU243" s="105"/>
      <c r="AV243" s="105"/>
      <c r="AW243" s="105"/>
      <c r="AX243" s="105"/>
      <c r="AY243" s="105"/>
      <c r="AZ243" s="105"/>
      <c r="BA243" s="105"/>
      <c r="BB243" s="105"/>
      <c r="BC243" s="105"/>
      <c r="BD243" s="105"/>
      <c r="BE243" s="105"/>
      <c r="BF243" s="105"/>
      <c r="BG243" s="105"/>
      <c r="BH243" s="105"/>
      <c r="BI243" s="105"/>
      <c r="BJ243" s="105"/>
      <c r="BK243" s="105"/>
      <c r="BL243" s="105"/>
      <c r="BM243" s="105"/>
      <c r="BN243" s="105"/>
      <c r="BO243" s="105"/>
      <c r="BP243" s="105"/>
      <c r="BQ243" s="105"/>
      <c r="BR243" s="105"/>
      <c r="BS243" s="105"/>
      <c r="BT243" s="105"/>
      <c r="BU243" s="105"/>
      <c r="BV243" s="105"/>
      <c r="BW243" s="105"/>
      <c r="BX243" s="105"/>
      <c r="BY243" s="105"/>
      <c r="BZ243" s="105"/>
      <c r="CA243" s="105"/>
      <c r="CB243" s="105"/>
      <c r="CC243" s="105"/>
      <c r="CD243" s="105"/>
      <c r="CE243" s="105"/>
      <c r="CF243" s="105"/>
      <c r="CG243" s="105"/>
      <c r="CH243" s="105"/>
      <c r="CI243" s="105"/>
      <c r="CJ243" s="105"/>
      <c r="CK243" s="105"/>
      <c r="CL243" s="105"/>
      <c r="CM243" s="105"/>
      <c r="CN243" s="105"/>
      <c r="CO243" s="105"/>
      <c r="CP243" s="105"/>
      <c r="CQ243" s="105"/>
      <c r="CR243" s="105"/>
      <c r="CS243" s="105"/>
      <c r="CT243" s="105"/>
      <c r="CU243" s="105"/>
      <c r="CV243" s="105"/>
      <c r="CW243" s="105"/>
      <c r="CX243" s="105"/>
      <c r="CY243" s="105"/>
      <c r="CZ243" s="105"/>
      <c r="DA243" s="105"/>
    </row>
    <row r="244">
      <c r="A244" s="7"/>
      <c r="B244" s="105"/>
      <c r="C244" s="7"/>
      <c r="D244" s="7"/>
      <c r="E244" s="7"/>
      <c r="F244" s="105"/>
      <c r="G244" s="105"/>
      <c r="H244" s="105"/>
      <c r="I244" s="105"/>
      <c r="J244" s="105"/>
      <c r="K244" s="105"/>
      <c r="L244" s="105"/>
      <c r="M244" s="105"/>
      <c r="N244" s="105"/>
      <c r="O244" s="105"/>
      <c r="P244" s="105"/>
      <c r="Q244" s="105"/>
      <c r="R244" s="105"/>
      <c r="S244" s="105"/>
      <c r="T244" s="105"/>
      <c r="U244" s="105"/>
      <c r="V244" s="105"/>
      <c r="W244" s="105"/>
      <c r="X244" s="105"/>
      <c r="Y244" s="105"/>
      <c r="Z244" s="105"/>
      <c r="AA244" s="105"/>
      <c r="AB244" s="105"/>
      <c r="AC244" s="105"/>
      <c r="AD244" s="105"/>
      <c r="AE244" s="105"/>
      <c r="AF244" s="105"/>
      <c r="AG244" s="105"/>
      <c r="AH244" s="105"/>
      <c r="AI244" s="105"/>
      <c r="AJ244" s="105"/>
      <c r="AK244" s="105"/>
      <c r="AL244" s="105"/>
      <c r="AM244" s="105"/>
      <c r="AN244" s="105"/>
      <c r="AO244" s="105"/>
      <c r="AP244" s="105"/>
      <c r="AQ244" s="105"/>
      <c r="AR244" s="105"/>
      <c r="AS244" s="105"/>
      <c r="AT244" s="105"/>
      <c r="AU244" s="105"/>
      <c r="AV244" s="105"/>
      <c r="AW244" s="105"/>
      <c r="AX244" s="105"/>
      <c r="AY244" s="105"/>
      <c r="AZ244" s="105"/>
      <c r="BA244" s="105"/>
      <c r="BB244" s="105"/>
      <c r="BC244" s="105"/>
      <c r="BD244" s="105"/>
      <c r="BE244" s="105"/>
      <c r="BF244" s="105"/>
      <c r="BG244" s="105"/>
      <c r="BH244" s="105"/>
      <c r="BI244" s="105"/>
      <c r="BJ244" s="105"/>
      <c r="BK244" s="105"/>
      <c r="BL244" s="105"/>
      <c r="BM244" s="105"/>
      <c r="BN244" s="105"/>
      <c r="BO244" s="105"/>
      <c r="BP244" s="105"/>
      <c r="BQ244" s="105"/>
      <c r="BR244" s="105"/>
      <c r="BS244" s="105"/>
      <c r="BT244" s="105"/>
      <c r="BU244" s="105"/>
      <c r="BV244" s="105"/>
      <c r="BW244" s="105"/>
      <c r="BX244" s="105"/>
      <c r="BY244" s="105"/>
      <c r="BZ244" s="105"/>
      <c r="CA244" s="105"/>
      <c r="CB244" s="105"/>
      <c r="CC244" s="105"/>
      <c r="CD244" s="105"/>
      <c r="CE244" s="105"/>
      <c r="CF244" s="105"/>
      <c r="CG244" s="105"/>
      <c r="CH244" s="105"/>
      <c r="CI244" s="105"/>
      <c r="CJ244" s="105"/>
      <c r="CK244" s="105"/>
      <c r="CL244" s="105"/>
      <c r="CM244" s="105"/>
      <c r="CN244" s="105"/>
      <c r="CO244" s="105"/>
      <c r="CP244" s="105"/>
      <c r="CQ244" s="105"/>
      <c r="CR244" s="105"/>
      <c r="CS244" s="105"/>
      <c r="CT244" s="105"/>
      <c r="CU244" s="105"/>
      <c r="CV244" s="105"/>
      <c r="CW244" s="105"/>
      <c r="CX244" s="105"/>
      <c r="CY244" s="105"/>
      <c r="CZ244" s="105"/>
      <c r="DA244" s="105"/>
    </row>
    <row r="245">
      <c r="A245" s="7"/>
      <c r="B245" s="105"/>
      <c r="C245" s="7"/>
      <c r="D245" s="7"/>
      <c r="E245" s="7"/>
      <c r="F245" s="105"/>
      <c r="G245" s="105"/>
      <c r="H245" s="105"/>
      <c r="I245" s="105"/>
      <c r="J245" s="105"/>
      <c r="K245" s="105"/>
      <c r="L245" s="105"/>
      <c r="M245" s="105"/>
      <c r="N245" s="105"/>
      <c r="O245" s="105"/>
      <c r="P245" s="105"/>
      <c r="Q245" s="105"/>
      <c r="R245" s="105"/>
      <c r="S245" s="105"/>
      <c r="T245" s="105"/>
      <c r="U245" s="105"/>
      <c r="V245" s="105"/>
      <c r="W245" s="105"/>
      <c r="X245" s="105"/>
      <c r="Y245" s="105"/>
      <c r="Z245" s="105"/>
      <c r="AA245" s="105"/>
      <c r="AB245" s="105"/>
      <c r="AC245" s="105"/>
      <c r="AD245" s="105"/>
      <c r="AE245" s="105"/>
      <c r="AF245" s="105"/>
      <c r="AG245" s="105"/>
      <c r="AH245" s="105"/>
      <c r="AI245" s="105"/>
      <c r="AJ245" s="105"/>
      <c r="AK245" s="105"/>
      <c r="AL245" s="105"/>
      <c r="AM245" s="105"/>
      <c r="AN245" s="105"/>
      <c r="AO245" s="105"/>
      <c r="AP245" s="105"/>
      <c r="AQ245" s="105"/>
      <c r="AR245" s="105"/>
      <c r="AS245" s="105"/>
      <c r="AT245" s="105"/>
      <c r="AU245" s="105"/>
      <c r="AV245" s="105"/>
      <c r="AW245" s="105"/>
      <c r="AX245" s="105"/>
      <c r="AY245" s="105"/>
      <c r="AZ245" s="105"/>
      <c r="BA245" s="105"/>
      <c r="BB245" s="105"/>
      <c r="BC245" s="105"/>
      <c r="BD245" s="105"/>
      <c r="BE245" s="105"/>
      <c r="BF245" s="105"/>
      <c r="BG245" s="105"/>
      <c r="BH245" s="105"/>
      <c r="BI245" s="105"/>
      <c r="BJ245" s="105"/>
      <c r="BK245" s="105"/>
      <c r="BL245" s="105"/>
      <c r="BM245" s="105"/>
      <c r="BN245" s="105"/>
      <c r="BO245" s="105"/>
      <c r="BP245" s="105"/>
      <c r="BQ245" s="105"/>
      <c r="BR245" s="105"/>
      <c r="BS245" s="105"/>
      <c r="BT245" s="105"/>
      <c r="BU245" s="105"/>
      <c r="BV245" s="105"/>
      <c r="BW245" s="105"/>
      <c r="BX245" s="105"/>
      <c r="BY245" s="105"/>
      <c r="BZ245" s="105"/>
      <c r="CA245" s="105"/>
      <c r="CB245" s="105"/>
      <c r="CC245" s="105"/>
      <c r="CD245" s="105"/>
      <c r="CE245" s="105"/>
      <c r="CF245" s="105"/>
      <c r="CG245" s="105"/>
      <c r="CH245" s="105"/>
      <c r="CI245" s="105"/>
      <c r="CJ245" s="105"/>
      <c r="CK245" s="105"/>
      <c r="CL245" s="105"/>
      <c r="CM245" s="105"/>
      <c r="CN245" s="105"/>
      <c r="CO245" s="105"/>
      <c r="CP245" s="105"/>
      <c r="CQ245" s="105"/>
      <c r="CR245" s="105"/>
      <c r="CS245" s="105"/>
      <c r="CT245" s="105"/>
      <c r="CU245" s="105"/>
      <c r="CV245" s="105"/>
      <c r="CW245" s="105"/>
      <c r="CX245" s="105"/>
      <c r="CY245" s="105"/>
      <c r="CZ245" s="105"/>
      <c r="DA245" s="105"/>
    </row>
    <row r="246">
      <c r="A246" s="7"/>
      <c r="B246" s="105"/>
      <c r="C246" s="7"/>
      <c r="D246" s="7"/>
      <c r="E246" s="7"/>
      <c r="F246" s="105"/>
      <c r="G246" s="105"/>
      <c r="H246" s="105"/>
      <c r="I246" s="105"/>
      <c r="J246" s="105"/>
      <c r="K246" s="105"/>
      <c r="L246" s="105"/>
      <c r="M246" s="105"/>
      <c r="N246" s="105"/>
      <c r="O246" s="105"/>
      <c r="P246" s="105"/>
      <c r="Q246" s="105"/>
      <c r="R246" s="105"/>
      <c r="S246" s="105"/>
      <c r="T246" s="105"/>
      <c r="U246" s="105"/>
      <c r="V246" s="105"/>
      <c r="W246" s="105"/>
      <c r="X246" s="105"/>
      <c r="Y246" s="105"/>
      <c r="Z246" s="105"/>
      <c r="AA246" s="105"/>
      <c r="AB246" s="105"/>
      <c r="AC246" s="105"/>
      <c r="AD246" s="105"/>
      <c r="AE246" s="105"/>
      <c r="AF246" s="105"/>
      <c r="AG246" s="105"/>
      <c r="AH246" s="105"/>
      <c r="AI246" s="105"/>
      <c r="AJ246" s="105"/>
      <c r="AK246" s="105"/>
      <c r="AL246" s="105"/>
      <c r="AM246" s="105"/>
      <c r="AN246" s="105"/>
      <c r="AO246" s="105"/>
      <c r="AP246" s="105"/>
      <c r="AQ246" s="105"/>
      <c r="AR246" s="105"/>
      <c r="AS246" s="105"/>
      <c r="AT246" s="105"/>
      <c r="AU246" s="105"/>
      <c r="AV246" s="105"/>
      <c r="AW246" s="105"/>
      <c r="AX246" s="105"/>
      <c r="AY246" s="105"/>
      <c r="AZ246" s="105"/>
      <c r="BA246" s="105"/>
      <c r="BB246" s="105"/>
      <c r="BC246" s="105"/>
      <c r="BD246" s="105"/>
      <c r="BE246" s="105"/>
      <c r="BF246" s="105"/>
      <c r="BG246" s="105"/>
      <c r="BH246" s="105"/>
      <c r="BI246" s="105"/>
      <c r="BJ246" s="105"/>
      <c r="BK246" s="105"/>
      <c r="BL246" s="105"/>
      <c r="BM246" s="105"/>
      <c r="BN246" s="105"/>
      <c r="BO246" s="105"/>
      <c r="BP246" s="105"/>
      <c r="BQ246" s="105"/>
      <c r="BR246" s="105"/>
      <c r="BS246" s="105"/>
      <c r="BT246" s="105"/>
      <c r="BU246" s="105"/>
      <c r="BV246" s="105"/>
      <c r="BW246" s="105"/>
      <c r="BX246" s="105"/>
      <c r="BY246" s="105"/>
      <c r="BZ246" s="105"/>
      <c r="CA246" s="105"/>
      <c r="CB246" s="105"/>
      <c r="CC246" s="105"/>
      <c r="CD246" s="105"/>
      <c r="CE246" s="105"/>
      <c r="CF246" s="105"/>
      <c r="CG246" s="105"/>
      <c r="CH246" s="105"/>
      <c r="CI246" s="105"/>
      <c r="CJ246" s="105"/>
      <c r="CK246" s="105"/>
      <c r="CL246" s="105"/>
      <c r="CM246" s="105"/>
      <c r="CN246" s="105"/>
      <c r="CO246" s="105"/>
      <c r="CP246" s="105"/>
      <c r="CQ246" s="105"/>
      <c r="CR246" s="105"/>
      <c r="CS246" s="105"/>
      <c r="CT246" s="105"/>
      <c r="CU246" s="105"/>
      <c r="CV246" s="105"/>
      <c r="CW246" s="105"/>
      <c r="CX246" s="105"/>
      <c r="CY246" s="105"/>
      <c r="CZ246" s="105"/>
      <c r="DA246" s="105"/>
    </row>
    <row r="247">
      <c r="A247" s="7"/>
      <c r="B247" s="105"/>
      <c r="C247" s="7"/>
      <c r="D247" s="7"/>
      <c r="E247" s="7"/>
      <c r="F247" s="105"/>
      <c r="G247" s="105"/>
      <c r="H247" s="105"/>
      <c r="I247" s="105"/>
      <c r="J247" s="105"/>
      <c r="K247" s="105"/>
      <c r="L247" s="105"/>
      <c r="M247" s="105"/>
      <c r="N247" s="105"/>
      <c r="O247" s="105"/>
      <c r="P247" s="105"/>
      <c r="Q247" s="105"/>
      <c r="R247" s="105"/>
      <c r="S247" s="105"/>
      <c r="T247" s="105"/>
      <c r="U247" s="105"/>
      <c r="V247" s="105"/>
      <c r="W247" s="105"/>
      <c r="X247" s="105"/>
      <c r="Y247" s="105"/>
      <c r="Z247" s="105"/>
      <c r="AA247" s="105"/>
      <c r="AB247" s="105"/>
      <c r="AC247" s="105"/>
      <c r="AD247" s="105"/>
      <c r="AE247" s="105"/>
      <c r="AF247" s="105"/>
      <c r="AG247" s="105"/>
      <c r="AH247" s="105"/>
      <c r="AI247" s="105"/>
      <c r="AJ247" s="105"/>
      <c r="AK247" s="105"/>
      <c r="AL247" s="105"/>
      <c r="AM247" s="105"/>
      <c r="AN247" s="105"/>
      <c r="AO247" s="105"/>
      <c r="AP247" s="105"/>
      <c r="AQ247" s="105"/>
      <c r="AR247" s="105"/>
      <c r="AS247" s="105"/>
      <c r="AT247" s="105"/>
      <c r="AU247" s="105"/>
      <c r="AV247" s="105"/>
      <c r="AW247" s="105"/>
      <c r="AX247" s="105"/>
      <c r="AY247" s="105"/>
      <c r="AZ247" s="105"/>
      <c r="BA247" s="105"/>
      <c r="BB247" s="105"/>
      <c r="BC247" s="105"/>
      <c r="BD247" s="105"/>
      <c r="BE247" s="105"/>
      <c r="BF247" s="105"/>
      <c r="BG247" s="105"/>
      <c r="BH247" s="105"/>
      <c r="BI247" s="105"/>
      <c r="BJ247" s="105"/>
      <c r="BK247" s="105"/>
      <c r="BL247" s="105"/>
      <c r="BM247" s="105"/>
      <c r="BN247" s="105"/>
      <c r="BO247" s="105"/>
      <c r="BP247" s="105"/>
      <c r="BQ247" s="105"/>
      <c r="BR247" s="105"/>
      <c r="BS247" s="105"/>
      <c r="BT247" s="105"/>
      <c r="BU247" s="105"/>
      <c r="BV247" s="105"/>
      <c r="BW247" s="105"/>
      <c r="BX247" s="105"/>
      <c r="BY247" s="105"/>
      <c r="BZ247" s="105"/>
      <c r="CA247" s="105"/>
      <c r="CB247" s="105"/>
      <c r="CC247" s="105"/>
      <c r="CD247" s="105"/>
      <c r="CE247" s="105"/>
      <c r="CF247" s="105"/>
      <c r="CG247" s="105"/>
      <c r="CH247" s="105"/>
      <c r="CI247" s="105"/>
      <c r="CJ247" s="105"/>
      <c r="CK247" s="105"/>
      <c r="CL247" s="105"/>
      <c r="CM247" s="105"/>
      <c r="CN247" s="105"/>
      <c r="CO247" s="105"/>
      <c r="CP247" s="105"/>
      <c r="CQ247" s="105"/>
      <c r="CR247" s="105"/>
      <c r="CS247" s="105"/>
      <c r="CT247" s="105"/>
      <c r="CU247" s="105"/>
      <c r="CV247" s="105"/>
      <c r="CW247" s="105"/>
      <c r="CX247" s="105"/>
      <c r="CY247" s="105"/>
      <c r="CZ247" s="105"/>
      <c r="DA247" s="105"/>
    </row>
    <row r="248">
      <c r="A248" s="7"/>
      <c r="B248" s="105"/>
      <c r="C248" s="7"/>
      <c r="D248" s="7"/>
      <c r="E248" s="7"/>
      <c r="F248" s="105"/>
      <c r="G248" s="105"/>
      <c r="H248" s="105"/>
      <c r="I248" s="105"/>
      <c r="J248" s="105"/>
      <c r="K248" s="105"/>
      <c r="L248" s="105"/>
      <c r="M248" s="105"/>
      <c r="N248" s="105"/>
      <c r="O248" s="105"/>
      <c r="P248" s="105"/>
      <c r="Q248" s="105"/>
      <c r="R248" s="105"/>
      <c r="S248" s="105"/>
      <c r="T248" s="105"/>
      <c r="U248" s="105"/>
      <c r="V248" s="105"/>
      <c r="W248" s="105"/>
      <c r="X248" s="105"/>
      <c r="Y248" s="105"/>
      <c r="Z248" s="105"/>
      <c r="AA248" s="105"/>
      <c r="AB248" s="105"/>
      <c r="AC248" s="105"/>
      <c r="AD248" s="105"/>
      <c r="AE248" s="105"/>
      <c r="AF248" s="105"/>
      <c r="AG248" s="105"/>
      <c r="AH248" s="105"/>
      <c r="AI248" s="105"/>
      <c r="AJ248" s="105"/>
      <c r="AK248" s="105"/>
      <c r="AL248" s="105"/>
      <c r="AM248" s="105"/>
      <c r="AN248" s="105"/>
      <c r="AO248" s="105"/>
      <c r="AP248" s="105"/>
      <c r="AQ248" s="105"/>
      <c r="AR248" s="105"/>
      <c r="AS248" s="105"/>
      <c r="AT248" s="105"/>
      <c r="AU248" s="105"/>
      <c r="AV248" s="105"/>
      <c r="AW248" s="105"/>
      <c r="AX248" s="105"/>
      <c r="AY248" s="105"/>
      <c r="AZ248" s="105"/>
      <c r="BA248" s="105"/>
      <c r="BB248" s="105"/>
      <c r="BC248" s="105"/>
      <c r="BD248" s="105"/>
      <c r="BE248" s="105"/>
      <c r="BF248" s="105"/>
      <c r="BG248" s="105"/>
      <c r="BH248" s="105"/>
      <c r="BI248" s="105"/>
      <c r="BJ248" s="105"/>
      <c r="BK248" s="105"/>
      <c r="BL248" s="105"/>
      <c r="BM248" s="105"/>
      <c r="BN248" s="105"/>
      <c r="BO248" s="105"/>
      <c r="BP248" s="105"/>
      <c r="BQ248" s="105"/>
      <c r="BR248" s="105"/>
      <c r="BS248" s="105"/>
      <c r="BT248" s="105"/>
      <c r="BU248" s="105"/>
      <c r="BV248" s="105"/>
      <c r="BW248" s="105"/>
      <c r="BX248" s="105"/>
      <c r="BY248" s="105"/>
      <c r="BZ248" s="105"/>
      <c r="CA248" s="105"/>
      <c r="CB248" s="105"/>
      <c r="CC248" s="105"/>
      <c r="CD248" s="105"/>
      <c r="CE248" s="105"/>
      <c r="CF248" s="105"/>
      <c r="CG248" s="105"/>
      <c r="CH248" s="105"/>
      <c r="CI248" s="105"/>
      <c r="CJ248" s="105"/>
      <c r="CK248" s="105"/>
      <c r="CL248" s="105"/>
      <c r="CM248" s="105"/>
      <c r="CN248" s="105"/>
      <c r="CO248" s="105"/>
      <c r="CP248" s="105"/>
      <c r="CQ248" s="105"/>
      <c r="CR248" s="105"/>
      <c r="CS248" s="105"/>
      <c r="CT248" s="105"/>
      <c r="CU248" s="105"/>
      <c r="CV248" s="105"/>
      <c r="CW248" s="105"/>
      <c r="CX248" s="105"/>
      <c r="CY248" s="105"/>
      <c r="CZ248" s="105"/>
      <c r="DA248" s="105"/>
    </row>
    <row r="249">
      <c r="A249" s="7"/>
      <c r="B249" s="105"/>
      <c r="C249" s="7"/>
      <c r="D249" s="7"/>
      <c r="E249" s="7"/>
      <c r="F249" s="105"/>
      <c r="G249" s="105"/>
      <c r="H249" s="105"/>
      <c r="I249" s="105"/>
      <c r="J249" s="105"/>
      <c r="K249" s="105"/>
      <c r="L249" s="105"/>
      <c r="M249" s="105"/>
      <c r="N249" s="105"/>
      <c r="O249" s="105"/>
      <c r="P249" s="105"/>
      <c r="Q249" s="105"/>
      <c r="R249" s="105"/>
      <c r="S249" s="105"/>
      <c r="T249" s="105"/>
      <c r="U249" s="105"/>
      <c r="V249" s="105"/>
      <c r="W249" s="105"/>
      <c r="X249" s="105"/>
      <c r="Y249" s="105"/>
      <c r="Z249" s="105"/>
      <c r="AA249" s="105"/>
      <c r="AB249" s="105"/>
      <c r="AC249" s="105"/>
      <c r="AD249" s="105"/>
      <c r="AE249" s="105"/>
      <c r="AF249" s="105"/>
      <c r="AG249" s="105"/>
      <c r="AH249" s="105"/>
      <c r="AI249" s="105"/>
      <c r="AJ249" s="105"/>
      <c r="AK249" s="105"/>
      <c r="AL249" s="105"/>
      <c r="AM249" s="105"/>
      <c r="AN249" s="105"/>
      <c r="AO249" s="105"/>
      <c r="AP249" s="105"/>
      <c r="AQ249" s="105"/>
      <c r="AR249" s="105"/>
      <c r="AS249" s="105"/>
      <c r="AT249" s="105"/>
      <c r="AU249" s="105"/>
      <c r="AV249" s="105"/>
      <c r="AW249" s="105"/>
      <c r="AX249" s="105"/>
      <c r="AY249" s="105"/>
      <c r="AZ249" s="105"/>
      <c r="BA249" s="105"/>
      <c r="BB249" s="105"/>
      <c r="BC249" s="105"/>
      <c r="BD249" s="105"/>
      <c r="BE249" s="105"/>
      <c r="BF249" s="105"/>
      <c r="BG249" s="105"/>
      <c r="BH249" s="105"/>
      <c r="BI249" s="105"/>
      <c r="BJ249" s="105"/>
      <c r="BK249" s="105"/>
      <c r="BL249" s="105"/>
      <c r="BM249" s="105"/>
      <c r="BN249" s="105"/>
      <c r="BO249" s="105"/>
      <c r="BP249" s="105"/>
      <c r="BQ249" s="105"/>
      <c r="BR249" s="105"/>
      <c r="BS249" s="105"/>
      <c r="BT249" s="105"/>
      <c r="BU249" s="105"/>
      <c r="BV249" s="105"/>
      <c r="BW249" s="105"/>
      <c r="BX249" s="105"/>
      <c r="BY249" s="105"/>
      <c r="BZ249" s="105"/>
      <c r="CA249" s="105"/>
      <c r="CB249" s="105"/>
      <c r="CC249" s="105"/>
      <c r="CD249" s="105"/>
      <c r="CE249" s="105"/>
      <c r="CF249" s="105"/>
      <c r="CG249" s="105"/>
      <c r="CH249" s="105"/>
      <c r="CI249" s="105"/>
      <c r="CJ249" s="105"/>
      <c r="CK249" s="105"/>
      <c r="CL249" s="105"/>
      <c r="CM249" s="105"/>
      <c r="CN249" s="105"/>
      <c r="CO249" s="105"/>
      <c r="CP249" s="105"/>
      <c r="CQ249" s="105"/>
      <c r="CR249" s="105"/>
      <c r="CS249" s="105"/>
      <c r="CT249" s="105"/>
      <c r="CU249" s="105"/>
      <c r="CV249" s="105"/>
      <c r="CW249" s="105"/>
      <c r="CX249" s="105"/>
      <c r="CY249" s="105"/>
      <c r="CZ249" s="105"/>
      <c r="DA249" s="105"/>
    </row>
    <row r="250">
      <c r="A250" s="7"/>
      <c r="B250" s="105"/>
      <c r="C250" s="7"/>
      <c r="D250" s="7"/>
      <c r="E250" s="7"/>
      <c r="F250" s="105"/>
      <c r="G250" s="105"/>
      <c r="H250" s="105"/>
      <c r="I250" s="105"/>
      <c r="J250" s="105"/>
      <c r="K250" s="105"/>
      <c r="L250" s="105"/>
      <c r="M250" s="105"/>
      <c r="N250" s="105"/>
      <c r="O250" s="105"/>
      <c r="P250" s="105"/>
      <c r="Q250" s="105"/>
      <c r="R250" s="105"/>
      <c r="S250" s="105"/>
      <c r="T250" s="105"/>
      <c r="U250" s="105"/>
      <c r="V250" s="105"/>
      <c r="W250" s="105"/>
      <c r="X250" s="105"/>
      <c r="Y250" s="105"/>
      <c r="Z250" s="105"/>
      <c r="AA250" s="105"/>
      <c r="AB250" s="105"/>
      <c r="AC250" s="105"/>
      <c r="AD250" s="105"/>
      <c r="AE250" s="105"/>
      <c r="AF250" s="105"/>
      <c r="AG250" s="105"/>
      <c r="AH250" s="105"/>
      <c r="AI250" s="105"/>
      <c r="AJ250" s="105"/>
      <c r="AK250" s="105"/>
      <c r="AL250" s="105"/>
      <c r="AM250" s="105"/>
      <c r="AN250" s="105"/>
      <c r="AO250" s="105"/>
      <c r="AP250" s="105"/>
      <c r="AQ250" s="105"/>
      <c r="AR250" s="105"/>
      <c r="AS250" s="105"/>
      <c r="AT250" s="105"/>
      <c r="AU250" s="105"/>
      <c r="AV250" s="105"/>
      <c r="AW250" s="105"/>
      <c r="AX250" s="105"/>
      <c r="AY250" s="105"/>
      <c r="AZ250" s="105"/>
      <c r="BA250" s="105"/>
      <c r="BB250" s="105"/>
      <c r="BC250" s="105"/>
      <c r="BD250" s="105"/>
      <c r="BE250" s="105"/>
      <c r="BF250" s="105"/>
      <c r="BG250" s="105"/>
      <c r="BH250" s="105"/>
      <c r="BI250" s="105"/>
      <c r="BJ250" s="105"/>
      <c r="BK250" s="105"/>
      <c r="BL250" s="105"/>
      <c r="BM250" s="105"/>
      <c r="BN250" s="105"/>
      <c r="BO250" s="105"/>
      <c r="BP250" s="105"/>
      <c r="BQ250" s="105"/>
      <c r="BR250" s="105"/>
      <c r="BS250" s="105"/>
      <c r="BT250" s="105"/>
      <c r="BU250" s="105"/>
      <c r="BV250" s="105"/>
      <c r="BW250" s="105"/>
      <c r="BX250" s="105"/>
      <c r="BY250" s="105"/>
      <c r="BZ250" s="105"/>
      <c r="CA250" s="105"/>
      <c r="CB250" s="105"/>
      <c r="CC250" s="105"/>
      <c r="CD250" s="105"/>
      <c r="CE250" s="105"/>
      <c r="CF250" s="105"/>
      <c r="CG250" s="105"/>
      <c r="CH250" s="105"/>
      <c r="CI250" s="105"/>
      <c r="CJ250" s="105"/>
      <c r="CK250" s="105"/>
      <c r="CL250" s="105"/>
      <c r="CM250" s="105"/>
      <c r="CN250" s="105"/>
      <c r="CO250" s="105"/>
      <c r="CP250" s="105"/>
      <c r="CQ250" s="105"/>
      <c r="CR250" s="105"/>
      <c r="CS250" s="105"/>
      <c r="CT250" s="105"/>
      <c r="CU250" s="105"/>
      <c r="CV250" s="105"/>
      <c r="CW250" s="105"/>
      <c r="CX250" s="105"/>
      <c r="CY250" s="105"/>
      <c r="CZ250" s="105"/>
      <c r="DA250" s="105"/>
    </row>
    <row r="251">
      <c r="A251" s="7"/>
      <c r="B251" s="105"/>
      <c r="C251" s="7"/>
      <c r="D251" s="7"/>
      <c r="E251" s="7"/>
      <c r="F251" s="105"/>
      <c r="G251" s="105"/>
      <c r="H251" s="105"/>
      <c r="I251" s="105"/>
      <c r="J251" s="105"/>
      <c r="K251" s="105"/>
      <c r="L251" s="105"/>
      <c r="M251" s="105"/>
      <c r="N251" s="105"/>
      <c r="O251" s="105"/>
      <c r="P251" s="105"/>
      <c r="Q251" s="105"/>
      <c r="R251" s="105"/>
      <c r="S251" s="105"/>
      <c r="T251" s="105"/>
      <c r="U251" s="105"/>
      <c r="V251" s="105"/>
      <c r="W251" s="105"/>
      <c r="X251" s="105"/>
      <c r="Y251" s="105"/>
      <c r="Z251" s="105"/>
      <c r="AA251" s="105"/>
      <c r="AB251" s="105"/>
      <c r="AC251" s="105"/>
      <c r="AD251" s="105"/>
      <c r="AE251" s="105"/>
      <c r="AF251" s="105"/>
      <c r="AG251" s="105"/>
      <c r="AH251" s="105"/>
      <c r="AI251" s="105"/>
      <c r="AJ251" s="105"/>
      <c r="AK251" s="105"/>
      <c r="AL251" s="105"/>
      <c r="AM251" s="105"/>
      <c r="AN251" s="105"/>
      <c r="AO251" s="105"/>
      <c r="AP251" s="105"/>
      <c r="AQ251" s="105"/>
      <c r="AR251" s="105"/>
      <c r="AS251" s="105"/>
      <c r="AT251" s="105"/>
      <c r="AU251" s="105"/>
      <c r="AV251" s="105"/>
      <c r="AW251" s="105"/>
      <c r="AX251" s="105"/>
      <c r="AY251" s="105"/>
      <c r="AZ251" s="105"/>
      <c r="BA251" s="105"/>
      <c r="BB251" s="105"/>
      <c r="BC251" s="105"/>
      <c r="BD251" s="105"/>
      <c r="BE251" s="105"/>
      <c r="BF251" s="105"/>
      <c r="BG251" s="105"/>
      <c r="BH251" s="105"/>
      <c r="BI251" s="105"/>
      <c r="BJ251" s="105"/>
      <c r="BK251" s="105"/>
      <c r="BL251" s="105"/>
      <c r="BM251" s="105"/>
      <c r="BN251" s="105"/>
      <c r="BO251" s="105"/>
      <c r="BP251" s="105"/>
      <c r="BQ251" s="105"/>
      <c r="BR251" s="105"/>
      <c r="BS251" s="105"/>
      <c r="BT251" s="105"/>
      <c r="BU251" s="105"/>
      <c r="BV251" s="105"/>
      <c r="BW251" s="105"/>
      <c r="BX251" s="105"/>
      <c r="BY251" s="105"/>
      <c r="BZ251" s="105"/>
      <c r="CA251" s="105"/>
      <c r="CB251" s="105"/>
      <c r="CC251" s="105"/>
      <c r="CD251" s="105"/>
      <c r="CE251" s="105"/>
      <c r="CF251" s="105"/>
      <c r="CG251" s="105"/>
      <c r="CH251" s="105"/>
      <c r="CI251" s="105"/>
      <c r="CJ251" s="105"/>
      <c r="CK251" s="105"/>
      <c r="CL251" s="105"/>
      <c r="CM251" s="105"/>
      <c r="CN251" s="105"/>
      <c r="CO251" s="105"/>
      <c r="CP251" s="105"/>
      <c r="CQ251" s="105"/>
      <c r="CR251" s="105"/>
      <c r="CS251" s="105"/>
      <c r="CT251" s="105"/>
      <c r="CU251" s="105"/>
      <c r="CV251" s="105"/>
      <c r="CW251" s="105"/>
      <c r="CX251" s="105"/>
      <c r="CY251" s="105"/>
      <c r="CZ251" s="105"/>
      <c r="DA251" s="105"/>
    </row>
    <row r="252">
      <c r="A252" s="7"/>
      <c r="B252" s="105"/>
      <c r="C252" s="7"/>
      <c r="D252" s="7"/>
      <c r="E252" s="7"/>
      <c r="F252" s="105"/>
      <c r="G252" s="105"/>
      <c r="H252" s="105"/>
      <c r="I252" s="105"/>
      <c r="J252" s="105"/>
      <c r="K252" s="105"/>
      <c r="L252" s="105"/>
      <c r="M252" s="105"/>
      <c r="N252" s="105"/>
      <c r="O252" s="105"/>
      <c r="P252" s="105"/>
      <c r="Q252" s="105"/>
      <c r="R252" s="105"/>
      <c r="S252" s="105"/>
      <c r="T252" s="105"/>
      <c r="U252" s="105"/>
      <c r="V252" s="105"/>
      <c r="W252" s="105"/>
      <c r="X252" s="105"/>
      <c r="Y252" s="105"/>
      <c r="Z252" s="105"/>
      <c r="AA252" s="105"/>
      <c r="AB252" s="105"/>
      <c r="AC252" s="105"/>
      <c r="AD252" s="105"/>
      <c r="AE252" s="105"/>
      <c r="AF252" s="105"/>
      <c r="AG252" s="105"/>
      <c r="AH252" s="105"/>
      <c r="AI252" s="105"/>
      <c r="AJ252" s="105"/>
      <c r="AK252" s="105"/>
      <c r="AL252" s="105"/>
      <c r="AM252" s="105"/>
      <c r="AN252" s="105"/>
      <c r="AO252" s="105"/>
      <c r="AP252" s="105"/>
      <c r="AQ252" s="105"/>
      <c r="AR252" s="105"/>
      <c r="AS252" s="105"/>
      <c r="AT252" s="105"/>
      <c r="AU252" s="105"/>
      <c r="AV252" s="105"/>
      <c r="AW252" s="105"/>
      <c r="AX252" s="105"/>
      <c r="AY252" s="105"/>
      <c r="AZ252" s="105"/>
      <c r="BA252" s="105"/>
      <c r="BB252" s="105"/>
      <c r="BC252" s="105"/>
      <c r="BD252" s="105"/>
      <c r="BE252" s="105"/>
      <c r="BF252" s="105"/>
      <c r="BG252" s="105"/>
      <c r="BH252" s="105"/>
      <c r="BI252" s="105"/>
      <c r="BJ252" s="105"/>
      <c r="BK252" s="105"/>
      <c r="BL252" s="105"/>
      <c r="BM252" s="105"/>
      <c r="BN252" s="105"/>
      <c r="BO252" s="105"/>
      <c r="BP252" s="105"/>
      <c r="BQ252" s="105"/>
      <c r="BR252" s="105"/>
      <c r="BS252" s="105"/>
      <c r="BT252" s="105"/>
      <c r="BU252" s="105"/>
      <c r="BV252" s="105"/>
      <c r="BW252" s="105"/>
      <c r="BX252" s="105"/>
      <c r="BY252" s="105"/>
      <c r="BZ252" s="105"/>
      <c r="CA252" s="105"/>
      <c r="CB252" s="105"/>
      <c r="CC252" s="105"/>
      <c r="CD252" s="105"/>
      <c r="CE252" s="105"/>
      <c r="CF252" s="105"/>
      <c r="CG252" s="105"/>
      <c r="CH252" s="105"/>
      <c r="CI252" s="105"/>
      <c r="CJ252" s="105"/>
      <c r="CK252" s="105"/>
      <c r="CL252" s="105"/>
      <c r="CM252" s="105"/>
      <c r="CN252" s="105"/>
      <c r="CO252" s="105"/>
      <c r="CP252" s="105"/>
      <c r="CQ252" s="105"/>
      <c r="CR252" s="105"/>
      <c r="CS252" s="105"/>
      <c r="CT252" s="105"/>
      <c r="CU252" s="105"/>
      <c r="CV252" s="105"/>
      <c r="CW252" s="105"/>
      <c r="CX252" s="105"/>
      <c r="CY252" s="105"/>
      <c r="CZ252" s="105"/>
      <c r="DA252" s="105"/>
    </row>
    <row r="253">
      <c r="A253" s="7"/>
      <c r="B253" s="105"/>
      <c r="C253" s="7"/>
      <c r="D253" s="7"/>
      <c r="E253" s="7"/>
      <c r="F253" s="105"/>
      <c r="G253" s="105"/>
      <c r="H253" s="105"/>
      <c r="I253" s="105"/>
      <c r="J253" s="105"/>
      <c r="K253" s="105"/>
      <c r="L253" s="105"/>
      <c r="M253" s="105"/>
      <c r="N253" s="105"/>
      <c r="O253" s="105"/>
      <c r="P253" s="105"/>
      <c r="Q253" s="105"/>
      <c r="R253" s="105"/>
      <c r="S253" s="105"/>
      <c r="T253" s="105"/>
      <c r="U253" s="105"/>
      <c r="V253" s="105"/>
      <c r="W253" s="105"/>
      <c r="X253" s="105"/>
      <c r="Y253" s="105"/>
      <c r="Z253" s="105"/>
      <c r="AA253" s="105"/>
      <c r="AB253" s="105"/>
      <c r="AC253" s="105"/>
      <c r="AD253" s="105"/>
      <c r="AE253" s="105"/>
      <c r="AF253" s="105"/>
      <c r="AG253" s="105"/>
      <c r="AH253" s="105"/>
      <c r="AI253" s="105"/>
      <c r="AJ253" s="105"/>
      <c r="AK253" s="105"/>
      <c r="AL253" s="105"/>
      <c r="AM253" s="105"/>
      <c r="AN253" s="105"/>
      <c r="AO253" s="105"/>
      <c r="AP253" s="105"/>
      <c r="AQ253" s="105"/>
      <c r="AR253" s="105"/>
      <c r="AS253" s="105"/>
      <c r="AT253" s="105"/>
      <c r="AU253" s="105"/>
      <c r="AV253" s="105"/>
      <c r="AW253" s="105"/>
      <c r="AX253" s="105"/>
      <c r="AY253" s="105"/>
      <c r="AZ253" s="105"/>
      <c r="BA253" s="105"/>
      <c r="BB253" s="105"/>
      <c r="BC253" s="105"/>
      <c r="BD253" s="105"/>
      <c r="BE253" s="105"/>
      <c r="BF253" s="105"/>
      <c r="BG253" s="105"/>
      <c r="BH253" s="105"/>
      <c r="BI253" s="105"/>
      <c r="BJ253" s="105"/>
      <c r="BK253" s="105"/>
      <c r="BL253" s="105"/>
      <c r="BM253" s="105"/>
      <c r="BN253" s="105"/>
      <c r="BO253" s="105"/>
      <c r="BP253" s="105"/>
      <c r="BQ253" s="105"/>
      <c r="BR253" s="105"/>
      <c r="BS253" s="105"/>
      <c r="BT253" s="105"/>
      <c r="BU253" s="105"/>
      <c r="BV253" s="105"/>
      <c r="BW253" s="105"/>
      <c r="BX253" s="105"/>
      <c r="BY253" s="105"/>
      <c r="BZ253" s="105"/>
      <c r="CA253" s="105"/>
      <c r="CB253" s="105"/>
      <c r="CC253" s="105"/>
      <c r="CD253" s="105"/>
      <c r="CE253" s="105"/>
      <c r="CF253" s="105"/>
      <c r="CG253" s="105"/>
      <c r="CH253" s="105"/>
      <c r="CI253" s="105"/>
      <c r="CJ253" s="105"/>
      <c r="CK253" s="105"/>
      <c r="CL253" s="105"/>
      <c r="CM253" s="105"/>
      <c r="CN253" s="105"/>
      <c r="CO253" s="105"/>
      <c r="CP253" s="105"/>
      <c r="CQ253" s="105"/>
      <c r="CR253" s="105"/>
      <c r="CS253" s="105"/>
      <c r="CT253" s="105"/>
      <c r="CU253" s="105"/>
      <c r="CV253" s="105"/>
      <c r="CW253" s="105"/>
      <c r="CX253" s="105"/>
      <c r="CY253" s="105"/>
      <c r="CZ253" s="105"/>
      <c r="DA253" s="105"/>
    </row>
    <row r="254">
      <c r="A254" s="7"/>
      <c r="B254" s="105"/>
      <c r="C254" s="7"/>
      <c r="D254" s="7"/>
      <c r="E254" s="7"/>
      <c r="F254" s="105"/>
      <c r="G254" s="105"/>
      <c r="H254" s="105"/>
      <c r="I254" s="105"/>
      <c r="J254" s="105"/>
      <c r="K254" s="105"/>
      <c r="L254" s="105"/>
      <c r="M254" s="105"/>
      <c r="N254" s="105"/>
      <c r="O254" s="105"/>
      <c r="P254" s="105"/>
      <c r="Q254" s="105"/>
      <c r="R254" s="105"/>
      <c r="S254" s="105"/>
      <c r="T254" s="105"/>
      <c r="U254" s="105"/>
      <c r="V254" s="105"/>
      <c r="W254" s="105"/>
      <c r="X254" s="105"/>
      <c r="Y254" s="105"/>
      <c r="Z254" s="105"/>
      <c r="AA254" s="105"/>
      <c r="AB254" s="105"/>
      <c r="AC254" s="105"/>
      <c r="AD254" s="105"/>
      <c r="AE254" s="105"/>
      <c r="AF254" s="105"/>
      <c r="AG254" s="105"/>
      <c r="AH254" s="105"/>
      <c r="AI254" s="105"/>
      <c r="AJ254" s="105"/>
      <c r="AK254" s="105"/>
      <c r="AL254" s="105"/>
      <c r="AM254" s="105"/>
      <c r="AN254" s="105"/>
      <c r="AO254" s="105"/>
      <c r="AP254" s="105"/>
      <c r="AQ254" s="105"/>
      <c r="AR254" s="105"/>
      <c r="AS254" s="105"/>
      <c r="AT254" s="105"/>
      <c r="AU254" s="105"/>
      <c r="AV254" s="105"/>
      <c r="AW254" s="105"/>
      <c r="AX254" s="105"/>
      <c r="AY254" s="105"/>
      <c r="AZ254" s="105"/>
      <c r="BA254" s="105"/>
      <c r="BB254" s="105"/>
      <c r="BC254" s="105"/>
      <c r="BD254" s="105"/>
      <c r="BE254" s="105"/>
      <c r="BF254" s="105"/>
      <c r="BG254" s="105"/>
      <c r="BH254" s="105"/>
      <c r="BI254" s="105"/>
      <c r="BJ254" s="105"/>
      <c r="BK254" s="105"/>
      <c r="BL254" s="105"/>
      <c r="BM254" s="105"/>
      <c r="BN254" s="105"/>
      <c r="BO254" s="105"/>
      <c r="BP254" s="105"/>
      <c r="BQ254" s="105"/>
      <c r="BR254" s="105"/>
      <c r="BS254" s="105"/>
      <c r="BT254" s="105"/>
      <c r="BU254" s="105"/>
      <c r="BV254" s="105"/>
      <c r="BW254" s="105"/>
      <c r="BX254" s="105"/>
      <c r="BY254" s="105"/>
      <c r="BZ254" s="105"/>
      <c r="CA254" s="105"/>
      <c r="CB254" s="105"/>
      <c r="CC254" s="105"/>
      <c r="CD254" s="105"/>
      <c r="CE254" s="105"/>
      <c r="CF254" s="105"/>
      <c r="CG254" s="105"/>
      <c r="CH254" s="105"/>
      <c r="CI254" s="105"/>
      <c r="CJ254" s="105"/>
      <c r="CK254" s="105"/>
      <c r="CL254" s="105"/>
      <c r="CM254" s="105"/>
      <c r="CN254" s="105"/>
      <c r="CO254" s="105"/>
      <c r="CP254" s="105"/>
      <c r="CQ254" s="105"/>
      <c r="CR254" s="105"/>
      <c r="CS254" s="105"/>
      <c r="CT254" s="105"/>
      <c r="CU254" s="105"/>
      <c r="CV254" s="105"/>
      <c r="CW254" s="105"/>
      <c r="CX254" s="105"/>
      <c r="CY254" s="105"/>
      <c r="CZ254" s="105"/>
      <c r="DA254" s="105"/>
    </row>
    <row r="255">
      <c r="A255" s="7"/>
      <c r="B255" s="105"/>
      <c r="C255" s="7"/>
      <c r="D255" s="7"/>
      <c r="E255" s="7"/>
      <c r="F255" s="105"/>
      <c r="G255" s="105"/>
      <c r="H255" s="105"/>
      <c r="I255" s="105"/>
      <c r="J255" s="105"/>
      <c r="K255" s="105"/>
      <c r="L255" s="105"/>
      <c r="M255" s="105"/>
      <c r="N255" s="105"/>
      <c r="O255" s="105"/>
      <c r="P255" s="105"/>
      <c r="Q255" s="105"/>
      <c r="R255" s="105"/>
      <c r="S255" s="105"/>
      <c r="T255" s="105"/>
      <c r="U255" s="105"/>
      <c r="V255" s="105"/>
      <c r="W255" s="105"/>
      <c r="X255" s="105"/>
      <c r="Y255" s="105"/>
      <c r="Z255" s="105"/>
      <c r="AA255" s="105"/>
      <c r="AB255" s="105"/>
      <c r="AC255" s="105"/>
      <c r="AD255" s="105"/>
      <c r="AE255" s="105"/>
      <c r="AF255" s="105"/>
      <c r="AG255" s="105"/>
      <c r="AH255" s="105"/>
      <c r="AI255" s="105"/>
      <c r="AJ255" s="105"/>
      <c r="AK255" s="105"/>
      <c r="AL255" s="105"/>
      <c r="AM255" s="105"/>
      <c r="AN255" s="105"/>
      <c r="AO255" s="105"/>
      <c r="AP255" s="105"/>
      <c r="AQ255" s="105"/>
      <c r="AR255" s="105"/>
      <c r="AS255" s="105"/>
      <c r="AT255" s="105"/>
      <c r="AU255" s="105"/>
      <c r="AV255" s="105"/>
      <c r="AW255" s="105"/>
      <c r="AX255" s="105"/>
      <c r="AY255" s="105"/>
      <c r="AZ255" s="105"/>
      <c r="BA255" s="105"/>
      <c r="BB255" s="105"/>
      <c r="BC255" s="105"/>
      <c r="BD255" s="105"/>
      <c r="BE255" s="105"/>
      <c r="BF255" s="105"/>
      <c r="BG255" s="105"/>
      <c r="BH255" s="105"/>
      <c r="BI255" s="105"/>
      <c r="BJ255" s="105"/>
      <c r="BK255" s="105"/>
      <c r="BL255" s="105"/>
      <c r="BM255" s="105"/>
      <c r="BN255" s="105"/>
      <c r="BO255" s="105"/>
      <c r="BP255" s="105"/>
      <c r="BQ255" s="105"/>
      <c r="BR255" s="105"/>
      <c r="BS255" s="105"/>
      <c r="BT255" s="105"/>
      <c r="BU255" s="105"/>
      <c r="BV255" s="105"/>
      <c r="BW255" s="105"/>
      <c r="BX255" s="105"/>
      <c r="BY255" s="105"/>
      <c r="BZ255" s="105"/>
      <c r="CA255" s="105"/>
      <c r="CB255" s="105"/>
      <c r="CC255" s="105"/>
      <c r="CD255" s="105"/>
      <c r="CE255" s="105"/>
      <c r="CF255" s="105"/>
      <c r="CG255" s="105"/>
      <c r="CH255" s="105"/>
      <c r="CI255" s="105"/>
      <c r="CJ255" s="105"/>
      <c r="CK255" s="105"/>
      <c r="CL255" s="105"/>
      <c r="CM255" s="105"/>
      <c r="CN255" s="105"/>
      <c r="CO255" s="105"/>
      <c r="CP255" s="105"/>
      <c r="CQ255" s="105"/>
      <c r="CR255" s="105"/>
      <c r="CS255" s="105"/>
      <c r="CT255" s="105"/>
      <c r="CU255" s="105"/>
      <c r="CV255" s="105"/>
      <c r="CW255" s="105"/>
      <c r="CX255" s="105"/>
      <c r="CY255" s="105"/>
      <c r="CZ255" s="105"/>
      <c r="DA255" s="105"/>
    </row>
    <row r="256">
      <c r="A256" s="7"/>
      <c r="B256" s="105"/>
      <c r="C256" s="7"/>
      <c r="D256" s="7"/>
      <c r="E256" s="7"/>
      <c r="F256" s="105"/>
      <c r="G256" s="105"/>
      <c r="H256" s="105"/>
      <c r="I256" s="105"/>
      <c r="J256" s="105"/>
      <c r="K256" s="105"/>
      <c r="L256" s="105"/>
      <c r="M256" s="105"/>
      <c r="N256" s="105"/>
      <c r="O256" s="105"/>
      <c r="P256" s="105"/>
      <c r="Q256" s="105"/>
      <c r="R256" s="105"/>
      <c r="S256" s="105"/>
      <c r="T256" s="105"/>
      <c r="U256" s="105"/>
      <c r="V256" s="105"/>
      <c r="W256" s="105"/>
      <c r="X256" s="105"/>
      <c r="Y256" s="105"/>
      <c r="Z256" s="105"/>
      <c r="AA256" s="105"/>
      <c r="AB256" s="105"/>
      <c r="AC256" s="105"/>
      <c r="AD256" s="105"/>
      <c r="AE256" s="105"/>
      <c r="AF256" s="105"/>
      <c r="AG256" s="105"/>
      <c r="AH256" s="105"/>
      <c r="AI256" s="105"/>
      <c r="AJ256" s="105"/>
      <c r="AK256" s="105"/>
      <c r="AL256" s="105"/>
      <c r="AM256" s="105"/>
      <c r="AN256" s="105"/>
      <c r="AO256" s="105"/>
      <c r="AP256" s="105"/>
      <c r="AQ256" s="105"/>
      <c r="AR256" s="105"/>
      <c r="AS256" s="105"/>
      <c r="AT256" s="105"/>
      <c r="AU256" s="105"/>
      <c r="AV256" s="105"/>
      <c r="AW256" s="105"/>
      <c r="AX256" s="105"/>
      <c r="AY256" s="105"/>
      <c r="AZ256" s="105"/>
      <c r="BA256" s="105"/>
      <c r="BB256" s="105"/>
      <c r="BC256" s="105"/>
      <c r="BD256" s="105"/>
      <c r="BE256" s="105"/>
      <c r="BF256" s="105"/>
      <c r="BG256" s="105"/>
      <c r="BH256" s="105"/>
      <c r="BI256" s="105"/>
      <c r="BJ256" s="105"/>
      <c r="BK256" s="105"/>
      <c r="BL256" s="105"/>
      <c r="BM256" s="105"/>
      <c r="BN256" s="105"/>
      <c r="BO256" s="105"/>
      <c r="BP256" s="105"/>
      <c r="BQ256" s="105"/>
      <c r="BR256" s="105"/>
      <c r="BS256" s="105"/>
      <c r="BT256" s="105"/>
      <c r="BU256" s="105"/>
      <c r="BV256" s="105"/>
      <c r="BW256" s="105"/>
      <c r="BX256" s="105"/>
      <c r="BY256" s="105"/>
      <c r="BZ256" s="105"/>
      <c r="CA256" s="105"/>
      <c r="CB256" s="105"/>
      <c r="CC256" s="105"/>
      <c r="CD256" s="105"/>
      <c r="CE256" s="105"/>
      <c r="CF256" s="105"/>
      <c r="CG256" s="105"/>
      <c r="CH256" s="105"/>
      <c r="CI256" s="105"/>
      <c r="CJ256" s="105"/>
      <c r="CK256" s="105"/>
      <c r="CL256" s="105"/>
      <c r="CM256" s="105"/>
      <c r="CN256" s="105"/>
      <c r="CO256" s="105"/>
      <c r="CP256" s="105"/>
      <c r="CQ256" s="105"/>
      <c r="CR256" s="105"/>
      <c r="CS256" s="105"/>
      <c r="CT256" s="105"/>
      <c r="CU256" s="105"/>
      <c r="CV256" s="105"/>
      <c r="CW256" s="105"/>
      <c r="CX256" s="105"/>
      <c r="CY256" s="105"/>
      <c r="CZ256" s="105"/>
      <c r="DA256" s="105"/>
    </row>
    <row r="257">
      <c r="A257" s="7"/>
      <c r="B257" s="105"/>
      <c r="C257" s="7"/>
      <c r="D257" s="7"/>
      <c r="E257" s="7"/>
      <c r="F257" s="105"/>
      <c r="G257" s="105"/>
      <c r="H257" s="105"/>
      <c r="I257" s="105"/>
      <c r="J257" s="105"/>
      <c r="K257" s="105"/>
      <c r="L257" s="105"/>
      <c r="M257" s="105"/>
      <c r="N257" s="105"/>
      <c r="O257" s="105"/>
      <c r="P257" s="105"/>
      <c r="Q257" s="105"/>
      <c r="R257" s="105"/>
      <c r="S257" s="105"/>
      <c r="T257" s="105"/>
      <c r="U257" s="105"/>
      <c r="V257" s="105"/>
      <c r="W257" s="105"/>
      <c r="X257" s="105"/>
      <c r="Y257" s="105"/>
      <c r="Z257" s="105"/>
      <c r="AA257" s="105"/>
      <c r="AB257" s="105"/>
      <c r="AC257" s="105"/>
      <c r="AD257" s="105"/>
      <c r="AE257" s="105"/>
      <c r="AF257" s="105"/>
      <c r="AG257" s="105"/>
      <c r="AH257" s="105"/>
      <c r="AI257" s="105"/>
      <c r="AJ257" s="105"/>
      <c r="AK257" s="105"/>
      <c r="AL257" s="105"/>
      <c r="AM257" s="105"/>
      <c r="AN257" s="105"/>
      <c r="AO257" s="105"/>
      <c r="AP257" s="105"/>
      <c r="AQ257" s="105"/>
      <c r="AR257" s="105"/>
      <c r="AS257" s="105"/>
      <c r="AT257" s="105"/>
      <c r="AU257" s="105"/>
      <c r="AV257" s="105"/>
      <c r="AW257" s="105"/>
      <c r="AX257" s="105"/>
      <c r="AY257" s="105"/>
      <c r="AZ257" s="105"/>
      <c r="BA257" s="105"/>
      <c r="BB257" s="105"/>
      <c r="BC257" s="105"/>
      <c r="BD257" s="105"/>
      <c r="BE257" s="105"/>
      <c r="BF257" s="105"/>
      <c r="BG257" s="105"/>
      <c r="BH257" s="105"/>
      <c r="BI257" s="105"/>
      <c r="BJ257" s="105"/>
      <c r="BK257" s="105"/>
      <c r="BL257" s="105"/>
      <c r="BM257" s="105"/>
      <c r="BN257" s="105"/>
      <c r="BO257" s="105"/>
      <c r="BP257" s="105"/>
      <c r="BQ257" s="105"/>
      <c r="BR257" s="105"/>
      <c r="BS257" s="105"/>
      <c r="BT257" s="105"/>
      <c r="BU257" s="105"/>
      <c r="BV257" s="105"/>
      <c r="BW257" s="105"/>
      <c r="BX257" s="105"/>
      <c r="BY257" s="105"/>
      <c r="BZ257" s="105"/>
      <c r="CA257" s="105"/>
      <c r="CB257" s="105"/>
      <c r="CC257" s="105"/>
      <c r="CD257" s="105"/>
      <c r="CE257" s="105"/>
      <c r="CF257" s="105"/>
      <c r="CG257" s="105"/>
      <c r="CH257" s="105"/>
      <c r="CI257" s="105"/>
      <c r="CJ257" s="105"/>
      <c r="CK257" s="105"/>
      <c r="CL257" s="105"/>
      <c r="CM257" s="105"/>
      <c r="CN257" s="105"/>
      <c r="CO257" s="105"/>
      <c r="CP257" s="105"/>
      <c r="CQ257" s="105"/>
      <c r="CR257" s="105"/>
      <c r="CS257" s="105"/>
      <c r="CT257" s="105"/>
      <c r="CU257" s="105"/>
      <c r="CV257" s="105"/>
      <c r="CW257" s="105"/>
      <c r="CX257" s="105"/>
      <c r="CY257" s="105"/>
      <c r="CZ257" s="105"/>
      <c r="DA257" s="105"/>
    </row>
    <row r="258">
      <c r="A258" s="7"/>
      <c r="B258" s="105"/>
      <c r="C258" s="7"/>
      <c r="D258" s="7"/>
      <c r="E258" s="7"/>
      <c r="F258" s="105"/>
      <c r="G258" s="105"/>
      <c r="H258" s="105"/>
      <c r="I258" s="105"/>
      <c r="J258" s="105"/>
      <c r="K258" s="105"/>
      <c r="L258" s="105"/>
      <c r="M258" s="105"/>
      <c r="N258" s="105"/>
      <c r="O258" s="105"/>
      <c r="P258" s="105"/>
      <c r="Q258" s="105"/>
      <c r="R258" s="105"/>
      <c r="S258" s="105"/>
      <c r="T258" s="105"/>
      <c r="U258" s="105"/>
      <c r="V258" s="105"/>
      <c r="W258" s="105"/>
      <c r="X258" s="105"/>
      <c r="Y258" s="105"/>
      <c r="Z258" s="105"/>
      <c r="AA258" s="105"/>
      <c r="AB258" s="105"/>
      <c r="AC258" s="105"/>
      <c r="AD258" s="105"/>
      <c r="AE258" s="105"/>
      <c r="AF258" s="105"/>
      <c r="AG258" s="105"/>
      <c r="AH258" s="105"/>
      <c r="AI258" s="105"/>
      <c r="AJ258" s="105"/>
      <c r="AK258" s="105"/>
      <c r="AL258" s="105"/>
      <c r="AM258" s="105"/>
      <c r="AN258" s="105"/>
      <c r="AO258" s="105"/>
      <c r="AP258" s="105"/>
      <c r="AQ258" s="105"/>
      <c r="AR258" s="105"/>
      <c r="AS258" s="105"/>
      <c r="AT258" s="105"/>
      <c r="AU258" s="105"/>
      <c r="AV258" s="105"/>
      <c r="AW258" s="105"/>
      <c r="AX258" s="105"/>
      <c r="AY258" s="105"/>
      <c r="AZ258" s="105"/>
      <c r="BA258" s="105"/>
      <c r="BB258" s="105"/>
      <c r="BC258" s="105"/>
      <c r="BD258" s="105"/>
      <c r="BE258" s="105"/>
      <c r="BF258" s="105"/>
      <c r="BG258" s="105"/>
      <c r="BH258" s="105"/>
      <c r="BI258" s="105"/>
      <c r="BJ258" s="105"/>
      <c r="BK258" s="105"/>
      <c r="BL258" s="105"/>
      <c r="BM258" s="105"/>
      <c r="BN258" s="105"/>
      <c r="BO258" s="105"/>
      <c r="BP258" s="105"/>
      <c r="BQ258" s="105"/>
      <c r="BR258" s="105"/>
      <c r="BS258" s="105"/>
      <c r="BT258" s="105"/>
      <c r="BU258" s="105"/>
      <c r="BV258" s="105"/>
      <c r="BW258" s="105"/>
      <c r="BX258" s="105"/>
      <c r="BY258" s="105"/>
      <c r="BZ258" s="105"/>
      <c r="CA258" s="105"/>
      <c r="CB258" s="105"/>
      <c r="CC258" s="105"/>
      <c r="CD258" s="105"/>
      <c r="CE258" s="105"/>
      <c r="CF258" s="105"/>
      <c r="CG258" s="105"/>
      <c r="CH258" s="105"/>
      <c r="CI258" s="105"/>
      <c r="CJ258" s="105"/>
      <c r="CK258" s="105"/>
      <c r="CL258" s="105"/>
      <c r="CM258" s="105"/>
      <c r="CN258" s="105"/>
      <c r="CO258" s="105"/>
      <c r="CP258" s="105"/>
      <c r="CQ258" s="105"/>
      <c r="CR258" s="105"/>
      <c r="CS258" s="105"/>
      <c r="CT258" s="105"/>
      <c r="CU258" s="105"/>
      <c r="CV258" s="105"/>
      <c r="CW258" s="105"/>
      <c r="CX258" s="105"/>
      <c r="CY258" s="105"/>
      <c r="CZ258" s="105"/>
      <c r="DA258" s="105"/>
    </row>
    <row r="259">
      <c r="A259" s="7"/>
      <c r="B259" s="105"/>
      <c r="C259" s="7"/>
      <c r="D259" s="7"/>
      <c r="E259" s="7"/>
      <c r="F259" s="105"/>
      <c r="G259" s="105"/>
      <c r="H259" s="105"/>
      <c r="I259" s="105"/>
      <c r="J259" s="105"/>
      <c r="K259" s="105"/>
      <c r="L259" s="105"/>
      <c r="M259" s="105"/>
      <c r="N259" s="105"/>
      <c r="O259" s="105"/>
      <c r="P259" s="105"/>
      <c r="Q259" s="105"/>
      <c r="R259" s="105"/>
      <c r="S259" s="105"/>
      <c r="T259" s="105"/>
      <c r="U259" s="105"/>
      <c r="V259" s="105"/>
      <c r="W259" s="105"/>
      <c r="X259" s="105"/>
      <c r="Y259" s="105"/>
      <c r="Z259" s="105"/>
      <c r="AA259" s="105"/>
      <c r="AB259" s="105"/>
      <c r="AC259" s="105"/>
      <c r="AD259" s="105"/>
      <c r="AE259" s="105"/>
      <c r="AF259" s="105"/>
      <c r="AG259" s="105"/>
      <c r="AH259" s="105"/>
      <c r="AI259" s="105"/>
      <c r="AJ259" s="105"/>
      <c r="AK259" s="105"/>
      <c r="AL259" s="105"/>
      <c r="AM259" s="105"/>
      <c r="AN259" s="105"/>
      <c r="AO259" s="105"/>
      <c r="AP259" s="105"/>
      <c r="AQ259" s="105"/>
      <c r="AR259" s="105"/>
      <c r="AS259" s="105"/>
      <c r="AT259" s="105"/>
      <c r="AU259" s="105"/>
      <c r="AV259" s="105"/>
      <c r="AW259" s="105"/>
      <c r="AX259" s="105"/>
      <c r="AY259" s="105"/>
      <c r="AZ259" s="105"/>
      <c r="BA259" s="105"/>
      <c r="BB259" s="105"/>
      <c r="BC259" s="105"/>
      <c r="BD259" s="105"/>
      <c r="BE259" s="105"/>
      <c r="BF259" s="105"/>
      <c r="BG259" s="105"/>
      <c r="BH259" s="105"/>
      <c r="BI259" s="105"/>
      <c r="BJ259" s="105"/>
      <c r="BK259" s="105"/>
      <c r="BL259" s="105"/>
      <c r="BM259" s="105"/>
      <c r="BN259" s="105"/>
      <c r="BO259" s="105"/>
      <c r="BP259" s="105"/>
      <c r="BQ259" s="105"/>
      <c r="BR259" s="105"/>
      <c r="BS259" s="105"/>
      <c r="BT259" s="105"/>
      <c r="BU259" s="105"/>
      <c r="BV259" s="105"/>
      <c r="BW259" s="105"/>
      <c r="BX259" s="105"/>
      <c r="BY259" s="105"/>
      <c r="BZ259" s="105"/>
      <c r="CA259" s="105"/>
      <c r="CB259" s="105"/>
      <c r="CC259" s="105"/>
      <c r="CD259" s="105"/>
      <c r="CE259" s="105"/>
      <c r="CF259" s="105"/>
      <c r="CG259" s="105"/>
      <c r="CH259" s="105"/>
      <c r="CI259" s="105"/>
      <c r="CJ259" s="105"/>
      <c r="CK259" s="105"/>
      <c r="CL259" s="105"/>
      <c r="CM259" s="105"/>
      <c r="CN259" s="105"/>
      <c r="CO259" s="105"/>
      <c r="CP259" s="105"/>
      <c r="CQ259" s="105"/>
      <c r="CR259" s="105"/>
      <c r="CS259" s="105"/>
      <c r="CT259" s="105"/>
      <c r="CU259" s="105"/>
      <c r="CV259" s="105"/>
      <c r="CW259" s="105"/>
      <c r="CX259" s="105"/>
      <c r="CY259" s="105"/>
      <c r="CZ259" s="105"/>
      <c r="DA259" s="105"/>
    </row>
    <row r="260">
      <c r="A260" s="7"/>
      <c r="B260" s="105"/>
      <c r="C260" s="7"/>
      <c r="D260" s="7"/>
      <c r="E260" s="7"/>
      <c r="F260" s="105"/>
      <c r="G260" s="105"/>
      <c r="H260" s="105"/>
      <c r="I260" s="105"/>
      <c r="J260" s="105"/>
      <c r="K260" s="105"/>
      <c r="L260" s="105"/>
      <c r="M260" s="105"/>
      <c r="N260" s="105"/>
      <c r="O260" s="105"/>
      <c r="P260" s="105"/>
      <c r="Q260" s="105"/>
      <c r="R260" s="105"/>
      <c r="S260" s="105"/>
      <c r="T260" s="105"/>
      <c r="U260" s="105"/>
      <c r="V260" s="105"/>
      <c r="W260" s="105"/>
      <c r="X260" s="105"/>
      <c r="Y260" s="105"/>
      <c r="Z260" s="105"/>
      <c r="AA260" s="105"/>
      <c r="AB260" s="105"/>
      <c r="AC260" s="105"/>
      <c r="AD260" s="105"/>
      <c r="AE260" s="105"/>
      <c r="AF260" s="105"/>
      <c r="AG260" s="105"/>
      <c r="AH260" s="105"/>
      <c r="AI260" s="105"/>
      <c r="AJ260" s="105"/>
      <c r="AK260" s="105"/>
      <c r="AL260" s="105"/>
      <c r="AM260" s="105"/>
      <c r="AN260" s="105"/>
      <c r="AO260" s="105"/>
      <c r="AP260" s="105"/>
      <c r="AQ260" s="105"/>
      <c r="AR260" s="105"/>
      <c r="AS260" s="105"/>
      <c r="AT260" s="105"/>
      <c r="AU260" s="105"/>
      <c r="AV260" s="105"/>
      <c r="AW260" s="105"/>
      <c r="AX260" s="105"/>
      <c r="AY260" s="105"/>
      <c r="AZ260" s="105"/>
      <c r="BA260" s="105"/>
      <c r="BB260" s="105"/>
      <c r="BC260" s="105"/>
      <c r="BD260" s="105"/>
      <c r="BE260" s="105"/>
      <c r="BF260" s="105"/>
      <c r="BG260" s="105"/>
      <c r="BH260" s="105"/>
      <c r="BI260" s="105"/>
      <c r="BJ260" s="105"/>
      <c r="BK260" s="105"/>
      <c r="BL260" s="105"/>
      <c r="BM260" s="105"/>
      <c r="BN260" s="105"/>
      <c r="BO260" s="105"/>
      <c r="BP260" s="105"/>
      <c r="BQ260" s="105"/>
      <c r="BR260" s="105"/>
      <c r="BS260" s="105"/>
      <c r="BT260" s="105"/>
      <c r="BU260" s="105"/>
      <c r="BV260" s="105"/>
      <c r="BW260" s="105"/>
      <c r="BX260" s="105"/>
      <c r="BY260" s="105"/>
      <c r="BZ260" s="105"/>
      <c r="CA260" s="105"/>
      <c r="CB260" s="105"/>
      <c r="CC260" s="105"/>
      <c r="CD260" s="105"/>
      <c r="CE260" s="105"/>
      <c r="CF260" s="105"/>
      <c r="CG260" s="105"/>
      <c r="CH260" s="105"/>
      <c r="CI260" s="105"/>
      <c r="CJ260" s="105"/>
      <c r="CK260" s="105"/>
      <c r="CL260" s="105"/>
      <c r="CM260" s="105"/>
      <c r="CN260" s="105"/>
      <c r="CO260" s="105"/>
      <c r="CP260" s="105"/>
      <c r="CQ260" s="105"/>
      <c r="CR260" s="105"/>
      <c r="CS260" s="105"/>
      <c r="CT260" s="105"/>
      <c r="CU260" s="105"/>
      <c r="CV260" s="105"/>
      <c r="CW260" s="105"/>
      <c r="CX260" s="105"/>
      <c r="CY260" s="105"/>
      <c r="CZ260" s="105"/>
      <c r="DA260" s="105"/>
    </row>
    <row r="261">
      <c r="B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c r="AA261" s="105"/>
      <c r="AB261" s="105"/>
      <c r="AC261" s="105"/>
      <c r="AD261" s="105"/>
      <c r="AE261" s="105"/>
      <c r="AF261" s="105"/>
      <c r="AG261" s="105"/>
      <c r="AH261" s="105"/>
      <c r="AI261" s="105"/>
      <c r="AJ261" s="105"/>
      <c r="AK261" s="105"/>
      <c r="AL261" s="105"/>
      <c r="AM261" s="105"/>
      <c r="AN261" s="105"/>
      <c r="AO261" s="105"/>
      <c r="AP261" s="105"/>
      <c r="AQ261" s="105"/>
      <c r="AR261" s="105"/>
      <c r="AS261" s="105"/>
      <c r="AT261" s="105"/>
      <c r="AU261" s="105"/>
      <c r="AV261" s="105"/>
      <c r="AW261" s="105"/>
      <c r="AX261" s="105"/>
      <c r="AY261" s="105"/>
      <c r="AZ261" s="105"/>
      <c r="BA261" s="105"/>
      <c r="BB261" s="105"/>
      <c r="BC261" s="105"/>
      <c r="BD261" s="105"/>
      <c r="BE261" s="105"/>
      <c r="BF261" s="105"/>
      <c r="BG261" s="105"/>
      <c r="BH261" s="105"/>
      <c r="BI261" s="105"/>
      <c r="BJ261" s="105"/>
      <c r="BK261" s="105"/>
      <c r="BL261" s="105"/>
      <c r="BM261" s="105"/>
      <c r="BN261" s="105"/>
      <c r="BO261" s="105"/>
      <c r="BP261" s="105"/>
      <c r="BQ261" s="105"/>
      <c r="BR261" s="105"/>
      <c r="BS261" s="105"/>
      <c r="BT261" s="105"/>
      <c r="BU261" s="105"/>
      <c r="BV261" s="105"/>
      <c r="BW261" s="105"/>
      <c r="BX261" s="105"/>
      <c r="BY261" s="105"/>
      <c r="BZ261" s="105"/>
      <c r="CA261" s="105"/>
      <c r="CB261" s="105"/>
      <c r="CC261" s="105"/>
      <c r="CD261" s="105"/>
      <c r="CE261" s="105"/>
      <c r="CF261" s="105"/>
      <c r="CG261" s="105"/>
      <c r="CH261" s="105"/>
      <c r="CI261" s="105"/>
      <c r="CJ261" s="105"/>
      <c r="CK261" s="105"/>
      <c r="CL261" s="105"/>
      <c r="CM261" s="105"/>
      <c r="CN261" s="105"/>
      <c r="CO261" s="105"/>
      <c r="CP261" s="105"/>
      <c r="CQ261" s="105"/>
      <c r="CR261" s="105"/>
      <c r="CS261" s="105"/>
      <c r="CT261" s="105"/>
      <c r="CU261" s="105"/>
      <c r="CV261" s="105"/>
      <c r="CW261" s="105"/>
      <c r="CX261" s="105"/>
      <c r="CY261" s="105"/>
      <c r="CZ261" s="105"/>
      <c r="DA261" s="105"/>
    </row>
    <row r="262">
      <c r="B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c r="AA262" s="105"/>
      <c r="AB262" s="105"/>
      <c r="AC262" s="105"/>
      <c r="AD262" s="105"/>
      <c r="AE262" s="105"/>
      <c r="AF262" s="105"/>
      <c r="AG262" s="105"/>
      <c r="AH262" s="105"/>
      <c r="AI262" s="105"/>
      <c r="AJ262" s="105"/>
      <c r="AK262" s="105"/>
      <c r="AL262" s="105"/>
      <c r="AM262" s="105"/>
      <c r="AN262" s="105"/>
      <c r="AO262" s="105"/>
      <c r="AP262" s="105"/>
      <c r="AQ262" s="105"/>
      <c r="AR262" s="105"/>
      <c r="AS262" s="105"/>
      <c r="AT262" s="105"/>
      <c r="AU262" s="105"/>
      <c r="AV262" s="105"/>
      <c r="AW262" s="105"/>
      <c r="AX262" s="105"/>
      <c r="AY262" s="105"/>
      <c r="AZ262" s="105"/>
      <c r="BA262" s="105"/>
      <c r="BB262" s="105"/>
      <c r="BC262" s="105"/>
      <c r="BD262" s="105"/>
      <c r="BE262" s="105"/>
      <c r="BF262" s="105"/>
      <c r="BG262" s="105"/>
      <c r="BH262" s="105"/>
      <c r="BI262" s="105"/>
      <c r="BJ262" s="105"/>
      <c r="BK262" s="105"/>
      <c r="BL262" s="105"/>
      <c r="BM262" s="105"/>
      <c r="BN262" s="105"/>
      <c r="BO262" s="105"/>
      <c r="BP262" s="105"/>
      <c r="BQ262" s="105"/>
      <c r="BR262" s="105"/>
      <c r="BS262" s="105"/>
      <c r="BT262" s="105"/>
      <c r="BU262" s="105"/>
      <c r="BV262" s="105"/>
      <c r="BW262" s="105"/>
      <c r="BX262" s="105"/>
      <c r="BY262" s="105"/>
      <c r="BZ262" s="105"/>
      <c r="CA262" s="105"/>
      <c r="CB262" s="105"/>
      <c r="CC262" s="105"/>
      <c r="CD262" s="105"/>
      <c r="CE262" s="105"/>
      <c r="CF262" s="105"/>
      <c r="CG262" s="105"/>
      <c r="CH262" s="105"/>
      <c r="CI262" s="105"/>
      <c r="CJ262" s="105"/>
      <c r="CK262" s="105"/>
      <c r="CL262" s="105"/>
      <c r="CM262" s="105"/>
      <c r="CN262" s="105"/>
      <c r="CO262" s="105"/>
      <c r="CP262" s="105"/>
      <c r="CQ262" s="105"/>
      <c r="CR262" s="105"/>
      <c r="CS262" s="105"/>
      <c r="CT262" s="105"/>
      <c r="CU262" s="105"/>
      <c r="CV262" s="105"/>
      <c r="CW262" s="105"/>
      <c r="CX262" s="105"/>
      <c r="CY262" s="105"/>
      <c r="CZ262" s="105"/>
      <c r="DA262" s="105"/>
    </row>
    <row r="263">
      <c r="B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c r="AA263" s="105"/>
      <c r="AB263" s="105"/>
      <c r="AC263" s="105"/>
      <c r="AD263" s="105"/>
      <c r="AE263" s="105"/>
      <c r="AF263" s="105"/>
      <c r="AG263" s="105"/>
      <c r="AH263" s="105"/>
      <c r="AI263" s="105"/>
      <c r="AJ263" s="105"/>
      <c r="AK263" s="105"/>
      <c r="AL263" s="105"/>
      <c r="AM263" s="105"/>
      <c r="AN263" s="105"/>
      <c r="AO263" s="105"/>
      <c r="AP263" s="105"/>
      <c r="AQ263" s="105"/>
      <c r="AR263" s="105"/>
      <c r="AS263" s="105"/>
      <c r="AT263" s="105"/>
      <c r="AU263" s="105"/>
      <c r="AV263" s="105"/>
      <c r="AW263" s="105"/>
      <c r="AX263" s="105"/>
      <c r="AY263" s="105"/>
      <c r="AZ263" s="105"/>
      <c r="BA263" s="105"/>
      <c r="BB263" s="105"/>
      <c r="BC263" s="105"/>
      <c r="BD263" s="105"/>
      <c r="BE263" s="105"/>
      <c r="BF263" s="105"/>
      <c r="BG263" s="105"/>
      <c r="BH263" s="105"/>
      <c r="BI263" s="105"/>
      <c r="BJ263" s="105"/>
      <c r="BK263" s="105"/>
      <c r="BL263" s="105"/>
      <c r="BM263" s="105"/>
      <c r="BN263" s="105"/>
      <c r="BO263" s="105"/>
      <c r="BP263" s="105"/>
      <c r="BQ263" s="105"/>
      <c r="BR263" s="105"/>
      <c r="BS263" s="105"/>
      <c r="BT263" s="105"/>
      <c r="BU263" s="105"/>
      <c r="BV263" s="105"/>
      <c r="BW263" s="105"/>
      <c r="BX263" s="105"/>
      <c r="BY263" s="105"/>
      <c r="BZ263" s="105"/>
      <c r="CA263" s="105"/>
      <c r="CB263" s="105"/>
      <c r="CC263" s="105"/>
      <c r="CD263" s="105"/>
      <c r="CE263" s="105"/>
      <c r="CF263" s="105"/>
      <c r="CG263" s="105"/>
      <c r="CH263" s="105"/>
      <c r="CI263" s="105"/>
      <c r="CJ263" s="105"/>
      <c r="CK263" s="105"/>
      <c r="CL263" s="105"/>
      <c r="CM263" s="105"/>
      <c r="CN263" s="105"/>
      <c r="CO263" s="105"/>
      <c r="CP263" s="105"/>
      <c r="CQ263" s="105"/>
      <c r="CR263" s="105"/>
      <c r="CS263" s="105"/>
      <c r="CT263" s="105"/>
      <c r="CU263" s="105"/>
      <c r="CV263" s="105"/>
      <c r="CW263" s="105"/>
      <c r="CX263" s="105"/>
      <c r="CY263" s="105"/>
      <c r="CZ263" s="105"/>
      <c r="DA263" s="105"/>
    </row>
    <row r="264">
      <c r="B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c r="AA264" s="105"/>
      <c r="AB264" s="105"/>
      <c r="AC264" s="105"/>
      <c r="AD264" s="105"/>
      <c r="AE264" s="105"/>
      <c r="AF264" s="105"/>
      <c r="AG264" s="105"/>
      <c r="AH264" s="105"/>
      <c r="AI264" s="105"/>
      <c r="AJ264" s="105"/>
      <c r="AK264" s="105"/>
      <c r="AL264" s="105"/>
      <c r="AM264" s="105"/>
      <c r="AN264" s="105"/>
      <c r="AO264" s="105"/>
      <c r="AP264" s="105"/>
      <c r="AQ264" s="105"/>
      <c r="AR264" s="105"/>
      <c r="AS264" s="105"/>
      <c r="AT264" s="105"/>
      <c r="AU264" s="105"/>
      <c r="AV264" s="105"/>
      <c r="AW264" s="105"/>
      <c r="AX264" s="105"/>
      <c r="AY264" s="105"/>
      <c r="AZ264" s="105"/>
      <c r="BA264" s="105"/>
      <c r="BB264" s="105"/>
      <c r="BC264" s="105"/>
      <c r="BD264" s="105"/>
      <c r="BE264" s="105"/>
      <c r="BF264" s="105"/>
      <c r="BG264" s="105"/>
      <c r="BH264" s="105"/>
      <c r="BI264" s="105"/>
      <c r="BJ264" s="105"/>
      <c r="BK264" s="105"/>
      <c r="BL264" s="105"/>
      <c r="BM264" s="105"/>
      <c r="BN264" s="105"/>
      <c r="BO264" s="105"/>
      <c r="BP264" s="105"/>
      <c r="BQ264" s="105"/>
      <c r="BR264" s="105"/>
      <c r="BS264" s="105"/>
      <c r="BT264" s="105"/>
      <c r="BU264" s="105"/>
      <c r="BV264" s="105"/>
      <c r="BW264" s="105"/>
      <c r="BX264" s="105"/>
      <c r="BY264" s="105"/>
      <c r="BZ264" s="105"/>
      <c r="CA264" s="105"/>
      <c r="CB264" s="105"/>
      <c r="CC264" s="105"/>
      <c r="CD264" s="105"/>
      <c r="CE264" s="105"/>
      <c r="CF264" s="105"/>
      <c r="CG264" s="105"/>
      <c r="CH264" s="105"/>
      <c r="CI264" s="105"/>
      <c r="CJ264" s="105"/>
      <c r="CK264" s="105"/>
      <c r="CL264" s="105"/>
      <c r="CM264" s="105"/>
      <c r="CN264" s="105"/>
      <c r="CO264" s="105"/>
      <c r="CP264" s="105"/>
      <c r="CQ264" s="105"/>
      <c r="CR264" s="105"/>
      <c r="CS264" s="105"/>
      <c r="CT264" s="105"/>
      <c r="CU264" s="105"/>
      <c r="CV264" s="105"/>
      <c r="CW264" s="105"/>
      <c r="CX264" s="105"/>
      <c r="CY264" s="105"/>
      <c r="CZ264" s="105"/>
      <c r="DA264" s="105"/>
    </row>
    <row r="265">
      <c r="B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c r="AA265" s="105"/>
      <c r="AB265" s="105"/>
      <c r="AC265" s="105"/>
      <c r="AD265" s="105"/>
      <c r="AE265" s="105"/>
      <c r="AF265" s="105"/>
      <c r="AG265" s="105"/>
      <c r="AH265" s="105"/>
      <c r="AI265" s="105"/>
      <c r="AJ265" s="105"/>
      <c r="AK265" s="105"/>
      <c r="AL265" s="105"/>
      <c r="AM265" s="105"/>
      <c r="AN265" s="105"/>
      <c r="AO265" s="105"/>
      <c r="AP265" s="105"/>
      <c r="AQ265" s="105"/>
      <c r="AR265" s="105"/>
      <c r="AS265" s="105"/>
      <c r="AT265" s="105"/>
      <c r="AU265" s="105"/>
      <c r="AV265" s="105"/>
      <c r="AW265" s="105"/>
      <c r="AX265" s="105"/>
      <c r="AY265" s="105"/>
      <c r="AZ265" s="105"/>
      <c r="BA265" s="105"/>
      <c r="BB265" s="105"/>
      <c r="BC265" s="105"/>
      <c r="BD265" s="105"/>
      <c r="BE265" s="105"/>
      <c r="BF265" s="105"/>
      <c r="BG265" s="105"/>
      <c r="BH265" s="105"/>
      <c r="BI265" s="105"/>
      <c r="BJ265" s="105"/>
      <c r="BK265" s="105"/>
      <c r="BL265" s="105"/>
      <c r="BM265" s="105"/>
      <c r="BN265" s="105"/>
      <c r="BO265" s="105"/>
      <c r="BP265" s="105"/>
      <c r="BQ265" s="105"/>
      <c r="BR265" s="105"/>
      <c r="BS265" s="105"/>
      <c r="BT265" s="105"/>
      <c r="BU265" s="105"/>
      <c r="BV265" s="105"/>
      <c r="BW265" s="105"/>
      <c r="BX265" s="105"/>
      <c r="BY265" s="105"/>
      <c r="BZ265" s="105"/>
      <c r="CA265" s="105"/>
      <c r="CB265" s="105"/>
      <c r="CC265" s="105"/>
      <c r="CD265" s="105"/>
      <c r="CE265" s="105"/>
      <c r="CF265" s="105"/>
      <c r="CG265" s="105"/>
      <c r="CH265" s="105"/>
      <c r="CI265" s="105"/>
      <c r="CJ265" s="105"/>
      <c r="CK265" s="105"/>
      <c r="CL265" s="105"/>
      <c r="CM265" s="105"/>
      <c r="CN265" s="105"/>
      <c r="CO265" s="105"/>
      <c r="CP265" s="105"/>
      <c r="CQ265" s="105"/>
      <c r="CR265" s="105"/>
      <c r="CS265" s="105"/>
      <c r="CT265" s="105"/>
      <c r="CU265" s="105"/>
      <c r="CV265" s="105"/>
      <c r="CW265" s="105"/>
      <c r="CX265" s="105"/>
      <c r="CY265" s="105"/>
      <c r="CZ265" s="105"/>
      <c r="DA265" s="105"/>
    </row>
    <row r="266">
      <c r="B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c r="AA266" s="105"/>
      <c r="AB266" s="105"/>
      <c r="AC266" s="105"/>
      <c r="AD266" s="105"/>
      <c r="AE266" s="105"/>
      <c r="AF266" s="105"/>
      <c r="AG266" s="105"/>
      <c r="AH266" s="105"/>
      <c r="AI266" s="105"/>
      <c r="AJ266" s="105"/>
      <c r="AK266" s="105"/>
      <c r="AL266" s="105"/>
      <c r="AM266" s="105"/>
      <c r="AN266" s="105"/>
      <c r="AO266" s="105"/>
      <c r="AP266" s="105"/>
      <c r="AQ266" s="105"/>
      <c r="AR266" s="105"/>
      <c r="AS266" s="105"/>
      <c r="AT266" s="105"/>
      <c r="AU266" s="105"/>
      <c r="AV266" s="105"/>
      <c r="AW266" s="105"/>
      <c r="AX266" s="105"/>
      <c r="AY266" s="105"/>
      <c r="AZ266" s="105"/>
      <c r="BA266" s="105"/>
      <c r="BB266" s="105"/>
      <c r="BC266" s="105"/>
      <c r="BD266" s="105"/>
      <c r="BE266" s="105"/>
      <c r="BF266" s="105"/>
      <c r="BG266" s="105"/>
      <c r="BH266" s="105"/>
      <c r="BI266" s="105"/>
      <c r="BJ266" s="105"/>
      <c r="BK266" s="105"/>
      <c r="BL266" s="105"/>
      <c r="BM266" s="105"/>
      <c r="BN266" s="105"/>
      <c r="BO266" s="105"/>
      <c r="BP266" s="105"/>
      <c r="BQ266" s="105"/>
      <c r="BR266" s="105"/>
      <c r="BS266" s="105"/>
      <c r="BT266" s="105"/>
      <c r="BU266" s="105"/>
      <c r="BV266" s="105"/>
      <c r="BW266" s="105"/>
      <c r="BX266" s="105"/>
      <c r="BY266" s="105"/>
      <c r="BZ266" s="105"/>
      <c r="CA266" s="105"/>
      <c r="CB266" s="105"/>
      <c r="CC266" s="105"/>
      <c r="CD266" s="105"/>
      <c r="CE266" s="105"/>
      <c r="CF266" s="105"/>
      <c r="CG266" s="105"/>
      <c r="CH266" s="105"/>
      <c r="CI266" s="105"/>
      <c r="CJ266" s="105"/>
      <c r="CK266" s="105"/>
      <c r="CL266" s="105"/>
      <c r="CM266" s="105"/>
      <c r="CN266" s="105"/>
      <c r="CO266" s="105"/>
      <c r="CP266" s="105"/>
      <c r="CQ266" s="105"/>
      <c r="CR266" s="105"/>
      <c r="CS266" s="105"/>
      <c r="CT266" s="105"/>
      <c r="CU266" s="105"/>
      <c r="CV266" s="105"/>
      <c r="CW266" s="105"/>
      <c r="CX266" s="105"/>
      <c r="CY266" s="105"/>
      <c r="CZ266" s="105"/>
      <c r="DA266" s="105"/>
    </row>
    <row r="267">
      <c r="B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c r="AA267" s="105"/>
      <c r="AB267" s="105"/>
      <c r="AC267" s="105"/>
      <c r="AD267" s="105"/>
      <c r="AE267" s="105"/>
      <c r="AF267" s="105"/>
      <c r="AG267" s="105"/>
      <c r="AH267" s="105"/>
      <c r="AI267" s="105"/>
      <c r="AJ267" s="105"/>
      <c r="AK267" s="105"/>
      <c r="AL267" s="105"/>
      <c r="AM267" s="105"/>
      <c r="AN267" s="105"/>
      <c r="AO267" s="105"/>
      <c r="AP267" s="105"/>
      <c r="AQ267" s="105"/>
      <c r="AR267" s="105"/>
      <c r="AS267" s="105"/>
      <c r="AT267" s="105"/>
      <c r="AU267" s="105"/>
      <c r="AV267" s="105"/>
      <c r="AW267" s="105"/>
      <c r="AX267" s="105"/>
      <c r="AY267" s="105"/>
      <c r="AZ267" s="105"/>
      <c r="BA267" s="105"/>
      <c r="BB267" s="105"/>
      <c r="BC267" s="105"/>
      <c r="BD267" s="105"/>
      <c r="BE267" s="105"/>
      <c r="BF267" s="105"/>
      <c r="BG267" s="105"/>
      <c r="BH267" s="105"/>
      <c r="BI267" s="105"/>
      <c r="BJ267" s="105"/>
      <c r="BK267" s="105"/>
      <c r="BL267" s="105"/>
      <c r="BM267" s="105"/>
      <c r="BN267" s="105"/>
      <c r="BO267" s="105"/>
      <c r="BP267" s="105"/>
      <c r="BQ267" s="105"/>
      <c r="BR267" s="105"/>
      <c r="BS267" s="105"/>
      <c r="BT267" s="105"/>
      <c r="BU267" s="105"/>
      <c r="BV267" s="105"/>
      <c r="BW267" s="105"/>
      <c r="BX267" s="105"/>
      <c r="BY267" s="105"/>
      <c r="BZ267" s="105"/>
      <c r="CA267" s="105"/>
      <c r="CB267" s="105"/>
      <c r="CC267" s="105"/>
      <c r="CD267" s="105"/>
      <c r="CE267" s="105"/>
      <c r="CF267" s="105"/>
      <c r="CG267" s="105"/>
      <c r="CH267" s="105"/>
      <c r="CI267" s="105"/>
      <c r="CJ267" s="105"/>
      <c r="CK267" s="105"/>
      <c r="CL267" s="105"/>
      <c r="CM267" s="105"/>
      <c r="CN267" s="105"/>
      <c r="CO267" s="105"/>
      <c r="CP267" s="105"/>
      <c r="CQ267" s="105"/>
      <c r="CR267" s="105"/>
      <c r="CS267" s="105"/>
      <c r="CT267" s="105"/>
      <c r="CU267" s="105"/>
      <c r="CV267" s="105"/>
      <c r="CW267" s="105"/>
      <c r="CX267" s="105"/>
      <c r="CY267" s="105"/>
      <c r="CZ267" s="105"/>
      <c r="DA267" s="105"/>
    </row>
    <row r="268">
      <c r="B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c r="AA268" s="105"/>
      <c r="AB268" s="105"/>
      <c r="AC268" s="105"/>
      <c r="AD268" s="105"/>
      <c r="AE268" s="105"/>
      <c r="AF268" s="105"/>
      <c r="AG268" s="105"/>
      <c r="AH268" s="105"/>
      <c r="AI268" s="105"/>
      <c r="AJ268" s="105"/>
      <c r="AK268" s="105"/>
      <c r="AL268" s="105"/>
      <c r="AM268" s="105"/>
      <c r="AN268" s="105"/>
      <c r="AO268" s="105"/>
      <c r="AP268" s="105"/>
      <c r="AQ268" s="105"/>
      <c r="AR268" s="105"/>
      <c r="AS268" s="105"/>
      <c r="AT268" s="105"/>
      <c r="AU268" s="105"/>
      <c r="AV268" s="105"/>
      <c r="AW268" s="105"/>
      <c r="AX268" s="105"/>
      <c r="AY268" s="105"/>
      <c r="AZ268" s="105"/>
      <c r="BA268" s="105"/>
      <c r="BB268" s="105"/>
      <c r="BC268" s="105"/>
      <c r="BD268" s="105"/>
      <c r="BE268" s="105"/>
      <c r="BF268" s="105"/>
      <c r="BG268" s="105"/>
      <c r="BH268" s="105"/>
      <c r="BI268" s="105"/>
      <c r="BJ268" s="105"/>
      <c r="BK268" s="105"/>
      <c r="BL268" s="105"/>
      <c r="BM268" s="105"/>
      <c r="BN268" s="105"/>
      <c r="BO268" s="105"/>
      <c r="BP268" s="105"/>
      <c r="BQ268" s="105"/>
      <c r="BR268" s="105"/>
      <c r="BS268" s="105"/>
      <c r="BT268" s="105"/>
      <c r="BU268" s="105"/>
      <c r="BV268" s="105"/>
      <c r="BW268" s="105"/>
      <c r="BX268" s="105"/>
      <c r="BY268" s="105"/>
      <c r="BZ268" s="105"/>
      <c r="CA268" s="105"/>
      <c r="CB268" s="105"/>
      <c r="CC268" s="105"/>
      <c r="CD268" s="105"/>
      <c r="CE268" s="105"/>
      <c r="CF268" s="105"/>
      <c r="CG268" s="105"/>
      <c r="CH268" s="105"/>
      <c r="CI268" s="105"/>
      <c r="CJ268" s="105"/>
      <c r="CK268" s="105"/>
      <c r="CL268" s="105"/>
      <c r="CM268" s="105"/>
      <c r="CN268" s="105"/>
      <c r="CO268" s="105"/>
      <c r="CP268" s="105"/>
      <c r="CQ268" s="105"/>
      <c r="CR268" s="105"/>
      <c r="CS268" s="105"/>
      <c r="CT268" s="105"/>
      <c r="CU268" s="105"/>
      <c r="CV268" s="105"/>
      <c r="CW268" s="105"/>
      <c r="CX268" s="105"/>
      <c r="CY268" s="105"/>
      <c r="CZ268" s="105"/>
      <c r="DA268" s="105"/>
    </row>
    <row r="269">
      <c r="B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c r="AA269" s="105"/>
      <c r="AB269" s="105"/>
      <c r="AC269" s="105"/>
      <c r="AD269" s="105"/>
      <c r="AE269" s="105"/>
      <c r="AF269" s="105"/>
      <c r="AG269" s="105"/>
      <c r="AH269" s="105"/>
      <c r="AI269" s="105"/>
      <c r="AJ269" s="105"/>
      <c r="AK269" s="105"/>
      <c r="AL269" s="105"/>
      <c r="AM269" s="105"/>
      <c r="AN269" s="105"/>
      <c r="AO269" s="105"/>
      <c r="AP269" s="105"/>
      <c r="AQ269" s="105"/>
      <c r="AR269" s="105"/>
      <c r="AS269" s="105"/>
      <c r="AT269" s="105"/>
      <c r="AU269" s="105"/>
      <c r="AV269" s="105"/>
      <c r="AW269" s="105"/>
      <c r="AX269" s="105"/>
      <c r="AY269" s="105"/>
      <c r="AZ269" s="105"/>
      <c r="BA269" s="105"/>
      <c r="BB269" s="105"/>
      <c r="BC269" s="105"/>
      <c r="BD269" s="105"/>
      <c r="BE269" s="105"/>
      <c r="BF269" s="105"/>
      <c r="BG269" s="105"/>
      <c r="BH269" s="105"/>
      <c r="BI269" s="105"/>
      <c r="BJ269" s="105"/>
      <c r="BK269" s="105"/>
      <c r="BL269" s="105"/>
      <c r="BM269" s="105"/>
      <c r="BN269" s="105"/>
      <c r="BO269" s="105"/>
      <c r="BP269" s="105"/>
      <c r="BQ269" s="105"/>
      <c r="BR269" s="105"/>
      <c r="BS269" s="105"/>
      <c r="BT269" s="105"/>
      <c r="BU269" s="105"/>
      <c r="BV269" s="105"/>
      <c r="BW269" s="105"/>
      <c r="BX269" s="105"/>
      <c r="BY269" s="105"/>
      <c r="BZ269" s="105"/>
      <c r="CA269" s="105"/>
      <c r="CB269" s="105"/>
      <c r="CC269" s="105"/>
      <c r="CD269" s="105"/>
      <c r="CE269" s="105"/>
      <c r="CF269" s="105"/>
      <c r="CG269" s="105"/>
      <c r="CH269" s="105"/>
      <c r="CI269" s="105"/>
      <c r="CJ269" s="105"/>
      <c r="CK269" s="105"/>
      <c r="CL269" s="105"/>
      <c r="CM269" s="105"/>
      <c r="CN269" s="105"/>
      <c r="CO269" s="105"/>
      <c r="CP269" s="105"/>
      <c r="CQ269" s="105"/>
      <c r="CR269" s="105"/>
      <c r="CS269" s="105"/>
      <c r="CT269" s="105"/>
      <c r="CU269" s="105"/>
      <c r="CV269" s="105"/>
      <c r="CW269" s="105"/>
      <c r="CX269" s="105"/>
      <c r="CY269" s="105"/>
      <c r="CZ269" s="105"/>
      <c r="DA269" s="105"/>
    </row>
    <row r="270">
      <c r="B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c r="AA270" s="105"/>
      <c r="AB270" s="105"/>
      <c r="AC270" s="105"/>
      <c r="AD270" s="105"/>
      <c r="AE270" s="105"/>
      <c r="AF270" s="105"/>
      <c r="AG270" s="105"/>
      <c r="AH270" s="105"/>
      <c r="AI270" s="105"/>
      <c r="AJ270" s="105"/>
      <c r="AK270" s="105"/>
      <c r="AL270" s="105"/>
      <c r="AM270" s="105"/>
      <c r="AN270" s="105"/>
      <c r="AO270" s="105"/>
      <c r="AP270" s="105"/>
      <c r="AQ270" s="105"/>
      <c r="AR270" s="105"/>
      <c r="AS270" s="105"/>
      <c r="AT270" s="105"/>
      <c r="AU270" s="105"/>
      <c r="AV270" s="105"/>
      <c r="AW270" s="105"/>
      <c r="AX270" s="105"/>
      <c r="AY270" s="105"/>
      <c r="AZ270" s="105"/>
      <c r="BA270" s="105"/>
      <c r="BB270" s="105"/>
      <c r="BC270" s="105"/>
      <c r="BD270" s="105"/>
      <c r="BE270" s="105"/>
      <c r="BF270" s="105"/>
      <c r="BG270" s="105"/>
      <c r="BH270" s="105"/>
      <c r="BI270" s="105"/>
      <c r="BJ270" s="105"/>
      <c r="BK270" s="105"/>
      <c r="BL270" s="105"/>
      <c r="BM270" s="105"/>
      <c r="BN270" s="105"/>
      <c r="BO270" s="105"/>
      <c r="BP270" s="105"/>
      <c r="BQ270" s="105"/>
      <c r="BR270" s="105"/>
      <c r="BS270" s="105"/>
      <c r="BT270" s="105"/>
      <c r="BU270" s="105"/>
      <c r="BV270" s="105"/>
      <c r="BW270" s="105"/>
      <c r="BX270" s="105"/>
      <c r="BY270" s="105"/>
      <c r="BZ270" s="105"/>
      <c r="CA270" s="105"/>
      <c r="CB270" s="105"/>
      <c r="CC270" s="105"/>
      <c r="CD270" s="105"/>
      <c r="CE270" s="105"/>
      <c r="CF270" s="105"/>
      <c r="CG270" s="105"/>
      <c r="CH270" s="105"/>
      <c r="CI270" s="105"/>
      <c r="CJ270" s="105"/>
      <c r="CK270" s="105"/>
      <c r="CL270" s="105"/>
      <c r="CM270" s="105"/>
      <c r="CN270" s="105"/>
      <c r="CO270" s="105"/>
      <c r="CP270" s="105"/>
      <c r="CQ270" s="105"/>
      <c r="CR270" s="105"/>
      <c r="CS270" s="105"/>
      <c r="CT270" s="105"/>
      <c r="CU270" s="105"/>
      <c r="CV270" s="105"/>
      <c r="CW270" s="105"/>
      <c r="CX270" s="105"/>
      <c r="CY270" s="105"/>
      <c r="CZ270" s="105"/>
      <c r="DA270" s="105"/>
    </row>
    <row r="271">
      <c r="B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c r="AA271" s="105"/>
      <c r="AB271" s="105"/>
      <c r="AC271" s="105"/>
      <c r="AD271" s="105"/>
      <c r="AE271" s="105"/>
      <c r="AF271" s="105"/>
      <c r="AG271" s="105"/>
      <c r="AH271" s="105"/>
      <c r="AI271" s="105"/>
      <c r="AJ271" s="105"/>
      <c r="AK271" s="105"/>
      <c r="AL271" s="105"/>
      <c r="AM271" s="105"/>
      <c r="AN271" s="105"/>
      <c r="AO271" s="105"/>
      <c r="AP271" s="105"/>
      <c r="AQ271" s="105"/>
      <c r="AR271" s="105"/>
      <c r="AS271" s="105"/>
      <c r="AT271" s="105"/>
      <c r="AU271" s="105"/>
      <c r="AV271" s="105"/>
      <c r="AW271" s="105"/>
      <c r="AX271" s="105"/>
      <c r="AY271" s="105"/>
      <c r="AZ271" s="105"/>
      <c r="BA271" s="105"/>
      <c r="BB271" s="105"/>
      <c r="BC271" s="105"/>
      <c r="BD271" s="105"/>
      <c r="BE271" s="105"/>
      <c r="BF271" s="105"/>
      <c r="BG271" s="105"/>
      <c r="BH271" s="105"/>
      <c r="BI271" s="105"/>
      <c r="BJ271" s="105"/>
      <c r="BK271" s="105"/>
      <c r="BL271" s="105"/>
      <c r="BM271" s="105"/>
      <c r="BN271" s="105"/>
      <c r="BO271" s="105"/>
      <c r="BP271" s="105"/>
      <c r="BQ271" s="105"/>
      <c r="BR271" s="105"/>
      <c r="BS271" s="105"/>
      <c r="BT271" s="105"/>
      <c r="BU271" s="105"/>
      <c r="BV271" s="105"/>
      <c r="BW271" s="105"/>
      <c r="BX271" s="105"/>
      <c r="BY271" s="105"/>
      <c r="BZ271" s="105"/>
      <c r="CA271" s="105"/>
      <c r="CB271" s="105"/>
      <c r="CC271" s="105"/>
      <c r="CD271" s="105"/>
      <c r="CE271" s="105"/>
      <c r="CF271" s="105"/>
      <c r="CG271" s="105"/>
      <c r="CH271" s="105"/>
      <c r="CI271" s="105"/>
      <c r="CJ271" s="105"/>
      <c r="CK271" s="105"/>
      <c r="CL271" s="105"/>
      <c r="CM271" s="105"/>
      <c r="CN271" s="105"/>
      <c r="CO271" s="105"/>
      <c r="CP271" s="105"/>
      <c r="CQ271" s="105"/>
      <c r="CR271" s="105"/>
      <c r="CS271" s="105"/>
      <c r="CT271" s="105"/>
      <c r="CU271" s="105"/>
      <c r="CV271" s="105"/>
      <c r="CW271" s="105"/>
      <c r="CX271" s="105"/>
      <c r="CY271" s="105"/>
      <c r="CZ271" s="105"/>
      <c r="DA271" s="105"/>
    </row>
    <row r="272">
      <c r="B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c r="AA272" s="105"/>
      <c r="AB272" s="105"/>
      <c r="AC272" s="105"/>
      <c r="AD272" s="105"/>
      <c r="AE272" s="105"/>
      <c r="AF272" s="105"/>
      <c r="AG272" s="105"/>
      <c r="AH272" s="105"/>
      <c r="AI272" s="105"/>
      <c r="AJ272" s="105"/>
      <c r="AK272" s="105"/>
      <c r="AL272" s="105"/>
      <c r="AM272" s="105"/>
      <c r="AN272" s="105"/>
      <c r="AO272" s="105"/>
      <c r="AP272" s="105"/>
      <c r="AQ272" s="105"/>
      <c r="AR272" s="105"/>
      <c r="AS272" s="105"/>
      <c r="AT272" s="105"/>
      <c r="AU272" s="105"/>
      <c r="AV272" s="105"/>
      <c r="AW272" s="105"/>
      <c r="AX272" s="105"/>
      <c r="AY272" s="105"/>
      <c r="AZ272" s="105"/>
      <c r="BA272" s="105"/>
      <c r="BB272" s="105"/>
      <c r="BC272" s="105"/>
      <c r="BD272" s="105"/>
      <c r="BE272" s="105"/>
      <c r="BF272" s="105"/>
      <c r="BG272" s="105"/>
      <c r="BH272" s="105"/>
      <c r="BI272" s="105"/>
      <c r="BJ272" s="105"/>
      <c r="BK272" s="105"/>
      <c r="BL272" s="105"/>
      <c r="BM272" s="105"/>
      <c r="BN272" s="105"/>
      <c r="BO272" s="105"/>
      <c r="BP272" s="105"/>
      <c r="BQ272" s="105"/>
      <c r="BR272" s="105"/>
      <c r="BS272" s="105"/>
      <c r="BT272" s="105"/>
      <c r="BU272" s="105"/>
      <c r="BV272" s="105"/>
      <c r="BW272" s="105"/>
      <c r="BX272" s="105"/>
      <c r="BY272" s="105"/>
      <c r="BZ272" s="105"/>
      <c r="CA272" s="105"/>
      <c r="CB272" s="105"/>
      <c r="CC272" s="105"/>
      <c r="CD272" s="105"/>
      <c r="CE272" s="105"/>
      <c r="CF272" s="105"/>
      <c r="CG272" s="105"/>
      <c r="CH272" s="105"/>
      <c r="CI272" s="105"/>
      <c r="CJ272" s="105"/>
      <c r="CK272" s="105"/>
      <c r="CL272" s="105"/>
      <c r="CM272" s="105"/>
      <c r="CN272" s="105"/>
      <c r="CO272" s="105"/>
      <c r="CP272" s="105"/>
      <c r="CQ272" s="105"/>
      <c r="CR272" s="105"/>
      <c r="CS272" s="105"/>
      <c r="CT272" s="105"/>
      <c r="CU272" s="105"/>
      <c r="CV272" s="105"/>
      <c r="CW272" s="105"/>
      <c r="CX272" s="105"/>
      <c r="CY272" s="105"/>
      <c r="CZ272" s="105"/>
      <c r="DA272" s="105"/>
    </row>
    <row r="273">
      <c r="B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c r="AA273" s="105"/>
      <c r="AB273" s="105"/>
      <c r="AC273" s="105"/>
      <c r="AD273" s="105"/>
      <c r="AE273" s="105"/>
      <c r="AF273" s="105"/>
      <c r="AG273" s="105"/>
      <c r="AH273" s="105"/>
      <c r="AI273" s="105"/>
      <c r="AJ273" s="105"/>
      <c r="AK273" s="105"/>
      <c r="AL273" s="105"/>
      <c r="AM273" s="105"/>
      <c r="AN273" s="105"/>
      <c r="AO273" s="105"/>
      <c r="AP273" s="105"/>
      <c r="AQ273" s="105"/>
      <c r="AR273" s="105"/>
      <c r="AS273" s="105"/>
      <c r="AT273" s="105"/>
      <c r="AU273" s="105"/>
      <c r="AV273" s="105"/>
      <c r="AW273" s="105"/>
      <c r="AX273" s="105"/>
      <c r="AY273" s="105"/>
      <c r="AZ273" s="105"/>
      <c r="BA273" s="105"/>
      <c r="BB273" s="105"/>
      <c r="BC273" s="105"/>
      <c r="BD273" s="105"/>
      <c r="BE273" s="105"/>
      <c r="BF273" s="105"/>
      <c r="BG273" s="105"/>
      <c r="BH273" s="105"/>
      <c r="BI273" s="105"/>
      <c r="BJ273" s="105"/>
      <c r="BK273" s="105"/>
      <c r="BL273" s="105"/>
      <c r="BM273" s="105"/>
      <c r="BN273" s="105"/>
      <c r="BO273" s="105"/>
      <c r="BP273" s="105"/>
      <c r="BQ273" s="105"/>
      <c r="BR273" s="105"/>
      <c r="BS273" s="105"/>
      <c r="BT273" s="105"/>
      <c r="BU273" s="105"/>
      <c r="BV273" s="105"/>
      <c r="BW273" s="105"/>
      <c r="BX273" s="105"/>
      <c r="BY273" s="105"/>
      <c r="BZ273" s="105"/>
      <c r="CA273" s="105"/>
      <c r="CB273" s="105"/>
      <c r="CC273" s="105"/>
      <c r="CD273" s="105"/>
      <c r="CE273" s="105"/>
      <c r="CF273" s="105"/>
      <c r="CG273" s="105"/>
      <c r="CH273" s="105"/>
      <c r="CI273" s="105"/>
      <c r="CJ273" s="105"/>
      <c r="CK273" s="105"/>
      <c r="CL273" s="105"/>
      <c r="CM273" s="105"/>
      <c r="CN273" s="105"/>
      <c r="CO273" s="105"/>
      <c r="CP273" s="105"/>
      <c r="CQ273" s="105"/>
      <c r="CR273" s="105"/>
      <c r="CS273" s="105"/>
      <c r="CT273" s="105"/>
      <c r="CU273" s="105"/>
      <c r="CV273" s="105"/>
      <c r="CW273" s="105"/>
      <c r="CX273" s="105"/>
      <c r="CY273" s="105"/>
      <c r="CZ273" s="105"/>
      <c r="DA273" s="105"/>
    </row>
    <row r="274">
      <c r="B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c r="AA274" s="105"/>
      <c r="AB274" s="105"/>
      <c r="AC274" s="105"/>
      <c r="AD274" s="105"/>
      <c r="AE274" s="105"/>
      <c r="AF274" s="105"/>
      <c r="AG274" s="105"/>
      <c r="AH274" s="105"/>
      <c r="AI274" s="105"/>
      <c r="AJ274" s="105"/>
      <c r="AK274" s="105"/>
      <c r="AL274" s="105"/>
      <c r="AM274" s="105"/>
      <c r="AN274" s="105"/>
      <c r="AO274" s="105"/>
      <c r="AP274" s="105"/>
      <c r="AQ274" s="105"/>
      <c r="AR274" s="105"/>
      <c r="AS274" s="105"/>
      <c r="AT274" s="105"/>
      <c r="AU274" s="105"/>
      <c r="AV274" s="105"/>
      <c r="AW274" s="105"/>
      <c r="AX274" s="105"/>
      <c r="AY274" s="105"/>
      <c r="AZ274" s="105"/>
      <c r="BA274" s="105"/>
      <c r="BB274" s="105"/>
      <c r="BC274" s="105"/>
      <c r="BD274" s="105"/>
      <c r="BE274" s="105"/>
      <c r="BF274" s="105"/>
      <c r="BG274" s="105"/>
      <c r="BH274" s="105"/>
      <c r="BI274" s="105"/>
      <c r="BJ274" s="105"/>
      <c r="BK274" s="105"/>
      <c r="BL274" s="105"/>
      <c r="BM274" s="105"/>
      <c r="BN274" s="105"/>
      <c r="BO274" s="105"/>
      <c r="BP274" s="105"/>
      <c r="BQ274" s="105"/>
      <c r="BR274" s="105"/>
      <c r="BS274" s="105"/>
      <c r="BT274" s="105"/>
      <c r="BU274" s="105"/>
      <c r="BV274" s="105"/>
      <c r="BW274" s="105"/>
      <c r="BX274" s="105"/>
      <c r="BY274" s="105"/>
      <c r="BZ274" s="105"/>
      <c r="CA274" s="105"/>
      <c r="CB274" s="105"/>
      <c r="CC274" s="105"/>
      <c r="CD274" s="105"/>
      <c r="CE274" s="105"/>
      <c r="CF274" s="105"/>
      <c r="CG274" s="105"/>
      <c r="CH274" s="105"/>
      <c r="CI274" s="105"/>
      <c r="CJ274" s="105"/>
      <c r="CK274" s="105"/>
      <c r="CL274" s="105"/>
      <c r="CM274" s="105"/>
      <c r="CN274" s="105"/>
      <c r="CO274" s="105"/>
      <c r="CP274" s="105"/>
      <c r="CQ274" s="105"/>
      <c r="CR274" s="105"/>
      <c r="CS274" s="105"/>
      <c r="CT274" s="105"/>
      <c r="CU274" s="105"/>
      <c r="CV274" s="105"/>
      <c r="CW274" s="105"/>
      <c r="CX274" s="105"/>
      <c r="CY274" s="105"/>
      <c r="CZ274" s="105"/>
      <c r="DA274" s="105"/>
    </row>
    <row r="275">
      <c r="B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c r="AA275" s="105"/>
      <c r="AB275" s="105"/>
      <c r="AC275" s="105"/>
      <c r="AD275" s="105"/>
      <c r="AE275" s="105"/>
      <c r="AF275" s="105"/>
      <c r="AG275" s="105"/>
      <c r="AH275" s="105"/>
      <c r="AI275" s="105"/>
      <c r="AJ275" s="105"/>
      <c r="AK275" s="105"/>
      <c r="AL275" s="105"/>
      <c r="AM275" s="105"/>
      <c r="AN275" s="105"/>
      <c r="AO275" s="105"/>
      <c r="AP275" s="105"/>
      <c r="AQ275" s="105"/>
      <c r="AR275" s="105"/>
      <c r="AS275" s="105"/>
      <c r="AT275" s="105"/>
      <c r="AU275" s="105"/>
      <c r="AV275" s="105"/>
      <c r="AW275" s="105"/>
      <c r="AX275" s="105"/>
      <c r="AY275" s="105"/>
      <c r="AZ275" s="105"/>
      <c r="BA275" s="105"/>
      <c r="BB275" s="105"/>
      <c r="BC275" s="105"/>
      <c r="BD275" s="105"/>
      <c r="BE275" s="105"/>
      <c r="BF275" s="105"/>
      <c r="BG275" s="105"/>
      <c r="BH275" s="105"/>
      <c r="BI275" s="105"/>
      <c r="BJ275" s="105"/>
      <c r="BK275" s="105"/>
      <c r="BL275" s="105"/>
      <c r="BM275" s="105"/>
      <c r="BN275" s="105"/>
      <c r="BO275" s="105"/>
      <c r="BP275" s="105"/>
      <c r="BQ275" s="105"/>
      <c r="BR275" s="105"/>
      <c r="BS275" s="105"/>
      <c r="BT275" s="105"/>
      <c r="BU275" s="105"/>
      <c r="BV275" s="105"/>
      <c r="BW275" s="105"/>
      <c r="BX275" s="105"/>
      <c r="BY275" s="105"/>
      <c r="BZ275" s="105"/>
      <c r="CA275" s="105"/>
      <c r="CB275" s="105"/>
      <c r="CC275" s="105"/>
      <c r="CD275" s="105"/>
      <c r="CE275" s="105"/>
      <c r="CF275" s="105"/>
      <c r="CG275" s="105"/>
      <c r="CH275" s="105"/>
      <c r="CI275" s="105"/>
      <c r="CJ275" s="105"/>
      <c r="CK275" s="105"/>
      <c r="CL275" s="105"/>
      <c r="CM275" s="105"/>
      <c r="CN275" s="105"/>
      <c r="CO275" s="105"/>
      <c r="CP275" s="105"/>
      <c r="CQ275" s="105"/>
      <c r="CR275" s="105"/>
      <c r="CS275" s="105"/>
      <c r="CT275" s="105"/>
      <c r="CU275" s="105"/>
      <c r="CV275" s="105"/>
      <c r="CW275" s="105"/>
      <c r="CX275" s="105"/>
      <c r="CY275" s="105"/>
      <c r="CZ275" s="105"/>
      <c r="DA275" s="105"/>
    </row>
    <row r="276">
      <c r="B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c r="AA276" s="105"/>
      <c r="AB276" s="105"/>
      <c r="AC276" s="105"/>
      <c r="AD276" s="105"/>
      <c r="AE276" s="105"/>
      <c r="AF276" s="105"/>
      <c r="AG276" s="105"/>
      <c r="AH276" s="105"/>
      <c r="AI276" s="105"/>
      <c r="AJ276" s="105"/>
      <c r="AK276" s="105"/>
      <c r="AL276" s="105"/>
      <c r="AM276" s="105"/>
      <c r="AN276" s="105"/>
      <c r="AO276" s="105"/>
      <c r="AP276" s="105"/>
      <c r="AQ276" s="105"/>
      <c r="AR276" s="105"/>
      <c r="AS276" s="105"/>
      <c r="AT276" s="105"/>
      <c r="AU276" s="105"/>
      <c r="AV276" s="105"/>
      <c r="AW276" s="105"/>
      <c r="AX276" s="105"/>
      <c r="AY276" s="105"/>
      <c r="AZ276" s="105"/>
      <c r="BA276" s="105"/>
      <c r="BB276" s="105"/>
      <c r="BC276" s="105"/>
      <c r="BD276" s="105"/>
      <c r="BE276" s="105"/>
      <c r="BF276" s="105"/>
      <c r="BG276" s="105"/>
      <c r="BH276" s="105"/>
      <c r="BI276" s="105"/>
      <c r="BJ276" s="105"/>
      <c r="BK276" s="105"/>
      <c r="BL276" s="105"/>
      <c r="BM276" s="105"/>
      <c r="BN276" s="105"/>
      <c r="BO276" s="105"/>
      <c r="BP276" s="105"/>
      <c r="BQ276" s="105"/>
      <c r="BR276" s="105"/>
      <c r="BS276" s="105"/>
      <c r="BT276" s="105"/>
      <c r="BU276" s="105"/>
      <c r="BV276" s="105"/>
      <c r="BW276" s="105"/>
      <c r="BX276" s="105"/>
      <c r="BY276" s="105"/>
      <c r="BZ276" s="105"/>
      <c r="CA276" s="105"/>
      <c r="CB276" s="105"/>
      <c r="CC276" s="105"/>
      <c r="CD276" s="105"/>
      <c r="CE276" s="105"/>
      <c r="CF276" s="105"/>
      <c r="CG276" s="105"/>
      <c r="CH276" s="105"/>
      <c r="CI276" s="105"/>
      <c r="CJ276" s="105"/>
      <c r="CK276" s="105"/>
      <c r="CL276" s="105"/>
      <c r="CM276" s="105"/>
      <c r="CN276" s="105"/>
      <c r="CO276" s="105"/>
      <c r="CP276" s="105"/>
      <c r="CQ276" s="105"/>
      <c r="CR276" s="105"/>
      <c r="CS276" s="105"/>
      <c r="CT276" s="105"/>
      <c r="CU276" s="105"/>
      <c r="CV276" s="105"/>
      <c r="CW276" s="105"/>
      <c r="CX276" s="105"/>
      <c r="CY276" s="105"/>
      <c r="CZ276" s="105"/>
      <c r="DA276" s="105"/>
    </row>
    <row r="277">
      <c r="B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c r="AA277" s="105"/>
      <c r="AB277" s="105"/>
      <c r="AC277" s="105"/>
      <c r="AD277" s="105"/>
      <c r="AE277" s="105"/>
      <c r="AF277" s="105"/>
      <c r="AG277" s="105"/>
      <c r="AH277" s="105"/>
      <c r="AI277" s="105"/>
      <c r="AJ277" s="105"/>
      <c r="AK277" s="105"/>
      <c r="AL277" s="105"/>
      <c r="AM277" s="105"/>
      <c r="AN277" s="105"/>
      <c r="AO277" s="105"/>
      <c r="AP277" s="105"/>
      <c r="AQ277" s="105"/>
      <c r="AR277" s="105"/>
      <c r="AS277" s="105"/>
      <c r="AT277" s="105"/>
      <c r="AU277" s="105"/>
      <c r="AV277" s="105"/>
      <c r="AW277" s="105"/>
      <c r="AX277" s="105"/>
      <c r="AY277" s="105"/>
      <c r="AZ277" s="105"/>
      <c r="BA277" s="105"/>
      <c r="BB277" s="105"/>
      <c r="BC277" s="105"/>
      <c r="BD277" s="105"/>
      <c r="BE277" s="105"/>
      <c r="BF277" s="105"/>
      <c r="BG277" s="105"/>
      <c r="BH277" s="105"/>
      <c r="BI277" s="105"/>
      <c r="BJ277" s="105"/>
      <c r="BK277" s="105"/>
      <c r="BL277" s="105"/>
      <c r="BM277" s="105"/>
      <c r="BN277" s="105"/>
      <c r="BO277" s="105"/>
      <c r="BP277" s="105"/>
      <c r="BQ277" s="105"/>
      <c r="BR277" s="105"/>
      <c r="BS277" s="105"/>
      <c r="BT277" s="105"/>
      <c r="BU277" s="105"/>
      <c r="BV277" s="105"/>
      <c r="BW277" s="105"/>
      <c r="BX277" s="105"/>
      <c r="BY277" s="105"/>
      <c r="BZ277" s="105"/>
      <c r="CA277" s="105"/>
      <c r="CB277" s="105"/>
      <c r="CC277" s="105"/>
      <c r="CD277" s="105"/>
      <c r="CE277" s="105"/>
      <c r="CF277" s="105"/>
      <c r="CG277" s="105"/>
      <c r="CH277" s="105"/>
      <c r="CI277" s="105"/>
      <c r="CJ277" s="105"/>
      <c r="CK277" s="105"/>
      <c r="CL277" s="105"/>
      <c r="CM277" s="105"/>
      <c r="CN277" s="105"/>
      <c r="CO277" s="105"/>
      <c r="CP277" s="105"/>
      <c r="CQ277" s="105"/>
      <c r="CR277" s="105"/>
      <c r="CS277" s="105"/>
      <c r="CT277" s="105"/>
      <c r="CU277" s="105"/>
      <c r="CV277" s="105"/>
      <c r="CW277" s="105"/>
      <c r="CX277" s="105"/>
      <c r="CY277" s="105"/>
      <c r="CZ277" s="105"/>
      <c r="DA277" s="105"/>
    </row>
    <row r="278">
      <c r="B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c r="AA278" s="105"/>
      <c r="AB278" s="105"/>
      <c r="AC278" s="105"/>
      <c r="AD278" s="105"/>
      <c r="AE278" s="105"/>
      <c r="AF278" s="105"/>
      <c r="AG278" s="105"/>
      <c r="AH278" s="105"/>
      <c r="AI278" s="105"/>
      <c r="AJ278" s="105"/>
      <c r="AK278" s="105"/>
      <c r="AL278" s="105"/>
      <c r="AM278" s="105"/>
      <c r="AN278" s="105"/>
      <c r="AO278" s="105"/>
      <c r="AP278" s="105"/>
      <c r="AQ278" s="105"/>
      <c r="AR278" s="105"/>
      <c r="AS278" s="105"/>
      <c r="AT278" s="105"/>
      <c r="AU278" s="105"/>
      <c r="AV278" s="105"/>
      <c r="AW278" s="105"/>
      <c r="AX278" s="105"/>
      <c r="AY278" s="105"/>
      <c r="AZ278" s="105"/>
      <c r="BA278" s="105"/>
      <c r="BB278" s="105"/>
      <c r="BC278" s="105"/>
      <c r="BD278" s="105"/>
      <c r="BE278" s="105"/>
      <c r="BF278" s="105"/>
      <c r="BG278" s="105"/>
      <c r="BH278" s="105"/>
      <c r="BI278" s="105"/>
      <c r="BJ278" s="105"/>
      <c r="BK278" s="105"/>
      <c r="BL278" s="105"/>
      <c r="BM278" s="105"/>
      <c r="BN278" s="105"/>
      <c r="BO278" s="105"/>
      <c r="BP278" s="105"/>
      <c r="BQ278" s="105"/>
      <c r="BR278" s="105"/>
      <c r="BS278" s="105"/>
      <c r="BT278" s="105"/>
      <c r="BU278" s="105"/>
      <c r="BV278" s="105"/>
      <c r="BW278" s="105"/>
      <c r="BX278" s="105"/>
      <c r="BY278" s="105"/>
      <c r="BZ278" s="105"/>
      <c r="CA278" s="105"/>
      <c r="CB278" s="105"/>
      <c r="CC278" s="105"/>
      <c r="CD278" s="105"/>
      <c r="CE278" s="105"/>
      <c r="CF278" s="105"/>
      <c r="CG278" s="105"/>
      <c r="CH278" s="105"/>
      <c r="CI278" s="105"/>
      <c r="CJ278" s="105"/>
      <c r="CK278" s="105"/>
      <c r="CL278" s="105"/>
      <c r="CM278" s="105"/>
      <c r="CN278" s="105"/>
      <c r="CO278" s="105"/>
      <c r="CP278" s="105"/>
      <c r="CQ278" s="105"/>
      <c r="CR278" s="105"/>
      <c r="CS278" s="105"/>
      <c r="CT278" s="105"/>
      <c r="CU278" s="105"/>
      <c r="CV278" s="105"/>
      <c r="CW278" s="105"/>
      <c r="CX278" s="105"/>
      <c r="CY278" s="105"/>
      <c r="CZ278" s="105"/>
      <c r="DA278" s="105"/>
    </row>
    <row r="279">
      <c r="B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c r="AA279" s="105"/>
      <c r="AB279" s="105"/>
      <c r="AC279" s="105"/>
      <c r="AD279" s="105"/>
      <c r="AE279" s="105"/>
      <c r="AF279" s="105"/>
      <c r="AG279" s="105"/>
      <c r="AH279" s="105"/>
      <c r="AI279" s="105"/>
      <c r="AJ279" s="105"/>
      <c r="AK279" s="105"/>
      <c r="AL279" s="105"/>
      <c r="AM279" s="105"/>
      <c r="AN279" s="105"/>
      <c r="AO279" s="105"/>
      <c r="AP279" s="105"/>
      <c r="AQ279" s="105"/>
      <c r="AR279" s="105"/>
      <c r="AS279" s="105"/>
      <c r="AT279" s="105"/>
      <c r="AU279" s="105"/>
      <c r="AV279" s="105"/>
      <c r="AW279" s="105"/>
      <c r="AX279" s="105"/>
      <c r="AY279" s="105"/>
      <c r="AZ279" s="105"/>
      <c r="BA279" s="105"/>
      <c r="BB279" s="105"/>
      <c r="BC279" s="105"/>
      <c r="BD279" s="105"/>
      <c r="BE279" s="105"/>
      <c r="BF279" s="105"/>
      <c r="BG279" s="105"/>
      <c r="BH279" s="105"/>
      <c r="BI279" s="105"/>
      <c r="BJ279" s="105"/>
      <c r="BK279" s="105"/>
      <c r="BL279" s="105"/>
      <c r="BM279" s="105"/>
      <c r="BN279" s="105"/>
      <c r="BO279" s="105"/>
      <c r="BP279" s="105"/>
      <c r="BQ279" s="105"/>
      <c r="BR279" s="105"/>
      <c r="BS279" s="105"/>
      <c r="BT279" s="105"/>
      <c r="BU279" s="105"/>
      <c r="BV279" s="105"/>
      <c r="BW279" s="105"/>
      <c r="BX279" s="105"/>
      <c r="BY279" s="105"/>
      <c r="BZ279" s="105"/>
      <c r="CA279" s="105"/>
      <c r="CB279" s="105"/>
      <c r="CC279" s="105"/>
      <c r="CD279" s="105"/>
      <c r="CE279" s="105"/>
      <c r="CF279" s="105"/>
      <c r="CG279" s="105"/>
      <c r="CH279" s="105"/>
      <c r="CI279" s="105"/>
      <c r="CJ279" s="105"/>
      <c r="CK279" s="105"/>
      <c r="CL279" s="105"/>
      <c r="CM279" s="105"/>
      <c r="CN279" s="105"/>
      <c r="CO279" s="105"/>
      <c r="CP279" s="105"/>
      <c r="CQ279" s="105"/>
      <c r="CR279" s="105"/>
      <c r="CS279" s="105"/>
      <c r="CT279" s="105"/>
      <c r="CU279" s="105"/>
      <c r="CV279" s="105"/>
      <c r="CW279" s="105"/>
      <c r="CX279" s="105"/>
      <c r="CY279" s="105"/>
      <c r="CZ279" s="105"/>
      <c r="DA279" s="105"/>
    </row>
    <row r="280">
      <c r="B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c r="AA280" s="105"/>
      <c r="AB280" s="105"/>
      <c r="AC280" s="105"/>
      <c r="AD280" s="105"/>
      <c r="AE280" s="105"/>
      <c r="AF280" s="105"/>
      <c r="AG280" s="105"/>
      <c r="AH280" s="105"/>
      <c r="AI280" s="105"/>
      <c r="AJ280" s="105"/>
      <c r="AK280" s="105"/>
      <c r="AL280" s="105"/>
      <c r="AM280" s="105"/>
      <c r="AN280" s="105"/>
      <c r="AO280" s="105"/>
      <c r="AP280" s="105"/>
      <c r="AQ280" s="105"/>
      <c r="AR280" s="105"/>
      <c r="AS280" s="105"/>
      <c r="AT280" s="105"/>
      <c r="AU280" s="105"/>
      <c r="AV280" s="105"/>
      <c r="AW280" s="105"/>
      <c r="AX280" s="105"/>
      <c r="AY280" s="105"/>
      <c r="AZ280" s="105"/>
      <c r="BA280" s="105"/>
      <c r="BB280" s="105"/>
      <c r="BC280" s="105"/>
      <c r="BD280" s="105"/>
      <c r="BE280" s="105"/>
      <c r="BF280" s="105"/>
      <c r="BG280" s="105"/>
      <c r="BH280" s="105"/>
      <c r="BI280" s="105"/>
      <c r="BJ280" s="105"/>
      <c r="BK280" s="105"/>
      <c r="BL280" s="105"/>
      <c r="BM280" s="105"/>
      <c r="BN280" s="105"/>
      <c r="BO280" s="105"/>
      <c r="BP280" s="105"/>
      <c r="BQ280" s="105"/>
      <c r="BR280" s="105"/>
      <c r="BS280" s="105"/>
      <c r="BT280" s="105"/>
      <c r="BU280" s="105"/>
      <c r="BV280" s="105"/>
      <c r="BW280" s="105"/>
      <c r="BX280" s="105"/>
      <c r="BY280" s="105"/>
      <c r="BZ280" s="105"/>
      <c r="CA280" s="105"/>
      <c r="CB280" s="105"/>
      <c r="CC280" s="105"/>
      <c r="CD280" s="105"/>
      <c r="CE280" s="105"/>
      <c r="CF280" s="105"/>
      <c r="CG280" s="105"/>
      <c r="CH280" s="105"/>
      <c r="CI280" s="105"/>
      <c r="CJ280" s="105"/>
      <c r="CK280" s="105"/>
      <c r="CL280" s="105"/>
      <c r="CM280" s="105"/>
      <c r="CN280" s="105"/>
      <c r="CO280" s="105"/>
      <c r="CP280" s="105"/>
      <c r="CQ280" s="105"/>
      <c r="CR280" s="105"/>
      <c r="CS280" s="105"/>
      <c r="CT280" s="105"/>
      <c r="CU280" s="105"/>
      <c r="CV280" s="105"/>
      <c r="CW280" s="105"/>
      <c r="CX280" s="105"/>
      <c r="CY280" s="105"/>
      <c r="CZ280" s="105"/>
      <c r="DA280" s="105"/>
    </row>
    <row r="281">
      <c r="B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c r="AA281" s="105"/>
      <c r="AB281" s="105"/>
      <c r="AC281" s="105"/>
      <c r="AD281" s="105"/>
      <c r="AE281" s="105"/>
      <c r="AF281" s="105"/>
      <c r="AG281" s="105"/>
      <c r="AH281" s="105"/>
      <c r="AI281" s="105"/>
      <c r="AJ281" s="105"/>
      <c r="AK281" s="105"/>
      <c r="AL281" s="105"/>
      <c r="AM281" s="105"/>
      <c r="AN281" s="105"/>
      <c r="AO281" s="105"/>
      <c r="AP281" s="105"/>
      <c r="AQ281" s="105"/>
      <c r="AR281" s="105"/>
      <c r="AS281" s="105"/>
      <c r="AT281" s="105"/>
      <c r="AU281" s="105"/>
      <c r="AV281" s="105"/>
      <c r="AW281" s="105"/>
      <c r="AX281" s="105"/>
      <c r="AY281" s="105"/>
      <c r="AZ281" s="105"/>
      <c r="BA281" s="105"/>
      <c r="BB281" s="105"/>
      <c r="BC281" s="105"/>
      <c r="BD281" s="105"/>
      <c r="BE281" s="105"/>
      <c r="BF281" s="105"/>
      <c r="BG281" s="105"/>
      <c r="BH281" s="105"/>
      <c r="BI281" s="105"/>
      <c r="BJ281" s="105"/>
      <c r="BK281" s="105"/>
      <c r="BL281" s="105"/>
      <c r="BM281" s="105"/>
      <c r="BN281" s="105"/>
      <c r="BO281" s="105"/>
      <c r="BP281" s="105"/>
      <c r="BQ281" s="105"/>
      <c r="BR281" s="105"/>
      <c r="BS281" s="105"/>
      <c r="BT281" s="105"/>
      <c r="BU281" s="105"/>
      <c r="BV281" s="105"/>
      <c r="BW281" s="105"/>
      <c r="BX281" s="105"/>
      <c r="BY281" s="105"/>
      <c r="BZ281" s="105"/>
      <c r="CA281" s="105"/>
      <c r="CB281" s="105"/>
      <c r="CC281" s="105"/>
      <c r="CD281" s="105"/>
      <c r="CE281" s="105"/>
      <c r="CF281" s="105"/>
      <c r="CG281" s="105"/>
      <c r="CH281" s="105"/>
      <c r="CI281" s="105"/>
      <c r="CJ281" s="105"/>
      <c r="CK281" s="105"/>
      <c r="CL281" s="105"/>
      <c r="CM281" s="105"/>
      <c r="CN281" s="105"/>
      <c r="CO281" s="105"/>
      <c r="CP281" s="105"/>
      <c r="CQ281" s="105"/>
      <c r="CR281" s="105"/>
      <c r="CS281" s="105"/>
      <c r="CT281" s="105"/>
      <c r="CU281" s="105"/>
      <c r="CV281" s="105"/>
      <c r="CW281" s="105"/>
      <c r="CX281" s="105"/>
      <c r="CY281" s="105"/>
      <c r="CZ281" s="105"/>
      <c r="DA281" s="105"/>
    </row>
    <row r="282">
      <c r="B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c r="AA282" s="105"/>
      <c r="AB282" s="105"/>
      <c r="AC282" s="105"/>
      <c r="AD282" s="105"/>
      <c r="AE282" s="105"/>
      <c r="AF282" s="105"/>
      <c r="AG282" s="105"/>
      <c r="AH282" s="105"/>
      <c r="AI282" s="105"/>
      <c r="AJ282" s="105"/>
      <c r="AK282" s="105"/>
      <c r="AL282" s="105"/>
      <c r="AM282" s="105"/>
      <c r="AN282" s="105"/>
      <c r="AO282" s="105"/>
      <c r="AP282" s="105"/>
      <c r="AQ282" s="105"/>
      <c r="AR282" s="105"/>
      <c r="AS282" s="105"/>
      <c r="AT282" s="105"/>
      <c r="AU282" s="105"/>
      <c r="AV282" s="105"/>
      <c r="AW282" s="105"/>
      <c r="AX282" s="105"/>
      <c r="AY282" s="105"/>
      <c r="AZ282" s="105"/>
      <c r="BA282" s="105"/>
      <c r="BB282" s="105"/>
      <c r="BC282" s="105"/>
      <c r="BD282" s="105"/>
      <c r="BE282" s="105"/>
      <c r="BF282" s="105"/>
      <c r="BG282" s="105"/>
      <c r="BH282" s="105"/>
      <c r="BI282" s="105"/>
      <c r="BJ282" s="105"/>
      <c r="BK282" s="105"/>
      <c r="BL282" s="105"/>
      <c r="BM282" s="105"/>
      <c r="BN282" s="105"/>
      <c r="BO282" s="105"/>
      <c r="BP282" s="105"/>
      <c r="BQ282" s="105"/>
      <c r="BR282" s="105"/>
      <c r="BS282" s="105"/>
      <c r="BT282" s="105"/>
      <c r="BU282" s="105"/>
      <c r="BV282" s="105"/>
      <c r="BW282" s="105"/>
      <c r="BX282" s="105"/>
      <c r="BY282" s="105"/>
      <c r="BZ282" s="105"/>
      <c r="CA282" s="105"/>
      <c r="CB282" s="105"/>
      <c r="CC282" s="105"/>
      <c r="CD282" s="105"/>
      <c r="CE282" s="105"/>
      <c r="CF282" s="105"/>
      <c r="CG282" s="105"/>
      <c r="CH282" s="105"/>
      <c r="CI282" s="105"/>
      <c r="CJ282" s="105"/>
      <c r="CK282" s="105"/>
      <c r="CL282" s="105"/>
      <c r="CM282" s="105"/>
      <c r="CN282" s="105"/>
      <c r="CO282" s="105"/>
      <c r="CP282" s="105"/>
      <c r="CQ282" s="105"/>
      <c r="CR282" s="105"/>
      <c r="CS282" s="105"/>
      <c r="CT282" s="105"/>
      <c r="CU282" s="105"/>
      <c r="CV282" s="105"/>
      <c r="CW282" s="105"/>
      <c r="CX282" s="105"/>
      <c r="CY282" s="105"/>
      <c r="CZ282" s="105"/>
      <c r="DA282" s="105"/>
    </row>
    <row r="283">
      <c r="B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c r="AA283" s="105"/>
      <c r="AB283" s="105"/>
      <c r="AC283" s="105"/>
      <c r="AD283" s="105"/>
      <c r="AE283" s="105"/>
      <c r="AF283" s="105"/>
      <c r="AG283" s="105"/>
      <c r="AH283" s="105"/>
      <c r="AI283" s="105"/>
      <c r="AJ283" s="105"/>
      <c r="AK283" s="105"/>
      <c r="AL283" s="105"/>
      <c r="AM283" s="105"/>
      <c r="AN283" s="105"/>
      <c r="AO283" s="105"/>
      <c r="AP283" s="105"/>
      <c r="AQ283" s="105"/>
      <c r="AR283" s="105"/>
      <c r="AS283" s="105"/>
      <c r="AT283" s="105"/>
      <c r="AU283" s="105"/>
      <c r="AV283" s="105"/>
      <c r="AW283" s="105"/>
      <c r="AX283" s="105"/>
      <c r="AY283" s="105"/>
      <c r="AZ283" s="105"/>
      <c r="BA283" s="105"/>
      <c r="BB283" s="105"/>
      <c r="BC283" s="105"/>
      <c r="BD283" s="105"/>
      <c r="BE283" s="105"/>
      <c r="BF283" s="105"/>
      <c r="BG283" s="105"/>
      <c r="BH283" s="105"/>
      <c r="BI283" s="105"/>
      <c r="BJ283" s="105"/>
      <c r="BK283" s="105"/>
      <c r="BL283" s="105"/>
      <c r="BM283" s="105"/>
      <c r="BN283" s="105"/>
      <c r="BO283" s="105"/>
      <c r="BP283" s="105"/>
      <c r="BQ283" s="105"/>
      <c r="BR283" s="105"/>
      <c r="BS283" s="105"/>
      <c r="BT283" s="105"/>
      <c r="BU283" s="105"/>
      <c r="BV283" s="105"/>
      <c r="BW283" s="105"/>
      <c r="BX283" s="105"/>
      <c r="BY283" s="105"/>
      <c r="BZ283" s="105"/>
      <c r="CA283" s="105"/>
      <c r="CB283" s="105"/>
      <c r="CC283" s="105"/>
      <c r="CD283" s="105"/>
      <c r="CE283" s="105"/>
      <c r="CF283" s="105"/>
      <c r="CG283" s="105"/>
      <c r="CH283" s="105"/>
      <c r="CI283" s="105"/>
      <c r="CJ283" s="105"/>
      <c r="CK283" s="105"/>
      <c r="CL283" s="105"/>
      <c r="CM283" s="105"/>
      <c r="CN283" s="105"/>
      <c r="CO283" s="105"/>
      <c r="CP283" s="105"/>
      <c r="CQ283" s="105"/>
      <c r="CR283" s="105"/>
      <c r="CS283" s="105"/>
      <c r="CT283" s="105"/>
      <c r="CU283" s="105"/>
      <c r="CV283" s="105"/>
      <c r="CW283" s="105"/>
      <c r="CX283" s="105"/>
      <c r="CY283" s="105"/>
      <c r="CZ283" s="105"/>
      <c r="DA283" s="105"/>
    </row>
    <row r="284">
      <c r="B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c r="AA284" s="105"/>
      <c r="AB284" s="105"/>
      <c r="AC284" s="105"/>
      <c r="AD284" s="105"/>
      <c r="AE284" s="105"/>
      <c r="AF284" s="105"/>
      <c r="AG284" s="105"/>
      <c r="AH284" s="105"/>
      <c r="AI284" s="105"/>
      <c r="AJ284" s="105"/>
      <c r="AK284" s="105"/>
      <c r="AL284" s="105"/>
      <c r="AM284" s="105"/>
      <c r="AN284" s="105"/>
      <c r="AO284" s="105"/>
      <c r="AP284" s="105"/>
      <c r="AQ284" s="105"/>
      <c r="AR284" s="105"/>
      <c r="AS284" s="105"/>
      <c r="AT284" s="105"/>
      <c r="AU284" s="105"/>
      <c r="AV284" s="105"/>
      <c r="AW284" s="105"/>
      <c r="AX284" s="105"/>
      <c r="AY284" s="105"/>
      <c r="AZ284" s="105"/>
      <c r="BA284" s="105"/>
      <c r="BB284" s="105"/>
      <c r="BC284" s="105"/>
      <c r="BD284" s="105"/>
      <c r="BE284" s="105"/>
      <c r="BF284" s="105"/>
      <c r="BG284" s="105"/>
      <c r="BH284" s="105"/>
      <c r="BI284" s="105"/>
      <c r="BJ284" s="105"/>
      <c r="BK284" s="105"/>
      <c r="BL284" s="105"/>
      <c r="BM284" s="105"/>
      <c r="BN284" s="105"/>
      <c r="BO284" s="105"/>
      <c r="BP284" s="105"/>
      <c r="BQ284" s="105"/>
      <c r="BR284" s="105"/>
      <c r="BS284" s="105"/>
      <c r="BT284" s="105"/>
      <c r="BU284" s="105"/>
      <c r="BV284" s="105"/>
      <c r="BW284" s="105"/>
      <c r="BX284" s="105"/>
      <c r="BY284" s="105"/>
      <c r="BZ284" s="105"/>
      <c r="CA284" s="105"/>
      <c r="CB284" s="105"/>
      <c r="CC284" s="105"/>
      <c r="CD284" s="105"/>
      <c r="CE284" s="105"/>
      <c r="CF284" s="105"/>
      <c r="CG284" s="105"/>
      <c r="CH284" s="105"/>
      <c r="CI284" s="105"/>
      <c r="CJ284" s="105"/>
      <c r="CK284" s="105"/>
      <c r="CL284" s="105"/>
      <c r="CM284" s="105"/>
      <c r="CN284" s="105"/>
      <c r="CO284" s="105"/>
      <c r="CP284" s="105"/>
      <c r="CQ284" s="105"/>
      <c r="CR284" s="105"/>
      <c r="CS284" s="105"/>
      <c r="CT284" s="105"/>
      <c r="CU284" s="105"/>
      <c r="CV284" s="105"/>
      <c r="CW284" s="105"/>
      <c r="CX284" s="105"/>
      <c r="CY284" s="105"/>
      <c r="CZ284" s="105"/>
      <c r="DA284" s="105"/>
    </row>
    <row r="285">
      <c r="B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c r="AA285" s="105"/>
      <c r="AB285" s="105"/>
      <c r="AC285" s="105"/>
      <c r="AD285" s="105"/>
      <c r="AE285" s="105"/>
      <c r="AF285" s="105"/>
      <c r="AG285" s="105"/>
      <c r="AH285" s="105"/>
      <c r="AI285" s="105"/>
      <c r="AJ285" s="105"/>
      <c r="AK285" s="105"/>
      <c r="AL285" s="105"/>
      <c r="AM285" s="105"/>
      <c r="AN285" s="105"/>
      <c r="AO285" s="105"/>
      <c r="AP285" s="105"/>
      <c r="AQ285" s="105"/>
      <c r="AR285" s="105"/>
      <c r="AS285" s="105"/>
      <c r="AT285" s="105"/>
      <c r="AU285" s="105"/>
      <c r="AV285" s="105"/>
      <c r="AW285" s="105"/>
      <c r="AX285" s="105"/>
      <c r="AY285" s="105"/>
      <c r="AZ285" s="105"/>
      <c r="BA285" s="105"/>
      <c r="BB285" s="105"/>
      <c r="BC285" s="105"/>
      <c r="BD285" s="105"/>
      <c r="BE285" s="105"/>
      <c r="BF285" s="105"/>
      <c r="BG285" s="105"/>
      <c r="BH285" s="105"/>
      <c r="BI285" s="105"/>
      <c r="BJ285" s="105"/>
      <c r="BK285" s="105"/>
      <c r="BL285" s="105"/>
      <c r="BM285" s="105"/>
      <c r="BN285" s="105"/>
      <c r="BO285" s="105"/>
      <c r="BP285" s="105"/>
      <c r="BQ285" s="105"/>
      <c r="BR285" s="105"/>
      <c r="BS285" s="105"/>
      <c r="BT285" s="105"/>
      <c r="BU285" s="105"/>
      <c r="BV285" s="105"/>
      <c r="BW285" s="105"/>
      <c r="BX285" s="105"/>
      <c r="BY285" s="105"/>
      <c r="BZ285" s="105"/>
      <c r="CA285" s="105"/>
      <c r="CB285" s="105"/>
      <c r="CC285" s="105"/>
      <c r="CD285" s="105"/>
      <c r="CE285" s="105"/>
      <c r="CF285" s="105"/>
      <c r="CG285" s="105"/>
      <c r="CH285" s="105"/>
      <c r="CI285" s="105"/>
      <c r="CJ285" s="105"/>
      <c r="CK285" s="105"/>
      <c r="CL285" s="105"/>
      <c r="CM285" s="105"/>
      <c r="CN285" s="105"/>
      <c r="CO285" s="105"/>
      <c r="CP285" s="105"/>
      <c r="CQ285" s="105"/>
      <c r="CR285" s="105"/>
      <c r="CS285" s="105"/>
      <c r="CT285" s="105"/>
      <c r="CU285" s="105"/>
      <c r="CV285" s="105"/>
      <c r="CW285" s="105"/>
      <c r="CX285" s="105"/>
      <c r="CY285" s="105"/>
      <c r="CZ285" s="105"/>
      <c r="DA285" s="105"/>
    </row>
    <row r="286">
      <c r="B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c r="AA286" s="105"/>
      <c r="AB286" s="105"/>
      <c r="AC286" s="105"/>
      <c r="AD286" s="105"/>
      <c r="AE286" s="105"/>
      <c r="AF286" s="105"/>
      <c r="AG286" s="105"/>
      <c r="AH286" s="105"/>
      <c r="AI286" s="105"/>
      <c r="AJ286" s="105"/>
      <c r="AK286" s="105"/>
      <c r="AL286" s="105"/>
      <c r="AM286" s="105"/>
      <c r="AN286" s="105"/>
      <c r="AO286" s="105"/>
      <c r="AP286" s="105"/>
      <c r="AQ286" s="105"/>
      <c r="AR286" s="105"/>
      <c r="AS286" s="105"/>
      <c r="AT286" s="105"/>
      <c r="AU286" s="105"/>
      <c r="AV286" s="105"/>
      <c r="AW286" s="105"/>
      <c r="AX286" s="105"/>
      <c r="AY286" s="105"/>
      <c r="AZ286" s="105"/>
      <c r="BA286" s="105"/>
      <c r="BB286" s="105"/>
      <c r="BC286" s="105"/>
      <c r="BD286" s="105"/>
      <c r="BE286" s="105"/>
      <c r="BF286" s="105"/>
      <c r="BG286" s="105"/>
      <c r="BH286" s="105"/>
      <c r="BI286" s="105"/>
      <c r="BJ286" s="105"/>
      <c r="BK286" s="105"/>
      <c r="BL286" s="105"/>
      <c r="BM286" s="105"/>
      <c r="BN286" s="105"/>
      <c r="BO286" s="105"/>
      <c r="BP286" s="105"/>
      <c r="BQ286" s="105"/>
      <c r="BR286" s="105"/>
      <c r="BS286" s="105"/>
      <c r="BT286" s="105"/>
      <c r="BU286" s="105"/>
      <c r="BV286" s="105"/>
      <c r="BW286" s="105"/>
      <c r="BX286" s="105"/>
      <c r="BY286" s="105"/>
      <c r="BZ286" s="105"/>
      <c r="CA286" s="105"/>
      <c r="CB286" s="105"/>
      <c r="CC286" s="105"/>
      <c r="CD286" s="105"/>
      <c r="CE286" s="105"/>
      <c r="CF286" s="105"/>
      <c r="CG286" s="105"/>
      <c r="CH286" s="105"/>
      <c r="CI286" s="105"/>
      <c r="CJ286" s="105"/>
      <c r="CK286" s="105"/>
      <c r="CL286" s="105"/>
      <c r="CM286" s="105"/>
      <c r="CN286" s="105"/>
      <c r="CO286" s="105"/>
      <c r="CP286" s="105"/>
      <c r="CQ286" s="105"/>
      <c r="CR286" s="105"/>
      <c r="CS286" s="105"/>
      <c r="CT286" s="105"/>
      <c r="CU286" s="105"/>
      <c r="CV286" s="105"/>
      <c r="CW286" s="105"/>
      <c r="CX286" s="105"/>
      <c r="CY286" s="105"/>
      <c r="CZ286" s="105"/>
      <c r="DA286" s="105"/>
    </row>
    <row r="287">
      <c r="B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c r="AA287" s="105"/>
      <c r="AB287" s="105"/>
      <c r="AC287" s="105"/>
      <c r="AD287" s="105"/>
      <c r="AE287" s="105"/>
      <c r="AF287" s="105"/>
      <c r="AG287" s="105"/>
      <c r="AH287" s="105"/>
      <c r="AI287" s="105"/>
      <c r="AJ287" s="105"/>
      <c r="AK287" s="105"/>
      <c r="AL287" s="105"/>
      <c r="AM287" s="105"/>
      <c r="AN287" s="105"/>
      <c r="AO287" s="105"/>
      <c r="AP287" s="105"/>
      <c r="AQ287" s="105"/>
      <c r="AR287" s="105"/>
      <c r="AS287" s="105"/>
      <c r="AT287" s="105"/>
      <c r="AU287" s="105"/>
      <c r="AV287" s="105"/>
      <c r="AW287" s="105"/>
      <c r="AX287" s="105"/>
      <c r="AY287" s="105"/>
      <c r="AZ287" s="105"/>
      <c r="BA287" s="105"/>
      <c r="BB287" s="105"/>
      <c r="BC287" s="105"/>
      <c r="BD287" s="105"/>
      <c r="BE287" s="105"/>
      <c r="BF287" s="105"/>
      <c r="BG287" s="105"/>
      <c r="BH287" s="105"/>
      <c r="BI287" s="105"/>
      <c r="BJ287" s="105"/>
      <c r="BK287" s="105"/>
      <c r="BL287" s="105"/>
      <c r="BM287" s="105"/>
      <c r="BN287" s="105"/>
      <c r="BO287" s="105"/>
      <c r="BP287" s="105"/>
      <c r="BQ287" s="105"/>
      <c r="BR287" s="105"/>
      <c r="BS287" s="105"/>
      <c r="BT287" s="105"/>
      <c r="BU287" s="105"/>
      <c r="BV287" s="105"/>
      <c r="BW287" s="105"/>
      <c r="BX287" s="105"/>
      <c r="BY287" s="105"/>
      <c r="BZ287" s="105"/>
      <c r="CA287" s="105"/>
      <c r="CB287" s="105"/>
      <c r="CC287" s="105"/>
      <c r="CD287" s="105"/>
      <c r="CE287" s="105"/>
      <c r="CF287" s="105"/>
      <c r="CG287" s="105"/>
      <c r="CH287" s="105"/>
      <c r="CI287" s="105"/>
      <c r="CJ287" s="105"/>
      <c r="CK287" s="105"/>
      <c r="CL287" s="105"/>
      <c r="CM287" s="105"/>
      <c r="CN287" s="105"/>
      <c r="CO287" s="105"/>
      <c r="CP287" s="105"/>
      <c r="CQ287" s="105"/>
      <c r="CR287" s="105"/>
      <c r="CS287" s="105"/>
      <c r="CT287" s="105"/>
      <c r="CU287" s="105"/>
      <c r="CV287" s="105"/>
      <c r="CW287" s="105"/>
      <c r="CX287" s="105"/>
      <c r="CY287" s="105"/>
      <c r="CZ287" s="105"/>
      <c r="DA287" s="105"/>
    </row>
    <row r="288">
      <c r="B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c r="AA288" s="105"/>
      <c r="AB288" s="105"/>
      <c r="AC288" s="105"/>
      <c r="AD288" s="105"/>
      <c r="AE288" s="105"/>
      <c r="AF288" s="105"/>
      <c r="AG288" s="105"/>
      <c r="AH288" s="105"/>
      <c r="AI288" s="105"/>
      <c r="AJ288" s="105"/>
      <c r="AK288" s="105"/>
      <c r="AL288" s="105"/>
      <c r="AM288" s="105"/>
      <c r="AN288" s="105"/>
      <c r="AO288" s="105"/>
      <c r="AP288" s="105"/>
      <c r="AQ288" s="105"/>
      <c r="AR288" s="105"/>
      <c r="AS288" s="105"/>
      <c r="AT288" s="105"/>
      <c r="AU288" s="105"/>
      <c r="AV288" s="105"/>
      <c r="AW288" s="105"/>
      <c r="AX288" s="105"/>
      <c r="AY288" s="105"/>
      <c r="AZ288" s="105"/>
      <c r="BA288" s="105"/>
      <c r="BB288" s="105"/>
      <c r="BC288" s="105"/>
      <c r="BD288" s="105"/>
      <c r="BE288" s="105"/>
      <c r="BF288" s="105"/>
      <c r="BG288" s="105"/>
      <c r="BH288" s="105"/>
      <c r="BI288" s="105"/>
      <c r="BJ288" s="105"/>
      <c r="BK288" s="105"/>
      <c r="BL288" s="105"/>
      <c r="BM288" s="105"/>
      <c r="BN288" s="105"/>
      <c r="BO288" s="105"/>
      <c r="BP288" s="105"/>
      <c r="BQ288" s="105"/>
      <c r="BR288" s="105"/>
      <c r="BS288" s="105"/>
      <c r="BT288" s="105"/>
      <c r="BU288" s="105"/>
      <c r="BV288" s="105"/>
      <c r="BW288" s="105"/>
      <c r="BX288" s="105"/>
      <c r="BY288" s="105"/>
      <c r="BZ288" s="105"/>
      <c r="CA288" s="105"/>
      <c r="CB288" s="105"/>
      <c r="CC288" s="105"/>
      <c r="CD288" s="105"/>
      <c r="CE288" s="105"/>
      <c r="CF288" s="105"/>
      <c r="CG288" s="105"/>
      <c r="CH288" s="105"/>
      <c r="CI288" s="105"/>
      <c r="CJ288" s="105"/>
      <c r="CK288" s="105"/>
      <c r="CL288" s="105"/>
      <c r="CM288" s="105"/>
      <c r="CN288" s="105"/>
      <c r="CO288" s="105"/>
      <c r="CP288" s="105"/>
      <c r="CQ288" s="105"/>
      <c r="CR288" s="105"/>
      <c r="CS288" s="105"/>
      <c r="CT288" s="105"/>
      <c r="CU288" s="105"/>
      <c r="CV288" s="105"/>
      <c r="CW288" s="105"/>
      <c r="CX288" s="105"/>
      <c r="CY288" s="105"/>
      <c r="CZ288" s="105"/>
      <c r="DA288" s="105"/>
    </row>
    <row r="289">
      <c r="B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c r="AA289" s="105"/>
      <c r="AB289" s="105"/>
      <c r="AC289" s="105"/>
      <c r="AD289" s="105"/>
      <c r="AE289" s="105"/>
      <c r="AF289" s="105"/>
      <c r="AG289" s="105"/>
      <c r="AH289" s="105"/>
      <c r="AI289" s="105"/>
      <c r="AJ289" s="105"/>
      <c r="AK289" s="105"/>
      <c r="AL289" s="105"/>
      <c r="AM289" s="105"/>
      <c r="AN289" s="105"/>
      <c r="AO289" s="105"/>
      <c r="AP289" s="105"/>
      <c r="AQ289" s="105"/>
      <c r="AR289" s="105"/>
      <c r="AS289" s="105"/>
      <c r="AT289" s="105"/>
      <c r="AU289" s="105"/>
      <c r="AV289" s="105"/>
      <c r="AW289" s="105"/>
      <c r="AX289" s="105"/>
      <c r="AY289" s="105"/>
      <c r="AZ289" s="105"/>
      <c r="BA289" s="105"/>
      <c r="BB289" s="105"/>
      <c r="BC289" s="105"/>
      <c r="BD289" s="105"/>
      <c r="BE289" s="105"/>
      <c r="BF289" s="105"/>
      <c r="BG289" s="105"/>
      <c r="BH289" s="105"/>
      <c r="BI289" s="105"/>
      <c r="BJ289" s="105"/>
      <c r="BK289" s="105"/>
      <c r="BL289" s="105"/>
      <c r="BM289" s="105"/>
      <c r="BN289" s="105"/>
      <c r="BO289" s="105"/>
      <c r="BP289" s="105"/>
      <c r="BQ289" s="105"/>
      <c r="BR289" s="105"/>
      <c r="BS289" s="105"/>
      <c r="BT289" s="105"/>
      <c r="BU289" s="105"/>
      <c r="BV289" s="105"/>
      <c r="BW289" s="105"/>
      <c r="BX289" s="105"/>
      <c r="BY289" s="105"/>
      <c r="BZ289" s="105"/>
      <c r="CA289" s="105"/>
      <c r="CB289" s="105"/>
      <c r="CC289" s="105"/>
      <c r="CD289" s="105"/>
      <c r="CE289" s="105"/>
      <c r="CF289" s="105"/>
      <c r="CG289" s="105"/>
      <c r="CH289" s="105"/>
      <c r="CI289" s="105"/>
      <c r="CJ289" s="105"/>
      <c r="CK289" s="105"/>
      <c r="CL289" s="105"/>
      <c r="CM289" s="105"/>
      <c r="CN289" s="105"/>
      <c r="CO289" s="105"/>
      <c r="CP289" s="105"/>
      <c r="CQ289" s="105"/>
      <c r="CR289" s="105"/>
      <c r="CS289" s="105"/>
      <c r="CT289" s="105"/>
      <c r="CU289" s="105"/>
      <c r="CV289" s="105"/>
      <c r="CW289" s="105"/>
      <c r="CX289" s="105"/>
      <c r="CY289" s="105"/>
      <c r="CZ289" s="105"/>
      <c r="DA289" s="105"/>
    </row>
    <row r="290">
      <c r="B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c r="AA290" s="105"/>
      <c r="AB290" s="105"/>
      <c r="AC290" s="105"/>
      <c r="AD290" s="105"/>
      <c r="AE290" s="105"/>
      <c r="AF290" s="105"/>
      <c r="AG290" s="105"/>
      <c r="AH290" s="105"/>
      <c r="AI290" s="105"/>
      <c r="AJ290" s="105"/>
      <c r="AK290" s="105"/>
      <c r="AL290" s="105"/>
      <c r="AM290" s="105"/>
      <c r="AN290" s="105"/>
      <c r="AO290" s="105"/>
      <c r="AP290" s="105"/>
      <c r="AQ290" s="105"/>
      <c r="AR290" s="105"/>
      <c r="AS290" s="105"/>
      <c r="AT290" s="105"/>
      <c r="AU290" s="105"/>
      <c r="AV290" s="105"/>
      <c r="AW290" s="105"/>
      <c r="AX290" s="105"/>
      <c r="AY290" s="105"/>
      <c r="AZ290" s="105"/>
      <c r="BA290" s="105"/>
      <c r="BB290" s="105"/>
      <c r="BC290" s="105"/>
      <c r="BD290" s="105"/>
      <c r="BE290" s="105"/>
      <c r="BF290" s="105"/>
      <c r="BG290" s="105"/>
      <c r="BH290" s="105"/>
      <c r="BI290" s="105"/>
      <c r="BJ290" s="105"/>
      <c r="BK290" s="105"/>
      <c r="BL290" s="105"/>
      <c r="BM290" s="105"/>
      <c r="BN290" s="105"/>
      <c r="BO290" s="105"/>
      <c r="BP290" s="105"/>
      <c r="BQ290" s="105"/>
      <c r="BR290" s="105"/>
      <c r="BS290" s="105"/>
      <c r="BT290" s="105"/>
      <c r="BU290" s="105"/>
      <c r="BV290" s="105"/>
      <c r="BW290" s="105"/>
      <c r="BX290" s="105"/>
      <c r="BY290" s="105"/>
      <c r="BZ290" s="105"/>
      <c r="CA290" s="105"/>
      <c r="CB290" s="105"/>
      <c r="CC290" s="105"/>
      <c r="CD290" s="105"/>
      <c r="CE290" s="105"/>
      <c r="CF290" s="105"/>
      <c r="CG290" s="105"/>
      <c r="CH290" s="105"/>
      <c r="CI290" s="105"/>
      <c r="CJ290" s="105"/>
      <c r="CK290" s="105"/>
      <c r="CL290" s="105"/>
      <c r="CM290" s="105"/>
      <c r="CN290" s="105"/>
      <c r="CO290" s="105"/>
      <c r="CP290" s="105"/>
      <c r="CQ290" s="105"/>
      <c r="CR290" s="105"/>
      <c r="CS290" s="105"/>
      <c r="CT290" s="105"/>
      <c r="CU290" s="105"/>
      <c r="CV290" s="105"/>
      <c r="CW290" s="105"/>
      <c r="CX290" s="105"/>
      <c r="CY290" s="105"/>
      <c r="CZ290" s="105"/>
      <c r="DA290" s="105"/>
    </row>
    <row r="291">
      <c r="B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c r="AA291" s="105"/>
      <c r="AB291" s="105"/>
      <c r="AC291" s="105"/>
      <c r="AD291" s="105"/>
      <c r="AE291" s="105"/>
      <c r="AF291" s="105"/>
      <c r="AG291" s="105"/>
      <c r="AH291" s="105"/>
      <c r="AI291" s="105"/>
      <c r="AJ291" s="105"/>
      <c r="AK291" s="105"/>
      <c r="AL291" s="105"/>
      <c r="AM291" s="105"/>
      <c r="AN291" s="105"/>
      <c r="AO291" s="105"/>
      <c r="AP291" s="105"/>
      <c r="AQ291" s="105"/>
      <c r="AR291" s="105"/>
      <c r="AS291" s="105"/>
      <c r="AT291" s="105"/>
      <c r="AU291" s="105"/>
      <c r="AV291" s="105"/>
      <c r="AW291" s="105"/>
      <c r="AX291" s="105"/>
      <c r="AY291" s="105"/>
      <c r="AZ291" s="105"/>
      <c r="BA291" s="105"/>
      <c r="BB291" s="105"/>
      <c r="BC291" s="105"/>
      <c r="BD291" s="105"/>
      <c r="BE291" s="105"/>
      <c r="BF291" s="105"/>
      <c r="BG291" s="105"/>
      <c r="BH291" s="105"/>
      <c r="BI291" s="105"/>
      <c r="BJ291" s="105"/>
      <c r="BK291" s="105"/>
      <c r="BL291" s="105"/>
      <c r="BM291" s="105"/>
      <c r="BN291" s="105"/>
      <c r="BO291" s="105"/>
      <c r="BP291" s="105"/>
      <c r="BQ291" s="105"/>
      <c r="BR291" s="105"/>
      <c r="BS291" s="105"/>
      <c r="BT291" s="105"/>
      <c r="BU291" s="105"/>
      <c r="BV291" s="105"/>
      <c r="BW291" s="105"/>
      <c r="BX291" s="105"/>
      <c r="BY291" s="105"/>
      <c r="BZ291" s="105"/>
      <c r="CA291" s="105"/>
      <c r="CB291" s="105"/>
      <c r="CC291" s="105"/>
      <c r="CD291" s="105"/>
      <c r="CE291" s="105"/>
      <c r="CF291" s="105"/>
      <c r="CG291" s="105"/>
      <c r="CH291" s="105"/>
      <c r="CI291" s="105"/>
      <c r="CJ291" s="105"/>
      <c r="CK291" s="105"/>
      <c r="CL291" s="105"/>
      <c r="CM291" s="105"/>
      <c r="CN291" s="105"/>
      <c r="CO291" s="105"/>
      <c r="CP291" s="105"/>
      <c r="CQ291" s="105"/>
      <c r="CR291" s="105"/>
      <c r="CS291" s="105"/>
      <c r="CT291" s="105"/>
      <c r="CU291" s="105"/>
      <c r="CV291" s="105"/>
      <c r="CW291" s="105"/>
      <c r="CX291" s="105"/>
      <c r="CY291" s="105"/>
      <c r="CZ291" s="105"/>
      <c r="DA291" s="105"/>
    </row>
    <row r="292">
      <c r="B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c r="AA292" s="105"/>
      <c r="AB292" s="105"/>
      <c r="AC292" s="105"/>
      <c r="AD292" s="105"/>
      <c r="AE292" s="105"/>
      <c r="AF292" s="105"/>
      <c r="AG292" s="105"/>
      <c r="AH292" s="105"/>
      <c r="AI292" s="105"/>
      <c r="AJ292" s="105"/>
      <c r="AK292" s="105"/>
      <c r="AL292" s="105"/>
      <c r="AM292" s="105"/>
      <c r="AN292" s="105"/>
      <c r="AO292" s="105"/>
      <c r="AP292" s="105"/>
      <c r="AQ292" s="105"/>
      <c r="AR292" s="105"/>
      <c r="AS292" s="105"/>
      <c r="AT292" s="105"/>
      <c r="AU292" s="105"/>
      <c r="AV292" s="105"/>
      <c r="AW292" s="105"/>
      <c r="AX292" s="105"/>
      <c r="AY292" s="105"/>
      <c r="AZ292" s="105"/>
      <c r="BA292" s="105"/>
      <c r="BB292" s="105"/>
      <c r="BC292" s="105"/>
      <c r="BD292" s="105"/>
      <c r="BE292" s="105"/>
      <c r="BF292" s="105"/>
      <c r="BG292" s="105"/>
      <c r="BH292" s="105"/>
      <c r="BI292" s="105"/>
      <c r="BJ292" s="105"/>
      <c r="BK292" s="105"/>
      <c r="BL292" s="105"/>
      <c r="BM292" s="105"/>
      <c r="BN292" s="105"/>
      <c r="BO292" s="105"/>
      <c r="BP292" s="105"/>
      <c r="BQ292" s="105"/>
      <c r="BR292" s="105"/>
      <c r="BS292" s="105"/>
      <c r="BT292" s="105"/>
      <c r="BU292" s="105"/>
      <c r="BV292" s="105"/>
      <c r="BW292" s="105"/>
      <c r="BX292" s="105"/>
      <c r="BY292" s="105"/>
      <c r="BZ292" s="105"/>
      <c r="CA292" s="105"/>
      <c r="CB292" s="105"/>
      <c r="CC292" s="105"/>
      <c r="CD292" s="105"/>
      <c r="CE292" s="105"/>
      <c r="CF292" s="105"/>
      <c r="CG292" s="105"/>
      <c r="CH292" s="105"/>
      <c r="CI292" s="105"/>
      <c r="CJ292" s="105"/>
      <c r="CK292" s="105"/>
      <c r="CL292" s="105"/>
      <c r="CM292" s="105"/>
      <c r="CN292" s="105"/>
      <c r="CO292" s="105"/>
      <c r="CP292" s="105"/>
      <c r="CQ292" s="105"/>
      <c r="CR292" s="105"/>
      <c r="CS292" s="105"/>
      <c r="CT292" s="105"/>
      <c r="CU292" s="105"/>
      <c r="CV292" s="105"/>
      <c r="CW292" s="105"/>
      <c r="CX292" s="105"/>
      <c r="CY292" s="105"/>
      <c r="CZ292" s="105"/>
      <c r="DA292" s="105"/>
    </row>
    <row r="293">
      <c r="B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c r="AA293" s="105"/>
      <c r="AB293" s="105"/>
      <c r="AC293" s="105"/>
      <c r="AD293" s="105"/>
      <c r="AE293" s="105"/>
      <c r="AF293" s="105"/>
      <c r="AG293" s="105"/>
      <c r="AH293" s="105"/>
      <c r="AI293" s="105"/>
      <c r="AJ293" s="105"/>
      <c r="AK293" s="105"/>
      <c r="AL293" s="105"/>
      <c r="AM293" s="105"/>
      <c r="AN293" s="105"/>
      <c r="AO293" s="105"/>
      <c r="AP293" s="105"/>
      <c r="AQ293" s="105"/>
      <c r="AR293" s="105"/>
      <c r="AS293" s="105"/>
      <c r="AT293" s="105"/>
      <c r="AU293" s="105"/>
      <c r="AV293" s="105"/>
      <c r="AW293" s="105"/>
      <c r="AX293" s="105"/>
      <c r="AY293" s="105"/>
      <c r="AZ293" s="105"/>
      <c r="BA293" s="105"/>
      <c r="BB293" s="105"/>
      <c r="BC293" s="105"/>
      <c r="BD293" s="105"/>
      <c r="BE293" s="105"/>
      <c r="BF293" s="105"/>
      <c r="BG293" s="105"/>
      <c r="BH293" s="105"/>
      <c r="BI293" s="105"/>
      <c r="BJ293" s="105"/>
      <c r="BK293" s="105"/>
      <c r="BL293" s="105"/>
      <c r="BM293" s="105"/>
      <c r="BN293" s="105"/>
      <c r="BO293" s="105"/>
      <c r="BP293" s="105"/>
      <c r="BQ293" s="105"/>
      <c r="BR293" s="105"/>
      <c r="BS293" s="105"/>
      <c r="BT293" s="105"/>
      <c r="BU293" s="105"/>
      <c r="BV293" s="105"/>
      <c r="BW293" s="105"/>
      <c r="BX293" s="105"/>
      <c r="BY293" s="105"/>
      <c r="BZ293" s="105"/>
      <c r="CA293" s="105"/>
      <c r="CB293" s="105"/>
      <c r="CC293" s="105"/>
      <c r="CD293" s="105"/>
      <c r="CE293" s="105"/>
      <c r="CF293" s="105"/>
      <c r="CG293" s="105"/>
      <c r="CH293" s="105"/>
      <c r="CI293" s="105"/>
      <c r="CJ293" s="105"/>
      <c r="CK293" s="105"/>
      <c r="CL293" s="105"/>
      <c r="CM293" s="105"/>
      <c r="CN293" s="105"/>
      <c r="CO293" s="105"/>
      <c r="CP293" s="105"/>
      <c r="CQ293" s="105"/>
      <c r="CR293" s="105"/>
      <c r="CS293" s="105"/>
      <c r="CT293" s="105"/>
      <c r="CU293" s="105"/>
      <c r="CV293" s="105"/>
      <c r="CW293" s="105"/>
      <c r="CX293" s="105"/>
      <c r="CY293" s="105"/>
      <c r="CZ293" s="105"/>
      <c r="DA293" s="105"/>
    </row>
    <row r="294">
      <c r="B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c r="AA294" s="105"/>
      <c r="AB294" s="105"/>
      <c r="AC294" s="105"/>
      <c r="AD294" s="105"/>
      <c r="AE294" s="105"/>
      <c r="AF294" s="105"/>
      <c r="AG294" s="105"/>
      <c r="AH294" s="105"/>
      <c r="AI294" s="105"/>
      <c r="AJ294" s="105"/>
      <c r="AK294" s="105"/>
      <c r="AL294" s="105"/>
      <c r="AM294" s="105"/>
      <c r="AN294" s="105"/>
      <c r="AO294" s="105"/>
      <c r="AP294" s="105"/>
      <c r="AQ294" s="105"/>
      <c r="AR294" s="105"/>
      <c r="AS294" s="105"/>
      <c r="AT294" s="105"/>
      <c r="AU294" s="105"/>
      <c r="AV294" s="105"/>
      <c r="AW294" s="105"/>
      <c r="AX294" s="105"/>
      <c r="AY294" s="105"/>
      <c r="AZ294" s="105"/>
      <c r="BA294" s="105"/>
      <c r="BB294" s="105"/>
      <c r="BC294" s="105"/>
      <c r="BD294" s="105"/>
      <c r="BE294" s="105"/>
      <c r="BF294" s="105"/>
      <c r="BG294" s="105"/>
      <c r="BH294" s="105"/>
      <c r="BI294" s="105"/>
      <c r="BJ294" s="105"/>
      <c r="BK294" s="105"/>
      <c r="BL294" s="105"/>
      <c r="BM294" s="105"/>
      <c r="BN294" s="105"/>
      <c r="BO294" s="105"/>
      <c r="BP294" s="105"/>
      <c r="BQ294" s="105"/>
      <c r="BR294" s="105"/>
      <c r="BS294" s="105"/>
      <c r="BT294" s="105"/>
      <c r="BU294" s="105"/>
      <c r="BV294" s="105"/>
      <c r="BW294" s="105"/>
      <c r="BX294" s="105"/>
      <c r="BY294" s="105"/>
      <c r="BZ294" s="105"/>
      <c r="CA294" s="105"/>
      <c r="CB294" s="105"/>
      <c r="CC294" s="105"/>
      <c r="CD294" s="105"/>
      <c r="CE294" s="105"/>
      <c r="CF294" s="105"/>
      <c r="CG294" s="105"/>
      <c r="CH294" s="105"/>
      <c r="CI294" s="105"/>
      <c r="CJ294" s="105"/>
      <c r="CK294" s="105"/>
      <c r="CL294" s="105"/>
      <c r="CM294" s="105"/>
      <c r="CN294" s="105"/>
      <c r="CO294" s="105"/>
      <c r="CP294" s="105"/>
      <c r="CQ294" s="105"/>
      <c r="CR294" s="105"/>
      <c r="CS294" s="105"/>
      <c r="CT294" s="105"/>
      <c r="CU294" s="105"/>
      <c r="CV294" s="105"/>
      <c r="CW294" s="105"/>
      <c r="CX294" s="105"/>
      <c r="CY294" s="105"/>
      <c r="CZ294" s="105"/>
      <c r="DA294" s="105"/>
    </row>
    <row r="295">
      <c r="B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c r="AA295" s="105"/>
      <c r="AB295" s="105"/>
      <c r="AC295" s="105"/>
      <c r="AD295" s="105"/>
      <c r="AE295" s="105"/>
      <c r="AF295" s="105"/>
      <c r="AG295" s="105"/>
      <c r="AH295" s="105"/>
      <c r="AI295" s="105"/>
      <c r="AJ295" s="105"/>
      <c r="AK295" s="105"/>
      <c r="AL295" s="105"/>
      <c r="AM295" s="105"/>
      <c r="AN295" s="105"/>
      <c r="AO295" s="105"/>
      <c r="AP295" s="105"/>
      <c r="AQ295" s="105"/>
      <c r="AR295" s="105"/>
      <c r="AS295" s="105"/>
      <c r="AT295" s="105"/>
      <c r="AU295" s="105"/>
      <c r="AV295" s="105"/>
      <c r="AW295" s="105"/>
      <c r="AX295" s="105"/>
      <c r="AY295" s="105"/>
      <c r="AZ295" s="105"/>
      <c r="BA295" s="105"/>
      <c r="BB295" s="105"/>
      <c r="BC295" s="105"/>
      <c r="BD295" s="105"/>
      <c r="BE295" s="105"/>
      <c r="BF295" s="105"/>
      <c r="BG295" s="105"/>
      <c r="BH295" s="105"/>
      <c r="BI295" s="105"/>
      <c r="BJ295" s="105"/>
      <c r="BK295" s="105"/>
      <c r="BL295" s="105"/>
      <c r="BM295" s="105"/>
      <c r="BN295" s="105"/>
      <c r="BO295" s="105"/>
      <c r="BP295" s="105"/>
      <c r="BQ295" s="105"/>
      <c r="BR295" s="105"/>
      <c r="BS295" s="105"/>
      <c r="BT295" s="105"/>
      <c r="BU295" s="105"/>
      <c r="BV295" s="105"/>
      <c r="BW295" s="105"/>
      <c r="BX295" s="105"/>
      <c r="BY295" s="105"/>
      <c r="BZ295" s="105"/>
      <c r="CA295" s="105"/>
      <c r="CB295" s="105"/>
      <c r="CC295" s="105"/>
      <c r="CD295" s="105"/>
      <c r="CE295" s="105"/>
      <c r="CF295" s="105"/>
      <c r="CG295" s="105"/>
      <c r="CH295" s="105"/>
      <c r="CI295" s="105"/>
      <c r="CJ295" s="105"/>
      <c r="CK295" s="105"/>
      <c r="CL295" s="105"/>
      <c r="CM295" s="105"/>
      <c r="CN295" s="105"/>
      <c r="CO295" s="105"/>
      <c r="CP295" s="105"/>
      <c r="CQ295" s="105"/>
      <c r="CR295" s="105"/>
      <c r="CS295" s="105"/>
      <c r="CT295" s="105"/>
      <c r="CU295" s="105"/>
      <c r="CV295" s="105"/>
      <c r="CW295" s="105"/>
      <c r="CX295" s="105"/>
      <c r="CY295" s="105"/>
      <c r="CZ295" s="105"/>
      <c r="DA295" s="105"/>
    </row>
    <row r="296">
      <c r="B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c r="AA296" s="105"/>
      <c r="AB296" s="105"/>
      <c r="AC296" s="105"/>
      <c r="AD296" s="105"/>
      <c r="AE296" s="105"/>
      <c r="AF296" s="105"/>
      <c r="AG296" s="105"/>
      <c r="AH296" s="105"/>
      <c r="AI296" s="105"/>
      <c r="AJ296" s="105"/>
      <c r="AK296" s="105"/>
      <c r="AL296" s="105"/>
      <c r="AM296" s="105"/>
      <c r="AN296" s="105"/>
      <c r="AO296" s="105"/>
      <c r="AP296" s="105"/>
      <c r="AQ296" s="105"/>
      <c r="AR296" s="105"/>
      <c r="AS296" s="105"/>
      <c r="AT296" s="105"/>
      <c r="AU296" s="105"/>
      <c r="AV296" s="105"/>
      <c r="AW296" s="105"/>
      <c r="AX296" s="105"/>
      <c r="AY296" s="105"/>
      <c r="AZ296" s="105"/>
      <c r="BA296" s="105"/>
      <c r="BB296" s="105"/>
      <c r="BC296" s="105"/>
      <c r="BD296" s="105"/>
      <c r="BE296" s="105"/>
      <c r="BF296" s="105"/>
      <c r="BG296" s="105"/>
      <c r="BH296" s="105"/>
      <c r="BI296" s="105"/>
      <c r="BJ296" s="105"/>
      <c r="BK296" s="105"/>
      <c r="BL296" s="105"/>
      <c r="BM296" s="105"/>
      <c r="BN296" s="105"/>
      <c r="BO296" s="105"/>
      <c r="BP296" s="105"/>
      <c r="BQ296" s="105"/>
      <c r="BR296" s="105"/>
      <c r="BS296" s="105"/>
      <c r="BT296" s="105"/>
      <c r="BU296" s="105"/>
      <c r="BV296" s="105"/>
      <c r="BW296" s="105"/>
      <c r="BX296" s="105"/>
      <c r="BY296" s="105"/>
      <c r="BZ296" s="105"/>
      <c r="CA296" s="105"/>
      <c r="CB296" s="105"/>
      <c r="CC296" s="105"/>
      <c r="CD296" s="105"/>
      <c r="CE296" s="105"/>
      <c r="CF296" s="105"/>
      <c r="CG296" s="105"/>
      <c r="CH296" s="105"/>
      <c r="CI296" s="105"/>
      <c r="CJ296" s="105"/>
      <c r="CK296" s="105"/>
      <c r="CL296" s="105"/>
      <c r="CM296" s="105"/>
      <c r="CN296" s="105"/>
      <c r="CO296" s="105"/>
      <c r="CP296" s="105"/>
      <c r="CQ296" s="105"/>
      <c r="CR296" s="105"/>
      <c r="CS296" s="105"/>
      <c r="CT296" s="105"/>
      <c r="CU296" s="105"/>
      <c r="CV296" s="105"/>
      <c r="CW296" s="105"/>
      <c r="CX296" s="105"/>
      <c r="CY296" s="105"/>
      <c r="CZ296" s="105"/>
      <c r="DA296" s="105"/>
    </row>
    <row r="297">
      <c r="B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c r="AA297" s="105"/>
      <c r="AB297" s="105"/>
      <c r="AC297" s="105"/>
      <c r="AD297" s="105"/>
      <c r="AE297" s="105"/>
      <c r="AF297" s="105"/>
      <c r="AG297" s="105"/>
      <c r="AH297" s="105"/>
      <c r="AI297" s="105"/>
      <c r="AJ297" s="105"/>
      <c r="AK297" s="105"/>
      <c r="AL297" s="105"/>
      <c r="AM297" s="105"/>
      <c r="AN297" s="105"/>
      <c r="AO297" s="105"/>
      <c r="AP297" s="105"/>
      <c r="AQ297" s="105"/>
      <c r="AR297" s="105"/>
      <c r="AS297" s="105"/>
      <c r="AT297" s="105"/>
      <c r="AU297" s="105"/>
      <c r="AV297" s="105"/>
      <c r="AW297" s="105"/>
      <c r="AX297" s="105"/>
      <c r="AY297" s="105"/>
      <c r="AZ297" s="105"/>
      <c r="BA297" s="105"/>
      <c r="BB297" s="105"/>
      <c r="BC297" s="105"/>
      <c r="BD297" s="105"/>
      <c r="BE297" s="105"/>
      <c r="BF297" s="105"/>
      <c r="BG297" s="105"/>
      <c r="BH297" s="105"/>
      <c r="BI297" s="105"/>
      <c r="BJ297" s="105"/>
      <c r="BK297" s="105"/>
      <c r="BL297" s="105"/>
      <c r="BM297" s="105"/>
      <c r="BN297" s="105"/>
      <c r="BO297" s="105"/>
      <c r="BP297" s="105"/>
      <c r="BQ297" s="105"/>
      <c r="BR297" s="105"/>
      <c r="BS297" s="105"/>
      <c r="BT297" s="105"/>
      <c r="BU297" s="105"/>
      <c r="BV297" s="105"/>
      <c r="BW297" s="105"/>
      <c r="BX297" s="105"/>
      <c r="BY297" s="105"/>
      <c r="BZ297" s="105"/>
      <c r="CA297" s="105"/>
      <c r="CB297" s="105"/>
      <c r="CC297" s="105"/>
      <c r="CD297" s="105"/>
      <c r="CE297" s="105"/>
      <c r="CF297" s="105"/>
      <c r="CG297" s="105"/>
      <c r="CH297" s="105"/>
      <c r="CI297" s="105"/>
      <c r="CJ297" s="105"/>
      <c r="CK297" s="105"/>
      <c r="CL297" s="105"/>
      <c r="CM297" s="105"/>
      <c r="CN297" s="105"/>
      <c r="CO297" s="105"/>
      <c r="CP297" s="105"/>
      <c r="CQ297" s="105"/>
      <c r="CR297" s="105"/>
      <c r="CS297" s="105"/>
      <c r="CT297" s="105"/>
      <c r="CU297" s="105"/>
      <c r="CV297" s="105"/>
      <c r="CW297" s="105"/>
      <c r="CX297" s="105"/>
      <c r="CY297" s="105"/>
      <c r="CZ297" s="105"/>
      <c r="DA297" s="105"/>
    </row>
    <row r="298">
      <c r="B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c r="AA298" s="105"/>
      <c r="AB298" s="105"/>
      <c r="AC298" s="105"/>
      <c r="AD298" s="105"/>
      <c r="AE298" s="105"/>
      <c r="AF298" s="105"/>
      <c r="AG298" s="105"/>
      <c r="AH298" s="105"/>
      <c r="AI298" s="105"/>
      <c r="AJ298" s="105"/>
      <c r="AK298" s="105"/>
      <c r="AL298" s="105"/>
      <c r="AM298" s="105"/>
      <c r="AN298" s="105"/>
      <c r="AO298" s="105"/>
      <c r="AP298" s="105"/>
      <c r="AQ298" s="105"/>
      <c r="AR298" s="105"/>
      <c r="AS298" s="105"/>
      <c r="AT298" s="105"/>
      <c r="AU298" s="105"/>
      <c r="AV298" s="105"/>
      <c r="AW298" s="105"/>
      <c r="AX298" s="105"/>
      <c r="AY298" s="105"/>
      <c r="AZ298" s="105"/>
      <c r="BA298" s="105"/>
      <c r="BB298" s="105"/>
      <c r="BC298" s="105"/>
      <c r="BD298" s="105"/>
      <c r="BE298" s="105"/>
      <c r="BF298" s="105"/>
      <c r="BG298" s="105"/>
      <c r="BH298" s="105"/>
      <c r="BI298" s="105"/>
      <c r="BJ298" s="105"/>
      <c r="BK298" s="105"/>
      <c r="BL298" s="105"/>
      <c r="BM298" s="105"/>
      <c r="BN298" s="105"/>
      <c r="BO298" s="105"/>
      <c r="BP298" s="105"/>
      <c r="BQ298" s="105"/>
      <c r="BR298" s="105"/>
      <c r="BS298" s="105"/>
      <c r="BT298" s="105"/>
      <c r="BU298" s="105"/>
      <c r="BV298" s="105"/>
      <c r="BW298" s="105"/>
      <c r="BX298" s="105"/>
      <c r="BY298" s="105"/>
      <c r="BZ298" s="105"/>
      <c r="CA298" s="105"/>
      <c r="CB298" s="105"/>
      <c r="CC298" s="105"/>
      <c r="CD298" s="105"/>
      <c r="CE298" s="105"/>
      <c r="CF298" s="105"/>
      <c r="CG298" s="105"/>
      <c r="CH298" s="105"/>
      <c r="CI298" s="105"/>
      <c r="CJ298" s="105"/>
      <c r="CK298" s="105"/>
      <c r="CL298" s="105"/>
      <c r="CM298" s="105"/>
      <c r="CN298" s="105"/>
      <c r="CO298" s="105"/>
      <c r="CP298" s="105"/>
      <c r="CQ298" s="105"/>
      <c r="CR298" s="105"/>
      <c r="CS298" s="105"/>
      <c r="CT298" s="105"/>
      <c r="CU298" s="105"/>
      <c r="CV298" s="105"/>
      <c r="CW298" s="105"/>
      <c r="CX298" s="105"/>
      <c r="CY298" s="105"/>
      <c r="CZ298" s="105"/>
      <c r="DA298" s="105"/>
    </row>
    <row r="299">
      <c r="B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c r="AA299" s="105"/>
      <c r="AB299" s="105"/>
      <c r="AC299" s="105"/>
      <c r="AD299" s="105"/>
      <c r="AE299" s="105"/>
      <c r="AF299" s="105"/>
      <c r="AG299" s="105"/>
      <c r="AH299" s="105"/>
      <c r="AI299" s="105"/>
      <c r="AJ299" s="105"/>
      <c r="AK299" s="105"/>
      <c r="AL299" s="105"/>
      <c r="AM299" s="105"/>
      <c r="AN299" s="105"/>
      <c r="AO299" s="105"/>
      <c r="AP299" s="105"/>
      <c r="AQ299" s="105"/>
      <c r="AR299" s="105"/>
      <c r="AS299" s="105"/>
      <c r="AT299" s="105"/>
      <c r="AU299" s="105"/>
      <c r="AV299" s="105"/>
      <c r="AW299" s="105"/>
      <c r="AX299" s="105"/>
      <c r="AY299" s="105"/>
      <c r="AZ299" s="105"/>
      <c r="BA299" s="105"/>
      <c r="BB299" s="105"/>
      <c r="BC299" s="105"/>
      <c r="BD299" s="105"/>
      <c r="BE299" s="105"/>
      <c r="BF299" s="105"/>
      <c r="BG299" s="105"/>
      <c r="BH299" s="105"/>
      <c r="BI299" s="105"/>
      <c r="BJ299" s="105"/>
      <c r="BK299" s="105"/>
      <c r="BL299" s="105"/>
      <c r="BM299" s="105"/>
      <c r="BN299" s="105"/>
      <c r="BO299" s="105"/>
      <c r="BP299" s="105"/>
      <c r="BQ299" s="105"/>
      <c r="BR299" s="105"/>
      <c r="BS299" s="105"/>
      <c r="BT299" s="105"/>
      <c r="BU299" s="105"/>
      <c r="BV299" s="105"/>
      <c r="BW299" s="105"/>
      <c r="BX299" s="105"/>
      <c r="BY299" s="105"/>
      <c r="BZ299" s="105"/>
      <c r="CA299" s="105"/>
      <c r="CB299" s="105"/>
      <c r="CC299" s="105"/>
      <c r="CD299" s="105"/>
      <c r="CE299" s="105"/>
      <c r="CF299" s="105"/>
      <c r="CG299" s="105"/>
      <c r="CH299" s="105"/>
      <c r="CI299" s="105"/>
      <c r="CJ299" s="105"/>
      <c r="CK299" s="105"/>
      <c r="CL299" s="105"/>
      <c r="CM299" s="105"/>
      <c r="CN299" s="105"/>
      <c r="CO299" s="105"/>
      <c r="CP299" s="105"/>
      <c r="CQ299" s="105"/>
      <c r="CR299" s="105"/>
      <c r="CS299" s="105"/>
      <c r="CT299" s="105"/>
      <c r="CU299" s="105"/>
      <c r="CV299" s="105"/>
      <c r="CW299" s="105"/>
      <c r="CX299" s="105"/>
      <c r="CY299" s="105"/>
      <c r="CZ299" s="105"/>
      <c r="DA299" s="105"/>
    </row>
    <row r="300">
      <c r="B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c r="AA300" s="105"/>
      <c r="AB300" s="105"/>
      <c r="AC300" s="105"/>
      <c r="AD300" s="105"/>
      <c r="AE300" s="105"/>
      <c r="AF300" s="105"/>
      <c r="AG300" s="105"/>
      <c r="AH300" s="105"/>
      <c r="AI300" s="105"/>
      <c r="AJ300" s="105"/>
      <c r="AK300" s="105"/>
      <c r="AL300" s="105"/>
      <c r="AM300" s="105"/>
      <c r="AN300" s="105"/>
      <c r="AO300" s="105"/>
      <c r="AP300" s="105"/>
      <c r="AQ300" s="105"/>
      <c r="AR300" s="105"/>
      <c r="AS300" s="105"/>
      <c r="AT300" s="105"/>
      <c r="AU300" s="105"/>
      <c r="AV300" s="105"/>
      <c r="AW300" s="105"/>
      <c r="AX300" s="105"/>
      <c r="AY300" s="105"/>
      <c r="AZ300" s="105"/>
      <c r="BA300" s="105"/>
      <c r="BB300" s="105"/>
      <c r="BC300" s="105"/>
      <c r="BD300" s="105"/>
      <c r="BE300" s="105"/>
      <c r="BF300" s="105"/>
      <c r="BG300" s="105"/>
      <c r="BH300" s="105"/>
      <c r="BI300" s="105"/>
      <c r="BJ300" s="105"/>
      <c r="BK300" s="105"/>
      <c r="BL300" s="105"/>
      <c r="BM300" s="105"/>
      <c r="BN300" s="105"/>
      <c r="BO300" s="105"/>
      <c r="BP300" s="105"/>
      <c r="BQ300" s="105"/>
      <c r="BR300" s="105"/>
      <c r="BS300" s="105"/>
      <c r="BT300" s="105"/>
      <c r="BU300" s="105"/>
      <c r="BV300" s="105"/>
      <c r="BW300" s="105"/>
      <c r="BX300" s="105"/>
      <c r="BY300" s="105"/>
      <c r="BZ300" s="105"/>
      <c r="CA300" s="105"/>
      <c r="CB300" s="105"/>
      <c r="CC300" s="105"/>
      <c r="CD300" s="105"/>
      <c r="CE300" s="105"/>
      <c r="CF300" s="105"/>
      <c r="CG300" s="105"/>
      <c r="CH300" s="105"/>
      <c r="CI300" s="105"/>
      <c r="CJ300" s="105"/>
      <c r="CK300" s="105"/>
      <c r="CL300" s="105"/>
      <c r="CM300" s="105"/>
      <c r="CN300" s="105"/>
      <c r="CO300" s="105"/>
      <c r="CP300" s="105"/>
      <c r="CQ300" s="105"/>
      <c r="CR300" s="105"/>
      <c r="CS300" s="105"/>
      <c r="CT300" s="105"/>
      <c r="CU300" s="105"/>
      <c r="CV300" s="105"/>
      <c r="CW300" s="105"/>
      <c r="CX300" s="105"/>
      <c r="CY300" s="105"/>
      <c r="CZ300" s="105"/>
      <c r="DA300" s="105"/>
    </row>
    <row r="301">
      <c r="B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c r="AA301" s="105"/>
      <c r="AB301" s="105"/>
      <c r="AC301" s="105"/>
      <c r="AD301" s="105"/>
      <c r="AE301" s="105"/>
      <c r="AF301" s="105"/>
      <c r="AG301" s="105"/>
      <c r="AH301" s="105"/>
      <c r="AI301" s="105"/>
      <c r="AJ301" s="105"/>
      <c r="AK301" s="105"/>
      <c r="AL301" s="105"/>
      <c r="AM301" s="105"/>
      <c r="AN301" s="105"/>
      <c r="AO301" s="105"/>
      <c r="AP301" s="105"/>
      <c r="AQ301" s="105"/>
      <c r="AR301" s="105"/>
      <c r="AS301" s="105"/>
      <c r="AT301" s="105"/>
      <c r="AU301" s="105"/>
      <c r="AV301" s="105"/>
      <c r="AW301" s="105"/>
      <c r="AX301" s="105"/>
      <c r="AY301" s="105"/>
      <c r="AZ301" s="105"/>
      <c r="BA301" s="105"/>
      <c r="BB301" s="105"/>
      <c r="BC301" s="105"/>
      <c r="BD301" s="105"/>
      <c r="BE301" s="105"/>
      <c r="BF301" s="105"/>
      <c r="BG301" s="105"/>
      <c r="BH301" s="105"/>
      <c r="BI301" s="105"/>
      <c r="BJ301" s="105"/>
      <c r="BK301" s="105"/>
      <c r="BL301" s="105"/>
      <c r="BM301" s="105"/>
      <c r="BN301" s="105"/>
      <c r="BO301" s="105"/>
      <c r="BP301" s="105"/>
      <c r="BQ301" s="105"/>
      <c r="BR301" s="105"/>
      <c r="BS301" s="105"/>
      <c r="BT301" s="105"/>
      <c r="BU301" s="105"/>
      <c r="BV301" s="105"/>
      <c r="BW301" s="105"/>
      <c r="BX301" s="105"/>
      <c r="BY301" s="105"/>
      <c r="BZ301" s="105"/>
      <c r="CA301" s="105"/>
      <c r="CB301" s="105"/>
      <c r="CC301" s="105"/>
      <c r="CD301" s="105"/>
      <c r="CE301" s="105"/>
      <c r="CF301" s="105"/>
      <c r="CG301" s="105"/>
      <c r="CH301" s="105"/>
      <c r="CI301" s="105"/>
      <c r="CJ301" s="105"/>
      <c r="CK301" s="105"/>
      <c r="CL301" s="105"/>
      <c r="CM301" s="105"/>
      <c r="CN301" s="105"/>
      <c r="CO301" s="105"/>
      <c r="CP301" s="105"/>
      <c r="CQ301" s="105"/>
      <c r="CR301" s="105"/>
      <c r="CS301" s="105"/>
      <c r="CT301" s="105"/>
      <c r="CU301" s="105"/>
      <c r="CV301" s="105"/>
      <c r="CW301" s="105"/>
      <c r="CX301" s="105"/>
      <c r="CY301" s="105"/>
      <c r="CZ301" s="105"/>
      <c r="DA301" s="105"/>
    </row>
    <row r="302">
      <c r="B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c r="AA302" s="105"/>
      <c r="AB302" s="105"/>
      <c r="AC302" s="105"/>
      <c r="AD302" s="105"/>
      <c r="AE302" s="105"/>
      <c r="AF302" s="105"/>
      <c r="AG302" s="105"/>
      <c r="AH302" s="105"/>
      <c r="AI302" s="105"/>
      <c r="AJ302" s="105"/>
      <c r="AK302" s="105"/>
      <c r="AL302" s="105"/>
      <c r="AM302" s="105"/>
      <c r="AN302" s="105"/>
      <c r="AO302" s="105"/>
      <c r="AP302" s="105"/>
      <c r="AQ302" s="105"/>
      <c r="AR302" s="105"/>
      <c r="AS302" s="105"/>
      <c r="AT302" s="105"/>
      <c r="AU302" s="105"/>
      <c r="AV302" s="105"/>
      <c r="AW302" s="105"/>
      <c r="AX302" s="105"/>
      <c r="AY302" s="105"/>
      <c r="AZ302" s="105"/>
      <c r="BA302" s="105"/>
      <c r="BB302" s="105"/>
      <c r="BC302" s="105"/>
      <c r="BD302" s="105"/>
      <c r="BE302" s="105"/>
      <c r="BF302" s="105"/>
      <c r="BG302" s="105"/>
      <c r="BH302" s="105"/>
      <c r="BI302" s="105"/>
      <c r="BJ302" s="105"/>
      <c r="BK302" s="105"/>
      <c r="BL302" s="105"/>
      <c r="BM302" s="105"/>
      <c r="BN302" s="105"/>
      <c r="BO302" s="105"/>
      <c r="BP302" s="105"/>
      <c r="BQ302" s="105"/>
      <c r="BR302" s="105"/>
      <c r="BS302" s="105"/>
      <c r="BT302" s="105"/>
      <c r="BU302" s="105"/>
      <c r="BV302" s="105"/>
      <c r="BW302" s="105"/>
      <c r="BX302" s="105"/>
      <c r="BY302" s="105"/>
      <c r="BZ302" s="105"/>
      <c r="CA302" s="105"/>
      <c r="CB302" s="105"/>
      <c r="CC302" s="105"/>
      <c r="CD302" s="105"/>
      <c r="CE302" s="105"/>
      <c r="CF302" s="105"/>
      <c r="CG302" s="105"/>
      <c r="CH302" s="105"/>
      <c r="CI302" s="105"/>
      <c r="CJ302" s="105"/>
      <c r="CK302" s="105"/>
      <c r="CL302" s="105"/>
      <c r="CM302" s="105"/>
      <c r="CN302" s="105"/>
      <c r="CO302" s="105"/>
      <c r="CP302" s="105"/>
      <c r="CQ302" s="105"/>
      <c r="CR302" s="105"/>
      <c r="CS302" s="105"/>
      <c r="CT302" s="105"/>
      <c r="CU302" s="105"/>
      <c r="CV302" s="105"/>
      <c r="CW302" s="105"/>
      <c r="CX302" s="105"/>
      <c r="CY302" s="105"/>
      <c r="CZ302" s="105"/>
      <c r="DA302" s="105"/>
    </row>
    <row r="303">
      <c r="B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c r="AA303" s="105"/>
      <c r="AB303" s="105"/>
      <c r="AC303" s="105"/>
      <c r="AD303" s="105"/>
      <c r="AE303" s="105"/>
      <c r="AF303" s="105"/>
      <c r="AG303" s="105"/>
      <c r="AH303" s="105"/>
      <c r="AI303" s="105"/>
      <c r="AJ303" s="105"/>
      <c r="AK303" s="105"/>
      <c r="AL303" s="105"/>
      <c r="AM303" s="105"/>
      <c r="AN303" s="105"/>
      <c r="AO303" s="105"/>
      <c r="AP303" s="105"/>
      <c r="AQ303" s="105"/>
      <c r="AR303" s="105"/>
      <c r="AS303" s="105"/>
      <c r="AT303" s="105"/>
      <c r="AU303" s="105"/>
      <c r="AV303" s="105"/>
      <c r="AW303" s="105"/>
      <c r="AX303" s="105"/>
      <c r="AY303" s="105"/>
      <c r="AZ303" s="105"/>
      <c r="BA303" s="105"/>
      <c r="BB303" s="105"/>
      <c r="BC303" s="105"/>
      <c r="BD303" s="105"/>
      <c r="BE303" s="105"/>
      <c r="BF303" s="105"/>
      <c r="BG303" s="105"/>
      <c r="BH303" s="105"/>
      <c r="BI303" s="105"/>
      <c r="BJ303" s="105"/>
      <c r="BK303" s="105"/>
      <c r="BL303" s="105"/>
      <c r="BM303" s="105"/>
      <c r="BN303" s="105"/>
      <c r="BO303" s="105"/>
      <c r="BP303" s="105"/>
      <c r="BQ303" s="105"/>
      <c r="BR303" s="105"/>
      <c r="BS303" s="105"/>
      <c r="BT303" s="105"/>
      <c r="BU303" s="105"/>
      <c r="BV303" s="105"/>
      <c r="BW303" s="105"/>
      <c r="BX303" s="105"/>
      <c r="BY303" s="105"/>
      <c r="BZ303" s="105"/>
      <c r="CA303" s="105"/>
      <c r="CB303" s="105"/>
      <c r="CC303" s="105"/>
      <c r="CD303" s="105"/>
      <c r="CE303" s="105"/>
      <c r="CF303" s="105"/>
      <c r="CG303" s="105"/>
      <c r="CH303" s="105"/>
      <c r="CI303" s="105"/>
      <c r="CJ303" s="105"/>
      <c r="CK303" s="105"/>
      <c r="CL303" s="105"/>
      <c r="CM303" s="105"/>
      <c r="CN303" s="105"/>
      <c r="CO303" s="105"/>
      <c r="CP303" s="105"/>
      <c r="CQ303" s="105"/>
      <c r="CR303" s="105"/>
      <c r="CS303" s="105"/>
      <c r="CT303" s="105"/>
      <c r="CU303" s="105"/>
      <c r="CV303" s="105"/>
      <c r="CW303" s="105"/>
      <c r="CX303" s="105"/>
      <c r="CY303" s="105"/>
      <c r="CZ303" s="105"/>
      <c r="DA303" s="105"/>
    </row>
    <row r="304">
      <c r="B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c r="AA304" s="105"/>
      <c r="AB304" s="105"/>
      <c r="AC304" s="105"/>
      <c r="AD304" s="105"/>
      <c r="AE304" s="105"/>
      <c r="AF304" s="105"/>
      <c r="AG304" s="105"/>
      <c r="AH304" s="105"/>
      <c r="AI304" s="105"/>
      <c r="AJ304" s="105"/>
      <c r="AK304" s="105"/>
      <c r="AL304" s="105"/>
      <c r="AM304" s="105"/>
      <c r="AN304" s="105"/>
      <c r="AO304" s="105"/>
      <c r="AP304" s="105"/>
      <c r="AQ304" s="105"/>
      <c r="AR304" s="105"/>
      <c r="AS304" s="105"/>
      <c r="AT304" s="105"/>
      <c r="AU304" s="105"/>
      <c r="AV304" s="105"/>
      <c r="AW304" s="105"/>
      <c r="AX304" s="105"/>
      <c r="AY304" s="105"/>
      <c r="AZ304" s="105"/>
      <c r="BA304" s="105"/>
      <c r="BB304" s="105"/>
      <c r="BC304" s="105"/>
      <c r="BD304" s="105"/>
      <c r="BE304" s="105"/>
      <c r="BF304" s="105"/>
      <c r="BG304" s="105"/>
      <c r="BH304" s="105"/>
      <c r="BI304" s="105"/>
      <c r="BJ304" s="105"/>
      <c r="BK304" s="105"/>
      <c r="BL304" s="105"/>
      <c r="BM304" s="105"/>
      <c r="BN304" s="105"/>
      <c r="BO304" s="105"/>
      <c r="BP304" s="105"/>
      <c r="BQ304" s="105"/>
      <c r="BR304" s="105"/>
      <c r="BS304" s="105"/>
      <c r="BT304" s="105"/>
      <c r="BU304" s="105"/>
      <c r="BV304" s="105"/>
      <c r="BW304" s="105"/>
      <c r="BX304" s="105"/>
      <c r="BY304" s="105"/>
      <c r="BZ304" s="105"/>
      <c r="CA304" s="105"/>
      <c r="CB304" s="105"/>
      <c r="CC304" s="105"/>
      <c r="CD304" s="105"/>
      <c r="CE304" s="105"/>
      <c r="CF304" s="105"/>
      <c r="CG304" s="105"/>
      <c r="CH304" s="105"/>
      <c r="CI304" s="105"/>
      <c r="CJ304" s="105"/>
      <c r="CK304" s="105"/>
      <c r="CL304" s="105"/>
      <c r="CM304" s="105"/>
      <c r="CN304" s="105"/>
      <c r="CO304" s="105"/>
      <c r="CP304" s="105"/>
      <c r="CQ304" s="105"/>
      <c r="CR304" s="105"/>
      <c r="CS304" s="105"/>
      <c r="CT304" s="105"/>
      <c r="CU304" s="105"/>
      <c r="CV304" s="105"/>
      <c r="CW304" s="105"/>
      <c r="CX304" s="105"/>
      <c r="CY304" s="105"/>
      <c r="CZ304" s="105"/>
      <c r="DA304" s="105"/>
    </row>
    <row r="305">
      <c r="B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c r="AA305" s="105"/>
      <c r="AB305" s="105"/>
      <c r="AC305" s="105"/>
      <c r="AD305" s="105"/>
      <c r="AE305" s="105"/>
      <c r="AF305" s="105"/>
      <c r="AG305" s="105"/>
      <c r="AH305" s="105"/>
      <c r="AI305" s="105"/>
      <c r="AJ305" s="105"/>
      <c r="AK305" s="105"/>
      <c r="AL305" s="105"/>
      <c r="AM305" s="105"/>
      <c r="AN305" s="105"/>
      <c r="AO305" s="105"/>
      <c r="AP305" s="105"/>
      <c r="AQ305" s="105"/>
      <c r="AR305" s="105"/>
      <c r="AS305" s="105"/>
      <c r="AT305" s="105"/>
      <c r="AU305" s="105"/>
      <c r="AV305" s="105"/>
      <c r="AW305" s="105"/>
      <c r="AX305" s="105"/>
      <c r="AY305" s="105"/>
      <c r="AZ305" s="105"/>
      <c r="BA305" s="105"/>
      <c r="BB305" s="105"/>
      <c r="BC305" s="105"/>
      <c r="BD305" s="105"/>
      <c r="BE305" s="105"/>
      <c r="BF305" s="105"/>
      <c r="BG305" s="105"/>
      <c r="BH305" s="105"/>
      <c r="BI305" s="105"/>
      <c r="BJ305" s="105"/>
      <c r="BK305" s="105"/>
      <c r="BL305" s="105"/>
      <c r="BM305" s="105"/>
      <c r="BN305" s="105"/>
      <c r="BO305" s="105"/>
      <c r="BP305" s="105"/>
      <c r="BQ305" s="105"/>
      <c r="BR305" s="105"/>
      <c r="BS305" s="105"/>
      <c r="BT305" s="105"/>
      <c r="BU305" s="105"/>
      <c r="BV305" s="105"/>
      <c r="BW305" s="105"/>
      <c r="BX305" s="105"/>
      <c r="BY305" s="105"/>
      <c r="BZ305" s="105"/>
      <c r="CA305" s="105"/>
      <c r="CB305" s="105"/>
      <c r="CC305" s="105"/>
      <c r="CD305" s="105"/>
      <c r="CE305" s="105"/>
      <c r="CF305" s="105"/>
      <c r="CG305" s="105"/>
      <c r="CH305" s="105"/>
      <c r="CI305" s="105"/>
      <c r="CJ305" s="105"/>
      <c r="CK305" s="105"/>
      <c r="CL305" s="105"/>
      <c r="CM305" s="105"/>
      <c r="CN305" s="105"/>
      <c r="CO305" s="105"/>
      <c r="CP305" s="105"/>
      <c r="CQ305" s="105"/>
      <c r="CR305" s="105"/>
      <c r="CS305" s="105"/>
      <c r="CT305" s="105"/>
      <c r="CU305" s="105"/>
      <c r="CV305" s="105"/>
      <c r="CW305" s="105"/>
      <c r="CX305" s="105"/>
      <c r="CY305" s="105"/>
      <c r="CZ305" s="105"/>
      <c r="DA305" s="105"/>
    </row>
    <row r="306">
      <c r="B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c r="AA306" s="105"/>
      <c r="AB306" s="105"/>
      <c r="AC306" s="105"/>
      <c r="AD306" s="105"/>
      <c r="AE306" s="105"/>
      <c r="AF306" s="105"/>
      <c r="AG306" s="105"/>
      <c r="AH306" s="105"/>
      <c r="AI306" s="105"/>
      <c r="AJ306" s="105"/>
      <c r="AK306" s="105"/>
      <c r="AL306" s="105"/>
      <c r="AM306" s="105"/>
      <c r="AN306" s="105"/>
      <c r="AO306" s="105"/>
      <c r="AP306" s="105"/>
      <c r="AQ306" s="105"/>
      <c r="AR306" s="105"/>
      <c r="AS306" s="105"/>
      <c r="AT306" s="105"/>
      <c r="AU306" s="105"/>
      <c r="AV306" s="105"/>
      <c r="AW306" s="105"/>
      <c r="AX306" s="105"/>
      <c r="AY306" s="105"/>
      <c r="AZ306" s="105"/>
      <c r="BA306" s="105"/>
      <c r="BB306" s="105"/>
      <c r="BC306" s="105"/>
      <c r="BD306" s="105"/>
      <c r="BE306" s="105"/>
      <c r="BF306" s="105"/>
      <c r="BG306" s="105"/>
      <c r="BH306" s="105"/>
      <c r="BI306" s="105"/>
      <c r="BJ306" s="105"/>
      <c r="BK306" s="105"/>
      <c r="BL306" s="105"/>
      <c r="BM306" s="105"/>
      <c r="BN306" s="105"/>
      <c r="BO306" s="105"/>
      <c r="BP306" s="105"/>
      <c r="BQ306" s="105"/>
      <c r="BR306" s="105"/>
      <c r="BS306" s="105"/>
      <c r="BT306" s="105"/>
      <c r="BU306" s="105"/>
      <c r="BV306" s="105"/>
      <c r="BW306" s="105"/>
      <c r="BX306" s="105"/>
      <c r="BY306" s="105"/>
      <c r="BZ306" s="105"/>
      <c r="CA306" s="105"/>
      <c r="CB306" s="105"/>
      <c r="CC306" s="105"/>
      <c r="CD306" s="105"/>
      <c r="CE306" s="105"/>
      <c r="CF306" s="105"/>
      <c r="CG306" s="105"/>
      <c r="CH306" s="105"/>
      <c r="CI306" s="105"/>
      <c r="CJ306" s="105"/>
      <c r="CK306" s="105"/>
      <c r="CL306" s="105"/>
      <c r="CM306" s="105"/>
      <c r="CN306" s="105"/>
      <c r="CO306" s="105"/>
      <c r="CP306" s="105"/>
      <c r="CQ306" s="105"/>
      <c r="CR306" s="105"/>
      <c r="CS306" s="105"/>
      <c r="CT306" s="105"/>
      <c r="CU306" s="105"/>
      <c r="CV306" s="105"/>
      <c r="CW306" s="105"/>
      <c r="CX306" s="105"/>
      <c r="CY306" s="105"/>
      <c r="CZ306" s="105"/>
      <c r="DA306" s="105"/>
    </row>
    <row r="307">
      <c r="B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c r="AA307" s="105"/>
      <c r="AB307" s="105"/>
      <c r="AC307" s="105"/>
      <c r="AD307" s="105"/>
      <c r="AE307" s="105"/>
      <c r="AF307" s="105"/>
      <c r="AG307" s="105"/>
      <c r="AH307" s="105"/>
      <c r="AI307" s="105"/>
      <c r="AJ307" s="105"/>
      <c r="AK307" s="105"/>
      <c r="AL307" s="105"/>
      <c r="AM307" s="105"/>
      <c r="AN307" s="105"/>
      <c r="AO307" s="105"/>
      <c r="AP307" s="105"/>
      <c r="AQ307" s="105"/>
      <c r="AR307" s="105"/>
      <c r="AS307" s="105"/>
      <c r="AT307" s="105"/>
      <c r="AU307" s="105"/>
      <c r="AV307" s="105"/>
      <c r="AW307" s="105"/>
      <c r="AX307" s="105"/>
      <c r="AY307" s="105"/>
      <c r="AZ307" s="105"/>
      <c r="BA307" s="105"/>
      <c r="BB307" s="105"/>
      <c r="BC307" s="105"/>
      <c r="BD307" s="105"/>
      <c r="BE307" s="105"/>
      <c r="BF307" s="105"/>
      <c r="BG307" s="105"/>
      <c r="BH307" s="105"/>
      <c r="BI307" s="105"/>
      <c r="BJ307" s="105"/>
      <c r="BK307" s="105"/>
      <c r="BL307" s="105"/>
      <c r="BM307" s="105"/>
      <c r="BN307" s="105"/>
      <c r="BO307" s="105"/>
      <c r="BP307" s="105"/>
      <c r="BQ307" s="105"/>
      <c r="BR307" s="105"/>
      <c r="BS307" s="105"/>
      <c r="BT307" s="105"/>
      <c r="BU307" s="105"/>
      <c r="BV307" s="105"/>
      <c r="BW307" s="105"/>
      <c r="BX307" s="105"/>
      <c r="BY307" s="105"/>
      <c r="BZ307" s="105"/>
      <c r="CA307" s="105"/>
      <c r="CB307" s="105"/>
      <c r="CC307" s="105"/>
      <c r="CD307" s="105"/>
      <c r="CE307" s="105"/>
      <c r="CF307" s="105"/>
      <c r="CG307" s="105"/>
      <c r="CH307" s="105"/>
      <c r="CI307" s="105"/>
      <c r="CJ307" s="105"/>
      <c r="CK307" s="105"/>
      <c r="CL307" s="105"/>
      <c r="CM307" s="105"/>
      <c r="CN307" s="105"/>
      <c r="CO307" s="105"/>
      <c r="CP307" s="105"/>
      <c r="CQ307" s="105"/>
      <c r="CR307" s="105"/>
      <c r="CS307" s="105"/>
      <c r="CT307" s="105"/>
      <c r="CU307" s="105"/>
      <c r="CV307" s="105"/>
      <c r="CW307" s="105"/>
      <c r="CX307" s="105"/>
      <c r="CY307" s="105"/>
      <c r="CZ307" s="105"/>
      <c r="DA307" s="105"/>
    </row>
    <row r="308">
      <c r="B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c r="AA308" s="105"/>
      <c r="AB308" s="105"/>
      <c r="AC308" s="105"/>
      <c r="AD308" s="105"/>
      <c r="AE308" s="105"/>
      <c r="AF308" s="105"/>
      <c r="AG308" s="105"/>
      <c r="AH308" s="105"/>
      <c r="AI308" s="105"/>
      <c r="AJ308" s="105"/>
      <c r="AK308" s="105"/>
      <c r="AL308" s="105"/>
      <c r="AM308" s="105"/>
      <c r="AN308" s="105"/>
      <c r="AO308" s="105"/>
      <c r="AP308" s="105"/>
      <c r="AQ308" s="105"/>
      <c r="AR308" s="105"/>
      <c r="AS308" s="105"/>
      <c r="AT308" s="105"/>
      <c r="AU308" s="105"/>
      <c r="AV308" s="105"/>
      <c r="AW308" s="105"/>
      <c r="AX308" s="105"/>
      <c r="AY308" s="105"/>
      <c r="AZ308" s="105"/>
      <c r="BA308" s="105"/>
      <c r="BB308" s="105"/>
      <c r="BC308" s="105"/>
      <c r="BD308" s="105"/>
      <c r="BE308" s="105"/>
      <c r="BF308" s="105"/>
      <c r="BG308" s="105"/>
      <c r="BH308" s="105"/>
      <c r="BI308" s="105"/>
      <c r="BJ308" s="105"/>
      <c r="BK308" s="105"/>
      <c r="BL308" s="105"/>
      <c r="BM308" s="105"/>
      <c r="BN308" s="105"/>
      <c r="BO308" s="105"/>
      <c r="BP308" s="105"/>
      <c r="BQ308" s="105"/>
      <c r="BR308" s="105"/>
      <c r="BS308" s="105"/>
      <c r="BT308" s="105"/>
      <c r="BU308" s="105"/>
      <c r="BV308" s="105"/>
      <c r="BW308" s="105"/>
      <c r="BX308" s="105"/>
      <c r="BY308" s="105"/>
      <c r="BZ308" s="105"/>
      <c r="CA308" s="105"/>
      <c r="CB308" s="105"/>
      <c r="CC308" s="105"/>
      <c r="CD308" s="105"/>
      <c r="CE308" s="105"/>
      <c r="CF308" s="105"/>
      <c r="CG308" s="105"/>
      <c r="CH308" s="105"/>
      <c r="CI308" s="105"/>
      <c r="CJ308" s="105"/>
      <c r="CK308" s="105"/>
      <c r="CL308" s="105"/>
      <c r="CM308" s="105"/>
      <c r="CN308" s="105"/>
      <c r="CO308" s="105"/>
      <c r="CP308" s="105"/>
      <c r="CQ308" s="105"/>
      <c r="CR308" s="105"/>
      <c r="CS308" s="105"/>
      <c r="CT308" s="105"/>
      <c r="CU308" s="105"/>
      <c r="CV308" s="105"/>
      <c r="CW308" s="105"/>
      <c r="CX308" s="105"/>
      <c r="CY308" s="105"/>
      <c r="CZ308" s="105"/>
      <c r="DA308" s="105"/>
    </row>
    <row r="309">
      <c r="B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c r="AA309" s="105"/>
      <c r="AB309" s="105"/>
      <c r="AC309" s="105"/>
      <c r="AD309" s="105"/>
      <c r="AE309" s="105"/>
      <c r="AF309" s="105"/>
      <c r="AG309" s="105"/>
      <c r="AH309" s="105"/>
      <c r="AI309" s="105"/>
      <c r="AJ309" s="105"/>
      <c r="AK309" s="105"/>
      <c r="AL309" s="105"/>
      <c r="AM309" s="105"/>
      <c r="AN309" s="105"/>
      <c r="AO309" s="105"/>
      <c r="AP309" s="105"/>
      <c r="AQ309" s="105"/>
      <c r="AR309" s="105"/>
      <c r="AS309" s="105"/>
      <c r="AT309" s="105"/>
      <c r="AU309" s="105"/>
      <c r="AV309" s="105"/>
      <c r="AW309" s="105"/>
      <c r="AX309" s="105"/>
      <c r="AY309" s="105"/>
      <c r="AZ309" s="105"/>
      <c r="BA309" s="105"/>
      <c r="BB309" s="105"/>
      <c r="BC309" s="105"/>
      <c r="BD309" s="105"/>
      <c r="BE309" s="105"/>
      <c r="BF309" s="105"/>
      <c r="BG309" s="105"/>
      <c r="BH309" s="105"/>
      <c r="BI309" s="105"/>
      <c r="BJ309" s="105"/>
      <c r="BK309" s="105"/>
      <c r="BL309" s="105"/>
      <c r="BM309" s="105"/>
      <c r="BN309" s="105"/>
      <c r="BO309" s="105"/>
      <c r="BP309" s="105"/>
      <c r="BQ309" s="105"/>
      <c r="BR309" s="105"/>
      <c r="BS309" s="105"/>
      <c r="BT309" s="105"/>
      <c r="BU309" s="105"/>
      <c r="BV309" s="105"/>
      <c r="BW309" s="105"/>
      <c r="BX309" s="105"/>
      <c r="BY309" s="105"/>
      <c r="BZ309" s="105"/>
      <c r="CA309" s="105"/>
      <c r="CB309" s="105"/>
      <c r="CC309" s="105"/>
      <c r="CD309" s="105"/>
      <c r="CE309" s="105"/>
      <c r="CF309" s="105"/>
      <c r="CG309" s="105"/>
      <c r="CH309" s="105"/>
      <c r="CI309" s="105"/>
      <c r="CJ309" s="105"/>
      <c r="CK309" s="105"/>
      <c r="CL309" s="105"/>
      <c r="CM309" s="105"/>
      <c r="CN309" s="105"/>
      <c r="CO309" s="105"/>
      <c r="CP309" s="105"/>
      <c r="CQ309" s="105"/>
      <c r="CR309" s="105"/>
      <c r="CS309" s="105"/>
      <c r="CT309" s="105"/>
      <c r="CU309" s="105"/>
      <c r="CV309" s="105"/>
      <c r="CW309" s="105"/>
      <c r="CX309" s="105"/>
      <c r="CY309" s="105"/>
      <c r="CZ309" s="105"/>
      <c r="DA309" s="105"/>
    </row>
    <row r="310">
      <c r="B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c r="AA310" s="105"/>
      <c r="AB310" s="105"/>
      <c r="AC310" s="105"/>
      <c r="AD310" s="105"/>
      <c r="AE310" s="105"/>
      <c r="AF310" s="105"/>
      <c r="AG310" s="105"/>
      <c r="AH310" s="105"/>
      <c r="AI310" s="105"/>
      <c r="AJ310" s="105"/>
      <c r="AK310" s="105"/>
      <c r="AL310" s="105"/>
      <c r="AM310" s="105"/>
      <c r="AN310" s="105"/>
      <c r="AO310" s="105"/>
      <c r="AP310" s="105"/>
      <c r="AQ310" s="105"/>
      <c r="AR310" s="105"/>
      <c r="AS310" s="105"/>
      <c r="AT310" s="105"/>
      <c r="AU310" s="105"/>
      <c r="AV310" s="105"/>
      <c r="AW310" s="105"/>
      <c r="AX310" s="105"/>
      <c r="AY310" s="105"/>
      <c r="AZ310" s="105"/>
      <c r="BA310" s="105"/>
      <c r="BB310" s="105"/>
      <c r="BC310" s="105"/>
      <c r="BD310" s="105"/>
      <c r="BE310" s="105"/>
      <c r="BF310" s="105"/>
      <c r="BG310" s="105"/>
      <c r="BH310" s="105"/>
      <c r="BI310" s="105"/>
      <c r="BJ310" s="105"/>
      <c r="BK310" s="105"/>
      <c r="BL310" s="105"/>
      <c r="BM310" s="105"/>
      <c r="BN310" s="105"/>
      <c r="BO310" s="105"/>
      <c r="BP310" s="105"/>
      <c r="BQ310" s="105"/>
      <c r="BR310" s="105"/>
      <c r="BS310" s="105"/>
      <c r="BT310" s="105"/>
      <c r="BU310" s="105"/>
      <c r="BV310" s="105"/>
      <c r="BW310" s="105"/>
      <c r="BX310" s="105"/>
      <c r="BY310" s="105"/>
      <c r="BZ310" s="105"/>
      <c r="CA310" s="105"/>
      <c r="CB310" s="105"/>
      <c r="CC310" s="105"/>
      <c r="CD310" s="105"/>
      <c r="CE310" s="105"/>
      <c r="CF310" s="105"/>
      <c r="CG310" s="105"/>
      <c r="CH310" s="105"/>
      <c r="CI310" s="105"/>
      <c r="CJ310" s="105"/>
      <c r="CK310" s="105"/>
      <c r="CL310" s="105"/>
      <c r="CM310" s="105"/>
      <c r="CN310" s="105"/>
      <c r="CO310" s="105"/>
      <c r="CP310" s="105"/>
      <c r="CQ310" s="105"/>
      <c r="CR310" s="105"/>
      <c r="CS310" s="105"/>
      <c r="CT310" s="105"/>
      <c r="CU310" s="105"/>
      <c r="CV310" s="105"/>
      <c r="CW310" s="105"/>
      <c r="CX310" s="105"/>
      <c r="CY310" s="105"/>
      <c r="CZ310" s="105"/>
      <c r="DA310" s="105"/>
    </row>
    <row r="311">
      <c r="B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c r="AA311" s="105"/>
      <c r="AB311" s="105"/>
      <c r="AC311" s="105"/>
      <c r="AD311" s="105"/>
      <c r="AE311" s="105"/>
      <c r="AF311" s="105"/>
      <c r="AG311" s="105"/>
      <c r="AH311" s="105"/>
      <c r="AI311" s="105"/>
      <c r="AJ311" s="105"/>
      <c r="AK311" s="105"/>
      <c r="AL311" s="105"/>
      <c r="AM311" s="105"/>
      <c r="AN311" s="105"/>
      <c r="AO311" s="105"/>
      <c r="AP311" s="105"/>
      <c r="AQ311" s="105"/>
      <c r="AR311" s="105"/>
      <c r="AS311" s="105"/>
      <c r="AT311" s="105"/>
      <c r="AU311" s="105"/>
      <c r="AV311" s="105"/>
      <c r="AW311" s="105"/>
      <c r="AX311" s="105"/>
      <c r="AY311" s="105"/>
      <c r="AZ311" s="105"/>
      <c r="BA311" s="105"/>
      <c r="BB311" s="105"/>
      <c r="BC311" s="105"/>
      <c r="BD311" s="105"/>
      <c r="BE311" s="105"/>
      <c r="BF311" s="105"/>
      <c r="BG311" s="105"/>
      <c r="BH311" s="105"/>
      <c r="BI311" s="105"/>
      <c r="BJ311" s="105"/>
      <c r="BK311" s="105"/>
      <c r="BL311" s="105"/>
      <c r="BM311" s="105"/>
      <c r="BN311" s="105"/>
      <c r="BO311" s="105"/>
      <c r="BP311" s="105"/>
      <c r="BQ311" s="105"/>
      <c r="BR311" s="105"/>
      <c r="BS311" s="105"/>
      <c r="BT311" s="105"/>
      <c r="BU311" s="105"/>
      <c r="BV311" s="105"/>
      <c r="BW311" s="105"/>
      <c r="BX311" s="105"/>
      <c r="BY311" s="105"/>
      <c r="BZ311" s="105"/>
      <c r="CA311" s="105"/>
      <c r="CB311" s="105"/>
      <c r="CC311" s="105"/>
      <c r="CD311" s="105"/>
      <c r="CE311" s="105"/>
      <c r="CF311" s="105"/>
      <c r="CG311" s="105"/>
      <c r="CH311" s="105"/>
      <c r="CI311" s="105"/>
      <c r="CJ311" s="105"/>
      <c r="CK311" s="105"/>
      <c r="CL311" s="105"/>
      <c r="CM311" s="105"/>
      <c r="CN311" s="105"/>
      <c r="CO311" s="105"/>
      <c r="CP311" s="105"/>
      <c r="CQ311" s="105"/>
      <c r="CR311" s="105"/>
      <c r="CS311" s="105"/>
      <c r="CT311" s="105"/>
      <c r="CU311" s="105"/>
      <c r="CV311" s="105"/>
      <c r="CW311" s="105"/>
      <c r="CX311" s="105"/>
      <c r="CY311" s="105"/>
      <c r="CZ311" s="105"/>
      <c r="DA311" s="105"/>
    </row>
    <row r="312">
      <c r="B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c r="AA312" s="105"/>
      <c r="AB312" s="105"/>
      <c r="AC312" s="105"/>
      <c r="AD312" s="105"/>
      <c r="AE312" s="105"/>
      <c r="AF312" s="105"/>
      <c r="AG312" s="105"/>
      <c r="AH312" s="105"/>
      <c r="AI312" s="105"/>
      <c r="AJ312" s="105"/>
      <c r="AK312" s="105"/>
      <c r="AL312" s="105"/>
      <c r="AM312" s="105"/>
      <c r="AN312" s="105"/>
      <c r="AO312" s="105"/>
      <c r="AP312" s="105"/>
      <c r="AQ312" s="105"/>
      <c r="AR312" s="105"/>
      <c r="AS312" s="105"/>
      <c r="AT312" s="105"/>
      <c r="AU312" s="105"/>
      <c r="AV312" s="105"/>
      <c r="AW312" s="105"/>
      <c r="AX312" s="105"/>
      <c r="AY312" s="105"/>
      <c r="AZ312" s="105"/>
      <c r="BA312" s="105"/>
      <c r="BB312" s="105"/>
      <c r="BC312" s="105"/>
      <c r="BD312" s="105"/>
      <c r="BE312" s="105"/>
      <c r="BF312" s="105"/>
      <c r="BG312" s="105"/>
      <c r="BH312" s="105"/>
      <c r="BI312" s="105"/>
      <c r="BJ312" s="105"/>
      <c r="BK312" s="105"/>
      <c r="BL312" s="105"/>
      <c r="BM312" s="105"/>
      <c r="BN312" s="105"/>
      <c r="BO312" s="105"/>
      <c r="BP312" s="105"/>
      <c r="BQ312" s="105"/>
      <c r="BR312" s="105"/>
      <c r="BS312" s="105"/>
      <c r="BT312" s="105"/>
      <c r="BU312" s="105"/>
      <c r="BV312" s="105"/>
      <c r="BW312" s="105"/>
      <c r="BX312" s="105"/>
      <c r="BY312" s="105"/>
      <c r="BZ312" s="105"/>
      <c r="CA312" s="105"/>
      <c r="CB312" s="105"/>
      <c r="CC312" s="105"/>
      <c r="CD312" s="105"/>
      <c r="CE312" s="105"/>
      <c r="CF312" s="105"/>
      <c r="CG312" s="105"/>
      <c r="CH312" s="105"/>
      <c r="CI312" s="105"/>
      <c r="CJ312" s="105"/>
      <c r="CK312" s="105"/>
      <c r="CL312" s="105"/>
      <c r="CM312" s="105"/>
      <c r="CN312" s="105"/>
      <c r="CO312" s="105"/>
      <c r="CP312" s="105"/>
      <c r="CQ312" s="105"/>
      <c r="CR312" s="105"/>
      <c r="CS312" s="105"/>
      <c r="CT312" s="105"/>
      <c r="CU312" s="105"/>
      <c r="CV312" s="105"/>
      <c r="CW312" s="105"/>
      <c r="CX312" s="105"/>
      <c r="CY312" s="105"/>
      <c r="CZ312" s="105"/>
      <c r="DA312" s="105"/>
    </row>
    <row r="313">
      <c r="B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c r="AA313" s="105"/>
      <c r="AB313" s="105"/>
      <c r="AC313" s="105"/>
      <c r="AD313" s="105"/>
      <c r="AE313" s="105"/>
      <c r="AF313" s="105"/>
      <c r="AG313" s="105"/>
      <c r="AH313" s="105"/>
      <c r="AI313" s="105"/>
      <c r="AJ313" s="105"/>
      <c r="AK313" s="105"/>
      <c r="AL313" s="105"/>
      <c r="AM313" s="105"/>
      <c r="AN313" s="105"/>
      <c r="AO313" s="105"/>
      <c r="AP313" s="105"/>
      <c r="AQ313" s="105"/>
      <c r="AR313" s="105"/>
      <c r="AS313" s="105"/>
      <c r="AT313" s="105"/>
      <c r="AU313" s="105"/>
      <c r="AV313" s="105"/>
      <c r="AW313" s="105"/>
      <c r="AX313" s="105"/>
      <c r="AY313" s="105"/>
      <c r="AZ313" s="105"/>
      <c r="BA313" s="105"/>
      <c r="BB313" s="105"/>
      <c r="BC313" s="105"/>
      <c r="BD313" s="105"/>
      <c r="BE313" s="105"/>
      <c r="BF313" s="105"/>
      <c r="BG313" s="105"/>
      <c r="BH313" s="105"/>
      <c r="BI313" s="105"/>
      <c r="BJ313" s="105"/>
      <c r="BK313" s="105"/>
      <c r="BL313" s="105"/>
      <c r="BM313" s="105"/>
      <c r="BN313" s="105"/>
      <c r="BO313" s="105"/>
      <c r="BP313" s="105"/>
      <c r="BQ313" s="105"/>
      <c r="BR313" s="105"/>
      <c r="BS313" s="105"/>
      <c r="BT313" s="105"/>
      <c r="BU313" s="105"/>
      <c r="BV313" s="105"/>
      <c r="BW313" s="105"/>
      <c r="BX313" s="105"/>
      <c r="BY313" s="105"/>
      <c r="BZ313" s="105"/>
      <c r="CA313" s="105"/>
      <c r="CB313" s="105"/>
      <c r="CC313" s="105"/>
      <c r="CD313" s="105"/>
      <c r="CE313" s="105"/>
      <c r="CF313" s="105"/>
      <c r="CG313" s="105"/>
      <c r="CH313" s="105"/>
      <c r="CI313" s="105"/>
      <c r="CJ313" s="105"/>
      <c r="CK313" s="105"/>
      <c r="CL313" s="105"/>
      <c r="CM313" s="105"/>
      <c r="CN313" s="105"/>
      <c r="CO313" s="105"/>
      <c r="CP313" s="105"/>
      <c r="CQ313" s="105"/>
      <c r="CR313" s="105"/>
      <c r="CS313" s="105"/>
      <c r="CT313" s="105"/>
      <c r="CU313" s="105"/>
      <c r="CV313" s="105"/>
      <c r="CW313" s="105"/>
      <c r="CX313" s="105"/>
      <c r="CY313" s="105"/>
      <c r="CZ313" s="105"/>
      <c r="DA313" s="105"/>
    </row>
    <row r="314">
      <c r="B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c r="AA314" s="105"/>
      <c r="AB314" s="105"/>
      <c r="AC314" s="105"/>
      <c r="AD314" s="105"/>
      <c r="AE314" s="105"/>
      <c r="AF314" s="105"/>
      <c r="AG314" s="105"/>
      <c r="AH314" s="105"/>
      <c r="AI314" s="105"/>
      <c r="AJ314" s="105"/>
      <c r="AK314" s="105"/>
      <c r="AL314" s="105"/>
      <c r="AM314" s="105"/>
      <c r="AN314" s="105"/>
      <c r="AO314" s="105"/>
      <c r="AP314" s="105"/>
      <c r="AQ314" s="105"/>
      <c r="AR314" s="105"/>
      <c r="AS314" s="105"/>
      <c r="AT314" s="105"/>
      <c r="AU314" s="105"/>
      <c r="AV314" s="105"/>
      <c r="AW314" s="105"/>
      <c r="AX314" s="105"/>
      <c r="AY314" s="105"/>
      <c r="AZ314" s="105"/>
      <c r="BA314" s="105"/>
      <c r="BB314" s="105"/>
      <c r="BC314" s="105"/>
      <c r="BD314" s="105"/>
      <c r="BE314" s="105"/>
      <c r="BF314" s="105"/>
      <c r="BG314" s="105"/>
      <c r="BH314" s="105"/>
      <c r="BI314" s="105"/>
      <c r="BJ314" s="105"/>
      <c r="BK314" s="105"/>
      <c r="BL314" s="105"/>
      <c r="BM314" s="105"/>
      <c r="BN314" s="105"/>
      <c r="BO314" s="105"/>
      <c r="BP314" s="105"/>
      <c r="BQ314" s="105"/>
      <c r="BR314" s="105"/>
      <c r="BS314" s="105"/>
      <c r="BT314" s="105"/>
      <c r="BU314" s="105"/>
      <c r="BV314" s="105"/>
      <c r="BW314" s="105"/>
      <c r="BX314" s="105"/>
      <c r="BY314" s="105"/>
      <c r="BZ314" s="105"/>
      <c r="CA314" s="105"/>
      <c r="CB314" s="105"/>
      <c r="CC314" s="105"/>
      <c r="CD314" s="105"/>
      <c r="CE314" s="105"/>
      <c r="CF314" s="105"/>
      <c r="CG314" s="105"/>
      <c r="CH314" s="105"/>
      <c r="CI314" s="105"/>
      <c r="CJ314" s="105"/>
      <c r="CK314" s="105"/>
      <c r="CL314" s="105"/>
      <c r="CM314" s="105"/>
      <c r="CN314" s="105"/>
      <c r="CO314" s="105"/>
      <c r="CP314" s="105"/>
      <c r="CQ314" s="105"/>
      <c r="CR314" s="105"/>
      <c r="CS314" s="105"/>
      <c r="CT314" s="105"/>
      <c r="CU314" s="105"/>
      <c r="CV314" s="105"/>
      <c r="CW314" s="105"/>
      <c r="CX314" s="105"/>
      <c r="CY314" s="105"/>
      <c r="CZ314" s="105"/>
      <c r="DA314" s="105"/>
    </row>
    <row r="315">
      <c r="B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c r="AA315" s="105"/>
      <c r="AB315" s="105"/>
      <c r="AC315" s="105"/>
      <c r="AD315" s="105"/>
      <c r="AE315" s="105"/>
      <c r="AF315" s="105"/>
      <c r="AG315" s="105"/>
      <c r="AH315" s="105"/>
      <c r="AI315" s="105"/>
      <c r="AJ315" s="105"/>
      <c r="AK315" s="105"/>
      <c r="AL315" s="105"/>
      <c r="AM315" s="105"/>
      <c r="AN315" s="105"/>
      <c r="AO315" s="105"/>
      <c r="AP315" s="105"/>
      <c r="AQ315" s="105"/>
      <c r="AR315" s="105"/>
      <c r="AS315" s="105"/>
      <c r="AT315" s="105"/>
      <c r="AU315" s="105"/>
      <c r="AV315" s="105"/>
      <c r="AW315" s="105"/>
      <c r="AX315" s="105"/>
      <c r="AY315" s="105"/>
      <c r="AZ315" s="105"/>
      <c r="BA315" s="105"/>
      <c r="BB315" s="105"/>
      <c r="BC315" s="105"/>
      <c r="BD315" s="105"/>
      <c r="BE315" s="105"/>
      <c r="BF315" s="105"/>
      <c r="BG315" s="105"/>
      <c r="BH315" s="105"/>
      <c r="BI315" s="105"/>
      <c r="BJ315" s="105"/>
      <c r="BK315" s="105"/>
      <c r="BL315" s="105"/>
      <c r="BM315" s="105"/>
      <c r="BN315" s="105"/>
      <c r="BO315" s="105"/>
      <c r="BP315" s="105"/>
      <c r="BQ315" s="105"/>
      <c r="BR315" s="105"/>
      <c r="BS315" s="105"/>
      <c r="BT315" s="105"/>
      <c r="BU315" s="105"/>
      <c r="BV315" s="105"/>
      <c r="BW315" s="105"/>
      <c r="BX315" s="105"/>
      <c r="BY315" s="105"/>
      <c r="BZ315" s="105"/>
      <c r="CA315" s="105"/>
      <c r="CB315" s="105"/>
      <c r="CC315" s="105"/>
      <c r="CD315" s="105"/>
      <c r="CE315" s="105"/>
      <c r="CF315" s="105"/>
      <c r="CG315" s="105"/>
      <c r="CH315" s="105"/>
      <c r="CI315" s="105"/>
      <c r="CJ315" s="105"/>
      <c r="CK315" s="105"/>
      <c r="CL315" s="105"/>
      <c r="CM315" s="105"/>
      <c r="CN315" s="105"/>
      <c r="CO315" s="105"/>
      <c r="CP315" s="105"/>
      <c r="CQ315" s="105"/>
      <c r="CR315" s="105"/>
      <c r="CS315" s="105"/>
      <c r="CT315" s="105"/>
      <c r="CU315" s="105"/>
      <c r="CV315" s="105"/>
      <c r="CW315" s="105"/>
      <c r="CX315" s="105"/>
      <c r="CY315" s="105"/>
      <c r="CZ315" s="105"/>
      <c r="DA315" s="105"/>
    </row>
    <row r="316">
      <c r="B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c r="AA316" s="105"/>
      <c r="AB316" s="105"/>
      <c r="AC316" s="105"/>
      <c r="AD316" s="105"/>
      <c r="AE316" s="105"/>
      <c r="AF316" s="105"/>
      <c r="AG316" s="105"/>
      <c r="AH316" s="105"/>
      <c r="AI316" s="105"/>
      <c r="AJ316" s="105"/>
      <c r="AK316" s="105"/>
      <c r="AL316" s="105"/>
      <c r="AM316" s="105"/>
      <c r="AN316" s="105"/>
      <c r="AO316" s="105"/>
      <c r="AP316" s="105"/>
      <c r="AQ316" s="105"/>
      <c r="AR316" s="105"/>
      <c r="AS316" s="105"/>
      <c r="AT316" s="105"/>
      <c r="AU316" s="105"/>
      <c r="AV316" s="105"/>
      <c r="AW316" s="105"/>
      <c r="AX316" s="105"/>
      <c r="AY316" s="105"/>
      <c r="AZ316" s="105"/>
      <c r="BA316" s="105"/>
      <c r="BB316" s="105"/>
      <c r="BC316" s="105"/>
      <c r="BD316" s="105"/>
      <c r="BE316" s="105"/>
      <c r="BF316" s="105"/>
      <c r="BG316" s="105"/>
      <c r="BH316" s="105"/>
      <c r="BI316" s="105"/>
      <c r="BJ316" s="105"/>
      <c r="BK316" s="105"/>
      <c r="BL316" s="105"/>
      <c r="BM316" s="105"/>
      <c r="BN316" s="105"/>
      <c r="BO316" s="105"/>
      <c r="BP316" s="105"/>
      <c r="BQ316" s="105"/>
      <c r="BR316" s="105"/>
      <c r="BS316" s="105"/>
      <c r="BT316" s="105"/>
      <c r="BU316" s="105"/>
      <c r="BV316" s="105"/>
      <c r="BW316" s="105"/>
      <c r="BX316" s="105"/>
      <c r="BY316" s="105"/>
      <c r="BZ316" s="105"/>
      <c r="CA316" s="105"/>
      <c r="CB316" s="105"/>
      <c r="CC316" s="105"/>
      <c r="CD316" s="105"/>
      <c r="CE316" s="105"/>
      <c r="CF316" s="105"/>
      <c r="CG316" s="105"/>
      <c r="CH316" s="105"/>
      <c r="CI316" s="105"/>
      <c r="CJ316" s="105"/>
      <c r="CK316" s="105"/>
      <c r="CL316" s="105"/>
      <c r="CM316" s="105"/>
      <c r="CN316" s="105"/>
      <c r="CO316" s="105"/>
      <c r="CP316" s="105"/>
      <c r="CQ316" s="105"/>
      <c r="CR316" s="105"/>
      <c r="CS316" s="105"/>
      <c r="CT316" s="105"/>
      <c r="CU316" s="105"/>
      <c r="CV316" s="105"/>
      <c r="CW316" s="105"/>
      <c r="CX316" s="105"/>
      <c r="CY316" s="105"/>
      <c r="CZ316" s="105"/>
      <c r="DA316" s="105"/>
    </row>
    <row r="317">
      <c r="B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c r="AA317" s="105"/>
      <c r="AB317" s="105"/>
      <c r="AC317" s="105"/>
      <c r="AD317" s="105"/>
      <c r="AE317" s="105"/>
      <c r="AF317" s="105"/>
      <c r="AG317" s="105"/>
      <c r="AH317" s="105"/>
      <c r="AI317" s="105"/>
      <c r="AJ317" s="105"/>
      <c r="AK317" s="105"/>
      <c r="AL317" s="105"/>
      <c r="AM317" s="105"/>
      <c r="AN317" s="105"/>
      <c r="AO317" s="105"/>
      <c r="AP317" s="105"/>
      <c r="AQ317" s="105"/>
      <c r="AR317" s="105"/>
      <c r="AS317" s="105"/>
      <c r="AT317" s="105"/>
      <c r="AU317" s="105"/>
      <c r="AV317" s="105"/>
      <c r="AW317" s="105"/>
      <c r="AX317" s="105"/>
      <c r="AY317" s="105"/>
      <c r="AZ317" s="105"/>
      <c r="BA317" s="105"/>
      <c r="BB317" s="105"/>
      <c r="BC317" s="105"/>
      <c r="BD317" s="105"/>
      <c r="BE317" s="105"/>
      <c r="BF317" s="105"/>
      <c r="BG317" s="105"/>
      <c r="BH317" s="105"/>
      <c r="BI317" s="105"/>
      <c r="BJ317" s="105"/>
      <c r="BK317" s="105"/>
      <c r="BL317" s="105"/>
      <c r="BM317" s="105"/>
      <c r="BN317" s="105"/>
      <c r="BO317" s="105"/>
      <c r="BP317" s="105"/>
      <c r="BQ317" s="105"/>
      <c r="BR317" s="105"/>
      <c r="BS317" s="105"/>
      <c r="BT317" s="105"/>
      <c r="BU317" s="105"/>
      <c r="BV317" s="105"/>
      <c r="BW317" s="105"/>
      <c r="BX317" s="105"/>
      <c r="BY317" s="105"/>
      <c r="BZ317" s="105"/>
      <c r="CA317" s="105"/>
      <c r="CB317" s="105"/>
      <c r="CC317" s="105"/>
      <c r="CD317" s="105"/>
      <c r="CE317" s="105"/>
      <c r="CF317" s="105"/>
      <c r="CG317" s="105"/>
      <c r="CH317" s="105"/>
      <c r="CI317" s="105"/>
      <c r="CJ317" s="105"/>
      <c r="CK317" s="105"/>
      <c r="CL317" s="105"/>
      <c r="CM317" s="105"/>
      <c r="CN317" s="105"/>
      <c r="CO317" s="105"/>
      <c r="CP317" s="105"/>
      <c r="CQ317" s="105"/>
      <c r="CR317" s="105"/>
      <c r="CS317" s="105"/>
      <c r="CT317" s="105"/>
      <c r="CU317" s="105"/>
      <c r="CV317" s="105"/>
      <c r="CW317" s="105"/>
      <c r="CX317" s="105"/>
      <c r="CY317" s="105"/>
      <c r="CZ317" s="105"/>
      <c r="DA317" s="105"/>
    </row>
    <row r="318">
      <c r="B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c r="AA318" s="105"/>
      <c r="AB318" s="105"/>
      <c r="AC318" s="105"/>
      <c r="AD318" s="105"/>
      <c r="AE318" s="105"/>
      <c r="AF318" s="105"/>
      <c r="AG318" s="105"/>
      <c r="AH318" s="105"/>
      <c r="AI318" s="105"/>
      <c r="AJ318" s="105"/>
      <c r="AK318" s="105"/>
      <c r="AL318" s="105"/>
      <c r="AM318" s="105"/>
      <c r="AN318" s="105"/>
      <c r="AO318" s="105"/>
      <c r="AP318" s="105"/>
      <c r="AQ318" s="105"/>
      <c r="AR318" s="105"/>
      <c r="AS318" s="105"/>
      <c r="AT318" s="105"/>
      <c r="AU318" s="105"/>
      <c r="AV318" s="105"/>
      <c r="AW318" s="105"/>
      <c r="AX318" s="105"/>
      <c r="AY318" s="105"/>
      <c r="AZ318" s="105"/>
      <c r="BA318" s="105"/>
      <c r="BB318" s="105"/>
      <c r="BC318" s="105"/>
      <c r="BD318" s="105"/>
      <c r="BE318" s="105"/>
      <c r="BF318" s="105"/>
      <c r="BG318" s="105"/>
      <c r="BH318" s="105"/>
      <c r="BI318" s="105"/>
      <c r="BJ318" s="105"/>
      <c r="BK318" s="105"/>
      <c r="BL318" s="105"/>
      <c r="BM318" s="105"/>
      <c r="BN318" s="105"/>
      <c r="BO318" s="105"/>
      <c r="BP318" s="105"/>
      <c r="BQ318" s="105"/>
      <c r="BR318" s="105"/>
      <c r="BS318" s="105"/>
      <c r="BT318" s="105"/>
      <c r="BU318" s="105"/>
      <c r="BV318" s="105"/>
      <c r="BW318" s="105"/>
      <c r="BX318" s="105"/>
      <c r="BY318" s="105"/>
      <c r="BZ318" s="105"/>
      <c r="CA318" s="105"/>
      <c r="CB318" s="105"/>
      <c r="CC318" s="105"/>
      <c r="CD318" s="105"/>
      <c r="CE318" s="105"/>
      <c r="CF318" s="105"/>
      <c r="CG318" s="105"/>
      <c r="CH318" s="105"/>
      <c r="CI318" s="105"/>
      <c r="CJ318" s="105"/>
      <c r="CK318" s="105"/>
      <c r="CL318" s="105"/>
      <c r="CM318" s="105"/>
      <c r="CN318" s="105"/>
      <c r="CO318" s="105"/>
      <c r="CP318" s="105"/>
      <c r="CQ318" s="105"/>
      <c r="CR318" s="105"/>
      <c r="CS318" s="105"/>
      <c r="CT318" s="105"/>
      <c r="CU318" s="105"/>
      <c r="CV318" s="105"/>
      <c r="CW318" s="105"/>
      <c r="CX318" s="105"/>
      <c r="CY318" s="105"/>
      <c r="CZ318" s="105"/>
      <c r="DA318" s="105"/>
    </row>
    <row r="319">
      <c r="B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c r="AA319" s="105"/>
      <c r="AB319" s="105"/>
      <c r="AC319" s="105"/>
      <c r="AD319" s="105"/>
      <c r="AE319" s="105"/>
      <c r="AF319" s="105"/>
      <c r="AG319" s="105"/>
      <c r="AH319" s="105"/>
      <c r="AI319" s="105"/>
      <c r="AJ319" s="105"/>
      <c r="AK319" s="105"/>
      <c r="AL319" s="105"/>
      <c r="AM319" s="105"/>
      <c r="AN319" s="105"/>
      <c r="AO319" s="105"/>
      <c r="AP319" s="105"/>
      <c r="AQ319" s="105"/>
      <c r="AR319" s="105"/>
      <c r="AS319" s="105"/>
      <c r="AT319" s="105"/>
      <c r="AU319" s="105"/>
      <c r="AV319" s="105"/>
      <c r="AW319" s="105"/>
      <c r="AX319" s="105"/>
      <c r="AY319" s="105"/>
      <c r="AZ319" s="105"/>
      <c r="BA319" s="105"/>
      <c r="BB319" s="105"/>
      <c r="BC319" s="105"/>
      <c r="BD319" s="105"/>
      <c r="BE319" s="105"/>
      <c r="BF319" s="105"/>
      <c r="BG319" s="105"/>
      <c r="BH319" s="105"/>
      <c r="BI319" s="105"/>
      <c r="BJ319" s="105"/>
      <c r="BK319" s="105"/>
      <c r="BL319" s="105"/>
      <c r="BM319" s="105"/>
      <c r="BN319" s="105"/>
      <c r="BO319" s="105"/>
      <c r="BP319" s="105"/>
      <c r="BQ319" s="105"/>
      <c r="BR319" s="105"/>
      <c r="BS319" s="105"/>
      <c r="BT319" s="105"/>
      <c r="BU319" s="105"/>
      <c r="BV319" s="105"/>
      <c r="BW319" s="105"/>
      <c r="BX319" s="105"/>
      <c r="BY319" s="105"/>
      <c r="BZ319" s="105"/>
      <c r="CA319" s="105"/>
      <c r="CB319" s="105"/>
      <c r="CC319" s="105"/>
      <c r="CD319" s="105"/>
      <c r="CE319" s="105"/>
      <c r="CF319" s="105"/>
      <c r="CG319" s="105"/>
      <c r="CH319" s="105"/>
      <c r="CI319" s="105"/>
      <c r="CJ319" s="105"/>
      <c r="CK319" s="105"/>
      <c r="CL319" s="105"/>
      <c r="CM319" s="105"/>
      <c r="CN319" s="105"/>
      <c r="CO319" s="105"/>
      <c r="CP319" s="105"/>
      <c r="CQ319" s="105"/>
      <c r="CR319" s="105"/>
      <c r="CS319" s="105"/>
      <c r="CT319" s="105"/>
      <c r="CU319" s="105"/>
      <c r="CV319" s="105"/>
      <c r="CW319" s="105"/>
      <c r="CX319" s="105"/>
      <c r="CY319" s="105"/>
      <c r="CZ319" s="105"/>
      <c r="DA319" s="105"/>
    </row>
    <row r="320">
      <c r="B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c r="AA320" s="105"/>
      <c r="AB320" s="105"/>
      <c r="AC320" s="105"/>
      <c r="AD320" s="105"/>
      <c r="AE320" s="105"/>
      <c r="AF320" s="105"/>
      <c r="AG320" s="105"/>
      <c r="AH320" s="105"/>
      <c r="AI320" s="105"/>
      <c r="AJ320" s="105"/>
      <c r="AK320" s="105"/>
      <c r="AL320" s="105"/>
      <c r="AM320" s="105"/>
      <c r="AN320" s="105"/>
      <c r="AO320" s="105"/>
      <c r="AP320" s="105"/>
      <c r="AQ320" s="105"/>
      <c r="AR320" s="105"/>
      <c r="AS320" s="105"/>
      <c r="AT320" s="105"/>
      <c r="AU320" s="105"/>
      <c r="AV320" s="105"/>
      <c r="AW320" s="105"/>
      <c r="AX320" s="105"/>
      <c r="AY320" s="105"/>
      <c r="AZ320" s="105"/>
      <c r="BA320" s="105"/>
      <c r="BB320" s="105"/>
      <c r="BC320" s="105"/>
      <c r="BD320" s="105"/>
      <c r="BE320" s="105"/>
      <c r="BF320" s="105"/>
      <c r="BG320" s="105"/>
      <c r="BH320" s="105"/>
      <c r="BI320" s="105"/>
      <c r="BJ320" s="105"/>
      <c r="BK320" s="105"/>
      <c r="BL320" s="105"/>
      <c r="BM320" s="105"/>
      <c r="BN320" s="105"/>
      <c r="BO320" s="105"/>
      <c r="BP320" s="105"/>
      <c r="BQ320" s="105"/>
      <c r="BR320" s="105"/>
      <c r="BS320" s="105"/>
      <c r="BT320" s="105"/>
      <c r="BU320" s="105"/>
      <c r="BV320" s="105"/>
      <c r="BW320" s="105"/>
      <c r="BX320" s="105"/>
      <c r="BY320" s="105"/>
      <c r="BZ320" s="105"/>
      <c r="CA320" s="105"/>
      <c r="CB320" s="105"/>
      <c r="CC320" s="105"/>
      <c r="CD320" s="105"/>
      <c r="CE320" s="105"/>
      <c r="CF320" s="105"/>
      <c r="CG320" s="105"/>
      <c r="CH320" s="105"/>
      <c r="CI320" s="105"/>
      <c r="CJ320" s="105"/>
      <c r="CK320" s="105"/>
      <c r="CL320" s="105"/>
      <c r="CM320" s="105"/>
      <c r="CN320" s="105"/>
      <c r="CO320" s="105"/>
      <c r="CP320" s="105"/>
      <c r="CQ320" s="105"/>
      <c r="CR320" s="105"/>
      <c r="CS320" s="105"/>
      <c r="CT320" s="105"/>
      <c r="CU320" s="105"/>
      <c r="CV320" s="105"/>
      <c r="CW320" s="105"/>
      <c r="CX320" s="105"/>
      <c r="CY320" s="105"/>
      <c r="CZ320" s="105"/>
      <c r="DA320" s="105"/>
    </row>
    <row r="321">
      <c r="B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c r="AA321" s="105"/>
      <c r="AB321" s="105"/>
      <c r="AC321" s="105"/>
      <c r="AD321" s="105"/>
      <c r="AE321" s="105"/>
      <c r="AF321" s="105"/>
      <c r="AG321" s="105"/>
      <c r="AH321" s="105"/>
      <c r="AI321" s="105"/>
      <c r="AJ321" s="105"/>
      <c r="AK321" s="105"/>
      <c r="AL321" s="105"/>
      <c r="AM321" s="105"/>
      <c r="AN321" s="105"/>
      <c r="AO321" s="105"/>
      <c r="AP321" s="105"/>
      <c r="AQ321" s="105"/>
      <c r="AR321" s="105"/>
      <c r="AS321" s="105"/>
      <c r="AT321" s="105"/>
      <c r="AU321" s="105"/>
      <c r="AV321" s="105"/>
      <c r="AW321" s="105"/>
      <c r="AX321" s="105"/>
      <c r="AY321" s="105"/>
      <c r="AZ321" s="105"/>
      <c r="BA321" s="105"/>
      <c r="BB321" s="105"/>
      <c r="BC321" s="105"/>
      <c r="BD321" s="105"/>
      <c r="BE321" s="105"/>
      <c r="BF321" s="105"/>
      <c r="BG321" s="105"/>
      <c r="BH321" s="105"/>
      <c r="BI321" s="105"/>
      <c r="BJ321" s="105"/>
      <c r="BK321" s="105"/>
      <c r="BL321" s="105"/>
      <c r="BM321" s="105"/>
      <c r="BN321" s="105"/>
      <c r="BO321" s="105"/>
      <c r="BP321" s="105"/>
      <c r="BQ321" s="105"/>
      <c r="BR321" s="105"/>
      <c r="BS321" s="105"/>
      <c r="BT321" s="105"/>
      <c r="BU321" s="105"/>
      <c r="BV321" s="105"/>
      <c r="BW321" s="105"/>
      <c r="BX321" s="105"/>
      <c r="BY321" s="105"/>
      <c r="BZ321" s="105"/>
      <c r="CA321" s="105"/>
      <c r="CB321" s="105"/>
      <c r="CC321" s="105"/>
      <c r="CD321" s="105"/>
      <c r="CE321" s="105"/>
      <c r="CF321" s="105"/>
      <c r="CG321" s="105"/>
      <c r="CH321" s="105"/>
      <c r="CI321" s="105"/>
      <c r="CJ321" s="105"/>
      <c r="CK321" s="105"/>
      <c r="CL321" s="105"/>
      <c r="CM321" s="105"/>
      <c r="CN321" s="105"/>
      <c r="CO321" s="105"/>
      <c r="CP321" s="105"/>
      <c r="CQ321" s="105"/>
      <c r="CR321" s="105"/>
      <c r="CS321" s="105"/>
      <c r="CT321" s="105"/>
      <c r="CU321" s="105"/>
      <c r="CV321" s="105"/>
      <c r="CW321" s="105"/>
      <c r="CX321" s="105"/>
      <c r="CY321" s="105"/>
      <c r="CZ321" s="105"/>
      <c r="DA321" s="105"/>
    </row>
    <row r="322">
      <c r="B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c r="AA322" s="105"/>
      <c r="AB322" s="105"/>
      <c r="AC322" s="105"/>
      <c r="AD322" s="105"/>
      <c r="AE322" s="105"/>
      <c r="AF322" s="105"/>
      <c r="AG322" s="105"/>
      <c r="AH322" s="105"/>
      <c r="AI322" s="105"/>
      <c r="AJ322" s="105"/>
      <c r="AK322" s="105"/>
      <c r="AL322" s="105"/>
      <c r="AM322" s="105"/>
      <c r="AN322" s="105"/>
      <c r="AO322" s="105"/>
      <c r="AP322" s="105"/>
      <c r="AQ322" s="105"/>
      <c r="AR322" s="105"/>
      <c r="AS322" s="105"/>
      <c r="AT322" s="105"/>
      <c r="AU322" s="105"/>
      <c r="AV322" s="105"/>
      <c r="AW322" s="105"/>
      <c r="AX322" s="105"/>
      <c r="AY322" s="105"/>
      <c r="AZ322" s="105"/>
      <c r="BA322" s="105"/>
      <c r="BB322" s="105"/>
      <c r="BC322" s="105"/>
      <c r="BD322" s="105"/>
      <c r="BE322" s="105"/>
      <c r="BF322" s="105"/>
      <c r="BG322" s="105"/>
      <c r="BH322" s="105"/>
      <c r="BI322" s="105"/>
      <c r="BJ322" s="105"/>
      <c r="BK322" s="105"/>
      <c r="BL322" s="105"/>
      <c r="BM322" s="105"/>
      <c r="BN322" s="105"/>
      <c r="BO322" s="105"/>
      <c r="BP322" s="105"/>
      <c r="BQ322" s="105"/>
      <c r="BR322" s="105"/>
      <c r="BS322" s="105"/>
      <c r="BT322" s="105"/>
      <c r="BU322" s="105"/>
      <c r="BV322" s="105"/>
      <c r="BW322" s="105"/>
      <c r="BX322" s="105"/>
      <c r="BY322" s="105"/>
      <c r="BZ322" s="105"/>
      <c r="CA322" s="105"/>
      <c r="CB322" s="105"/>
      <c r="CC322" s="105"/>
      <c r="CD322" s="105"/>
      <c r="CE322" s="105"/>
      <c r="CF322" s="105"/>
      <c r="CG322" s="105"/>
      <c r="CH322" s="105"/>
      <c r="CI322" s="105"/>
      <c r="CJ322" s="105"/>
      <c r="CK322" s="105"/>
      <c r="CL322" s="105"/>
      <c r="CM322" s="105"/>
      <c r="CN322" s="105"/>
      <c r="CO322" s="105"/>
      <c r="CP322" s="105"/>
      <c r="CQ322" s="105"/>
      <c r="CR322" s="105"/>
      <c r="CS322" s="105"/>
      <c r="CT322" s="105"/>
      <c r="CU322" s="105"/>
      <c r="CV322" s="105"/>
      <c r="CW322" s="105"/>
      <c r="CX322" s="105"/>
      <c r="CY322" s="105"/>
      <c r="CZ322" s="105"/>
      <c r="DA322" s="105"/>
    </row>
    <row r="323">
      <c r="B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c r="AA323" s="105"/>
      <c r="AB323" s="105"/>
      <c r="AC323" s="105"/>
      <c r="AD323" s="105"/>
      <c r="AE323" s="105"/>
      <c r="AF323" s="105"/>
      <c r="AG323" s="105"/>
      <c r="AH323" s="105"/>
      <c r="AI323" s="105"/>
      <c r="AJ323" s="105"/>
      <c r="AK323" s="105"/>
      <c r="AL323" s="105"/>
      <c r="AM323" s="105"/>
      <c r="AN323" s="105"/>
      <c r="AO323" s="105"/>
      <c r="AP323" s="105"/>
      <c r="AQ323" s="105"/>
      <c r="AR323" s="105"/>
      <c r="AS323" s="105"/>
      <c r="AT323" s="105"/>
      <c r="AU323" s="105"/>
      <c r="AV323" s="105"/>
      <c r="AW323" s="105"/>
      <c r="AX323" s="105"/>
      <c r="AY323" s="105"/>
      <c r="AZ323" s="105"/>
      <c r="BA323" s="105"/>
      <c r="BB323" s="105"/>
      <c r="BC323" s="105"/>
      <c r="BD323" s="105"/>
      <c r="BE323" s="105"/>
      <c r="BF323" s="105"/>
      <c r="BG323" s="105"/>
      <c r="BH323" s="105"/>
      <c r="BI323" s="105"/>
      <c r="BJ323" s="105"/>
      <c r="BK323" s="105"/>
      <c r="BL323" s="105"/>
      <c r="BM323" s="105"/>
      <c r="BN323" s="105"/>
      <c r="BO323" s="105"/>
      <c r="BP323" s="105"/>
      <c r="BQ323" s="105"/>
      <c r="BR323" s="105"/>
      <c r="BS323" s="105"/>
      <c r="BT323" s="105"/>
      <c r="BU323" s="105"/>
      <c r="BV323" s="105"/>
      <c r="BW323" s="105"/>
      <c r="BX323" s="105"/>
      <c r="BY323" s="105"/>
      <c r="BZ323" s="105"/>
      <c r="CA323" s="105"/>
      <c r="CB323" s="105"/>
      <c r="CC323" s="105"/>
      <c r="CD323" s="105"/>
      <c r="CE323" s="105"/>
      <c r="CF323" s="105"/>
      <c r="CG323" s="105"/>
      <c r="CH323" s="105"/>
      <c r="CI323" s="105"/>
      <c r="CJ323" s="105"/>
      <c r="CK323" s="105"/>
      <c r="CL323" s="105"/>
      <c r="CM323" s="105"/>
      <c r="CN323" s="105"/>
      <c r="CO323" s="105"/>
      <c r="CP323" s="105"/>
      <c r="CQ323" s="105"/>
      <c r="CR323" s="105"/>
      <c r="CS323" s="105"/>
      <c r="CT323" s="105"/>
      <c r="CU323" s="105"/>
      <c r="CV323" s="105"/>
      <c r="CW323" s="105"/>
      <c r="CX323" s="105"/>
      <c r="CY323" s="105"/>
      <c r="CZ323" s="105"/>
      <c r="DA323" s="105"/>
    </row>
    <row r="324">
      <c r="B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c r="AA324" s="105"/>
      <c r="AB324" s="105"/>
      <c r="AC324" s="105"/>
      <c r="AD324" s="105"/>
      <c r="AE324" s="105"/>
      <c r="AF324" s="105"/>
      <c r="AG324" s="105"/>
      <c r="AH324" s="105"/>
      <c r="AI324" s="105"/>
      <c r="AJ324" s="105"/>
      <c r="AK324" s="105"/>
      <c r="AL324" s="105"/>
      <c r="AM324" s="105"/>
      <c r="AN324" s="105"/>
      <c r="AO324" s="105"/>
      <c r="AP324" s="105"/>
      <c r="AQ324" s="105"/>
      <c r="AR324" s="105"/>
      <c r="AS324" s="105"/>
      <c r="AT324" s="105"/>
      <c r="AU324" s="105"/>
      <c r="AV324" s="105"/>
      <c r="AW324" s="105"/>
      <c r="AX324" s="105"/>
      <c r="AY324" s="105"/>
      <c r="AZ324" s="105"/>
      <c r="BA324" s="105"/>
      <c r="BB324" s="105"/>
      <c r="BC324" s="105"/>
      <c r="BD324" s="105"/>
      <c r="BE324" s="105"/>
      <c r="BF324" s="105"/>
      <c r="BG324" s="105"/>
      <c r="BH324" s="105"/>
      <c r="BI324" s="105"/>
      <c r="BJ324" s="105"/>
      <c r="BK324" s="105"/>
      <c r="BL324" s="105"/>
      <c r="BM324" s="105"/>
      <c r="BN324" s="105"/>
      <c r="BO324" s="105"/>
      <c r="BP324" s="105"/>
      <c r="BQ324" s="105"/>
      <c r="BR324" s="105"/>
      <c r="BS324" s="105"/>
      <c r="BT324" s="105"/>
      <c r="BU324" s="105"/>
      <c r="BV324" s="105"/>
      <c r="BW324" s="105"/>
      <c r="BX324" s="105"/>
      <c r="BY324" s="105"/>
      <c r="BZ324" s="105"/>
      <c r="CA324" s="105"/>
      <c r="CB324" s="105"/>
      <c r="CC324" s="105"/>
      <c r="CD324" s="105"/>
      <c r="CE324" s="105"/>
      <c r="CF324" s="105"/>
      <c r="CG324" s="105"/>
      <c r="CH324" s="105"/>
      <c r="CI324" s="105"/>
      <c r="CJ324" s="105"/>
      <c r="CK324" s="105"/>
      <c r="CL324" s="105"/>
      <c r="CM324" s="105"/>
      <c r="CN324" s="105"/>
      <c r="CO324" s="105"/>
      <c r="CP324" s="105"/>
      <c r="CQ324" s="105"/>
      <c r="CR324" s="105"/>
      <c r="CS324" s="105"/>
      <c r="CT324" s="105"/>
      <c r="CU324" s="105"/>
      <c r="CV324" s="105"/>
      <c r="CW324" s="105"/>
      <c r="CX324" s="105"/>
      <c r="CY324" s="105"/>
      <c r="CZ324" s="105"/>
      <c r="DA324" s="105"/>
    </row>
    <row r="325">
      <c r="B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c r="AA325" s="105"/>
      <c r="AB325" s="105"/>
      <c r="AC325" s="105"/>
      <c r="AD325" s="105"/>
      <c r="AE325" s="105"/>
      <c r="AF325" s="105"/>
      <c r="AG325" s="105"/>
      <c r="AH325" s="105"/>
      <c r="AI325" s="105"/>
      <c r="AJ325" s="105"/>
      <c r="AK325" s="105"/>
      <c r="AL325" s="105"/>
      <c r="AM325" s="105"/>
      <c r="AN325" s="105"/>
      <c r="AO325" s="105"/>
      <c r="AP325" s="105"/>
      <c r="AQ325" s="105"/>
      <c r="AR325" s="105"/>
      <c r="AS325" s="105"/>
      <c r="AT325" s="105"/>
      <c r="AU325" s="105"/>
      <c r="AV325" s="105"/>
      <c r="AW325" s="105"/>
      <c r="AX325" s="105"/>
      <c r="AY325" s="105"/>
      <c r="AZ325" s="105"/>
      <c r="BA325" s="105"/>
      <c r="BB325" s="105"/>
      <c r="BC325" s="105"/>
      <c r="BD325" s="105"/>
      <c r="BE325" s="105"/>
      <c r="BF325" s="105"/>
      <c r="BG325" s="105"/>
      <c r="BH325" s="105"/>
      <c r="BI325" s="105"/>
      <c r="BJ325" s="105"/>
      <c r="BK325" s="105"/>
      <c r="BL325" s="105"/>
      <c r="BM325" s="105"/>
      <c r="BN325" s="105"/>
      <c r="BO325" s="105"/>
      <c r="BP325" s="105"/>
      <c r="BQ325" s="105"/>
      <c r="BR325" s="105"/>
      <c r="BS325" s="105"/>
      <c r="BT325" s="105"/>
      <c r="BU325" s="105"/>
      <c r="BV325" s="105"/>
      <c r="BW325" s="105"/>
      <c r="BX325" s="105"/>
      <c r="BY325" s="105"/>
      <c r="BZ325" s="105"/>
      <c r="CA325" s="105"/>
      <c r="CB325" s="105"/>
      <c r="CC325" s="105"/>
      <c r="CD325" s="105"/>
      <c r="CE325" s="105"/>
      <c r="CF325" s="105"/>
      <c r="CG325" s="105"/>
      <c r="CH325" s="105"/>
      <c r="CI325" s="105"/>
      <c r="CJ325" s="105"/>
      <c r="CK325" s="105"/>
      <c r="CL325" s="105"/>
      <c r="CM325" s="105"/>
      <c r="CN325" s="105"/>
      <c r="CO325" s="105"/>
      <c r="CP325" s="105"/>
      <c r="CQ325" s="105"/>
      <c r="CR325" s="105"/>
      <c r="CS325" s="105"/>
      <c r="CT325" s="105"/>
      <c r="CU325" s="105"/>
      <c r="CV325" s="105"/>
      <c r="CW325" s="105"/>
      <c r="CX325" s="105"/>
      <c r="CY325" s="105"/>
      <c r="CZ325" s="105"/>
      <c r="DA325" s="105"/>
    </row>
    <row r="326">
      <c r="B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c r="AA326" s="105"/>
      <c r="AB326" s="105"/>
      <c r="AC326" s="105"/>
      <c r="AD326" s="105"/>
      <c r="AE326" s="105"/>
      <c r="AF326" s="105"/>
      <c r="AG326" s="105"/>
      <c r="AH326" s="105"/>
      <c r="AI326" s="105"/>
      <c r="AJ326" s="105"/>
      <c r="AK326" s="105"/>
      <c r="AL326" s="105"/>
      <c r="AM326" s="105"/>
      <c r="AN326" s="105"/>
      <c r="AO326" s="105"/>
      <c r="AP326" s="105"/>
      <c r="AQ326" s="105"/>
      <c r="AR326" s="105"/>
      <c r="AS326" s="105"/>
      <c r="AT326" s="105"/>
      <c r="AU326" s="105"/>
      <c r="AV326" s="105"/>
      <c r="AW326" s="105"/>
      <c r="AX326" s="105"/>
      <c r="AY326" s="105"/>
      <c r="AZ326" s="105"/>
      <c r="BA326" s="105"/>
      <c r="BB326" s="105"/>
      <c r="BC326" s="105"/>
      <c r="BD326" s="105"/>
      <c r="BE326" s="105"/>
      <c r="BF326" s="105"/>
      <c r="BG326" s="105"/>
      <c r="BH326" s="105"/>
      <c r="BI326" s="105"/>
      <c r="BJ326" s="105"/>
      <c r="BK326" s="105"/>
      <c r="BL326" s="105"/>
      <c r="BM326" s="105"/>
      <c r="BN326" s="105"/>
      <c r="BO326" s="105"/>
      <c r="BP326" s="105"/>
      <c r="BQ326" s="105"/>
      <c r="BR326" s="105"/>
      <c r="BS326" s="105"/>
      <c r="BT326" s="105"/>
      <c r="BU326" s="105"/>
      <c r="BV326" s="105"/>
      <c r="BW326" s="105"/>
      <c r="BX326" s="105"/>
      <c r="BY326" s="105"/>
      <c r="BZ326" s="105"/>
      <c r="CA326" s="105"/>
      <c r="CB326" s="105"/>
      <c r="CC326" s="105"/>
      <c r="CD326" s="105"/>
      <c r="CE326" s="105"/>
      <c r="CF326" s="105"/>
      <c r="CG326" s="105"/>
      <c r="CH326" s="105"/>
      <c r="CI326" s="105"/>
      <c r="CJ326" s="105"/>
      <c r="CK326" s="105"/>
      <c r="CL326" s="105"/>
      <c r="CM326" s="105"/>
      <c r="CN326" s="105"/>
      <c r="CO326" s="105"/>
      <c r="CP326" s="105"/>
      <c r="CQ326" s="105"/>
      <c r="CR326" s="105"/>
      <c r="CS326" s="105"/>
      <c r="CT326" s="105"/>
      <c r="CU326" s="105"/>
      <c r="CV326" s="105"/>
      <c r="CW326" s="105"/>
      <c r="CX326" s="105"/>
      <c r="CY326" s="105"/>
      <c r="CZ326" s="105"/>
      <c r="DA326" s="105"/>
    </row>
    <row r="327">
      <c r="B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c r="AA327" s="105"/>
      <c r="AB327" s="105"/>
      <c r="AC327" s="105"/>
      <c r="AD327" s="105"/>
      <c r="AE327" s="105"/>
      <c r="AF327" s="105"/>
      <c r="AG327" s="105"/>
      <c r="AH327" s="105"/>
      <c r="AI327" s="105"/>
      <c r="AJ327" s="105"/>
      <c r="AK327" s="105"/>
      <c r="AL327" s="105"/>
      <c r="AM327" s="105"/>
      <c r="AN327" s="105"/>
      <c r="AO327" s="105"/>
      <c r="AP327" s="105"/>
      <c r="AQ327" s="105"/>
      <c r="AR327" s="105"/>
      <c r="AS327" s="105"/>
      <c r="AT327" s="105"/>
      <c r="AU327" s="105"/>
      <c r="AV327" s="105"/>
      <c r="AW327" s="105"/>
      <c r="AX327" s="105"/>
      <c r="AY327" s="105"/>
      <c r="AZ327" s="105"/>
      <c r="BA327" s="105"/>
      <c r="BB327" s="105"/>
      <c r="BC327" s="105"/>
      <c r="BD327" s="105"/>
      <c r="BE327" s="105"/>
      <c r="BF327" s="105"/>
      <c r="BG327" s="105"/>
      <c r="BH327" s="105"/>
      <c r="BI327" s="105"/>
      <c r="BJ327" s="105"/>
      <c r="BK327" s="105"/>
      <c r="BL327" s="105"/>
      <c r="BM327" s="105"/>
      <c r="BN327" s="105"/>
      <c r="BO327" s="105"/>
      <c r="BP327" s="105"/>
      <c r="BQ327" s="105"/>
      <c r="BR327" s="105"/>
      <c r="BS327" s="105"/>
      <c r="BT327" s="105"/>
      <c r="BU327" s="105"/>
      <c r="BV327" s="105"/>
      <c r="BW327" s="105"/>
      <c r="BX327" s="105"/>
      <c r="BY327" s="105"/>
      <c r="BZ327" s="105"/>
      <c r="CA327" s="105"/>
      <c r="CB327" s="105"/>
      <c r="CC327" s="105"/>
      <c r="CD327" s="105"/>
      <c r="CE327" s="105"/>
      <c r="CF327" s="105"/>
      <c r="CG327" s="105"/>
      <c r="CH327" s="105"/>
      <c r="CI327" s="105"/>
      <c r="CJ327" s="105"/>
      <c r="CK327" s="105"/>
      <c r="CL327" s="105"/>
      <c r="CM327" s="105"/>
      <c r="CN327" s="105"/>
      <c r="CO327" s="105"/>
      <c r="CP327" s="105"/>
      <c r="CQ327" s="105"/>
      <c r="CR327" s="105"/>
      <c r="CS327" s="105"/>
      <c r="CT327" s="105"/>
      <c r="CU327" s="105"/>
      <c r="CV327" s="105"/>
      <c r="CW327" s="105"/>
      <c r="CX327" s="105"/>
      <c r="CY327" s="105"/>
      <c r="CZ327" s="105"/>
      <c r="DA327" s="105"/>
    </row>
    <row r="328">
      <c r="B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c r="AA328" s="105"/>
      <c r="AB328" s="105"/>
      <c r="AC328" s="105"/>
      <c r="AD328" s="105"/>
      <c r="AE328" s="105"/>
      <c r="AF328" s="105"/>
      <c r="AG328" s="105"/>
      <c r="AH328" s="105"/>
      <c r="AI328" s="105"/>
      <c r="AJ328" s="105"/>
      <c r="AK328" s="105"/>
      <c r="AL328" s="105"/>
      <c r="AM328" s="105"/>
      <c r="AN328" s="105"/>
      <c r="AO328" s="105"/>
      <c r="AP328" s="105"/>
      <c r="AQ328" s="105"/>
      <c r="AR328" s="105"/>
      <c r="AS328" s="105"/>
      <c r="AT328" s="105"/>
      <c r="AU328" s="105"/>
      <c r="AV328" s="105"/>
      <c r="AW328" s="105"/>
      <c r="AX328" s="105"/>
      <c r="AY328" s="105"/>
      <c r="AZ328" s="105"/>
      <c r="BA328" s="105"/>
      <c r="BB328" s="105"/>
      <c r="BC328" s="105"/>
      <c r="BD328" s="105"/>
      <c r="BE328" s="105"/>
      <c r="BF328" s="105"/>
      <c r="BG328" s="105"/>
      <c r="BH328" s="105"/>
      <c r="BI328" s="105"/>
      <c r="BJ328" s="105"/>
      <c r="BK328" s="105"/>
      <c r="BL328" s="105"/>
      <c r="BM328" s="105"/>
      <c r="BN328" s="105"/>
      <c r="BO328" s="105"/>
      <c r="BP328" s="105"/>
      <c r="BQ328" s="105"/>
      <c r="BR328" s="105"/>
      <c r="BS328" s="105"/>
      <c r="BT328" s="105"/>
      <c r="BU328" s="105"/>
      <c r="BV328" s="105"/>
      <c r="BW328" s="105"/>
      <c r="BX328" s="105"/>
      <c r="BY328" s="105"/>
      <c r="BZ328" s="105"/>
      <c r="CA328" s="105"/>
      <c r="CB328" s="105"/>
      <c r="CC328" s="105"/>
      <c r="CD328" s="105"/>
      <c r="CE328" s="105"/>
      <c r="CF328" s="105"/>
      <c r="CG328" s="105"/>
      <c r="CH328" s="105"/>
      <c r="CI328" s="105"/>
      <c r="CJ328" s="105"/>
      <c r="CK328" s="105"/>
      <c r="CL328" s="105"/>
      <c r="CM328" s="105"/>
      <c r="CN328" s="105"/>
      <c r="CO328" s="105"/>
      <c r="CP328" s="105"/>
      <c r="CQ328" s="105"/>
      <c r="CR328" s="105"/>
      <c r="CS328" s="105"/>
      <c r="CT328" s="105"/>
      <c r="CU328" s="105"/>
      <c r="CV328" s="105"/>
      <c r="CW328" s="105"/>
      <c r="CX328" s="105"/>
      <c r="CY328" s="105"/>
      <c r="CZ328" s="105"/>
      <c r="DA328" s="105"/>
    </row>
    <row r="329">
      <c r="B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c r="AA329" s="105"/>
      <c r="AB329" s="105"/>
      <c r="AC329" s="105"/>
      <c r="AD329" s="105"/>
      <c r="AE329" s="105"/>
      <c r="AF329" s="105"/>
      <c r="AG329" s="105"/>
      <c r="AH329" s="105"/>
      <c r="AI329" s="105"/>
      <c r="AJ329" s="105"/>
      <c r="AK329" s="105"/>
      <c r="AL329" s="105"/>
      <c r="AM329" s="105"/>
      <c r="AN329" s="105"/>
      <c r="AO329" s="105"/>
      <c r="AP329" s="105"/>
      <c r="AQ329" s="105"/>
      <c r="AR329" s="105"/>
      <c r="AS329" s="105"/>
      <c r="AT329" s="105"/>
      <c r="AU329" s="105"/>
      <c r="AV329" s="105"/>
      <c r="AW329" s="105"/>
      <c r="AX329" s="105"/>
      <c r="AY329" s="105"/>
      <c r="AZ329" s="105"/>
      <c r="BA329" s="105"/>
      <c r="BB329" s="105"/>
      <c r="BC329" s="105"/>
      <c r="BD329" s="105"/>
      <c r="BE329" s="105"/>
      <c r="BF329" s="105"/>
      <c r="BG329" s="105"/>
      <c r="BH329" s="105"/>
      <c r="BI329" s="105"/>
      <c r="BJ329" s="105"/>
      <c r="BK329" s="105"/>
      <c r="BL329" s="105"/>
      <c r="BM329" s="105"/>
      <c r="BN329" s="105"/>
      <c r="BO329" s="105"/>
      <c r="BP329" s="105"/>
      <c r="BQ329" s="105"/>
      <c r="BR329" s="105"/>
      <c r="BS329" s="105"/>
      <c r="BT329" s="105"/>
      <c r="BU329" s="105"/>
      <c r="BV329" s="105"/>
      <c r="BW329" s="105"/>
      <c r="BX329" s="105"/>
      <c r="BY329" s="105"/>
      <c r="BZ329" s="105"/>
      <c r="CA329" s="105"/>
      <c r="CB329" s="105"/>
      <c r="CC329" s="105"/>
      <c r="CD329" s="105"/>
      <c r="CE329" s="105"/>
      <c r="CF329" s="105"/>
      <c r="CG329" s="105"/>
      <c r="CH329" s="105"/>
      <c r="CI329" s="105"/>
      <c r="CJ329" s="105"/>
      <c r="CK329" s="105"/>
      <c r="CL329" s="105"/>
      <c r="CM329" s="105"/>
      <c r="CN329" s="105"/>
      <c r="CO329" s="105"/>
      <c r="CP329" s="105"/>
      <c r="CQ329" s="105"/>
      <c r="CR329" s="105"/>
      <c r="CS329" s="105"/>
      <c r="CT329" s="105"/>
      <c r="CU329" s="105"/>
      <c r="CV329" s="105"/>
      <c r="CW329" s="105"/>
      <c r="CX329" s="105"/>
      <c r="CY329" s="105"/>
      <c r="CZ329" s="105"/>
      <c r="DA329" s="105"/>
    </row>
    <row r="330">
      <c r="B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c r="AA330" s="105"/>
      <c r="AB330" s="105"/>
      <c r="AC330" s="105"/>
      <c r="AD330" s="105"/>
      <c r="AE330" s="105"/>
      <c r="AF330" s="105"/>
      <c r="AG330" s="105"/>
      <c r="AH330" s="105"/>
      <c r="AI330" s="105"/>
      <c r="AJ330" s="105"/>
      <c r="AK330" s="105"/>
      <c r="AL330" s="105"/>
      <c r="AM330" s="105"/>
      <c r="AN330" s="105"/>
      <c r="AO330" s="105"/>
      <c r="AP330" s="105"/>
      <c r="AQ330" s="105"/>
      <c r="AR330" s="105"/>
      <c r="AS330" s="105"/>
      <c r="AT330" s="105"/>
      <c r="AU330" s="105"/>
      <c r="AV330" s="105"/>
      <c r="AW330" s="105"/>
      <c r="AX330" s="105"/>
      <c r="AY330" s="105"/>
      <c r="AZ330" s="105"/>
      <c r="BA330" s="105"/>
      <c r="BB330" s="105"/>
      <c r="BC330" s="105"/>
      <c r="BD330" s="105"/>
      <c r="BE330" s="105"/>
      <c r="BF330" s="105"/>
      <c r="BG330" s="105"/>
      <c r="BH330" s="105"/>
      <c r="BI330" s="105"/>
      <c r="BJ330" s="105"/>
      <c r="BK330" s="105"/>
      <c r="BL330" s="105"/>
      <c r="BM330" s="105"/>
      <c r="BN330" s="105"/>
      <c r="BO330" s="105"/>
      <c r="BP330" s="105"/>
      <c r="BQ330" s="105"/>
      <c r="BR330" s="105"/>
      <c r="BS330" s="105"/>
      <c r="BT330" s="105"/>
      <c r="BU330" s="105"/>
      <c r="BV330" s="105"/>
      <c r="BW330" s="105"/>
      <c r="BX330" s="105"/>
      <c r="BY330" s="105"/>
      <c r="BZ330" s="105"/>
      <c r="CA330" s="105"/>
      <c r="CB330" s="105"/>
      <c r="CC330" s="105"/>
      <c r="CD330" s="105"/>
      <c r="CE330" s="105"/>
      <c r="CF330" s="105"/>
      <c r="CG330" s="105"/>
      <c r="CH330" s="105"/>
      <c r="CI330" s="105"/>
      <c r="CJ330" s="105"/>
      <c r="CK330" s="105"/>
      <c r="CL330" s="105"/>
      <c r="CM330" s="105"/>
      <c r="CN330" s="105"/>
      <c r="CO330" s="105"/>
      <c r="CP330" s="105"/>
      <c r="CQ330" s="105"/>
      <c r="CR330" s="105"/>
      <c r="CS330" s="105"/>
      <c r="CT330" s="105"/>
      <c r="CU330" s="105"/>
      <c r="CV330" s="105"/>
      <c r="CW330" s="105"/>
      <c r="CX330" s="105"/>
      <c r="CY330" s="105"/>
      <c r="CZ330" s="105"/>
      <c r="DA330" s="105"/>
    </row>
    <row r="331">
      <c r="B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c r="AA331" s="105"/>
      <c r="AB331" s="105"/>
      <c r="AC331" s="105"/>
      <c r="AD331" s="105"/>
      <c r="AE331" s="105"/>
      <c r="AF331" s="105"/>
      <c r="AG331" s="105"/>
      <c r="AH331" s="105"/>
      <c r="AI331" s="105"/>
      <c r="AJ331" s="105"/>
      <c r="AK331" s="105"/>
      <c r="AL331" s="105"/>
      <c r="AM331" s="105"/>
      <c r="AN331" s="105"/>
      <c r="AO331" s="105"/>
      <c r="AP331" s="105"/>
      <c r="AQ331" s="105"/>
      <c r="AR331" s="105"/>
      <c r="AS331" s="105"/>
      <c r="AT331" s="105"/>
      <c r="AU331" s="105"/>
      <c r="AV331" s="105"/>
      <c r="AW331" s="105"/>
      <c r="AX331" s="105"/>
      <c r="AY331" s="105"/>
      <c r="AZ331" s="105"/>
      <c r="BA331" s="105"/>
      <c r="BB331" s="105"/>
      <c r="BC331" s="105"/>
      <c r="BD331" s="105"/>
      <c r="BE331" s="105"/>
      <c r="BF331" s="105"/>
      <c r="BG331" s="105"/>
      <c r="BH331" s="105"/>
      <c r="BI331" s="105"/>
      <c r="BJ331" s="105"/>
      <c r="BK331" s="105"/>
      <c r="BL331" s="105"/>
      <c r="BM331" s="105"/>
      <c r="BN331" s="105"/>
      <c r="BO331" s="105"/>
      <c r="BP331" s="105"/>
      <c r="BQ331" s="105"/>
      <c r="BR331" s="105"/>
      <c r="BS331" s="105"/>
      <c r="BT331" s="105"/>
      <c r="BU331" s="105"/>
      <c r="BV331" s="105"/>
      <c r="BW331" s="105"/>
      <c r="BX331" s="105"/>
      <c r="BY331" s="105"/>
      <c r="BZ331" s="105"/>
      <c r="CA331" s="105"/>
      <c r="CB331" s="105"/>
      <c r="CC331" s="105"/>
      <c r="CD331" s="105"/>
      <c r="CE331" s="105"/>
      <c r="CF331" s="105"/>
      <c r="CG331" s="105"/>
      <c r="CH331" s="105"/>
      <c r="CI331" s="105"/>
      <c r="CJ331" s="105"/>
      <c r="CK331" s="105"/>
      <c r="CL331" s="105"/>
      <c r="CM331" s="105"/>
      <c r="CN331" s="105"/>
      <c r="CO331" s="105"/>
      <c r="CP331" s="105"/>
      <c r="CQ331" s="105"/>
      <c r="CR331" s="105"/>
      <c r="CS331" s="105"/>
      <c r="CT331" s="105"/>
      <c r="CU331" s="105"/>
      <c r="CV331" s="105"/>
      <c r="CW331" s="105"/>
      <c r="CX331" s="105"/>
      <c r="CY331" s="105"/>
      <c r="CZ331" s="105"/>
      <c r="DA331" s="105"/>
    </row>
    <row r="332">
      <c r="B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c r="AA332" s="105"/>
      <c r="AB332" s="105"/>
      <c r="AC332" s="105"/>
      <c r="AD332" s="105"/>
      <c r="AE332" s="105"/>
      <c r="AF332" s="105"/>
      <c r="AG332" s="105"/>
      <c r="AH332" s="105"/>
      <c r="AI332" s="105"/>
      <c r="AJ332" s="105"/>
      <c r="AK332" s="105"/>
      <c r="AL332" s="105"/>
      <c r="AM332" s="105"/>
      <c r="AN332" s="105"/>
      <c r="AO332" s="105"/>
      <c r="AP332" s="105"/>
      <c r="AQ332" s="105"/>
      <c r="AR332" s="105"/>
      <c r="AS332" s="105"/>
      <c r="AT332" s="105"/>
      <c r="AU332" s="105"/>
      <c r="AV332" s="105"/>
      <c r="AW332" s="105"/>
      <c r="AX332" s="105"/>
      <c r="AY332" s="105"/>
      <c r="AZ332" s="105"/>
      <c r="BA332" s="105"/>
      <c r="BB332" s="105"/>
      <c r="BC332" s="105"/>
      <c r="BD332" s="105"/>
      <c r="BE332" s="105"/>
      <c r="BF332" s="105"/>
      <c r="BG332" s="105"/>
      <c r="BH332" s="105"/>
      <c r="BI332" s="105"/>
      <c r="BJ332" s="105"/>
      <c r="BK332" s="105"/>
      <c r="BL332" s="105"/>
      <c r="BM332" s="105"/>
      <c r="BN332" s="105"/>
      <c r="BO332" s="105"/>
      <c r="BP332" s="105"/>
      <c r="BQ332" s="105"/>
      <c r="BR332" s="105"/>
      <c r="BS332" s="105"/>
      <c r="BT332" s="105"/>
      <c r="BU332" s="105"/>
      <c r="BV332" s="105"/>
      <c r="BW332" s="105"/>
      <c r="BX332" s="105"/>
      <c r="BY332" s="105"/>
      <c r="BZ332" s="105"/>
      <c r="CA332" s="105"/>
      <c r="CB332" s="105"/>
      <c r="CC332" s="105"/>
      <c r="CD332" s="105"/>
      <c r="CE332" s="105"/>
      <c r="CF332" s="105"/>
      <c r="CG332" s="105"/>
      <c r="CH332" s="105"/>
      <c r="CI332" s="105"/>
      <c r="CJ332" s="105"/>
      <c r="CK332" s="105"/>
      <c r="CL332" s="105"/>
      <c r="CM332" s="105"/>
      <c r="CN332" s="105"/>
      <c r="CO332" s="105"/>
      <c r="CP332" s="105"/>
      <c r="CQ332" s="105"/>
      <c r="CR332" s="105"/>
      <c r="CS332" s="105"/>
      <c r="CT332" s="105"/>
      <c r="CU332" s="105"/>
      <c r="CV332" s="105"/>
      <c r="CW332" s="105"/>
      <c r="CX332" s="105"/>
      <c r="CY332" s="105"/>
      <c r="CZ332" s="105"/>
      <c r="DA332" s="105"/>
    </row>
    <row r="333">
      <c r="B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c r="AA333" s="105"/>
      <c r="AB333" s="105"/>
      <c r="AC333" s="105"/>
      <c r="AD333" s="105"/>
      <c r="AE333" s="105"/>
      <c r="AF333" s="105"/>
      <c r="AG333" s="105"/>
      <c r="AH333" s="105"/>
      <c r="AI333" s="105"/>
      <c r="AJ333" s="105"/>
      <c r="AK333" s="105"/>
      <c r="AL333" s="105"/>
      <c r="AM333" s="105"/>
      <c r="AN333" s="105"/>
      <c r="AO333" s="105"/>
      <c r="AP333" s="105"/>
      <c r="AQ333" s="105"/>
      <c r="AR333" s="105"/>
      <c r="AS333" s="105"/>
      <c r="AT333" s="105"/>
      <c r="AU333" s="105"/>
      <c r="AV333" s="105"/>
      <c r="AW333" s="105"/>
      <c r="AX333" s="105"/>
      <c r="AY333" s="105"/>
      <c r="AZ333" s="105"/>
      <c r="BA333" s="105"/>
      <c r="BB333" s="105"/>
      <c r="BC333" s="105"/>
      <c r="BD333" s="105"/>
      <c r="BE333" s="105"/>
      <c r="BF333" s="105"/>
      <c r="BG333" s="105"/>
      <c r="BH333" s="105"/>
      <c r="BI333" s="105"/>
      <c r="BJ333" s="105"/>
      <c r="BK333" s="105"/>
      <c r="BL333" s="105"/>
      <c r="BM333" s="105"/>
      <c r="BN333" s="105"/>
      <c r="BO333" s="105"/>
      <c r="BP333" s="105"/>
      <c r="BQ333" s="105"/>
      <c r="BR333" s="105"/>
      <c r="BS333" s="105"/>
      <c r="BT333" s="105"/>
      <c r="BU333" s="105"/>
      <c r="BV333" s="105"/>
      <c r="BW333" s="105"/>
      <c r="BX333" s="105"/>
      <c r="BY333" s="105"/>
      <c r="BZ333" s="105"/>
      <c r="CA333" s="105"/>
      <c r="CB333" s="105"/>
      <c r="CC333" s="105"/>
      <c r="CD333" s="105"/>
      <c r="CE333" s="105"/>
      <c r="CF333" s="105"/>
      <c r="CG333" s="105"/>
      <c r="CH333" s="105"/>
      <c r="CI333" s="105"/>
      <c r="CJ333" s="105"/>
      <c r="CK333" s="105"/>
      <c r="CL333" s="105"/>
      <c r="CM333" s="105"/>
      <c r="CN333" s="105"/>
      <c r="CO333" s="105"/>
      <c r="CP333" s="105"/>
      <c r="CQ333" s="105"/>
      <c r="CR333" s="105"/>
      <c r="CS333" s="105"/>
      <c r="CT333" s="105"/>
      <c r="CU333" s="105"/>
      <c r="CV333" s="105"/>
      <c r="CW333" s="105"/>
      <c r="CX333" s="105"/>
      <c r="CY333" s="105"/>
      <c r="CZ333" s="105"/>
      <c r="DA333" s="105"/>
    </row>
    <row r="334">
      <c r="B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c r="AA334" s="105"/>
      <c r="AB334" s="105"/>
      <c r="AC334" s="105"/>
      <c r="AD334" s="105"/>
      <c r="AE334" s="105"/>
      <c r="AF334" s="105"/>
      <c r="AG334" s="105"/>
      <c r="AH334" s="105"/>
      <c r="AI334" s="105"/>
      <c r="AJ334" s="105"/>
      <c r="AK334" s="105"/>
      <c r="AL334" s="105"/>
      <c r="AM334" s="105"/>
      <c r="AN334" s="105"/>
      <c r="AO334" s="105"/>
      <c r="AP334" s="105"/>
      <c r="AQ334" s="105"/>
      <c r="AR334" s="105"/>
      <c r="AS334" s="105"/>
      <c r="AT334" s="105"/>
      <c r="AU334" s="105"/>
      <c r="AV334" s="105"/>
      <c r="AW334" s="105"/>
      <c r="AX334" s="105"/>
      <c r="AY334" s="105"/>
      <c r="AZ334" s="105"/>
      <c r="BA334" s="105"/>
      <c r="BB334" s="105"/>
      <c r="BC334" s="105"/>
      <c r="BD334" s="105"/>
      <c r="BE334" s="105"/>
      <c r="BF334" s="105"/>
      <c r="BG334" s="105"/>
      <c r="BH334" s="105"/>
      <c r="BI334" s="105"/>
      <c r="BJ334" s="105"/>
      <c r="BK334" s="105"/>
      <c r="BL334" s="105"/>
      <c r="BM334" s="105"/>
      <c r="BN334" s="105"/>
      <c r="BO334" s="105"/>
      <c r="BP334" s="105"/>
      <c r="BQ334" s="105"/>
      <c r="BR334" s="105"/>
      <c r="BS334" s="105"/>
      <c r="BT334" s="105"/>
      <c r="BU334" s="105"/>
      <c r="BV334" s="105"/>
      <c r="BW334" s="105"/>
      <c r="BX334" s="105"/>
      <c r="BY334" s="105"/>
      <c r="BZ334" s="105"/>
      <c r="CA334" s="105"/>
      <c r="CB334" s="105"/>
      <c r="CC334" s="105"/>
      <c r="CD334" s="105"/>
      <c r="CE334" s="105"/>
      <c r="CF334" s="105"/>
      <c r="CG334" s="105"/>
      <c r="CH334" s="105"/>
      <c r="CI334" s="105"/>
      <c r="CJ334" s="105"/>
      <c r="CK334" s="105"/>
      <c r="CL334" s="105"/>
      <c r="CM334" s="105"/>
      <c r="CN334" s="105"/>
      <c r="CO334" s="105"/>
      <c r="CP334" s="105"/>
      <c r="CQ334" s="105"/>
      <c r="CR334" s="105"/>
      <c r="CS334" s="105"/>
      <c r="CT334" s="105"/>
      <c r="CU334" s="105"/>
      <c r="CV334" s="105"/>
      <c r="CW334" s="105"/>
      <c r="CX334" s="105"/>
      <c r="CY334" s="105"/>
      <c r="CZ334" s="105"/>
      <c r="DA334" s="105"/>
    </row>
    <row r="335">
      <c r="B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c r="AA335" s="105"/>
      <c r="AB335" s="105"/>
      <c r="AC335" s="105"/>
      <c r="AD335" s="105"/>
      <c r="AE335" s="105"/>
      <c r="AF335" s="105"/>
      <c r="AG335" s="105"/>
      <c r="AH335" s="105"/>
      <c r="AI335" s="105"/>
      <c r="AJ335" s="105"/>
      <c r="AK335" s="105"/>
      <c r="AL335" s="105"/>
      <c r="AM335" s="105"/>
      <c r="AN335" s="105"/>
      <c r="AO335" s="105"/>
      <c r="AP335" s="105"/>
      <c r="AQ335" s="105"/>
      <c r="AR335" s="105"/>
      <c r="AS335" s="105"/>
      <c r="AT335" s="105"/>
      <c r="AU335" s="105"/>
      <c r="AV335" s="105"/>
      <c r="AW335" s="105"/>
      <c r="AX335" s="105"/>
      <c r="AY335" s="105"/>
      <c r="AZ335" s="105"/>
      <c r="BA335" s="105"/>
      <c r="BB335" s="105"/>
      <c r="BC335" s="105"/>
      <c r="BD335" s="105"/>
      <c r="BE335" s="105"/>
      <c r="BF335" s="105"/>
      <c r="BG335" s="105"/>
      <c r="BH335" s="105"/>
      <c r="BI335" s="105"/>
      <c r="BJ335" s="105"/>
      <c r="BK335" s="105"/>
      <c r="BL335" s="105"/>
      <c r="BM335" s="105"/>
      <c r="BN335" s="105"/>
      <c r="BO335" s="105"/>
      <c r="BP335" s="105"/>
      <c r="BQ335" s="105"/>
      <c r="BR335" s="105"/>
      <c r="BS335" s="105"/>
      <c r="BT335" s="105"/>
      <c r="BU335" s="105"/>
      <c r="BV335" s="105"/>
      <c r="BW335" s="105"/>
      <c r="BX335" s="105"/>
      <c r="BY335" s="105"/>
      <c r="BZ335" s="105"/>
      <c r="CA335" s="105"/>
      <c r="CB335" s="105"/>
      <c r="CC335" s="105"/>
      <c r="CD335" s="105"/>
      <c r="CE335" s="105"/>
      <c r="CF335" s="105"/>
      <c r="CG335" s="105"/>
      <c r="CH335" s="105"/>
      <c r="CI335" s="105"/>
      <c r="CJ335" s="105"/>
      <c r="CK335" s="105"/>
      <c r="CL335" s="105"/>
      <c r="CM335" s="105"/>
      <c r="CN335" s="105"/>
      <c r="CO335" s="105"/>
      <c r="CP335" s="105"/>
      <c r="CQ335" s="105"/>
      <c r="CR335" s="105"/>
      <c r="CS335" s="105"/>
      <c r="CT335" s="105"/>
      <c r="CU335" s="105"/>
      <c r="CV335" s="105"/>
      <c r="CW335" s="105"/>
      <c r="CX335" s="105"/>
      <c r="CY335" s="105"/>
      <c r="CZ335" s="105"/>
      <c r="DA335" s="105"/>
    </row>
    <row r="336">
      <c r="B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c r="AA336" s="105"/>
      <c r="AB336" s="105"/>
      <c r="AC336" s="105"/>
      <c r="AD336" s="105"/>
      <c r="AE336" s="105"/>
      <c r="AF336" s="105"/>
      <c r="AG336" s="105"/>
      <c r="AH336" s="105"/>
      <c r="AI336" s="105"/>
      <c r="AJ336" s="105"/>
      <c r="AK336" s="105"/>
      <c r="AL336" s="105"/>
      <c r="AM336" s="105"/>
      <c r="AN336" s="105"/>
      <c r="AO336" s="105"/>
      <c r="AP336" s="105"/>
      <c r="AQ336" s="105"/>
      <c r="AR336" s="105"/>
      <c r="AS336" s="105"/>
      <c r="AT336" s="105"/>
      <c r="AU336" s="105"/>
      <c r="AV336" s="105"/>
      <c r="AW336" s="105"/>
      <c r="AX336" s="105"/>
      <c r="AY336" s="105"/>
      <c r="AZ336" s="105"/>
      <c r="BA336" s="105"/>
      <c r="BB336" s="105"/>
      <c r="BC336" s="105"/>
      <c r="BD336" s="105"/>
      <c r="BE336" s="105"/>
      <c r="BF336" s="105"/>
      <c r="BG336" s="105"/>
      <c r="BH336" s="105"/>
      <c r="BI336" s="105"/>
      <c r="BJ336" s="105"/>
      <c r="BK336" s="105"/>
      <c r="BL336" s="105"/>
      <c r="BM336" s="105"/>
      <c r="BN336" s="105"/>
      <c r="BO336" s="105"/>
      <c r="BP336" s="105"/>
      <c r="BQ336" s="105"/>
      <c r="BR336" s="105"/>
      <c r="BS336" s="105"/>
      <c r="BT336" s="105"/>
      <c r="BU336" s="105"/>
      <c r="BV336" s="105"/>
      <c r="BW336" s="105"/>
      <c r="BX336" s="105"/>
      <c r="BY336" s="105"/>
      <c r="BZ336" s="105"/>
      <c r="CA336" s="105"/>
      <c r="CB336" s="105"/>
      <c r="CC336" s="105"/>
      <c r="CD336" s="105"/>
      <c r="CE336" s="105"/>
      <c r="CF336" s="105"/>
      <c r="CG336" s="105"/>
      <c r="CH336" s="105"/>
      <c r="CI336" s="105"/>
      <c r="CJ336" s="105"/>
      <c r="CK336" s="105"/>
      <c r="CL336" s="105"/>
      <c r="CM336" s="105"/>
      <c r="CN336" s="105"/>
      <c r="CO336" s="105"/>
      <c r="CP336" s="105"/>
      <c r="CQ336" s="105"/>
      <c r="CR336" s="105"/>
      <c r="CS336" s="105"/>
      <c r="CT336" s="105"/>
      <c r="CU336" s="105"/>
      <c r="CV336" s="105"/>
      <c r="CW336" s="105"/>
      <c r="CX336" s="105"/>
      <c r="CY336" s="105"/>
      <c r="CZ336" s="105"/>
      <c r="DA336" s="105"/>
    </row>
    <row r="337">
      <c r="B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c r="AA337" s="105"/>
      <c r="AB337" s="105"/>
      <c r="AC337" s="105"/>
      <c r="AD337" s="105"/>
      <c r="AE337" s="105"/>
      <c r="AF337" s="105"/>
      <c r="AG337" s="105"/>
      <c r="AH337" s="105"/>
      <c r="AI337" s="105"/>
      <c r="AJ337" s="105"/>
      <c r="AK337" s="105"/>
      <c r="AL337" s="105"/>
      <c r="AM337" s="105"/>
      <c r="AN337" s="105"/>
      <c r="AO337" s="105"/>
      <c r="AP337" s="105"/>
      <c r="AQ337" s="105"/>
      <c r="AR337" s="105"/>
      <c r="AS337" s="105"/>
      <c r="AT337" s="105"/>
      <c r="AU337" s="105"/>
      <c r="AV337" s="105"/>
      <c r="AW337" s="105"/>
      <c r="AX337" s="105"/>
      <c r="AY337" s="105"/>
      <c r="AZ337" s="105"/>
      <c r="BA337" s="105"/>
      <c r="BB337" s="105"/>
      <c r="BC337" s="105"/>
      <c r="BD337" s="105"/>
      <c r="BE337" s="105"/>
      <c r="BF337" s="105"/>
      <c r="BG337" s="105"/>
      <c r="BH337" s="105"/>
      <c r="BI337" s="105"/>
      <c r="BJ337" s="105"/>
      <c r="BK337" s="105"/>
      <c r="BL337" s="105"/>
      <c r="BM337" s="105"/>
      <c r="BN337" s="105"/>
      <c r="BO337" s="105"/>
      <c r="BP337" s="105"/>
      <c r="BQ337" s="105"/>
      <c r="BR337" s="105"/>
      <c r="BS337" s="105"/>
      <c r="BT337" s="105"/>
      <c r="BU337" s="105"/>
      <c r="BV337" s="105"/>
      <c r="BW337" s="105"/>
      <c r="BX337" s="105"/>
      <c r="BY337" s="105"/>
      <c r="BZ337" s="105"/>
      <c r="CA337" s="105"/>
      <c r="CB337" s="105"/>
      <c r="CC337" s="105"/>
      <c r="CD337" s="105"/>
      <c r="CE337" s="105"/>
      <c r="CF337" s="105"/>
      <c r="CG337" s="105"/>
      <c r="CH337" s="105"/>
      <c r="CI337" s="105"/>
      <c r="CJ337" s="105"/>
      <c r="CK337" s="105"/>
      <c r="CL337" s="105"/>
      <c r="CM337" s="105"/>
      <c r="CN337" s="105"/>
      <c r="CO337" s="105"/>
      <c r="CP337" s="105"/>
      <c r="CQ337" s="105"/>
      <c r="CR337" s="105"/>
      <c r="CS337" s="105"/>
      <c r="CT337" s="105"/>
      <c r="CU337" s="105"/>
      <c r="CV337" s="105"/>
      <c r="CW337" s="105"/>
      <c r="CX337" s="105"/>
      <c r="CY337" s="105"/>
      <c r="CZ337" s="105"/>
      <c r="DA337" s="105"/>
    </row>
    <row r="338">
      <c r="B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c r="AA338" s="105"/>
      <c r="AB338" s="105"/>
      <c r="AC338" s="105"/>
      <c r="AD338" s="105"/>
      <c r="AE338" s="105"/>
      <c r="AF338" s="105"/>
      <c r="AG338" s="105"/>
      <c r="AH338" s="105"/>
      <c r="AI338" s="105"/>
      <c r="AJ338" s="105"/>
      <c r="AK338" s="105"/>
      <c r="AL338" s="105"/>
      <c r="AM338" s="105"/>
      <c r="AN338" s="105"/>
      <c r="AO338" s="105"/>
      <c r="AP338" s="105"/>
      <c r="AQ338" s="105"/>
      <c r="AR338" s="105"/>
      <c r="AS338" s="105"/>
      <c r="AT338" s="105"/>
      <c r="AU338" s="105"/>
      <c r="AV338" s="105"/>
      <c r="AW338" s="105"/>
      <c r="AX338" s="105"/>
      <c r="AY338" s="105"/>
      <c r="AZ338" s="105"/>
      <c r="BA338" s="105"/>
      <c r="BB338" s="105"/>
      <c r="BC338" s="105"/>
      <c r="BD338" s="105"/>
      <c r="BE338" s="105"/>
      <c r="BF338" s="105"/>
      <c r="BG338" s="105"/>
      <c r="BH338" s="105"/>
      <c r="BI338" s="105"/>
      <c r="BJ338" s="105"/>
      <c r="BK338" s="105"/>
      <c r="BL338" s="105"/>
      <c r="BM338" s="105"/>
      <c r="BN338" s="105"/>
      <c r="BO338" s="105"/>
      <c r="BP338" s="105"/>
      <c r="BQ338" s="105"/>
      <c r="BR338" s="105"/>
      <c r="BS338" s="105"/>
      <c r="BT338" s="105"/>
      <c r="BU338" s="105"/>
      <c r="BV338" s="105"/>
      <c r="BW338" s="105"/>
      <c r="BX338" s="105"/>
      <c r="BY338" s="105"/>
      <c r="BZ338" s="105"/>
      <c r="CA338" s="105"/>
      <c r="CB338" s="105"/>
      <c r="CC338" s="105"/>
      <c r="CD338" s="105"/>
      <c r="CE338" s="105"/>
      <c r="CF338" s="105"/>
      <c r="CG338" s="105"/>
      <c r="CH338" s="105"/>
      <c r="CI338" s="105"/>
      <c r="CJ338" s="105"/>
      <c r="CK338" s="105"/>
      <c r="CL338" s="105"/>
      <c r="CM338" s="105"/>
      <c r="CN338" s="105"/>
      <c r="CO338" s="105"/>
      <c r="CP338" s="105"/>
      <c r="CQ338" s="105"/>
      <c r="CR338" s="105"/>
      <c r="CS338" s="105"/>
      <c r="CT338" s="105"/>
      <c r="CU338" s="105"/>
      <c r="CV338" s="105"/>
      <c r="CW338" s="105"/>
      <c r="CX338" s="105"/>
      <c r="CY338" s="105"/>
      <c r="CZ338" s="105"/>
      <c r="DA338" s="105"/>
    </row>
    <row r="339">
      <c r="B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c r="AA339" s="105"/>
      <c r="AB339" s="105"/>
      <c r="AC339" s="105"/>
      <c r="AD339" s="105"/>
      <c r="AE339" s="105"/>
      <c r="AF339" s="105"/>
      <c r="AG339" s="105"/>
      <c r="AH339" s="105"/>
      <c r="AI339" s="105"/>
      <c r="AJ339" s="105"/>
      <c r="AK339" s="105"/>
      <c r="AL339" s="105"/>
      <c r="AM339" s="105"/>
      <c r="AN339" s="105"/>
      <c r="AO339" s="105"/>
      <c r="AP339" s="105"/>
      <c r="AQ339" s="105"/>
      <c r="AR339" s="105"/>
      <c r="AS339" s="105"/>
      <c r="AT339" s="105"/>
      <c r="AU339" s="105"/>
      <c r="AV339" s="105"/>
      <c r="AW339" s="105"/>
      <c r="AX339" s="105"/>
      <c r="AY339" s="105"/>
      <c r="AZ339" s="105"/>
      <c r="BA339" s="105"/>
      <c r="BB339" s="105"/>
      <c r="BC339" s="105"/>
      <c r="BD339" s="105"/>
      <c r="BE339" s="105"/>
      <c r="BF339" s="105"/>
      <c r="BG339" s="105"/>
      <c r="BH339" s="105"/>
      <c r="BI339" s="105"/>
      <c r="BJ339" s="105"/>
      <c r="BK339" s="105"/>
      <c r="BL339" s="105"/>
      <c r="BM339" s="105"/>
      <c r="BN339" s="105"/>
      <c r="BO339" s="105"/>
      <c r="BP339" s="105"/>
      <c r="BQ339" s="105"/>
      <c r="BR339" s="105"/>
      <c r="BS339" s="105"/>
      <c r="BT339" s="105"/>
      <c r="BU339" s="105"/>
      <c r="BV339" s="105"/>
      <c r="BW339" s="105"/>
      <c r="BX339" s="105"/>
      <c r="BY339" s="105"/>
      <c r="BZ339" s="105"/>
      <c r="CA339" s="105"/>
      <c r="CB339" s="105"/>
      <c r="CC339" s="105"/>
      <c r="CD339" s="105"/>
      <c r="CE339" s="105"/>
      <c r="CF339" s="105"/>
      <c r="CG339" s="105"/>
      <c r="CH339" s="105"/>
      <c r="CI339" s="105"/>
      <c r="CJ339" s="105"/>
      <c r="CK339" s="105"/>
      <c r="CL339" s="105"/>
      <c r="CM339" s="105"/>
      <c r="CN339" s="105"/>
      <c r="CO339" s="105"/>
      <c r="CP339" s="105"/>
      <c r="CQ339" s="105"/>
      <c r="CR339" s="105"/>
      <c r="CS339" s="105"/>
      <c r="CT339" s="105"/>
      <c r="CU339" s="105"/>
      <c r="CV339" s="105"/>
      <c r="CW339" s="105"/>
      <c r="CX339" s="105"/>
      <c r="CY339" s="105"/>
      <c r="CZ339" s="105"/>
      <c r="DA339" s="105"/>
    </row>
    <row r="340">
      <c r="B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c r="AA340" s="105"/>
      <c r="AB340" s="105"/>
      <c r="AC340" s="105"/>
      <c r="AD340" s="105"/>
      <c r="AE340" s="105"/>
      <c r="AF340" s="105"/>
      <c r="AG340" s="105"/>
      <c r="AH340" s="105"/>
      <c r="AI340" s="105"/>
      <c r="AJ340" s="105"/>
      <c r="AK340" s="105"/>
      <c r="AL340" s="105"/>
      <c r="AM340" s="105"/>
      <c r="AN340" s="105"/>
      <c r="AO340" s="105"/>
      <c r="AP340" s="105"/>
      <c r="AQ340" s="105"/>
      <c r="AR340" s="105"/>
      <c r="AS340" s="105"/>
      <c r="AT340" s="105"/>
      <c r="AU340" s="105"/>
      <c r="AV340" s="105"/>
      <c r="AW340" s="105"/>
      <c r="AX340" s="105"/>
      <c r="AY340" s="105"/>
      <c r="AZ340" s="105"/>
      <c r="BA340" s="105"/>
      <c r="BB340" s="105"/>
      <c r="BC340" s="105"/>
      <c r="BD340" s="105"/>
      <c r="BE340" s="105"/>
      <c r="BF340" s="105"/>
      <c r="BG340" s="105"/>
      <c r="BH340" s="105"/>
      <c r="BI340" s="105"/>
      <c r="BJ340" s="105"/>
      <c r="BK340" s="105"/>
      <c r="BL340" s="105"/>
      <c r="BM340" s="105"/>
      <c r="BN340" s="105"/>
      <c r="BO340" s="105"/>
      <c r="BP340" s="105"/>
      <c r="BQ340" s="105"/>
      <c r="BR340" s="105"/>
      <c r="BS340" s="105"/>
      <c r="BT340" s="105"/>
      <c r="BU340" s="105"/>
      <c r="BV340" s="105"/>
      <c r="BW340" s="105"/>
      <c r="BX340" s="105"/>
      <c r="BY340" s="105"/>
      <c r="BZ340" s="105"/>
      <c r="CA340" s="105"/>
      <c r="CB340" s="105"/>
      <c r="CC340" s="105"/>
      <c r="CD340" s="105"/>
      <c r="CE340" s="105"/>
      <c r="CF340" s="105"/>
      <c r="CG340" s="105"/>
      <c r="CH340" s="105"/>
      <c r="CI340" s="105"/>
      <c r="CJ340" s="105"/>
      <c r="CK340" s="105"/>
      <c r="CL340" s="105"/>
      <c r="CM340" s="105"/>
      <c r="CN340" s="105"/>
      <c r="CO340" s="105"/>
      <c r="CP340" s="105"/>
      <c r="CQ340" s="105"/>
      <c r="CR340" s="105"/>
      <c r="CS340" s="105"/>
      <c r="CT340" s="105"/>
      <c r="CU340" s="105"/>
      <c r="CV340" s="105"/>
      <c r="CW340" s="105"/>
      <c r="CX340" s="105"/>
      <c r="CY340" s="105"/>
      <c r="CZ340" s="105"/>
      <c r="DA340" s="105"/>
    </row>
    <row r="341">
      <c r="B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c r="AA341" s="105"/>
      <c r="AB341" s="105"/>
      <c r="AC341" s="105"/>
      <c r="AD341" s="105"/>
      <c r="AE341" s="105"/>
      <c r="AF341" s="105"/>
      <c r="AG341" s="105"/>
      <c r="AH341" s="105"/>
      <c r="AI341" s="105"/>
      <c r="AJ341" s="105"/>
      <c r="AK341" s="105"/>
      <c r="AL341" s="105"/>
      <c r="AM341" s="105"/>
      <c r="AN341" s="105"/>
      <c r="AO341" s="105"/>
      <c r="AP341" s="105"/>
      <c r="AQ341" s="105"/>
      <c r="AR341" s="105"/>
      <c r="AS341" s="105"/>
      <c r="AT341" s="105"/>
      <c r="AU341" s="105"/>
      <c r="AV341" s="105"/>
      <c r="AW341" s="105"/>
      <c r="AX341" s="105"/>
      <c r="AY341" s="105"/>
      <c r="AZ341" s="105"/>
      <c r="BA341" s="105"/>
      <c r="BB341" s="105"/>
      <c r="BC341" s="105"/>
      <c r="BD341" s="105"/>
      <c r="BE341" s="105"/>
      <c r="BF341" s="105"/>
      <c r="BG341" s="105"/>
      <c r="BH341" s="105"/>
      <c r="BI341" s="105"/>
      <c r="BJ341" s="105"/>
      <c r="BK341" s="105"/>
      <c r="BL341" s="105"/>
      <c r="BM341" s="105"/>
      <c r="BN341" s="105"/>
      <c r="BO341" s="105"/>
      <c r="BP341" s="105"/>
      <c r="BQ341" s="105"/>
      <c r="BR341" s="105"/>
      <c r="BS341" s="105"/>
      <c r="BT341" s="105"/>
      <c r="BU341" s="105"/>
      <c r="BV341" s="105"/>
      <c r="BW341" s="105"/>
      <c r="BX341" s="105"/>
      <c r="BY341" s="105"/>
      <c r="BZ341" s="105"/>
      <c r="CA341" s="105"/>
      <c r="CB341" s="105"/>
      <c r="CC341" s="105"/>
      <c r="CD341" s="105"/>
      <c r="CE341" s="105"/>
      <c r="CF341" s="105"/>
      <c r="CG341" s="105"/>
      <c r="CH341" s="105"/>
      <c r="CI341" s="105"/>
      <c r="CJ341" s="105"/>
      <c r="CK341" s="105"/>
      <c r="CL341" s="105"/>
      <c r="CM341" s="105"/>
      <c r="CN341" s="105"/>
      <c r="CO341" s="105"/>
      <c r="CP341" s="105"/>
      <c r="CQ341" s="105"/>
      <c r="CR341" s="105"/>
      <c r="CS341" s="105"/>
      <c r="CT341" s="105"/>
      <c r="CU341" s="105"/>
      <c r="CV341" s="105"/>
      <c r="CW341" s="105"/>
      <c r="CX341" s="105"/>
      <c r="CY341" s="105"/>
      <c r="CZ341" s="105"/>
      <c r="DA341" s="105"/>
    </row>
    <row r="342">
      <c r="B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c r="AA342" s="105"/>
      <c r="AB342" s="105"/>
      <c r="AC342" s="105"/>
      <c r="AD342" s="105"/>
      <c r="AE342" s="105"/>
      <c r="AF342" s="105"/>
      <c r="AG342" s="105"/>
      <c r="AH342" s="105"/>
      <c r="AI342" s="105"/>
      <c r="AJ342" s="105"/>
      <c r="AK342" s="105"/>
      <c r="AL342" s="105"/>
      <c r="AM342" s="105"/>
      <c r="AN342" s="105"/>
      <c r="AO342" s="105"/>
      <c r="AP342" s="105"/>
      <c r="AQ342" s="105"/>
      <c r="AR342" s="105"/>
      <c r="AS342" s="105"/>
      <c r="AT342" s="105"/>
      <c r="AU342" s="105"/>
      <c r="AV342" s="105"/>
      <c r="AW342" s="105"/>
      <c r="AX342" s="105"/>
      <c r="AY342" s="105"/>
      <c r="AZ342" s="105"/>
      <c r="BA342" s="105"/>
      <c r="BB342" s="105"/>
      <c r="BC342" s="105"/>
      <c r="BD342" s="105"/>
      <c r="BE342" s="105"/>
      <c r="BF342" s="105"/>
      <c r="BG342" s="105"/>
      <c r="BH342" s="105"/>
      <c r="BI342" s="105"/>
      <c r="BJ342" s="105"/>
      <c r="BK342" s="105"/>
      <c r="BL342" s="105"/>
      <c r="BM342" s="105"/>
      <c r="BN342" s="105"/>
      <c r="BO342" s="105"/>
      <c r="BP342" s="105"/>
      <c r="BQ342" s="105"/>
      <c r="BR342" s="105"/>
      <c r="BS342" s="105"/>
      <c r="BT342" s="105"/>
      <c r="BU342" s="105"/>
      <c r="BV342" s="105"/>
      <c r="BW342" s="105"/>
      <c r="BX342" s="105"/>
      <c r="BY342" s="105"/>
      <c r="BZ342" s="105"/>
      <c r="CA342" s="105"/>
      <c r="CB342" s="105"/>
      <c r="CC342" s="105"/>
      <c r="CD342" s="105"/>
      <c r="CE342" s="105"/>
      <c r="CF342" s="105"/>
      <c r="CG342" s="105"/>
      <c r="CH342" s="105"/>
      <c r="CI342" s="105"/>
      <c r="CJ342" s="105"/>
      <c r="CK342" s="105"/>
      <c r="CL342" s="105"/>
      <c r="CM342" s="105"/>
      <c r="CN342" s="105"/>
      <c r="CO342" s="105"/>
      <c r="CP342" s="105"/>
      <c r="CQ342" s="105"/>
      <c r="CR342" s="105"/>
      <c r="CS342" s="105"/>
      <c r="CT342" s="105"/>
      <c r="CU342" s="105"/>
      <c r="CV342" s="105"/>
      <c r="CW342" s="105"/>
      <c r="CX342" s="105"/>
      <c r="CY342" s="105"/>
      <c r="CZ342" s="105"/>
      <c r="DA342" s="105"/>
    </row>
    <row r="343">
      <c r="B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c r="AA343" s="105"/>
      <c r="AB343" s="105"/>
      <c r="AC343" s="105"/>
      <c r="AD343" s="105"/>
      <c r="AE343" s="105"/>
      <c r="AF343" s="105"/>
      <c r="AG343" s="105"/>
      <c r="AH343" s="105"/>
      <c r="AI343" s="105"/>
      <c r="AJ343" s="105"/>
      <c r="AK343" s="105"/>
      <c r="AL343" s="105"/>
      <c r="AM343" s="105"/>
      <c r="AN343" s="105"/>
      <c r="AO343" s="105"/>
      <c r="AP343" s="105"/>
      <c r="AQ343" s="105"/>
      <c r="AR343" s="105"/>
      <c r="AS343" s="105"/>
      <c r="AT343" s="105"/>
      <c r="AU343" s="105"/>
      <c r="AV343" s="105"/>
      <c r="AW343" s="105"/>
      <c r="AX343" s="105"/>
      <c r="AY343" s="105"/>
      <c r="AZ343" s="105"/>
      <c r="BA343" s="105"/>
      <c r="BB343" s="105"/>
      <c r="BC343" s="105"/>
      <c r="BD343" s="105"/>
      <c r="BE343" s="105"/>
      <c r="BF343" s="105"/>
      <c r="BG343" s="105"/>
      <c r="BH343" s="105"/>
      <c r="BI343" s="105"/>
      <c r="BJ343" s="105"/>
      <c r="BK343" s="105"/>
      <c r="BL343" s="105"/>
      <c r="BM343" s="105"/>
      <c r="BN343" s="105"/>
      <c r="BO343" s="105"/>
      <c r="BP343" s="105"/>
      <c r="BQ343" s="105"/>
      <c r="BR343" s="105"/>
      <c r="BS343" s="105"/>
      <c r="BT343" s="105"/>
      <c r="BU343" s="105"/>
      <c r="BV343" s="105"/>
      <c r="BW343" s="105"/>
      <c r="BX343" s="105"/>
      <c r="BY343" s="105"/>
      <c r="BZ343" s="105"/>
      <c r="CA343" s="105"/>
      <c r="CB343" s="105"/>
      <c r="CC343" s="105"/>
      <c r="CD343" s="105"/>
      <c r="CE343" s="105"/>
      <c r="CF343" s="105"/>
      <c r="CG343" s="105"/>
      <c r="CH343" s="105"/>
      <c r="CI343" s="105"/>
      <c r="CJ343" s="105"/>
      <c r="CK343" s="105"/>
      <c r="CL343" s="105"/>
      <c r="CM343" s="105"/>
      <c r="CN343" s="105"/>
      <c r="CO343" s="105"/>
      <c r="CP343" s="105"/>
      <c r="CQ343" s="105"/>
      <c r="CR343" s="105"/>
      <c r="CS343" s="105"/>
      <c r="CT343" s="105"/>
      <c r="CU343" s="105"/>
      <c r="CV343" s="105"/>
      <c r="CW343" s="105"/>
      <c r="CX343" s="105"/>
      <c r="CY343" s="105"/>
      <c r="CZ343" s="105"/>
      <c r="DA343" s="105"/>
    </row>
    <row r="344">
      <c r="B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c r="AA344" s="105"/>
      <c r="AB344" s="105"/>
      <c r="AC344" s="105"/>
      <c r="AD344" s="105"/>
      <c r="AE344" s="105"/>
      <c r="AF344" s="105"/>
      <c r="AG344" s="105"/>
      <c r="AH344" s="105"/>
      <c r="AI344" s="105"/>
      <c r="AJ344" s="105"/>
      <c r="AK344" s="105"/>
      <c r="AL344" s="105"/>
      <c r="AM344" s="105"/>
      <c r="AN344" s="105"/>
      <c r="AO344" s="105"/>
      <c r="AP344" s="105"/>
      <c r="AQ344" s="105"/>
      <c r="AR344" s="105"/>
      <c r="AS344" s="105"/>
      <c r="AT344" s="105"/>
      <c r="AU344" s="105"/>
      <c r="AV344" s="105"/>
      <c r="AW344" s="105"/>
      <c r="AX344" s="105"/>
      <c r="AY344" s="105"/>
      <c r="AZ344" s="105"/>
      <c r="BA344" s="105"/>
      <c r="BB344" s="105"/>
      <c r="BC344" s="105"/>
      <c r="BD344" s="105"/>
      <c r="BE344" s="105"/>
      <c r="BF344" s="105"/>
      <c r="BG344" s="105"/>
      <c r="BH344" s="105"/>
      <c r="BI344" s="105"/>
      <c r="BJ344" s="105"/>
      <c r="BK344" s="105"/>
      <c r="BL344" s="105"/>
      <c r="BM344" s="105"/>
      <c r="BN344" s="105"/>
      <c r="BO344" s="105"/>
      <c r="BP344" s="105"/>
      <c r="BQ344" s="105"/>
      <c r="BR344" s="105"/>
      <c r="BS344" s="105"/>
      <c r="BT344" s="105"/>
      <c r="BU344" s="105"/>
      <c r="BV344" s="105"/>
      <c r="BW344" s="105"/>
      <c r="BX344" s="105"/>
      <c r="BY344" s="105"/>
      <c r="BZ344" s="105"/>
      <c r="CA344" s="105"/>
      <c r="CB344" s="105"/>
      <c r="CC344" s="105"/>
      <c r="CD344" s="105"/>
      <c r="CE344" s="105"/>
      <c r="CF344" s="105"/>
      <c r="CG344" s="105"/>
      <c r="CH344" s="105"/>
      <c r="CI344" s="105"/>
      <c r="CJ344" s="105"/>
      <c r="CK344" s="105"/>
      <c r="CL344" s="105"/>
      <c r="CM344" s="105"/>
      <c r="CN344" s="105"/>
      <c r="CO344" s="105"/>
      <c r="CP344" s="105"/>
      <c r="CQ344" s="105"/>
      <c r="CR344" s="105"/>
      <c r="CS344" s="105"/>
      <c r="CT344" s="105"/>
      <c r="CU344" s="105"/>
      <c r="CV344" s="105"/>
      <c r="CW344" s="105"/>
      <c r="CX344" s="105"/>
      <c r="CY344" s="105"/>
      <c r="CZ344" s="105"/>
      <c r="DA344" s="105"/>
    </row>
    <row r="345">
      <c r="B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c r="AA345" s="105"/>
      <c r="AB345" s="105"/>
      <c r="AC345" s="105"/>
      <c r="AD345" s="105"/>
      <c r="AE345" s="105"/>
      <c r="AF345" s="105"/>
      <c r="AG345" s="105"/>
      <c r="AH345" s="105"/>
      <c r="AI345" s="105"/>
      <c r="AJ345" s="105"/>
      <c r="AK345" s="105"/>
      <c r="AL345" s="105"/>
      <c r="AM345" s="105"/>
      <c r="AN345" s="105"/>
      <c r="AO345" s="105"/>
      <c r="AP345" s="105"/>
      <c r="AQ345" s="105"/>
      <c r="AR345" s="105"/>
      <c r="AS345" s="105"/>
      <c r="AT345" s="105"/>
      <c r="AU345" s="105"/>
      <c r="AV345" s="105"/>
      <c r="AW345" s="105"/>
      <c r="AX345" s="105"/>
      <c r="AY345" s="105"/>
      <c r="AZ345" s="105"/>
      <c r="BA345" s="105"/>
      <c r="BB345" s="105"/>
      <c r="BC345" s="105"/>
      <c r="BD345" s="105"/>
      <c r="BE345" s="105"/>
      <c r="BF345" s="105"/>
      <c r="BG345" s="105"/>
      <c r="BH345" s="105"/>
      <c r="BI345" s="105"/>
      <c r="BJ345" s="105"/>
      <c r="BK345" s="105"/>
      <c r="BL345" s="105"/>
      <c r="BM345" s="105"/>
      <c r="BN345" s="105"/>
      <c r="BO345" s="105"/>
      <c r="BP345" s="105"/>
      <c r="BQ345" s="105"/>
      <c r="BR345" s="105"/>
      <c r="BS345" s="105"/>
      <c r="BT345" s="105"/>
      <c r="BU345" s="105"/>
      <c r="BV345" s="105"/>
      <c r="BW345" s="105"/>
      <c r="BX345" s="105"/>
      <c r="BY345" s="105"/>
      <c r="BZ345" s="105"/>
      <c r="CA345" s="105"/>
      <c r="CB345" s="105"/>
      <c r="CC345" s="105"/>
      <c r="CD345" s="105"/>
      <c r="CE345" s="105"/>
      <c r="CF345" s="105"/>
      <c r="CG345" s="105"/>
      <c r="CH345" s="105"/>
      <c r="CI345" s="105"/>
      <c r="CJ345" s="105"/>
      <c r="CK345" s="105"/>
      <c r="CL345" s="105"/>
      <c r="CM345" s="105"/>
      <c r="CN345" s="105"/>
      <c r="CO345" s="105"/>
      <c r="CP345" s="105"/>
      <c r="CQ345" s="105"/>
      <c r="CR345" s="105"/>
      <c r="CS345" s="105"/>
      <c r="CT345" s="105"/>
      <c r="CU345" s="105"/>
      <c r="CV345" s="105"/>
      <c r="CW345" s="105"/>
      <c r="CX345" s="105"/>
      <c r="CY345" s="105"/>
      <c r="CZ345" s="105"/>
      <c r="DA345" s="105"/>
    </row>
    <row r="346">
      <c r="B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c r="AA346" s="105"/>
      <c r="AB346" s="105"/>
      <c r="AC346" s="105"/>
      <c r="AD346" s="105"/>
      <c r="AE346" s="105"/>
      <c r="AF346" s="105"/>
      <c r="AG346" s="105"/>
      <c r="AH346" s="105"/>
      <c r="AI346" s="105"/>
      <c r="AJ346" s="105"/>
      <c r="AK346" s="105"/>
      <c r="AL346" s="105"/>
      <c r="AM346" s="105"/>
      <c r="AN346" s="105"/>
      <c r="AO346" s="105"/>
      <c r="AP346" s="105"/>
      <c r="AQ346" s="105"/>
      <c r="AR346" s="105"/>
      <c r="AS346" s="105"/>
      <c r="AT346" s="105"/>
      <c r="AU346" s="105"/>
      <c r="AV346" s="105"/>
      <c r="AW346" s="105"/>
      <c r="AX346" s="105"/>
      <c r="AY346" s="105"/>
      <c r="AZ346" s="105"/>
      <c r="BA346" s="105"/>
      <c r="BB346" s="105"/>
      <c r="BC346" s="105"/>
      <c r="BD346" s="105"/>
      <c r="BE346" s="105"/>
      <c r="BF346" s="105"/>
      <c r="BG346" s="105"/>
      <c r="BH346" s="105"/>
      <c r="BI346" s="105"/>
      <c r="BJ346" s="105"/>
      <c r="BK346" s="105"/>
      <c r="BL346" s="105"/>
      <c r="BM346" s="105"/>
      <c r="BN346" s="105"/>
      <c r="BO346" s="105"/>
      <c r="BP346" s="105"/>
      <c r="BQ346" s="105"/>
      <c r="BR346" s="105"/>
      <c r="BS346" s="105"/>
      <c r="BT346" s="105"/>
      <c r="BU346" s="105"/>
      <c r="BV346" s="105"/>
      <c r="BW346" s="105"/>
      <c r="BX346" s="105"/>
      <c r="BY346" s="105"/>
      <c r="BZ346" s="105"/>
      <c r="CA346" s="105"/>
      <c r="CB346" s="105"/>
      <c r="CC346" s="105"/>
      <c r="CD346" s="105"/>
      <c r="CE346" s="105"/>
      <c r="CF346" s="105"/>
      <c r="CG346" s="105"/>
      <c r="CH346" s="105"/>
      <c r="CI346" s="105"/>
      <c r="CJ346" s="105"/>
      <c r="CK346" s="105"/>
      <c r="CL346" s="105"/>
      <c r="CM346" s="105"/>
      <c r="CN346" s="105"/>
      <c r="CO346" s="105"/>
      <c r="CP346" s="105"/>
      <c r="CQ346" s="105"/>
      <c r="CR346" s="105"/>
      <c r="CS346" s="105"/>
      <c r="CT346" s="105"/>
      <c r="CU346" s="105"/>
      <c r="CV346" s="105"/>
      <c r="CW346" s="105"/>
      <c r="CX346" s="105"/>
      <c r="CY346" s="105"/>
      <c r="CZ346" s="105"/>
      <c r="DA346" s="105"/>
    </row>
    <row r="347">
      <c r="B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c r="AA347" s="105"/>
      <c r="AB347" s="105"/>
      <c r="AC347" s="105"/>
      <c r="AD347" s="105"/>
      <c r="AE347" s="105"/>
      <c r="AF347" s="105"/>
      <c r="AG347" s="105"/>
      <c r="AH347" s="105"/>
      <c r="AI347" s="105"/>
      <c r="AJ347" s="105"/>
      <c r="AK347" s="105"/>
      <c r="AL347" s="105"/>
      <c r="AM347" s="105"/>
      <c r="AN347" s="105"/>
      <c r="AO347" s="105"/>
      <c r="AP347" s="105"/>
      <c r="AQ347" s="105"/>
      <c r="AR347" s="105"/>
      <c r="AS347" s="105"/>
      <c r="AT347" s="105"/>
      <c r="AU347" s="105"/>
      <c r="AV347" s="105"/>
      <c r="AW347" s="105"/>
      <c r="AX347" s="105"/>
      <c r="AY347" s="105"/>
      <c r="AZ347" s="105"/>
      <c r="BA347" s="105"/>
      <c r="BB347" s="105"/>
      <c r="BC347" s="105"/>
      <c r="BD347" s="105"/>
      <c r="BE347" s="105"/>
      <c r="BF347" s="105"/>
      <c r="BG347" s="105"/>
      <c r="BH347" s="105"/>
      <c r="BI347" s="105"/>
      <c r="BJ347" s="105"/>
      <c r="BK347" s="105"/>
      <c r="BL347" s="105"/>
      <c r="BM347" s="105"/>
      <c r="BN347" s="105"/>
      <c r="BO347" s="105"/>
      <c r="BP347" s="105"/>
      <c r="BQ347" s="105"/>
      <c r="BR347" s="105"/>
      <c r="BS347" s="105"/>
      <c r="BT347" s="105"/>
      <c r="BU347" s="105"/>
      <c r="BV347" s="105"/>
      <c r="BW347" s="105"/>
      <c r="BX347" s="105"/>
      <c r="BY347" s="105"/>
      <c r="BZ347" s="105"/>
      <c r="CA347" s="105"/>
      <c r="CB347" s="105"/>
      <c r="CC347" s="105"/>
      <c r="CD347" s="105"/>
      <c r="CE347" s="105"/>
      <c r="CF347" s="105"/>
      <c r="CG347" s="105"/>
      <c r="CH347" s="105"/>
      <c r="CI347" s="105"/>
      <c r="CJ347" s="105"/>
      <c r="CK347" s="105"/>
      <c r="CL347" s="105"/>
      <c r="CM347" s="105"/>
      <c r="CN347" s="105"/>
      <c r="CO347" s="105"/>
      <c r="CP347" s="105"/>
      <c r="CQ347" s="105"/>
      <c r="CR347" s="105"/>
      <c r="CS347" s="105"/>
      <c r="CT347" s="105"/>
      <c r="CU347" s="105"/>
      <c r="CV347" s="105"/>
      <c r="CW347" s="105"/>
      <c r="CX347" s="105"/>
      <c r="CY347" s="105"/>
      <c r="CZ347" s="105"/>
      <c r="DA347" s="105"/>
    </row>
    <row r="348">
      <c r="B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c r="AA348" s="105"/>
      <c r="AB348" s="105"/>
      <c r="AC348" s="105"/>
      <c r="AD348" s="105"/>
      <c r="AE348" s="105"/>
      <c r="AF348" s="105"/>
      <c r="AG348" s="105"/>
      <c r="AH348" s="105"/>
      <c r="AI348" s="105"/>
      <c r="AJ348" s="105"/>
      <c r="AK348" s="105"/>
      <c r="AL348" s="105"/>
      <c r="AM348" s="105"/>
      <c r="AN348" s="105"/>
      <c r="AO348" s="105"/>
      <c r="AP348" s="105"/>
      <c r="AQ348" s="105"/>
      <c r="AR348" s="105"/>
      <c r="AS348" s="105"/>
      <c r="AT348" s="105"/>
      <c r="AU348" s="105"/>
      <c r="AV348" s="105"/>
      <c r="AW348" s="105"/>
      <c r="AX348" s="105"/>
      <c r="AY348" s="105"/>
      <c r="AZ348" s="105"/>
      <c r="BA348" s="105"/>
      <c r="BB348" s="105"/>
      <c r="BC348" s="105"/>
      <c r="BD348" s="105"/>
      <c r="BE348" s="105"/>
      <c r="BF348" s="105"/>
      <c r="BG348" s="105"/>
      <c r="BH348" s="105"/>
      <c r="BI348" s="105"/>
      <c r="BJ348" s="105"/>
      <c r="BK348" s="105"/>
      <c r="BL348" s="105"/>
      <c r="BM348" s="105"/>
      <c r="BN348" s="105"/>
      <c r="BO348" s="105"/>
      <c r="BP348" s="105"/>
      <c r="BQ348" s="105"/>
      <c r="BR348" s="105"/>
      <c r="BS348" s="105"/>
      <c r="BT348" s="105"/>
      <c r="BU348" s="105"/>
      <c r="BV348" s="105"/>
      <c r="BW348" s="105"/>
      <c r="BX348" s="105"/>
      <c r="BY348" s="105"/>
      <c r="BZ348" s="105"/>
      <c r="CA348" s="105"/>
      <c r="CB348" s="105"/>
      <c r="CC348" s="105"/>
      <c r="CD348" s="105"/>
      <c r="CE348" s="105"/>
      <c r="CF348" s="105"/>
      <c r="CG348" s="105"/>
      <c r="CH348" s="105"/>
      <c r="CI348" s="105"/>
      <c r="CJ348" s="105"/>
      <c r="CK348" s="105"/>
      <c r="CL348" s="105"/>
      <c r="CM348" s="105"/>
      <c r="CN348" s="105"/>
      <c r="CO348" s="105"/>
      <c r="CP348" s="105"/>
      <c r="CQ348" s="105"/>
      <c r="CR348" s="105"/>
      <c r="CS348" s="105"/>
      <c r="CT348" s="105"/>
      <c r="CU348" s="105"/>
      <c r="CV348" s="105"/>
      <c r="CW348" s="105"/>
      <c r="CX348" s="105"/>
      <c r="CY348" s="105"/>
      <c r="CZ348" s="105"/>
      <c r="DA348" s="105"/>
    </row>
    <row r="349">
      <c r="B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c r="AA349" s="105"/>
      <c r="AB349" s="105"/>
      <c r="AC349" s="105"/>
      <c r="AD349" s="105"/>
      <c r="AE349" s="105"/>
      <c r="AF349" s="105"/>
      <c r="AG349" s="105"/>
      <c r="AH349" s="105"/>
      <c r="AI349" s="105"/>
      <c r="AJ349" s="105"/>
      <c r="AK349" s="105"/>
      <c r="AL349" s="105"/>
      <c r="AM349" s="105"/>
      <c r="AN349" s="105"/>
      <c r="AO349" s="105"/>
      <c r="AP349" s="105"/>
      <c r="AQ349" s="105"/>
      <c r="AR349" s="105"/>
      <c r="AS349" s="105"/>
      <c r="AT349" s="105"/>
      <c r="AU349" s="105"/>
      <c r="AV349" s="105"/>
      <c r="AW349" s="105"/>
      <c r="AX349" s="105"/>
      <c r="AY349" s="105"/>
      <c r="AZ349" s="105"/>
      <c r="BA349" s="105"/>
      <c r="BB349" s="105"/>
      <c r="BC349" s="105"/>
      <c r="BD349" s="105"/>
      <c r="BE349" s="105"/>
      <c r="BF349" s="105"/>
      <c r="BG349" s="105"/>
      <c r="BH349" s="105"/>
      <c r="BI349" s="105"/>
      <c r="BJ349" s="105"/>
      <c r="BK349" s="105"/>
      <c r="BL349" s="105"/>
      <c r="BM349" s="105"/>
      <c r="BN349" s="105"/>
      <c r="BO349" s="105"/>
      <c r="BP349" s="105"/>
      <c r="BQ349" s="105"/>
      <c r="BR349" s="105"/>
      <c r="BS349" s="105"/>
      <c r="BT349" s="105"/>
      <c r="BU349" s="105"/>
      <c r="BV349" s="105"/>
      <c r="BW349" s="105"/>
      <c r="BX349" s="105"/>
      <c r="BY349" s="105"/>
      <c r="BZ349" s="105"/>
      <c r="CA349" s="105"/>
      <c r="CB349" s="105"/>
      <c r="CC349" s="105"/>
      <c r="CD349" s="105"/>
      <c r="CE349" s="105"/>
      <c r="CF349" s="105"/>
      <c r="CG349" s="105"/>
      <c r="CH349" s="105"/>
      <c r="CI349" s="105"/>
      <c r="CJ349" s="105"/>
      <c r="CK349" s="105"/>
      <c r="CL349" s="105"/>
      <c r="CM349" s="105"/>
      <c r="CN349" s="105"/>
      <c r="CO349" s="105"/>
      <c r="CP349" s="105"/>
      <c r="CQ349" s="105"/>
      <c r="CR349" s="105"/>
      <c r="CS349" s="105"/>
      <c r="CT349" s="105"/>
      <c r="CU349" s="105"/>
      <c r="CV349" s="105"/>
      <c r="CW349" s="105"/>
      <c r="CX349" s="105"/>
      <c r="CY349" s="105"/>
      <c r="CZ349" s="105"/>
      <c r="DA349" s="105"/>
    </row>
    <row r="350">
      <c r="B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c r="AA350" s="105"/>
      <c r="AB350" s="105"/>
      <c r="AC350" s="105"/>
      <c r="AD350" s="105"/>
      <c r="AE350" s="105"/>
      <c r="AF350" s="105"/>
      <c r="AG350" s="105"/>
      <c r="AH350" s="105"/>
      <c r="AI350" s="105"/>
      <c r="AJ350" s="105"/>
      <c r="AK350" s="105"/>
      <c r="AL350" s="105"/>
      <c r="AM350" s="105"/>
      <c r="AN350" s="105"/>
      <c r="AO350" s="105"/>
      <c r="AP350" s="105"/>
      <c r="AQ350" s="105"/>
      <c r="AR350" s="105"/>
      <c r="AS350" s="105"/>
      <c r="AT350" s="105"/>
      <c r="AU350" s="105"/>
      <c r="AV350" s="105"/>
      <c r="AW350" s="105"/>
      <c r="AX350" s="105"/>
      <c r="AY350" s="105"/>
      <c r="AZ350" s="105"/>
      <c r="BA350" s="105"/>
      <c r="BB350" s="105"/>
      <c r="BC350" s="105"/>
      <c r="BD350" s="105"/>
      <c r="BE350" s="105"/>
      <c r="BF350" s="105"/>
      <c r="BG350" s="105"/>
      <c r="BH350" s="105"/>
      <c r="BI350" s="105"/>
      <c r="BJ350" s="105"/>
      <c r="BK350" s="105"/>
      <c r="BL350" s="105"/>
      <c r="BM350" s="105"/>
      <c r="BN350" s="105"/>
      <c r="BO350" s="105"/>
      <c r="BP350" s="105"/>
      <c r="BQ350" s="105"/>
      <c r="BR350" s="105"/>
      <c r="BS350" s="105"/>
      <c r="BT350" s="105"/>
      <c r="BU350" s="105"/>
      <c r="BV350" s="105"/>
      <c r="BW350" s="105"/>
      <c r="BX350" s="105"/>
      <c r="BY350" s="105"/>
      <c r="BZ350" s="105"/>
      <c r="CA350" s="105"/>
      <c r="CB350" s="105"/>
      <c r="CC350" s="105"/>
      <c r="CD350" s="105"/>
      <c r="CE350" s="105"/>
      <c r="CF350" s="105"/>
      <c r="CG350" s="105"/>
      <c r="CH350" s="105"/>
      <c r="CI350" s="105"/>
      <c r="CJ350" s="105"/>
      <c r="CK350" s="105"/>
      <c r="CL350" s="105"/>
      <c r="CM350" s="105"/>
      <c r="CN350" s="105"/>
      <c r="CO350" s="105"/>
      <c r="CP350" s="105"/>
      <c r="CQ350" s="105"/>
      <c r="CR350" s="105"/>
      <c r="CS350" s="105"/>
      <c r="CT350" s="105"/>
      <c r="CU350" s="105"/>
      <c r="CV350" s="105"/>
      <c r="CW350" s="105"/>
      <c r="CX350" s="105"/>
      <c r="CY350" s="105"/>
      <c r="CZ350" s="105"/>
      <c r="DA350" s="105"/>
    </row>
    <row r="351">
      <c r="B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c r="AA351" s="105"/>
      <c r="AB351" s="105"/>
      <c r="AC351" s="105"/>
      <c r="AD351" s="105"/>
      <c r="AE351" s="105"/>
      <c r="AF351" s="105"/>
      <c r="AG351" s="105"/>
      <c r="AH351" s="105"/>
      <c r="AI351" s="105"/>
      <c r="AJ351" s="105"/>
      <c r="AK351" s="105"/>
      <c r="AL351" s="105"/>
      <c r="AM351" s="105"/>
      <c r="AN351" s="105"/>
      <c r="AO351" s="105"/>
      <c r="AP351" s="105"/>
      <c r="AQ351" s="105"/>
      <c r="AR351" s="105"/>
      <c r="AS351" s="105"/>
      <c r="AT351" s="105"/>
      <c r="AU351" s="105"/>
      <c r="AV351" s="105"/>
      <c r="AW351" s="105"/>
      <c r="AX351" s="105"/>
      <c r="AY351" s="105"/>
      <c r="AZ351" s="105"/>
      <c r="BA351" s="105"/>
      <c r="BB351" s="105"/>
      <c r="BC351" s="105"/>
      <c r="BD351" s="105"/>
      <c r="BE351" s="105"/>
      <c r="BF351" s="105"/>
      <c r="BG351" s="105"/>
      <c r="BH351" s="105"/>
      <c r="BI351" s="105"/>
      <c r="BJ351" s="105"/>
      <c r="BK351" s="105"/>
      <c r="BL351" s="105"/>
      <c r="BM351" s="105"/>
      <c r="BN351" s="105"/>
      <c r="BO351" s="105"/>
      <c r="BP351" s="105"/>
      <c r="BQ351" s="105"/>
      <c r="BR351" s="105"/>
      <c r="BS351" s="105"/>
      <c r="BT351" s="105"/>
      <c r="BU351" s="105"/>
      <c r="BV351" s="105"/>
      <c r="BW351" s="105"/>
      <c r="BX351" s="105"/>
      <c r="BY351" s="105"/>
      <c r="BZ351" s="105"/>
      <c r="CA351" s="105"/>
      <c r="CB351" s="105"/>
      <c r="CC351" s="105"/>
      <c r="CD351" s="105"/>
      <c r="CE351" s="105"/>
      <c r="CF351" s="105"/>
      <c r="CG351" s="105"/>
      <c r="CH351" s="105"/>
      <c r="CI351" s="105"/>
      <c r="CJ351" s="105"/>
      <c r="CK351" s="105"/>
      <c r="CL351" s="105"/>
      <c r="CM351" s="105"/>
      <c r="CN351" s="105"/>
      <c r="CO351" s="105"/>
      <c r="CP351" s="105"/>
      <c r="CQ351" s="105"/>
      <c r="CR351" s="105"/>
      <c r="CS351" s="105"/>
      <c r="CT351" s="105"/>
      <c r="CU351" s="105"/>
      <c r="CV351" s="105"/>
      <c r="CW351" s="105"/>
      <c r="CX351" s="105"/>
      <c r="CY351" s="105"/>
      <c r="CZ351" s="105"/>
      <c r="DA351" s="105"/>
    </row>
    <row r="352">
      <c r="B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c r="AA352" s="105"/>
      <c r="AB352" s="105"/>
      <c r="AC352" s="105"/>
      <c r="AD352" s="105"/>
      <c r="AE352" s="105"/>
      <c r="AF352" s="105"/>
      <c r="AG352" s="105"/>
      <c r="AH352" s="105"/>
      <c r="AI352" s="105"/>
      <c r="AJ352" s="105"/>
      <c r="AK352" s="105"/>
      <c r="AL352" s="105"/>
      <c r="AM352" s="105"/>
      <c r="AN352" s="105"/>
      <c r="AO352" s="105"/>
      <c r="AP352" s="105"/>
      <c r="AQ352" s="105"/>
      <c r="AR352" s="105"/>
      <c r="AS352" s="105"/>
      <c r="AT352" s="105"/>
      <c r="AU352" s="105"/>
      <c r="AV352" s="105"/>
      <c r="AW352" s="105"/>
      <c r="AX352" s="105"/>
      <c r="AY352" s="105"/>
      <c r="AZ352" s="105"/>
      <c r="BA352" s="105"/>
      <c r="BB352" s="105"/>
      <c r="BC352" s="105"/>
      <c r="BD352" s="105"/>
      <c r="BE352" s="105"/>
      <c r="BF352" s="105"/>
      <c r="BG352" s="105"/>
      <c r="BH352" s="105"/>
      <c r="BI352" s="105"/>
      <c r="BJ352" s="105"/>
      <c r="BK352" s="105"/>
      <c r="BL352" s="105"/>
      <c r="BM352" s="105"/>
      <c r="BN352" s="105"/>
      <c r="BO352" s="105"/>
      <c r="BP352" s="105"/>
      <c r="BQ352" s="105"/>
      <c r="BR352" s="105"/>
      <c r="BS352" s="105"/>
      <c r="BT352" s="105"/>
      <c r="BU352" s="105"/>
      <c r="BV352" s="105"/>
      <c r="BW352" s="105"/>
      <c r="BX352" s="105"/>
      <c r="BY352" s="105"/>
      <c r="BZ352" s="105"/>
      <c r="CA352" s="105"/>
      <c r="CB352" s="105"/>
      <c r="CC352" s="105"/>
      <c r="CD352" s="105"/>
      <c r="CE352" s="105"/>
      <c r="CF352" s="105"/>
      <c r="CG352" s="105"/>
      <c r="CH352" s="105"/>
      <c r="CI352" s="105"/>
      <c r="CJ352" s="105"/>
      <c r="CK352" s="105"/>
      <c r="CL352" s="105"/>
      <c r="CM352" s="105"/>
      <c r="CN352" s="105"/>
      <c r="CO352" s="105"/>
      <c r="CP352" s="105"/>
      <c r="CQ352" s="105"/>
      <c r="CR352" s="105"/>
      <c r="CS352" s="105"/>
      <c r="CT352" s="105"/>
      <c r="CU352" s="105"/>
      <c r="CV352" s="105"/>
      <c r="CW352" s="105"/>
      <c r="CX352" s="105"/>
      <c r="CY352" s="105"/>
      <c r="CZ352" s="105"/>
      <c r="DA352" s="105"/>
    </row>
    <row r="353">
      <c r="B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c r="AA353" s="105"/>
      <c r="AB353" s="105"/>
      <c r="AC353" s="105"/>
      <c r="AD353" s="105"/>
      <c r="AE353" s="105"/>
      <c r="AF353" s="105"/>
      <c r="AG353" s="105"/>
      <c r="AH353" s="105"/>
      <c r="AI353" s="105"/>
      <c r="AJ353" s="105"/>
      <c r="AK353" s="105"/>
      <c r="AL353" s="105"/>
      <c r="AM353" s="105"/>
      <c r="AN353" s="105"/>
      <c r="AO353" s="105"/>
      <c r="AP353" s="105"/>
      <c r="AQ353" s="105"/>
      <c r="AR353" s="105"/>
      <c r="AS353" s="105"/>
      <c r="AT353" s="105"/>
      <c r="AU353" s="105"/>
      <c r="AV353" s="105"/>
      <c r="AW353" s="105"/>
      <c r="AX353" s="105"/>
      <c r="AY353" s="105"/>
      <c r="AZ353" s="105"/>
      <c r="BA353" s="105"/>
      <c r="BB353" s="105"/>
      <c r="BC353" s="105"/>
      <c r="BD353" s="105"/>
      <c r="BE353" s="105"/>
      <c r="BF353" s="105"/>
      <c r="BG353" s="105"/>
      <c r="BH353" s="105"/>
      <c r="BI353" s="105"/>
      <c r="BJ353" s="105"/>
      <c r="BK353" s="105"/>
      <c r="BL353" s="105"/>
      <c r="BM353" s="105"/>
      <c r="BN353" s="105"/>
      <c r="BO353" s="105"/>
      <c r="BP353" s="105"/>
      <c r="BQ353" s="105"/>
      <c r="BR353" s="105"/>
      <c r="BS353" s="105"/>
      <c r="BT353" s="105"/>
      <c r="BU353" s="105"/>
      <c r="BV353" s="105"/>
      <c r="BW353" s="105"/>
      <c r="BX353" s="105"/>
      <c r="BY353" s="105"/>
      <c r="BZ353" s="105"/>
      <c r="CA353" s="105"/>
      <c r="CB353" s="105"/>
      <c r="CC353" s="105"/>
      <c r="CD353" s="105"/>
      <c r="CE353" s="105"/>
      <c r="CF353" s="105"/>
      <c r="CG353" s="105"/>
      <c r="CH353" s="105"/>
      <c r="CI353" s="105"/>
      <c r="CJ353" s="105"/>
      <c r="CK353" s="105"/>
      <c r="CL353" s="105"/>
      <c r="CM353" s="105"/>
      <c r="CN353" s="105"/>
      <c r="CO353" s="105"/>
      <c r="CP353" s="105"/>
      <c r="CQ353" s="105"/>
      <c r="CR353" s="105"/>
      <c r="CS353" s="105"/>
      <c r="CT353" s="105"/>
      <c r="CU353" s="105"/>
      <c r="CV353" s="105"/>
      <c r="CW353" s="105"/>
      <c r="CX353" s="105"/>
      <c r="CY353" s="105"/>
      <c r="CZ353" s="105"/>
      <c r="DA353" s="105"/>
    </row>
    <row r="354">
      <c r="B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c r="AA354" s="105"/>
      <c r="AB354" s="105"/>
      <c r="AC354" s="105"/>
      <c r="AD354" s="105"/>
      <c r="AE354" s="105"/>
      <c r="AF354" s="105"/>
      <c r="AG354" s="105"/>
      <c r="AH354" s="105"/>
      <c r="AI354" s="105"/>
      <c r="AJ354" s="105"/>
      <c r="AK354" s="105"/>
      <c r="AL354" s="105"/>
      <c r="AM354" s="105"/>
      <c r="AN354" s="105"/>
      <c r="AO354" s="105"/>
      <c r="AP354" s="105"/>
      <c r="AQ354" s="105"/>
      <c r="AR354" s="105"/>
      <c r="AS354" s="105"/>
      <c r="AT354" s="105"/>
      <c r="AU354" s="105"/>
      <c r="AV354" s="105"/>
      <c r="AW354" s="105"/>
      <c r="AX354" s="105"/>
      <c r="AY354" s="105"/>
      <c r="AZ354" s="105"/>
      <c r="BA354" s="105"/>
      <c r="BB354" s="105"/>
      <c r="BC354" s="105"/>
      <c r="BD354" s="105"/>
      <c r="BE354" s="105"/>
      <c r="BF354" s="105"/>
      <c r="BG354" s="105"/>
      <c r="BH354" s="105"/>
      <c r="BI354" s="105"/>
      <c r="BJ354" s="105"/>
      <c r="BK354" s="105"/>
      <c r="BL354" s="105"/>
      <c r="BM354" s="105"/>
      <c r="BN354" s="105"/>
      <c r="BO354" s="105"/>
      <c r="BP354" s="105"/>
      <c r="BQ354" s="105"/>
      <c r="BR354" s="105"/>
      <c r="BS354" s="105"/>
      <c r="BT354" s="105"/>
      <c r="BU354" s="105"/>
      <c r="BV354" s="105"/>
      <c r="BW354" s="105"/>
      <c r="BX354" s="105"/>
      <c r="BY354" s="105"/>
      <c r="BZ354" s="105"/>
      <c r="CA354" s="105"/>
      <c r="CB354" s="105"/>
      <c r="CC354" s="105"/>
      <c r="CD354" s="105"/>
      <c r="CE354" s="105"/>
      <c r="CF354" s="105"/>
      <c r="CG354" s="105"/>
      <c r="CH354" s="105"/>
      <c r="CI354" s="105"/>
      <c r="CJ354" s="105"/>
      <c r="CK354" s="105"/>
      <c r="CL354" s="105"/>
      <c r="CM354" s="105"/>
      <c r="CN354" s="105"/>
      <c r="CO354" s="105"/>
      <c r="CP354" s="105"/>
      <c r="CQ354" s="105"/>
      <c r="CR354" s="105"/>
      <c r="CS354" s="105"/>
      <c r="CT354" s="105"/>
      <c r="CU354" s="105"/>
      <c r="CV354" s="105"/>
      <c r="CW354" s="105"/>
      <c r="CX354" s="105"/>
      <c r="CY354" s="105"/>
      <c r="CZ354" s="105"/>
      <c r="DA354" s="105"/>
    </row>
    <row r="355">
      <c r="B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c r="AA355" s="105"/>
      <c r="AB355" s="105"/>
      <c r="AC355" s="105"/>
      <c r="AD355" s="105"/>
      <c r="AE355" s="105"/>
      <c r="AF355" s="105"/>
      <c r="AG355" s="105"/>
      <c r="AH355" s="105"/>
      <c r="AI355" s="105"/>
      <c r="AJ355" s="105"/>
      <c r="AK355" s="105"/>
      <c r="AL355" s="105"/>
      <c r="AM355" s="105"/>
      <c r="AN355" s="105"/>
      <c r="AO355" s="105"/>
      <c r="AP355" s="105"/>
      <c r="AQ355" s="105"/>
      <c r="AR355" s="105"/>
      <c r="AS355" s="105"/>
      <c r="AT355" s="105"/>
      <c r="AU355" s="105"/>
      <c r="AV355" s="105"/>
      <c r="AW355" s="105"/>
      <c r="AX355" s="105"/>
      <c r="AY355" s="105"/>
      <c r="AZ355" s="105"/>
      <c r="BA355" s="105"/>
      <c r="BB355" s="105"/>
      <c r="BC355" s="105"/>
      <c r="BD355" s="105"/>
      <c r="BE355" s="105"/>
      <c r="BF355" s="105"/>
      <c r="BG355" s="105"/>
      <c r="BH355" s="105"/>
      <c r="BI355" s="105"/>
      <c r="BJ355" s="105"/>
      <c r="BK355" s="105"/>
      <c r="BL355" s="105"/>
      <c r="BM355" s="105"/>
      <c r="BN355" s="105"/>
      <c r="BO355" s="105"/>
      <c r="BP355" s="105"/>
      <c r="BQ355" s="105"/>
      <c r="BR355" s="105"/>
      <c r="BS355" s="105"/>
      <c r="BT355" s="105"/>
      <c r="BU355" s="105"/>
      <c r="BV355" s="105"/>
      <c r="BW355" s="105"/>
      <c r="BX355" s="105"/>
      <c r="BY355" s="105"/>
      <c r="BZ355" s="105"/>
      <c r="CA355" s="105"/>
      <c r="CB355" s="105"/>
      <c r="CC355" s="105"/>
      <c r="CD355" s="105"/>
      <c r="CE355" s="105"/>
      <c r="CF355" s="105"/>
      <c r="CG355" s="105"/>
      <c r="CH355" s="105"/>
      <c r="CI355" s="105"/>
      <c r="CJ355" s="105"/>
      <c r="CK355" s="105"/>
      <c r="CL355" s="105"/>
      <c r="CM355" s="105"/>
      <c r="CN355" s="105"/>
      <c r="CO355" s="105"/>
      <c r="CP355" s="105"/>
      <c r="CQ355" s="105"/>
      <c r="CR355" s="105"/>
      <c r="CS355" s="105"/>
      <c r="CT355" s="105"/>
      <c r="CU355" s="105"/>
      <c r="CV355" s="105"/>
      <c r="CW355" s="105"/>
      <c r="CX355" s="105"/>
      <c r="CY355" s="105"/>
      <c r="CZ355" s="105"/>
      <c r="DA355" s="105"/>
    </row>
    <row r="356">
      <c r="B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c r="AA356" s="105"/>
      <c r="AB356" s="105"/>
      <c r="AC356" s="105"/>
      <c r="AD356" s="105"/>
      <c r="AE356" s="105"/>
      <c r="AF356" s="105"/>
      <c r="AG356" s="105"/>
      <c r="AH356" s="105"/>
      <c r="AI356" s="105"/>
      <c r="AJ356" s="105"/>
      <c r="AK356" s="105"/>
      <c r="AL356" s="105"/>
      <c r="AM356" s="105"/>
      <c r="AN356" s="105"/>
      <c r="AO356" s="105"/>
      <c r="AP356" s="105"/>
      <c r="AQ356" s="105"/>
      <c r="AR356" s="105"/>
      <c r="AS356" s="105"/>
      <c r="AT356" s="105"/>
      <c r="AU356" s="105"/>
      <c r="AV356" s="105"/>
      <c r="AW356" s="105"/>
      <c r="AX356" s="105"/>
      <c r="AY356" s="105"/>
      <c r="AZ356" s="105"/>
      <c r="BA356" s="105"/>
      <c r="BB356" s="105"/>
      <c r="BC356" s="105"/>
      <c r="BD356" s="105"/>
      <c r="BE356" s="105"/>
      <c r="BF356" s="105"/>
      <c r="BG356" s="105"/>
      <c r="BH356" s="105"/>
      <c r="BI356" s="105"/>
      <c r="BJ356" s="105"/>
      <c r="BK356" s="105"/>
      <c r="BL356" s="105"/>
      <c r="BM356" s="105"/>
      <c r="BN356" s="105"/>
      <c r="BO356" s="105"/>
      <c r="BP356" s="105"/>
      <c r="BQ356" s="105"/>
      <c r="BR356" s="105"/>
      <c r="BS356" s="105"/>
      <c r="BT356" s="105"/>
      <c r="BU356" s="105"/>
      <c r="BV356" s="105"/>
      <c r="BW356" s="105"/>
      <c r="BX356" s="105"/>
      <c r="BY356" s="105"/>
      <c r="BZ356" s="105"/>
      <c r="CA356" s="105"/>
      <c r="CB356" s="105"/>
      <c r="CC356" s="105"/>
      <c r="CD356" s="105"/>
      <c r="CE356" s="105"/>
      <c r="CF356" s="105"/>
      <c r="CG356" s="105"/>
      <c r="CH356" s="105"/>
      <c r="CI356" s="105"/>
      <c r="CJ356" s="105"/>
      <c r="CK356" s="105"/>
      <c r="CL356" s="105"/>
      <c r="CM356" s="105"/>
      <c r="CN356" s="105"/>
      <c r="CO356" s="105"/>
      <c r="CP356" s="105"/>
      <c r="CQ356" s="105"/>
      <c r="CR356" s="105"/>
      <c r="CS356" s="105"/>
      <c r="CT356" s="105"/>
      <c r="CU356" s="105"/>
      <c r="CV356" s="105"/>
      <c r="CW356" s="105"/>
      <c r="CX356" s="105"/>
      <c r="CY356" s="105"/>
      <c r="CZ356" s="105"/>
      <c r="DA356" s="105"/>
    </row>
    <row r="357">
      <c r="B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c r="AA357" s="105"/>
      <c r="AB357" s="105"/>
      <c r="AC357" s="105"/>
      <c r="AD357" s="105"/>
      <c r="AE357" s="105"/>
      <c r="AF357" s="105"/>
      <c r="AG357" s="105"/>
      <c r="AH357" s="105"/>
      <c r="AI357" s="105"/>
      <c r="AJ357" s="105"/>
      <c r="AK357" s="105"/>
      <c r="AL357" s="105"/>
      <c r="AM357" s="105"/>
      <c r="AN357" s="105"/>
      <c r="AO357" s="105"/>
      <c r="AP357" s="105"/>
      <c r="AQ357" s="105"/>
      <c r="AR357" s="105"/>
      <c r="AS357" s="105"/>
      <c r="AT357" s="105"/>
      <c r="AU357" s="105"/>
      <c r="AV357" s="105"/>
      <c r="AW357" s="105"/>
      <c r="AX357" s="105"/>
      <c r="AY357" s="105"/>
      <c r="AZ357" s="105"/>
      <c r="BA357" s="105"/>
      <c r="BB357" s="105"/>
      <c r="BC357" s="105"/>
      <c r="BD357" s="105"/>
      <c r="BE357" s="105"/>
      <c r="BF357" s="105"/>
      <c r="BG357" s="105"/>
      <c r="BH357" s="105"/>
      <c r="BI357" s="105"/>
      <c r="BJ357" s="105"/>
      <c r="BK357" s="105"/>
      <c r="BL357" s="105"/>
      <c r="BM357" s="105"/>
      <c r="BN357" s="105"/>
      <c r="BO357" s="105"/>
      <c r="BP357" s="105"/>
      <c r="BQ357" s="105"/>
      <c r="BR357" s="105"/>
      <c r="BS357" s="105"/>
      <c r="BT357" s="105"/>
      <c r="BU357" s="105"/>
      <c r="BV357" s="105"/>
      <c r="BW357" s="105"/>
      <c r="BX357" s="105"/>
      <c r="BY357" s="105"/>
      <c r="BZ357" s="105"/>
      <c r="CA357" s="105"/>
      <c r="CB357" s="105"/>
      <c r="CC357" s="105"/>
      <c r="CD357" s="105"/>
      <c r="CE357" s="105"/>
      <c r="CF357" s="105"/>
      <c r="CG357" s="105"/>
      <c r="CH357" s="105"/>
      <c r="CI357" s="105"/>
      <c r="CJ357" s="105"/>
      <c r="CK357" s="105"/>
      <c r="CL357" s="105"/>
      <c r="CM357" s="105"/>
      <c r="CN357" s="105"/>
      <c r="CO357" s="105"/>
      <c r="CP357" s="105"/>
      <c r="CQ357" s="105"/>
      <c r="CR357" s="105"/>
      <c r="CS357" s="105"/>
      <c r="CT357" s="105"/>
      <c r="CU357" s="105"/>
      <c r="CV357" s="105"/>
      <c r="CW357" s="105"/>
      <c r="CX357" s="105"/>
      <c r="CY357" s="105"/>
      <c r="CZ357" s="105"/>
      <c r="DA357" s="105"/>
    </row>
    <row r="358">
      <c r="B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c r="AA358" s="105"/>
      <c r="AB358" s="105"/>
      <c r="AC358" s="105"/>
      <c r="AD358" s="105"/>
      <c r="AE358" s="105"/>
      <c r="AF358" s="105"/>
      <c r="AG358" s="105"/>
      <c r="AH358" s="105"/>
      <c r="AI358" s="105"/>
      <c r="AJ358" s="105"/>
      <c r="AK358" s="105"/>
      <c r="AL358" s="105"/>
      <c r="AM358" s="105"/>
      <c r="AN358" s="105"/>
      <c r="AO358" s="105"/>
      <c r="AP358" s="105"/>
      <c r="AQ358" s="105"/>
      <c r="AR358" s="105"/>
      <c r="AS358" s="105"/>
      <c r="AT358" s="105"/>
      <c r="AU358" s="105"/>
      <c r="AV358" s="105"/>
      <c r="AW358" s="105"/>
      <c r="AX358" s="105"/>
      <c r="AY358" s="105"/>
      <c r="AZ358" s="105"/>
      <c r="BA358" s="105"/>
      <c r="BB358" s="105"/>
      <c r="BC358" s="105"/>
      <c r="BD358" s="105"/>
      <c r="BE358" s="105"/>
      <c r="BF358" s="105"/>
      <c r="BG358" s="105"/>
      <c r="BH358" s="105"/>
      <c r="BI358" s="105"/>
      <c r="BJ358" s="105"/>
      <c r="BK358" s="105"/>
      <c r="BL358" s="105"/>
      <c r="BM358" s="105"/>
      <c r="BN358" s="105"/>
      <c r="BO358" s="105"/>
      <c r="BP358" s="105"/>
      <c r="BQ358" s="105"/>
      <c r="BR358" s="105"/>
      <c r="BS358" s="105"/>
      <c r="BT358" s="105"/>
      <c r="BU358" s="105"/>
      <c r="BV358" s="105"/>
      <c r="BW358" s="105"/>
      <c r="BX358" s="105"/>
      <c r="BY358" s="105"/>
      <c r="BZ358" s="105"/>
      <c r="CA358" s="105"/>
      <c r="CB358" s="105"/>
      <c r="CC358" s="105"/>
      <c r="CD358" s="105"/>
      <c r="CE358" s="105"/>
      <c r="CF358" s="105"/>
      <c r="CG358" s="105"/>
      <c r="CH358" s="105"/>
      <c r="CI358" s="105"/>
      <c r="CJ358" s="105"/>
      <c r="CK358" s="105"/>
      <c r="CL358" s="105"/>
      <c r="CM358" s="105"/>
      <c r="CN358" s="105"/>
      <c r="CO358" s="105"/>
      <c r="CP358" s="105"/>
      <c r="CQ358" s="105"/>
      <c r="CR358" s="105"/>
      <c r="CS358" s="105"/>
      <c r="CT358" s="105"/>
      <c r="CU358" s="105"/>
      <c r="CV358" s="105"/>
      <c r="CW358" s="105"/>
      <c r="CX358" s="105"/>
      <c r="CY358" s="105"/>
      <c r="CZ358" s="105"/>
      <c r="DA358" s="105"/>
    </row>
    <row r="359">
      <c r="B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c r="AA359" s="105"/>
      <c r="AB359" s="105"/>
      <c r="AC359" s="105"/>
      <c r="AD359" s="105"/>
      <c r="AE359" s="105"/>
      <c r="AF359" s="105"/>
      <c r="AG359" s="105"/>
      <c r="AH359" s="105"/>
      <c r="AI359" s="105"/>
      <c r="AJ359" s="105"/>
      <c r="AK359" s="105"/>
      <c r="AL359" s="105"/>
      <c r="AM359" s="105"/>
      <c r="AN359" s="105"/>
      <c r="AO359" s="105"/>
      <c r="AP359" s="105"/>
      <c r="AQ359" s="105"/>
      <c r="AR359" s="105"/>
      <c r="AS359" s="105"/>
      <c r="AT359" s="105"/>
      <c r="AU359" s="105"/>
      <c r="AV359" s="105"/>
      <c r="AW359" s="105"/>
      <c r="AX359" s="105"/>
      <c r="AY359" s="105"/>
      <c r="AZ359" s="105"/>
      <c r="BA359" s="105"/>
      <c r="BB359" s="105"/>
      <c r="BC359" s="105"/>
      <c r="BD359" s="105"/>
      <c r="BE359" s="105"/>
      <c r="BF359" s="105"/>
      <c r="BG359" s="105"/>
      <c r="BH359" s="105"/>
      <c r="BI359" s="105"/>
      <c r="BJ359" s="105"/>
      <c r="BK359" s="105"/>
      <c r="BL359" s="105"/>
      <c r="BM359" s="105"/>
      <c r="BN359" s="105"/>
      <c r="BO359" s="105"/>
      <c r="BP359" s="105"/>
      <c r="BQ359" s="105"/>
      <c r="BR359" s="105"/>
      <c r="BS359" s="105"/>
      <c r="BT359" s="105"/>
      <c r="BU359" s="105"/>
      <c r="BV359" s="105"/>
      <c r="BW359" s="105"/>
      <c r="BX359" s="105"/>
      <c r="BY359" s="105"/>
      <c r="BZ359" s="105"/>
      <c r="CA359" s="105"/>
      <c r="CB359" s="105"/>
      <c r="CC359" s="105"/>
      <c r="CD359" s="105"/>
      <c r="CE359" s="105"/>
      <c r="CF359" s="105"/>
      <c r="CG359" s="105"/>
      <c r="CH359" s="105"/>
      <c r="CI359" s="105"/>
      <c r="CJ359" s="105"/>
      <c r="CK359" s="105"/>
      <c r="CL359" s="105"/>
      <c r="CM359" s="105"/>
      <c r="CN359" s="105"/>
      <c r="CO359" s="105"/>
      <c r="CP359" s="105"/>
      <c r="CQ359" s="105"/>
      <c r="CR359" s="105"/>
      <c r="CS359" s="105"/>
      <c r="CT359" s="105"/>
      <c r="CU359" s="105"/>
      <c r="CV359" s="105"/>
      <c r="CW359" s="105"/>
      <c r="CX359" s="105"/>
      <c r="CY359" s="105"/>
      <c r="CZ359" s="105"/>
      <c r="DA359" s="105"/>
    </row>
    <row r="360">
      <c r="B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c r="AA360" s="105"/>
      <c r="AB360" s="105"/>
      <c r="AC360" s="105"/>
      <c r="AD360" s="105"/>
      <c r="AE360" s="105"/>
      <c r="AF360" s="105"/>
      <c r="AG360" s="105"/>
      <c r="AH360" s="105"/>
      <c r="AI360" s="105"/>
      <c r="AJ360" s="105"/>
      <c r="AK360" s="105"/>
      <c r="AL360" s="105"/>
      <c r="AM360" s="105"/>
      <c r="AN360" s="105"/>
      <c r="AO360" s="105"/>
      <c r="AP360" s="105"/>
      <c r="AQ360" s="105"/>
      <c r="AR360" s="105"/>
      <c r="AS360" s="105"/>
      <c r="AT360" s="105"/>
      <c r="AU360" s="105"/>
      <c r="AV360" s="105"/>
      <c r="AW360" s="105"/>
      <c r="AX360" s="105"/>
      <c r="AY360" s="105"/>
      <c r="AZ360" s="105"/>
      <c r="BA360" s="105"/>
      <c r="BB360" s="105"/>
      <c r="BC360" s="105"/>
      <c r="BD360" s="105"/>
      <c r="BE360" s="105"/>
      <c r="BF360" s="105"/>
      <c r="BG360" s="105"/>
      <c r="BH360" s="105"/>
      <c r="BI360" s="105"/>
      <c r="BJ360" s="105"/>
      <c r="BK360" s="105"/>
      <c r="BL360" s="105"/>
      <c r="BM360" s="105"/>
      <c r="BN360" s="105"/>
      <c r="BO360" s="105"/>
      <c r="BP360" s="105"/>
      <c r="BQ360" s="105"/>
      <c r="BR360" s="105"/>
      <c r="BS360" s="105"/>
      <c r="BT360" s="105"/>
      <c r="BU360" s="105"/>
      <c r="BV360" s="105"/>
      <c r="BW360" s="105"/>
      <c r="BX360" s="105"/>
      <c r="BY360" s="105"/>
      <c r="BZ360" s="105"/>
      <c r="CA360" s="105"/>
      <c r="CB360" s="105"/>
      <c r="CC360" s="105"/>
      <c r="CD360" s="105"/>
      <c r="CE360" s="105"/>
      <c r="CF360" s="105"/>
      <c r="CG360" s="105"/>
      <c r="CH360" s="105"/>
      <c r="CI360" s="105"/>
      <c r="CJ360" s="105"/>
      <c r="CK360" s="105"/>
      <c r="CL360" s="105"/>
      <c r="CM360" s="105"/>
      <c r="CN360" s="105"/>
      <c r="CO360" s="105"/>
      <c r="CP360" s="105"/>
      <c r="CQ360" s="105"/>
      <c r="CR360" s="105"/>
      <c r="CS360" s="105"/>
      <c r="CT360" s="105"/>
      <c r="CU360" s="105"/>
      <c r="CV360" s="105"/>
      <c r="CW360" s="105"/>
      <c r="CX360" s="105"/>
      <c r="CY360" s="105"/>
      <c r="CZ360" s="105"/>
      <c r="DA360" s="105"/>
    </row>
    <row r="361">
      <c r="B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c r="AA361" s="105"/>
      <c r="AB361" s="105"/>
      <c r="AC361" s="105"/>
      <c r="AD361" s="105"/>
      <c r="AE361" s="105"/>
      <c r="AF361" s="105"/>
      <c r="AG361" s="105"/>
      <c r="AH361" s="105"/>
      <c r="AI361" s="105"/>
      <c r="AJ361" s="105"/>
      <c r="AK361" s="105"/>
      <c r="AL361" s="105"/>
      <c r="AM361" s="105"/>
      <c r="AN361" s="105"/>
      <c r="AO361" s="105"/>
      <c r="AP361" s="105"/>
      <c r="AQ361" s="105"/>
      <c r="AR361" s="105"/>
      <c r="AS361" s="105"/>
      <c r="AT361" s="105"/>
      <c r="AU361" s="105"/>
      <c r="AV361" s="105"/>
      <c r="AW361" s="105"/>
      <c r="AX361" s="105"/>
      <c r="AY361" s="105"/>
      <c r="AZ361" s="105"/>
      <c r="BA361" s="105"/>
      <c r="BB361" s="105"/>
      <c r="BC361" s="105"/>
      <c r="BD361" s="105"/>
      <c r="BE361" s="105"/>
      <c r="BF361" s="105"/>
      <c r="BG361" s="105"/>
      <c r="BH361" s="105"/>
      <c r="BI361" s="105"/>
      <c r="BJ361" s="105"/>
      <c r="BK361" s="105"/>
      <c r="BL361" s="105"/>
      <c r="BM361" s="105"/>
      <c r="BN361" s="105"/>
      <c r="BO361" s="105"/>
      <c r="BP361" s="105"/>
      <c r="BQ361" s="105"/>
      <c r="BR361" s="105"/>
      <c r="BS361" s="105"/>
      <c r="BT361" s="105"/>
      <c r="BU361" s="105"/>
      <c r="BV361" s="105"/>
      <c r="BW361" s="105"/>
      <c r="BX361" s="105"/>
      <c r="BY361" s="105"/>
      <c r="BZ361" s="105"/>
      <c r="CA361" s="105"/>
      <c r="CB361" s="105"/>
      <c r="CC361" s="105"/>
      <c r="CD361" s="105"/>
      <c r="CE361" s="105"/>
      <c r="CF361" s="105"/>
      <c r="CG361" s="105"/>
      <c r="CH361" s="105"/>
      <c r="CI361" s="105"/>
      <c r="CJ361" s="105"/>
      <c r="CK361" s="105"/>
      <c r="CL361" s="105"/>
      <c r="CM361" s="105"/>
      <c r="CN361" s="105"/>
      <c r="CO361" s="105"/>
      <c r="CP361" s="105"/>
      <c r="CQ361" s="105"/>
      <c r="CR361" s="105"/>
      <c r="CS361" s="105"/>
      <c r="CT361" s="105"/>
      <c r="CU361" s="105"/>
      <c r="CV361" s="105"/>
      <c r="CW361" s="105"/>
      <c r="CX361" s="105"/>
      <c r="CY361" s="105"/>
      <c r="CZ361" s="105"/>
      <c r="DA361" s="105"/>
    </row>
    <row r="362">
      <c r="B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c r="AA362" s="105"/>
      <c r="AB362" s="105"/>
      <c r="AC362" s="105"/>
      <c r="AD362" s="105"/>
      <c r="AE362" s="105"/>
      <c r="AF362" s="105"/>
      <c r="AG362" s="105"/>
      <c r="AH362" s="105"/>
      <c r="AI362" s="105"/>
      <c r="AJ362" s="105"/>
      <c r="AK362" s="105"/>
      <c r="AL362" s="105"/>
      <c r="AM362" s="105"/>
      <c r="AN362" s="105"/>
      <c r="AO362" s="105"/>
      <c r="AP362" s="105"/>
      <c r="AQ362" s="105"/>
      <c r="AR362" s="105"/>
      <c r="AS362" s="105"/>
      <c r="AT362" s="105"/>
      <c r="AU362" s="105"/>
      <c r="AV362" s="105"/>
      <c r="AW362" s="105"/>
      <c r="AX362" s="105"/>
      <c r="AY362" s="105"/>
      <c r="AZ362" s="105"/>
      <c r="BA362" s="105"/>
      <c r="BB362" s="105"/>
      <c r="BC362" s="105"/>
      <c r="BD362" s="105"/>
      <c r="BE362" s="105"/>
      <c r="BF362" s="105"/>
      <c r="BG362" s="105"/>
      <c r="BH362" s="105"/>
      <c r="BI362" s="105"/>
      <c r="BJ362" s="105"/>
      <c r="BK362" s="105"/>
      <c r="BL362" s="105"/>
      <c r="BM362" s="105"/>
      <c r="BN362" s="105"/>
      <c r="BO362" s="105"/>
      <c r="BP362" s="105"/>
      <c r="BQ362" s="105"/>
      <c r="BR362" s="105"/>
      <c r="BS362" s="105"/>
      <c r="BT362" s="105"/>
      <c r="BU362" s="105"/>
      <c r="BV362" s="105"/>
      <c r="BW362" s="105"/>
      <c r="BX362" s="105"/>
      <c r="BY362" s="105"/>
      <c r="BZ362" s="105"/>
      <c r="CA362" s="105"/>
      <c r="CB362" s="105"/>
      <c r="CC362" s="105"/>
      <c r="CD362" s="105"/>
      <c r="CE362" s="105"/>
      <c r="CF362" s="105"/>
      <c r="CG362" s="105"/>
      <c r="CH362" s="105"/>
      <c r="CI362" s="105"/>
      <c r="CJ362" s="105"/>
      <c r="CK362" s="105"/>
      <c r="CL362" s="105"/>
      <c r="CM362" s="105"/>
      <c r="CN362" s="105"/>
      <c r="CO362" s="105"/>
      <c r="CP362" s="105"/>
      <c r="CQ362" s="105"/>
      <c r="CR362" s="105"/>
      <c r="CS362" s="105"/>
      <c r="CT362" s="105"/>
      <c r="CU362" s="105"/>
      <c r="CV362" s="105"/>
      <c r="CW362" s="105"/>
      <c r="CX362" s="105"/>
      <c r="CY362" s="105"/>
      <c r="CZ362" s="105"/>
      <c r="DA362" s="105"/>
    </row>
    <row r="363">
      <c r="B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c r="AA363" s="105"/>
      <c r="AB363" s="105"/>
      <c r="AC363" s="105"/>
      <c r="AD363" s="105"/>
      <c r="AE363" s="105"/>
      <c r="AF363" s="105"/>
      <c r="AG363" s="105"/>
      <c r="AH363" s="105"/>
      <c r="AI363" s="105"/>
      <c r="AJ363" s="105"/>
      <c r="AK363" s="105"/>
      <c r="AL363" s="105"/>
      <c r="AM363" s="105"/>
      <c r="AN363" s="105"/>
      <c r="AO363" s="105"/>
      <c r="AP363" s="105"/>
      <c r="AQ363" s="105"/>
      <c r="AR363" s="105"/>
      <c r="AS363" s="105"/>
      <c r="AT363" s="105"/>
      <c r="AU363" s="105"/>
      <c r="AV363" s="105"/>
      <c r="AW363" s="105"/>
      <c r="AX363" s="105"/>
      <c r="AY363" s="105"/>
      <c r="AZ363" s="105"/>
      <c r="BA363" s="105"/>
      <c r="BB363" s="105"/>
      <c r="BC363" s="105"/>
      <c r="BD363" s="105"/>
      <c r="BE363" s="105"/>
      <c r="BF363" s="105"/>
      <c r="BG363" s="105"/>
      <c r="BH363" s="105"/>
      <c r="BI363" s="105"/>
      <c r="BJ363" s="105"/>
      <c r="BK363" s="105"/>
      <c r="BL363" s="105"/>
      <c r="BM363" s="105"/>
      <c r="BN363" s="105"/>
      <c r="BO363" s="105"/>
      <c r="BP363" s="105"/>
      <c r="BQ363" s="105"/>
      <c r="BR363" s="105"/>
      <c r="BS363" s="105"/>
      <c r="BT363" s="105"/>
      <c r="BU363" s="105"/>
      <c r="BV363" s="105"/>
      <c r="BW363" s="105"/>
      <c r="BX363" s="105"/>
      <c r="BY363" s="105"/>
      <c r="BZ363" s="105"/>
      <c r="CA363" s="105"/>
      <c r="CB363" s="105"/>
      <c r="CC363" s="105"/>
      <c r="CD363" s="105"/>
      <c r="CE363" s="105"/>
      <c r="CF363" s="105"/>
      <c r="CG363" s="105"/>
      <c r="CH363" s="105"/>
      <c r="CI363" s="105"/>
      <c r="CJ363" s="105"/>
      <c r="CK363" s="105"/>
      <c r="CL363" s="105"/>
      <c r="CM363" s="105"/>
      <c r="CN363" s="105"/>
      <c r="CO363" s="105"/>
      <c r="CP363" s="105"/>
      <c r="CQ363" s="105"/>
      <c r="CR363" s="105"/>
      <c r="CS363" s="105"/>
      <c r="CT363" s="105"/>
      <c r="CU363" s="105"/>
      <c r="CV363" s="105"/>
      <c r="CW363" s="105"/>
      <c r="CX363" s="105"/>
      <c r="CY363" s="105"/>
      <c r="CZ363" s="105"/>
      <c r="DA363" s="105"/>
    </row>
    <row r="364">
      <c r="B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c r="AA364" s="105"/>
      <c r="AB364" s="105"/>
      <c r="AC364" s="105"/>
      <c r="AD364" s="105"/>
      <c r="AE364" s="105"/>
      <c r="AF364" s="105"/>
      <c r="AG364" s="105"/>
      <c r="AH364" s="105"/>
      <c r="AI364" s="105"/>
      <c r="AJ364" s="105"/>
      <c r="AK364" s="105"/>
      <c r="AL364" s="105"/>
      <c r="AM364" s="105"/>
      <c r="AN364" s="105"/>
      <c r="AO364" s="105"/>
      <c r="AP364" s="105"/>
      <c r="AQ364" s="105"/>
      <c r="AR364" s="105"/>
      <c r="AS364" s="105"/>
      <c r="AT364" s="105"/>
      <c r="AU364" s="105"/>
      <c r="AV364" s="105"/>
      <c r="AW364" s="105"/>
      <c r="AX364" s="105"/>
      <c r="AY364" s="105"/>
      <c r="AZ364" s="105"/>
      <c r="BA364" s="105"/>
      <c r="BB364" s="105"/>
      <c r="BC364" s="105"/>
      <c r="BD364" s="105"/>
      <c r="BE364" s="105"/>
      <c r="BF364" s="105"/>
      <c r="BG364" s="105"/>
      <c r="BH364" s="105"/>
      <c r="BI364" s="105"/>
      <c r="BJ364" s="105"/>
      <c r="BK364" s="105"/>
      <c r="BL364" s="105"/>
      <c r="BM364" s="105"/>
      <c r="BN364" s="105"/>
      <c r="BO364" s="105"/>
      <c r="BP364" s="105"/>
      <c r="BQ364" s="105"/>
      <c r="BR364" s="105"/>
      <c r="BS364" s="105"/>
      <c r="BT364" s="105"/>
      <c r="BU364" s="105"/>
      <c r="BV364" s="105"/>
      <c r="BW364" s="105"/>
      <c r="BX364" s="105"/>
      <c r="BY364" s="105"/>
      <c r="BZ364" s="105"/>
      <c r="CA364" s="105"/>
      <c r="CB364" s="105"/>
      <c r="CC364" s="105"/>
      <c r="CD364" s="105"/>
      <c r="CE364" s="105"/>
      <c r="CF364" s="105"/>
      <c r="CG364" s="105"/>
      <c r="CH364" s="105"/>
      <c r="CI364" s="105"/>
      <c r="CJ364" s="105"/>
      <c r="CK364" s="105"/>
      <c r="CL364" s="105"/>
      <c r="CM364" s="105"/>
      <c r="CN364" s="105"/>
      <c r="CO364" s="105"/>
      <c r="CP364" s="105"/>
      <c r="CQ364" s="105"/>
      <c r="CR364" s="105"/>
      <c r="CS364" s="105"/>
      <c r="CT364" s="105"/>
      <c r="CU364" s="105"/>
      <c r="CV364" s="105"/>
      <c r="CW364" s="105"/>
      <c r="CX364" s="105"/>
      <c r="CY364" s="105"/>
      <c r="CZ364" s="105"/>
      <c r="DA364" s="105"/>
    </row>
    <row r="365">
      <c r="B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c r="AA365" s="105"/>
      <c r="AB365" s="105"/>
      <c r="AC365" s="105"/>
      <c r="AD365" s="105"/>
      <c r="AE365" s="105"/>
      <c r="AF365" s="105"/>
      <c r="AG365" s="105"/>
      <c r="AH365" s="105"/>
      <c r="AI365" s="105"/>
      <c r="AJ365" s="105"/>
      <c r="AK365" s="105"/>
      <c r="AL365" s="105"/>
      <c r="AM365" s="105"/>
      <c r="AN365" s="105"/>
      <c r="AO365" s="105"/>
      <c r="AP365" s="105"/>
      <c r="AQ365" s="105"/>
      <c r="AR365" s="105"/>
      <c r="AS365" s="105"/>
      <c r="AT365" s="105"/>
      <c r="AU365" s="105"/>
      <c r="AV365" s="105"/>
      <c r="AW365" s="105"/>
      <c r="AX365" s="105"/>
      <c r="AY365" s="105"/>
      <c r="AZ365" s="105"/>
      <c r="BA365" s="105"/>
      <c r="BB365" s="105"/>
      <c r="BC365" s="105"/>
      <c r="BD365" s="105"/>
      <c r="BE365" s="105"/>
      <c r="BF365" s="105"/>
      <c r="BG365" s="105"/>
      <c r="BH365" s="105"/>
      <c r="BI365" s="105"/>
      <c r="BJ365" s="105"/>
      <c r="BK365" s="105"/>
      <c r="BL365" s="105"/>
      <c r="BM365" s="105"/>
      <c r="BN365" s="105"/>
      <c r="BO365" s="105"/>
      <c r="BP365" s="105"/>
      <c r="BQ365" s="105"/>
      <c r="BR365" s="105"/>
      <c r="BS365" s="105"/>
      <c r="BT365" s="105"/>
      <c r="BU365" s="105"/>
      <c r="BV365" s="105"/>
      <c r="BW365" s="105"/>
      <c r="BX365" s="105"/>
      <c r="BY365" s="105"/>
      <c r="BZ365" s="105"/>
      <c r="CA365" s="105"/>
      <c r="CB365" s="105"/>
      <c r="CC365" s="105"/>
      <c r="CD365" s="105"/>
      <c r="CE365" s="105"/>
      <c r="CF365" s="105"/>
      <c r="CG365" s="105"/>
      <c r="CH365" s="105"/>
      <c r="CI365" s="105"/>
      <c r="CJ365" s="105"/>
      <c r="CK365" s="105"/>
      <c r="CL365" s="105"/>
      <c r="CM365" s="105"/>
      <c r="CN365" s="105"/>
      <c r="CO365" s="105"/>
      <c r="CP365" s="105"/>
      <c r="CQ365" s="105"/>
      <c r="CR365" s="105"/>
      <c r="CS365" s="105"/>
      <c r="CT365" s="105"/>
      <c r="CU365" s="105"/>
      <c r="CV365" s="105"/>
      <c r="CW365" s="105"/>
      <c r="CX365" s="105"/>
      <c r="CY365" s="105"/>
      <c r="CZ365" s="105"/>
      <c r="DA365" s="105"/>
    </row>
    <row r="366">
      <c r="B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c r="AA366" s="105"/>
      <c r="AB366" s="105"/>
      <c r="AC366" s="105"/>
      <c r="AD366" s="105"/>
      <c r="AE366" s="105"/>
      <c r="AF366" s="105"/>
      <c r="AG366" s="105"/>
      <c r="AH366" s="105"/>
      <c r="AI366" s="105"/>
      <c r="AJ366" s="105"/>
      <c r="AK366" s="105"/>
      <c r="AL366" s="105"/>
      <c r="AM366" s="105"/>
      <c r="AN366" s="105"/>
      <c r="AO366" s="105"/>
      <c r="AP366" s="105"/>
      <c r="AQ366" s="105"/>
      <c r="AR366" s="105"/>
      <c r="AS366" s="105"/>
      <c r="AT366" s="105"/>
      <c r="AU366" s="105"/>
      <c r="AV366" s="105"/>
      <c r="AW366" s="105"/>
      <c r="AX366" s="105"/>
      <c r="AY366" s="105"/>
      <c r="AZ366" s="105"/>
      <c r="BA366" s="105"/>
      <c r="BB366" s="105"/>
      <c r="BC366" s="105"/>
      <c r="BD366" s="105"/>
      <c r="BE366" s="105"/>
      <c r="BF366" s="105"/>
      <c r="BG366" s="105"/>
      <c r="BH366" s="105"/>
      <c r="BI366" s="105"/>
      <c r="BJ366" s="105"/>
      <c r="BK366" s="105"/>
      <c r="BL366" s="105"/>
      <c r="BM366" s="105"/>
      <c r="BN366" s="105"/>
      <c r="BO366" s="105"/>
      <c r="BP366" s="105"/>
      <c r="BQ366" s="105"/>
      <c r="BR366" s="105"/>
      <c r="BS366" s="105"/>
      <c r="BT366" s="105"/>
      <c r="BU366" s="105"/>
      <c r="BV366" s="105"/>
      <c r="BW366" s="105"/>
      <c r="BX366" s="105"/>
      <c r="BY366" s="105"/>
      <c r="BZ366" s="105"/>
      <c r="CA366" s="105"/>
      <c r="CB366" s="105"/>
      <c r="CC366" s="105"/>
      <c r="CD366" s="105"/>
      <c r="CE366" s="105"/>
      <c r="CF366" s="105"/>
      <c r="CG366" s="105"/>
      <c r="CH366" s="105"/>
      <c r="CI366" s="105"/>
      <c r="CJ366" s="105"/>
      <c r="CK366" s="105"/>
      <c r="CL366" s="105"/>
      <c r="CM366" s="105"/>
      <c r="CN366" s="105"/>
      <c r="CO366" s="105"/>
      <c r="CP366" s="105"/>
      <c r="CQ366" s="105"/>
      <c r="CR366" s="105"/>
      <c r="CS366" s="105"/>
      <c r="CT366" s="105"/>
      <c r="CU366" s="105"/>
      <c r="CV366" s="105"/>
      <c r="CW366" s="105"/>
      <c r="CX366" s="105"/>
      <c r="CY366" s="105"/>
      <c r="CZ366" s="105"/>
      <c r="DA366" s="105"/>
    </row>
    <row r="367">
      <c r="B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c r="AA367" s="105"/>
      <c r="AB367" s="105"/>
      <c r="AC367" s="105"/>
      <c r="AD367" s="105"/>
      <c r="AE367" s="105"/>
      <c r="AF367" s="105"/>
      <c r="AG367" s="105"/>
      <c r="AH367" s="105"/>
      <c r="AI367" s="105"/>
      <c r="AJ367" s="105"/>
      <c r="AK367" s="105"/>
      <c r="AL367" s="105"/>
      <c r="AM367" s="105"/>
      <c r="AN367" s="105"/>
      <c r="AO367" s="105"/>
      <c r="AP367" s="105"/>
      <c r="AQ367" s="105"/>
      <c r="AR367" s="105"/>
      <c r="AS367" s="105"/>
      <c r="AT367" s="105"/>
      <c r="AU367" s="105"/>
      <c r="AV367" s="105"/>
      <c r="AW367" s="105"/>
      <c r="AX367" s="105"/>
      <c r="AY367" s="105"/>
      <c r="AZ367" s="105"/>
      <c r="BA367" s="105"/>
      <c r="BB367" s="105"/>
      <c r="BC367" s="105"/>
      <c r="BD367" s="105"/>
      <c r="BE367" s="105"/>
      <c r="BF367" s="105"/>
      <c r="BG367" s="105"/>
      <c r="BH367" s="105"/>
      <c r="BI367" s="105"/>
      <c r="BJ367" s="105"/>
      <c r="BK367" s="105"/>
      <c r="BL367" s="105"/>
      <c r="BM367" s="105"/>
      <c r="BN367" s="105"/>
      <c r="BO367" s="105"/>
      <c r="BP367" s="105"/>
      <c r="BQ367" s="105"/>
      <c r="BR367" s="105"/>
      <c r="BS367" s="105"/>
      <c r="BT367" s="105"/>
      <c r="BU367" s="105"/>
      <c r="BV367" s="105"/>
      <c r="BW367" s="105"/>
      <c r="BX367" s="105"/>
      <c r="BY367" s="105"/>
      <c r="BZ367" s="105"/>
      <c r="CA367" s="105"/>
      <c r="CB367" s="105"/>
      <c r="CC367" s="105"/>
      <c r="CD367" s="105"/>
      <c r="CE367" s="105"/>
      <c r="CF367" s="105"/>
      <c r="CG367" s="105"/>
      <c r="CH367" s="105"/>
      <c r="CI367" s="105"/>
      <c r="CJ367" s="105"/>
      <c r="CK367" s="105"/>
      <c r="CL367" s="105"/>
      <c r="CM367" s="105"/>
      <c r="CN367" s="105"/>
      <c r="CO367" s="105"/>
      <c r="CP367" s="105"/>
      <c r="CQ367" s="105"/>
      <c r="CR367" s="105"/>
      <c r="CS367" s="105"/>
      <c r="CT367" s="105"/>
      <c r="CU367" s="105"/>
      <c r="CV367" s="105"/>
      <c r="CW367" s="105"/>
      <c r="CX367" s="105"/>
      <c r="CY367" s="105"/>
      <c r="CZ367" s="105"/>
      <c r="DA367" s="105"/>
    </row>
    <row r="368">
      <c r="B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c r="AA368" s="105"/>
      <c r="AB368" s="105"/>
      <c r="AC368" s="105"/>
      <c r="AD368" s="105"/>
      <c r="AE368" s="105"/>
      <c r="AF368" s="105"/>
      <c r="AG368" s="105"/>
      <c r="AH368" s="105"/>
      <c r="AI368" s="105"/>
      <c r="AJ368" s="105"/>
      <c r="AK368" s="105"/>
      <c r="AL368" s="105"/>
      <c r="AM368" s="105"/>
      <c r="AN368" s="105"/>
      <c r="AO368" s="105"/>
      <c r="AP368" s="105"/>
      <c r="AQ368" s="105"/>
      <c r="AR368" s="105"/>
      <c r="AS368" s="105"/>
      <c r="AT368" s="105"/>
      <c r="AU368" s="105"/>
      <c r="AV368" s="105"/>
      <c r="AW368" s="105"/>
      <c r="AX368" s="105"/>
      <c r="AY368" s="105"/>
      <c r="AZ368" s="105"/>
      <c r="BA368" s="105"/>
      <c r="BB368" s="105"/>
      <c r="BC368" s="105"/>
      <c r="BD368" s="105"/>
      <c r="BE368" s="105"/>
      <c r="BF368" s="105"/>
      <c r="BG368" s="105"/>
      <c r="BH368" s="105"/>
      <c r="BI368" s="105"/>
      <c r="BJ368" s="105"/>
      <c r="BK368" s="105"/>
      <c r="BL368" s="105"/>
      <c r="BM368" s="105"/>
      <c r="BN368" s="105"/>
      <c r="BO368" s="105"/>
      <c r="BP368" s="105"/>
      <c r="BQ368" s="105"/>
      <c r="BR368" s="105"/>
      <c r="BS368" s="105"/>
      <c r="BT368" s="105"/>
      <c r="BU368" s="105"/>
      <c r="BV368" s="105"/>
      <c r="BW368" s="105"/>
      <c r="BX368" s="105"/>
      <c r="BY368" s="105"/>
      <c r="BZ368" s="105"/>
      <c r="CA368" s="105"/>
      <c r="CB368" s="105"/>
      <c r="CC368" s="105"/>
      <c r="CD368" s="105"/>
      <c r="CE368" s="105"/>
      <c r="CF368" s="105"/>
      <c r="CG368" s="105"/>
      <c r="CH368" s="105"/>
      <c r="CI368" s="105"/>
      <c r="CJ368" s="105"/>
      <c r="CK368" s="105"/>
      <c r="CL368" s="105"/>
      <c r="CM368" s="105"/>
      <c r="CN368" s="105"/>
      <c r="CO368" s="105"/>
      <c r="CP368" s="105"/>
      <c r="CQ368" s="105"/>
      <c r="CR368" s="105"/>
      <c r="CS368" s="105"/>
      <c r="CT368" s="105"/>
      <c r="CU368" s="105"/>
      <c r="CV368" s="105"/>
      <c r="CW368" s="105"/>
      <c r="CX368" s="105"/>
      <c r="CY368" s="105"/>
      <c r="CZ368" s="105"/>
      <c r="DA368" s="105"/>
    </row>
    <row r="369">
      <c r="B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c r="AA369" s="105"/>
      <c r="AB369" s="105"/>
      <c r="AC369" s="105"/>
      <c r="AD369" s="105"/>
      <c r="AE369" s="105"/>
      <c r="AF369" s="105"/>
      <c r="AG369" s="105"/>
      <c r="AH369" s="105"/>
      <c r="AI369" s="105"/>
      <c r="AJ369" s="105"/>
      <c r="AK369" s="105"/>
      <c r="AL369" s="105"/>
      <c r="AM369" s="105"/>
      <c r="AN369" s="105"/>
      <c r="AO369" s="105"/>
      <c r="AP369" s="105"/>
      <c r="AQ369" s="105"/>
      <c r="AR369" s="105"/>
      <c r="AS369" s="105"/>
      <c r="AT369" s="105"/>
      <c r="AU369" s="105"/>
      <c r="AV369" s="105"/>
      <c r="AW369" s="105"/>
      <c r="AX369" s="105"/>
      <c r="AY369" s="105"/>
      <c r="AZ369" s="105"/>
      <c r="BA369" s="105"/>
      <c r="BB369" s="105"/>
      <c r="BC369" s="105"/>
      <c r="BD369" s="105"/>
      <c r="BE369" s="105"/>
      <c r="BF369" s="105"/>
      <c r="BG369" s="105"/>
      <c r="BH369" s="105"/>
      <c r="BI369" s="105"/>
      <c r="BJ369" s="105"/>
      <c r="BK369" s="105"/>
      <c r="BL369" s="105"/>
      <c r="BM369" s="105"/>
      <c r="BN369" s="105"/>
      <c r="BO369" s="105"/>
      <c r="BP369" s="105"/>
      <c r="BQ369" s="105"/>
      <c r="BR369" s="105"/>
      <c r="BS369" s="105"/>
      <c r="BT369" s="105"/>
      <c r="BU369" s="105"/>
      <c r="BV369" s="105"/>
      <c r="BW369" s="105"/>
      <c r="BX369" s="105"/>
      <c r="BY369" s="105"/>
      <c r="BZ369" s="105"/>
      <c r="CA369" s="105"/>
      <c r="CB369" s="105"/>
      <c r="CC369" s="105"/>
      <c r="CD369" s="105"/>
      <c r="CE369" s="105"/>
      <c r="CF369" s="105"/>
      <c r="CG369" s="105"/>
      <c r="CH369" s="105"/>
      <c r="CI369" s="105"/>
      <c r="CJ369" s="105"/>
      <c r="CK369" s="105"/>
      <c r="CL369" s="105"/>
      <c r="CM369" s="105"/>
      <c r="CN369" s="105"/>
      <c r="CO369" s="105"/>
      <c r="CP369" s="105"/>
      <c r="CQ369" s="105"/>
      <c r="CR369" s="105"/>
      <c r="CS369" s="105"/>
      <c r="CT369" s="105"/>
      <c r="CU369" s="105"/>
      <c r="CV369" s="105"/>
      <c r="CW369" s="105"/>
      <c r="CX369" s="105"/>
      <c r="CY369" s="105"/>
      <c r="CZ369" s="105"/>
      <c r="DA369" s="105"/>
    </row>
    <row r="370">
      <c r="B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c r="AA370" s="105"/>
      <c r="AB370" s="105"/>
      <c r="AC370" s="105"/>
      <c r="AD370" s="105"/>
      <c r="AE370" s="105"/>
      <c r="AF370" s="105"/>
      <c r="AG370" s="105"/>
      <c r="AH370" s="105"/>
      <c r="AI370" s="105"/>
      <c r="AJ370" s="105"/>
      <c r="AK370" s="105"/>
      <c r="AL370" s="105"/>
      <c r="AM370" s="105"/>
      <c r="AN370" s="105"/>
      <c r="AO370" s="105"/>
      <c r="AP370" s="105"/>
      <c r="AQ370" s="105"/>
      <c r="AR370" s="105"/>
      <c r="AS370" s="105"/>
      <c r="AT370" s="105"/>
      <c r="AU370" s="105"/>
      <c r="AV370" s="105"/>
      <c r="AW370" s="105"/>
      <c r="AX370" s="105"/>
      <c r="AY370" s="105"/>
      <c r="AZ370" s="105"/>
      <c r="BA370" s="105"/>
      <c r="BB370" s="105"/>
      <c r="BC370" s="105"/>
      <c r="BD370" s="105"/>
      <c r="BE370" s="105"/>
      <c r="BF370" s="105"/>
      <c r="BG370" s="105"/>
      <c r="BH370" s="105"/>
      <c r="BI370" s="105"/>
      <c r="BJ370" s="105"/>
      <c r="BK370" s="105"/>
      <c r="BL370" s="105"/>
      <c r="BM370" s="105"/>
      <c r="BN370" s="105"/>
      <c r="BO370" s="105"/>
      <c r="BP370" s="105"/>
      <c r="BQ370" s="105"/>
      <c r="BR370" s="105"/>
      <c r="BS370" s="105"/>
      <c r="BT370" s="105"/>
      <c r="BU370" s="105"/>
      <c r="BV370" s="105"/>
      <c r="BW370" s="105"/>
      <c r="BX370" s="105"/>
      <c r="BY370" s="105"/>
      <c r="BZ370" s="105"/>
      <c r="CA370" s="105"/>
      <c r="CB370" s="105"/>
      <c r="CC370" s="105"/>
      <c r="CD370" s="105"/>
      <c r="CE370" s="105"/>
      <c r="CF370" s="105"/>
      <c r="CG370" s="105"/>
      <c r="CH370" s="105"/>
      <c r="CI370" s="105"/>
      <c r="CJ370" s="105"/>
      <c r="CK370" s="105"/>
      <c r="CL370" s="105"/>
      <c r="CM370" s="105"/>
      <c r="CN370" s="105"/>
      <c r="CO370" s="105"/>
      <c r="CP370" s="105"/>
      <c r="CQ370" s="105"/>
      <c r="CR370" s="105"/>
      <c r="CS370" s="105"/>
      <c r="CT370" s="105"/>
      <c r="CU370" s="105"/>
      <c r="CV370" s="105"/>
      <c r="CW370" s="105"/>
      <c r="CX370" s="105"/>
      <c r="CY370" s="105"/>
      <c r="CZ370" s="105"/>
      <c r="DA370" s="105"/>
    </row>
    <row r="371">
      <c r="B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c r="AA371" s="105"/>
      <c r="AB371" s="105"/>
      <c r="AC371" s="105"/>
      <c r="AD371" s="105"/>
      <c r="AE371" s="105"/>
      <c r="AF371" s="105"/>
      <c r="AG371" s="105"/>
      <c r="AH371" s="105"/>
      <c r="AI371" s="105"/>
      <c r="AJ371" s="105"/>
      <c r="AK371" s="105"/>
      <c r="AL371" s="105"/>
      <c r="AM371" s="105"/>
      <c r="AN371" s="105"/>
      <c r="AO371" s="105"/>
      <c r="AP371" s="105"/>
      <c r="AQ371" s="105"/>
      <c r="AR371" s="105"/>
      <c r="AS371" s="105"/>
      <c r="AT371" s="105"/>
      <c r="AU371" s="105"/>
      <c r="AV371" s="105"/>
      <c r="AW371" s="105"/>
      <c r="AX371" s="105"/>
      <c r="AY371" s="105"/>
      <c r="AZ371" s="105"/>
      <c r="BA371" s="105"/>
      <c r="BB371" s="105"/>
      <c r="BC371" s="105"/>
      <c r="BD371" s="105"/>
      <c r="BE371" s="105"/>
      <c r="BF371" s="105"/>
      <c r="BG371" s="105"/>
      <c r="BH371" s="105"/>
      <c r="BI371" s="105"/>
      <c r="BJ371" s="105"/>
      <c r="BK371" s="105"/>
      <c r="BL371" s="105"/>
      <c r="BM371" s="105"/>
      <c r="BN371" s="105"/>
      <c r="BO371" s="105"/>
      <c r="BP371" s="105"/>
      <c r="BQ371" s="105"/>
      <c r="BR371" s="105"/>
      <c r="BS371" s="105"/>
      <c r="BT371" s="105"/>
      <c r="BU371" s="105"/>
      <c r="BV371" s="105"/>
      <c r="BW371" s="105"/>
      <c r="BX371" s="105"/>
      <c r="BY371" s="105"/>
      <c r="BZ371" s="105"/>
      <c r="CA371" s="105"/>
      <c r="CB371" s="105"/>
      <c r="CC371" s="105"/>
      <c r="CD371" s="105"/>
      <c r="CE371" s="105"/>
      <c r="CF371" s="105"/>
      <c r="CG371" s="105"/>
      <c r="CH371" s="105"/>
      <c r="CI371" s="105"/>
      <c r="CJ371" s="105"/>
      <c r="CK371" s="105"/>
      <c r="CL371" s="105"/>
      <c r="CM371" s="105"/>
      <c r="CN371" s="105"/>
      <c r="CO371" s="105"/>
      <c r="CP371" s="105"/>
      <c r="CQ371" s="105"/>
      <c r="CR371" s="105"/>
      <c r="CS371" s="105"/>
      <c r="CT371" s="105"/>
      <c r="CU371" s="105"/>
      <c r="CV371" s="105"/>
      <c r="CW371" s="105"/>
      <c r="CX371" s="105"/>
      <c r="CY371" s="105"/>
      <c r="CZ371" s="105"/>
      <c r="DA371" s="105"/>
    </row>
    <row r="372">
      <c r="B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c r="AA372" s="105"/>
      <c r="AB372" s="105"/>
      <c r="AC372" s="105"/>
      <c r="AD372" s="105"/>
      <c r="AE372" s="105"/>
      <c r="AF372" s="105"/>
      <c r="AG372" s="105"/>
      <c r="AH372" s="105"/>
      <c r="AI372" s="105"/>
      <c r="AJ372" s="105"/>
      <c r="AK372" s="105"/>
      <c r="AL372" s="105"/>
      <c r="AM372" s="105"/>
      <c r="AN372" s="105"/>
      <c r="AO372" s="105"/>
      <c r="AP372" s="105"/>
      <c r="AQ372" s="105"/>
      <c r="AR372" s="105"/>
      <c r="AS372" s="105"/>
      <c r="AT372" s="105"/>
      <c r="AU372" s="105"/>
      <c r="AV372" s="105"/>
      <c r="AW372" s="105"/>
      <c r="AX372" s="105"/>
      <c r="AY372" s="105"/>
      <c r="AZ372" s="105"/>
      <c r="BA372" s="105"/>
      <c r="BB372" s="105"/>
      <c r="BC372" s="105"/>
      <c r="BD372" s="105"/>
      <c r="BE372" s="105"/>
      <c r="BF372" s="105"/>
      <c r="BG372" s="105"/>
      <c r="BH372" s="105"/>
      <c r="BI372" s="105"/>
      <c r="BJ372" s="105"/>
      <c r="BK372" s="105"/>
      <c r="BL372" s="105"/>
      <c r="BM372" s="105"/>
      <c r="BN372" s="105"/>
      <c r="BO372" s="105"/>
      <c r="BP372" s="105"/>
      <c r="BQ372" s="105"/>
      <c r="BR372" s="105"/>
      <c r="BS372" s="105"/>
      <c r="BT372" s="105"/>
      <c r="BU372" s="105"/>
      <c r="BV372" s="105"/>
      <c r="BW372" s="105"/>
      <c r="BX372" s="105"/>
      <c r="BY372" s="105"/>
      <c r="BZ372" s="105"/>
      <c r="CA372" s="105"/>
      <c r="CB372" s="105"/>
      <c r="CC372" s="105"/>
      <c r="CD372" s="105"/>
      <c r="CE372" s="105"/>
      <c r="CF372" s="105"/>
      <c r="CG372" s="105"/>
      <c r="CH372" s="105"/>
      <c r="CI372" s="105"/>
      <c r="CJ372" s="105"/>
      <c r="CK372" s="105"/>
      <c r="CL372" s="105"/>
      <c r="CM372" s="105"/>
      <c r="CN372" s="105"/>
      <c r="CO372" s="105"/>
      <c r="CP372" s="105"/>
      <c r="CQ372" s="105"/>
      <c r="CR372" s="105"/>
      <c r="CS372" s="105"/>
      <c r="CT372" s="105"/>
      <c r="CU372" s="105"/>
      <c r="CV372" s="105"/>
      <c r="CW372" s="105"/>
      <c r="CX372" s="105"/>
      <c r="CY372" s="105"/>
      <c r="CZ372" s="105"/>
      <c r="DA372" s="105"/>
    </row>
    <row r="373">
      <c r="B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c r="AA373" s="105"/>
      <c r="AB373" s="105"/>
      <c r="AC373" s="105"/>
      <c r="AD373" s="105"/>
      <c r="AE373" s="105"/>
      <c r="AF373" s="105"/>
      <c r="AG373" s="105"/>
      <c r="AH373" s="105"/>
      <c r="AI373" s="105"/>
      <c r="AJ373" s="105"/>
      <c r="AK373" s="105"/>
      <c r="AL373" s="105"/>
      <c r="AM373" s="105"/>
      <c r="AN373" s="105"/>
      <c r="AO373" s="105"/>
      <c r="AP373" s="105"/>
      <c r="AQ373" s="105"/>
      <c r="AR373" s="105"/>
      <c r="AS373" s="105"/>
      <c r="AT373" s="105"/>
      <c r="AU373" s="105"/>
      <c r="AV373" s="105"/>
      <c r="AW373" s="105"/>
      <c r="AX373" s="105"/>
      <c r="AY373" s="105"/>
      <c r="AZ373" s="105"/>
      <c r="BA373" s="105"/>
      <c r="BB373" s="105"/>
      <c r="BC373" s="105"/>
      <c r="BD373" s="105"/>
      <c r="BE373" s="105"/>
      <c r="BF373" s="105"/>
      <c r="BG373" s="105"/>
      <c r="BH373" s="105"/>
      <c r="BI373" s="105"/>
      <c r="BJ373" s="105"/>
      <c r="BK373" s="105"/>
      <c r="BL373" s="105"/>
      <c r="BM373" s="105"/>
      <c r="BN373" s="105"/>
      <c r="BO373" s="105"/>
      <c r="BP373" s="105"/>
      <c r="BQ373" s="105"/>
      <c r="BR373" s="105"/>
      <c r="BS373" s="105"/>
      <c r="BT373" s="105"/>
      <c r="BU373" s="105"/>
      <c r="BV373" s="105"/>
      <c r="BW373" s="105"/>
      <c r="BX373" s="105"/>
      <c r="BY373" s="105"/>
      <c r="BZ373" s="105"/>
      <c r="CA373" s="105"/>
      <c r="CB373" s="105"/>
      <c r="CC373" s="105"/>
      <c r="CD373" s="105"/>
      <c r="CE373" s="105"/>
      <c r="CF373" s="105"/>
      <c r="CG373" s="105"/>
      <c r="CH373" s="105"/>
      <c r="CI373" s="105"/>
      <c r="CJ373" s="105"/>
      <c r="CK373" s="105"/>
      <c r="CL373" s="105"/>
      <c r="CM373" s="105"/>
      <c r="CN373" s="105"/>
      <c r="CO373" s="105"/>
      <c r="CP373" s="105"/>
      <c r="CQ373" s="105"/>
      <c r="CR373" s="105"/>
      <c r="CS373" s="105"/>
      <c r="CT373" s="105"/>
      <c r="CU373" s="105"/>
      <c r="CV373" s="105"/>
      <c r="CW373" s="105"/>
      <c r="CX373" s="105"/>
      <c r="CY373" s="105"/>
      <c r="CZ373" s="105"/>
      <c r="DA373" s="105"/>
    </row>
    <row r="374">
      <c r="B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c r="AA374" s="105"/>
      <c r="AB374" s="105"/>
      <c r="AC374" s="105"/>
      <c r="AD374" s="105"/>
      <c r="AE374" s="105"/>
      <c r="AF374" s="105"/>
      <c r="AG374" s="105"/>
      <c r="AH374" s="105"/>
      <c r="AI374" s="105"/>
      <c r="AJ374" s="105"/>
      <c r="AK374" s="105"/>
      <c r="AL374" s="105"/>
      <c r="AM374" s="105"/>
      <c r="AN374" s="105"/>
      <c r="AO374" s="105"/>
      <c r="AP374" s="105"/>
      <c r="AQ374" s="105"/>
      <c r="AR374" s="105"/>
      <c r="AS374" s="105"/>
      <c r="AT374" s="105"/>
      <c r="AU374" s="105"/>
      <c r="AV374" s="105"/>
      <c r="AW374" s="105"/>
      <c r="AX374" s="105"/>
      <c r="AY374" s="105"/>
      <c r="AZ374" s="105"/>
      <c r="BA374" s="105"/>
      <c r="BB374" s="105"/>
      <c r="BC374" s="105"/>
      <c r="BD374" s="105"/>
      <c r="BE374" s="105"/>
      <c r="BF374" s="105"/>
      <c r="BG374" s="105"/>
      <c r="BH374" s="105"/>
      <c r="BI374" s="105"/>
      <c r="BJ374" s="105"/>
      <c r="BK374" s="105"/>
      <c r="BL374" s="105"/>
      <c r="BM374" s="105"/>
      <c r="BN374" s="105"/>
      <c r="BO374" s="105"/>
      <c r="BP374" s="105"/>
      <c r="BQ374" s="105"/>
      <c r="BR374" s="105"/>
      <c r="BS374" s="105"/>
      <c r="BT374" s="105"/>
      <c r="BU374" s="105"/>
      <c r="BV374" s="105"/>
      <c r="BW374" s="105"/>
      <c r="BX374" s="105"/>
      <c r="BY374" s="105"/>
      <c r="BZ374" s="105"/>
      <c r="CA374" s="105"/>
      <c r="CB374" s="105"/>
      <c r="CC374" s="105"/>
      <c r="CD374" s="105"/>
      <c r="CE374" s="105"/>
      <c r="CF374" s="105"/>
      <c r="CG374" s="105"/>
      <c r="CH374" s="105"/>
      <c r="CI374" s="105"/>
      <c r="CJ374" s="105"/>
      <c r="CK374" s="105"/>
      <c r="CL374" s="105"/>
      <c r="CM374" s="105"/>
      <c r="CN374" s="105"/>
      <c r="CO374" s="105"/>
      <c r="CP374" s="105"/>
      <c r="CQ374" s="105"/>
      <c r="CR374" s="105"/>
      <c r="CS374" s="105"/>
      <c r="CT374" s="105"/>
      <c r="CU374" s="105"/>
      <c r="CV374" s="105"/>
      <c r="CW374" s="105"/>
      <c r="CX374" s="105"/>
      <c r="CY374" s="105"/>
      <c r="CZ374" s="105"/>
      <c r="DA374" s="105"/>
    </row>
    <row r="375">
      <c r="B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c r="AA375" s="105"/>
      <c r="AB375" s="105"/>
      <c r="AC375" s="105"/>
      <c r="AD375" s="105"/>
      <c r="AE375" s="105"/>
      <c r="AF375" s="105"/>
      <c r="AG375" s="105"/>
      <c r="AH375" s="105"/>
      <c r="AI375" s="105"/>
      <c r="AJ375" s="105"/>
      <c r="AK375" s="105"/>
      <c r="AL375" s="105"/>
      <c r="AM375" s="105"/>
      <c r="AN375" s="105"/>
      <c r="AO375" s="105"/>
      <c r="AP375" s="105"/>
      <c r="AQ375" s="105"/>
      <c r="AR375" s="105"/>
      <c r="AS375" s="105"/>
      <c r="AT375" s="105"/>
      <c r="AU375" s="105"/>
      <c r="AV375" s="105"/>
      <c r="AW375" s="105"/>
      <c r="AX375" s="105"/>
      <c r="AY375" s="105"/>
      <c r="AZ375" s="105"/>
      <c r="BA375" s="105"/>
      <c r="BB375" s="105"/>
      <c r="BC375" s="105"/>
      <c r="BD375" s="105"/>
      <c r="BE375" s="105"/>
      <c r="BF375" s="105"/>
      <c r="BG375" s="105"/>
      <c r="BH375" s="105"/>
      <c r="BI375" s="105"/>
      <c r="BJ375" s="105"/>
      <c r="BK375" s="105"/>
      <c r="BL375" s="105"/>
      <c r="BM375" s="105"/>
      <c r="BN375" s="105"/>
      <c r="BO375" s="105"/>
      <c r="BP375" s="105"/>
      <c r="BQ375" s="105"/>
      <c r="BR375" s="105"/>
      <c r="BS375" s="105"/>
      <c r="BT375" s="105"/>
      <c r="BU375" s="105"/>
      <c r="BV375" s="105"/>
      <c r="BW375" s="105"/>
      <c r="BX375" s="105"/>
      <c r="BY375" s="105"/>
      <c r="BZ375" s="105"/>
      <c r="CA375" s="105"/>
      <c r="CB375" s="105"/>
      <c r="CC375" s="105"/>
      <c r="CD375" s="105"/>
      <c r="CE375" s="105"/>
      <c r="CF375" s="105"/>
      <c r="CG375" s="105"/>
      <c r="CH375" s="105"/>
      <c r="CI375" s="105"/>
      <c r="CJ375" s="105"/>
      <c r="CK375" s="105"/>
      <c r="CL375" s="105"/>
      <c r="CM375" s="105"/>
      <c r="CN375" s="105"/>
      <c r="CO375" s="105"/>
      <c r="CP375" s="105"/>
      <c r="CQ375" s="105"/>
      <c r="CR375" s="105"/>
      <c r="CS375" s="105"/>
      <c r="CT375" s="105"/>
      <c r="CU375" s="105"/>
      <c r="CV375" s="105"/>
      <c r="CW375" s="105"/>
      <c r="CX375" s="105"/>
      <c r="CY375" s="105"/>
      <c r="CZ375" s="105"/>
      <c r="DA375" s="105"/>
    </row>
    <row r="376">
      <c r="B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c r="AA376" s="105"/>
      <c r="AB376" s="105"/>
      <c r="AC376" s="105"/>
      <c r="AD376" s="105"/>
      <c r="AE376" s="105"/>
      <c r="AF376" s="105"/>
      <c r="AG376" s="105"/>
      <c r="AH376" s="105"/>
      <c r="AI376" s="105"/>
      <c r="AJ376" s="105"/>
      <c r="AK376" s="105"/>
      <c r="AL376" s="105"/>
      <c r="AM376" s="105"/>
      <c r="AN376" s="105"/>
      <c r="AO376" s="105"/>
      <c r="AP376" s="105"/>
      <c r="AQ376" s="105"/>
      <c r="AR376" s="105"/>
      <c r="AS376" s="105"/>
      <c r="AT376" s="105"/>
      <c r="AU376" s="105"/>
      <c r="AV376" s="105"/>
      <c r="AW376" s="105"/>
      <c r="AX376" s="105"/>
      <c r="AY376" s="105"/>
      <c r="AZ376" s="105"/>
      <c r="BA376" s="105"/>
      <c r="BB376" s="105"/>
      <c r="BC376" s="105"/>
      <c r="BD376" s="105"/>
      <c r="BE376" s="105"/>
      <c r="BF376" s="105"/>
      <c r="BG376" s="105"/>
      <c r="BH376" s="105"/>
      <c r="BI376" s="105"/>
      <c r="BJ376" s="105"/>
      <c r="BK376" s="105"/>
      <c r="BL376" s="105"/>
      <c r="BM376" s="105"/>
      <c r="BN376" s="105"/>
      <c r="BO376" s="105"/>
      <c r="BP376" s="105"/>
      <c r="BQ376" s="105"/>
      <c r="BR376" s="105"/>
      <c r="BS376" s="105"/>
      <c r="BT376" s="105"/>
      <c r="BU376" s="105"/>
      <c r="BV376" s="105"/>
      <c r="BW376" s="105"/>
      <c r="BX376" s="105"/>
      <c r="BY376" s="105"/>
      <c r="BZ376" s="105"/>
      <c r="CA376" s="105"/>
      <c r="CB376" s="105"/>
      <c r="CC376" s="105"/>
      <c r="CD376" s="105"/>
      <c r="CE376" s="105"/>
      <c r="CF376" s="105"/>
      <c r="CG376" s="105"/>
      <c r="CH376" s="105"/>
      <c r="CI376" s="105"/>
      <c r="CJ376" s="105"/>
      <c r="CK376" s="105"/>
      <c r="CL376" s="105"/>
      <c r="CM376" s="105"/>
      <c r="CN376" s="105"/>
      <c r="CO376" s="105"/>
      <c r="CP376" s="105"/>
      <c r="CQ376" s="105"/>
      <c r="CR376" s="105"/>
      <c r="CS376" s="105"/>
      <c r="CT376" s="105"/>
      <c r="CU376" s="105"/>
      <c r="CV376" s="105"/>
      <c r="CW376" s="105"/>
      <c r="CX376" s="105"/>
      <c r="CY376" s="105"/>
      <c r="CZ376" s="105"/>
      <c r="DA376" s="105"/>
    </row>
    <row r="377">
      <c r="B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c r="AA377" s="105"/>
      <c r="AB377" s="105"/>
      <c r="AC377" s="105"/>
      <c r="AD377" s="105"/>
      <c r="AE377" s="105"/>
      <c r="AF377" s="105"/>
      <c r="AG377" s="105"/>
      <c r="AH377" s="105"/>
      <c r="AI377" s="105"/>
      <c r="AJ377" s="105"/>
      <c r="AK377" s="105"/>
      <c r="AL377" s="105"/>
      <c r="AM377" s="105"/>
      <c r="AN377" s="105"/>
      <c r="AO377" s="105"/>
      <c r="AP377" s="105"/>
      <c r="AQ377" s="105"/>
      <c r="AR377" s="105"/>
      <c r="AS377" s="105"/>
      <c r="AT377" s="105"/>
      <c r="AU377" s="105"/>
      <c r="AV377" s="105"/>
      <c r="AW377" s="105"/>
      <c r="AX377" s="105"/>
      <c r="AY377" s="105"/>
      <c r="AZ377" s="105"/>
      <c r="BA377" s="105"/>
      <c r="BB377" s="105"/>
      <c r="BC377" s="105"/>
      <c r="BD377" s="105"/>
      <c r="BE377" s="105"/>
      <c r="BF377" s="105"/>
      <c r="BG377" s="105"/>
      <c r="BH377" s="105"/>
      <c r="BI377" s="105"/>
      <c r="BJ377" s="105"/>
      <c r="BK377" s="105"/>
      <c r="BL377" s="105"/>
      <c r="BM377" s="105"/>
      <c r="BN377" s="105"/>
      <c r="BO377" s="105"/>
      <c r="BP377" s="105"/>
      <c r="BQ377" s="105"/>
      <c r="BR377" s="105"/>
      <c r="BS377" s="105"/>
      <c r="BT377" s="105"/>
      <c r="BU377" s="105"/>
      <c r="BV377" s="105"/>
      <c r="BW377" s="105"/>
      <c r="BX377" s="105"/>
      <c r="BY377" s="105"/>
      <c r="BZ377" s="105"/>
      <c r="CA377" s="105"/>
      <c r="CB377" s="105"/>
      <c r="CC377" s="105"/>
      <c r="CD377" s="105"/>
      <c r="CE377" s="105"/>
      <c r="CF377" s="105"/>
      <c r="CG377" s="105"/>
      <c r="CH377" s="105"/>
      <c r="CI377" s="105"/>
      <c r="CJ377" s="105"/>
      <c r="CK377" s="105"/>
      <c r="CL377" s="105"/>
      <c r="CM377" s="105"/>
      <c r="CN377" s="105"/>
      <c r="CO377" s="105"/>
      <c r="CP377" s="105"/>
      <c r="CQ377" s="105"/>
      <c r="CR377" s="105"/>
      <c r="CS377" s="105"/>
      <c r="CT377" s="105"/>
      <c r="CU377" s="105"/>
      <c r="CV377" s="105"/>
      <c r="CW377" s="105"/>
      <c r="CX377" s="105"/>
      <c r="CY377" s="105"/>
      <c r="CZ377" s="105"/>
      <c r="DA377" s="105"/>
    </row>
    <row r="378">
      <c r="B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c r="AA378" s="105"/>
      <c r="AB378" s="105"/>
      <c r="AC378" s="105"/>
      <c r="AD378" s="105"/>
      <c r="AE378" s="105"/>
      <c r="AF378" s="105"/>
      <c r="AG378" s="105"/>
      <c r="AH378" s="105"/>
      <c r="AI378" s="105"/>
      <c r="AJ378" s="105"/>
      <c r="AK378" s="105"/>
      <c r="AL378" s="105"/>
      <c r="AM378" s="105"/>
      <c r="AN378" s="105"/>
      <c r="AO378" s="105"/>
      <c r="AP378" s="105"/>
      <c r="AQ378" s="105"/>
      <c r="AR378" s="105"/>
      <c r="AS378" s="105"/>
      <c r="AT378" s="105"/>
      <c r="AU378" s="105"/>
      <c r="AV378" s="105"/>
      <c r="AW378" s="105"/>
      <c r="AX378" s="105"/>
      <c r="AY378" s="105"/>
      <c r="AZ378" s="105"/>
      <c r="BA378" s="105"/>
      <c r="BB378" s="105"/>
      <c r="BC378" s="105"/>
      <c r="BD378" s="105"/>
      <c r="BE378" s="105"/>
      <c r="BF378" s="105"/>
      <c r="BG378" s="105"/>
      <c r="BH378" s="105"/>
      <c r="BI378" s="105"/>
      <c r="BJ378" s="105"/>
      <c r="BK378" s="105"/>
      <c r="BL378" s="105"/>
      <c r="BM378" s="105"/>
      <c r="BN378" s="105"/>
      <c r="BO378" s="105"/>
      <c r="BP378" s="105"/>
      <c r="BQ378" s="105"/>
      <c r="BR378" s="105"/>
      <c r="BS378" s="105"/>
      <c r="BT378" s="105"/>
      <c r="BU378" s="105"/>
      <c r="BV378" s="105"/>
      <c r="BW378" s="105"/>
      <c r="BX378" s="105"/>
      <c r="BY378" s="105"/>
      <c r="BZ378" s="105"/>
      <c r="CA378" s="105"/>
      <c r="CB378" s="105"/>
      <c r="CC378" s="105"/>
      <c r="CD378" s="105"/>
      <c r="CE378" s="105"/>
      <c r="CF378" s="105"/>
      <c r="CG378" s="105"/>
      <c r="CH378" s="105"/>
      <c r="CI378" s="105"/>
      <c r="CJ378" s="105"/>
      <c r="CK378" s="105"/>
      <c r="CL378" s="105"/>
      <c r="CM378" s="105"/>
      <c r="CN378" s="105"/>
      <c r="CO378" s="105"/>
      <c r="CP378" s="105"/>
      <c r="CQ378" s="105"/>
      <c r="CR378" s="105"/>
      <c r="CS378" s="105"/>
      <c r="CT378" s="105"/>
      <c r="CU378" s="105"/>
      <c r="CV378" s="105"/>
      <c r="CW378" s="105"/>
      <c r="CX378" s="105"/>
      <c r="CY378" s="105"/>
      <c r="CZ378" s="105"/>
      <c r="DA378" s="105"/>
    </row>
    <row r="379">
      <c r="B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c r="AA379" s="105"/>
      <c r="AB379" s="105"/>
      <c r="AC379" s="105"/>
      <c r="AD379" s="105"/>
      <c r="AE379" s="105"/>
      <c r="AF379" s="105"/>
      <c r="AG379" s="105"/>
      <c r="AH379" s="105"/>
      <c r="AI379" s="105"/>
      <c r="AJ379" s="105"/>
      <c r="AK379" s="105"/>
      <c r="AL379" s="105"/>
      <c r="AM379" s="105"/>
      <c r="AN379" s="105"/>
      <c r="AO379" s="105"/>
      <c r="AP379" s="105"/>
      <c r="AQ379" s="105"/>
      <c r="AR379" s="105"/>
      <c r="AS379" s="105"/>
      <c r="AT379" s="105"/>
      <c r="AU379" s="105"/>
      <c r="AV379" s="105"/>
      <c r="AW379" s="105"/>
      <c r="AX379" s="105"/>
      <c r="AY379" s="105"/>
      <c r="AZ379" s="105"/>
      <c r="BA379" s="105"/>
      <c r="BB379" s="105"/>
      <c r="BC379" s="105"/>
      <c r="BD379" s="105"/>
      <c r="BE379" s="105"/>
      <c r="BF379" s="105"/>
      <c r="BG379" s="105"/>
      <c r="BH379" s="105"/>
      <c r="BI379" s="105"/>
      <c r="BJ379" s="105"/>
      <c r="BK379" s="105"/>
      <c r="BL379" s="105"/>
      <c r="BM379" s="105"/>
      <c r="BN379" s="105"/>
      <c r="BO379" s="105"/>
      <c r="BP379" s="105"/>
      <c r="BQ379" s="105"/>
      <c r="BR379" s="105"/>
      <c r="BS379" s="105"/>
      <c r="BT379" s="105"/>
      <c r="BU379" s="105"/>
      <c r="BV379" s="105"/>
      <c r="BW379" s="105"/>
      <c r="BX379" s="105"/>
      <c r="BY379" s="105"/>
      <c r="BZ379" s="105"/>
      <c r="CA379" s="105"/>
      <c r="CB379" s="105"/>
      <c r="CC379" s="105"/>
      <c r="CD379" s="105"/>
      <c r="CE379" s="105"/>
      <c r="CF379" s="105"/>
      <c r="CG379" s="105"/>
      <c r="CH379" s="105"/>
      <c r="CI379" s="105"/>
      <c r="CJ379" s="105"/>
      <c r="CK379" s="105"/>
      <c r="CL379" s="105"/>
      <c r="CM379" s="105"/>
      <c r="CN379" s="105"/>
      <c r="CO379" s="105"/>
      <c r="CP379" s="105"/>
      <c r="CQ379" s="105"/>
      <c r="CR379" s="105"/>
      <c r="CS379" s="105"/>
      <c r="CT379" s="105"/>
      <c r="CU379" s="105"/>
      <c r="CV379" s="105"/>
      <c r="CW379" s="105"/>
      <c r="CX379" s="105"/>
      <c r="CY379" s="105"/>
      <c r="CZ379" s="105"/>
      <c r="DA379" s="105"/>
    </row>
    <row r="380">
      <c r="B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c r="AA380" s="105"/>
      <c r="AB380" s="105"/>
      <c r="AC380" s="105"/>
      <c r="AD380" s="105"/>
      <c r="AE380" s="105"/>
      <c r="AF380" s="105"/>
      <c r="AG380" s="105"/>
      <c r="AH380" s="105"/>
      <c r="AI380" s="105"/>
      <c r="AJ380" s="105"/>
      <c r="AK380" s="105"/>
      <c r="AL380" s="105"/>
      <c r="AM380" s="105"/>
      <c r="AN380" s="105"/>
      <c r="AO380" s="105"/>
      <c r="AP380" s="105"/>
      <c r="AQ380" s="105"/>
      <c r="AR380" s="105"/>
      <c r="AS380" s="105"/>
      <c r="AT380" s="105"/>
      <c r="AU380" s="105"/>
      <c r="AV380" s="105"/>
      <c r="AW380" s="105"/>
      <c r="AX380" s="105"/>
      <c r="AY380" s="105"/>
      <c r="AZ380" s="105"/>
      <c r="BA380" s="105"/>
      <c r="BB380" s="105"/>
      <c r="BC380" s="105"/>
      <c r="BD380" s="105"/>
      <c r="BE380" s="105"/>
      <c r="BF380" s="105"/>
      <c r="BG380" s="105"/>
      <c r="BH380" s="105"/>
      <c r="BI380" s="105"/>
      <c r="BJ380" s="105"/>
      <c r="BK380" s="105"/>
      <c r="BL380" s="105"/>
      <c r="BM380" s="105"/>
      <c r="BN380" s="105"/>
      <c r="BO380" s="105"/>
      <c r="BP380" s="105"/>
      <c r="BQ380" s="105"/>
      <c r="BR380" s="105"/>
      <c r="BS380" s="105"/>
      <c r="BT380" s="105"/>
      <c r="BU380" s="105"/>
      <c r="BV380" s="105"/>
      <c r="BW380" s="105"/>
      <c r="BX380" s="105"/>
      <c r="BY380" s="105"/>
      <c r="BZ380" s="105"/>
      <c r="CA380" s="105"/>
      <c r="CB380" s="105"/>
      <c r="CC380" s="105"/>
      <c r="CD380" s="105"/>
      <c r="CE380" s="105"/>
      <c r="CF380" s="105"/>
      <c r="CG380" s="105"/>
      <c r="CH380" s="105"/>
      <c r="CI380" s="105"/>
      <c r="CJ380" s="105"/>
      <c r="CK380" s="105"/>
      <c r="CL380" s="105"/>
      <c r="CM380" s="105"/>
      <c r="CN380" s="105"/>
      <c r="CO380" s="105"/>
      <c r="CP380" s="105"/>
      <c r="CQ380" s="105"/>
      <c r="CR380" s="105"/>
      <c r="CS380" s="105"/>
      <c r="CT380" s="105"/>
      <c r="CU380" s="105"/>
      <c r="CV380" s="105"/>
      <c r="CW380" s="105"/>
      <c r="CX380" s="105"/>
      <c r="CY380" s="105"/>
      <c r="CZ380" s="105"/>
      <c r="DA380" s="105"/>
    </row>
    <row r="381">
      <c r="B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c r="AA381" s="105"/>
      <c r="AB381" s="105"/>
      <c r="AC381" s="105"/>
      <c r="AD381" s="105"/>
      <c r="AE381" s="105"/>
      <c r="AF381" s="105"/>
      <c r="AG381" s="105"/>
      <c r="AH381" s="105"/>
      <c r="AI381" s="105"/>
      <c r="AJ381" s="105"/>
      <c r="AK381" s="105"/>
      <c r="AL381" s="105"/>
      <c r="AM381" s="105"/>
      <c r="AN381" s="105"/>
      <c r="AO381" s="105"/>
      <c r="AP381" s="105"/>
      <c r="AQ381" s="105"/>
      <c r="AR381" s="105"/>
      <c r="AS381" s="105"/>
      <c r="AT381" s="105"/>
      <c r="AU381" s="105"/>
      <c r="AV381" s="105"/>
      <c r="AW381" s="105"/>
      <c r="AX381" s="105"/>
      <c r="AY381" s="105"/>
      <c r="AZ381" s="105"/>
      <c r="BA381" s="105"/>
      <c r="BB381" s="105"/>
      <c r="BC381" s="105"/>
      <c r="BD381" s="105"/>
      <c r="BE381" s="105"/>
      <c r="BF381" s="105"/>
      <c r="BG381" s="105"/>
      <c r="BH381" s="105"/>
      <c r="BI381" s="105"/>
      <c r="BJ381" s="105"/>
      <c r="BK381" s="105"/>
      <c r="BL381" s="105"/>
      <c r="BM381" s="105"/>
      <c r="BN381" s="105"/>
      <c r="BO381" s="105"/>
      <c r="BP381" s="105"/>
      <c r="BQ381" s="105"/>
      <c r="BR381" s="105"/>
      <c r="BS381" s="105"/>
      <c r="BT381" s="105"/>
      <c r="BU381" s="105"/>
      <c r="BV381" s="105"/>
      <c r="BW381" s="105"/>
      <c r="BX381" s="105"/>
      <c r="BY381" s="105"/>
      <c r="BZ381" s="105"/>
      <c r="CA381" s="105"/>
      <c r="CB381" s="105"/>
      <c r="CC381" s="105"/>
      <c r="CD381" s="105"/>
      <c r="CE381" s="105"/>
      <c r="CF381" s="105"/>
      <c r="CG381" s="105"/>
      <c r="CH381" s="105"/>
      <c r="CI381" s="105"/>
      <c r="CJ381" s="105"/>
      <c r="CK381" s="105"/>
      <c r="CL381" s="105"/>
      <c r="CM381" s="105"/>
      <c r="CN381" s="105"/>
      <c r="CO381" s="105"/>
      <c r="CP381" s="105"/>
      <c r="CQ381" s="105"/>
      <c r="CR381" s="105"/>
      <c r="CS381" s="105"/>
      <c r="CT381" s="105"/>
      <c r="CU381" s="105"/>
      <c r="CV381" s="105"/>
      <c r="CW381" s="105"/>
      <c r="CX381" s="105"/>
      <c r="CY381" s="105"/>
      <c r="CZ381" s="105"/>
      <c r="DA381" s="105"/>
    </row>
    <row r="382">
      <c r="B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c r="AA382" s="105"/>
      <c r="AB382" s="105"/>
      <c r="AC382" s="105"/>
      <c r="AD382" s="105"/>
      <c r="AE382" s="105"/>
      <c r="AF382" s="105"/>
      <c r="AG382" s="105"/>
      <c r="AH382" s="105"/>
      <c r="AI382" s="105"/>
      <c r="AJ382" s="105"/>
      <c r="AK382" s="105"/>
      <c r="AL382" s="105"/>
      <c r="AM382" s="105"/>
      <c r="AN382" s="105"/>
      <c r="AO382" s="105"/>
      <c r="AP382" s="105"/>
      <c r="AQ382" s="105"/>
      <c r="AR382" s="105"/>
      <c r="AS382" s="105"/>
      <c r="AT382" s="105"/>
      <c r="AU382" s="105"/>
      <c r="AV382" s="105"/>
      <c r="AW382" s="105"/>
      <c r="AX382" s="105"/>
      <c r="AY382" s="105"/>
      <c r="AZ382" s="105"/>
      <c r="BA382" s="105"/>
      <c r="BB382" s="105"/>
      <c r="BC382" s="105"/>
      <c r="BD382" s="105"/>
      <c r="BE382" s="105"/>
      <c r="BF382" s="105"/>
      <c r="BG382" s="105"/>
      <c r="BH382" s="105"/>
      <c r="BI382" s="105"/>
      <c r="BJ382" s="105"/>
      <c r="BK382" s="105"/>
      <c r="BL382" s="105"/>
      <c r="BM382" s="105"/>
      <c r="BN382" s="105"/>
      <c r="BO382" s="105"/>
      <c r="BP382" s="105"/>
      <c r="BQ382" s="105"/>
      <c r="BR382" s="105"/>
      <c r="BS382" s="105"/>
      <c r="BT382" s="105"/>
      <c r="BU382" s="105"/>
      <c r="BV382" s="105"/>
      <c r="BW382" s="105"/>
      <c r="BX382" s="105"/>
      <c r="BY382" s="105"/>
      <c r="BZ382" s="105"/>
      <c r="CA382" s="105"/>
      <c r="CB382" s="105"/>
      <c r="CC382" s="105"/>
      <c r="CD382" s="105"/>
      <c r="CE382" s="105"/>
      <c r="CF382" s="105"/>
      <c r="CG382" s="105"/>
      <c r="CH382" s="105"/>
      <c r="CI382" s="105"/>
      <c r="CJ382" s="105"/>
      <c r="CK382" s="105"/>
      <c r="CL382" s="105"/>
      <c r="CM382" s="105"/>
      <c r="CN382" s="105"/>
      <c r="CO382" s="105"/>
      <c r="CP382" s="105"/>
      <c r="CQ382" s="105"/>
      <c r="CR382" s="105"/>
      <c r="CS382" s="105"/>
      <c r="CT382" s="105"/>
      <c r="CU382" s="105"/>
      <c r="CV382" s="105"/>
      <c r="CW382" s="105"/>
      <c r="CX382" s="105"/>
      <c r="CY382" s="105"/>
      <c r="CZ382" s="105"/>
      <c r="DA382" s="105"/>
    </row>
    <row r="383">
      <c r="B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c r="AA383" s="105"/>
      <c r="AB383" s="105"/>
      <c r="AC383" s="105"/>
      <c r="AD383" s="105"/>
      <c r="AE383" s="105"/>
      <c r="AF383" s="105"/>
      <c r="AG383" s="105"/>
      <c r="AH383" s="105"/>
      <c r="AI383" s="105"/>
      <c r="AJ383" s="105"/>
      <c r="AK383" s="105"/>
      <c r="AL383" s="105"/>
      <c r="AM383" s="105"/>
      <c r="AN383" s="105"/>
      <c r="AO383" s="105"/>
      <c r="AP383" s="105"/>
      <c r="AQ383" s="105"/>
      <c r="AR383" s="105"/>
      <c r="AS383" s="105"/>
      <c r="AT383" s="105"/>
      <c r="AU383" s="105"/>
      <c r="AV383" s="105"/>
      <c r="AW383" s="105"/>
      <c r="AX383" s="105"/>
      <c r="AY383" s="105"/>
      <c r="AZ383" s="105"/>
      <c r="BA383" s="105"/>
      <c r="BB383" s="105"/>
      <c r="BC383" s="105"/>
      <c r="BD383" s="105"/>
      <c r="BE383" s="105"/>
      <c r="BF383" s="105"/>
      <c r="BG383" s="105"/>
      <c r="BH383" s="105"/>
      <c r="BI383" s="105"/>
      <c r="BJ383" s="105"/>
      <c r="BK383" s="105"/>
      <c r="BL383" s="105"/>
      <c r="BM383" s="105"/>
      <c r="BN383" s="105"/>
      <c r="BO383" s="105"/>
      <c r="BP383" s="105"/>
      <c r="BQ383" s="105"/>
      <c r="BR383" s="105"/>
      <c r="BS383" s="105"/>
      <c r="BT383" s="105"/>
      <c r="BU383" s="105"/>
      <c r="BV383" s="105"/>
      <c r="BW383" s="105"/>
      <c r="BX383" s="105"/>
      <c r="BY383" s="105"/>
      <c r="BZ383" s="105"/>
      <c r="CA383" s="105"/>
      <c r="CB383" s="105"/>
      <c r="CC383" s="105"/>
      <c r="CD383" s="105"/>
      <c r="CE383" s="105"/>
      <c r="CF383" s="105"/>
      <c r="CG383" s="105"/>
      <c r="CH383" s="105"/>
      <c r="CI383" s="105"/>
      <c r="CJ383" s="105"/>
      <c r="CK383" s="105"/>
      <c r="CL383" s="105"/>
      <c r="CM383" s="105"/>
      <c r="CN383" s="105"/>
      <c r="CO383" s="105"/>
      <c r="CP383" s="105"/>
      <c r="CQ383" s="105"/>
      <c r="CR383" s="105"/>
      <c r="CS383" s="105"/>
      <c r="CT383" s="105"/>
      <c r="CU383" s="105"/>
      <c r="CV383" s="105"/>
      <c r="CW383" s="105"/>
      <c r="CX383" s="105"/>
      <c r="CY383" s="105"/>
      <c r="CZ383" s="105"/>
      <c r="DA383" s="105"/>
    </row>
    <row r="384">
      <c r="B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c r="AA384" s="105"/>
      <c r="AB384" s="105"/>
      <c r="AC384" s="105"/>
      <c r="AD384" s="105"/>
      <c r="AE384" s="105"/>
      <c r="AF384" s="105"/>
      <c r="AG384" s="105"/>
      <c r="AH384" s="105"/>
      <c r="AI384" s="105"/>
      <c r="AJ384" s="105"/>
      <c r="AK384" s="105"/>
      <c r="AL384" s="105"/>
      <c r="AM384" s="105"/>
      <c r="AN384" s="105"/>
      <c r="AO384" s="105"/>
      <c r="AP384" s="105"/>
      <c r="AQ384" s="105"/>
      <c r="AR384" s="105"/>
      <c r="AS384" s="105"/>
      <c r="AT384" s="105"/>
      <c r="AU384" s="105"/>
      <c r="AV384" s="105"/>
      <c r="AW384" s="105"/>
      <c r="AX384" s="105"/>
      <c r="AY384" s="105"/>
      <c r="AZ384" s="105"/>
      <c r="BA384" s="105"/>
      <c r="BB384" s="105"/>
      <c r="BC384" s="105"/>
      <c r="BD384" s="105"/>
      <c r="BE384" s="105"/>
      <c r="BF384" s="105"/>
      <c r="BG384" s="105"/>
      <c r="BH384" s="105"/>
      <c r="BI384" s="105"/>
      <c r="BJ384" s="105"/>
      <c r="BK384" s="105"/>
      <c r="BL384" s="105"/>
      <c r="BM384" s="105"/>
      <c r="BN384" s="105"/>
      <c r="BO384" s="105"/>
      <c r="BP384" s="105"/>
      <c r="BQ384" s="105"/>
      <c r="BR384" s="105"/>
      <c r="BS384" s="105"/>
      <c r="BT384" s="105"/>
      <c r="BU384" s="105"/>
      <c r="BV384" s="105"/>
      <c r="BW384" s="105"/>
      <c r="BX384" s="105"/>
      <c r="BY384" s="105"/>
      <c r="BZ384" s="105"/>
      <c r="CA384" s="105"/>
      <c r="CB384" s="105"/>
      <c r="CC384" s="105"/>
      <c r="CD384" s="105"/>
      <c r="CE384" s="105"/>
      <c r="CF384" s="105"/>
      <c r="CG384" s="105"/>
      <c r="CH384" s="105"/>
      <c r="CI384" s="105"/>
      <c r="CJ384" s="105"/>
      <c r="CK384" s="105"/>
      <c r="CL384" s="105"/>
      <c r="CM384" s="105"/>
      <c r="CN384" s="105"/>
      <c r="CO384" s="105"/>
      <c r="CP384" s="105"/>
      <c r="CQ384" s="105"/>
      <c r="CR384" s="105"/>
      <c r="CS384" s="105"/>
      <c r="CT384" s="105"/>
      <c r="CU384" s="105"/>
      <c r="CV384" s="105"/>
      <c r="CW384" s="105"/>
      <c r="CX384" s="105"/>
      <c r="CY384" s="105"/>
      <c r="CZ384" s="105"/>
      <c r="DA384" s="105"/>
    </row>
    <row r="385">
      <c r="B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c r="AA385" s="105"/>
      <c r="AB385" s="105"/>
      <c r="AC385" s="105"/>
      <c r="AD385" s="105"/>
      <c r="AE385" s="105"/>
      <c r="AF385" s="105"/>
      <c r="AG385" s="105"/>
      <c r="AH385" s="105"/>
      <c r="AI385" s="105"/>
      <c r="AJ385" s="105"/>
      <c r="AK385" s="105"/>
      <c r="AL385" s="105"/>
      <c r="AM385" s="105"/>
      <c r="AN385" s="105"/>
      <c r="AO385" s="105"/>
      <c r="AP385" s="105"/>
      <c r="AQ385" s="105"/>
      <c r="AR385" s="105"/>
      <c r="AS385" s="105"/>
      <c r="AT385" s="105"/>
      <c r="AU385" s="105"/>
      <c r="AV385" s="105"/>
      <c r="AW385" s="105"/>
      <c r="AX385" s="105"/>
      <c r="AY385" s="105"/>
      <c r="AZ385" s="105"/>
      <c r="BA385" s="105"/>
      <c r="BB385" s="105"/>
      <c r="BC385" s="105"/>
      <c r="BD385" s="105"/>
      <c r="BE385" s="105"/>
      <c r="BF385" s="105"/>
      <c r="BG385" s="105"/>
      <c r="BH385" s="105"/>
      <c r="BI385" s="105"/>
      <c r="BJ385" s="105"/>
      <c r="BK385" s="105"/>
      <c r="BL385" s="105"/>
      <c r="BM385" s="105"/>
      <c r="BN385" s="105"/>
      <c r="BO385" s="105"/>
      <c r="BP385" s="105"/>
      <c r="BQ385" s="105"/>
      <c r="BR385" s="105"/>
      <c r="BS385" s="105"/>
      <c r="BT385" s="105"/>
      <c r="BU385" s="105"/>
      <c r="BV385" s="105"/>
      <c r="BW385" s="105"/>
      <c r="BX385" s="105"/>
      <c r="BY385" s="105"/>
      <c r="BZ385" s="105"/>
      <c r="CA385" s="105"/>
      <c r="CB385" s="105"/>
      <c r="CC385" s="105"/>
      <c r="CD385" s="105"/>
      <c r="CE385" s="105"/>
      <c r="CF385" s="105"/>
      <c r="CG385" s="105"/>
      <c r="CH385" s="105"/>
      <c r="CI385" s="105"/>
      <c r="CJ385" s="105"/>
      <c r="CK385" s="105"/>
      <c r="CL385" s="105"/>
      <c r="CM385" s="105"/>
      <c r="CN385" s="105"/>
      <c r="CO385" s="105"/>
      <c r="CP385" s="105"/>
      <c r="CQ385" s="105"/>
      <c r="CR385" s="105"/>
      <c r="CS385" s="105"/>
      <c r="CT385" s="105"/>
      <c r="CU385" s="105"/>
      <c r="CV385" s="105"/>
      <c r="CW385" s="105"/>
      <c r="CX385" s="105"/>
      <c r="CY385" s="105"/>
      <c r="CZ385" s="105"/>
      <c r="DA385" s="105"/>
    </row>
    <row r="386">
      <c r="B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c r="AA386" s="105"/>
      <c r="AB386" s="105"/>
      <c r="AC386" s="105"/>
      <c r="AD386" s="105"/>
      <c r="AE386" s="105"/>
      <c r="AF386" s="105"/>
      <c r="AG386" s="105"/>
      <c r="AH386" s="105"/>
      <c r="AI386" s="105"/>
      <c r="AJ386" s="105"/>
      <c r="AK386" s="105"/>
      <c r="AL386" s="105"/>
      <c r="AM386" s="105"/>
      <c r="AN386" s="105"/>
      <c r="AO386" s="105"/>
      <c r="AP386" s="105"/>
      <c r="AQ386" s="105"/>
      <c r="AR386" s="105"/>
      <c r="AS386" s="105"/>
      <c r="AT386" s="105"/>
      <c r="AU386" s="105"/>
      <c r="AV386" s="105"/>
      <c r="AW386" s="105"/>
      <c r="AX386" s="105"/>
      <c r="AY386" s="105"/>
      <c r="AZ386" s="105"/>
      <c r="BA386" s="105"/>
      <c r="BB386" s="105"/>
      <c r="BC386" s="105"/>
      <c r="BD386" s="105"/>
      <c r="BE386" s="105"/>
      <c r="BF386" s="105"/>
      <c r="BG386" s="105"/>
      <c r="BH386" s="105"/>
      <c r="BI386" s="105"/>
      <c r="BJ386" s="105"/>
      <c r="BK386" s="105"/>
      <c r="BL386" s="105"/>
      <c r="BM386" s="105"/>
      <c r="BN386" s="105"/>
      <c r="BO386" s="105"/>
      <c r="BP386" s="105"/>
      <c r="BQ386" s="105"/>
      <c r="BR386" s="105"/>
      <c r="BS386" s="105"/>
      <c r="BT386" s="105"/>
      <c r="BU386" s="105"/>
      <c r="BV386" s="105"/>
      <c r="BW386" s="105"/>
      <c r="BX386" s="105"/>
      <c r="BY386" s="105"/>
      <c r="BZ386" s="105"/>
      <c r="CA386" s="105"/>
      <c r="CB386" s="105"/>
      <c r="CC386" s="105"/>
      <c r="CD386" s="105"/>
      <c r="CE386" s="105"/>
      <c r="CF386" s="105"/>
      <c r="CG386" s="105"/>
      <c r="CH386" s="105"/>
      <c r="CI386" s="105"/>
      <c r="CJ386" s="105"/>
      <c r="CK386" s="105"/>
      <c r="CL386" s="105"/>
      <c r="CM386" s="105"/>
      <c r="CN386" s="105"/>
      <c r="CO386" s="105"/>
      <c r="CP386" s="105"/>
      <c r="CQ386" s="105"/>
      <c r="CR386" s="105"/>
      <c r="CS386" s="105"/>
      <c r="CT386" s="105"/>
      <c r="CU386" s="105"/>
      <c r="CV386" s="105"/>
      <c r="CW386" s="105"/>
      <c r="CX386" s="105"/>
      <c r="CY386" s="105"/>
      <c r="CZ386" s="105"/>
      <c r="DA386" s="105"/>
    </row>
    <row r="387">
      <c r="B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c r="AA387" s="105"/>
      <c r="AB387" s="105"/>
      <c r="AC387" s="105"/>
      <c r="AD387" s="105"/>
      <c r="AE387" s="105"/>
      <c r="AF387" s="105"/>
      <c r="AG387" s="105"/>
      <c r="AH387" s="105"/>
      <c r="AI387" s="105"/>
      <c r="AJ387" s="105"/>
      <c r="AK387" s="105"/>
      <c r="AL387" s="105"/>
      <c r="AM387" s="105"/>
      <c r="AN387" s="105"/>
      <c r="AO387" s="105"/>
      <c r="AP387" s="105"/>
      <c r="AQ387" s="105"/>
      <c r="AR387" s="105"/>
      <c r="AS387" s="105"/>
      <c r="AT387" s="105"/>
      <c r="AU387" s="105"/>
      <c r="AV387" s="105"/>
      <c r="AW387" s="105"/>
      <c r="AX387" s="105"/>
      <c r="AY387" s="105"/>
      <c r="AZ387" s="105"/>
      <c r="BA387" s="105"/>
      <c r="BB387" s="105"/>
      <c r="BC387" s="105"/>
      <c r="BD387" s="105"/>
      <c r="BE387" s="105"/>
      <c r="BF387" s="105"/>
      <c r="BG387" s="105"/>
      <c r="BH387" s="105"/>
      <c r="BI387" s="105"/>
      <c r="BJ387" s="105"/>
      <c r="BK387" s="105"/>
      <c r="BL387" s="105"/>
      <c r="BM387" s="105"/>
      <c r="BN387" s="105"/>
      <c r="BO387" s="105"/>
      <c r="BP387" s="105"/>
      <c r="BQ387" s="105"/>
      <c r="BR387" s="105"/>
      <c r="BS387" s="105"/>
      <c r="BT387" s="105"/>
      <c r="BU387" s="105"/>
      <c r="BV387" s="105"/>
      <c r="BW387" s="105"/>
      <c r="BX387" s="105"/>
      <c r="BY387" s="105"/>
      <c r="BZ387" s="105"/>
      <c r="CA387" s="105"/>
      <c r="CB387" s="105"/>
      <c r="CC387" s="105"/>
      <c r="CD387" s="105"/>
      <c r="CE387" s="105"/>
      <c r="CF387" s="105"/>
      <c r="CG387" s="105"/>
      <c r="CH387" s="105"/>
      <c r="CI387" s="105"/>
      <c r="CJ387" s="105"/>
      <c r="CK387" s="105"/>
      <c r="CL387" s="105"/>
      <c r="CM387" s="105"/>
      <c r="CN387" s="105"/>
      <c r="CO387" s="105"/>
      <c r="CP387" s="105"/>
      <c r="CQ387" s="105"/>
      <c r="CR387" s="105"/>
      <c r="CS387" s="105"/>
      <c r="CT387" s="105"/>
      <c r="CU387" s="105"/>
      <c r="CV387" s="105"/>
      <c r="CW387" s="105"/>
      <c r="CX387" s="105"/>
      <c r="CY387" s="105"/>
      <c r="CZ387" s="105"/>
      <c r="DA387" s="105"/>
    </row>
    <row r="388">
      <c r="B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c r="AA388" s="105"/>
      <c r="AB388" s="105"/>
      <c r="AC388" s="105"/>
      <c r="AD388" s="105"/>
      <c r="AE388" s="105"/>
      <c r="AF388" s="105"/>
      <c r="AG388" s="105"/>
      <c r="AH388" s="105"/>
      <c r="AI388" s="105"/>
      <c r="AJ388" s="105"/>
      <c r="AK388" s="105"/>
      <c r="AL388" s="105"/>
      <c r="AM388" s="105"/>
      <c r="AN388" s="105"/>
      <c r="AO388" s="105"/>
      <c r="AP388" s="105"/>
      <c r="AQ388" s="105"/>
      <c r="AR388" s="105"/>
      <c r="AS388" s="105"/>
      <c r="AT388" s="105"/>
      <c r="AU388" s="105"/>
      <c r="AV388" s="105"/>
      <c r="AW388" s="105"/>
      <c r="AX388" s="105"/>
      <c r="AY388" s="105"/>
      <c r="AZ388" s="105"/>
      <c r="BA388" s="105"/>
      <c r="BB388" s="105"/>
      <c r="BC388" s="105"/>
      <c r="BD388" s="105"/>
      <c r="BE388" s="105"/>
      <c r="BF388" s="105"/>
      <c r="BG388" s="105"/>
      <c r="BH388" s="105"/>
      <c r="BI388" s="105"/>
      <c r="BJ388" s="105"/>
      <c r="BK388" s="105"/>
      <c r="BL388" s="105"/>
      <c r="BM388" s="105"/>
      <c r="BN388" s="105"/>
      <c r="BO388" s="105"/>
      <c r="BP388" s="105"/>
      <c r="BQ388" s="105"/>
      <c r="BR388" s="105"/>
      <c r="BS388" s="105"/>
      <c r="BT388" s="105"/>
      <c r="BU388" s="105"/>
      <c r="BV388" s="105"/>
      <c r="BW388" s="105"/>
      <c r="BX388" s="105"/>
      <c r="BY388" s="105"/>
      <c r="BZ388" s="105"/>
      <c r="CA388" s="105"/>
      <c r="CB388" s="105"/>
      <c r="CC388" s="105"/>
      <c r="CD388" s="105"/>
      <c r="CE388" s="105"/>
      <c r="CF388" s="105"/>
      <c r="CG388" s="105"/>
      <c r="CH388" s="105"/>
      <c r="CI388" s="105"/>
      <c r="CJ388" s="105"/>
      <c r="CK388" s="105"/>
      <c r="CL388" s="105"/>
      <c r="CM388" s="105"/>
      <c r="CN388" s="105"/>
      <c r="CO388" s="105"/>
      <c r="CP388" s="105"/>
      <c r="CQ388" s="105"/>
      <c r="CR388" s="105"/>
      <c r="CS388" s="105"/>
      <c r="CT388" s="105"/>
      <c r="CU388" s="105"/>
      <c r="CV388" s="105"/>
      <c r="CW388" s="105"/>
      <c r="CX388" s="105"/>
      <c r="CY388" s="105"/>
      <c r="CZ388" s="105"/>
      <c r="DA388" s="105"/>
    </row>
    <row r="389">
      <c r="B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c r="AA389" s="105"/>
      <c r="AB389" s="105"/>
      <c r="AC389" s="105"/>
      <c r="AD389" s="105"/>
      <c r="AE389" s="105"/>
      <c r="AF389" s="105"/>
      <c r="AG389" s="105"/>
      <c r="AH389" s="105"/>
      <c r="AI389" s="105"/>
      <c r="AJ389" s="105"/>
      <c r="AK389" s="105"/>
      <c r="AL389" s="105"/>
      <c r="AM389" s="105"/>
      <c r="AN389" s="105"/>
      <c r="AO389" s="105"/>
      <c r="AP389" s="105"/>
      <c r="AQ389" s="105"/>
      <c r="AR389" s="105"/>
      <c r="AS389" s="105"/>
      <c r="AT389" s="105"/>
      <c r="AU389" s="105"/>
      <c r="AV389" s="105"/>
      <c r="AW389" s="105"/>
      <c r="AX389" s="105"/>
      <c r="AY389" s="105"/>
      <c r="AZ389" s="105"/>
      <c r="BA389" s="105"/>
      <c r="BB389" s="105"/>
      <c r="BC389" s="105"/>
      <c r="BD389" s="105"/>
      <c r="BE389" s="105"/>
      <c r="BF389" s="105"/>
      <c r="BG389" s="105"/>
      <c r="BH389" s="105"/>
      <c r="BI389" s="105"/>
      <c r="BJ389" s="105"/>
      <c r="BK389" s="105"/>
      <c r="BL389" s="105"/>
      <c r="BM389" s="105"/>
      <c r="BN389" s="105"/>
      <c r="BO389" s="105"/>
      <c r="BP389" s="105"/>
      <c r="BQ389" s="105"/>
      <c r="BR389" s="105"/>
      <c r="BS389" s="105"/>
      <c r="BT389" s="105"/>
      <c r="BU389" s="105"/>
      <c r="BV389" s="105"/>
      <c r="BW389" s="105"/>
      <c r="BX389" s="105"/>
      <c r="BY389" s="105"/>
      <c r="BZ389" s="105"/>
      <c r="CA389" s="105"/>
      <c r="CB389" s="105"/>
      <c r="CC389" s="105"/>
      <c r="CD389" s="105"/>
      <c r="CE389" s="105"/>
      <c r="CF389" s="105"/>
      <c r="CG389" s="105"/>
      <c r="CH389" s="105"/>
      <c r="CI389" s="105"/>
      <c r="CJ389" s="105"/>
      <c r="CK389" s="105"/>
      <c r="CL389" s="105"/>
      <c r="CM389" s="105"/>
      <c r="CN389" s="105"/>
      <c r="CO389" s="105"/>
      <c r="CP389" s="105"/>
      <c r="CQ389" s="105"/>
      <c r="CR389" s="105"/>
      <c r="CS389" s="105"/>
      <c r="CT389" s="105"/>
      <c r="CU389" s="105"/>
      <c r="CV389" s="105"/>
      <c r="CW389" s="105"/>
      <c r="CX389" s="105"/>
      <c r="CY389" s="105"/>
      <c r="CZ389" s="105"/>
      <c r="DA389" s="105"/>
    </row>
    <row r="390">
      <c r="B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c r="AA390" s="105"/>
      <c r="AB390" s="105"/>
      <c r="AC390" s="105"/>
      <c r="AD390" s="105"/>
      <c r="AE390" s="105"/>
      <c r="AF390" s="105"/>
      <c r="AG390" s="105"/>
      <c r="AH390" s="105"/>
      <c r="AI390" s="105"/>
      <c r="AJ390" s="105"/>
      <c r="AK390" s="105"/>
      <c r="AL390" s="105"/>
      <c r="AM390" s="105"/>
      <c r="AN390" s="105"/>
      <c r="AO390" s="105"/>
      <c r="AP390" s="105"/>
      <c r="AQ390" s="105"/>
      <c r="AR390" s="105"/>
      <c r="AS390" s="105"/>
      <c r="AT390" s="105"/>
      <c r="AU390" s="105"/>
      <c r="AV390" s="105"/>
      <c r="AW390" s="105"/>
      <c r="AX390" s="105"/>
      <c r="AY390" s="105"/>
      <c r="AZ390" s="105"/>
      <c r="BA390" s="105"/>
      <c r="BB390" s="105"/>
      <c r="BC390" s="105"/>
      <c r="BD390" s="105"/>
      <c r="BE390" s="105"/>
      <c r="BF390" s="105"/>
      <c r="BG390" s="105"/>
      <c r="BH390" s="105"/>
      <c r="BI390" s="105"/>
      <c r="BJ390" s="105"/>
      <c r="BK390" s="105"/>
      <c r="BL390" s="105"/>
      <c r="BM390" s="105"/>
      <c r="BN390" s="105"/>
      <c r="BO390" s="105"/>
      <c r="BP390" s="105"/>
      <c r="BQ390" s="105"/>
      <c r="BR390" s="105"/>
      <c r="BS390" s="105"/>
      <c r="BT390" s="105"/>
      <c r="BU390" s="105"/>
      <c r="BV390" s="105"/>
      <c r="BW390" s="105"/>
      <c r="BX390" s="105"/>
      <c r="BY390" s="105"/>
      <c r="BZ390" s="105"/>
      <c r="CA390" s="105"/>
      <c r="CB390" s="105"/>
      <c r="CC390" s="105"/>
      <c r="CD390" s="105"/>
      <c r="CE390" s="105"/>
      <c r="CF390" s="105"/>
      <c r="CG390" s="105"/>
      <c r="CH390" s="105"/>
      <c r="CI390" s="105"/>
      <c r="CJ390" s="105"/>
      <c r="CK390" s="105"/>
      <c r="CL390" s="105"/>
      <c r="CM390" s="105"/>
      <c r="CN390" s="105"/>
      <c r="CO390" s="105"/>
      <c r="CP390" s="105"/>
      <c r="CQ390" s="105"/>
      <c r="CR390" s="105"/>
      <c r="CS390" s="105"/>
      <c r="CT390" s="105"/>
      <c r="CU390" s="105"/>
      <c r="CV390" s="105"/>
      <c r="CW390" s="105"/>
      <c r="CX390" s="105"/>
      <c r="CY390" s="105"/>
      <c r="CZ390" s="105"/>
      <c r="DA390" s="105"/>
    </row>
    <row r="391">
      <c r="B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c r="AA391" s="105"/>
      <c r="AB391" s="105"/>
      <c r="AC391" s="105"/>
      <c r="AD391" s="105"/>
      <c r="AE391" s="105"/>
      <c r="AF391" s="105"/>
      <c r="AG391" s="105"/>
      <c r="AH391" s="105"/>
      <c r="AI391" s="105"/>
      <c r="AJ391" s="105"/>
      <c r="AK391" s="105"/>
      <c r="AL391" s="105"/>
      <c r="AM391" s="105"/>
      <c r="AN391" s="105"/>
      <c r="AO391" s="105"/>
      <c r="AP391" s="105"/>
      <c r="AQ391" s="105"/>
      <c r="AR391" s="105"/>
      <c r="AS391" s="105"/>
      <c r="AT391" s="105"/>
      <c r="AU391" s="105"/>
      <c r="AV391" s="105"/>
      <c r="AW391" s="105"/>
      <c r="AX391" s="105"/>
      <c r="AY391" s="105"/>
      <c r="AZ391" s="105"/>
      <c r="BA391" s="105"/>
      <c r="BB391" s="105"/>
      <c r="BC391" s="105"/>
      <c r="BD391" s="105"/>
      <c r="BE391" s="105"/>
      <c r="BF391" s="105"/>
      <c r="BG391" s="105"/>
      <c r="BH391" s="105"/>
      <c r="BI391" s="105"/>
      <c r="BJ391" s="105"/>
      <c r="BK391" s="105"/>
      <c r="BL391" s="105"/>
      <c r="BM391" s="105"/>
      <c r="BN391" s="105"/>
      <c r="BO391" s="105"/>
      <c r="BP391" s="105"/>
      <c r="BQ391" s="105"/>
      <c r="BR391" s="105"/>
      <c r="BS391" s="105"/>
      <c r="BT391" s="105"/>
      <c r="BU391" s="105"/>
      <c r="BV391" s="105"/>
      <c r="BW391" s="105"/>
      <c r="BX391" s="105"/>
      <c r="BY391" s="105"/>
      <c r="BZ391" s="105"/>
      <c r="CA391" s="105"/>
      <c r="CB391" s="105"/>
      <c r="CC391" s="105"/>
      <c r="CD391" s="105"/>
      <c r="CE391" s="105"/>
      <c r="CF391" s="105"/>
      <c r="CG391" s="105"/>
      <c r="CH391" s="105"/>
      <c r="CI391" s="105"/>
      <c r="CJ391" s="105"/>
      <c r="CK391" s="105"/>
      <c r="CL391" s="105"/>
      <c r="CM391" s="105"/>
      <c r="CN391" s="105"/>
      <c r="CO391" s="105"/>
      <c r="CP391" s="105"/>
      <c r="CQ391" s="105"/>
      <c r="CR391" s="105"/>
      <c r="CS391" s="105"/>
      <c r="CT391" s="105"/>
      <c r="CU391" s="105"/>
      <c r="CV391" s="105"/>
      <c r="CW391" s="105"/>
      <c r="CX391" s="105"/>
      <c r="CY391" s="105"/>
      <c r="CZ391" s="105"/>
      <c r="DA391" s="105"/>
    </row>
    <row r="392">
      <c r="B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c r="AA392" s="105"/>
      <c r="AB392" s="105"/>
      <c r="AC392" s="105"/>
      <c r="AD392" s="105"/>
      <c r="AE392" s="105"/>
      <c r="AF392" s="105"/>
      <c r="AG392" s="105"/>
      <c r="AH392" s="105"/>
      <c r="AI392" s="105"/>
      <c r="AJ392" s="105"/>
      <c r="AK392" s="105"/>
      <c r="AL392" s="105"/>
      <c r="AM392" s="105"/>
      <c r="AN392" s="105"/>
      <c r="AO392" s="105"/>
      <c r="AP392" s="105"/>
      <c r="AQ392" s="105"/>
      <c r="AR392" s="105"/>
      <c r="AS392" s="105"/>
      <c r="AT392" s="105"/>
      <c r="AU392" s="105"/>
      <c r="AV392" s="105"/>
      <c r="AW392" s="105"/>
      <c r="AX392" s="105"/>
      <c r="AY392" s="105"/>
      <c r="AZ392" s="105"/>
      <c r="BA392" s="105"/>
      <c r="BB392" s="105"/>
      <c r="BC392" s="105"/>
      <c r="BD392" s="105"/>
      <c r="BE392" s="105"/>
      <c r="BF392" s="105"/>
      <c r="BG392" s="105"/>
      <c r="BH392" s="105"/>
      <c r="BI392" s="105"/>
      <c r="BJ392" s="105"/>
      <c r="BK392" s="105"/>
      <c r="BL392" s="105"/>
      <c r="BM392" s="105"/>
      <c r="BN392" s="105"/>
      <c r="BO392" s="105"/>
      <c r="BP392" s="105"/>
      <c r="BQ392" s="105"/>
      <c r="BR392" s="105"/>
      <c r="BS392" s="105"/>
      <c r="BT392" s="105"/>
      <c r="BU392" s="105"/>
      <c r="BV392" s="105"/>
      <c r="BW392" s="105"/>
      <c r="BX392" s="105"/>
      <c r="BY392" s="105"/>
      <c r="BZ392" s="105"/>
      <c r="CA392" s="105"/>
      <c r="CB392" s="105"/>
      <c r="CC392" s="105"/>
      <c r="CD392" s="105"/>
      <c r="CE392" s="105"/>
      <c r="CF392" s="105"/>
      <c r="CG392" s="105"/>
      <c r="CH392" s="105"/>
      <c r="CI392" s="105"/>
      <c r="CJ392" s="105"/>
      <c r="CK392" s="105"/>
      <c r="CL392" s="105"/>
      <c r="CM392" s="105"/>
      <c r="CN392" s="105"/>
      <c r="CO392" s="105"/>
      <c r="CP392" s="105"/>
      <c r="CQ392" s="105"/>
      <c r="CR392" s="105"/>
      <c r="CS392" s="105"/>
      <c r="CT392" s="105"/>
      <c r="CU392" s="105"/>
      <c r="CV392" s="105"/>
      <c r="CW392" s="105"/>
      <c r="CX392" s="105"/>
      <c r="CY392" s="105"/>
      <c r="CZ392" s="105"/>
      <c r="DA392" s="105"/>
    </row>
    <row r="393">
      <c r="B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c r="AA393" s="105"/>
      <c r="AB393" s="105"/>
      <c r="AC393" s="105"/>
      <c r="AD393" s="105"/>
      <c r="AE393" s="105"/>
      <c r="AF393" s="105"/>
      <c r="AG393" s="105"/>
      <c r="AH393" s="105"/>
      <c r="AI393" s="105"/>
      <c r="AJ393" s="105"/>
      <c r="AK393" s="105"/>
      <c r="AL393" s="105"/>
      <c r="AM393" s="105"/>
      <c r="AN393" s="105"/>
      <c r="AO393" s="105"/>
      <c r="AP393" s="105"/>
      <c r="AQ393" s="105"/>
      <c r="AR393" s="105"/>
      <c r="AS393" s="105"/>
      <c r="AT393" s="105"/>
      <c r="AU393" s="105"/>
      <c r="AV393" s="105"/>
      <c r="AW393" s="105"/>
      <c r="AX393" s="105"/>
      <c r="AY393" s="105"/>
      <c r="AZ393" s="105"/>
      <c r="BA393" s="105"/>
      <c r="BB393" s="105"/>
      <c r="BC393" s="105"/>
      <c r="BD393" s="105"/>
      <c r="BE393" s="105"/>
      <c r="BF393" s="105"/>
      <c r="BG393" s="105"/>
      <c r="BH393" s="105"/>
      <c r="BI393" s="105"/>
      <c r="BJ393" s="105"/>
      <c r="BK393" s="105"/>
      <c r="BL393" s="105"/>
      <c r="BM393" s="105"/>
      <c r="BN393" s="105"/>
      <c r="BO393" s="105"/>
      <c r="BP393" s="105"/>
      <c r="BQ393" s="105"/>
      <c r="BR393" s="105"/>
      <c r="BS393" s="105"/>
      <c r="BT393" s="105"/>
      <c r="BU393" s="105"/>
      <c r="BV393" s="105"/>
      <c r="BW393" s="105"/>
      <c r="BX393" s="105"/>
      <c r="BY393" s="105"/>
      <c r="BZ393" s="105"/>
      <c r="CA393" s="105"/>
      <c r="CB393" s="105"/>
      <c r="CC393" s="105"/>
      <c r="CD393" s="105"/>
      <c r="CE393" s="105"/>
      <c r="CF393" s="105"/>
      <c r="CG393" s="105"/>
      <c r="CH393" s="105"/>
      <c r="CI393" s="105"/>
      <c r="CJ393" s="105"/>
      <c r="CK393" s="105"/>
      <c r="CL393" s="105"/>
      <c r="CM393" s="105"/>
      <c r="CN393" s="105"/>
      <c r="CO393" s="105"/>
      <c r="CP393" s="105"/>
      <c r="CQ393" s="105"/>
      <c r="CR393" s="105"/>
      <c r="CS393" s="105"/>
      <c r="CT393" s="105"/>
      <c r="CU393" s="105"/>
      <c r="CV393" s="105"/>
      <c r="CW393" s="105"/>
      <c r="CX393" s="105"/>
      <c r="CY393" s="105"/>
      <c r="CZ393" s="105"/>
      <c r="DA393" s="105"/>
    </row>
    <row r="394">
      <c r="B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c r="AA394" s="105"/>
      <c r="AB394" s="105"/>
      <c r="AC394" s="105"/>
      <c r="AD394" s="105"/>
      <c r="AE394" s="105"/>
      <c r="AF394" s="105"/>
      <c r="AG394" s="105"/>
      <c r="AH394" s="105"/>
      <c r="AI394" s="105"/>
      <c r="AJ394" s="105"/>
      <c r="AK394" s="105"/>
      <c r="AL394" s="105"/>
      <c r="AM394" s="105"/>
      <c r="AN394" s="105"/>
      <c r="AO394" s="105"/>
      <c r="AP394" s="105"/>
      <c r="AQ394" s="105"/>
      <c r="AR394" s="105"/>
      <c r="AS394" s="105"/>
      <c r="AT394" s="105"/>
      <c r="AU394" s="105"/>
      <c r="AV394" s="105"/>
      <c r="AW394" s="105"/>
      <c r="AX394" s="105"/>
      <c r="AY394" s="105"/>
      <c r="AZ394" s="105"/>
      <c r="BA394" s="105"/>
      <c r="BB394" s="105"/>
      <c r="BC394" s="105"/>
      <c r="BD394" s="105"/>
      <c r="BE394" s="105"/>
      <c r="BF394" s="105"/>
      <c r="BG394" s="105"/>
      <c r="BH394" s="105"/>
      <c r="BI394" s="105"/>
      <c r="BJ394" s="105"/>
      <c r="BK394" s="105"/>
      <c r="BL394" s="105"/>
      <c r="BM394" s="105"/>
      <c r="BN394" s="105"/>
      <c r="BO394" s="105"/>
      <c r="BP394" s="105"/>
      <c r="BQ394" s="105"/>
      <c r="BR394" s="105"/>
      <c r="BS394" s="105"/>
      <c r="BT394" s="105"/>
      <c r="BU394" s="105"/>
      <c r="BV394" s="105"/>
      <c r="BW394" s="105"/>
      <c r="BX394" s="105"/>
      <c r="BY394" s="105"/>
      <c r="BZ394" s="105"/>
      <c r="CA394" s="105"/>
      <c r="CB394" s="105"/>
      <c r="CC394" s="105"/>
      <c r="CD394" s="105"/>
      <c r="CE394" s="105"/>
      <c r="CF394" s="105"/>
      <c r="CG394" s="105"/>
      <c r="CH394" s="105"/>
      <c r="CI394" s="105"/>
      <c r="CJ394" s="105"/>
      <c r="CK394" s="105"/>
      <c r="CL394" s="105"/>
      <c r="CM394" s="105"/>
      <c r="CN394" s="105"/>
      <c r="CO394" s="105"/>
      <c r="CP394" s="105"/>
      <c r="CQ394" s="105"/>
      <c r="CR394" s="105"/>
      <c r="CS394" s="105"/>
      <c r="CT394" s="105"/>
      <c r="CU394" s="105"/>
      <c r="CV394" s="105"/>
      <c r="CW394" s="105"/>
      <c r="CX394" s="105"/>
      <c r="CY394" s="105"/>
      <c r="CZ394" s="105"/>
      <c r="DA394" s="105"/>
    </row>
    <row r="395">
      <c r="B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c r="AA395" s="105"/>
      <c r="AB395" s="105"/>
      <c r="AC395" s="105"/>
      <c r="AD395" s="105"/>
      <c r="AE395" s="105"/>
      <c r="AF395" s="105"/>
      <c r="AG395" s="105"/>
      <c r="AH395" s="105"/>
      <c r="AI395" s="105"/>
      <c r="AJ395" s="105"/>
      <c r="AK395" s="105"/>
      <c r="AL395" s="105"/>
      <c r="AM395" s="105"/>
      <c r="AN395" s="105"/>
      <c r="AO395" s="105"/>
      <c r="AP395" s="105"/>
      <c r="AQ395" s="105"/>
      <c r="AR395" s="105"/>
      <c r="AS395" s="105"/>
      <c r="AT395" s="105"/>
      <c r="AU395" s="105"/>
      <c r="AV395" s="105"/>
      <c r="AW395" s="105"/>
      <c r="AX395" s="105"/>
      <c r="AY395" s="105"/>
      <c r="AZ395" s="105"/>
      <c r="BA395" s="105"/>
      <c r="BB395" s="105"/>
      <c r="BC395" s="105"/>
      <c r="BD395" s="105"/>
      <c r="BE395" s="105"/>
      <c r="BF395" s="105"/>
      <c r="BG395" s="105"/>
      <c r="BH395" s="105"/>
      <c r="BI395" s="105"/>
      <c r="BJ395" s="105"/>
      <c r="BK395" s="105"/>
      <c r="BL395" s="105"/>
      <c r="BM395" s="105"/>
      <c r="BN395" s="105"/>
      <c r="BO395" s="105"/>
      <c r="BP395" s="105"/>
      <c r="BQ395" s="105"/>
      <c r="BR395" s="105"/>
      <c r="BS395" s="105"/>
      <c r="BT395" s="105"/>
      <c r="BU395" s="105"/>
      <c r="BV395" s="105"/>
      <c r="BW395" s="105"/>
      <c r="BX395" s="105"/>
      <c r="BY395" s="105"/>
      <c r="BZ395" s="105"/>
      <c r="CA395" s="105"/>
      <c r="CB395" s="105"/>
      <c r="CC395" s="105"/>
      <c r="CD395" s="105"/>
      <c r="CE395" s="105"/>
      <c r="CF395" s="105"/>
      <c r="CG395" s="105"/>
      <c r="CH395" s="105"/>
      <c r="CI395" s="105"/>
      <c r="CJ395" s="105"/>
      <c r="CK395" s="105"/>
      <c r="CL395" s="105"/>
      <c r="CM395" s="105"/>
      <c r="CN395" s="105"/>
      <c r="CO395" s="105"/>
      <c r="CP395" s="105"/>
      <c r="CQ395" s="105"/>
      <c r="CR395" s="105"/>
      <c r="CS395" s="105"/>
      <c r="CT395" s="105"/>
      <c r="CU395" s="105"/>
      <c r="CV395" s="105"/>
      <c r="CW395" s="105"/>
      <c r="CX395" s="105"/>
      <c r="CY395" s="105"/>
      <c r="CZ395" s="105"/>
      <c r="DA395" s="105"/>
    </row>
    <row r="396">
      <c r="B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c r="AA396" s="105"/>
      <c r="AB396" s="105"/>
      <c r="AC396" s="105"/>
      <c r="AD396" s="105"/>
      <c r="AE396" s="105"/>
      <c r="AF396" s="105"/>
      <c r="AG396" s="105"/>
      <c r="AH396" s="105"/>
      <c r="AI396" s="105"/>
      <c r="AJ396" s="105"/>
      <c r="AK396" s="105"/>
      <c r="AL396" s="105"/>
      <c r="AM396" s="105"/>
      <c r="AN396" s="105"/>
      <c r="AO396" s="105"/>
      <c r="AP396" s="105"/>
      <c r="AQ396" s="105"/>
      <c r="AR396" s="105"/>
      <c r="AS396" s="105"/>
      <c r="AT396" s="105"/>
      <c r="AU396" s="105"/>
      <c r="AV396" s="105"/>
      <c r="AW396" s="105"/>
      <c r="AX396" s="105"/>
      <c r="AY396" s="105"/>
      <c r="AZ396" s="105"/>
      <c r="BA396" s="105"/>
      <c r="BB396" s="105"/>
      <c r="BC396" s="105"/>
      <c r="BD396" s="105"/>
      <c r="BE396" s="105"/>
      <c r="BF396" s="105"/>
      <c r="BG396" s="105"/>
      <c r="BH396" s="105"/>
      <c r="BI396" s="105"/>
      <c r="BJ396" s="105"/>
      <c r="BK396" s="105"/>
      <c r="BL396" s="105"/>
      <c r="BM396" s="105"/>
      <c r="BN396" s="105"/>
      <c r="BO396" s="105"/>
      <c r="BP396" s="105"/>
      <c r="BQ396" s="105"/>
      <c r="BR396" s="105"/>
      <c r="BS396" s="105"/>
      <c r="BT396" s="105"/>
      <c r="BU396" s="105"/>
      <c r="BV396" s="105"/>
      <c r="BW396" s="105"/>
      <c r="BX396" s="105"/>
      <c r="BY396" s="105"/>
      <c r="BZ396" s="105"/>
      <c r="CA396" s="105"/>
      <c r="CB396" s="105"/>
      <c r="CC396" s="105"/>
      <c r="CD396" s="105"/>
      <c r="CE396" s="105"/>
      <c r="CF396" s="105"/>
      <c r="CG396" s="105"/>
      <c r="CH396" s="105"/>
      <c r="CI396" s="105"/>
      <c r="CJ396" s="105"/>
      <c r="CK396" s="105"/>
      <c r="CL396" s="105"/>
      <c r="CM396" s="105"/>
      <c r="CN396" s="105"/>
      <c r="CO396" s="105"/>
      <c r="CP396" s="105"/>
      <c r="CQ396" s="105"/>
      <c r="CR396" s="105"/>
      <c r="CS396" s="105"/>
      <c r="CT396" s="105"/>
      <c r="CU396" s="105"/>
      <c r="CV396" s="105"/>
      <c r="CW396" s="105"/>
      <c r="CX396" s="105"/>
      <c r="CY396" s="105"/>
      <c r="CZ396" s="105"/>
      <c r="DA396" s="105"/>
    </row>
    <row r="397">
      <c r="B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c r="AA397" s="105"/>
      <c r="AB397" s="105"/>
      <c r="AC397" s="105"/>
      <c r="AD397" s="105"/>
      <c r="AE397" s="105"/>
      <c r="AF397" s="105"/>
      <c r="AG397" s="105"/>
      <c r="AH397" s="105"/>
      <c r="AI397" s="105"/>
      <c r="AJ397" s="105"/>
      <c r="AK397" s="105"/>
      <c r="AL397" s="105"/>
      <c r="AM397" s="105"/>
      <c r="AN397" s="105"/>
      <c r="AO397" s="105"/>
      <c r="AP397" s="105"/>
      <c r="AQ397" s="105"/>
      <c r="AR397" s="105"/>
      <c r="AS397" s="105"/>
      <c r="AT397" s="105"/>
      <c r="AU397" s="105"/>
      <c r="AV397" s="105"/>
      <c r="AW397" s="105"/>
      <c r="AX397" s="105"/>
      <c r="AY397" s="105"/>
      <c r="AZ397" s="105"/>
      <c r="BA397" s="105"/>
      <c r="BB397" s="105"/>
      <c r="BC397" s="105"/>
      <c r="BD397" s="105"/>
      <c r="BE397" s="105"/>
      <c r="BF397" s="105"/>
      <c r="BG397" s="105"/>
      <c r="BH397" s="105"/>
      <c r="BI397" s="105"/>
      <c r="BJ397" s="105"/>
      <c r="BK397" s="105"/>
      <c r="BL397" s="105"/>
      <c r="BM397" s="105"/>
      <c r="BN397" s="105"/>
      <c r="BO397" s="105"/>
      <c r="BP397" s="105"/>
      <c r="BQ397" s="105"/>
      <c r="BR397" s="105"/>
      <c r="BS397" s="105"/>
      <c r="BT397" s="105"/>
      <c r="BU397" s="105"/>
      <c r="BV397" s="105"/>
      <c r="BW397" s="105"/>
      <c r="BX397" s="105"/>
      <c r="BY397" s="105"/>
      <c r="BZ397" s="105"/>
      <c r="CA397" s="105"/>
      <c r="CB397" s="105"/>
      <c r="CC397" s="105"/>
      <c r="CD397" s="105"/>
      <c r="CE397" s="105"/>
      <c r="CF397" s="105"/>
      <c r="CG397" s="105"/>
      <c r="CH397" s="105"/>
      <c r="CI397" s="105"/>
      <c r="CJ397" s="105"/>
      <c r="CK397" s="105"/>
      <c r="CL397" s="105"/>
      <c r="CM397" s="105"/>
      <c r="CN397" s="105"/>
      <c r="CO397" s="105"/>
      <c r="CP397" s="105"/>
      <c r="CQ397" s="105"/>
      <c r="CR397" s="105"/>
      <c r="CS397" s="105"/>
      <c r="CT397" s="105"/>
      <c r="CU397" s="105"/>
      <c r="CV397" s="105"/>
      <c r="CW397" s="105"/>
      <c r="CX397" s="105"/>
      <c r="CY397" s="105"/>
      <c r="CZ397" s="105"/>
      <c r="DA397" s="105"/>
    </row>
    <row r="398">
      <c r="B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c r="AA398" s="105"/>
      <c r="AB398" s="105"/>
      <c r="AC398" s="105"/>
      <c r="AD398" s="105"/>
      <c r="AE398" s="105"/>
      <c r="AF398" s="105"/>
      <c r="AG398" s="105"/>
      <c r="AH398" s="105"/>
      <c r="AI398" s="105"/>
      <c r="AJ398" s="105"/>
      <c r="AK398" s="105"/>
      <c r="AL398" s="105"/>
      <c r="AM398" s="105"/>
      <c r="AN398" s="105"/>
      <c r="AO398" s="105"/>
      <c r="AP398" s="105"/>
      <c r="AQ398" s="105"/>
      <c r="AR398" s="105"/>
      <c r="AS398" s="105"/>
      <c r="AT398" s="105"/>
      <c r="AU398" s="105"/>
      <c r="AV398" s="105"/>
      <c r="AW398" s="105"/>
      <c r="AX398" s="105"/>
      <c r="AY398" s="105"/>
      <c r="AZ398" s="105"/>
      <c r="BA398" s="105"/>
      <c r="BB398" s="105"/>
      <c r="BC398" s="105"/>
      <c r="BD398" s="105"/>
      <c r="BE398" s="105"/>
      <c r="BF398" s="105"/>
      <c r="BG398" s="105"/>
      <c r="BH398" s="105"/>
      <c r="BI398" s="105"/>
      <c r="BJ398" s="105"/>
      <c r="BK398" s="105"/>
      <c r="BL398" s="105"/>
      <c r="BM398" s="105"/>
      <c r="BN398" s="105"/>
      <c r="BO398" s="105"/>
      <c r="BP398" s="105"/>
      <c r="BQ398" s="105"/>
      <c r="BR398" s="105"/>
      <c r="BS398" s="105"/>
      <c r="BT398" s="105"/>
      <c r="BU398" s="105"/>
      <c r="BV398" s="105"/>
      <c r="BW398" s="105"/>
      <c r="BX398" s="105"/>
      <c r="BY398" s="105"/>
      <c r="BZ398" s="105"/>
      <c r="CA398" s="105"/>
      <c r="CB398" s="105"/>
      <c r="CC398" s="105"/>
      <c r="CD398" s="105"/>
      <c r="CE398" s="105"/>
      <c r="CF398" s="105"/>
      <c r="CG398" s="105"/>
      <c r="CH398" s="105"/>
      <c r="CI398" s="105"/>
      <c r="CJ398" s="105"/>
      <c r="CK398" s="105"/>
      <c r="CL398" s="105"/>
      <c r="CM398" s="105"/>
      <c r="CN398" s="105"/>
      <c r="CO398" s="105"/>
      <c r="CP398" s="105"/>
      <c r="CQ398" s="105"/>
      <c r="CR398" s="105"/>
      <c r="CS398" s="105"/>
      <c r="CT398" s="105"/>
      <c r="CU398" s="105"/>
      <c r="CV398" s="105"/>
      <c r="CW398" s="105"/>
      <c r="CX398" s="105"/>
      <c r="CY398" s="105"/>
      <c r="CZ398" s="105"/>
      <c r="DA398" s="105"/>
    </row>
    <row r="399">
      <c r="B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c r="AA399" s="105"/>
      <c r="AB399" s="105"/>
      <c r="AC399" s="105"/>
      <c r="AD399" s="105"/>
      <c r="AE399" s="105"/>
      <c r="AF399" s="105"/>
      <c r="AG399" s="105"/>
      <c r="AH399" s="105"/>
      <c r="AI399" s="105"/>
      <c r="AJ399" s="105"/>
      <c r="AK399" s="105"/>
      <c r="AL399" s="105"/>
      <c r="AM399" s="105"/>
      <c r="AN399" s="105"/>
      <c r="AO399" s="105"/>
      <c r="AP399" s="105"/>
      <c r="AQ399" s="105"/>
      <c r="AR399" s="105"/>
      <c r="AS399" s="105"/>
      <c r="AT399" s="105"/>
      <c r="AU399" s="105"/>
      <c r="AV399" s="105"/>
      <c r="AW399" s="105"/>
      <c r="AX399" s="105"/>
      <c r="AY399" s="105"/>
      <c r="AZ399" s="105"/>
      <c r="BA399" s="105"/>
      <c r="BB399" s="105"/>
      <c r="BC399" s="105"/>
      <c r="BD399" s="105"/>
      <c r="BE399" s="105"/>
      <c r="BF399" s="105"/>
      <c r="BG399" s="105"/>
      <c r="BH399" s="105"/>
      <c r="BI399" s="105"/>
      <c r="BJ399" s="105"/>
      <c r="BK399" s="105"/>
      <c r="BL399" s="105"/>
      <c r="BM399" s="105"/>
      <c r="BN399" s="105"/>
      <c r="BO399" s="105"/>
      <c r="BP399" s="105"/>
      <c r="BQ399" s="105"/>
      <c r="BR399" s="105"/>
      <c r="BS399" s="105"/>
      <c r="BT399" s="105"/>
      <c r="BU399" s="105"/>
      <c r="BV399" s="105"/>
      <c r="BW399" s="105"/>
      <c r="BX399" s="105"/>
      <c r="BY399" s="105"/>
      <c r="BZ399" s="105"/>
      <c r="CA399" s="105"/>
      <c r="CB399" s="105"/>
      <c r="CC399" s="105"/>
      <c r="CD399" s="105"/>
      <c r="CE399" s="105"/>
      <c r="CF399" s="105"/>
      <c r="CG399" s="105"/>
      <c r="CH399" s="105"/>
      <c r="CI399" s="105"/>
      <c r="CJ399" s="105"/>
      <c r="CK399" s="105"/>
      <c r="CL399" s="105"/>
      <c r="CM399" s="105"/>
      <c r="CN399" s="105"/>
      <c r="CO399" s="105"/>
      <c r="CP399" s="105"/>
      <c r="CQ399" s="105"/>
      <c r="CR399" s="105"/>
      <c r="CS399" s="105"/>
      <c r="CT399" s="105"/>
      <c r="CU399" s="105"/>
      <c r="CV399" s="105"/>
      <c r="CW399" s="105"/>
      <c r="CX399" s="105"/>
      <c r="CY399" s="105"/>
      <c r="CZ399" s="105"/>
      <c r="DA399" s="105"/>
    </row>
    <row r="400">
      <c r="B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c r="AA400" s="105"/>
      <c r="AB400" s="105"/>
      <c r="AC400" s="105"/>
      <c r="AD400" s="105"/>
      <c r="AE400" s="105"/>
      <c r="AF400" s="105"/>
      <c r="AG400" s="105"/>
      <c r="AH400" s="105"/>
      <c r="AI400" s="105"/>
      <c r="AJ400" s="105"/>
      <c r="AK400" s="105"/>
      <c r="AL400" s="105"/>
      <c r="AM400" s="105"/>
      <c r="AN400" s="105"/>
      <c r="AO400" s="105"/>
      <c r="AP400" s="105"/>
      <c r="AQ400" s="105"/>
      <c r="AR400" s="105"/>
      <c r="AS400" s="105"/>
      <c r="AT400" s="105"/>
      <c r="AU400" s="105"/>
      <c r="AV400" s="105"/>
      <c r="AW400" s="105"/>
      <c r="AX400" s="105"/>
      <c r="AY400" s="105"/>
      <c r="AZ400" s="105"/>
      <c r="BA400" s="105"/>
      <c r="BB400" s="105"/>
      <c r="BC400" s="105"/>
      <c r="BD400" s="105"/>
      <c r="BE400" s="105"/>
      <c r="BF400" s="105"/>
      <c r="BG400" s="105"/>
      <c r="BH400" s="105"/>
      <c r="BI400" s="105"/>
      <c r="BJ400" s="105"/>
      <c r="BK400" s="105"/>
      <c r="BL400" s="105"/>
      <c r="BM400" s="105"/>
      <c r="BN400" s="105"/>
      <c r="BO400" s="105"/>
      <c r="BP400" s="105"/>
      <c r="BQ400" s="105"/>
      <c r="BR400" s="105"/>
      <c r="BS400" s="105"/>
      <c r="BT400" s="105"/>
      <c r="BU400" s="105"/>
      <c r="BV400" s="105"/>
      <c r="BW400" s="105"/>
      <c r="BX400" s="105"/>
      <c r="BY400" s="105"/>
      <c r="BZ400" s="105"/>
      <c r="CA400" s="105"/>
      <c r="CB400" s="105"/>
      <c r="CC400" s="105"/>
      <c r="CD400" s="105"/>
      <c r="CE400" s="105"/>
      <c r="CF400" s="105"/>
      <c r="CG400" s="105"/>
      <c r="CH400" s="105"/>
      <c r="CI400" s="105"/>
      <c r="CJ400" s="105"/>
      <c r="CK400" s="105"/>
      <c r="CL400" s="105"/>
      <c r="CM400" s="105"/>
      <c r="CN400" s="105"/>
      <c r="CO400" s="105"/>
      <c r="CP400" s="105"/>
      <c r="CQ400" s="105"/>
      <c r="CR400" s="105"/>
      <c r="CS400" s="105"/>
      <c r="CT400" s="105"/>
      <c r="CU400" s="105"/>
      <c r="CV400" s="105"/>
      <c r="CW400" s="105"/>
      <c r="CX400" s="105"/>
      <c r="CY400" s="105"/>
      <c r="CZ400" s="105"/>
      <c r="DA400" s="105"/>
    </row>
    <row r="401">
      <c r="B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c r="AA401" s="105"/>
      <c r="AB401" s="105"/>
      <c r="AC401" s="105"/>
      <c r="AD401" s="105"/>
      <c r="AE401" s="105"/>
      <c r="AF401" s="105"/>
      <c r="AG401" s="105"/>
      <c r="AH401" s="105"/>
      <c r="AI401" s="105"/>
      <c r="AJ401" s="105"/>
      <c r="AK401" s="105"/>
      <c r="AL401" s="105"/>
      <c r="AM401" s="105"/>
      <c r="AN401" s="105"/>
      <c r="AO401" s="105"/>
      <c r="AP401" s="105"/>
      <c r="AQ401" s="105"/>
      <c r="AR401" s="105"/>
      <c r="AS401" s="105"/>
      <c r="AT401" s="105"/>
      <c r="AU401" s="105"/>
      <c r="AV401" s="105"/>
      <c r="AW401" s="105"/>
      <c r="AX401" s="105"/>
      <c r="AY401" s="105"/>
      <c r="AZ401" s="105"/>
      <c r="BA401" s="105"/>
      <c r="BB401" s="105"/>
      <c r="BC401" s="105"/>
      <c r="BD401" s="105"/>
      <c r="BE401" s="105"/>
      <c r="BF401" s="105"/>
      <c r="BG401" s="105"/>
      <c r="BH401" s="105"/>
      <c r="BI401" s="105"/>
      <c r="BJ401" s="105"/>
      <c r="BK401" s="105"/>
      <c r="BL401" s="105"/>
      <c r="BM401" s="105"/>
      <c r="BN401" s="105"/>
      <c r="BO401" s="105"/>
      <c r="BP401" s="105"/>
      <c r="BQ401" s="105"/>
      <c r="BR401" s="105"/>
      <c r="BS401" s="105"/>
      <c r="BT401" s="105"/>
      <c r="BU401" s="105"/>
      <c r="BV401" s="105"/>
      <c r="BW401" s="105"/>
      <c r="BX401" s="105"/>
      <c r="BY401" s="105"/>
      <c r="BZ401" s="105"/>
      <c r="CA401" s="105"/>
      <c r="CB401" s="105"/>
      <c r="CC401" s="105"/>
      <c r="CD401" s="105"/>
      <c r="CE401" s="105"/>
      <c r="CF401" s="105"/>
      <c r="CG401" s="105"/>
      <c r="CH401" s="105"/>
      <c r="CI401" s="105"/>
      <c r="CJ401" s="105"/>
      <c r="CK401" s="105"/>
      <c r="CL401" s="105"/>
      <c r="CM401" s="105"/>
      <c r="CN401" s="105"/>
      <c r="CO401" s="105"/>
      <c r="CP401" s="105"/>
      <c r="CQ401" s="105"/>
      <c r="CR401" s="105"/>
      <c r="CS401" s="105"/>
      <c r="CT401" s="105"/>
      <c r="CU401" s="105"/>
      <c r="CV401" s="105"/>
      <c r="CW401" s="105"/>
      <c r="CX401" s="105"/>
      <c r="CY401" s="105"/>
      <c r="CZ401" s="105"/>
      <c r="DA401" s="105"/>
    </row>
    <row r="402">
      <c r="B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c r="AA402" s="105"/>
      <c r="AB402" s="105"/>
      <c r="AC402" s="105"/>
      <c r="AD402" s="105"/>
      <c r="AE402" s="105"/>
      <c r="AF402" s="105"/>
      <c r="AG402" s="105"/>
      <c r="AH402" s="105"/>
      <c r="AI402" s="105"/>
      <c r="AJ402" s="105"/>
      <c r="AK402" s="105"/>
      <c r="AL402" s="105"/>
      <c r="AM402" s="105"/>
      <c r="AN402" s="105"/>
      <c r="AO402" s="105"/>
      <c r="AP402" s="105"/>
      <c r="AQ402" s="105"/>
      <c r="AR402" s="105"/>
      <c r="AS402" s="105"/>
      <c r="AT402" s="105"/>
      <c r="AU402" s="105"/>
      <c r="AV402" s="105"/>
      <c r="AW402" s="105"/>
      <c r="AX402" s="105"/>
      <c r="AY402" s="105"/>
      <c r="AZ402" s="105"/>
      <c r="BA402" s="105"/>
      <c r="BB402" s="105"/>
      <c r="BC402" s="105"/>
      <c r="BD402" s="105"/>
      <c r="BE402" s="105"/>
      <c r="BF402" s="105"/>
      <c r="BG402" s="105"/>
      <c r="BH402" s="105"/>
      <c r="BI402" s="105"/>
      <c r="BJ402" s="105"/>
      <c r="BK402" s="105"/>
      <c r="BL402" s="105"/>
      <c r="BM402" s="105"/>
      <c r="BN402" s="105"/>
      <c r="BO402" s="105"/>
      <c r="BP402" s="105"/>
      <c r="BQ402" s="105"/>
      <c r="BR402" s="105"/>
      <c r="BS402" s="105"/>
      <c r="BT402" s="105"/>
      <c r="BU402" s="105"/>
      <c r="BV402" s="105"/>
      <c r="BW402" s="105"/>
      <c r="BX402" s="105"/>
      <c r="BY402" s="105"/>
      <c r="BZ402" s="105"/>
      <c r="CA402" s="105"/>
      <c r="CB402" s="105"/>
      <c r="CC402" s="105"/>
      <c r="CD402" s="105"/>
      <c r="CE402" s="105"/>
      <c r="CF402" s="105"/>
      <c r="CG402" s="105"/>
      <c r="CH402" s="105"/>
      <c r="CI402" s="105"/>
      <c r="CJ402" s="105"/>
      <c r="CK402" s="105"/>
      <c r="CL402" s="105"/>
      <c r="CM402" s="105"/>
      <c r="CN402" s="105"/>
      <c r="CO402" s="105"/>
      <c r="CP402" s="105"/>
      <c r="CQ402" s="105"/>
      <c r="CR402" s="105"/>
      <c r="CS402" s="105"/>
      <c r="CT402" s="105"/>
      <c r="CU402" s="105"/>
      <c r="CV402" s="105"/>
      <c r="CW402" s="105"/>
      <c r="CX402" s="105"/>
      <c r="CY402" s="105"/>
      <c r="CZ402" s="105"/>
      <c r="DA402" s="105"/>
    </row>
    <row r="403">
      <c r="B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c r="AA403" s="105"/>
      <c r="AB403" s="105"/>
      <c r="AC403" s="105"/>
      <c r="AD403" s="105"/>
      <c r="AE403" s="105"/>
      <c r="AF403" s="105"/>
      <c r="AG403" s="105"/>
      <c r="AH403" s="105"/>
      <c r="AI403" s="105"/>
      <c r="AJ403" s="105"/>
      <c r="AK403" s="105"/>
      <c r="AL403" s="105"/>
      <c r="AM403" s="105"/>
      <c r="AN403" s="105"/>
      <c r="AO403" s="105"/>
      <c r="AP403" s="105"/>
      <c r="AQ403" s="105"/>
      <c r="AR403" s="105"/>
      <c r="AS403" s="105"/>
      <c r="AT403" s="105"/>
      <c r="AU403" s="105"/>
      <c r="AV403" s="105"/>
      <c r="AW403" s="105"/>
      <c r="AX403" s="105"/>
      <c r="AY403" s="105"/>
      <c r="AZ403" s="105"/>
      <c r="BA403" s="105"/>
      <c r="BB403" s="105"/>
      <c r="BC403" s="105"/>
      <c r="BD403" s="105"/>
      <c r="BE403" s="105"/>
      <c r="BF403" s="105"/>
      <c r="BG403" s="105"/>
      <c r="BH403" s="105"/>
      <c r="BI403" s="105"/>
      <c r="BJ403" s="105"/>
      <c r="BK403" s="105"/>
      <c r="BL403" s="105"/>
      <c r="BM403" s="105"/>
      <c r="BN403" s="105"/>
      <c r="BO403" s="105"/>
      <c r="BP403" s="105"/>
      <c r="BQ403" s="105"/>
      <c r="BR403" s="105"/>
      <c r="BS403" s="105"/>
      <c r="BT403" s="105"/>
      <c r="BU403" s="105"/>
      <c r="BV403" s="105"/>
      <c r="BW403" s="105"/>
      <c r="BX403" s="105"/>
      <c r="BY403" s="105"/>
      <c r="BZ403" s="105"/>
      <c r="CA403" s="105"/>
      <c r="CB403" s="105"/>
      <c r="CC403" s="105"/>
      <c r="CD403" s="105"/>
      <c r="CE403" s="105"/>
      <c r="CF403" s="105"/>
      <c r="CG403" s="105"/>
      <c r="CH403" s="105"/>
      <c r="CI403" s="105"/>
      <c r="CJ403" s="105"/>
      <c r="CK403" s="105"/>
      <c r="CL403" s="105"/>
      <c r="CM403" s="105"/>
      <c r="CN403" s="105"/>
      <c r="CO403" s="105"/>
      <c r="CP403" s="105"/>
      <c r="CQ403" s="105"/>
      <c r="CR403" s="105"/>
      <c r="CS403" s="105"/>
      <c r="CT403" s="105"/>
      <c r="CU403" s="105"/>
      <c r="CV403" s="105"/>
      <c r="CW403" s="105"/>
      <c r="CX403" s="105"/>
      <c r="CY403" s="105"/>
      <c r="CZ403" s="105"/>
      <c r="DA403" s="105"/>
    </row>
    <row r="404">
      <c r="B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c r="AA404" s="105"/>
      <c r="AB404" s="105"/>
      <c r="AC404" s="105"/>
      <c r="AD404" s="105"/>
      <c r="AE404" s="105"/>
      <c r="AF404" s="105"/>
      <c r="AG404" s="105"/>
      <c r="AH404" s="105"/>
      <c r="AI404" s="105"/>
      <c r="AJ404" s="105"/>
      <c r="AK404" s="105"/>
      <c r="AL404" s="105"/>
      <c r="AM404" s="105"/>
      <c r="AN404" s="105"/>
      <c r="AO404" s="105"/>
      <c r="AP404" s="105"/>
      <c r="AQ404" s="105"/>
      <c r="AR404" s="105"/>
      <c r="AS404" s="105"/>
      <c r="AT404" s="105"/>
      <c r="AU404" s="105"/>
      <c r="AV404" s="105"/>
      <c r="AW404" s="105"/>
      <c r="AX404" s="105"/>
      <c r="AY404" s="105"/>
      <c r="AZ404" s="105"/>
      <c r="BA404" s="105"/>
      <c r="BB404" s="105"/>
      <c r="BC404" s="105"/>
      <c r="BD404" s="105"/>
      <c r="BE404" s="105"/>
      <c r="BF404" s="105"/>
      <c r="BG404" s="105"/>
      <c r="BH404" s="105"/>
      <c r="BI404" s="105"/>
      <c r="BJ404" s="105"/>
      <c r="BK404" s="105"/>
      <c r="BL404" s="105"/>
      <c r="BM404" s="105"/>
      <c r="BN404" s="105"/>
      <c r="BO404" s="105"/>
      <c r="BP404" s="105"/>
      <c r="BQ404" s="105"/>
      <c r="BR404" s="105"/>
      <c r="BS404" s="105"/>
      <c r="BT404" s="105"/>
      <c r="BU404" s="105"/>
      <c r="BV404" s="105"/>
      <c r="BW404" s="105"/>
      <c r="BX404" s="105"/>
      <c r="BY404" s="105"/>
      <c r="BZ404" s="105"/>
      <c r="CA404" s="105"/>
      <c r="CB404" s="105"/>
      <c r="CC404" s="105"/>
      <c r="CD404" s="105"/>
      <c r="CE404" s="105"/>
      <c r="CF404" s="105"/>
      <c r="CG404" s="105"/>
      <c r="CH404" s="105"/>
      <c r="CI404" s="105"/>
      <c r="CJ404" s="105"/>
      <c r="CK404" s="105"/>
      <c r="CL404" s="105"/>
      <c r="CM404" s="105"/>
      <c r="CN404" s="105"/>
      <c r="CO404" s="105"/>
      <c r="CP404" s="105"/>
      <c r="CQ404" s="105"/>
      <c r="CR404" s="105"/>
      <c r="CS404" s="105"/>
      <c r="CT404" s="105"/>
      <c r="CU404" s="105"/>
      <c r="CV404" s="105"/>
      <c r="CW404" s="105"/>
      <c r="CX404" s="105"/>
      <c r="CY404" s="105"/>
      <c r="CZ404" s="105"/>
      <c r="DA404" s="105"/>
    </row>
    <row r="405">
      <c r="B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c r="AA405" s="105"/>
      <c r="AB405" s="105"/>
      <c r="AC405" s="105"/>
      <c r="AD405" s="105"/>
      <c r="AE405" s="105"/>
      <c r="AF405" s="105"/>
      <c r="AG405" s="105"/>
      <c r="AH405" s="105"/>
      <c r="AI405" s="105"/>
      <c r="AJ405" s="105"/>
      <c r="AK405" s="105"/>
      <c r="AL405" s="105"/>
      <c r="AM405" s="105"/>
      <c r="AN405" s="105"/>
      <c r="AO405" s="105"/>
      <c r="AP405" s="105"/>
      <c r="AQ405" s="105"/>
      <c r="AR405" s="105"/>
      <c r="AS405" s="105"/>
      <c r="AT405" s="105"/>
      <c r="AU405" s="105"/>
      <c r="AV405" s="105"/>
      <c r="AW405" s="105"/>
      <c r="AX405" s="105"/>
      <c r="AY405" s="105"/>
      <c r="AZ405" s="105"/>
      <c r="BA405" s="105"/>
      <c r="BB405" s="105"/>
      <c r="BC405" s="105"/>
      <c r="BD405" s="105"/>
      <c r="BE405" s="105"/>
      <c r="BF405" s="105"/>
      <c r="BG405" s="105"/>
      <c r="BH405" s="105"/>
      <c r="BI405" s="105"/>
      <c r="BJ405" s="105"/>
      <c r="BK405" s="105"/>
      <c r="BL405" s="105"/>
      <c r="BM405" s="105"/>
      <c r="BN405" s="105"/>
      <c r="BO405" s="105"/>
      <c r="BP405" s="105"/>
      <c r="BQ405" s="105"/>
      <c r="BR405" s="105"/>
      <c r="BS405" s="105"/>
      <c r="BT405" s="105"/>
      <c r="BU405" s="105"/>
      <c r="BV405" s="105"/>
      <c r="BW405" s="105"/>
      <c r="BX405" s="105"/>
      <c r="BY405" s="105"/>
      <c r="BZ405" s="105"/>
      <c r="CA405" s="105"/>
      <c r="CB405" s="105"/>
      <c r="CC405" s="105"/>
      <c r="CD405" s="105"/>
      <c r="CE405" s="105"/>
      <c r="CF405" s="105"/>
      <c r="CG405" s="105"/>
      <c r="CH405" s="105"/>
      <c r="CI405" s="105"/>
      <c r="CJ405" s="105"/>
      <c r="CK405" s="105"/>
      <c r="CL405" s="105"/>
      <c r="CM405" s="105"/>
      <c r="CN405" s="105"/>
      <c r="CO405" s="105"/>
      <c r="CP405" s="105"/>
      <c r="CQ405" s="105"/>
      <c r="CR405" s="105"/>
      <c r="CS405" s="105"/>
      <c r="CT405" s="105"/>
      <c r="CU405" s="105"/>
      <c r="CV405" s="105"/>
      <c r="CW405" s="105"/>
      <c r="CX405" s="105"/>
      <c r="CY405" s="105"/>
      <c r="CZ405" s="105"/>
      <c r="DA405" s="105"/>
    </row>
    <row r="406">
      <c r="B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c r="AA406" s="105"/>
      <c r="AB406" s="105"/>
      <c r="AC406" s="105"/>
      <c r="AD406" s="105"/>
      <c r="AE406" s="105"/>
      <c r="AF406" s="105"/>
      <c r="AG406" s="105"/>
      <c r="AH406" s="105"/>
      <c r="AI406" s="105"/>
      <c r="AJ406" s="105"/>
      <c r="AK406" s="105"/>
      <c r="AL406" s="105"/>
      <c r="AM406" s="105"/>
      <c r="AN406" s="105"/>
      <c r="AO406" s="105"/>
      <c r="AP406" s="105"/>
      <c r="AQ406" s="105"/>
      <c r="AR406" s="105"/>
      <c r="AS406" s="105"/>
      <c r="AT406" s="105"/>
      <c r="AU406" s="105"/>
      <c r="AV406" s="105"/>
      <c r="AW406" s="105"/>
      <c r="AX406" s="105"/>
      <c r="AY406" s="105"/>
      <c r="AZ406" s="105"/>
      <c r="BA406" s="105"/>
      <c r="BB406" s="105"/>
      <c r="BC406" s="105"/>
      <c r="BD406" s="105"/>
      <c r="BE406" s="105"/>
      <c r="BF406" s="105"/>
      <c r="BG406" s="105"/>
      <c r="BH406" s="105"/>
      <c r="BI406" s="105"/>
      <c r="BJ406" s="105"/>
      <c r="BK406" s="105"/>
      <c r="BL406" s="105"/>
      <c r="BM406" s="105"/>
      <c r="BN406" s="105"/>
      <c r="BO406" s="105"/>
      <c r="BP406" s="105"/>
      <c r="BQ406" s="105"/>
      <c r="BR406" s="105"/>
      <c r="BS406" s="105"/>
      <c r="BT406" s="105"/>
      <c r="BU406" s="105"/>
      <c r="BV406" s="105"/>
      <c r="BW406" s="105"/>
      <c r="BX406" s="105"/>
      <c r="BY406" s="105"/>
      <c r="BZ406" s="105"/>
      <c r="CA406" s="105"/>
      <c r="CB406" s="105"/>
      <c r="CC406" s="105"/>
      <c r="CD406" s="105"/>
      <c r="CE406" s="105"/>
      <c r="CF406" s="105"/>
      <c r="CG406" s="105"/>
      <c r="CH406" s="105"/>
      <c r="CI406" s="105"/>
      <c r="CJ406" s="105"/>
      <c r="CK406" s="105"/>
      <c r="CL406" s="105"/>
      <c r="CM406" s="105"/>
      <c r="CN406" s="105"/>
      <c r="CO406" s="105"/>
      <c r="CP406" s="105"/>
      <c r="CQ406" s="105"/>
      <c r="CR406" s="105"/>
      <c r="CS406" s="105"/>
      <c r="CT406" s="105"/>
      <c r="CU406" s="105"/>
      <c r="CV406" s="105"/>
      <c r="CW406" s="105"/>
      <c r="CX406" s="105"/>
      <c r="CY406" s="105"/>
      <c r="CZ406" s="105"/>
      <c r="DA406" s="105"/>
    </row>
    <row r="407">
      <c r="B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c r="AA407" s="105"/>
      <c r="AB407" s="105"/>
      <c r="AC407" s="105"/>
      <c r="AD407" s="105"/>
      <c r="AE407" s="105"/>
      <c r="AF407" s="105"/>
      <c r="AG407" s="105"/>
      <c r="AH407" s="105"/>
      <c r="AI407" s="105"/>
      <c r="AJ407" s="105"/>
      <c r="AK407" s="105"/>
      <c r="AL407" s="105"/>
      <c r="AM407" s="105"/>
      <c r="AN407" s="105"/>
      <c r="AO407" s="105"/>
      <c r="AP407" s="105"/>
      <c r="AQ407" s="105"/>
      <c r="AR407" s="105"/>
      <c r="AS407" s="105"/>
      <c r="AT407" s="105"/>
      <c r="AU407" s="105"/>
      <c r="AV407" s="105"/>
      <c r="AW407" s="105"/>
      <c r="AX407" s="105"/>
      <c r="AY407" s="105"/>
      <c r="AZ407" s="105"/>
      <c r="BA407" s="105"/>
      <c r="BB407" s="105"/>
      <c r="BC407" s="105"/>
      <c r="BD407" s="105"/>
      <c r="BE407" s="105"/>
      <c r="BF407" s="105"/>
      <c r="BG407" s="105"/>
      <c r="BH407" s="105"/>
      <c r="BI407" s="105"/>
      <c r="BJ407" s="105"/>
      <c r="BK407" s="105"/>
      <c r="BL407" s="105"/>
      <c r="BM407" s="105"/>
      <c r="BN407" s="105"/>
      <c r="BO407" s="105"/>
      <c r="BP407" s="105"/>
      <c r="BQ407" s="105"/>
      <c r="BR407" s="105"/>
      <c r="BS407" s="105"/>
      <c r="BT407" s="105"/>
      <c r="BU407" s="105"/>
      <c r="BV407" s="105"/>
      <c r="BW407" s="105"/>
      <c r="BX407" s="105"/>
      <c r="BY407" s="105"/>
      <c r="BZ407" s="105"/>
      <c r="CA407" s="105"/>
      <c r="CB407" s="105"/>
      <c r="CC407" s="105"/>
      <c r="CD407" s="105"/>
      <c r="CE407" s="105"/>
      <c r="CF407" s="105"/>
      <c r="CG407" s="105"/>
      <c r="CH407" s="105"/>
      <c r="CI407" s="105"/>
      <c r="CJ407" s="105"/>
      <c r="CK407" s="105"/>
      <c r="CL407" s="105"/>
      <c r="CM407" s="105"/>
      <c r="CN407" s="105"/>
      <c r="CO407" s="105"/>
      <c r="CP407" s="105"/>
      <c r="CQ407" s="105"/>
      <c r="CR407" s="105"/>
      <c r="CS407" s="105"/>
      <c r="CT407" s="105"/>
      <c r="CU407" s="105"/>
      <c r="CV407" s="105"/>
      <c r="CW407" s="105"/>
      <c r="CX407" s="105"/>
      <c r="CY407" s="105"/>
      <c r="CZ407" s="105"/>
      <c r="DA407" s="105"/>
    </row>
    <row r="408">
      <c r="B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c r="AA408" s="105"/>
      <c r="AB408" s="105"/>
      <c r="AC408" s="105"/>
      <c r="AD408" s="105"/>
      <c r="AE408" s="105"/>
      <c r="AF408" s="105"/>
      <c r="AG408" s="105"/>
      <c r="AH408" s="105"/>
      <c r="AI408" s="105"/>
      <c r="AJ408" s="105"/>
      <c r="AK408" s="105"/>
      <c r="AL408" s="105"/>
      <c r="AM408" s="105"/>
      <c r="AN408" s="105"/>
      <c r="AO408" s="105"/>
      <c r="AP408" s="105"/>
      <c r="AQ408" s="105"/>
      <c r="AR408" s="105"/>
      <c r="AS408" s="105"/>
      <c r="AT408" s="105"/>
      <c r="AU408" s="105"/>
      <c r="AV408" s="105"/>
      <c r="AW408" s="105"/>
      <c r="AX408" s="105"/>
      <c r="AY408" s="105"/>
      <c r="AZ408" s="105"/>
      <c r="BA408" s="105"/>
      <c r="BB408" s="105"/>
      <c r="BC408" s="105"/>
      <c r="BD408" s="105"/>
      <c r="BE408" s="105"/>
      <c r="BF408" s="105"/>
      <c r="BG408" s="105"/>
      <c r="BH408" s="105"/>
      <c r="BI408" s="105"/>
      <c r="BJ408" s="105"/>
      <c r="BK408" s="105"/>
      <c r="BL408" s="105"/>
      <c r="BM408" s="105"/>
      <c r="BN408" s="105"/>
      <c r="BO408" s="105"/>
      <c r="BP408" s="105"/>
      <c r="BQ408" s="105"/>
      <c r="BR408" s="105"/>
      <c r="BS408" s="105"/>
      <c r="BT408" s="105"/>
      <c r="BU408" s="105"/>
      <c r="BV408" s="105"/>
      <c r="BW408" s="105"/>
      <c r="BX408" s="105"/>
      <c r="BY408" s="105"/>
      <c r="BZ408" s="105"/>
      <c r="CA408" s="105"/>
      <c r="CB408" s="105"/>
      <c r="CC408" s="105"/>
      <c r="CD408" s="105"/>
      <c r="CE408" s="105"/>
      <c r="CF408" s="105"/>
      <c r="CG408" s="105"/>
      <c r="CH408" s="105"/>
      <c r="CI408" s="105"/>
      <c r="CJ408" s="105"/>
      <c r="CK408" s="105"/>
      <c r="CL408" s="105"/>
      <c r="CM408" s="105"/>
      <c r="CN408" s="105"/>
      <c r="CO408" s="105"/>
      <c r="CP408" s="105"/>
      <c r="CQ408" s="105"/>
      <c r="CR408" s="105"/>
      <c r="CS408" s="105"/>
      <c r="CT408" s="105"/>
      <c r="CU408" s="105"/>
      <c r="CV408" s="105"/>
      <c r="CW408" s="105"/>
      <c r="CX408" s="105"/>
      <c r="CY408" s="105"/>
      <c r="CZ408" s="105"/>
      <c r="DA408" s="105"/>
    </row>
    <row r="409">
      <c r="B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c r="AA409" s="105"/>
      <c r="AB409" s="105"/>
      <c r="AC409" s="105"/>
      <c r="AD409" s="105"/>
      <c r="AE409" s="105"/>
      <c r="AF409" s="105"/>
      <c r="AG409" s="105"/>
      <c r="AH409" s="105"/>
      <c r="AI409" s="105"/>
      <c r="AJ409" s="105"/>
      <c r="AK409" s="105"/>
      <c r="AL409" s="105"/>
      <c r="AM409" s="105"/>
      <c r="AN409" s="105"/>
      <c r="AO409" s="105"/>
      <c r="AP409" s="105"/>
      <c r="AQ409" s="105"/>
      <c r="AR409" s="105"/>
      <c r="AS409" s="105"/>
      <c r="AT409" s="105"/>
      <c r="AU409" s="105"/>
      <c r="AV409" s="105"/>
      <c r="AW409" s="105"/>
      <c r="AX409" s="105"/>
      <c r="AY409" s="105"/>
      <c r="AZ409" s="105"/>
      <c r="BA409" s="105"/>
      <c r="BB409" s="105"/>
      <c r="BC409" s="105"/>
      <c r="BD409" s="105"/>
      <c r="BE409" s="105"/>
      <c r="BF409" s="105"/>
      <c r="BG409" s="105"/>
      <c r="BH409" s="105"/>
      <c r="BI409" s="105"/>
      <c r="BJ409" s="105"/>
      <c r="BK409" s="105"/>
      <c r="BL409" s="105"/>
      <c r="BM409" s="105"/>
      <c r="BN409" s="105"/>
      <c r="BO409" s="105"/>
      <c r="BP409" s="105"/>
      <c r="BQ409" s="105"/>
      <c r="BR409" s="105"/>
      <c r="BS409" s="105"/>
      <c r="BT409" s="105"/>
      <c r="BU409" s="105"/>
      <c r="BV409" s="105"/>
      <c r="BW409" s="105"/>
      <c r="BX409" s="105"/>
      <c r="BY409" s="105"/>
      <c r="BZ409" s="105"/>
      <c r="CA409" s="105"/>
      <c r="CB409" s="105"/>
      <c r="CC409" s="105"/>
      <c r="CD409" s="105"/>
      <c r="CE409" s="105"/>
      <c r="CF409" s="105"/>
      <c r="CG409" s="105"/>
      <c r="CH409" s="105"/>
      <c r="CI409" s="105"/>
      <c r="CJ409" s="105"/>
      <c r="CK409" s="105"/>
      <c r="CL409" s="105"/>
      <c r="CM409" s="105"/>
      <c r="CN409" s="105"/>
      <c r="CO409" s="105"/>
      <c r="CP409" s="105"/>
      <c r="CQ409" s="105"/>
      <c r="CR409" s="105"/>
      <c r="CS409" s="105"/>
      <c r="CT409" s="105"/>
      <c r="CU409" s="105"/>
      <c r="CV409" s="105"/>
      <c r="CW409" s="105"/>
      <c r="CX409" s="105"/>
      <c r="CY409" s="105"/>
      <c r="CZ409" s="105"/>
      <c r="DA409" s="105"/>
    </row>
    <row r="410">
      <c r="B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c r="AA410" s="105"/>
      <c r="AB410" s="105"/>
      <c r="AC410" s="105"/>
      <c r="AD410" s="105"/>
      <c r="AE410" s="105"/>
      <c r="AF410" s="105"/>
      <c r="AG410" s="105"/>
      <c r="AH410" s="105"/>
      <c r="AI410" s="105"/>
      <c r="AJ410" s="105"/>
      <c r="AK410" s="105"/>
      <c r="AL410" s="105"/>
      <c r="AM410" s="105"/>
      <c r="AN410" s="105"/>
      <c r="AO410" s="105"/>
      <c r="AP410" s="105"/>
      <c r="AQ410" s="105"/>
      <c r="AR410" s="105"/>
      <c r="AS410" s="105"/>
      <c r="AT410" s="105"/>
      <c r="AU410" s="105"/>
      <c r="AV410" s="105"/>
      <c r="AW410" s="105"/>
      <c r="AX410" s="105"/>
      <c r="AY410" s="105"/>
      <c r="AZ410" s="105"/>
      <c r="BA410" s="105"/>
      <c r="BB410" s="105"/>
      <c r="BC410" s="105"/>
      <c r="BD410" s="105"/>
      <c r="BE410" s="105"/>
      <c r="BF410" s="105"/>
      <c r="BG410" s="105"/>
      <c r="BH410" s="105"/>
      <c r="BI410" s="105"/>
      <c r="BJ410" s="105"/>
      <c r="BK410" s="105"/>
      <c r="BL410" s="105"/>
      <c r="BM410" s="105"/>
      <c r="BN410" s="105"/>
      <c r="BO410" s="105"/>
      <c r="BP410" s="105"/>
      <c r="BQ410" s="105"/>
      <c r="BR410" s="105"/>
      <c r="BS410" s="105"/>
      <c r="BT410" s="105"/>
      <c r="BU410" s="105"/>
      <c r="BV410" s="105"/>
      <c r="BW410" s="105"/>
      <c r="BX410" s="105"/>
      <c r="BY410" s="105"/>
      <c r="BZ410" s="105"/>
      <c r="CA410" s="105"/>
      <c r="CB410" s="105"/>
      <c r="CC410" s="105"/>
      <c r="CD410" s="105"/>
      <c r="CE410" s="105"/>
      <c r="CF410" s="105"/>
      <c r="CG410" s="105"/>
      <c r="CH410" s="105"/>
      <c r="CI410" s="105"/>
      <c r="CJ410" s="105"/>
      <c r="CK410" s="105"/>
      <c r="CL410" s="105"/>
      <c r="CM410" s="105"/>
      <c r="CN410" s="105"/>
      <c r="CO410" s="105"/>
      <c r="CP410" s="105"/>
      <c r="CQ410" s="105"/>
      <c r="CR410" s="105"/>
      <c r="CS410" s="105"/>
      <c r="CT410" s="105"/>
      <c r="CU410" s="105"/>
      <c r="CV410" s="105"/>
      <c r="CW410" s="105"/>
      <c r="CX410" s="105"/>
      <c r="CY410" s="105"/>
      <c r="CZ410" s="105"/>
      <c r="DA410" s="105"/>
    </row>
    <row r="411">
      <c r="B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c r="AA411" s="105"/>
      <c r="AB411" s="105"/>
      <c r="AC411" s="105"/>
      <c r="AD411" s="105"/>
      <c r="AE411" s="105"/>
      <c r="AF411" s="105"/>
      <c r="AG411" s="105"/>
      <c r="AH411" s="105"/>
      <c r="AI411" s="105"/>
      <c r="AJ411" s="105"/>
      <c r="AK411" s="105"/>
      <c r="AL411" s="105"/>
      <c r="AM411" s="105"/>
      <c r="AN411" s="105"/>
      <c r="AO411" s="105"/>
      <c r="AP411" s="105"/>
      <c r="AQ411" s="105"/>
      <c r="AR411" s="105"/>
      <c r="AS411" s="105"/>
      <c r="AT411" s="105"/>
      <c r="AU411" s="105"/>
      <c r="AV411" s="105"/>
      <c r="AW411" s="105"/>
      <c r="AX411" s="105"/>
      <c r="AY411" s="105"/>
      <c r="AZ411" s="105"/>
      <c r="BA411" s="105"/>
      <c r="BB411" s="105"/>
      <c r="BC411" s="105"/>
      <c r="BD411" s="105"/>
      <c r="BE411" s="105"/>
      <c r="BF411" s="105"/>
      <c r="BG411" s="105"/>
      <c r="BH411" s="105"/>
      <c r="BI411" s="105"/>
      <c r="BJ411" s="105"/>
      <c r="BK411" s="105"/>
      <c r="BL411" s="105"/>
      <c r="BM411" s="105"/>
      <c r="BN411" s="105"/>
      <c r="BO411" s="105"/>
      <c r="BP411" s="105"/>
      <c r="BQ411" s="105"/>
      <c r="BR411" s="105"/>
      <c r="BS411" s="105"/>
      <c r="BT411" s="105"/>
      <c r="BU411" s="105"/>
      <c r="BV411" s="105"/>
      <c r="BW411" s="105"/>
      <c r="BX411" s="105"/>
      <c r="BY411" s="105"/>
      <c r="BZ411" s="105"/>
      <c r="CA411" s="105"/>
      <c r="CB411" s="105"/>
      <c r="CC411" s="105"/>
      <c r="CD411" s="105"/>
      <c r="CE411" s="105"/>
      <c r="CF411" s="105"/>
      <c r="CG411" s="105"/>
      <c r="CH411" s="105"/>
      <c r="CI411" s="105"/>
      <c r="CJ411" s="105"/>
      <c r="CK411" s="105"/>
      <c r="CL411" s="105"/>
      <c r="CM411" s="105"/>
      <c r="CN411" s="105"/>
      <c r="CO411" s="105"/>
      <c r="CP411" s="105"/>
      <c r="CQ411" s="105"/>
      <c r="CR411" s="105"/>
      <c r="CS411" s="105"/>
      <c r="CT411" s="105"/>
      <c r="CU411" s="105"/>
      <c r="CV411" s="105"/>
      <c r="CW411" s="105"/>
      <c r="CX411" s="105"/>
      <c r="CY411" s="105"/>
      <c r="CZ411" s="105"/>
      <c r="DA411" s="105"/>
    </row>
    <row r="412">
      <c r="B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c r="AA412" s="105"/>
      <c r="AB412" s="105"/>
      <c r="AC412" s="105"/>
      <c r="AD412" s="105"/>
      <c r="AE412" s="105"/>
      <c r="AF412" s="105"/>
      <c r="AG412" s="105"/>
      <c r="AH412" s="105"/>
      <c r="AI412" s="105"/>
      <c r="AJ412" s="105"/>
      <c r="AK412" s="105"/>
      <c r="AL412" s="105"/>
      <c r="AM412" s="105"/>
      <c r="AN412" s="105"/>
      <c r="AO412" s="105"/>
      <c r="AP412" s="105"/>
      <c r="AQ412" s="105"/>
      <c r="AR412" s="105"/>
      <c r="AS412" s="105"/>
      <c r="AT412" s="105"/>
      <c r="AU412" s="105"/>
      <c r="AV412" s="105"/>
      <c r="AW412" s="105"/>
      <c r="AX412" s="105"/>
      <c r="AY412" s="105"/>
      <c r="AZ412" s="105"/>
      <c r="BA412" s="105"/>
      <c r="BB412" s="105"/>
      <c r="BC412" s="105"/>
      <c r="BD412" s="105"/>
      <c r="BE412" s="105"/>
      <c r="BF412" s="105"/>
      <c r="BG412" s="105"/>
      <c r="BH412" s="105"/>
      <c r="BI412" s="105"/>
      <c r="BJ412" s="105"/>
      <c r="BK412" s="105"/>
      <c r="BL412" s="105"/>
      <c r="BM412" s="105"/>
      <c r="BN412" s="105"/>
      <c r="BO412" s="105"/>
      <c r="BP412" s="105"/>
      <c r="BQ412" s="105"/>
      <c r="BR412" s="105"/>
      <c r="BS412" s="105"/>
      <c r="BT412" s="105"/>
      <c r="BU412" s="105"/>
      <c r="BV412" s="105"/>
      <c r="BW412" s="105"/>
      <c r="BX412" s="105"/>
      <c r="BY412" s="105"/>
      <c r="BZ412" s="105"/>
      <c r="CA412" s="105"/>
      <c r="CB412" s="105"/>
      <c r="CC412" s="105"/>
      <c r="CD412" s="105"/>
      <c r="CE412" s="105"/>
      <c r="CF412" s="105"/>
      <c r="CG412" s="105"/>
      <c r="CH412" s="105"/>
      <c r="CI412" s="105"/>
      <c r="CJ412" s="105"/>
      <c r="CK412" s="105"/>
      <c r="CL412" s="105"/>
      <c r="CM412" s="105"/>
      <c r="CN412" s="105"/>
      <c r="CO412" s="105"/>
      <c r="CP412" s="105"/>
      <c r="CQ412" s="105"/>
      <c r="CR412" s="105"/>
      <c r="CS412" s="105"/>
      <c r="CT412" s="105"/>
      <c r="CU412" s="105"/>
      <c r="CV412" s="105"/>
      <c r="CW412" s="105"/>
      <c r="CX412" s="105"/>
      <c r="CY412" s="105"/>
      <c r="CZ412" s="105"/>
      <c r="DA412" s="105"/>
    </row>
    <row r="413">
      <c r="B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c r="AA413" s="105"/>
      <c r="AB413" s="105"/>
      <c r="AC413" s="105"/>
      <c r="AD413" s="105"/>
      <c r="AE413" s="105"/>
      <c r="AF413" s="105"/>
      <c r="AG413" s="105"/>
      <c r="AH413" s="105"/>
      <c r="AI413" s="105"/>
      <c r="AJ413" s="105"/>
      <c r="AK413" s="105"/>
      <c r="AL413" s="105"/>
      <c r="AM413" s="105"/>
      <c r="AN413" s="105"/>
      <c r="AO413" s="105"/>
      <c r="AP413" s="105"/>
      <c r="AQ413" s="105"/>
      <c r="AR413" s="105"/>
      <c r="AS413" s="105"/>
      <c r="AT413" s="105"/>
      <c r="AU413" s="105"/>
      <c r="AV413" s="105"/>
      <c r="AW413" s="105"/>
      <c r="AX413" s="105"/>
      <c r="AY413" s="105"/>
      <c r="AZ413" s="105"/>
      <c r="BA413" s="105"/>
      <c r="BB413" s="105"/>
      <c r="BC413" s="105"/>
      <c r="BD413" s="105"/>
      <c r="BE413" s="105"/>
      <c r="BF413" s="105"/>
      <c r="BG413" s="105"/>
      <c r="BH413" s="105"/>
      <c r="BI413" s="105"/>
      <c r="BJ413" s="105"/>
      <c r="BK413" s="105"/>
      <c r="BL413" s="105"/>
      <c r="BM413" s="105"/>
      <c r="BN413" s="105"/>
      <c r="BO413" s="105"/>
      <c r="BP413" s="105"/>
      <c r="BQ413" s="105"/>
      <c r="BR413" s="105"/>
      <c r="BS413" s="105"/>
      <c r="BT413" s="105"/>
      <c r="BU413" s="105"/>
      <c r="BV413" s="105"/>
      <c r="BW413" s="105"/>
      <c r="BX413" s="105"/>
      <c r="BY413" s="105"/>
      <c r="BZ413" s="105"/>
      <c r="CA413" s="105"/>
      <c r="CB413" s="105"/>
      <c r="CC413" s="105"/>
      <c r="CD413" s="105"/>
      <c r="CE413" s="105"/>
      <c r="CF413" s="105"/>
      <c r="CG413" s="105"/>
      <c r="CH413" s="105"/>
      <c r="CI413" s="105"/>
      <c r="CJ413" s="105"/>
      <c r="CK413" s="105"/>
      <c r="CL413" s="105"/>
      <c r="CM413" s="105"/>
      <c r="CN413" s="105"/>
      <c r="CO413" s="105"/>
      <c r="CP413" s="105"/>
      <c r="CQ413" s="105"/>
      <c r="CR413" s="105"/>
      <c r="CS413" s="105"/>
      <c r="CT413" s="105"/>
      <c r="CU413" s="105"/>
      <c r="CV413" s="105"/>
      <c r="CW413" s="105"/>
      <c r="CX413" s="105"/>
      <c r="CY413" s="105"/>
      <c r="CZ413" s="105"/>
      <c r="DA413" s="105"/>
    </row>
    <row r="414">
      <c r="B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c r="AA414" s="105"/>
      <c r="AB414" s="105"/>
      <c r="AC414" s="105"/>
      <c r="AD414" s="105"/>
      <c r="AE414" s="105"/>
      <c r="AF414" s="105"/>
      <c r="AG414" s="105"/>
      <c r="AH414" s="105"/>
      <c r="AI414" s="105"/>
      <c r="AJ414" s="105"/>
      <c r="AK414" s="105"/>
      <c r="AL414" s="105"/>
      <c r="AM414" s="105"/>
      <c r="AN414" s="105"/>
      <c r="AO414" s="105"/>
      <c r="AP414" s="105"/>
      <c r="AQ414" s="105"/>
      <c r="AR414" s="105"/>
      <c r="AS414" s="105"/>
      <c r="AT414" s="105"/>
      <c r="AU414" s="105"/>
      <c r="AV414" s="105"/>
      <c r="AW414" s="105"/>
      <c r="AX414" s="105"/>
      <c r="AY414" s="105"/>
      <c r="AZ414" s="105"/>
      <c r="BA414" s="105"/>
      <c r="BB414" s="105"/>
      <c r="BC414" s="105"/>
      <c r="BD414" s="105"/>
      <c r="BE414" s="105"/>
      <c r="BF414" s="105"/>
      <c r="BG414" s="105"/>
      <c r="BH414" s="105"/>
      <c r="BI414" s="105"/>
      <c r="BJ414" s="105"/>
      <c r="BK414" s="105"/>
      <c r="BL414" s="105"/>
      <c r="BM414" s="105"/>
      <c r="BN414" s="105"/>
      <c r="BO414" s="105"/>
      <c r="BP414" s="105"/>
      <c r="BQ414" s="105"/>
      <c r="BR414" s="105"/>
      <c r="BS414" s="105"/>
      <c r="BT414" s="105"/>
      <c r="BU414" s="105"/>
      <c r="BV414" s="105"/>
      <c r="BW414" s="105"/>
      <c r="BX414" s="105"/>
      <c r="BY414" s="105"/>
      <c r="BZ414" s="105"/>
      <c r="CA414" s="105"/>
      <c r="CB414" s="105"/>
      <c r="CC414" s="105"/>
      <c r="CD414" s="105"/>
      <c r="CE414" s="105"/>
      <c r="CF414" s="105"/>
      <c r="CG414" s="105"/>
      <c r="CH414" s="105"/>
      <c r="CI414" s="105"/>
      <c r="CJ414" s="105"/>
      <c r="CK414" s="105"/>
      <c r="CL414" s="105"/>
      <c r="CM414" s="105"/>
      <c r="CN414" s="105"/>
      <c r="CO414" s="105"/>
      <c r="CP414" s="105"/>
      <c r="CQ414" s="105"/>
      <c r="CR414" s="105"/>
      <c r="CS414" s="105"/>
      <c r="CT414" s="105"/>
      <c r="CU414" s="105"/>
      <c r="CV414" s="105"/>
      <c r="CW414" s="105"/>
      <c r="CX414" s="105"/>
      <c r="CY414" s="105"/>
      <c r="CZ414" s="105"/>
      <c r="DA414" s="105"/>
    </row>
    <row r="415">
      <c r="B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c r="AA415" s="105"/>
      <c r="AB415" s="105"/>
      <c r="AC415" s="105"/>
      <c r="AD415" s="105"/>
      <c r="AE415" s="105"/>
      <c r="AF415" s="105"/>
      <c r="AG415" s="105"/>
      <c r="AH415" s="105"/>
      <c r="AI415" s="105"/>
      <c r="AJ415" s="105"/>
      <c r="AK415" s="105"/>
      <c r="AL415" s="105"/>
      <c r="AM415" s="105"/>
      <c r="AN415" s="105"/>
      <c r="AO415" s="105"/>
      <c r="AP415" s="105"/>
      <c r="AQ415" s="105"/>
      <c r="AR415" s="105"/>
      <c r="AS415" s="105"/>
      <c r="AT415" s="105"/>
      <c r="AU415" s="105"/>
      <c r="AV415" s="105"/>
      <c r="AW415" s="105"/>
      <c r="AX415" s="105"/>
      <c r="AY415" s="105"/>
      <c r="AZ415" s="105"/>
      <c r="BA415" s="105"/>
      <c r="BB415" s="105"/>
      <c r="BC415" s="105"/>
      <c r="BD415" s="105"/>
      <c r="BE415" s="105"/>
      <c r="BF415" s="105"/>
      <c r="BG415" s="105"/>
      <c r="BH415" s="105"/>
      <c r="BI415" s="105"/>
      <c r="BJ415" s="105"/>
      <c r="BK415" s="105"/>
      <c r="BL415" s="105"/>
      <c r="BM415" s="105"/>
      <c r="BN415" s="105"/>
      <c r="BO415" s="105"/>
      <c r="BP415" s="105"/>
      <c r="BQ415" s="105"/>
      <c r="BR415" s="105"/>
      <c r="BS415" s="105"/>
      <c r="BT415" s="105"/>
      <c r="BU415" s="105"/>
      <c r="BV415" s="105"/>
      <c r="BW415" s="105"/>
      <c r="BX415" s="105"/>
      <c r="BY415" s="105"/>
      <c r="BZ415" s="105"/>
      <c r="CA415" s="105"/>
      <c r="CB415" s="105"/>
      <c r="CC415" s="105"/>
      <c r="CD415" s="105"/>
      <c r="CE415" s="105"/>
      <c r="CF415" s="105"/>
      <c r="CG415" s="105"/>
      <c r="CH415" s="105"/>
      <c r="CI415" s="105"/>
      <c r="CJ415" s="105"/>
      <c r="CK415" s="105"/>
      <c r="CL415" s="105"/>
      <c r="CM415" s="105"/>
      <c r="CN415" s="105"/>
      <c r="CO415" s="105"/>
      <c r="CP415" s="105"/>
      <c r="CQ415" s="105"/>
      <c r="CR415" s="105"/>
      <c r="CS415" s="105"/>
      <c r="CT415" s="105"/>
      <c r="CU415" s="105"/>
      <c r="CV415" s="105"/>
      <c r="CW415" s="105"/>
      <c r="CX415" s="105"/>
      <c r="CY415" s="105"/>
      <c r="CZ415" s="105"/>
      <c r="DA415" s="105"/>
    </row>
    <row r="416">
      <c r="B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c r="AA416" s="105"/>
      <c r="AB416" s="105"/>
      <c r="AC416" s="105"/>
      <c r="AD416" s="105"/>
      <c r="AE416" s="105"/>
      <c r="AF416" s="105"/>
      <c r="AG416" s="105"/>
      <c r="AH416" s="105"/>
      <c r="AI416" s="105"/>
      <c r="AJ416" s="105"/>
      <c r="AK416" s="105"/>
      <c r="AL416" s="105"/>
      <c r="AM416" s="105"/>
      <c r="AN416" s="105"/>
      <c r="AO416" s="105"/>
      <c r="AP416" s="105"/>
      <c r="AQ416" s="105"/>
      <c r="AR416" s="105"/>
      <c r="AS416" s="105"/>
      <c r="AT416" s="105"/>
      <c r="AU416" s="105"/>
      <c r="AV416" s="105"/>
      <c r="AW416" s="105"/>
      <c r="AX416" s="105"/>
      <c r="AY416" s="105"/>
      <c r="AZ416" s="105"/>
      <c r="BA416" s="105"/>
      <c r="BB416" s="105"/>
      <c r="BC416" s="105"/>
      <c r="BD416" s="105"/>
      <c r="BE416" s="105"/>
      <c r="BF416" s="105"/>
      <c r="BG416" s="105"/>
      <c r="BH416" s="105"/>
      <c r="BI416" s="105"/>
      <c r="BJ416" s="105"/>
      <c r="BK416" s="105"/>
      <c r="BL416" s="105"/>
      <c r="BM416" s="105"/>
      <c r="BN416" s="105"/>
      <c r="BO416" s="105"/>
      <c r="BP416" s="105"/>
      <c r="BQ416" s="105"/>
      <c r="BR416" s="105"/>
      <c r="BS416" s="105"/>
      <c r="BT416" s="105"/>
      <c r="BU416" s="105"/>
      <c r="BV416" s="105"/>
      <c r="BW416" s="105"/>
      <c r="BX416" s="105"/>
      <c r="BY416" s="105"/>
      <c r="BZ416" s="105"/>
      <c r="CA416" s="105"/>
      <c r="CB416" s="105"/>
      <c r="CC416" s="105"/>
      <c r="CD416" s="105"/>
      <c r="CE416" s="105"/>
      <c r="CF416" s="105"/>
      <c r="CG416" s="105"/>
      <c r="CH416" s="105"/>
      <c r="CI416" s="105"/>
      <c r="CJ416" s="105"/>
      <c r="CK416" s="105"/>
      <c r="CL416" s="105"/>
      <c r="CM416" s="105"/>
      <c r="CN416" s="105"/>
      <c r="CO416" s="105"/>
      <c r="CP416" s="105"/>
      <c r="CQ416" s="105"/>
      <c r="CR416" s="105"/>
      <c r="CS416" s="105"/>
      <c r="CT416" s="105"/>
      <c r="CU416" s="105"/>
      <c r="CV416" s="105"/>
      <c r="CW416" s="105"/>
      <c r="CX416" s="105"/>
      <c r="CY416" s="105"/>
      <c r="CZ416" s="105"/>
      <c r="DA416" s="105"/>
    </row>
    <row r="417">
      <c r="B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c r="AA417" s="105"/>
      <c r="AB417" s="105"/>
      <c r="AC417" s="105"/>
      <c r="AD417" s="105"/>
      <c r="AE417" s="105"/>
      <c r="AF417" s="105"/>
      <c r="AG417" s="105"/>
      <c r="AH417" s="105"/>
      <c r="AI417" s="105"/>
      <c r="AJ417" s="105"/>
      <c r="AK417" s="105"/>
      <c r="AL417" s="105"/>
      <c r="AM417" s="105"/>
      <c r="AN417" s="105"/>
      <c r="AO417" s="105"/>
      <c r="AP417" s="105"/>
      <c r="AQ417" s="105"/>
      <c r="AR417" s="105"/>
      <c r="AS417" s="105"/>
      <c r="AT417" s="105"/>
      <c r="AU417" s="105"/>
      <c r="AV417" s="105"/>
      <c r="AW417" s="105"/>
      <c r="AX417" s="105"/>
      <c r="AY417" s="105"/>
      <c r="AZ417" s="105"/>
      <c r="BA417" s="105"/>
      <c r="BB417" s="105"/>
      <c r="BC417" s="105"/>
      <c r="BD417" s="105"/>
      <c r="BE417" s="105"/>
      <c r="BF417" s="105"/>
      <c r="BG417" s="105"/>
      <c r="BH417" s="105"/>
      <c r="BI417" s="105"/>
      <c r="BJ417" s="105"/>
      <c r="BK417" s="105"/>
      <c r="BL417" s="105"/>
      <c r="BM417" s="105"/>
      <c r="BN417" s="105"/>
      <c r="BO417" s="105"/>
      <c r="BP417" s="105"/>
      <c r="BQ417" s="105"/>
      <c r="BR417" s="105"/>
      <c r="BS417" s="105"/>
      <c r="BT417" s="105"/>
      <c r="BU417" s="105"/>
      <c r="BV417" s="105"/>
      <c r="BW417" s="105"/>
      <c r="BX417" s="105"/>
      <c r="BY417" s="105"/>
      <c r="BZ417" s="105"/>
      <c r="CA417" s="105"/>
      <c r="CB417" s="105"/>
      <c r="CC417" s="105"/>
      <c r="CD417" s="105"/>
      <c r="CE417" s="105"/>
      <c r="CF417" s="105"/>
      <c r="CG417" s="105"/>
      <c r="CH417" s="105"/>
      <c r="CI417" s="105"/>
      <c r="CJ417" s="105"/>
      <c r="CK417" s="105"/>
      <c r="CL417" s="105"/>
      <c r="CM417" s="105"/>
      <c r="CN417" s="105"/>
      <c r="CO417" s="105"/>
      <c r="CP417" s="105"/>
      <c r="CQ417" s="105"/>
      <c r="CR417" s="105"/>
      <c r="CS417" s="105"/>
      <c r="CT417" s="105"/>
      <c r="CU417" s="105"/>
      <c r="CV417" s="105"/>
      <c r="CW417" s="105"/>
      <c r="CX417" s="105"/>
      <c r="CY417" s="105"/>
      <c r="CZ417" s="105"/>
      <c r="DA417" s="105"/>
    </row>
    <row r="418">
      <c r="B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c r="AA418" s="105"/>
      <c r="AB418" s="105"/>
      <c r="AC418" s="105"/>
      <c r="AD418" s="105"/>
      <c r="AE418" s="105"/>
      <c r="AF418" s="105"/>
      <c r="AG418" s="105"/>
      <c r="AH418" s="105"/>
      <c r="AI418" s="105"/>
      <c r="AJ418" s="105"/>
      <c r="AK418" s="105"/>
      <c r="AL418" s="105"/>
      <c r="AM418" s="105"/>
      <c r="AN418" s="105"/>
      <c r="AO418" s="105"/>
      <c r="AP418" s="105"/>
      <c r="AQ418" s="105"/>
      <c r="AR418" s="105"/>
      <c r="AS418" s="105"/>
      <c r="AT418" s="105"/>
      <c r="AU418" s="105"/>
      <c r="AV418" s="105"/>
      <c r="AW418" s="105"/>
      <c r="AX418" s="105"/>
      <c r="AY418" s="105"/>
      <c r="AZ418" s="105"/>
      <c r="BA418" s="105"/>
      <c r="BB418" s="105"/>
      <c r="BC418" s="105"/>
      <c r="BD418" s="105"/>
      <c r="BE418" s="105"/>
      <c r="BF418" s="105"/>
      <c r="BG418" s="105"/>
      <c r="BH418" s="105"/>
      <c r="BI418" s="105"/>
      <c r="BJ418" s="105"/>
      <c r="BK418" s="105"/>
      <c r="BL418" s="105"/>
      <c r="BM418" s="105"/>
      <c r="BN418" s="105"/>
      <c r="BO418" s="105"/>
      <c r="BP418" s="105"/>
      <c r="BQ418" s="105"/>
      <c r="BR418" s="105"/>
      <c r="BS418" s="105"/>
      <c r="BT418" s="105"/>
      <c r="BU418" s="105"/>
      <c r="BV418" s="105"/>
      <c r="BW418" s="105"/>
      <c r="BX418" s="105"/>
      <c r="BY418" s="105"/>
      <c r="BZ418" s="105"/>
      <c r="CA418" s="105"/>
      <c r="CB418" s="105"/>
      <c r="CC418" s="105"/>
      <c r="CD418" s="105"/>
      <c r="CE418" s="105"/>
      <c r="CF418" s="105"/>
      <c r="CG418" s="105"/>
      <c r="CH418" s="105"/>
      <c r="CI418" s="105"/>
      <c r="CJ418" s="105"/>
      <c r="CK418" s="105"/>
      <c r="CL418" s="105"/>
      <c r="CM418" s="105"/>
      <c r="CN418" s="105"/>
      <c r="CO418" s="105"/>
      <c r="CP418" s="105"/>
      <c r="CQ418" s="105"/>
      <c r="CR418" s="105"/>
      <c r="CS418" s="105"/>
      <c r="CT418" s="105"/>
      <c r="CU418" s="105"/>
      <c r="CV418" s="105"/>
      <c r="CW418" s="105"/>
      <c r="CX418" s="105"/>
      <c r="CY418" s="105"/>
      <c r="CZ418" s="105"/>
      <c r="DA418" s="105"/>
    </row>
    <row r="419">
      <c r="B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c r="AA419" s="105"/>
      <c r="AB419" s="105"/>
      <c r="AC419" s="105"/>
      <c r="AD419" s="105"/>
      <c r="AE419" s="105"/>
      <c r="AF419" s="105"/>
      <c r="AG419" s="105"/>
      <c r="AH419" s="105"/>
      <c r="AI419" s="105"/>
      <c r="AJ419" s="105"/>
      <c r="AK419" s="105"/>
      <c r="AL419" s="105"/>
      <c r="AM419" s="105"/>
      <c r="AN419" s="105"/>
      <c r="AO419" s="105"/>
      <c r="AP419" s="105"/>
      <c r="AQ419" s="105"/>
      <c r="AR419" s="105"/>
      <c r="AS419" s="105"/>
      <c r="AT419" s="105"/>
      <c r="AU419" s="105"/>
      <c r="AV419" s="105"/>
      <c r="AW419" s="105"/>
      <c r="AX419" s="105"/>
      <c r="AY419" s="105"/>
      <c r="AZ419" s="105"/>
      <c r="BA419" s="105"/>
      <c r="BB419" s="105"/>
      <c r="BC419" s="105"/>
      <c r="BD419" s="105"/>
      <c r="BE419" s="105"/>
      <c r="BF419" s="105"/>
      <c r="BG419" s="105"/>
      <c r="BH419" s="105"/>
      <c r="BI419" s="105"/>
      <c r="BJ419" s="105"/>
      <c r="BK419" s="105"/>
      <c r="BL419" s="105"/>
      <c r="BM419" s="105"/>
      <c r="BN419" s="105"/>
      <c r="BO419" s="105"/>
      <c r="BP419" s="105"/>
      <c r="BQ419" s="105"/>
      <c r="BR419" s="105"/>
      <c r="BS419" s="105"/>
      <c r="BT419" s="105"/>
      <c r="BU419" s="105"/>
      <c r="BV419" s="105"/>
      <c r="BW419" s="105"/>
      <c r="BX419" s="105"/>
      <c r="BY419" s="105"/>
      <c r="BZ419" s="105"/>
      <c r="CA419" s="105"/>
      <c r="CB419" s="105"/>
      <c r="CC419" s="105"/>
      <c r="CD419" s="105"/>
      <c r="CE419" s="105"/>
      <c r="CF419" s="105"/>
      <c r="CG419" s="105"/>
      <c r="CH419" s="105"/>
      <c r="CI419" s="105"/>
      <c r="CJ419" s="105"/>
      <c r="CK419" s="105"/>
      <c r="CL419" s="105"/>
      <c r="CM419" s="105"/>
      <c r="CN419" s="105"/>
      <c r="CO419" s="105"/>
      <c r="CP419" s="105"/>
      <c r="CQ419" s="105"/>
      <c r="CR419" s="105"/>
      <c r="CS419" s="105"/>
      <c r="CT419" s="105"/>
      <c r="CU419" s="105"/>
      <c r="CV419" s="105"/>
      <c r="CW419" s="105"/>
      <c r="CX419" s="105"/>
      <c r="CY419" s="105"/>
      <c r="CZ419" s="105"/>
      <c r="DA419" s="105"/>
    </row>
    <row r="420">
      <c r="B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c r="AA420" s="105"/>
      <c r="AB420" s="105"/>
      <c r="AC420" s="105"/>
      <c r="AD420" s="105"/>
      <c r="AE420" s="105"/>
      <c r="AF420" s="105"/>
      <c r="AG420" s="105"/>
      <c r="AH420" s="105"/>
      <c r="AI420" s="105"/>
      <c r="AJ420" s="105"/>
      <c r="AK420" s="105"/>
      <c r="AL420" s="105"/>
      <c r="AM420" s="105"/>
      <c r="AN420" s="105"/>
      <c r="AO420" s="105"/>
      <c r="AP420" s="105"/>
      <c r="AQ420" s="105"/>
      <c r="AR420" s="105"/>
      <c r="AS420" s="105"/>
      <c r="AT420" s="105"/>
      <c r="AU420" s="105"/>
      <c r="AV420" s="105"/>
      <c r="AW420" s="105"/>
      <c r="AX420" s="105"/>
      <c r="AY420" s="105"/>
      <c r="AZ420" s="105"/>
      <c r="BA420" s="105"/>
      <c r="BB420" s="105"/>
      <c r="BC420" s="105"/>
      <c r="BD420" s="105"/>
      <c r="BE420" s="105"/>
      <c r="BF420" s="105"/>
      <c r="BG420" s="105"/>
      <c r="BH420" s="105"/>
      <c r="BI420" s="105"/>
      <c r="BJ420" s="105"/>
      <c r="BK420" s="105"/>
      <c r="BL420" s="105"/>
      <c r="BM420" s="105"/>
      <c r="BN420" s="105"/>
      <c r="BO420" s="105"/>
      <c r="BP420" s="105"/>
      <c r="BQ420" s="105"/>
      <c r="BR420" s="105"/>
      <c r="BS420" s="105"/>
      <c r="BT420" s="105"/>
      <c r="BU420" s="105"/>
      <c r="BV420" s="105"/>
      <c r="BW420" s="105"/>
      <c r="BX420" s="105"/>
      <c r="BY420" s="105"/>
      <c r="BZ420" s="105"/>
      <c r="CA420" s="105"/>
      <c r="CB420" s="105"/>
      <c r="CC420" s="105"/>
      <c r="CD420" s="105"/>
      <c r="CE420" s="105"/>
      <c r="CF420" s="105"/>
      <c r="CG420" s="105"/>
      <c r="CH420" s="105"/>
      <c r="CI420" s="105"/>
      <c r="CJ420" s="105"/>
      <c r="CK420" s="105"/>
      <c r="CL420" s="105"/>
      <c r="CM420" s="105"/>
      <c r="CN420" s="105"/>
      <c r="CO420" s="105"/>
      <c r="CP420" s="105"/>
      <c r="CQ420" s="105"/>
      <c r="CR420" s="105"/>
      <c r="CS420" s="105"/>
      <c r="CT420" s="105"/>
      <c r="CU420" s="105"/>
      <c r="CV420" s="105"/>
      <c r="CW420" s="105"/>
      <c r="CX420" s="105"/>
      <c r="CY420" s="105"/>
      <c r="CZ420" s="105"/>
      <c r="DA420" s="105"/>
    </row>
    <row r="421">
      <c r="B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c r="AA421" s="105"/>
      <c r="AB421" s="105"/>
      <c r="AC421" s="105"/>
      <c r="AD421" s="105"/>
      <c r="AE421" s="105"/>
      <c r="AF421" s="105"/>
      <c r="AG421" s="105"/>
      <c r="AH421" s="105"/>
      <c r="AI421" s="105"/>
      <c r="AJ421" s="105"/>
      <c r="AK421" s="105"/>
      <c r="AL421" s="105"/>
      <c r="AM421" s="105"/>
      <c r="AN421" s="105"/>
      <c r="AO421" s="105"/>
      <c r="AP421" s="105"/>
      <c r="AQ421" s="105"/>
      <c r="AR421" s="105"/>
      <c r="AS421" s="105"/>
      <c r="AT421" s="105"/>
      <c r="AU421" s="105"/>
      <c r="AV421" s="105"/>
      <c r="AW421" s="105"/>
      <c r="AX421" s="105"/>
      <c r="AY421" s="105"/>
      <c r="AZ421" s="105"/>
      <c r="BA421" s="105"/>
      <c r="BB421" s="105"/>
      <c r="BC421" s="105"/>
      <c r="BD421" s="105"/>
      <c r="BE421" s="105"/>
      <c r="BF421" s="105"/>
      <c r="BG421" s="105"/>
      <c r="BH421" s="105"/>
      <c r="BI421" s="105"/>
      <c r="BJ421" s="105"/>
      <c r="BK421" s="105"/>
      <c r="BL421" s="105"/>
      <c r="BM421" s="105"/>
      <c r="BN421" s="105"/>
      <c r="BO421" s="105"/>
      <c r="BP421" s="105"/>
      <c r="BQ421" s="105"/>
      <c r="BR421" s="105"/>
      <c r="BS421" s="105"/>
      <c r="BT421" s="105"/>
      <c r="BU421" s="105"/>
      <c r="BV421" s="105"/>
      <c r="BW421" s="105"/>
      <c r="BX421" s="105"/>
      <c r="BY421" s="105"/>
      <c r="BZ421" s="105"/>
      <c r="CA421" s="105"/>
      <c r="CB421" s="105"/>
      <c r="CC421" s="105"/>
      <c r="CD421" s="105"/>
      <c r="CE421" s="105"/>
      <c r="CF421" s="105"/>
      <c r="CG421" s="105"/>
      <c r="CH421" s="105"/>
      <c r="CI421" s="105"/>
      <c r="CJ421" s="105"/>
      <c r="CK421" s="105"/>
      <c r="CL421" s="105"/>
      <c r="CM421" s="105"/>
      <c r="CN421" s="105"/>
      <c r="CO421" s="105"/>
      <c r="CP421" s="105"/>
      <c r="CQ421" s="105"/>
      <c r="CR421" s="105"/>
      <c r="CS421" s="105"/>
      <c r="CT421" s="105"/>
      <c r="CU421" s="105"/>
      <c r="CV421" s="105"/>
      <c r="CW421" s="105"/>
      <c r="CX421" s="105"/>
      <c r="CY421" s="105"/>
      <c r="CZ421" s="105"/>
      <c r="DA421" s="105"/>
    </row>
    <row r="422">
      <c r="B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c r="AA422" s="105"/>
      <c r="AB422" s="105"/>
      <c r="AC422" s="105"/>
      <c r="AD422" s="105"/>
      <c r="AE422" s="105"/>
      <c r="AF422" s="105"/>
      <c r="AG422" s="105"/>
      <c r="AH422" s="105"/>
      <c r="AI422" s="105"/>
      <c r="AJ422" s="105"/>
      <c r="AK422" s="105"/>
      <c r="AL422" s="105"/>
      <c r="AM422" s="105"/>
      <c r="AN422" s="105"/>
      <c r="AO422" s="105"/>
      <c r="AP422" s="105"/>
      <c r="AQ422" s="105"/>
      <c r="AR422" s="105"/>
      <c r="AS422" s="105"/>
      <c r="AT422" s="105"/>
      <c r="AU422" s="105"/>
      <c r="AV422" s="105"/>
      <c r="AW422" s="105"/>
      <c r="AX422" s="105"/>
      <c r="AY422" s="105"/>
      <c r="AZ422" s="105"/>
      <c r="BA422" s="105"/>
      <c r="BB422" s="105"/>
      <c r="BC422" s="105"/>
      <c r="BD422" s="105"/>
      <c r="BE422" s="105"/>
      <c r="BF422" s="105"/>
      <c r="BG422" s="105"/>
      <c r="BH422" s="105"/>
      <c r="BI422" s="105"/>
      <c r="BJ422" s="105"/>
      <c r="BK422" s="105"/>
      <c r="BL422" s="105"/>
      <c r="BM422" s="105"/>
      <c r="BN422" s="105"/>
      <c r="BO422" s="105"/>
      <c r="BP422" s="105"/>
      <c r="BQ422" s="105"/>
      <c r="BR422" s="105"/>
      <c r="BS422" s="105"/>
      <c r="BT422" s="105"/>
      <c r="BU422" s="105"/>
      <c r="BV422" s="105"/>
      <c r="BW422" s="105"/>
      <c r="BX422" s="105"/>
      <c r="BY422" s="105"/>
      <c r="BZ422" s="105"/>
      <c r="CA422" s="105"/>
      <c r="CB422" s="105"/>
      <c r="CC422" s="105"/>
      <c r="CD422" s="105"/>
      <c r="CE422" s="105"/>
      <c r="CF422" s="105"/>
      <c r="CG422" s="105"/>
      <c r="CH422" s="105"/>
      <c r="CI422" s="105"/>
      <c r="CJ422" s="105"/>
      <c r="CK422" s="105"/>
      <c r="CL422" s="105"/>
      <c r="CM422" s="105"/>
      <c r="CN422" s="105"/>
      <c r="CO422" s="105"/>
      <c r="CP422" s="105"/>
      <c r="CQ422" s="105"/>
      <c r="CR422" s="105"/>
      <c r="CS422" s="105"/>
      <c r="CT422" s="105"/>
      <c r="CU422" s="105"/>
      <c r="CV422" s="105"/>
      <c r="CW422" s="105"/>
      <c r="CX422" s="105"/>
      <c r="CY422" s="105"/>
      <c r="CZ422" s="105"/>
      <c r="DA422" s="105"/>
    </row>
    <row r="423">
      <c r="B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c r="AA423" s="105"/>
      <c r="AB423" s="105"/>
      <c r="AC423" s="105"/>
      <c r="AD423" s="105"/>
      <c r="AE423" s="105"/>
      <c r="AF423" s="105"/>
      <c r="AG423" s="105"/>
      <c r="AH423" s="105"/>
      <c r="AI423" s="105"/>
      <c r="AJ423" s="105"/>
      <c r="AK423" s="105"/>
      <c r="AL423" s="105"/>
      <c r="AM423" s="105"/>
      <c r="AN423" s="105"/>
      <c r="AO423" s="105"/>
      <c r="AP423" s="105"/>
      <c r="AQ423" s="105"/>
      <c r="AR423" s="105"/>
      <c r="AS423" s="105"/>
      <c r="AT423" s="105"/>
      <c r="AU423" s="105"/>
      <c r="AV423" s="105"/>
      <c r="AW423" s="105"/>
      <c r="AX423" s="105"/>
      <c r="AY423" s="105"/>
      <c r="AZ423" s="105"/>
      <c r="BA423" s="105"/>
      <c r="BB423" s="105"/>
      <c r="BC423" s="105"/>
      <c r="BD423" s="105"/>
      <c r="BE423" s="105"/>
      <c r="BF423" s="105"/>
      <c r="BG423" s="105"/>
      <c r="BH423" s="105"/>
      <c r="BI423" s="105"/>
      <c r="BJ423" s="105"/>
      <c r="BK423" s="105"/>
      <c r="BL423" s="105"/>
      <c r="BM423" s="105"/>
      <c r="BN423" s="105"/>
      <c r="BO423" s="105"/>
      <c r="BP423" s="105"/>
      <c r="BQ423" s="105"/>
      <c r="BR423" s="105"/>
      <c r="BS423" s="105"/>
      <c r="BT423" s="105"/>
      <c r="BU423" s="105"/>
      <c r="BV423" s="105"/>
      <c r="BW423" s="105"/>
      <c r="BX423" s="105"/>
      <c r="BY423" s="105"/>
      <c r="BZ423" s="105"/>
      <c r="CA423" s="105"/>
      <c r="CB423" s="105"/>
      <c r="CC423" s="105"/>
      <c r="CD423" s="105"/>
      <c r="CE423" s="105"/>
      <c r="CF423" s="105"/>
      <c r="CG423" s="105"/>
      <c r="CH423" s="105"/>
      <c r="CI423" s="105"/>
      <c r="CJ423" s="105"/>
      <c r="CK423" s="105"/>
      <c r="CL423" s="105"/>
      <c r="CM423" s="105"/>
      <c r="CN423" s="105"/>
      <c r="CO423" s="105"/>
      <c r="CP423" s="105"/>
      <c r="CQ423" s="105"/>
      <c r="CR423" s="105"/>
      <c r="CS423" s="105"/>
      <c r="CT423" s="105"/>
      <c r="CU423" s="105"/>
      <c r="CV423" s="105"/>
      <c r="CW423" s="105"/>
      <c r="CX423" s="105"/>
      <c r="CY423" s="105"/>
      <c r="CZ423" s="105"/>
      <c r="DA423" s="105"/>
    </row>
    <row r="424">
      <c r="B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c r="AA424" s="105"/>
      <c r="AB424" s="105"/>
      <c r="AC424" s="105"/>
      <c r="AD424" s="105"/>
      <c r="AE424" s="105"/>
      <c r="AF424" s="105"/>
      <c r="AG424" s="105"/>
      <c r="AH424" s="105"/>
      <c r="AI424" s="105"/>
      <c r="AJ424" s="105"/>
      <c r="AK424" s="105"/>
      <c r="AL424" s="105"/>
      <c r="AM424" s="105"/>
      <c r="AN424" s="105"/>
      <c r="AO424" s="105"/>
      <c r="AP424" s="105"/>
      <c r="AQ424" s="105"/>
      <c r="AR424" s="105"/>
      <c r="AS424" s="105"/>
      <c r="AT424" s="105"/>
      <c r="AU424" s="105"/>
      <c r="AV424" s="105"/>
      <c r="AW424" s="105"/>
      <c r="AX424" s="105"/>
      <c r="AY424" s="105"/>
      <c r="AZ424" s="105"/>
      <c r="BA424" s="105"/>
      <c r="BB424" s="105"/>
      <c r="BC424" s="105"/>
      <c r="BD424" s="105"/>
      <c r="BE424" s="105"/>
      <c r="BF424" s="105"/>
      <c r="BG424" s="105"/>
      <c r="BH424" s="105"/>
      <c r="BI424" s="105"/>
      <c r="BJ424" s="105"/>
      <c r="BK424" s="105"/>
      <c r="BL424" s="105"/>
      <c r="BM424" s="105"/>
      <c r="BN424" s="105"/>
      <c r="BO424" s="105"/>
      <c r="BP424" s="105"/>
      <c r="BQ424" s="105"/>
      <c r="BR424" s="105"/>
      <c r="BS424" s="105"/>
      <c r="BT424" s="105"/>
      <c r="BU424" s="105"/>
      <c r="BV424" s="105"/>
      <c r="BW424" s="105"/>
      <c r="BX424" s="105"/>
      <c r="BY424" s="105"/>
      <c r="BZ424" s="105"/>
      <c r="CA424" s="105"/>
      <c r="CB424" s="105"/>
      <c r="CC424" s="105"/>
      <c r="CD424" s="105"/>
      <c r="CE424" s="105"/>
      <c r="CF424" s="105"/>
      <c r="CG424" s="105"/>
      <c r="CH424" s="105"/>
      <c r="CI424" s="105"/>
      <c r="CJ424" s="105"/>
      <c r="CK424" s="105"/>
      <c r="CL424" s="105"/>
      <c r="CM424" s="105"/>
      <c r="CN424" s="105"/>
      <c r="CO424" s="105"/>
      <c r="CP424" s="105"/>
      <c r="CQ424" s="105"/>
      <c r="CR424" s="105"/>
      <c r="CS424" s="105"/>
      <c r="CT424" s="105"/>
      <c r="CU424" s="105"/>
      <c r="CV424" s="105"/>
      <c r="CW424" s="105"/>
      <c r="CX424" s="105"/>
      <c r="CY424" s="105"/>
      <c r="CZ424" s="105"/>
      <c r="DA424" s="105"/>
    </row>
    <row r="425">
      <c r="B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c r="AA425" s="105"/>
      <c r="AB425" s="105"/>
      <c r="AC425" s="105"/>
      <c r="AD425" s="105"/>
      <c r="AE425" s="105"/>
      <c r="AF425" s="105"/>
      <c r="AG425" s="105"/>
      <c r="AH425" s="105"/>
      <c r="AI425" s="105"/>
      <c r="AJ425" s="105"/>
      <c r="AK425" s="105"/>
      <c r="AL425" s="105"/>
      <c r="AM425" s="105"/>
      <c r="AN425" s="105"/>
      <c r="AO425" s="105"/>
      <c r="AP425" s="105"/>
      <c r="AQ425" s="105"/>
      <c r="AR425" s="105"/>
      <c r="AS425" s="105"/>
      <c r="AT425" s="105"/>
      <c r="AU425" s="105"/>
      <c r="AV425" s="105"/>
      <c r="AW425" s="105"/>
      <c r="AX425" s="105"/>
      <c r="AY425" s="105"/>
      <c r="AZ425" s="105"/>
      <c r="BA425" s="105"/>
      <c r="BB425" s="105"/>
      <c r="BC425" s="105"/>
      <c r="BD425" s="105"/>
      <c r="BE425" s="105"/>
      <c r="BF425" s="105"/>
      <c r="BG425" s="105"/>
      <c r="BH425" s="105"/>
      <c r="BI425" s="105"/>
      <c r="BJ425" s="105"/>
      <c r="BK425" s="105"/>
      <c r="BL425" s="105"/>
      <c r="BM425" s="105"/>
      <c r="BN425" s="105"/>
      <c r="BO425" s="105"/>
      <c r="BP425" s="105"/>
      <c r="BQ425" s="105"/>
      <c r="BR425" s="105"/>
      <c r="BS425" s="105"/>
      <c r="BT425" s="105"/>
      <c r="BU425" s="105"/>
      <c r="BV425" s="105"/>
      <c r="BW425" s="105"/>
      <c r="BX425" s="105"/>
      <c r="BY425" s="105"/>
      <c r="BZ425" s="105"/>
      <c r="CA425" s="105"/>
      <c r="CB425" s="105"/>
      <c r="CC425" s="105"/>
      <c r="CD425" s="105"/>
      <c r="CE425" s="105"/>
      <c r="CF425" s="105"/>
      <c r="CG425" s="105"/>
      <c r="CH425" s="105"/>
      <c r="CI425" s="105"/>
      <c r="CJ425" s="105"/>
      <c r="CK425" s="105"/>
      <c r="CL425" s="105"/>
      <c r="CM425" s="105"/>
      <c r="CN425" s="105"/>
      <c r="CO425" s="105"/>
      <c r="CP425" s="105"/>
      <c r="CQ425" s="105"/>
      <c r="CR425" s="105"/>
      <c r="CS425" s="105"/>
      <c r="CT425" s="105"/>
      <c r="CU425" s="105"/>
      <c r="CV425" s="105"/>
      <c r="CW425" s="105"/>
      <c r="CX425" s="105"/>
      <c r="CY425" s="105"/>
      <c r="CZ425" s="105"/>
      <c r="DA425" s="105"/>
    </row>
    <row r="426">
      <c r="B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c r="AA426" s="105"/>
      <c r="AB426" s="105"/>
      <c r="AC426" s="105"/>
      <c r="AD426" s="105"/>
      <c r="AE426" s="105"/>
      <c r="AF426" s="105"/>
      <c r="AG426" s="105"/>
      <c r="AH426" s="105"/>
      <c r="AI426" s="105"/>
      <c r="AJ426" s="105"/>
      <c r="AK426" s="105"/>
      <c r="AL426" s="105"/>
      <c r="AM426" s="105"/>
      <c r="AN426" s="105"/>
      <c r="AO426" s="105"/>
      <c r="AP426" s="105"/>
      <c r="AQ426" s="105"/>
      <c r="AR426" s="105"/>
      <c r="AS426" s="105"/>
      <c r="AT426" s="105"/>
      <c r="AU426" s="105"/>
      <c r="AV426" s="105"/>
      <c r="AW426" s="105"/>
      <c r="AX426" s="105"/>
      <c r="AY426" s="105"/>
      <c r="AZ426" s="105"/>
      <c r="BA426" s="105"/>
      <c r="BB426" s="105"/>
      <c r="BC426" s="105"/>
      <c r="BD426" s="105"/>
      <c r="BE426" s="105"/>
      <c r="BF426" s="105"/>
      <c r="BG426" s="105"/>
      <c r="BH426" s="105"/>
      <c r="BI426" s="105"/>
      <c r="BJ426" s="105"/>
      <c r="BK426" s="105"/>
      <c r="BL426" s="105"/>
      <c r="BM426" s="105"/>
      <c r="BN426" s="105"/>
      <c r="BO426" s="105"/>
      <c r="BP426" s="105"/>
      <c r="BQ426" s="105"/>
      <c r="BR426" s="105"/>
      <c r="BS426" s="105"/>
      <c r="BT426" s="105"/>
      <c r="BU426" s="105"/>
      <c r="BV426" s="105"/>
      <c r="BW426" s="105"/>
      <c r="BX426" s="105"/>
      <c r="BY426" s="105"/>
      <c r="BZ426" s="105"/>
      <c r="CA426" s="105"/>
      <c r="CB426" s="105"/>
      <c r="CC426" s="105"/>
      <c r="CD426" s="105"/>
      <c r="CE426" s="105"/>
      <c r="CF426" s="105"/>
      <c r="CG426" s="105"/>
      <c r="CH426" s="105"/>
      <c r="CI426" s="105"/>
      <c r="CJ426" s="105"/>
      <c r="CK426" s="105"/>
      <c r="CL426" s="105"/>
      <c r="CM426" s="105"/>
      <c r="CN426" s="105"/>
      <c r="CO426" s="105"/>
      <c r="CP426" s="105"/>
      <c r="CQ426" s="105"/>
      <c r="CR426" s="105"/>
      <c r="CS426" s="105"/>
      <c r="CT426" s="105"/>
      <c r="CU426" s="105"/>
      <c r="CV426" s="105"/>
      <c r="CW426" s="105"/>
      <c r="CX426" s="105"/>
      <c r="CY426" s="105"/>
      <c r="CZ426" s="105"/>
      <c r="DA426" s="105"/>
    </row>
    <row r="427">
      <c r="B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c r="AA427" s="105"/>
      <c r="AB427" s="105"/>
      <c r="AC427" s="105"/>
      <c r="AD427" s="105"/>
      <c r="AE427" s="105"/>
      <c r="AF427" s="105"/>
      <c r="AG427" s="105"/>
      <c r="AH427" s="105"/>
      <c r="AI427" s="105"/>
      <c r="AJ427" s="105"/>
      <c r="AK427" s="105"/>
      <c r="AL427" s="105"/>
      <c r="AM427" s="105"/>
      <c r="AN427" s="105"/>
      <c r="AO427" s="105"/>
      <c r="AP427" s="105"/>
      <c r="AQ427" s="105"/>
      <c r="AR427" s="105"/>
      <c r="AS427" s="105"/>
      <c r="AT427" s="105"/>
      <c r="AU427" s="105"/>
      <c r="AV427" s="105"/>
      <c r="AW427" s="105"/>
      <c r="AX427" s="105"/>
      <c r="AY427" s="105"/>
      <c r="AZ427" s="105"/>
      <c r="BA427" s="105"/>
      <c r="BB427" s="105"/>
      <c r="BC427" s="105"/>
      <c r="BD427" s="105"/>
      <c r="BE427" s="105"/>
      <c r="BF427" s="105"/>
      <c r="BG427" s="105"/>
      <c r="BH427" s="105"/>
      <c r="BI427" s="105"/>
      <c r="BJ427" s="105"/>
      <c r="BK427" s="105"/>
      <c r="BL427" s="105"/>
      <c r="BM427" s="105"/>
      <c r="BN427" s="105"/>
      <c r="BO427" s="105"/>
      <c r="BP427" s="105"/>
      <c r="BQ427" s="105"/>
      <c r="BR427" s="105"/>
      <c r="BS427" s="105"/>
      <c r="BT427" s="105"/>
      <c r="BU427" s="105"/>
      <c r="BV427" s="105"/>
      <c r="BW427" s="105"/>
      <c r="BX427" s="105"/>
      <c r="BY427" s="105"/>
      <c r="BZ427" s="105"/>
      <c r="CA427" s="105"/>
      <c r="CB427" s="105"/>
      <c r="CC427" s="105"/>
      <c r="CD427" s="105"/>
      <c r="CE427" s="105"/>
      <c r="CF427" s="105"/>
      <c r="CG427" s="105"/>
      <c r="CH427" s="105"/>
      <c r="CI427" s="105"/>
      <c r="CJ427" s="105"/>
      <c r="CK427" s="105"/>
      <c r="CL427" s="105"/>
      <c r="CM427" s="105"/>
      <c r="CN427" s="105"/>
      <c r="CO427" s="105"/>
      <c r="CP427" s="105"/>
      <c r="CQ427" s="105"/>
      <c r="CR427" s="105"/>
      <c r="CS427" s="105"/>
      <c r="CT427" s="105"/>
      <c r="CU427" s="105"/>
      <c r="CV427" s="105"/>
      <c r="CW427" s="105"/>
      <c r="CX427" s="105"/>
      <c r="CY427" s="105"/>
      <c r="CZ427" s="105"/>
      <c r="DA427" s="105"/>
    </row>
    <row r="428">
      <c r="B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c r="AA428" s="105"/>
      <c r="AB428" s="105"/>
      <c r="AC428" s="105"/>
      <c r="AD428" s="105"/>
      <c r="AE428" s="105"/>
      <c r="AF428" s="105"/>
      <c r="AG428" s="105"/>
      <c r="AH428" s="105"/>
      <c r="AI428" s="105"/>
      <c r="AJ428" s="105"/>
      <c r="AK428" s="105"/>
      <c r="AL428" s="105"/>
      <c r="AM428" s="105"/>
      <c r="AN428" s="105"/>
      <c r="AO428" s="105"/>
      <c r="AP428" s="105"/>
      <c r="AQ428" s="105"/>
      <c r="AR428" s="105"/>
      <c r="AS428" s="105"/>
      <c r="AT428" s="105"/>
      <c r="AU428" s="105"/>
      <c r="AV428" s="105"/>
      <c r="AW428" s="105"/>
      <c r="AX428" s="105"/>
      <c r="AY428" s="105"/>
      <c r="AZ428" s="105"/>
      <c r="BA428" s="105"/>
      <c r="BB428" s="105"/>
      <c r="BC428" s="105"/>
      <c r="BD428" s="105"/>
      <c r="BE428" s="105"/>
      <c r="BF428" s="105"/>
      <c r="BG428" s="105"/>
      <c r="BH428" s="105"/>
      <c r="BI428" s="105"/>
      <c r="BJ428" s="105"/>
      <c r="BK428" s="105"/>
      <c r="BL428" s="105"/>
      <c r="BM428" s="105"/>
      <c r="BN428" s="105"/>
      <c r="BO428" s="105"/>
      <c r="BP428" s="105"/>
      <c r="BQ428" s="105"/>
      <c r="BR428" s="105"/>
      <c r="BS428" s="105"/>
      <c r="BT428" s="105"/>
      <c r="BU428" s="105"/>
      <c r="BV428" s="105"/>
      <c r="BW428" s="105"/>
      <c r="BX428" s="105"/>
      <c r="BY428" s="105"/>
      <c r="BZ428" s="105"/>
      <c r="CA428" s="105"/>
      <c r="CB428" s="105"/>
      <c r="CC428" s="105"/>
      <c r="CD428" s="105"/>
      <c r="CE428" s="105"/>
      <c r="CF428" s="105"/>
      <c r="CG428" s="105"/>
      <c r="CH428" s="105"/>
      <c r="CI428" s="105"/>
      <c r="CJ428" s="105"/>
      <c r="CK428" s="105"/>
      <c r="CL428" s="105"/>
      <c r="CM428" s="105"/>
      <c r="CN428" s="105"/>
      <c r="CO428" s="105"/>
      <c r="CP428" s="105"/>
      <c r="CQ428" s="105"/>
      <c r="CR428" s="105"/>
      <c r="CS428" s="105"/>
      <c r="CT428" s="105"/>
      <c r="CU428" s="105"/>
      <c r="CV428" s="105"/>
      <c r="CW428" s="105"/>
      <c r="CX428" s="105"/>
      <c r="CY428" s="105"/>
      <c r="CZ428" s="105"/>
      <c r="DA428" s="105"/>
    </row>
    <row r="429">
      <c r="B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c r="AA429" s="105"/>
      <c r="AB429" s="105"/>
      <c r="AC429" s="105"/>
      <c r="AD429" s="105"/>
      <c r="AE429" s="105"/>
      <c r="AF429" s="105"/>
      <c r="AG429" s="105"/>
      <c r="AH429" s="105"/>
      <c r="AI429" s="105"/>
      <c r="AJ429" s="105"/>
      <c r="AK429" s="105"/>
      <c r="AL429" s="105"/>
      <c r="AM429" s="105"/>
      <c r="AN429" s="105"/>
      <c r="AO429" s="105"/>
      <c r="AP429" s="105"/>
      <c r="AQ429" s="105"/>
      <c r="AR429" s="105"/>
      <c r="AS429" s="105"/>
      <c r="AT429" s="105"/>
      <c r="AU429" s="105"/>
      <c r="AV429" s="105"/>
      <c r="AW429" s="105"/>
      <c r="AX429" s="105"/>
      <c r="AY429" s="105"/>
      <c r="AZ429" s="105"/>
      <c r="BA429" s="105"/>
      <c r="BB429" s="105"/>
      <c r="BC429" s="105"/>
      <c r="BD429" s="105"/>
      <c r="BE429" s="105"/>
      <c r="BF429" s="105"/>
      <c r="BG429" s="105"/>
      <c r="BH429" s="105"/>
      <c r="BI429" s="105"/>
      <c r="BJ429" s="105"/>
      <c r="BK429" s="105"/>
      <c r="BL429" s="105"/>
      <c r="BM429" s="105"/>
      <c r="BN429" s="105"/>
      <c r="BO429" s="105"/>
      <c r="BP429" s="105"/>
      <c r="BQ429" s="105"/>
      <c r="BR429" s="105"/>
      <c r="BS429" s="105"/>
      <c r="BT429" s="105"/>
      <c r="BU429" s="105"/>
      <c r="BV429" s="105"/>
      <c r="BW429" s="105"/>
      <c r="BX429" s="105"/>
      <c r="BY429" s="105"/>
      <c r="BZ429" s="105"/>
      <c r="CA429" s="105"/>
      <c r="CB429" s="105"/>
      <c r="CC429" s="105"/>
      <c r="CD429" s="105"/>
      <c r="CE429" s="105"/>
      <c r="CF429" s="105"/>
      <c r="CG429" s="105"/>
      <c r="CH429" s="105"/>
      <c r="CI429" s="105"/>
      <c r="CJ429" s="105"/>
      <c r="CK429" s="105"/>
      <c r="CL429" s="105"/>
      <c r="CM429" s="105"/>
      <c r="CN429" s="105"/>
      <c r="CO429" s="105"/>
      <c r="CP429" s="105"/>
      <c r="CQ429" s="105"/>
      <c r="CR429" s="105"/>
      <c r="CS429" s="105"/>
      <c r="CT429" s="105"/>
      <c r="CU429" s="105"/>
      <c r="CV429" s="105"/>
      <c r="CW429" s="105"/>
      <c r="CX429" s="105"/>
      <c r="CY429" s="105"/>
      <c r="CZ429" s="105"/>
      <c r="DA429" s="105"/>
    </row>
    <row r="430">
      <c r="B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c r="AA430" s="105"/>
      <c r="AB430" s="105"/>
      <c r="AC430" s="105"/>
      <c r="AD430" s="105"/>
      <c r="AE430" s="105"/>
      <c r="AF430" s="105"/>
      <c r="AG430" s="105"/>
      <c r="AH430" s="105"/>
      <c r="AI430" s="105"/>
      <c r="AJ430" s="105"/>
      <c r="AK430" s="105"/>
      <c r="AL430" s="105"/>
      <c r="AM430" s="105"/>
      <c r="AN430" s="105"/>
      <c r="AO430" s="105"/>
      <c r="AP430" s="105"/>
      <c r="AQ430" s="105"/>
      <c r="AR430" s="105"/>
      <c r="AS430" s="105"/>
      <c r="AT430" s="105"/>
      <c r="AU430" s="105"/>
      <c r="AV430" s="105"/>
      <c r="AW430" s="105"/>
      <c r="AX430" s="105"/>
      <c r="AY430" s="105"/>
      <c r="AZ430" s="105"/>
      <c r="BA430" s="105"/>
      <c r="BB430" s="105"/>
      <c r="BC430" s="105"/>
      <c r="BD430" s="105"/>
      <c r="BE430" s="105"/>
      <c r="BF430" s="105"/>
      <c r="BG430" s="105"/>
      <c r="BH430" s="105"/>
      <c r="BI430" s="105"/>
      <c r="BJ430" s="105"/>
      <c r="BK430" s="105"/>
      <c r="BL430" s="105"/>
      <c r="BM430" s="105"/>
      <c r="BN430" s="105"/>
      <c r="BO430" s="105"/>
      <c r="BP430" s="105"/>
      <c r="BQ430" s="105"/>
      <c r="BR430" s="105"/>
      <c r="BS430" s="105"/>
      <c r="BT430" s="105"/>
      <c r="BU430" s="105"/>
      <c r="BV430" s="105"/>
      <c r="BW430" s="105"/>
      <c r="BX430" s="105"/>
      <c r="BY430" s="105"/>
      <c r="BZ430" s="105"/>
      <c r="CA430" s="105"/>
      <c r="CB430" s="105"/>
      <c r="CC430" s="105"/>
      <c r="CD430" s="105"/>
      <c r="CE430" s="105"/>
      <c r="CF430" s="105"/>
      <c r="CG430" s="105"/>
      <c r="CH430" s="105"/>
      <c r="CI430" s="105"/>
      <c r="CJ430" s="105"/>
      <c r="CK430" s="105"/>
      <c r="CL430" s="105"/>
      <c r="CM430" s="105"/>
      <c r="CN430" s="105"/>
      <c r="CO430" s="105"/>
      <c r="CP430" s="105"/>
      <c r="CQ430" s="105"/>
      <c r="CR430" s="105"/>
      <c r="CS430" s="105"/>
      <c r="CT430" s="105"/>
      <c r="CU430" s="105"/>
      <c r="CV430" s="105"/>
      <c r="CW430" s="105"/>
      <c r="CX430" s="105"/>
      <c r="CY430" s="105"/>
      <c r="CZ430" s="105"/>
      <c r="DA430" s="105"/>
    </row>
    <row r="431">
      <c r="B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c r="AA431" s="105"/>
      <c r="AB431" s="105"/>
      <c r="AC431" s="105"/>
      <c r="AD431" s="105"/>
      <c r="AE431" s="105"/>
      <c r="AF431" s="105"/>
      <c r="AG431" s="105"/>
      <c r="AH431" s="105"/>
      <c r="AI431" s="105"/>
      <c r="AJ431" s="105"/>
      <c r="AK431" s="105"/>
      <c r="AL431" s="105"/>
      <c r="AM431" s="105"/>
      <c r="AN431" s="105"/>
      <c r="AO431" s="105"/>
      <c r="AP431" s="105"/>
      <c r="AQ431" s="105"/>
      <c r="AR431" s="105"/>
      <c r="AS431" s="105"/>
      <c r="AT431" s="105"/>
      <c r="AU431" s="105"/>
      <c r="AV431" s="105"/>
      <c r="AW431" s="105"/>
      <c r="AX431" s="105"/>
      <c r="AY431" s="105"/>
      <c r="AZ431" s="105"/>
      <c r="BA431" s="105"/>
      <c r="BB431" s="105"/>
      <c r="BC431" s="105"/>
      <c r="BD431" s="105"/>
      <c r="BE431" s="105"/>
      <c r="BF431" s="105"/>
      <c r="BG431" s="105"/>
      <c r="BH431" s="105"/>
      <c r="BI431" s="105"/>
      <c r="BJ431" s="105"/>
      <c r="BK431" s="105"/>
      <c r="BL431" s="105"/>
      <c r="BM431" s="105"/>
      <c r="BN431" s="105"/>
      <c r="BO431" s="105"/>
      <c r="BP431" s="105"/>
      <c r="BQ431" s="105"/>
      <c r="BR431" s="105"/>
      <c r="BS431" s="105"/>
      <c r="BT431" s="105"/>
      <c r="BU431" s="105"/>
      <c r="BV431" s="105"/>
      <c r="BW431" s="105"/>
      <c r="BX431" s="105"/>
      <c r="BY431" s="105"/>
      <c r="BZ431" s="105"/>
      <c r="CA431" s="105"/>
      <c r="CB431" s="105"/>
      <c r="CC431" s="105"/>
      <c r="CD431" s="105"/>
      <c r="CE431" s="105"/>
      <c r="CF431" s="105"/>
      <c r="CG431" s="105"/>
      <c r="CH431" s="105"/>
      <c r="CI431" s="105"/>
      <c r="CJ431" s="105"/>
      <c r="CK431" s="105"/>
      <c r="CL431" s="105"/>
      <c r="CM431" s="105"/>
      <c r="CN431" s="105"/>
      <c r="CO431" s="105"/>
      <c r="CP431" s="105"/>
      <c r="CQ431" s="105"/>
      <c r="CR431" s="105"/>
      <c r="CS431" s="105"/>
      <c r="CT431" s="105"/>
      <c r="CU431" s="105"/>
      <c r="CV431" s="105"/>
      <c r="CW431" s="105"/>
      <c r="CX431" s="105"/>
      <c r="CY431" s="105"/>
      <c r="CZ431" s="105"/>
      <c r="DA431" s="105"/>
    </row>
    <row r="432">
      <c r="B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c r="AA432" s="105"/>
      <c r="AB432" s="105"/>
      <c r="AC432" s="105"/>
      <c r="AD432" s="105"/>
      <c r="AE432" s="105"/>
      <c r="AF432" s="105"/>
      <c r="AG432" s="105"/>
      <c r="AH432" s="105"/>
      <c r="AI432" s="105"/>
      <c r="AJ432" s="105"/>
      <c r="AK432" s="105"/>
      <c r="AL432" s="105"/>
      <c r="AM432" s="105"/>
      <c r="AN432" s="105"/>
      <c r="AO432" s="105"/>
      <c r="AP432" s="105"/>
      <c r="AQ432" s="105"/>
      <c r="AR432" s="105"/>
      <c r="AS432" s="105"/>
      <c r="AT432" s="105"/>
      <c r="AU432" s="105"/>
      <c r="AV432" s="105"/>
      <c r="AW432" s="105"/>
      <c r="AX432" s="105"/>
      <c r="AY432" s="105"/>
      <c r="AZ432" s="105"/>
      <c r="BA432" s="105"/>
      <c r="BB432" s="105"/>
      <c r="BC432" s="105"/>
      <c r="BD432" s="105"/>
      <c r="BE432" s="105"/>
      <c r="BF432" s="105"/>
      <c r="BG432" s="105"/>
      <c r="BH432" s="105"/>
      <c r="BI432" s="105"/>
      <c r="BJ432" s="105"/>
      <c r="BK432" s="105"/>
      <c r="BL432" s="105"/>
      <c r="BM432" s="105"/>
      <c r="BN432" s="105"/>
      <c r="BO432" s="105"/>
      <c r="BP432" s="105"/>
      <c r="BQ432" s="105"/>
      <c r="BR432" s="105"/>
      <c r="BS432" s="105"/>
      <c r="BT432" s="105"/>
      <c r="BU432" s="105"/>
      <c r="BV432" s="105"/>
      <c r="BW432" s="105"/>
      <c r="BX432" s="105"/>
      <c r="BY432" s="105"/>
      <c r="BZ432" s="105"/>
      <c r="CA432" s="105"/>
      <c r="CB432" s="105"/>
      <c r="CC432" s="105"/>
      <c r="CD432" s="105"/>
      <c r="CE432" s="105"/>
      <c r="CF432" s="105"/>
      <c r="CG432" s="105"/>
      <c r="CH432" s="105"/>
      <c r="CI432" s="105"/>
      <c r="CJ432" s="105"/>
      <c r="CK432" s="105"/>
      <c r="CL432" s="105"/>
      <c r="CM432" s="105"/>
      <c r="CN432" s="105"/>
      <c r="CO432" s="105"/>
      <c r="CP432" s="105"/>
      <c r="CQ432" s="105"/>
      <c r="CR432" s="105"/>
      <c r="CS432" s="105"/>
      <c r="CT432" s="105"/>
      <c r="CU432" s="105"/>
      <c r="CV432" s="105"/>
      <c r="CW432" s="105"/>
      <c r="CX432" s="105"/>
      <c r="CY432" s="105"/>
      <c r="CZ432" s="105"/>
      <c r="DA432" s="105"/>
    </row>
    <row r="433">
      <c r="B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c r="AA433" s="105"/>
      <c r="AB433" s="105"/>
      <c r="AC433" s="105"/>
      <c r="AD433" s="105"/>
      <c r="AE433" s="105"/>
      <c r="AF433" s="105"/>
      <c r="AG433" s="105"/>
      <c r="AH433" s="105"/>
      <c r="AI433" s="105"/>
      <c r="AJ433" s="105"/>
      <c r="AK433" s="105"/>
      <c r="AL433" s="105"/>
      <c r="AM433" s="105"/>
      <c r="AN433" s="105"/>
      <c r="AO433" s="105"/>
      <c r="AP433" s="105"/>
      <c r="AQ433" s="105"/>
      <c r="AR433" s="105"/>
      <c r="AS433" s="105"/>
      <c r="AT433" s="105"/>
      <c r="AU433" s="105"/>
      <c r="AV433" s="105"/>
      <c r="AW433" s="105"/>
      <c r="AX433" s="105"/>
      <c r="AY433" s="105"/>
      <c r="AZ433" s="105"/>
      <c r="BA433" s="105"/>
      <c r="BB433" s="105"/>
      <c r="BC433" s="105"/>
      <c r="BD433" s="105"/>
      <c r="BE433" s="105"/>
      <c r="BF433" s="105"/>
      <c r="BG433" s="105"/>
      <c r="BH433" s="105"/>
      <c r="BI433" s="105"/>
      <c r="BJ433" s="105"/>
      <c r="BK433" s="105"/>
      <c r="BL433" s="105"/>
      <c r="BM433" s="105"/>
      <c r="BN433" s="105"/>
      <c r="BO433" s="105"/>
      <c r="BP433" s="105"/>
      <c r="BQ433" s="105"/>
      <c r="BR433" s="105"/>
      <c r="BS433" s="105"/>
      <c r="BT433" s="105"/>
      <c r="BU433" s="105"/>
      <c r="BV433" s="105"/>
      <c r="BW433" s="105"/>
      <c r="BX433" s="105"/>
      <c r="BY433" s="105"/>
      <c r="BZ433" s="105"/>
      <c r="CA433" s="105"/>
      <c r="CB433" s="105"/>
      <c r="CC433" s="105"/>
      <c r="CD433" s="105"/>
      <c r="CE433" s="105"/>
      <c r="CF433" s="105"/>
      <c r="CG433" s="105"/>
      <c r="CH433" s="105"/>
      <c r="CI433" s="105"/>
      <c r="CJ433" s="105"/>
      <c r="CK433" s="105"/>
      <c r="CL433" s="105"/>
      <c r="CM433" s="105"/>
      <c r="CN433" s="105"/>
      <c r="CO433" s="105"/>
      <c r="CP433" s="105"/>
      <c r="CQ433" s="105"/>
      <c r="CR433" s="105"/>
      <c r="CS433" s="105"/>
      <c r="CT433" s="105"/>
      <c r="CU433" s="105"/>
      <c r="CV433" s="105"/>
      <c r="CW433" s="105"/>
      <c r="CX433" s="105"/>
      <c r="CY433" s="105"/>
      <c r="CZ433" s="105"/>
      <c r="DA433" s="105"/>
    </row>
    <row r="434">
      <c r="B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c r="AA434" s="105"/>
      <c r="AB434" s="105"/>
      <c r="AC434" s="105"/>
      <c r="AD434" s="105"/>
      <c r="AE434" s="105"/>
      <c r="AF434" s="105"/>
      <c r="AG434" s="105"/>
      <c r="AH434" s="105"/>
      <c r="AI434" s="105"/>
      <c r="AJ434" s="105"/>
      <c r="AK434" s="105"/>
      <c r="AL434" s="105"/>
      <c r="AM434" s="105"/>
      <c r="AN434" s="105"/>
      <c r="AO434" s="105"/>
      <c r="AP434" s="105"/>
      <c r="AQ434" s="105"/>
      <c r="AR434" s="105"/>
      <c r="AS434" s="105"/>
      <c r="AT434" s="105"/>
      <c r="AU434" s="105"/>
      <c r="AV434" s="105"/>
      <c r="AW434" s="105"/>
      <c r="AX434" s="105"/>
      <c r="AY434" s="105"/>
      <c r="AZ434" s="105"/>
      <c r="BA434" s="105"/>
      <c r="BB434" s="105"/>
      <c r="BC434" s="105"/>
      <c r="BD434" s="105"/>
      <c r="BE434" s="105"/>
      <c r="BF434" s="105"/>
      <c r="BG434" s="105"/>
      <c r="BH434" s="105"/>
      <c r="BI434" s="105"/>
      <c r="BJ434" s="105"/>
      <c r="BK434" s="105"/>
      <c r="BL434" s="105"/>
      <c r="BM434" s="105"/>
      <c r="BN434" s="105"/>
      <c r="BO434" s="105"/>
      <c r="BP434" s="105"/>
      <c r="BQ434" s="105"/>
      <c r="BR434" s="105"/>
      <c r="BS434" s="105"/>
      <c r="BT434" s="105"/>
      <c r="BU434" s="105"/>
      <c r="BV434" s="105"/>
      <c r="BW434" s="105"/>
      <c r="BX434" s="105"/>
      <c r="BY434" s="105"/>
      <c r="BZ434" s="105"/>
      <c r="CA434" s="105"/>
      <c r="CB434" s="105"/>
      <c r="CC434" s="105"/>
      <c r="CD434" s="105"/>
      <c r="CE434" s="105"/>
      <c r="CF434" s="105"/>
      <c r="CG434" s="105"/>
      <c r="CH434" s="105"/>
      <c r="CI434" s="105"/>
      <c r="CJ434" s="105"/>
      <c r="CK434" s="105"/>
      <c r="CL434" s="105"/>
      <c r="CM434" s="105"/>
      <c r="CN434" s="105"/>
      <c r="CO434" s="105"/>
      <c r="CP434" s="105"/>
      <c r="CQ434" s="105"/>
      <c r="CR434" s="105"/>
      <c r="CS434" s="105"/>
      <c r="CT434" s="105"/>
      <c r="CU434" s="105"/>
      <c r="CV434" s="105"/>
      <c r="CW434" s="105"/>
      <c r="CX434" s="105"/>
      <c r="CY434" s="105"/>
      <c r="CZ434" s="105"/>
      <c r="DA434" s="105"/>
    </row>
    <row r="435">
      <c r="B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c r="AA435" s="105"/>
      <c r="AB435" s="105"/>
      <c r="AC435" s="105"/>
      <c r="AD435" s="105"/>
      <c r="AE435" s="105"/>
      <c r="AF435" s="105"/>
      <c r="AG435" s="105"/>
      <c r="AH435" s="105"/>
      <c r="AI435" s="105"/>
      <c r="AJ435" s="105"/>
      <c r="AK435" s="105"/>
      <c r="AL435" s="105"/>
      <c r="AM435" s="105"/>
      <c r="AN435" s="105"/>
      <c r="AO435" s="105"/>
      <c r="AP435" s="105"/>
      <c r="AQ435" s="105"/>
      <c r="AR435" s="105"/>
      <c r="AS435" s="105"/>
      <c r="AT435" s="105"/>
      <c r="AU435" s="105"/>
      <c r="AV435" s="105"/>
      <c r="AW435" s="105"/>
      <c r="AX435" s="105"/>
      <c r="AY435" s="105"/>
      <c r="AZ435" s="105"/>
      <c r="BA435" s="105"/>
      <c r="BB435" s="105"/>
      <c r="BC435" s="105"/>
      <c r="BD435" s="105"/>
      <c r="BE435" s="105"/>
      <c r="BF435" s="105"/>
      <c r="BG435" s="105"/>
      <c r="BH435" s="105"/>
      <c r="BI435" s="105"/>
      <c r="BJ435" s="105"/>
      <c r="BK435" s="105"/>
      <c r="BL435" s="105"/>
      <c r="BM435" s="105"/>
      <c r="BN435" s="105"/>
      <c r="BO435" s="105"/>
      <c r="BP435" s="105"/>
      <c r="BQ435" s="105"/>
      <c r="BR435" s="105"/>
      <c r="BS435" s="105"/>
      <c r="BT435" s="105"/>
      <c r="BU435" s="105"/>
      <c r="BV435" s="105"/>
      <c r="BW435" s="105"/>
      <c r="BX435" s="105"/>
      <c r="BY435" s="105"/>
      <c r="BZ435" s="105"/>
      <c r="CA435" s="105"/>
      <c r="CB435" s="105"/>
      <c r="CC435" s="105"/>
      <c r="CD435" s="105"/>
      <c r="CE435" s="105"/>
      <c r="CF435" s="105"/>
      <c r="CG435" s="105"/>
      <c r="CH435" s="105"/>
      <c r="CI435" s="105"/>
      <c r="CJ435" s="105"/>
      <c r="CK435" s="105"/>
      <c r="CL435" s="105"/>
      <c r="CM435" s="105"/>
      <c r="CN435" s="105"/>
      <c r="CO435" s="105"/>
      <c r="CP435" s="105"/>
      <c r="CQ435" s="105"/>
      <c r="CR435" s="105"/>
      <c r="CS435" s="105"/>
      <c r="CT435" s="105"/>
      <c r="CU435" s="105"/>
      <c r="CV435" s="105"/>
      <c r="CW435" s="105"/>
      <c r="CX435" s="105"/>
      <c r="CY435" s="105"/>
      <c r="CZ435" s="105"/>
      <c r="DA435" s="105"/>
    </row>
    <row r="436">
      <c r="B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c r="AA436" s="105"/>
      <c r="AB436" s="105"/>
      <c r="AC436" s="105"/>
      <c r="AD436" s="105"/>
      <c r="AE436" s="105"/>
      <c r="AF436" s="105"/>
      <c r="AG436" s="105"/>
      <c r="AH436" s="105"/>
      <c r="AI436" s="105"/>
      <c r="AJ436" s="105"/>
      <c r="AK436" s="105"/>
      <c r="AL436" s="105"/>
      <c r="AM436" s="105"/>
      <c r="AN436" s="105"/>
      <c r="AO436" s="105"/>
      <c r="AP436" s="105"/>
      <c r="AQ436" s="105"/>
      <c r="AR436" s="105"/>
      <c r="AS436" s="105"/>
      <c r="AT436" s="105"/>
      <c r="AU436" s="105"/>
      <c r="AV436" s="105"/>
      <c r="AW436" s="105"/>
      <c r="AX436" s="105"/>
      <c r="AY436" s="105"/>
      <c r="AZ436" s="105"/>
      <c r="BA436" s="105"/>
      <c r="BB436" s="105"/>
      <c r="BC436" s="105"/>
      <c r="BD436" s="105"/>
      <c r="BE436" s="105"/>
      <c r="BF436" s="105"/>
      <c r="BG436" s="105"/>
      <c r="BH436" s="105"/>
      <c r="BI436" s="105"/>
      <c r="BJ436" s="105"/>
      <c r="BK436" s="105"/>
      <c r="BL436" s="105"/>
      <c r="BM436" s="105"/>
      <c r="BN436" s="105"/>
      <c r="BO436" s="105"/>
      <c r="BP436" s="105"/>
      <c r="BQ436" s="105"/>
      <c r="BR436" s="105"/>
      <c r="BS436" s="105"/>
      <c r="BT436" s="105"/>
      <c r="BU436" s="105"/>
      <c r="BV436" s="105"/>
      <c r="BW436" s="105"/>
      <c r="BX436" s="105"/>
      <c r="BY436" s="105"/>
      <c r="BZ436" s="105"/>
      <c r="CA436" s="105"/>
      <c r="CB436" s="105"/>
      <c r="CC436" s="105"/>
      <c r="CD436" s="105"/>
      <c r="CE436" s="105"/>
      <c r="CF436" s="105"/>
      <c r="CG436" s="105"/>
      <c r="CH436" s="105"/>
      <c r="CI436" s="105"/>
      <c r="CJ436" s="105"/>
      <c r="CK436" s="105"/>
      <c r="CL436" s="105"/>
      <c r="CM436" s="105"/>
      <c r="CN436" s="105"/>
      <c r="CO436" s="105"/>
      <c r="CP436" s="105"/>
      <c r="CQ436" s="105"/>
      <c r="CR436" s="105"/>
      <c r="CS436" s="105"/>
      <c r="CT436" s="105"/>
      <c r="CU436" s="105"/>
      <c r="CV436" s="105"/>
      <c r="CW436" s="105"/>
      <c r="CX436" s="105"/>
      <c r="CY436" s="105"/>
      <c r="CZ436" s="105"/>
      <c r="DA436" s="105"/>
    </row>
    <row r="437">
      <c r="B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c r="AA437" s="105"/>
      <c r="AB437" s="105"/>
      <c r="AC437" s="105"/>
      <c r="AD437" s="105"/>
      <c r="AE437" s="105"/>
      <c r="AF437" s="105"/>
      <c r="AG437" s="105"/>
      <c r="AH437" s="105"/>
      <c r="AI437" s="105"/>
      <c r="AJ437" s="105"/>
      <c r="AK437" s="105"/>
      <c r="AL437" s="105"/>
      <c r="AM437" s="105"/>
      <c r="AN437" s="105"/>
      <c r="AO437" s="105"/>
      <c r="AP437" s="105"/>
      <c r="AQ437" s="105"/>
      <c r="AR437" s="105"/>
      <c r="AS437" s="105"/>
      <c r="AT437" s="105"/>
      <c r="AU437" s="105"/>
      <c r="AV437" s="105"/>
      <c r="AW437" s="105"/>
      <c r="AX437" s="105"/>
      <c r="AY437" s="105"/>
      <c r="AZ437" s="105"/>
      <c r="BA437" s="105"/>
      <c r="BB437" s="105"/>
      <c r="BC437" s="105"/>
      <c r="BD437" s="105"/>
      <c r="BE437" s="105"/>
      <c r="BF437" s="105"/>
      <c r="BG437" s="105"/>
      <c r="BH437" s="105"/>
      <c r="BI437" s="105"/>
      <c r="BJ437" s="105"/>
      <c r="BK437" s="105"/>
      <c r="BL437" s="105"/>
      <c r="BM437" s="105"/>
      <c r="BN437" s="105"/>
      <c r="BO437" s="105"/>
      <c r="BP437" s="105"/>
      <c r="BQ437" s="105"/>
      <c r="BR437" s="105"/>
      <c r="BS437" s="105"/>
      <c r="BT437" s="105"/>
      <c r="BU437" s="105"/>
      <c r="BV437" s="105"/>
      <c r="BW437" s="105"/>
      <c r="BX437" s="105"/>
      <c r="BY437" s="105"/>
      <c r="BZ437" s="105"/>
      <c r="CA437" s="105"/>
      <c r="CB437" s="105"/>
      <c r="CC437" s="105"/>
      <c r="CD437" s="105"/>
      <c r="CE437" s="105"/>
      <c r="CF437" s="105"/>
      <c r="CG437" s="105"/>
      <c r="CH437" s="105"/>
      <c r="CI437" s="105"/>
      <c r="CJ437" s="105"/>
      <c r="CK437" s="105"/>
      <c r="CL437" s="105"/>
      <c r="CM437" s="105"/>
      <c r="CN437" s="105"/>
      <c r="CO437" s="105"/>
      <c r="CP437" s="105"/>
      <c r="CQ437" s="105"/>
      <c r="CR437" s="105"/>
      <c r="CS437" s="105"/>
      <c r="CT437" s="105"/>
      <c r="CU437" s="105"/>
      <c r="CV437" s="105"/>
      <c r="CW437" s="105"/>
      <c r="CX437" s="105"/>
      <c r="CY437" s="105"/>
      <c r="CZ437" s="105"/>
      <c r="DA437" s="105"/>
    </row>
    <row r="438">
      <c r="B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c r="AA438" s="105"/>
      <c r="AB438" s="105"/>
      <c r="AC438" s="105"/>
      <c r="AD438" s="105"/>
      <c r="AE438" s="105"/>
      <c r="AF438" s="105"/>
      <c r="AG438" s="105"/>
      <c r="AH438" s="105"/>
      <c r="AI438" s="105"/>
      <c r="AJ438" s="105"/>
      <c r="AK438" s="105"/>
      <c r="AL438" s="105"/>
      <c r="AM438" s="105"/>
      <c r="AN438" s="105"/>
      <c r="AO438" s="105"/>
      <c r="AP438" s="105"/>
      <c r="AQ438" s="105"/>
      <c r="AR438" s="105"/>
      <c r="AS438" s="105"/>
      <c r="AT438" s="105"/>
      <c r="AU438" s="105"/>
      <c r="AV438" s="105"/>
      <c r="AW438" s="105"/>
      <c r="AX438" s="105"/>
      <c r="AY438" s="105"/>
      <c r="AZ438" s="105"/>
      <c r="BA438" s="105"/>
      <c r="BB438" s="105"/>
      <c r="BC438" s="105"/>
      <c r="BD438" s="105"/>
      <c r="BE438" s="105"/>
      <c r="BF438" s="105"/>
      <c r="BG438" s="105"/>
      <c r="BH438" s="105"/>
      <c r="BI438" s="105"/>
      <c r="BJ438" s="105"/>
      <c r="BK438" s="105"/>
      <c r="BL438" s="105"/>
      <c r="BM438" s="105"/>
      <c r="BN438" s="105"/>
      <c r="BO438" s="105"/>
      <c r="BP438" s="105"/>
      <c r="BQ438" s="105"/>
      <c r="BR438" s="105"/>
      <c r="BS438" s="105"/>
      <c r="BT438" s="105"/>
      <c r="BU438" s="105"/>
      <c r="BV438" s="105"/>
      <c r="BW438" s="105"/>
      <c r="BX438" s="105"/>
      <c r="BY438" s="105"/>
      <c r="BZ438" s="105"/>
      <c r="CA438" s="105"/>
      <c r="CB438" s="105"/>
      <c r="CC438" s="105"/>
      <c r="CD438" s="105"/>
      <c r="CE438" s="105"/>
      <c r="CF438" s="105"/>
      <c r="CG438" s="105"/>
      <c r="CH438" s="105"/>
      <c r="CI438" s="105"/>
      <c r="CJ438" s="105"/>
      <c r="CK438" s="105"/>
      <c r="CL438" s="105"/>
      <c r="CM438" s="105"/>
      <c r="CN438" s="105"/>
      <c r="CO438" s="105"/>
      <c r="CP438" s="105"/>
      <c r="CQ438" s="105"/>
      <c r="CR438" s="105"/>
      <c r="CS438" s="105"/>
      <c r="CT438" s="105"/>
      <c r="CU438" s="105"/>
      <c r="CV438" s="105"/>
      <c r="CW438" s="105"/>
      <c r="CX438" s="105"/>
      <c r="CY438" s="105"/>
      <c r="CZ438" s="105"/>
      <c r="DA438" s="105"/>
    </row>
    <row r="439">
      <c r="B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c r="AA439" s="105"/>
      <c r="AB439" s="105"/>
      <c r="AC439" s="105"/>
      <c r="AD439" s="105"/>
      <c r="AE439" s="105"/>
      <c r="AF439" s="105"/>
      <c r="AG439" s="105"/>
      <c r="AH439" s="105"/>
      <c r="AI439" s="105"/>
      <c r="AJ439" s="105"/>
      <c r="AK439" s="105"/>
      <c r="AL439" s="105"/>
      <c r="AM439" s="105"/>
      <c r="AN439" s="105"/>
      <c r="AO439" s="105"/>
      <c r="AP439" s="105"/>
      <c r="AQ439" s="105"/>
      <c r="AR439" s="105"/>
      <c r="AS439" s="105"/>
      <c r="AT439" s="105"/>
      <c r="AU439" s="105"/>
      <c r="AV439" s="105"/>
      <c r="AW439" s="105"/>
      <c r="AX439" s="105"/>
      <c r="AY439" s="105"/>
      <c r="AZ439" s="105"/>
      <c r="BA439" s="105"/>
      <c r="BB439" s="105"/>
      <c r="BC439" s="105"/>
      <c r="BD439" s="105"/>
      <c r="BE439" s="105"/>
      <c r="BF439" s="105"/>
      <c r="BG439" s="105"/>
      <c r="BH439" s="105"/>
      <c r="BI439" s="105"/>
      <c r="BJ439" s="105"/>
      <c r="BK439" s="105"/>
      <c r="BL439" s="105"/>
      <c r="BM439" s="105"/>
      <c r="BN439" s="105"/>
      <c r="BO439" s="105"/>
      <c r="BP439" s="105"/>
      <c r="BQ439" s="105"/>
      <c r="BR439" s="105"/>
      <c r="BS439" s="105"/>
      <c r="BT439" s="105"/>
      <c r="BU439" s="105"/>
      <c r="BV439" s="105"/>
      <c r="BW439" s="105"/>
      <c r="BX439" s="105"/>
      <c r="BY439" s="105"/>
      <c r="BZ439" s="105"/>
      <c r="CA439" s="105"/>
      <c r="CB439" s="105"/>
      <c r="CC439" s="105"/>
      <c r="CD439" s="105"/>
      <c r="CE439" s="105"/>
      <c r="CF439" s="105"/>
      <c r="CG439" s="105"/>
      <c r="CH439" s="105"/>
      <c r="CI439" s="105"/>
      <c r="CJ439" s="105"/>
      <c r="CK439" s="105"/>
      <c r="CL439" s="105"/>
      <c r="CM439" s="105"/>
      <c r="CN439" s="105"/>
      <c r="CO439" s="105"/>
      <c r="CP439" s="105"/>
      <c r="CQ439" s="105"/>
      <c r="CR439" s="105"/>
      <c r="CS439" s="105"/>
      <c r="CT439" s="105"/>
      <c r="CU439" s="105"/>
      <c r="CV439" s="105"/>
      <c r="CW439" s="105"/>
      <c r="CX439" s="105"/>
      <c r="CY439" s="105"/>
      <c r="CZ439" s="105"/>
      <c r="DA439" s="105"/>
    </row>
    <row r="440">
      <c r="B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c r="AA440" s="105"/>
      <c r="AB440" s="105"/>
      <c r="AC440" s="105"/>
      <c r="AD440" s="105"/>
      <c r="AE440" s="105"/>
      <c r="AF440" s="105"/>
      <c r="AG440" s="105"/>
      <c r="AH440" s="105"/>
      <c r="AI440" s="105"/>
      <c r="AJ440" s="105"/>
      <c r="AK440" s="105"/>
      <c r="AL440" s="105"/>
      <c r="AM440" s="105"/>
      <c r="AN440" s="105"/>
      <c r="AO440" s="105"/>
      <c r="AP440" s="105"/>
      <c r="AQ440" s="105"/>
      <c r="AR440" s="105"/>
      <c r="AS440" s="105"/>
      <c r="AT440" s="105"/>
      <c r="AU440" s="105"/>
      <c r="AV440" s="105"/>
      <c r="AW440" s="105"/>
      <c r="AX440" s="105"/>
      <c r="AY440" s="105"/>
      <c r="AZ440" s="105"/>
      <c r="BA440" s="105"/>
      <c r="BB440" s="105"/>
      <c r="BC440" s="105"/>
      <c r="BD440" s="105"/>
      <c r="BE440" s="105"/>
      <c r="BF440" s="105"/>
      <c r="BG440" s="105"/>
      <c r="BH440" s="105"/>
      <c r="BI440" s="105"/>
      <c r="BJ440" s="105"/>
      <c r="BK440" s="105"/>
      <c r="BL440" s="105"/>
      <c r="BM440" s="105"/>
      <c r="BN440" s="105"/>
      <c r="BO440" s="105"/>
      <c r="BP440" s="105"/>
      <c r="BQ440" s="105"/>
      <c r="BR440" s="105"/>
      <c r="BS440" s="105"/>
      <c r="BT440" s="105"/>
      <c r="BU440" s="105"/>
      <c r="BV440" s="105"/>
      <c r="BW440" s="105"/>
      <c r="BX440" s="105"/>
      <c r="BY440" s="105"/>
      <c r="BZ440" s="105"/>
      <c r="CA440" s="105"/>
      <c r="CB440" s="105"/>
      <c r="CC440" s="105"/>
      <c r="CD440" s="105"/>
      <c r="CE440" s="105"/>
      <c r="CF440" s="105"/>
      <c r="CG440" s="105"/>
      <c r="CH440" s="105"/>
      <c r="CI440" s="105"/>
      <c r="CJ440" s="105"/>
      <c r="CK440" s="105"/>
      <c r="CL440" s="105"/>
      <c r="CM440" s="105"/>
      <c r="CN440" s="105"/>
      <c r="CO440" s="105"/>
      <c r="CP440" s="105"/>
      <c r="CQ440" s="105"/>
      <c r="CR440" s="105"/>
      <c r="CS440" s="105"/>
      <c r="CT440" s="105"/>
      <c r="CU440" s="105"/>
      <c r="CV440" s="105"/>
      <c r="CW440" s="105"/>
      <c r="CX440" s="105"/>
      <c r="CY440" s="105"/>
      <c r="CZ440" s="105"/>
      <c r="DA440" s="105"/>
    </row>
    <row r="441">
      <c r="B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c r="AA441" s="105"/>
      <c r="AB441" s="105"/>
      <c r="AC441" s="105"/>
      <c r="AD441" s="105"/>
      <c r="AE441" s="105"/>
      <c r="AF441" s="105"/>
      <c r="AG441" s="105"/>
      <c r="AH441" s="105"/>
      <c r="AI441" s="105"/>
      <c r="AJ441" s="105"/>
      <c r="AK441" s="105"/>
      <c r="AL441" s="105"/>
      <c r="AM441" s="105"/>
      <c r="AN441" s="105"/>
      <c r="AO441" s="105"/>
      <c r="AP441" s="105"/>
      <c r="AQ441" s="105"/>
      <c r="AR441" s="105"/>
      <c r="AS441" s="105"/>
      <c r="AT441" s="105"/>
      <c r="AU441" s="105"/>
      <c r="AV441" s="105"/>
      <c r="AW441" s="105"/>
      <c r="AX441" s="105"/>
      <c r="AY441" s="105"/>
      <c r="AZ441" s="105"/>
      <c r="BA441" s="105"/>
      <c r="BB441" s="105"/>
      <c r="BC441" s="105"/>
      <c r="BD441" s="105"/>
      <c r="BE441" s="105"/>
      <c r="BF441" s="105"/>
      <c r="BG441" s="105"/>
      <c r="BH441" s="105"/>
      <c r="BI441" s="105"/>
      <c r="BJ441" s="105"/>
      <c r="BK441" s="105"/>
      <c r="BL441" s="105"/>
      <c r="BM441" s="105"/>
      <c r="BN441" s="105"/>
      <c r="BO441" s="105"/>
      <c r="BP441" s="105"/>
      <c r="BQ441" s="105"/>
      <c r="BR441" s="105"/>
      <c r="BS441" s="105"/>
      <c r="BT441" s="105"/>
      <c r="BU441" s="105"/>
      <c r="BV441" s="105"/>
      <c r="BW441" s="105"/>
      <c r="BX441" s="105"/>
      <c r="BY441" s="105"/>
      <c r="BZ441" s="105"/>
      <c r="CA441" s="105"/>
      <c r="CB441" s="105"/>
      <c r="CC441" s="105"/>
      <c r="CD441" s="105"/>
      <c r="CE441" s="105"/>
      <c r="CF441" s="105"/>
      <c r="CG441" s="105"/>
      <c r="CH441" s="105"/>
      <c r="CI441" s="105"/>
      <c r="CJ441" s="105"/>
      <c r="CK441" s="105"/>
      <c r="CL441" s="105"/>
      <c r="CM441" s="105"/>
      <c r="CN441" s="105"/>
      <c r="CO441" s="105"/>
      <c r="CP441" s="105"/>
      <c r="CQ441" s="105"/>
      <c r="CR441" s="105"/>
      <c r="CS441" s="105"/>
      <c r="CT441" s="105"/>
      <c r="CU441" s="105"/>
      <c r="CV441" s="105"/>
      <c r="CW441" s="105"/>
      <c r="CX441" s="105"/>
      <c r="CY441" s="105"/>
      <c r="CZ441" s="105"/>
      <c r="DA441" s="105"/>
    </row>
    <row r="442">
      <c r="B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c r="AA442" s="105"/>
      <c r="AB442" s="105"/>
      <c r="AC442" s="105"/>
      <c r="AD442" s="105"/>
      <c r="AE442" s="105"/>
      <c r="AF442" s="105"/>
      <c r="AG442" s="105"/>
      <c r="AH442" s="105"/>
      <c r="AI442" s="105"/>
      <c r="AJ442" s="105"/>
      <c r="AK442" s="105"/>
      <c r="AL442" s="105"/>
      <c r="AM442" s="105"/>
      <c r="AN442" s="105"/>
      <c r="AO442" s="105"/>
      <c r="AP442" s="105"/>
      <c r="AQ442" s="105"/>
      <c r="AR442" s="105"/>
      <c r="AS442" s="105"/>
      <c r="AT442" s="105"/>
      <c r="AU442" s="105"/>
      <c r="AV442" s="105"/>
      <c r="AW442" s="105"/>
      <c r="AX442" s="105"/>
      <c r="AY442" s="105"/>
      <c r="AZ442" s="105"/>
      <c r="BA442" s="105"/>
      <c r="BB442" s="105"/>
      <c r="BC442" s="105"/>
      <c r="BD442" s="105"/>
      <c r="BE442" s="105"/>
      <c r="BF442" s="105"/>
      <c r="BG442" s="105"/>
      <c r="BH442" s="105"/>
      <c r="BI442" s="105"/>
      <c r="BJ442" s="105"/>
      <c r="BK442" s="105"/>
      <c r="BL442" s="105"/>
      <c r="BM442" s="105"/>
      <c r="BN442" s="105"/>
      <c r="BO442" s="105"/>
      <c r="BP442" s="105"/>
      <c r="BQ442" s="105"/>
      <c r="BR442" s="105"/>
      <c r="BS442" s="105"/>
      <c r="BT442" s="105"/>
      <c r="BU442" s="105"/>
      <c r="BV442" s="105"/>
      <c r="BW442" s="105"/>
      <c r="BX442" s="105"/>
      <c r="BY442" s="105"/>
      <c r="BZ442" s="105"/>
      <c r="CA442" s="105"/>
      <c r="CB442" s="105"/>
      <c r="CC442" s="105"/>
      <c r="CD442" s="105"/>
      <c r="CE442" s="105"/>
      <c r="CF442" s="105"/>
      <c r="CG442" s="105"/>
      <c r="CH442" s="105"/>
      <c r="CI442" s="105"/>
      <c r="CJ442" s="105"/>
      <c r="CK442" s="105"/>
      <c r="CL442" s="105"/>
      <c r="CM442" s="105"/>
      <c r="CN442" s="105"/>
      <c r="CO442" s="105"/>
      <c r="CP442" s="105"/>
      <c r="CQ442" s="105"/>
      <c r="CR442" s="105"/>
      <c r="CS442" s="105"/>
      <c r="CT442" s="105"/>
      <c r="CU442" s="105"/>
      <c r="CV442" s="105"/>
      <c r="CW442" s="105"/>
      <c r="CX442" s="105"/>
      <c r="CY442" s="105"/>
      <c r="CZ442" s="105"/>
      <c r="DA442" s="105"/>
    </row>
    <row r="443">
      <c r="B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c r="AA443" s="105"/>
      <c r="AB443" s="105"/>
      <c r="AC443" s="105"/>
      <c r="AD443" s="105"/>
      <c r="AE443" s="105"/>
      <c r="AF443" s="105"/>
      <c r="AG443" s="105"/>
      <c r="AH443" s="105"/>
      <c r="AI443" s="105"/>
      <c r="AJ443" s="105"/>
      <c r="AK443" s="105"/>
      <c r="AL443" s="105"/>
      <c r="AM443" s="105"/>
      <c r="AN443" s="105"/>
      <c r="AO443" s="105"/>
      <c r="AP443" s="105"/>
      <c r="AQ443" s="105"/>
      <c r="AR443" s="105"/>
      <c r="AS443" s="105"/>
      <c r="AT443" s="105"/>
      <c r="AU443" s="105"/>
      <c r="AV443" s="105"/>
      <c r="AW443" s="105"/>
      <c r="AX443" s="105"/>
      <c r="AY443" s="105"/>
      <c r="AZ443" s="105"/>
      <c r="BA443" s="105"/>
      <c r="BB443" s="105"/>
      <c r="BC443" s="105"/>
      <c r="BD443" s="105"/>
      <c r="BE443" s="105"/>
      <c r="BF443" s="105"/>
      <c r="BG443" s="105"/>
      <c r="BH443" s="105"/>
      <c r="BI443" s="105"/>
      <c r="BJ443" s="105"/>
      <c r="BK443" s="105"/>
      <c r="BL443" s="105"/>
      <c r="BM443" s="105"/>
      <c r="BN443" s="105"/>
      <c r="BO443" s="105"/>
      <c r="BP443" s="105"/>
      <c r="BQ443" s="105"/>
      <c r="BR443" s="105"/>
      <c r="BS443" s="105"/>
      <c r="BT443" s="105"/>
      <c r="BU443" s="105"/>
      <c r="BV443" s="105"/>
      <c r="BW443" s="105"/>
      <c r="BX443" s="105"/>
      <c r="BY443" s="105"/>
      <c r="BZ443" s="105"/>
      <c r="CA443" s="105"/>
      <c r="CB443" s="105"/>
      <c r="CC443" s="105"/>
      <c r="CD443" s="105"/>
      <c r="CE443" s="105"/>
      <c r="CF443" s="105"/>
      <c r="CG443" s="105"/>
      <c r="CH443" s="105"/>
      <c r="CI443" s="105"/>
      <c r="CJ443" s="105"/>
      <c r="CK443" s="105"/>
      <c r="CL443" s="105"/>
      <c r="CM443" s="105"/>
      <c r="CN443" s="105"/>
      <c r="CO443" s="105"/>
      <c r="CP443" s="105"/>
      <c r="CQ443" s="105"/>
      <c r="CR443" s="105"/>
      <c r="CS443" s="105"/>
      <c r="CT443" s="105"/>
      <c r="CU443" s="105"/>
      <c r="CV443" s="105"/>
      <c r="CW443" s="105"/>
      <c r="CX443" s="105"/>
      <c r="CY443" s="105"/>
      <c r="CZ443" s="105"/>
      <c r="DA443" s="105"/>
    </row>
    <row r="444">
      <c r="B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c r="AA444" s="105"/>
      <c r="AB444" s="105"/>
      <c r="AC444" s="105"/>
      <c r="AD444" s="105"/>
      <c r="AE444" s="105"/>
      <c r="AF444" s="105"/>
      <c r="AG444" s="105"/>
      <c r="AH444" s="105"/>
      <c r="AI444" s="105"/>
      <c r="AJ444" s="105"/>
      <c r="AK444" s="105"/>
      <c r="AL444" s="105"/>
      <c r="AM444" s="105"/>
      <c r="AN444" s="105"/>
      <c r="AO444" s="105"/>
      <c r="AP444" s="105"/>
      <c r="AQ444" s="105"/>
      <c r="AR444" s="105"/>
      <c r="AS444" s="105"/>
      <c r="AT444" s="105"/>
      <c r="AU444" s="105"/>
      <c r="AV444" s="105"/>
      <c r="AW444" s="105"/>
      <c r="AX444" s="105"/>
      <c r="AY444" s="105"/>
      <c r="AZ444" s="105"/>
      <c r="BA444" s="105"/>
      <c r="BB444" s="105"/>
      <c r="BC444" s="105"/>
      <c r="BD444" s="105"/>
      <c r="BE444" s="105"/>
      <c r="BF444" s="105"/>
      <c r="BG444" s="105"/>
      <c r="BH444" s="105"/>
      <c r="BI444" s="105"/>
      <c r="BJ444" s="105"/>
      <c r="BK444" s="105"/>
      <c r="BL444" s="105"/>
      <c r="BM444" s="105"/>
      <c r="BN444" s="105"/>
      <c r="BO444" s="105"/>
      <c r="BP444" s="105"/>
      <c r="BQ444" s="105"/>
      <c r="BR444" s="105"/>
      <c r="BS444" s="105"/>
      <c r="BT444" s="105"/>
      <c r="BU444" s="105"/>
      <c r="BV444" s="105"/>
      <c r="BW444" s="105"/>
      <c r="BX444" s="105"/>
      <c r="BY444" s="105"/>
      <c r="BZ444" s="105"/>
      <c r="CA444" s="105"/>
      <c r="CB444" s="105"/>
      <c r="CC444" s="105"/>
      <c r="CD444" s="105"/>
      <c r="CE444" s="105"/>
      <c r="CF444" s="105"/>
      <c r="CG444" s="105"/>
      <c r="CH444" s="105"/>
      <c r="CI444" s="105"/>
      <c r="CJ444" s="105"/>
      <c r="CK444" s="105"/>
      <c r="CL444" s="105"/>
      <c r="CM444" s="105"/>
      <c r="CN444" s="105"/>
      <c r="CO444" s="105"/>
      <c r="CP444" s="105"/>
      <c r="CQ444" s="105"/>
      <c r="CR444" s="105"/>
      <c r="CS444" s="105"/>
      <c r="CT444" s="105"/>
      <c r="CU444" s="105"/>
      <c r="CV444" s="105"/>
      <c r="CW444" s="105"/>
      <c r="CX444" s="105"/>
      <c r="CY444" s="105"/>
      <c r="CZ444" s="105"/>
      <c r="DA444" s="105"/>
    </row>
    <row r="445">
      <c r="B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c r="AA445" s="105"/>
      <c r="AB445" s="105"/>
      <c r="AC445" s="105"/>
      <c r="AD445" s="105"/>
      <c r="AE445" s="105"/>
      <c r="AF445" s="105"/>
      <c r="AG445" s="105"/>
      <c r="AH445" s="105"/>
      <c r="AI445" s="105"/>
      <c r="AJ445" s="105"/>
      <c r="AK445" s="105"/>
      <c r="AL445" s="105"/>
      <c r="AM445" s="105"/>
      <c r="AN445" s="105"/>
      <c r="AO445" s="105"/>
      <c r="AP445" s="105"/>
      <c r="AQ445" s="105"/>
      <c r="AR445" s="105"/>
      <c r="AS445" s="105"/>
      <c r="AT445" s="105"/>
      <c r="AU445" s="105"/>
      <c r="AV445" s="105"/>
      <c r="AW445" s="105"/>
      <c r="AX445" s="105"/>
      <c r="AY445" s="105"/>
      <c r="AZ445" s="105"/>
      <c r="BA445" s="105"/>
      <c r="BB445" s="105"/>
      <c r="BC445" s="105"/>
      <c r="BD445" s="105"/>
      <c r="BE445" s="105"/>
      <c r="BF445" s="105"/>
      <c r="BG445" s="105"/>
      <c r="BH445" s="105"/>
      <c r="BI445" s="105"/>
      <c r="BJ445" s="105"/>
      <c r="BK445" s="105"/>
      <c r="BL445" s="105"/>
      <c r="BM445" s="105"/>
      <c r="BN445" s="105"/>
      <c r="BO445" s="105"/>
      <c r="BP445" s="105"/>
      <c r="BQ445" s="105"/>
      <c r="BR445" s="105"/>
      <c r="BS445" s="105"/>
      <c r="BT445" s="105"/>
      <c r="BU445" s="105"/>
      <c r="BV445" s="105"/>
      <c r="BW445" s="105"/>
      <c r="BX445" s="105"/>
      <c r="BY445" s="105"/>
      <c r="BZ445" s="105"/>
      <c r="CA445" s="105"/>
      <c r="CB445" s="105"/>
      <c r="CC445" s="105"/>
      <c r="CD445" s="105"/>
      <c r="CE445" s="105"/>
      <c r="CF445" s="105"/>
      <c r="CG445" s="105"/>
      <c r="CH445" s="105"/>
      <c r="CI445" s="105"/>
      <c r="CJ445" s="105"/>
      <c r="CK445" s="105"/>
      <c r="CL445" s="105"/>
      <c r="CM445" s="105"/>
      <c r="CN445" s="105"/>
      <c r="CO445" s="105"/>
      <c r="CP445" s="105"/>
      <c r="CQ445" s="105"/>
      <c r="CR445" s="105"/>
      <c r="CS445" s="105"/>
      <c r="CT445" s="105"/>
      <c r="CU445" s="105"/>
      <c r="CV445" s="105"/>
      <c r="CW445" s="105"/>
      <c r="CX445" s="105"/>
      <c r="CY445" s="105"/>
      <c r="CZ445" s="105"/>
      <c r="DA445" s="105"/>
    </row>
    <row r="446">
      <c r="B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c r="AA446" s="105"/>
      <c r="AB446" s="105"/>
      <c r="AC446" s="105"/>
      <c r="AD446" s="105"/>
      <c r="AE446" s="105"/>
      <c r="AF446" s="105"/>
      <c r="AG446" s="105"/>
      <c r="AH446" s="105"/>
      <c r="AI446" s="105"/>
      <c r="AJ446" s="105"/>
      <c r="AK446" s="105"/>
      <c r="AL446" s="105"/>
      <c r="AM446" s="105"/>
      <c r="AN446" s="105"/>
      <c r="AO446" s="105"/>
      <c r="AP446" s="105"/>
      <c r="AQ446" s="105"/>
      <c r="AR446" s="105"/>
      <c r="AS446" s="105"/>
      <c r="AT446" s="105"/>
      <c r="AU446" s="105"/>
      <c r="AV446" s="105"/>
      <c r="AW446" s="105"/>
      <c r="AX446" s="105"/>
      <c r="AY446" s="105"/>
      <c r="AZ446" s="105"/>
      <c r="BA446" s="105"/>
      <c r="BB446" s="105"/>
      <c r="BC446" s="105"/>
      <c r="BD446" s="105"/>
      <c r="BE446" s="105"/>
      <c r="BF446" s="105"/>
      <c r="BG446" s="105"/>
      <c r="BH446" s="105"/>
      <c r="BI446" s="105"/>
      <c r="BJ446" s="105"/>
      <c r="BK446" s="105"/>
      <c r="BL446" s="105"/>
      <c r="BM446" s="105"/>
      <c r="BN446" s="105"/>
      <c r="BO446" s="105"/>
      <c r="BP446" s="105"/>
      <c r="BQ446" s="105"/>
      <c r="BR446" s="105"/>
      <c r="BS446" s="105"/>
      <c r="BT446" s="105"/>
      <c r="BU446" s="105"/>
      <c r="BV446" s="105"/>
      <c r="BW446" s="105"/>
      <c r="BX446" s="105"/>
      <c r="BY446" s="105"/>
      <c r="BZ446" s="105"/>
      <c r="CA446" s="105"/>
      <c r="CB446" s="105"/>
      <c r="CC446" s="105"/>
      <c r="CD446" s="105"/>
      <c r="CE446" s="105"/>
      <c r="CF446" s="105"/>
      <c r="CG446" s="105"/>
      <c r="CH446" s="105"/>
      <c r="CI446" s="105"/>
      <c r="CJ446" s="105"/>
      <c r="CK446" s="105"/>
      <c r="CL446" s="105"/>
      <c r="CM446" s="105"/>
      <c r="CN446" s="105"/>
      <c r="CO446" s="105"/>
      <c r="CP446" s="105"/>
      <c r="CQ446" s="105"/>
      <c r="CR446" s="105"/>
      <c r="CS446" s="105"/>
      <c r="CT446" s="105"/>
      <c r="CU446" s="105"/>
      <c r="CV446" s="105"/>
      <c r="CW446" s="105"/>
      <c r="CX446" s="105"/>
      <c r="CY446" s="105"/>
      <c r="CZ446" s="105"/>
      <c r="DA446" s="105"/>
    </row>
    <row r="447">
      <c r="B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c r="AA447" s="105"/>
      <c r="AB447" s="105"/>
      <c r="AC447" s="105"/>
      <c r="AD447" s="105"/>
      <c r="AE447" s="105"/>
      <c r="AF447" s="105"/>
      <c r="AG447" s="105"/>
      <c r="AH447" s="105"/>
      <c r="AI447" s="105"/>
      <c r="AJ447" s="105"/>
      <c r="AK447" s="105"/>
      <c r="AL447" s="105"/>
      <c r="AM447" s="105"/>
      <c r="AN447" s="105"/>
      <c r="AO447" s="105"/>
      <c r="AP447" s="105"/>
      <c r="AQ447" s="105"/>
      <c r="AR447" s="105"/>
      <c r="AS447" s="105"/>
      <c r="AT447" s="105"/>
      <c r="AU447" s="105"/>
      <c r="AV447" s="105"/>
      <c r="AW447" s="105"/>
      <c r="AX447" s="105"/>
      <c r="AY447" s="105"/>
      <c r="AZ447" s="105"/>
      <c r="BA447" s="105"/>
      <c r="BB447" s="105"/>
      <c r="BC447" s="105"/>
      <c r="BD447" s="105"/>
      <c r="BE447" s="105"/>
      <c r="BF447" s="105"/>
      <c r="BG447" s="105"/>
      <c r="BH447" s="105"/>
      <c r="BI447" s="105"/>
      <c r="BJ447" s="105"/>
      <c r="BK447" s="105"/>
      <c r="BL447" s="105"/>
      <c r="BM447" s="105"/>
      <c r="BN447" s="105"/>
      <c r="BO447" s="105"/>
      <c r="BP447" s="105"/>
      <c r="BQ447" s="105"/>
      <c r="BR447" s="105"/>
      <c r="BS447" s="105"/>
      <c r="BT447" s="105"/>
      <c r="BU447" s="105"/>
      <c r="BV447" s="105"/>
      <c r="BW447" s="105"/>
      <c r="BX447" s="105"/>
      <c r="BY447" s="105"/>
      <c r="BZ447" s="105"/>
      <c r="CA447" s="105"/>
      <c r="CB447" s="105"/>
      <c r="CC447" s="105"/>
      <c r="CD447" s="105"/>
      <c r="CE447" s="105"/>
      <c r="CF447" s="105"/>
      <c r="CG447" s="105"/>
      <c r="CH447" s="105"/>
      <c r="CI447" s="105"/>
      <c r="CJ447" s="105"/>
      <c r="CK447" s="105"/>
      <c r="CL447" s="105"/>
      <c r="CM447" s="105"/>
      <c r="CN447" s="105"/>
      <c r="CO447" s="105"/>
      <c r="CP447" s="105"/>
      <c r="CQ447" s="105"/>
      <c r="CR447" s="105"/>
      <c r="CS447" s="105"/>
      <c r="CT447" s="105"/>
      <c r="CU447" s="105"/>
      <c r="CV447" s="105"/>
      <c r="CW447" s="105"/>
      <c r="CX447" s="105"/>
      <c r="CY447" s="105"/>
      <c r="CZ447" s="105"/>
      <c r="DA447" s="105"/>
    </row>
    <row r="448">
      <c r="B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c r="AA448" s="105"/>
      <c r="AB448" s="105"/>
      <c r="AC448" s="105"/>
      <c r="AD448" s="105"/>
      <c r="AE448" s="105"/>
      <c r="AF448" s="105"/>
      <c r="AG448" s="105"/>
      <c r="AH448" s="105"/>
      <c r="AI448" s="105"/>
      <c r="AJ448" s="105"/>
      <c r="AK448" s="105"/>
      <c r="AL448" s="105"/>
      <c r="AM448" s="105"/>
      <c r="AN448" s="105"/>
      <c r="AO448" s="105"/>
      <c r="AP448" s="105"/>
      <c r="AQ448" s="105"/>
      <c r="AR448" s="105"/>
      <c r="AS448" s="105"/>
      <c r="AT448" s="105"/>
      <c r="AU448" s="105"/>
      <c r="AV448" s="105"/>
      <c r="AW448" s="105"/>
      <c r="AX448" s="105"/>
      <c r="AY448" s="105"/>
      <c r="AZ448" s="105"/>
      <c r="BA448" s="105"/>
      <c r="BB448" s="105"/>
      <c r="BC448" s="105"/>
      <c r="BD448" s="105"/>
      <c r="BE448" s="105"/>
      <c r="BF448" s="105"/>
      <c r="BG448" s="105"/>
      <c r="BH448" s="105"/>
      <c r="BI448" s="105"/>
      <c r="BJ448" s="105"/>
      <c r="BK448" s="105"/>
      <c r="BL448" s="105"/>
      <c r="BM448" s="105"/>
      <c r="BN448" s="105"/>
      <c r="BO448" s="105"/>
      <c r="BP448" s="105"/>
      <c r="BQ448" s="105"/>
      <c r="BR448" s="105"/>
      <c r="BS448" s="105"/>
      <c r="BT448" s="105"/>
      <c r="BU448" s="105"/>
      <c r="BV448" s="105"/>
      <c r="BW448" s="105"/>
      <c r="BX448" s="105"/>
      <c r="BY448" s="105"/>
      <c r="BZ448" s="105"/>
      <c r="CA448" s="105"/>
      <c r="CB448" s="105"/>
      <c r="CC448" s="105"/>
      <c r="CD448" s="105"/>
      <c r="CE448" s="105"/>
      <c r="CF448" s="105"/>
      <c r="CG448" s="105"/>
      <c r="CH448" s="105"/>
      <c r="CI448" s="105"/>
      <c r="CJ448" s="105"/>
      <c r="CK448" s="105"/>
      <c r="CL448" s="105"/>
      <c r="CM448" s="105"/>
      <c r="CN448" s="105"/>
      <c r="CO448" s="105"/>
      <c r="CP448" s="105"/>
      <c r="CQ448" s="105"/>
      <c r="CR448" s="105"/>
      <c r="CS448" s="105"/>
      <c r="CT448" s="105"/>
      <c r="CU448" s="105"/>
      <c r="CV448" s="105"/>
      <c r="CW448" s="105"/>
      <c r="CX448" s="105"/>
      <c r="CY448" s="105"/>
      <c r="CZ448" s="105"/>
      <c r="DA448" s="105"/>
    </row>
    <row r="449">
      <c r="B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c r="AA449" s="105"/>
      <c r="AB449" s="105"/>
      <c r="AC449" s="105"/>
      <c r="AD449" s="105"/>
      <c r="AE449" s="105"/>
      <c r="AF449" s="105"/>
      <c r="AG449" s="105"/>
      <c r="AH449" s="105"/>
      <c r="AI449" s="105"/>
      <c r="AJ449" s="105"/>
      <c r="AK449" s="105"/>
      <c r="AL449" s="105"/>
      <c r="AM449" s="105"/>
      <c r="AN449" s="105"/>
      <c r="AO449" s="105"/>
      <c r="AP449" s="105"/>
      <c r="AQ449" s="105"/>
      <c r="AR449" s="105"/>
      <c r="AS449" s="105"/>
      <c r="AT449" s="105"/>
      <c r="AU449" s="105"/>
      <c r="AV449" s="105"/>
      <c r="AW449" s="105"/>
      <c r="AX449" s="105"/>
      <c r="AY449" s="105"/>
      <c r="AZ449" s="105"/>
      <c r="BA449" s="105"/>
      <c r="BB449" s="105"/>
      <c r="BC449" s="105"/>
      <c r="BD449" s="105"/>
      <c r="BE449" s="105"/>
      <c r="BF449" s="105"/>
      <c r="BG449" s="105"/>
      <c r="BH449" s="105"/>
      <c r="BI449" s="105"/>
      <c r="BJ449" s="105"/>
      <c r="BK449" s="105"/>
      <c r="BL449" s="105"/>
      <c r="BM449" s="105"/>
      <c r="BN449" s="105"/>
      <c r="BO449" s="105"/>
      <c r="BP449" s="105"/>
      <c r="BQ449" s="105"/>
      <c r="BR449" s="105"/>
      <c r="BS449" s="105"/>
      <c r="BT449" s="105"/>
      <c r="BU449" s="105"/>
      <c r="BV449" s="105"/>
      <c r="BW449" s="105"/>
      <c r="BX449" s="105"/>
      <c r="BY449" s="105"/>
      <c r="BZ449" s="105"/>
      <c r="CA449" s="105"/>
      <c r="CB449" s="105"/>
      <c r="CC449" s="105"/>
      <c r="CD449" s="105"/>
      <c r="CE449" s="105"/>
      <c r="CF449" s="105"/>
      <c r="CG449" s="105"/>
      <c r="CH449" s="105"/>
      <c r="CI449" s="105"/>
      <c r="CJ449" s="105"/>
      <c r="CK449" s="105"/>
      <c r="CL449" s="105"/>
      <c r="CM449" s="105"/>
      <c r="CN449" s="105"/>
      <c r="CO449" s="105"/>
      <c r="CP449" s="105"/>
      <c r="CQ449" s="105"/>
      <c r="CR449" s="105"/>
      <c r="CS449" s="105"/>
      <c r="CT449" s="105"/>
      <c r="CU449" s="105"/>
      <c r="CV449" s="105"/>
      <c r="CW449" s="105"/>
      <c r="CX449" s="105"/>
      <c r="CY449" s="105"/>
      <c r="CZ449" s="105"/>
      <c r="DA449" s="105"/>
    </row>
    <row r="450">
      <c r="B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c r="AA450" s="105"/>
      <c r="AB450" s="105"/>
      <c r="AC450" s="105"/>
      <c r="AD450" s="105"/>
      <c r="AE450" s="105"/>
      <c r="AF450" s="105"/>
      <c r="AG450" s="105"/>
      <c r="AH450" s="105"/>
      <c r="AI450" s="105"/>
      <c r="AJ450" s="105"/>
      <c r="AK450" s="105"/>
      <c r="AL450" s="105"/>
      <c r="AM450" s="105"/>
      <c r="AN450" s="105"/>
      <c r="AO450" s="105"/>
      <c r="AP450" s="105"/>
      <c r="AQ450" s="105"/>
      <c r="AR450" s="105"/>
      <c r="AS450" s="105"/>
      <c r="AT450" s="105"/>
      <c r="AU450" s="105"/>
      <c r="AV450" s="105"/>
      <c r="AW450" s="105"/>
      <c r="AX450" s="105"/>
      <c r="AY450" s="105"/>
      <c r="AZ450" s="105"/>
      <c r="BA450" s="105"/>
      <c r="BB450" s="105"/>
      <c r="BC450" s="105"/>
      <c r="BD450" s="105"/>
      <c r="BE450" s="105"/>
      <c r="BF450" s="105"/>
      <c r="BG450" s="105"/>
      <c r="BH450" s="105"/>
      <c r="BI450" s="105"/>
      <c r="BJ450" s="105"/>
      <c r="BK450" s="105"/>
      <c r="BL450" s="105"/>
      <c r="BM450" s="105"/>
      <c r="BN450" s="105"/>
      <c r="BO450" s="105"/>
      <c r="BP450" s="105"/>
      <c r="BQ450" s="105"/>
      <c r="BR450" s="105"/>
      <c r="BS450" s="105"/>
      <c r="BT450" s="105"/>
      <c r="BU450" s="105"/>
      <c r="BV450" s="105"/>
      <c r="BW450" s="105"/>
      <c r="BX450" s="105"/>
      <c r="BY450" s="105"/>
      <c r="BZ450" s="105"/>
      <c r="CA450" s="105"/>
      <c r="CB450" s="105"/>
      <c r="CC450" s="105"/>
      <c r="CD450" s="105"/>
      <c r="CE450" s="105"/>
      <c r="CF450" s="105"/>
      <c r="CG450" s="105"/>
      <c r="CH450" s="105"/>
      <c r="CI450" s="105"/>
      <c r="CJ450" s="105"/>
      <c r="CK450" s="105"/>
      <c r="CL450" s="105"/>
      <c r="CM450" s="105"/>
      <c r="CN450" s="105"/>
      <c r="CO450" s="105"/>
      <c r="CP450" s="105"/>
      <c r="CQ450" s="105"/>
      <c r="CR450" s="105"/>
      <c r="CS450" s="105"/>
      <c r="CT450" s="105"/>
      <c r="CU450" s="105"/>
      <c r="CV450" s="105"/>
      <c r="CW450" s="105"/>
      <c r="CX450" s="105"/>
      <c r="CY450" s="105"/>
      <c r="CZ450" s="105"/>
      <c r="DA450" s="105"/>
    </row>
    <row r="451">
      <c r="B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c r="AA451" s="105"/>
      <c r="AB451" s="105"/>
      <c r="AC451" s="105"/>
      <c r="AD451" s="105"/>
      <c r="AE451" s="105"/>
      <c r="AF451" s="105"/>
      <c r="AG451" s="105"/>
      <c r="AH451" s="105"/>
      <c r="AI451" s="105"/>
      <c r="AJ451" s="105"/>
      <c r="AK451" s="105"/>
      <c r="AL451" s="105"/>
      <c r="AM451" s="105"/>
      <c r="AN451" s="105"/>
      <c r="AO451" s="105"/>
      <c r="AP451" s="105"/>
      <c r="AQ451" s="105"/>
      <c r="AR451" s="105"/>
      <c r="AS451" s="105"/>
      <c r="AT451" s="105"/>
      <c r="AU451" s="105"/>
      <c r="AV451" s="105"/>
      <c r="AW451" s="105"/>
      <c r="AX451" s="105"/>
      <c r="AY451" s="105"/>
      <c r="AZ451" s="105"/>
      <c r="BA451" s="105"/>
      <c r="BB451" s="105"/>
      <c r="BC451" s="105"/>
      <c r="BD451" s="105"/>
      <c r="BE451" s="105"/>
      <c r="BF451" s="105"/>
      <c r="BG451" s="105"/>
      <c r="BH451" s="105"/>
      <c r="BI451" s="105"/>
      <c r="BJ451" s="105"/>
      <c r="BK451" s="105"/>
      <c r="BL451" s="105"/>
      <c r="BM451" s="105"/>
      <c r="BN451" s="105"/>
      <c r="BO451" s="105"/>
      <c r="BP451" s="105"/>
      <c r="BQ451" s="105"/>
      <c r="BR451" s="105"/>
      <c r="BS451" s="105"/>
      <c r="BT451" s="105"/>
      <c r="BU451" s="105"/>
      <c r="BV451" s="105"/>
      <c r="BW451" s="105"/>
      <c r="BX451" s="105"/>
      <c r="BY451" s="105"/>
      <c r="BZ451" s="105"/>
      <c r="CA451" s="105"/>
      <c r="CB451" s="105"/>
      <c r="CC451" s="105"/>
      <c r="CD451" s="105"/>
      <c r="CE451" s="105"/>
      <c r="CF451" s="105"/>
      <c r="CG451" s="105"/>
      <c r="CH451" s="105"/>
      <c r="CI451" s="105"/>
      <c r="CJ451" s="105"/>
      <c r="CK451" s="105"/>
      <c r="CL451" s="105"/>
      <c r="CM451" s="105"/>
      <c r="CN451" s="105"/>
      <c r="CO451" s="105"/>
      <c r="CP451" s="105"/>
      <c r="CQ451" s="105"/>
      <c r="CR451" s="105"/>
      <c r="CS451" s="105"/>
      <c r="CT451" s="105"/>
      <c r="CU451" s="105"/>
      <c r="CV451" s="105"/>
      <c r="CW451" s="105"/>
      <c r="CX451" s="105"/>
      <c r="CY451" s="105"/>
      <c r="CZ451" s="105"/>
      <c r="DA451" s="105"/>
    </row>
    <row r="452">
      <c r="B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c r="AA452" s="105"/>
      <c r="AB452" s="105"/>
      <c r="AC452" s="105"/>
      <c r="AD452" s="105"/>
      <c r="AE452" s="105"/>
      <c r="AF452" s="105"/>
      <c r="AG452" s="105"/>
      <c r="AH452" s="105"/>
      <c r="AI452" s="105"/>
      <c r="AJ452" s="105"/>
      <c r="AK452" s="105"/>
      <c r="AL452" s="105"/>
      <c r="AM452" s="105"/>
      <c r="AN452" s="105"/>
      <c r="AO452" s="105"/>
      <c r="AP452" s="105"/>
      <c r="AQ452" s="105"/>
      <c r="AR452" s="105"/>
      <c r="AS452" s="105"/>
      <c r="AT452" s="105"/>
      <c r="AU452" s="105"/>
      <c r="AV452" s="105"/>
      <c r="AW452" s="105"/>
      <c r="AX452" s="105"/>
      <c r="AY452" s="105"/>
      <c r="AZ452" s="105"/>
      <c r="BA452" s="105"/>
      <c r="BB452" s="105"/>
      <c r="BC452" s="105"/>
      <c r="BD452" s="105"/>
      <c r="BE452" s="105"/>
      <c r="BF452" s="105"/>
      <c r="BG452" s="105"/>
      <c r="BH452" s="105"/>
      <c r="BI452" s="105"/>
      <c r="BJ452" s="105"/>
      <c r="BK452" s="105"/>
      <c r="BL452" s="105"/>
      <c r="BM452" s="105"/>
      <c r="BN452" s="105"/>
      <c r="BO452" s="105"/>
      <c r="BP452" s="105"/>
      <c r="BQ452" s="105"/>
      <c r="BR452" s="105"/>
      <c r="BS452" s="105"/>
      <c r="BT452" s="105"/>
      <c r="BU452" s="105"/>
      <c r="BV452" s="105"/>
      <c r="BW452" s="105"/>
      <c r="BX452" s="105"/>
      <c r="BY452" s="105"/>
      <c r="BZ452" s="105"/>
      <c r="CA452" s="105"/>
      <c r="CB452" s="105"/>
      <c r="CC452" s="105"/>
      <c r="CD452" s="105"/>
      <c r="CE452" s="105"/>
      <c r="CF452" s="105"/>
      <c r="CG452" s="105"/>
      <c r="CH452" s="105"/>
      <c r="CI452" s="105"/>
      <c r="CJ452" s="105"/>
      <c r="CK452" s="105"/>
      <c r="CL452" s="105"/>
      <c r="CM452" s="105"/>
      <c r="CN452" s="105"/>
      <c r="CO452" s="105"/>
      <c r="CP452" s="105"/>
      <c r="CQ452" s="105"/>
      <c r="CR452" s="105"/>
      <c r="CS452" s="105"/>
      <c r="CT452" s="105"/>
      <c r="CU452" s="105"/>
      <c r="CV452" s="105"/>
      <c r="CW452" s="105"/>
      <c r="CX452" s="105"/>
      <c r="CY452" s="105"/>
      <c r="CZ452" s="105"/>
      <c r="DA452" s="105"/>
    </row>
    <row r="453">
      <c r="B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c r="AA453" s="105"/>
      <c r="AB453" s="105"/>
      <c r="AC453" s="105"/>
      <c r="AD453" s="105"/>
      <c r="AE453" s="105"/>
      <c r="AF453" s="105"/>
      <c r="AG453" s="105"/>
      <c r="AH453" s="105"/>
      <c r="AI453" s="105"/>
      <c r="AJ453" s="105"/>
      <c r="AK453" s="105"/>
      <c r="AL453" s="105"/>
      <c r="AM453" s="105"/>
      <c r="AN453" s="105"/>
      <c r="AO453" s="105"/>
      <c r="AP453" s="105"/>
      <c r="AQ453" s="105"/>
      <c r="AR453" s="105"/>
      <c r="AS453" s="105"/>
      <c r="AT453" s="105"/>
      <c r="AU453" s="105"/>
      <c r="AV453" s="105"/>
      <c r="AW453" s="105"/>
      <c r="AX453" s="105"/>
      <c r="AY453" s="105"/>
      <c r="AZ453" s="105"/>
      <c r="BA453" s="105"/>
      <c r="BB453" s="105"/>
      <c r="BC453" s="105"/>
      <c r="BD453" s="105"/>
      <c r="BE453" s="105"/>
      <c r="BF453" s="105"/>
      <c r="BG453" s="105"/>
      <c r="BH453" s="105"/>
      <c r="BI453" s="105"/>
      <c r="BJ453" s="105"/>
      <c r="BK453" s="105"/>
      <c r="BL453" s="105"/>
      <c r="BM453" s="105"/>
      <c r="BN453" s="105"/>
      <c r="BO453" s="105"/>
      <c r="BP453" s="105"/>
      <c r="BQ453" s="105"/>
      <c r="BR453" s="105"/>
      <c r="BS453" s="105"/>
      <c r="BT453" s="105"/>
      <c r="BU453" s="105"/>
      <c r="BV453" s="105"/>
      <c r="BW453" s="105"/>
      <c r="BX453" s="105"/>
      <c r="BY453" s="105"/>
      <c r="BZ453" s="105"/>
      <c r="CA453" s="105"/>
      <c r="CB453" s="105"/>
      <c r="CC453" s="105"/>
      <c r="CD453" s="105"/>
      <c r="CE453" s="105"/>
      <c r="CF453" s="105"/>
      <c r="CG453" s="105"/>
      <c r="CH453" s="105"/>
      <c r="CI453" s="105"/>
      <c r="CJ453" s="105"/>
      <c r="CK453" s="105"/>
      <c r="CL453" s="105"/>
      <c r="CM453" s="105"/>
      <c r="CN453" s="105"/>
      <c r="CO453" s="105"/>
      <c r="CP453" s="105"/>
      <c r="CQ453" s="105"/>
      <c r="CR453" s="105"/>
      <c r="CS453" s="105"/>
      <c r="CT453" s="105"/>
      <c r="CU453" s="105"/>
      <c r="CV453" s="105"/>
      <c r="CW453" s="105"/>
      <c r="CX453" s="105"/>
      <c r="CY453" s="105"/>
      <c r="CZ453" s="105"/>
      <c r="DA453" s="105"/>
    </row>
    <row r="454">
      <c r="B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c r="AA454" s="105"/>
      <c r="AB454" s="105"/>
      <c r="AC454" s="105"/>
      <c r="AD454" s="105"/>
      <c r="AE454" s="105"/>
      <c r="AF454" s="105"/>
      <c r="AG454" s="105"/>
      <c r="AH454" s="105"/>
      <c r="AI454" s="105"/>
      <c r="AJ454" s="105"/>
      <c r="AK454" s="105"/>
      <c r="AL454" s="105"/>
      <c r="AM454" s="105"/>
      <c r="AN454" s="105"/>
      <c r="AO454" s="105"/>
      <c r="AP454" s="105"/>
      <c r="AQ454" s="105"/>
      <c r="AR454" s="105"/>
      <c r="AS454" s="105"/>
      <c r="AT454" s="105"/>
      <c r="AU454" s="105"/>
      <c r="AV454" s="105"/>
      <c r="AW454" s="105"/>
      <c r="AX454" s="105"/>
      <c r="AY454" s="105"/>
      <c r="AZ454" s="105"/>
      <c r="BA454" s="105"/>
      <c r="BB454" s="105"/>
      <c r="BC454" s="105"/>
      <c r="BD454" s="105"/>
      <c r="BE454" s="105"/>
      <c r="BF454" s="105"/>
      <c r="BG454" s="105"/>
      <c r="BH454" s="105"/>
      <c r="BI454" s="105"/>
      <c r="BJ454" s="105"/>
      <c r="BK454" s="105"/>
      <c r="BL454" s="105"/>
      <c r="BM454" s="105"/>
      <c r="BN454" s="105"/>
      <c r="BO454" s="105"/>
      <c r="BP454" s="105"/>
      <c r="BQ454" s="105"/>
      <c r="BR454" s="105"/>
      <c r="BS454" s="105"/>
      <c r="BT454" s="105"/>
      <c r="BU454" s="105"/>
      <c r="BV454" s="105"/>
      <c r="BW454" s="105"/>
      <c r="BX454" s="105"/>
      <c r="BY454" s="105"/>
      <c r="BZ454" s="105"/>
      <c r="CA454" s="105"/>
      <c r="CB454" s="105"/>
      <c r="CC454" s="105"/>
      <c r="CD454" s="105"/>
      <c r="CE454" s="105"/>
      <c r="CF454" s="105"/>
      <c r="CG454" s="105"/>
      <c r="CH454" s="105"/>
      <c r="CI454" s="105"/>
      <c r="CJ454" s="105"/>
      <c r="CK454" s="105"/>
      <c r="CL454" s="105"/>
      <c r="CM454" s="105"/>
      <c r="CN454" s="105"/>
      <c r="CO454" s="105"/>
      <c r="CP454" s="105"/>
      <c r="CQ454" s="105"/>
      <c r="CR454" s="105"/>
      <c r="CS454" s="105"/>
      <c r="CT454" s="105"/>
      <c r="CU454" s="105"/>
      <c r="CV454" s="105"/>
      <c r="CW454" s="105"/>
      <c r="CX454" s="105"/>
      <c r="CY454" s="105"/>
      <c r="CZ454" s="105"/>
      <c r="DA454" s="105"/>
    </row>
    <row r="455">
      <c r="B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c r="AA455" s="105"/>
      <c r="AB455" s="105"/>
      <c r="AC455" s="105"/>
      <c r="AD455" s="105"/>
      <c r="AE455" s="105"/>
      <c r="AF455" s="105"/>
      <c r="AG455" s="105"/>
      <c r="AH455" s="105"/>
      <c r="AI455" s="105"/>
      <c r="AJ455" s="105"/>
      <c r="AK455" s="105"/>
      <c r="AL455" s="105"/>
      <c r="AM455" s="105"/>
      <c r="AN455" s="105"/>
      <c r="AO455" s="105"/>
      <c r="AP455" s="105"/>
      <c r="AQ455" s="105"/>
      <c r="AR455" s="105"/>
      <c r="AS455" s="105"/>
      <c r="AT455" s="105"/>
      <c r="AU455" s="105"/>
      <c r="AV455" s="105"/>
      <c r="AW455" s="105"/>
      <c r="AX455" s="105"/>
      <c r="AY455" s="105"/>
      <c r="AZ455" s="105"/>
      <c r="BA455" s="105"/>
      <c r="BB455" s="105"/>
      <c r="BC455" s="105"/>
      <c r="BD455" s="105"/>
      <c r="BE455" s="105"/>
      <c r="BF455" s="105"/>
      <c r="BG455" s="105"/>
      <c r="BH455" s="105"/>
      <c r="BI455" s="105"/>
      <c r="BJ455" s="105"/>
      <c r="BK455" s="105"/>
      <c r="BL455" s="105"/>
      <c r="BM455" s="105"/>
      <c r="BN455" s="105"/>
      <c r="BO455" s="105"/>
      <c r="BP455" s="105"/>
      <c r="BQ455" s="105"/>
      <c r="BR455" s="105"/>
      <c r="BS455" s="105"/>
      <c r="BT455" s="105"/>
      <c r="BU455" s="105"/>
      <c r="BV455" s="105"/>
      <c r="BW455" s="105"/>
      <c r="BX455" s="105"/>
      <c r="BY455" s="105"/>
      <c r="BZ455" s="105"/>
      <c r="CA455" s="105"/>
      <c r="CB455" s="105"/>
      <c r="CC455" s="105"/>
      <c r="CD455" s="105"/>
      <c r="CE455" s="105"/>
      <c r="CF455" s="105"/>
      <c r="CG455" s="105"/>
      <c r="CH455" s="105"/>
      <c r="CI455" s="105"/>
      <c r="CJ455" s="105"/>
      <c r="CK455" s="105"/>
      <c r="CL455" s="105"/>
      <c r="CM455" s="105"/>
      <c r="CN455" s="105"/>
      <c r="CO455" s="105"/>
      <c r="CP455" s="105"/>
      <c r="CQ455" s="105"/>
      <c r="CR455" s="105"/>
      <c r="CS455" s="105"/>
      <c r="CT455" s="105"/>
      <c r="CU455" s="105"/>
      <c r="CV455" s="105"/>
      <c r="CW455" s="105"/>
      <c r="CX455" s="105"/>
      <c r="CY455" s="105"/>
      <c r="CZ455" s="105"/>
      <c r="DA455" s="105"/>
    </row>
    <row r="456">
      <c r="B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c r="AA456" s="105"/>
      <c r="AB456" s="105"/>
      <c r="AC456" s="105"/>
      <c r="AD456" s="105"/>
      <c r="AE456" s="105"/>
      <c r="AF456" s="105"/>
      <c r="AG456" s="105"/>
      <c r="AH456" s="105"/>
      <c r="AI456" s="105"/>
      <c r="AJ456" s="105"/>
      <c r="AK456" s="105"/>
      <c r="AL456" s="105"/>
      <c r="AM456" s="105"/>
      <c r="AN456" s="105"/>
      <c r="AO456" s="105"/>
      <c r="AP456" s="105"/>
      <c r="AQ456" s="105"/>
      <c r="AR456" s="105"/>
      <c r="AS456" s="105"/>
      <c r="AT456" s="105"/>
      <c r="AU456" s="105"/>
      <c r="AV456" s="105"/>
      <c r="AW456" s="105"/>
      <c r="AX456" s="105"/>
      <c r="AY456" s="105"/>
      <c r="AZ456" s="105"/>
      <c r="BA456" s="105"/>
      <c r="BB456" s="105"/>
      <c r="BC456" s="105"/>
      <c r="BD456" s="105"/>
      <c r="BE456" s="105"/>
      <c r="BF456" s="105"/>
      <c r="BG456" s="105"/>
      <c r="BH456" s="105"/>
      <c r="BI456" s="105"/>
      <c r="BJ456" s="105"/>
      <c r="BK456" s="105"/>
      <c r="BL456" s="105"/>
      <c r="BM456" s="105"/>
      <c r="BN456" s="105"/>
      <c r="BO456" s="105"/>
      <c r="BP456" s="105"/>
      <c r="BQ456" s="105"/>
      <c r="BR456" s="105"/>
      <c r="BS456" s="105"/>
      <c r="BT456" s="105"/>
      <c r="BU456" s="105"/>
      <c r="BV456" s="105"/>
      <c r="BW456" s="105"/>
      <c r="BX456" s="105"/>
      <c r="BY456" s="105"/>
      <c r="BZ456" s="105"/>
      <c r="CA456" s="105"/>
      <c r="CB456" s="105"/>
      <c r="CC456" s="105"/>
      <c r="CD456" s="105"/>
      <c r="CE456" s="105"/>
      <c r="CF456" s="105"/>
      <c r="CG456" s="105"/>
      <c r="CH456" s="105"/>
      <c r="CI456" s="105"/>
      <c r="CJ456" s="105"/>
      <c r="CK456" s="105"/>
      <c r="CL456" s="105"/>
      <c r="CM456" s="105"/>
      <c r="CN456" s="105"/>
      <c r="CO456" s="105"/>
      <c r="CP456" s="105"/>
      <c r="CQ456" s="105"/>
      <c r="CR456" s="105"/>
      <c r="CS456" s="105"/>
      <c r="CT456" s="105"/>
      <c r="CU456" s="105"/>
      <c r="CV456" s="105"/>
      <c r="CW456" s="105"/>
      <c r="CX456" s="105"/>
      <c r="CY456" s="105"/>
      <c r="CZ456" s="105"/>
      <c r="DA456" s="105"/>
    </row>
    <row r="457">
      <c r="B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c r="AA457" s="105"/>
      <c r="AB457" s="105"/>
      <c r="AC457" s="105"/>
      <c r="AD457" s="105"/>
      <c r="AE457" s="105"/>
      <c r="AF457" s="105"/>
      <c r="AG457" s="105"/>
      <c r="AH457" s="105"/>
      <c r="AI457" s="105"/>
      <c r="AJ457" s="105"/>
      <c r="AK457" s="105"/>
      <c r="AL457" s="105"/>
      <c r="AM457" s="105"/>
      <c r="AN457" s="105"/>
      <c r="AO457" s="105"/>
      <c r="AP457" s="105"/>
      <c r="AQ457" s="105"/>
      <c r="AR457" s="105"/>
      <c r="AS457" s="105"/>
      <c r="AT457" s="105"/>
      <c r="AU457" s="105"/>
      <c r="AV457" s="105"/>
      <c r="AW457" s="105"/>
      <c r="AX457" s="105"/>
      <c r="AY457" s="105"/>
      <c r="AZ457" s="105"/>
      <c r="BA457" s="105"/>
      <c r="BB457" s="105"/>
      <c r="BC457" s="105"/>
      <c r="BD457" s="105"/>
      <c r="BE457" s="105"/>
      <c r="BF457" s="105"/>
      <c r="BG457" s="105"/>
      <c r="BH457" s="105"/>
      <c r="BI457" s="105"/>
      <c r="BJ457" s="105"/>
      <c r="BK457" s="105"/>
      <c r="BL457" s="105"/>
      <c r="BM457" s="105"/>
      <c r="BN457" s="105"/>
      <c r="BO457" s="105"/>
      <c r="BP457" s="105"/>
      <c r="BQ457" s="105"/>
      <c r="BR457" s="105"/>
      <c r="BS457" s="105"/>
      <c r="BT457" s="105"/>
      <c r="BU457" s="105"/>
      <c r="BV457" s="105"/>
      <c r="BW457" s="105"/>
      <c r="BX457" s="105"/>
      <c r="BY457" s="105"/>
      <c r="BZ457" s="105"/>
      <c r="CA457" s="105"/>
      <c r="CB457" s="105"/>
      <c r="CC457" s="105"/>
      <c r="CD457" s="105"/>
      <c r="CE457" s="105"/>
      <c r="CF457" s="105"/>
      <c r="CG457" s="105"/>
      <c r="CH457" s="105"/>
      <c r="CI457" s="105"/>
      <c r="CJ457" s="105"/>
      <c r="CK457" s="105"/>
      <c r="CL457" s="105"/>
      <c r="CM457" s="105"/>
      <c r="CN457" s="105"/>
      <c r="CO457" s="105"/>
      <c r="CP457" s="105"/>
      <c r="CQ457" s="105"/>
      <c r="CR457" s="105"/>
      <c r="CS457" s="105"/>
      <c r="CT457" s="105"/>
      <c r="CU457" s="105"/>
      <c r="CV457" s="105"/>
      <c r="CW457" s="105"/>
      <c r="CX457" s="105"/>
      <c r="CY457" s="105"/>
      <c r="CZ457" s="105"/>
      <c r="DA457" s="105"/>
    </row>
    <row r="458">
      <c r="B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c r="AA458" s="105"/>
      <c r="AB458" s="105"/>
      <c r="AC458" s="105"/>
      <c r="AD458" s="105"/>
      <c r="AE458" s="105"/>
      <c r="AF458" s="105"/>
      <c r="AG458" s="105"/>
      <c r="AH458" s="105"/>
      <c r="AI458" s="105"/>
      <c r="AJ458" s="105"/>
      <c r="AK458" s="105"/>
      <c r="AL458" s="105"/>
      <c r="AM458" s="105"/>
      <c r="AN458" s="105"/>
      <c r="AO458" s="105"/>
      <c r="AP458" s="105"/>
      <c r="AQ458" s="105"/>
      <c r="AR458" s="105"/>
      <c r="AS458" s="105"/>
      <c r="AT458" s="105"/>
      <c r="AU458" s="105"/>
      <c r="AV458" s="105"/>
      <c r="AW458" s="105"/>
      <c r="AX458" s="105"/>
      <c r="AY458" s="105"/>
      <c r="AZ458" s="105"/>
      <c r="BA458" s="105"/>
      <c r="BB458" s="105"/>
      <c r="BC458" s="105"/>
      <c r="BD458" s="105"/>
      <c r="BE458" s="105"/>
      <c r="BF458" s="105"/>
      <c r="BG458" s="105"/>
      <c r="BH458" s="105"/>
      <c r="BI458" s="105"/>
      <c r="BJ458" s="105"/>
      <c r="BK458" s="105"/>
      <c r="BL458" s="105"/>
      <c r="BM458" s="105"/>
      <c r="BN458" s="105"/>
      <c r="BO458" s="105"/>
      <c r="BP458" s="105"/>
      <c r="BQ458" s="105"/>
      <c r="BR458" s="105"/>
      <c r="BS458" s="105"/>
      <c r="BT458" s="105"/>
      <c r="BU458" s="105"/>
      <c r="BV458" s="105"/>
      <c r="BW458" s="105"/>
      <c r="BX458" s="105"/>
      <c r="BY458" s="105"/>
      <c r="BZ458" s="105"/>
      <c r="CA458" s="105"/>
      <c r="CB458" s="105"/>
      <c r="CC458" s="105"/>
      <c r="CD458" s="105"/>
      <c r="CE458" s="105"/>
      <c r="CF458" s="105"/>
      <c r="CG458" s="105"/>
      <c r="CH458" s="105"/>
      <c r="CI458" s="105"/>
      <c r="CJ458" s="105"/>
      <c r="CK458" s="105"/>
      <c r="CL458" s="105"/>
      <c r="CM458" s="105"/>
      <c r="CN458" s="105"/>
      <c r="CO458" s="105"/>
      <c r="CP458" s="105"/>
      <c r="CQ458" s="105"/>
      <c r="CR458" s="105"/>
      <c r="CS458" s="105"/>
      <c r="CT458" s="105"/>
      <c r="CU458" s="105"/>
      <c r="CV458" s="105"/>
      <c r="CW458" s="105"/>
      <c r="CX458" s="105"/>
      <c r="CY458" s="105"/>
      <c r="CZ458" s="105"/>
      <c r="DA458" s="105"/>
    </row>
    <row r="459">
      <c r="B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c r="AA459" s="105"/>
      <c r="AB459" s="105"/>
      <c r="AC459" s="105"/>
      <c r="AD459" s="105"/>
      <c r="AE459" s="105"/>
      <c r="AF459" s="105"/>
      <c r="AG459" s="105"/>
      <c r="AH459" s="105"/>
      <c r="AI459" s="105"/>
      <c r="AJ459" s="105"/>
      <c r="AK459" s="105"/>
      <c r="AL459" s="105"/>
      <c r="AM459" s="105"/>
      <c r="AN459" s="105"/>
      <c r="AO459" s="105"/>
      <c r="AP459" s="105"/>
      <c r="AQ459" s="105"/>
      <c r="AR459" s="105"/>
      <c r="AS459" s="105"/>
      <c r="AT459" s="105"/>
      <c r="AU459" s="105"/>
      <c r="AV459" s="105"/>
      <c r="AW459" s="105"/>
      <c r="AX459" s="105"/>
      <c r="AY459" s="105"/>
      <c r="AZ459" s="105"/>
      <c r="BA459" s="105"/>
      <c r="BB459" s="105"/>
      <c r="BC459" s="105"/>
      <c r="BD459" s="105"/>
      <c r="BE459" s="105"/>
      <c r="BF459" s="105"/>
      <c r="BG459" s="105"/>
      <c r="BH459" s="105"/>
      <c r="BI459" s="105"/>
      <c r="BJ459" s="105"/>
      <c r="BK459" s="105"/>
      <c r="BL459" s="105"/>
      <c r="BM459" s="105"/>
      <c r="BN459" s="105"/>
      <c r="BO459" s="105"/>
      <c r="BP459" s="105"/>
      <c r="BQ459" s="105"/>
      <c r="BR459" s="105"/>
      <c r="BS459" s="105"/>
      <c r="BT459" s="105"/>
      <c r="BU459" s="105"/>
      <c r="BV459" s="105"/>
      <c r="BW459" s="105"/>
      <c r="BX459" s="105"/>
      <c r="BY459" s="105"/>
      <c r="BZ459" s="105"/>
      <c r="CA459" s="105"/>
      <c r="CB459" s="105"/>
      <c r="CC459" s="105"/>
      <c r="CD459" s="105"/>
      <c r="CE459" s="105"/>
      <c r="CF459" s="105"/>
      <c r="CG459" s="105"/>
      <c r="CH459" s="105"/>
      <c r="CI459" s="105"/>
      <c r="CJ459" s="105"/>
      <c r="CK459" s="105"/>
      <c r="CL459" s="105"/>
      <c r="CM459" s="105"/>
      <c r="CN459" s="105"/>
      <c r="CO459" s="105"/>
      <c r="CP459" s="105"/>
      <c r="CQ459" s="105"/>
      <c r="CR459" s="105"/>
      <c r="CS459" s="105"/>
      <c r="CT459" s="105"/>
      <c r="CU459" s="105"/>
      <c r="CV459" s="105"/>
      <c r="CW459" s="105"/>
      <c r="CX459" s="105"/>
      <c r="CY459" s="105"/>
      <c r="CZ459" s="105"/>
      <c r="DA459" s="105"/>
    </row>
    <row r="460">
      <c r="B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c r="AA460" s="105"/>
      <c r="AB460" s="105"/>
      <c r="AC460" s="105"/>
      <c r="AD460" s="105"/>
      <c r="AE460" s="105"/>
      <c r="AF460" s="105"/>
      <c r="AG460" s="105"/>
      <c r="AH460" s="105"/>
      <c r="AI460" s="105"/>
      <c r="AJ460" s="105"/>
      <c r="AK460" s="105"/>
      <c r="AL460" s="105"/>
      <c r="AM460" s="105"/>
      <c r="AN460" s="105"/>
      <c r="AO460" s="105"/>
      <c r="AP460" s="105"/>
      <c r="AQ460" s="105"/>
      <c r="AR460" s="105"/>
      <c r="AS460" s="105"/>
      <c r="AT460" s="105"/>
      <c r="AU460" s="105"/>
      <c r="AV460" s="105"/>
      <c r="AW460" s="105"/>
      <c r="AX460" s="105"/>
      <c r="AY460" s="105"/>
      <c r="AZ460" s="105"/>
      <c r="BA460" s="105"/>
      <c r="BB460" s="105"/>
      <c r="BC460" s="105"/>
      <c r="BD460" s="105"/>
      <c r="BE460" s="105"/>
      <c r="BF460" s="105"/>
      <c r="BG460" s="105"/>
      <c r="BH460" s="105"/>
      <c r="BI460" s="105"/>
      <c r="BJ460" s="105"/>
      <c r="BK460" s="105"/>
      <c r="BL460" s="105"/>
      <c r="BM460" s="105"/>
      <c r="BN460" s="105"/>
      <c r="BO460" s="105"/>
      <c r="BP460" s="105"/>
      <c r="BQ460" s="105"/>
      <c r="BR460" s="105"/>
      <c r="BS460" s="105"/>
      <c r="BT460" s="105"/>
      <c r="BU460" s="105"/>
      <c r="BV460" s="105"/>
      <c r="BW460" s="105"/>
      <c r="BX460" s="105"/>
      <c r="BY460" s="105"/>
      <c r="BZ460" s="105"/>
      <c r="CA460" s="105"/>
      <c r="CB460" s="105"/>
      <c r="CC460" s="105"/>
      <c r="CD460" s="105"/>
      <c r="CE460" s="105"/>
      <c r="CF460" s="105"/>
      <c r="CG460" s="105"/>
      <c r="CH460" s="105"/>
      <c r="CI460" s="105"/>
      <c r="CJ460" s="105"/>
      <c r="CK460" s="105"/>
      <c r="CL460" s="105"/>
      <c r="CM460" s="105"/>
      <c r="CN460" s="105"/>
      <c r="CO460" s="105"/>
      <c r="CP460" s="105"/>
      <c r="CQ460" s="105"/>
      <c r="CR460" s="105"/>
      <c r="CS460" s="105"/>
      <c r="CT460" s="105"/>
      <c r="CU460" s="105"/>
      <c r="CV460" s="105"/>
      <c r="CW460" s="105"/>
      <c r="CX460" s="105"/>
      <c r="CY460" s="105"/>
      <c r="CZ460" s="105"/>
      <c r="DA460" s="105"/>
    </row>
    <row r="461">
      <c r="B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c r="AA461" s="105"/>
      <c r="AB461" s="105"/>
      <c r="AC461" s="105"/>
      <c r="AD461" s="105"/>
      <c r="AE461" s="105"/>
      <c r="AF461" s="105"/>
      <c r="AG461" s="105"/>
      <c r="AH461" s="105"/>
      <c r="AI461" s="105"/>
      <c r="AJ461" s="105"/>
      <c r="AK461" s="105"/>
      <c r="AL461" s="105"/>
      <c r="AM461" s="105"/>
      <c r="AN461" s="105"/>
      <c r="AO461" s="105"/>
      <c r="AP461" s="105"/>
      <c r="AQ461" s="105"/>
      <c r="AR461" s="105"/>
      <c r="AS461" s="105"/>
      <c r="AT461" s="105"/>
      <c r="AU461" s="105"/>
      <c r="AV461" s="105"/>
      <c r="AW461" s="105"/>
      <c r="AX461" s="105"/>
      <c r="AY461" s="105"/>
      <c r="AZ461" s="105"/>
      <c r="BA461" s="105"/>
      <c r="BB461" s="105"/>
      <c r="BC461" s="105"/>
      <c r="BD461" s="105"/>
      <c r="BE461" s="105"/>
      <c r="BF461" s="105"/>
      <c r="BG461" s="105"/>
      <c r="BH461" s="105"/>
      <c r="BI461" s="105"/>
      <c r="BJ461" s="105"/>
      <c r="BK461" s="105"/>
      <c r="BL461" s="105"/>
      <c r="BM461" s="105"/>
      <c r="BN461" s="105"/>
      <c r="BO461" s="105"/>
      <c r="BP461" s="105"/>
      <c r="BQ461" s="105"/>
      <c r="BR461" s="105"/>
      <c r="BS461" s="105"/>
      <c r="BT461" s="105"/>
      <c r="BU461" s="105"/>
      <c r="BV461" s="105"/>
      <c r="BW461" s="105"/>
      <c r="BX461" s="105"/>
      <c r="BY461" s="105"/>
      <c r="BZ461" s="105"/>
      <c r="CA461" s="105"/>
      <c r="CB461" s="105"/>
      <c r="CC461" s="105"/>
      <c r="CD461" s="105"/>
      <c r="CE461" s="105"/>
      <c r="CF461" s="105"/>
      <c r="CG461" s="105"/>
      <c r="CH461" s="105"/>
      <c r="CI461" s="105"/>
      <c r="CJ461" s="105"/>
      <c r="CK461" s="105"/>
      <c r="CL461" s="105"/>
      <c r="CM461" s="105"/>
      <c r="CN461" s="105"/>
      <c r="CO461" s="105"/>
      <c r="CP461" s="105"/>
      <c r="CQ461" s="105"/>
      <c r="CR461" s="105"/>
      <c r="CS461" s="105"/>
      <c r="CT461" s="105"/>
      <c r="CU461" s="105"/>
      <c r="CV461" s="105"/>
      <c r="CW461" s="105"/>
      <c r="CX461" s="105"/>
      <c r="CY461" s="105"/>
      <c r="CZ461" s="105"/>
      <c r="DA461" s="105"/>
    </row>
    <row r="462">
      <c r="B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c r="AA462" s="105"/>
      <c r="AB462" s="105"/>
      <c r="AC462" s="105"/>
      <c r="AD462" s="105"/>
      <c r="AE462" s="105"/>
      <c r="AF462" s="105"/>
      <c r="AG462" s="105"/>
      <c r="AH462" s="105"/>
      <c r="AI462" s="105"/>
      <c r="AJ462" s="105"/>
      <c r="AK462" s="105"/>
      <c r="AL462" s="105"/>
      <c r="AM462" s="105"/>
      <c r="AN462" s="105"/>
      <c r="AO462" s="105"/>
      <c r="AP462" s="105"/>
      <c r="AQ462" s="105"/>
      <c r="AR462" s="105"/>
      <c r="AS462" s="105"/>
      <c r="AT462" s="105"/>
      <c r="AU462" s="105"/>
      <c r="AV462" s="105"/>
      <c r="AW462" s="105"/>
      <c r="AX462" s="105"/>
      <c r="AY462" s="105"/>
      <c r="AZ462" s="105"/>
      <c r="BA462" s="105"/>
      <c r="BB462" s="105"/>
      <c r="BC462" s="105"/>
      <c r="BD462" s="105"/>
      <c r="BE462" s="105"/>
      <c r="BF462" s="105"/>
      <c r="BG462" s="105"/>
      <c r="BH462" s="105"/>
      <c r="BI462" s="105"/>
      <c r="BJ462" s="105"/>
      <c r="BK462" s="105"/>
      <c r="BL462" s="105"/>
      <c r="BM462" s="105"/>
      <c r="BN462" s="105"/>
      <c r="BO462" s="105"/>
      <c r="BP462" s="105"/>
      <c r="BQ462" s="105"/>
      <c r="BR462" s="105"/>
      <c r="BS462" s="105"/>
      <c r="BT462" s="105"/>
      <c r="BU462" s="105"/>
      <c r="BV462" s="105"/>
      <c r="BW462" s="105"/>
      <c r="BX462" s="105"/>
      <c r="BY462" s="105"/>
      <c r="BZ462" s="105"/>
      <c r="CA462" s="105"/>
      <c r="CB462" s="105"/>
      <c r="CC462" s="105"/>
      <c r="CD462" s="105"/>
      <c r="CE462" s="105"/>
      <c r="CF462" s="105"/>
      <c r="CG462" s="105"/>
      <c r="CH462" s="105"/>
      <c r="CI462" s="105"/>
      <c r="CJ462" s="105"/>
      <c r="CK462" s="105"/>
      <c r="CL462" s="105"/>
      <c r="CM462" s="105"/>
      <c r="CN462" s="105"/>
      <c r="CO462" s="105"/>
      <c r="CP462" s="105"/>
      <c r="CQ462" s="105"/>
      <c r="CR462" s="105"/>
      <c r="CS462" s="105"/>
      <c r="CT462" s="105"/>
      <c r="CU462" s="105"/>
      <c r="CV462" s="105"/>
      <c r="CW462" s="105"/>
      <c r="CX462" s="105"/>
      <c r="CY462" s="105"/>
      <c r="CZ462" s="105"/>
      <c r="DA462" s="105"/>
    </row>
    <row r="463">
      <c r="B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c r="AA463" s="105"/>
      <c r="AB463" s="105"/>
      <c r="AC463" s="105"/>
      <c r="AD463" s="105"/>
      <c r="AE463" s="105"/>
      <c r="AF463" s="105"/>
      <c r="AG463" s="105"/>
      <c r="AH463" s="105"/>
      <c r="AI463" s="105"/>
      <c r="AJ463" s="105"/>
      <c r="AK463" s="105"/>
      <c r="AL463" s="105"/>
      <c r="AM463" s="105"/>
      <c r="AN463" s="105"/>
      <c r="AO463" s="105"/>
      <c r="AP463" s="105"/>
      <c r="AQ463" s="105"/>
      <c r="AR463" s="105"/>
      <c r="AS463" s="105"/>
      <c r="AT463" s="105"/>
      <c r="AU463" s="105"/>
      <c r="AV463" s="105"/>
      <c r="AW463" s="105"/>
      <c r="AX463" s="105"/>
      <c r="AY463" s="105"/>
      <c r="AZ463" s="105"/>
      <c r="BA463" s="105"/>
      <c r="BB463" s="105"/>
      <c r="BC463" s="105"/>
      <c r="BD463" s="105"/>
      <c r="BE463" s="105"/>
      <c r="BF463" s="105"/>
      <c r="BG463" s="105"/>
      <c r="BH463" s="105"/>
      <c r="BI463" s="105"/>
      <c r="BJ463" s="105"/>
      <c r="BK463" s="105"/>
      <c r="BL463" s="105"/>
      <c r="BM463" s="105"/>
      <c r="BN463" s="105"/>
      <c r="BO463" s="105"/>
      <c r="BP463" s="105"/>
      <c r="BQ463" s="105"/>
      <c r="BR463" s="105"/>
      <c r="BS463" s="105"/>
      <c r="BT463" s="105"/>
      <c r="BU463" s="105"/>
      <c r="BV463" s="105"/>
      <c r="BW463" s="105"/>
      <c r="BX463" s="105"/>
      <c r="BY463" s="105"/>
      <c r="BZ463" s="105"/>
      <c r="CA463" s="105"/>
      <c r="CB463" s="105"/>
      <c r="CC463" s="105"/>
      <c r="CD463" s="105"/>
      <c r="CE463" s="105"/>
      <c r="CF463" s="105"/>
      <c r="CG463" s="105"/>
      <c r="CH463" s="105"/>
      <c r="CI463" s="105"/>
      <c r="CJ463" s="105"/>
      <c r="CK463" s="105"/>
      <c r="CL463" s="105"/>
      <c r="CM463" s="105"/>
      <c r="CN463" s="105"/>
      <c r="CO463" s="105"/>
      <c r="CP463" s="105"/>
      <c r="CQ463" s="105"/>
      <c r="CR463" s="105"/>
      <c r="CS463" s="105"/>
      <c r="CT463" s="105"/>
      <c r="CU463" s="105"/>
      <c r="CV463" s="105"/>
      <c r="CW463" s="105"/>
      <c r="CX463" s="105"/>
      <c r="CY463" s="105"/>
      <c r="CZ463" s="105"/>
      <c r="DA463" s="105"/>
    </row>
    <row r="464">
      <c r="B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c r="AA464" s="105"/>
      <c r="AB464" s="105"/>
      <c r="AC464" s="105"/>
      <c r="AD464" s="105"/>
      <c r="AE464" s="105"/>
      <c r="AF464" s="105"/>
      <c r="AG464" s="105"/>
      <c r="AH464" s="105"/>
      <c r="AI464" s="105"/>
      <c r="AJ464" s="105"/>
      <c r="AK464" s="105"/>
      <c r="AL464" s="105"/>
      <c r="AM464" s="105"/>
      <c r="AN464" s="105"/>
      <c r="AO464" s="105"/>
      <c r="AP464" s="105"/>
      <c r="AQ464" s="105"/>
      <c r="AR464" s="105"/>
      <c r="AS464" s="105"/>
      <c r="AT464" s="105"/>
      <c r="AU464" s="105"/>
      <c r="AV464" s="105"/>
      <c r="AW464" s="105"/>
      <c r="AX464" s="105"/>
      <c r="AY464" s="105"/>
      <c r="AZ464" s="105"/>
      <c r="BA464" s="105"/>
      <c r="BB464" s="105"/>
      <c r="BC464" s="105"/>
      <c r="BD464" s="105"/>
      <c r="BE464" s="105"/>
      <c r="BF464" s="105"/>
      <c r="BG464" s="105"/>
      <c r="BH464" s="105"/>
      <c r="BI464" s="105"/>
      <c r="BJ464" s="105"/>
      <c r="BK464" s="105"/>
      <c r="BL464" s="105"/>
      <c r="BM464" s="105"/>
      <c r="BN464" s="105"/>
      <c r="BO464" s="105"/>
      <c r="BP464" s="105"/>
      <c r="BQ464" s="105"/>
      <c r="BR464" s="105"/>
      <c r="BS464" s="105"/>
      <c r="BT464" s="105"/>
      <c r="BU464" s="105"/>
      <c r="BV464" s="105"/>
      <c r="BW464" s="105"/>
      <c r="BX464" s="105"/>
      <c r="BY464" s="105"/>
      <c r="BZ464" s="105"/>
      <c r="CA464" s="105"/>
      <c r="CB464" s="105"/>
      <c r="CC464" s="105"/>
      <c r="CD464" s="105"/>
      <c r="CE464" s="105"/>
      <c r="CF464" s="105"/>
      <c r="CG464" s="105"/>
      <c r="CH464" s="105"/>
      <c r="CI464" s="105"/>
      <c r="CJ464" s="105"/>
      <c r="CK464" s="105"/>
      <c r="CL464" s="105"/>
      <c r="CM464" s="105"/>
      <c r="CN464" s="105"/>
      <c r="CO464" s="105"/>
      <c r="CP464" s="105"/>
      <c r="CQ464" s="105"/>
      <c r="CR464" s="105"/>
      <c r="CS464" s="105"/>
      <c r="CT464" s="105"/>
      <c r="CU464" s="105"/>
      <c r="CV464" s="105"/>
      <c r="CW464" s="105"/>
      <c r="CX464" s="105"/>
      <c r="CY464" s="105"/>
      <c r="CZ464" s="105"/>
      <c r="DA464" s="105"/>
    </row>
    <row r="465">
      <c r="B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c r="AA465" s="105"/>
      <c r="AB465" s="105"/>
      <c r="AC465" s="105"/>
      <c r="AD465" s="105"/>
      <c r="AE465" s="105"/>
      <c r="AF465" s="105"/>
      <c r="AG465" s="105"/>
      <c r="AH465" s="105"/>
      <c r="AI465" s="105"/>
      <c r="AJ465" s="105"/>
      <c r="AK465" s="105"/>
      <c r="AL465" s="105"/>
      <c r="AM465" s="105"/>
      <c r="AN465" s="105"/>
      <c r="AO465" s="105"/>
      <c r="AP465" s="105"/>
      <c r="AQ465" s="105"/>
      <c r="AR465" s="105"/>
      <c r="AS465" s="105"/>
      <c r="AT465" s="105"/>
      <c r="AU465" s="105"/>
      <c r="AV465" s="105"/>
      <c r="AW465" s="105"/>
      <c r="AX465" s="105"/>
      <c r="AY465" s="105"/>
      <c r="AZ465" s="105"/>
      <c r="BA465" s="105"/>
      <c r="BB465" s="105"/>
      <c r="BC465" s="105"/>
      <c r="BD465" s="105"/>
      <c r="BE465" s="105"/>
      <c r="BF465" s="105"/>
      <c r="BG465" s="105"/>
      <c r="BH465" s="105"/>
      <c r="BI465" s="105"/>
      <c r="BJ465" s="105"/>
      <c r="BK465" s="105"/>
      <c r="BL465" s="105"/>
      <c r="BM465" s="105"/>
      <c r="BN465" s="105"/>
      <c r="BO465" s="105"/>
      <c r="BP465" s="105"/>
      <c r="BQ465" s="105"/>
      <c r="BR465" s="105"/>
      <c r="BS465" s="105"/>
      <c r="BT465" s="105"/>
      <c r="BU465" s="105"/>
      <c r="BV465" s="105"/>
      <c r="BW465" s="105"/>
      <c r="BX465" s="105"/>
      <c r="BY465" s="105"/>
      <c r="BZ465" s="105"/>
      <c r="CA465" s="105"/>
      <c r="CB465" s="105"/>
      <c r="CC465" s="105"/>
      <c r="CD465" s="105"/>
      <c r="CE465" s="105"/>
      <c r="CF465" s="105"/>
      <c r="CG465" s="105"/>
      <c r="CH465" s="105"/>
      <c r="CI465" s="105"/>
      <c r="CJ465" s="105"/>
      <c r="CK465" s="105"/>
      <c r="CL465" s="105"/>
      <c r="CM465" s="105"/>
      <c r="CN465" s="105"/>
      <c r="CO465" s="105"/>
      <c r="CP465" s="105"/>
      <c r="CQ465" s="105"/>
      <c r="CR465" s="105"/>
      <c r="CS465" s="105"/>
      <c r="CT465" s="105"/>
      <c r="CU465" s="105"/>
      <c r="CV465" s="105"/>
      <c r="CW465" s="105"/>
      <c r="CX465" s="105"/>
      <c r="CY465" s="105"/>
      <c r="CZ465" s="105"/>
      <c r="DA465" s="105"/>
    </row>
    <row r="466">
      <c r="B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c r="AA466" s="105"/>
      <c r="AB466" s="105"/>
      <c r="AC466" s="105"/>
      <c r="AD466" s="105"/>
      <c r="AE466" s="105"/>
      <c r="AF466" s="105"/>
      <c r="AG466" s="105"/>
      <c r="AH466" s="105"/>
      <c r="AI466" s="105"/>
      <c r="AJ466" s="105"/>
      <c r="AK466" s="105"/>
      <c r="AL466" s="105"/>
      <c r="AM466" s="105"/>
      <c r="AN466" s="105"/>
      <c r="AO466" s="105"/>
      <c r="AP466" s="105"/>
      <c r="AQ466" s="105"/>
      <c r="AR466" s="105"/>
      <c r="AS466" s="105"/>
      <c r="AT466" s="105"/>
      <c r="AU466" s="105"/>
      <c r="AV466" s="105"/>
      <c r="AW466" s="105"/>
      <c r="AX466" s="105"/>
      <c r="AY466" s="105"/>
      <c r="AZ466" s="105"/>
      <c r="BA466" s="105"/>
      <c r="BB466" s="105"/>
      <c r="BC466" s="105"/>
      <c r="BD466" s="105"/>
      <c r="BE466" s="105"/>
      <c r="BF466" s="105"/>
      <c r="BG466" s="105"/>
      <c r="BH466" s="105"/>
      <c r="BI466" s="105"/>
      <c r="BJ466" s="105"/>
      <c r="BK466" s="105"/>
      <c r="BL466" s="105"/>
      <c r="BM466" s="105"/>
      <c r="BN466" s="105"/>
      <c r="BO466" s="105"/>
      <c r="BP466" s="105"/>
      <c r="BQ466" s="105"/>
      <c r="BR466" s="105"/>
      <c r="BS466" s="105"/>
      <c r="BT466" s="105"/>
      <c r="BU466" s="105"/>
      <c r="BV466" s="105"/>
      <c r="BW466" s="105"/>
      <c r="BX466" s="105"/>
      <c r="BY466" s="105"/>
      <c r="BZ466" s="105"/>
      <c r="CA466" s="105"/>
      <c r="CB466" s="105"/>
      <c r="CC466" s="105"/>
      <c r="CD466" s="105"/>
      <c r="CE466" s="105"/>
      <c r="CF466" s="105"/>
      <c r="CG466" s="105"/>
      <c r="CH466" s="105"/>
      <c r="CI466" s="105"/>
      <c r="CJ466" s="105"/>
      <c r="CK466" s="105"/>
      <c r="CL466" s="105"/>
      <c r="CM466" s="105"/>
      <c r="CN466" s="105"/>
      <c r="CO466" s="105"/>
      <c r="CP466" s="105"/>
      <c r="CQ466" s="105"/>
      <c r="CR466" s="105"/>
      <c r="CS466" s="105"/>
      <c r="CT466" s="105"/>
      <c r="CU466" s="105"/>
      <c r="CV466" s="105"/>
      <c r="CW466" s="105"/>
      <c r="CX466" s="105"/>
      <c r="CY466" s="105"/>
      <c r="CZ466" s="105"/>
      <c r="DA466" s="105"/>
    </row>
    <row r="467">
      <c r="B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c r="AA467" s="105"/>
      <c r="AB467" s="105"/>
      <c r="AC467" s="105"/>
      <c r="AD467" s="105"/>
      <c r="AE467" s="105"/>
      <c r="AF467" s="105"/>
      <c r="AG467" s="105"/>
      <c r="AH467" s="105"/>
      <c r="AI467" s="105"/>
      <c r="AJ467" s="105"/>
      <c r="AK467" s="105"/>
      <c r="AL467" s="105"/>
      <c r="AM467" s="105"/>
      <c r="AN467" s="105"/>
      <c r="AO467" s="105"/>
      <c r="AP467" s="105"/>
      <c r="AQ467" s="105"/>
      <c r="AR467" s="105"/>
      <c r="AS467" s="105"/>
      <c r="AT467" s="105"/>
      <c r="AU467" s="105"/>
      <c r="AV467" s="105"/>
      <c r="AW467" s="105"/>
      <c r="AX467" s="105"/>
      <c r="AY467" s="105"/>
      <c r="AZ467" s="105"/>
      <c r="BA467" s="105"/>
      <c r="BB467" s="105"/>
      <c r="BC467" s="105"/>
      <c r="BD467" s="105"/>
      <c r="BE467" s="105"/>
      <c r="BF467" s="105"/>
      <c r="BG467" s="105"/>
      <c r="BH467" s="105"/>
      <c r="BI467" s="105"/>
      <c r="BJ467" s="105"/>
      <c r="BK467" s="105"/>
      <c r="BL467" s="105"/>
      <c r="BM467" s="105"/>
      <c r="BN467" s="105"/>
      <c r="BO467" s="105"/>
      <c r="BP467" s="105"/>
      <c r="BQ467" s="105"/>
      <c r="BR467" s="105"/>
      <c r="BS467" s="105"/>
      <c r="BT467" s="105"/>
      <c r="BU467" s="105"/>
      <c r="BV467" s="105"/>
      <c r="BW467" s="105"/>
      <c r="BX467" s="105"/>
      <c r="BY467" s="105"/>
      <c r="BZ467" s="105"/>
      <c r="CA467" s="105"/>
      <c r="CB467" s="105"/>
      <c r="CC467" s="105"/>
      <c r="CD467" s="105"/>
      <c r="CE467" s="105"/>
      <c r="CF467" s="105"/>
      <c r="CG467" s="105"/>
      <c r="CH467" s="105"/>
      <c r="CI467" s="105"/>
      <c r="CJ467" s="105"/>
      <c r="CK467" s="105"/>
      <c r="CL467" s="105"/>
      <c r="CM467" s="105"/>
      <c r="CN467" s="105"/>
      <c r="CO467" s="105"/>
      <c r="CP467" s="105"/>
      <c r="CQ467" s="105"/>
      <c r="CR467" s="105"/>
      <c r="CS467" s="105"/>
      <c r="CT467" s="105"/>
      <c r="CU467" s="105"/>
      <c r="CV467" s="105"/>
      <c r="CW467" s="105"/>
      <c r="CX467" s="105"/>
      <c r="CY467" s="105"/>
      <c r="CZ467" s="105"/>
      <c r="DA467" s="105"/>
    </row>
    <row r="468">
      <c r="B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c r="AA468" s="105"/>
      <c r="AB468" s="105"/>
      <c r="AC468" s="105"/>
      <c r="AD468" s="105"/>
      <c r="AE468" s="105"/>
      <c r="AF468" s="105"/>
      <c r="AG468" s="105"/>
      <c r="AH468" s="105"/>
      <c r="AI468" s="105"/>
      <c r="AJ468" s="105"/>
      <c r="AK468" s="105"/>
      <c r="AL468" s="105"/>
      <c r="AM468" s="105"/>
      <c r="AN468" s="105"/>
      <c r="AO468" s="105"/>
      <c r="AP468" s="105"/>
      <c r="AQ468" s="105"/>
      <c r="AR468" s="105"/>
      <c r="AS468" s="105"/>
      <c r="AT468" s="105"/>
      <c r="AU468" s="105"/>
      <c r="AV468" s="105"/>
      <c r="AW468" s="105"/>
      <c r="AX468" s="105"/>
      <c r="AY468" s="105"/>
      <c r="AZ468" s="105"/>
      <c r="BA468" s="105"/>
      <c r="BB468" s="105"/>
      <c r="BC468" s="105"/>
      <c r="BD468" s="105"/>
      <c r="BE468" s="105"/>
      <c r="BF468" s="105"/>
      <c r="BG468" s="105"/>
      <c r="BH468" s="105"/>
      <c r="BI468" s="105"/>
      <c r="BJ468" s="105"/>
      <c r="BK468" s="105"/>
      <c r="BL468" s="105"/>
      <c r="BM468" s="105"/>
      <c r="BN468" s="105"/>
      <c r="BO468" s="105"/>
      <c r="BP468" s="105"/>
      <c r="BQ468" s="105"/>
      <c r="BR468" s="105"/>
      <c r="BS468" s="105"/>
      <c r="BT468" s="105"/>
      <c r="BU468" s="105"/>
      <c r="BV468" s="105"/>
      <c r="BW468" s="105"/>
      <c r="BX468" s="105"/>
      <c r="BY468" s="105"/>
      <c r="BZ468" s="105"/>
      <c r="CA468" s="105"/>
      <c r="CB468" s="105"/>
      <c r="CC468" s="105"/>
      <c r="CD468" s="105"/>
      <c r="CE468" s="105"/>
      <c r="CF468" s="105"/>
      <c r="CG468" s="105"/>
      <c r="CH468" s="105"/>
      <c r="CI468" s="105"/>
      <c r="CJ468" s="105"/>
      <c r="CK468" s="105"/>
      <c r="CL468" s="105"/>
      <c r="CM468" s="105"/>
      <c r="CN468" s="105"/>
      <c r="CO468" s="105"/>
      <c r="CP468" s="105"/>
      <c r="CQ468" s="105"/>
      <c r="CR468" s="105"/>
      <c r="CS468" s="105"/>
      <c r="CT468" s="105"/>
      <c r="CU468" s="105"/>
      <c r="CV468" s="105"/>
      <c r="CW468" s="105"/>
      <c r="CX468" s="105"/>
      <c r="CY468" s="105"/>
      <c r="CZ468" s="105"/>
      <c r="DA468" s="105"/>
    </row>
    <row r="469">
      <c r="B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c r="AA469" s="105"/>
      <c r="AB469" s="105"/>
      <c r="AC469" s="105"/>
      <c r="AD469" s="105"/>
      <c r="AE469" s="105"/>
      <c r="AF469" s="105"/>
      <c r="AG469" s="105"/>
      <c r="AH469" s="105"/>
      <c r="AI469" s="105"/>
      <c r="AJ469" s="105"/>
      <c r="AK469" s="105"/>
      <c r="AL469" s="105"/>
      <c r="AM469" s="105"/>
      <c r="AN469" s="105"/>
      <c r="AO469" s="105"/>
      <c r="AP469" s="105"/>
      <c r="AQ469" s="105"/>
      <c r="AR469" s="105"/>
      <c r="AS469" s="105"/>
      <c r="AT469" s="105"/>
      <c r="AU469" s="105"/>
      <c r="AV469" s="105"/>
      <c r="AW469" s="105"/>
      <c r="AX469" s="105"/>
      <c r="AY469" s="105"/>
      <c r="AZ469" s="105"/>
      <c r="BA469" s="105"/>
      <c r="BB469" s="105"/>
      <c r="BC469" s="105"/>
      <c r="BD469" s="105"/>
      <c r="BE469" s="105"/>
      <c r="BF469" s="105"/>
      <c r="BG469" s="105"/>
      <c r="BH469" s="105"/>
      <c r="BI469" s="105"/>
      <c r="BJ469" s="105"/>
      <c r="BK469" s="105"/>
      <c r="BL469" s="105"/>
      <c r="BM469" s="105"/>
      <c r="BN469" s="105"/>
      <c r="BO469" s="105"/>
      <c r="BP469" s="105"/>
      <c r="BQ469" s="105"/>
      <c r="BR469" s="105"/>
      <c r="BS469" s="105"/>
      <c r="BT469" s="105"/>
      <c r="BU469" s="105"/>
      <c r="BV469" s="105"/>
      <c r="BW469" s="105"/>
      <c r="BX469" s="105"/>
      <c r="BY469" s="105"/>
      <c r="BZ469" s="105"/>
      <c r="CA469" s="105"/>
      <c r="CB469" s="105"/>
      <c r="CC469" s="105"/>
      <c r="CD469" s="105"/>
      <c r="CE469" s="105"/>
      <c r="CF469" s="105"/>
      <c r="CG469" s="105"/>
      <c r="CH469" s="105"/>
      <c r="CI469" s="105"/>
      <c r="CJ469" s="105"/>
      <c r="CK469" s="105"/>
      <c r="CL469" s="105"/>
      <c r="CM469" s="105"/>
      <c r="CN469" s="105"/>
      <c r="CO469" s="105"/>
      <c r="CP469" s="105"/>
      <c r="CQ469" s="105"/>
      <c r="CR469" s="105"/>
      <c r="CS469" s="105"/>
      <c r="CT469" s="105"/>
      <c r="CU469" s="105"/>
      <c r="CV469" s="105"/>
      <c r="CW469" s="105"/>
      <c r="CX469" s="105"/>
      <c r="CY469" s="105"/>
      <c r="CZ469" s="105"/>
      <c r="DA469" s="105"/>
    </row>
    <row r="470">
      <c r="B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c r="AA470" s="105"/>
      <c r="AB470" s="105"/>
      <c r="AC470" s="105"/>
      <c r="AD470" s="105"/>
      <c r="AE470" s="105"/>
      <c r="AF470" s="105"/>
      <c r="AG470" s="105"/>
      <c r="AH470" s="105"/>
      <c r="AI470" s="105"/>
      <c r="AJ470" s="105"/>
      <c r="AK470" s="105"/>
      <c r="AL470" s="105"/>
      <c r="AM470" s="105"/>
      <c r="AN470" s="105"/>
      <c r="AO470" s="105"/>
      <c r="AP470" s="105"/>
      <c r="AQ470" s="105"/>
      <c r="AR470" s="105"/>
      <c r="AS470" s="105"/>
      <c r="AT470" s="105"/>
      <c r="AU470" s="105"/>
      <c r="AV470" s="105"/>
      <c r="AW470" s="105"/>
      <c r="AX470" s="105"/>
      <c r="AY470" s="105"/>
      <c r="AZ470" s="105"/>
      <c r="BA470" s="105"/>
      <c r="BB470" s="105"/>
      <c r="BC470" s="105"/>
      <c r="BD470" s="105"/>
      <c r="BE470" s="105"/>
      <c r="BF470" s="105"/>
      <c r="BG470" s="105"/>
      <c r="BH470" s="105"/>
      <c r="BI470" s="105"/>
      <c r="BJ470" s="105"/>
      <c r="BK470" s="105"/>
      <c r="BL470" s="105"/>
      <c r="BM470" s="105"/>
      <c r="BN470" s="105"/>
      <c r="BO470" s="105"/>
      <c r="BP470" s="105"/>
      <c r="BQ470" s="105"/>
      <c r="BR470" s="105"/>
      <c r="BS470" s="105"/>
      <c r="BT470" s="105"/>
      <c r="BU470" s="105"/>
      <c r="BV470" s="105"/>
      <c r="BW470" s="105"/>
      <c r="BX470" s="105"/>
      <c r="BY470" s="105"/>
      <c r="BZ470" s="105"/>
      <c r="CA470" s="105"/>
      <c r="CB470" s="105"/>
      <c r="CC470" s="105"/>
      <c r="CD470" s="105"/>
      <c r="CE470" s="105"/>
      <c r="CF470" s="105"/>
      <c r="CG470" s="105"/>
      <c r="CH470" s="105"/>
      <c r="CI470" s="105"/>
      <c r="CJ470" s="105"/>
      <c r="CK470" s="105"/>
      <c r="CL470" s="105"/>
      <c r="CM470" s="105"/>
      <c r="CN470" s="105"/>
      <c r="CO470" s="105"/>
      <c r="CP470" s="105"/>
      <c r="CQ470" s="105"/>
      <c r="CR470" s="105"/>
      <c r="CS470" s="105"/>
      <c r="CT470" s="105"/>
      <c r="CU470" s="105"/>
      <c r="CV470" s="105"/>
      <c r="CW470" s="105"/>
      <c r="CX470" s="105"/>
      <c r="CY470" s="105"/>
      <c r="CZ470" s="105"/>
      <c r="DA470" s="105"/>
    </row>
    <row r="471">
      <c r="B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c r="AA471" s="105"/>
      <c r="AB471" s="105"/>
      <c r="AC471" s="105"/>
      <c r="AD471" s="105"/>
      <c r="AE471" s="105"/>
      <c r="AF471" s="105"/>
      <c r="AG471" s="105"/>
      <c r="AH471" s="105"/>
      <c r="AI471" s="105"/>
      <c r="AJ471" s="105"/>
      <c r="AK471" s="105"/>
      <c r="AL471" s="105"/>
      <c r="AM471" s="105"/>
      <c r="AN471" s="105"/>
      <c r="AO471" s="105"/>
      <c r="AP471" s="105"/>
      <c r="AQ471" s="105"/>
      <c r="AR471" s="105"/>
      <c r="AS471" s="105"/>
      <c r="AT471" s="105"/>
      <c r="AU471" s="105"/>
      <c r="AV471" s="105"/>
      <c r="AW471" s="105"/>
      <c r="AX471" s="105"/>
      <c r="AY471" s="105"/>
      <c r="AZ471" s="105"/>
      <c r="BA471" s="105"/>
      <c r="BB471" s="105"/>
      <c r="BC471" s="105"/>
      <c r="BD471" s="105"/>
      <c r="BE471" s="105"/>
      <c r="BF471" s="105"/>
      <c r="BG471" s="105"/>
      <c r="BH471" s="105"/>
      <c r="BI471" s="105"/>
      <c r="BJ471" s="105"/>
      <c r="BK471" s="105"/>
      <c r="BL471" s="105"/>
      <c r="BM471" s="105"/>
      <c r="BN471" s="105"/>
      <c r="BO471" s="105"/>
      <c r="BP471" s="105"/>
      <c r="BQ471" s="105"/>
      <c r="BR471" s="105"/>
      <c r="BS471" s="105"/>
      <c r="BT471" s="105"/>
      <c r="BU471" s="105"/>
      <c r="BV471" s="105"/>
      <c r="BW471" s="105"/>
      <c r="BX471" s="105"/>
      <c r="BY471" s="105"/>
      <c r="BZ471" s="105"/>
      <c r="CA471" s="105"/>
      <c r="CB471" s="105"/>
      <c r="CC471" s="105"/>
      <c r="CD471" s="105"/>
      <c r="CE471" s="105"/>
      <c r="CF471" s="105"/>
      <c r="CG471" s="105"/>
      <c r="CH471" s="105"/>
      <c r="CI471" s="105"/>
      <c r="CJ471" s="105"/>
      <c r="CK471" s="105"/>
      <c r="CL471" s="105"/>
      <c r="CM471" s="105"/>
      <c r="CN471" s="105"/>
      <c r="CO471" s="105"/>
      <c r="CP471" s="105"/>
      <c r="CQ471" s="105"/>
      <c r="CR471" s="105"/>
      <c r="CS471" s="105"/>
      <c r="CT471" s="105"/>
      <c r="CU471" s="105"/>
      <c r="CV471" s="105"/>
      <c r="CW471" s="105"/>
      <c r="CX471" s="105"/>
      <c r="CY471" s="105"/>
      <c r="CZ471" s="105"/>
      <c r="DA471" s="105"/>
    </row>
    <row r="472">
      <c r="B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c r="AA472" s="105"/>
      <c r="AB472" s="105"/>
      <c r="AC472" s="105"/>
      <c r="AD472" s="105"/>
      <c r="AE472" s="105"/>
      <c r="AF472" s="105"/>
      <c r="AG472" s="105"/>
      <c r="AH472" s="105"/>
      <c r="AI472" s="105"/>
      <c r="AJ472" s="105"/>
      <c r="AK472" s="105"/>
      <c r="AL472" s="105"/>
      <c r="AM472" s="105"/>
      <c r="AN472" s="105"/>
      <c r="AO472" s="105"/>
      <c r="AP472" s="105"/>
      <c r="AQ472" s="105"/>
      <c r="AR472" s="105"/>
      <c r="AS472" s="105"/>
      <c r="AT472" s="105"/>
      <c r="AU472" s="105"/>
      <c r="AV472" s="105"/>
      <c r="AW472" s="105"/>
      <c r="AX472" s="105"/>
      <c r="AY472" s="105"/>
      <c r="AZ472" s="105"/>
      <c r="BA472" s="105"/>
      <c r="BB472" s="105"/>
      <c r="BC472" s="105"/>
      <c r="BD472" s="105"/>
      <c r="BE472" s="105"/>
      <c r="BF472" s="105"/>
      <c r="BG472" s="105"/>
      <c r="BH472" s="105"/>
      <c r="BI472" s="105"/>
      <c r="BJ472" s="105"/>
      <c r="BK472" s="105"/>
      <c r="BL472" s="105"/>
      <c r="BM472" s="105"/>
      <c r="BN472" s="105"/>
      <c r="BO472" s="105"/>
      <c r="BP472" s="105"/>
      <c r="BQ472" s="105"/>
      <c r="BR472" s="105"/>
      <c r="BS472" s="105"/>
      <c r="BT472" s="105"/>
      <c r="BU472" s="105"/>
      <c r="BV472" s="105"/>
      <c r="BW472" s="105"/>
      <c r="BX472" s="105"/>
      <c r="BY472" s="105"/>
      <c r="BZ472" s="105"/>
      <c r="CA472" s="105"/>
      <c r="CB472" s="105"/>
      <c r="CC472" s="105"/>
      <c r="CD472" s="105"/>
      <c r="CE472" s="105"/>
      <c r="CF472" s="105"/>
      <c r="CG472" s="105"/>
      <c r="CH472" s="105"/>
      <c r="CI472" s="105"/>
      <c r="CJ472" s="105"/>
      <c r="CK472" s="105"/>
      <c r="CL472" s="105"/>
      <c r="CM472" s="105"/>
      <c r="CN472" s="105"/>
      <c r="CO472" s="105"/>
      <c r="CP472" s="105"/>
      <c r="CQ472" s="105"/>
      <c r="CR472" s="105"/>
      <c r="CS472" s="105"/>
      <c r="CT472" s="105"/>
      <c r="CU472" s="105"/>
      <c r="CV472" s="105"/>
      <c r="CW472" s="105"/>
      <c r="CX472" s="105"/>
      <c r="CY472" s="105"/>
      <c r="CZ472" s="105"/>
      <c r="DA472" s="105"/>
    </row>
    <row r="473">
      <c r="B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c r="AA473" s="105"/>
      <c r="AB473" s="105"/>
      <c r="AC473" s="105"/>
      <c r="AD473" s="105"/>
      <c r="AE473" s="105"/>
      <c r="AF473" s="105"/>
      <c r="AG473" s="105"/>
      <c r="AH473" s="105"/>
      <c r="AI473" s="105"/>
      <c r="AJ473" s="105"/>
      <c r="AK473" s="105"/>
      <c r="AL473" s="105"/>
      <c r="AM473" s="105"/>
      <c r="AN473" s="105"/>
      <c r="AO473" s="105"/>
      <c r="AP473" s="105"/>
      <c r="AQ473" s="105"/>
      <c r="AR473" s="105"/>
      <c r="AS473" s="105"/>
      <c r="AT473" s="105"/>
      <c r="AU473" s="105"/>
      <c r="AV473" s="105"/>
      <c r="AW473" s="105"/>
      <c r="AX473" s="105"/>
      <c r="AY473" s="105"/>
      <c r="AZ473" s="105"/>
      <c r="BA473" s="105"/>
      <c r="BB473" s="105"/>
      <c r="BC473" s="105"/>
      <c r="BD473" s="105"/>
      <c r="BE473" s="105"/>
      <c r="BF473" s="105"/>
      <c r="BG473" s="105"/>
      <c r="BH473" s="105"/>
      <c r="BI473" s="105"/>
      <c r="BJ473" s="105"/>
      <c r="BK473" s="105"/>
      <c r="BL473" s="105"/>
      <c r="BM473" s="105"/>
      <c r="BN473" s="105"/>
      <c r="BO473" s="105"/>
      <c r="BP473" s="105"/>
      <c r="BQ473" s="105"/>
      <c r="BR473" s="105"/>
      <c r="BS473" s="105"/>
      <c r="BT473" s="105"/>
      <c r="BU473" s="105"/>
      <c r="BV473" s="105"/>
      <c r="BW473" s="105"/>
      <c r="BX473" s="105"/>
      <c r="BY473" s="105"/>
      <c r="BZ473" s="105"/>
      <c r="CA473" s="105"/>
      <c r="CB473" s="105"/>
      <c r="CC473" s="105"/>
      <c r="CD473" s="105"/>
      <c r="CE473" s="105"/>
      <c r="CF473" s="105"/>
      <c r="CG473" s="105"/>
      <c r="CH473" s="105"/>
      <c r="CI473" s="105"/>
      <c r="CJ473" s="105"/>
      <c r="CK473" s="105"/>
      <c r="CL473" s="105"/>
      <c r="CM473" s="105"/>
      <c r="CN473" s="105"/>
      <c r="CO473" s="105"/>
      <c r="CP473" s="105"/>
      <c r="CQ473" s="105"/>
      <c r="CR473" s="105"/>
      <c r="CS473" s="105"/>
      <c r="CT473" s="105"/>
      <c r="CU473" s="105"/>
      <c r="CV473" s="105"/>
      <c r="CW473" s="105"/>
      <c r="CX473" s="105"/>
      <c r="CY473" s="105"/>
      <c r="CZ473" s="105"/>
      <c r="DA473" s="105"/>
    </row>
    <row r="474">
      <c r="B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c r="AA474" s="105"/>
      <c r="AB474" s="105"/>
      <c r="AC474" s="105"/>
      <c r="AD474" s="105"/>
      <c r="AE474" s="105"/>
      <c r="AF474" s="105"/>
      <c r="AG474" s="105"/>
      <c r="AH474" s="105"/>
      <c r="AI474" s="105"/>
      <c r="AJ474" s="105"/>
      <c r="AK474" s="105"/>
      <c r="AL474" s="105"/>
      <c r="AM474" s="105"/>
      <c r="AN474" s="105"/>
      <c r="AO474" s="105"/>
      <c r="AP474" s="105"/>
      <c r="AQ474" s="105"/>
      <c r="AR474" s="105"/>
      <c r="AS474" s="105"/>
      <c r="AT474" s="105"/>
      <c r="AU474" s="105"/>
      <c r="AV474" s="105"/>
      <c r="AW474" s="105"/>
      <c r="AX474" s="105"/>
      <c r="AY474" s="105"/>
      <c r="AZ474" s="105"/>
      <c r="BA474" s="105"/>
      <c r="BB474" s="105"/>
      <c r="BC474" s="105"/>
      <c r="BD474" s="105"/>
      <c r="BE474" s="105"/>
      <c r="BF474" s="105"/>
      <c r="BG474" s="105"/>
      <c r="BH474" s="105"/>
      <c r="BI474" s="105"/>
      <c r="BJ474" s="105"/>
      <c r="BK474" s="105"/>
      <c r="BL474" s="105"/>
      <c r="BM474" s="105"/>
      <c r="BN474" s="105"/>
      <c r="BO474" s="105"/>
      <c r="BP474" s="105"/>
      <c r="BQ474" s="105"/>
      <c r="BR474" s="105"/>
      <c r="BS474" s="105"/>
      <c r="BT474" s="105"/>
      <c r="BU474" s="105"/>
      <c r="BV474" s="105"/>
      <c r="BW474" s="105"/>
      <c r="BX474" s="105"/>
      <c r="BY474" s="105"/>
      <c r="BZ474" s="105"/>
      <c r="CA474" s="105"/>
      <c r="CB474" s="105"/>
      <c r="CC474" s="105"/>
      <c r="CD474" s="105"/>
      <c r="CE474" s="105"/>
      <c r="CF474" s="105"/>
      <c r="CG474" s="105"/>
      <c r="CH474" s="105"/>
      <c r="CI474" s="105"/>
      <c r="CJ474" s="105"/>
      <c r="CK474" s="105"/>
      <c r="CL474" s="105"/>
      <c r="CM474" s="105"/>
      <c r="CN474" s="105"/>
      <c r="CO474" s="105"/>
      <c r="CP474" s="105"/>
      <c r="CQ474" s="105"/>
      <c r="CR474" s="105"/>
      <c r="CS474" s="105"/>
      <c r="CT474" s="105"/>
      <c r="CU474" s="105"/>
      <c r="CV474" s="105"/>
      <c r="CW474" s="105"/>
      <c r="CX474" s="105"/>
      <c r="CY474" s="105"/>
      <c r="CZ474" s="105"/>
      <c r="DA474" s="105"/>
    </row>
    <row r="475">
      <c r="B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c r="AA475" s="105"/>
      <c r="AB475" s="105"/>
      <c r="AC475" s="105"/>
      <c r="AD475" s="105"/>
      <c r="AE475" s="105"/>
      <c r="AF475" s="105"/>
      <c r="AG475" s="105"/>
      <c r="AH475" s="105"/>
      <c r="AI475" s="105"/>
      <c r="AJ475" s="105"/>
      <c r="AK475" s="105"/>
      <c r="AL475" s="105"/>
      <c r="AM475" s="105"/>
      <c r="AN475" s="105"/>
      <c r="AO475" s="105"/>
      <c r="AP475" s="105"/>
      <c r="AQ475" s="105"/>
      <c r="AR475" s="105"/>
      <c r="AS475" s="105"/>
      <c r="AT475" s="105"/>
      <c r="AU475" s="105"/>
      <c r="AV475" s="105"/>
      <c r="AW475" s="105"/>
      <c r="AX475" s="105"/>
      <c r="AY475" s="105"/>
      <c r="AZ475" s="105"/>
      <c r="BA475" s="105"/>
      <c r="BB475" s="105"/>
      <c r="BC475" s="105"/>
      <c r="BD475" s="105"/>
      <c r="BE475" s="105"/>
      <c r="BF475" s="105"/>
      <c r="BG475" s="105"/>
      <c r="BH475" s="105"/>
      <c r="BI475" s="105"/>
      <c r="BJ475" s="105"/>
      <c r="BK475" s="105"/>
      <c r="BL475" s="105"/>
      <c r="BM475" s="105"/>
      <c r="BN475" s="105"/>
      <c r="BO475" s="105"/>
      <c r="BP475" s="105"/>
      <c r="BQ475" s="105"/>
      <c r="BR475" s="105"/>
      <c r="BS475" s="105"/>
      <c r="BT475" s="105"/>
      <c r="BU475" s="105"/>
      <c r="BV475" s="105"/>
      <c r="BW475" s="105"/>
      <c r="BX475" s="105"/>
      <c r="BY475" s="105"/>
      <c r="BZ475" s="105"/>
      <c r="CA475" s="105"/>
      <c r="CB475" s="105"/>
      <c r="CC475" s="105"/>
      <c r="CD475" s="105"/>
      <c r="CE475" s="105"/>
      <c r="CF475" s="105"/>
      <c r="CG475" s="105"/>
      <c r="CH475" s="105"/>
      <c r="CI475" s="105"/>
      <c r="CJ475" s="105"/>
      <c r="CK475" s="105"/>
      <c r="CL475" s="105"/>
      <c r="CM475" s="105"/>
      <c r="CN475" s="105"/>
      <c r="CO475" s="105"/>
      <c r="CP475" s="105"/>
      <c r="CQ475" s="105"/>
      <c r="CR475" s="105"/>
      <c r="CS475" s="105"/>
      <c r="CT475" s="105"/>
      <c r="CU475" s="105"/>
      <c r="CV475" s="105"/>
      <c r="CW475" s="105"/>
      <c r="CX475" s="105"/>
      <c r="CY475" s="105"/>
      <c r="CZ475" s="105"/>
      <c r="DA475" s="105"/>
    </row>
    <row r="476">
      <c r="B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c r="AA476" s="105"/>
      <c r="AB476" s="105"/>
      <c r="AC476" s="105"/>
      <c r="AD476" s="105"/>
      <c r="AE476" s="105"/>
      <c r="AF476" s="105"/>
      <c r="AG476" s="105"/>
      <c r="AH476" s="105"/>
      <c r="AI476" s="105"/>
      <c r="AJ476" s="105"/>
      <c r="AK476" s="105"/>
      <c r="AL476" s="105"/>
      <c r="AM476" s="105"/>
      <c r="AN476" s="105"/>
      <c r="AO476" s="105"/>
      <c r="AP476" s="105"/>
      <c r="AQ476" s="105"/>
      <c r="AR476" s="105"/>
      <c r="AS476" s="105"/>
      <c r="AT476" s="105"/>
      <c r="AU476" s="105"/>
      <c r="AV476" s="105"/>
      <c r="AW476" s="105"/>
      <c r="AX476" s="105"/>
      <c r="AY476" s="105"/>
      <c r="AZ476" s="105"/>
      <c r="BA476" s="105"/>
      <c r="BB476" s="105"/>
      <c r="BC476" s="105"/>
      <c r="BD476" s="105"/>
      <c r="BE476" s="105"/>
      <c r="BF476" s="105"/>
      <c r="BG476" s="105"/>
      <c r="BH476" s="105"/>
      <c r="BI476" s="105"/>
      <c r="BJ476" s="105"/>
      <c r="BK476" s="105"/>
      <c r="BL476" s="105"/>
      <c r="BM476" s="105"/>
      <c r="BN476" s="105"/>
      <c r="BO476" s="105"/>
      <c r="BP476" s="105"/>
      <c r="BQ476" s="105"/>
      <c r="BR476" s="105"/>
      <c r="BS476" s="105"/>
      <c r="BT476" s="105"/>
      <c r="BU476" s="105"/>
      <c r="BV476" s="105"/>
      <c r="BW476" s="105"/>
      <c r="BX476" s="105"/>
      <c r="BY476" s="105"/>
      <c r="BZ476" s="105"/>
      <c r="CA476" s="105"/>
      <c r="CB476" s="105"/>
      <c r="CC476" s="105"/>
      <c r="CD476" s="105"/>
      <c r="CE476" s="105"/>
      <c r="CF476" s="105"/>
      <c r="CG476" s="105"/>
      <c r="CH476" s="105"/>
      <c r="CI476" s="105"/>
      <c r="CJ476" s="105"/>
      <c r="CK476" s="105"/>
      <c r="CL476" s="105"/>
      <c r="CM476" s="105"/>
      <c r="CN476" s="105"/>
      <c r="CO476" s="105"/>
      <c r="CP476" s="105"/>
      <c r="CQ476" s="105"/>
      <c r="CR476" s="105"/>
      <c r="CS476" s="105"/>
      <c r="CT476" s="105"/>
      <c r="CU476" s="105"/>
      <c r="CV476" s="105"/>
      <c r="CW476" s="105"/>
      <c r="CX476" s="105"/>
      <c r="CY476" s="105"/>
      <c r="CZ476" s="105"/>
      <c r="DA476" s="105"/>
    </row>
    <row r="477">
      <c r="B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c r="AA477" s="105"/>
      <c r="AB477" s="105"/>
      <c r="AC477" s="105"/>
      <c r="AD477" s="105"/>
      <c r="AE477" s="105"/>
      <c r="AF477" s="105"/>
      <c r="AG477" s="105"/>
      <c r="AH477" s="105"/>
      <c r="AI477" s="105"/>
      <c r="AJ477" s="105"/>
      <c r="AK477" s="105"/>
      <c r="AL477" s="105"/>
      <c r="AM477" s="105"/>
      <c r="AN477" s="105"/>
      <c r="AO477" s="105"/>
      <c r="AP477" s="105"/>
      <c r="AQ477" s="105"/>
      <c r="AR477" s="105"/>
      <c r="AS477" s="105"/>
      <c r="AT477" s="105"/>
      <c r="AU477" s="105"/>
      <c r="AV477" s="105"/>
      <c r="AW477" s="105"/>
      <c r="AX477" s="105"/>
      <c r="AY477" s="105"/>
      <c r="AZ477" s="105"/>
      <c r="BA477" s="105"/>
      <c r="BB477" s="105"/>
      <c r="BC477" s="105"/>
      <c r="BD477" s="105"/>
      <c r="BE477" s="105"/>
      <c r="BF477" s="105"/>
      <c r="BG477" s="105"/>
      <c r="BH477" s="105"/>
      <c r="BI477" s="105"/>
      <c r="BJ477" s="105"/>
      <c r="BK477" s="105"/>
      <c r="BL477" s="105"/>
      <c r="BM477" s="105"/>
      <c r="BN477" s="105"/>
      <c r="BO477" s="105"/>
      <c r="BP477" s="105"/>
      <c r="BQ477" s="105"/>
      <c r="BR477" s="105"/>
      <c r="BS477" s="105"/>
      <c r="BT477" s="105"/>
      <c r="BU477" s="105"/>
      <c r="BV477" s="105"/>
      <c r="BW477" s="105"/>
      <c r="BX477" s="105"/>
      <c r="BY477" s="105"/>
      <c r="BZ477" s="105"/>
      <c r="CA477" s="105"/>
      <c r="CB477" s="105"/>
      <c r="CC477" s="105"/>
      <c r="CD477" s="105"/>
      <c r="CE477" s="105"/>
      <c r="CF477" s="105"/>
      <c r="CG477" s="105"/>
      <c r="CH477" s="105"/>
      <c r="CI477" s="105"/>
      <c r="CJ477" s="105"/>
      <c r="CK477" s="105"/>
      <c r="CL477" s="105"/>
      <c r="CM477" s="105"/>
      <c r="CN477" s="105"/>
      <c r="CO477" s="105"/>
      <c r="CP477" s="105"/>
      <c r="CQ477" s="105"/>
      <c r="CR477" s="105"/>
      <c r="CS477" s="105"/>
      <c r="CT477" s="105"/>
      <c r="CU477" s="105"/>
      <c r="CV477" s="105"/>
      <c r="CW477" s="105"/>
      <c r="CX477" s="105"/>
      <c r="CY477" s="105"/>
      <c r="CZ477" s="105"/>
      <c r="DA477" s="105"/>
    </row>
    <row r="478">
      <c r="B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c r="AA478" s="105"/>
      <c r="AB478" s="105"/>
      <c r="AC478" s="105"/>
      <c r="AD478" s="105"/>
      <c r="AE478" s="105"/>
      <c r="AF478" s="105"/>
      <c r="AG478" s="105"/>
      <c r="AH478" s="105"/>
      <c r="AI478" s="105"/>
      <c r="AJ478" s="105"/>
      <c r="AK478" s="105"/>
      <c r="AL478" s="105"/>
      <c r="AM478" s="105"/>
      <c r="AN478" s="105"/>
      <c r="AO478" s="105"/>
      <c r="AP478" s="105"/>
      <c r="AQ478" s="105"/>
      <c r="AR478" s="105"/>
      <c r="AS478" s="105"/>
      <c r="AT478" s="105"/>
      <c r="AU478" s="105"/>
      <c r="AV478" s="105"/>
      <c r="AW478" s="105"/>
      <c r="AX478" s="105"/>
      <c r="AY478" s="105"/>
      <c r="AZ478" s="105"/>
      <c r="BA478" s="105"/>
      <c r="BB478" s="105"/>
      <c r="BC478" s="105"/>
      <c r="BD478" s="105"/>
      <c r="BE478" s="105"/>
      <c r="BF478" s="105"/>
      <c r="BG478" s="105"/>
      <c r="BH478" s="105"/>
      <c r="BI478" s="105"/>
      <c r="BJ478" s="105"/>
      <c r="BK478" s="105"/>
      <c r="BL478" s="105"/>
      <c r="BM478" s="105"/>
      <c r="BN478" s="105"/>
      <c r="BO478" s="105"/>
      <c r="BP478" s="105"/>
      <c r="BQ478" s="105"/>
      <c r="BR478" s="105"/>
      <c r="BS478" s="105"/>
      <c r="BT478" s="105"/>
      <c r="BU478" s="105"/>
      <c r="BV478" s="105"/>
      <c r="BW478" s="105"/>
      <c r="BX478" s="105"/>
      <c r="BY478" s="105"/>
      <c r="BZ478" s="105"/>
      <c r="CA478" s="105"/>
      <c r="CB478" s="105"/>
      <c r="CC478" s="105"/>
      <c r="CD478" s="105"/>
      <c r="CE478" s="105"/>
      <c r="CF478" s="105"/>
      <c r="CG478" s="105"/>
      <c r="CH478" s="105"/>
      <c r="CI478" s="105"/>
      <c r="CJ478" s="105"/>
      <c r="CK478" s="105"/>
      <c r="CL478" s="105"/>
      <c r="CM478" s="105"/>
      <c r="CN478" s="105"/>
      <c r="CO478" s="105"/>
      <c r="CP478" s="105"/>
      <c r="CQ478" s="105"/>
      <c r="CR478" s="105"/>
      <c r="CS478" s="105"/>
      <c r="CT478" s="105"/>
      <c r="CU478" s="105"/>
      <c r="CV478" s="105"/>
      <c r="CW478" s="105"/>
      <c r="CX478" s="105"/>
      <c r="CY478" s="105"/>
      <c r="CZ478" s="105"/>
      <c r="DA478" s="105"/>
    </row>
    <row r="479">
      <c r="B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c r="AA479" s="105"/>
      <c r="AB479" s="105"/>
      <c r="AC479" s="105"/>
      <c r="AD479" s="105"/>
      <c r="AE479" s="105"/>
      <c r="AF479" s="105"/>
      <c r="AG479" s="105"/>
      <c r="AH479" s="105"/>
      <c r="AI479" s="105"/>
      <c r="AJ479" s="105"/>
      <c r="AK479" s="105"/>
      <c r="AL479" s="105"/>
      <c r="AM479" s="105"/>
      <c r="AN479" s="105"/>
      <c r="AO479" s="105"/>
      <c r="AP479" s="105"/>
      <c r="AQ479" s="105"/>
      <c r="AR479" s="105"/>
      <c r="AS479" s="105"/>
      <c r="AT479" s="105"/>
      <c r="AU479" s="105"/>
      <c r="AV479" s="105"/>
      <c r="AW479" s="105"/>
      <c r="AX479" s="105"/>
      <c r="AY479" s="105"/>
      <c r="AZ479" s="105"/>
      <c r="BA479" s="105"/>
      <c r="BB479" s="105"/>
      <c r="BC479" s="105"/>
      <c r="BD479" s="105"/>
      <c r="BE479" s="105"/>
      <c r="BF479" s="105"/>
      <c r="BG479" s="105"/>
      <c r="BH479" s="105"/>
      <c r="BI479" s="105"/>
      <c r="BJ479" s="105"/>
      <c r="BK479" s="105"/>
      <c r="BL479" s="105"/>
      <c r="BM479" s="105"/>
      <c r="BN479" s="105"/>
      <c r="BO479" s="105"/>
      <c r="BP479" s="105"/>
      <c r="BQ479" s="105"/>
      <c r="BR479" s="105"/>
      <c r="BS479" s="105"/>
      <c r="BT479" s="105"/>
      <c r="BU479" s="105"/>
      <c r="BV479" s="105"/>
      <c r="BW479" s="105"/>
      <c r="BX479" s="105"/>
      <c r="BY479" s="105"/>
      <c r="BZ479" s="105"/>
      <c r="CA479" s="105"/>
      <c r="CB479" s="105"/>
      <c r="CC479" s="105"/>
      <c r="CD479" s="105"/>
      <c r="CE479" s="105"/>
      <c r="CF479" s="105"/>
      <c r="CG479" s="105"/>
      <c r="CH479" s="105"/>
      <c r="CI479" s="105"/>
      <c r="CJ479" s="105"/>
      <c r="CK479" s="105"/>
      <c r="CL479" s="105"/>
      <c r="CM479" s="105"/>
      <c r="CN479" s="105"/>
      <c r="CO479" s="105"/>
      <c r="CP479" s="105"/>
      <c r="CQ479" s="105"/>
      <c r="CR479" s="105"/>
      <c r="CS479" s="105"/>
      <c r="CT479" s="105"/>
      <c r="CU479" s="105"/>
      <c r="CV479" s="105"/>
      <c r="CW479" s="105"/>
      <c r="CX479" s="105"/>
      <c r="CY479" s="105"/>
      <c r="CZ479" s="105"/>
      <c r="DA479" s="105"/>
    </row>
    <row r="480">
      <c r="B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c r="AA480" s="105"/>
      <c r="AB480" s="105"/>
      <c r="AC480" s="105"/>
      <c r="AD480" s="105"/>
      <c r="AE480" s="105"/>
      <c r="AF480" s="105"/>
      <c r="AG480" s="105"/>
      <c r="AH480" s="105"/>
      <c r="AI480" s="105"/>
      <c r="AJ480" s="105"/>
      <c r="AK480" s="105"/>
      <c r="AL480" s="105"/>
      <c r="AM480" s="105"/>
      <c r="AN480" s="105"/>
      <c r="AO480" s="105"/>
      <c r="AP480" s="105"/>
      <c r="AQ480" s="105"/>
      <c r="AR480" s="105"/>
      <c r="AS480" s="105"/>
      <c r="AT480" s="105"/>
      <c r="AU480" s="105"/>
      <c r="AV480" s="105"/>
      <c r="AW480" s="105"/>
      <c r="AX480" s="105"/>
      <c r="AY480" s="105"/>
      <c r="AZ480" s="105"/>
      <c r="BA480" s="105"/>
      <c r="BB480" s="105"/>
      <c r="BC480" s="105"/>
      <c r="BD480" s="105"/>
      <c r="BE480" s="105"/>
      <c r="BF480" s="105"/>
      <c r="BG480" s="105"/>
      <c r="BH480" s="105"/>
      <c r="BI480" s="105"/>
      <c r="BJ480" s="105"/>
      <c r="BK480" s="105"/>
      <c r="BL480" s="105"/>
      <c r="BM480" s="105"/>
      <c r="BN480" s="105"/>
      <c r="BO480" s="105"/>
      <c r="BP480" s="105"/>
      <c r="BQ480" s="105"/>
      <c r="BR480" s="105"/>
      <c r="BS480" s="105"/>
      <c r="BT480" s="105"/>
      <c r="BU480" s="105"/>
      <c r="BV480" s="105"/>
      <c r="BW480" s="105"/>
      <c r="BX480" s="105"/>
      <c r="BY480" s="105"/>
      <c r="BZ480" s="105"/>
      <c r="CA480" s="105"/>
      <c r="CB480" s="105"/>
      <c r="CC480" s="105"/>
      <c r="CD480" s="105"/>
      <c r="CE480" s="105"/>
      <c r="CF480" s="105"/>
      <c r="CG480" s="105"/>
      <c r="CH480" s="105"/>
      <c r="CI480" s="105"/>
      <c r="CJ480" s="105"/>
      <c r="CK480" s="105"/>
      <c r="CL480" s="105"/>
      <c r="CM480" s="105"/>
      <c r="CN480" s="105"/>
      <c r="CO480" s="105"/>
      <c r="CP480" s="105"/>
      <c r="CQ480" s="105"/>
      <c r="CR480" s="105"/>
      <c r="CS480" s="105"/>
      <c r="CT480" s="105"/>
      <c r="CU480" s="105"/>
      <c r="CV480" s="105"/>
      <c r="CW480" s="105"/>
      <c r="CX480" s="105"/>
      <c r="CY480" s="105"/>
      <c r="CZ480" s="105"/>
      <c r="DA480" s="105"/>
    </row>
    <row r="481">
      <c r="B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c r="AA481" s="105"/>
      <c r="AB481" s="105"/>
      <c r="AC481" s="105"/>
      <c r="AD481" s="105"/>
      <c r="AE481" s="105"/>
      <c r="AF481" s="105"/>
      <c r="AG481" s="105"/>
      <c r="AH481" s="105"/>
      <c r="AI481" s="105"/>
      <c r="AJ481" s="105"/>
      <c r="AK481" s="105"/>
      <c r="AL481" s="105"/>
      <c r="AM481" s="105"/>
      <c r="AN481" s="105"/>
      <c r="AO481" s="105"/>
      <c r="AP481" s="105"/>
      <c r="AQ481" s="105"/>
      <c r="AR481" s="105"/>
      <c r="AS481" s="105"/>
      <c r="AT481" s="105"/>
      <c r="AU481" s="105"/>
      <c r="AV481" s="105"/>
      <c r="AW481" s="105"/>
      <c r="AX481" s="105"/>
      <c r="AY481" s="105"/>
      <c r="AZ481" s="105"/>
      <c r="BA481" s="105"/>
      <c r="BB481" s="105"/>
      <c r="BC481" s="105"/>
      <c r="BD481" s="105"/>
      <c r="BE481" s="105"/>
      <c r="BF481" s="105"/>
      <c r="BG481" s="105"/>
      <c r="BH481" s="105"/>
      <c r="BI481" s="105"/>
      <c r="BJ481" s="105"/>
      <c r="BK481" s="105"/>
      <c r="BL481" s="105"/>
      <c r="BM481" s="105"/>
      <c r="BN481" s="105"/>
      <c r="BO481" s="105"/>
      <c r="BP481" s="105"/>
      <c r="BQ481" s="105"/>
      <c r="BR481" s="105"/>
      <c r="BS481" s="105"/>
      <c r="BT481" s="105"/>
      <c r="BU481" s="105"/>
      <c r="BV481" s="105"/>
      <c r="BW481" s="105"/>
      <c r="BX481" s="105"/>
      <c r="BY481" s="105"/>
      <c r="BZ481" s="105"/>
      <c r="CA481" s="105"/>
      <c r="CB481" s="105"/>
      <c r="CC481" s="105"/>
      <c r="CD481" s="105"/>
      <c r="CE481" s="105"/>
      <c r="CF481" s="105"/>
      <c r="CG481" s="105"/>
      <c r="CH481" s="105"/>
      <c r="CI481" s="105"/>
      <c r="CJ481" s="105"/>
      <c r="CK481" s="105"/>
      <c r="CL481" s="105"/>
      <c r="CM481" s="105"/>
      <c r="CN481" s="105"/>
      <c r="CO481" s="105"/>
      <c r="CP481" s="105"/>
      <c r="CQ481" s="105"/>
      <c r="CR481" s="105"/>
      <c r="CS481" s="105"/>
      <c r="CT481" s="105"/>
      <c r="CU481" s="105"/>
      <c r="CV481" s="105"/>
      <c r="CW481" s="105"/>
      <c r="CX481" s="105"/>
      <c r="CY481" s="105"/>
      <c r="CZ481" s="105"/>
      <c r="DA481" s="105"/>
    </row>
    <row r="482">
      <c r="B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c r="AA482" s="105"/>
      <c r="AB482" s="105"/>
      <c r="AC482" s="105"/>
      <c r="AD482" s="105"/>
      <c r="AE482" s="105"/>
      <c r="AF482" s="105"/>
      <c r="AG482" s="105"/>
      <c r="AH482" s="105"/>
      <c r="AI482" s="105"/>
      <c r="AJ482" s="105"/>
      <c r="AK482" s="105"/>
      <c r="AL482" s="105"/>
      <c r="AM482" s="105"/>
      <c r="AN482" s="105"/>
      <c r="AO482" s="105"/>
      <c r="AP482" s="105"/>
      <c r="AQ482" s="105"/>
      <c r="AR482" s="105"/>
      <c r="AS482" s="105"/>
      <c r="AT482" s="105"/>
      <c r="AU482" s="105"/>
      <c r="AV482" s="105"/>
      <c r="AW482" s="105"/>
      <c r="AX482" s="105"/>
      <c r="AY482" s="105"/>
      <c r="AZ482" s="105"/>
      <c r="BA482" s="105"/>
      <c r="BB482" s="105"/>
      <c r="BC482" s="105"/>
      <c r="BD482" s="105"/>
      <c r="BE482" s="105"/>
      <c r="BF482" s="105"/>
      <c r="BG482" s="105"/>
      <c r="BH482" s="105"/>
      <c r="BI482" s="105"/>
      <c r="BJ482" s="105"/>
      <c r="BK482" s="105"/>
      <c r="BL482" s="105"/>
      <c r="BM482" s="105"/>
      <c r="BN482" s="105"/>
      <c r="BO482" s="105"/>
      <c r="BP482" s="105"/>
      <c r="BQ482" s="105"/>
      <c r="BR482" s="105"/>
      <c r="BS482" s="105"/>
      <c r="BT482" s="105"/>
      <c r="BU482" s="105"/>
      <c r="BV482" s="105"/>
      <c r="BW482" s="105"/>
      <c r="BX482" s="105"/>
      <c r="BY482" s="105"/>
      <c r="BZ482" s="105"/>
      <c r="CA482" s="105"/>
      <c r="CB482" s="105"/>
      <c r="CC482" s="105"/>
      <c r="CD482" s="105"/>
      <c r="CE482" s="105"/>
      <c r="CF482" s="105"/>
      <c r="CG482" s="105"/>
      <c r="CH482" s="105"/>
      <c r="CI482" s="105"/>
      <c r="CJ482" s="105"/>
      <c r="CK482" s="105"/>
      <c r="CL482" s="105"/>
      <c r="CM482" s="105"/>
      <c r="CN482" s="105"/>
      <c r="CO482" s="105"/>
      <c r="CP482" s="105"/>
      <c r="CQ482" s="105"/>
      <c r="CR482" s="105"/>
      <c r="CS482" s="105"/>
      <c r="CT482" s="105"/>
      <c r="CU482" s="105"/>
      <c r="CV482" s="105"/>
      <c r="CW482" s="105"/>
      <c r="CX482" s="105"/>
      <c r="CY482" s="105"/>
      <c r="CZ482" s="105"/>
      <c r="DA482" s="105"/>
    </row>
    <row r="483">
      <c r="B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c r="AA483" s="105"/>
      <c r="AB483" s="105"/>
      <c r="AC483" s="105"/>
      <c r="AD483" s="105"/>
      <c r="AE483" s="105"/>
      <c r="AF483" s="105"/>
      <c r="AG483" s="105"/>
      <c r="AH483" s="105"/>
      <c r="AI483" s="105"/>
      <c r="AJ483" s="105"/>
      <c r="AK483" s="105"/>
      <c r="AL483" s="105"/>
      <c r="AM483" s="105"/>
      <c r="AN483" s="105"/>
      <c r="AO483" s="105"/>
      <c r="AP483" s="105"/>
      <c r="AQ483" s="105"/>
      <c r="AR483" s="105"/>
      <c r="AS483" s="105"/>
      <c r="AT483" s="105"/>
      <c r="AU483" s="105"/>
      <c r="AV483" s="105"/>
      <c r="AW483" s="105"/>
      <c r="AX483" s="105"/>
      <c r="AY483" s="105"/>
      <c r="AZ483" s="105"/>
      <c r="BA483" s="105"/>
      <c r="BB483" s="105"/>
      <c r="BC483" s="105"/>
      <c r="BD483" s="105"/>
      <c r="BE483" s="105"/>
      <c r="BF483" s="105"/>
      <c r="BG483" s="105"/>
      <c r="BH483" s="105"/>
      <c r="BI483" s="105"/>
      <c r="BJ483" s="105"/>
      <c r="BK483" s="105"/>
      <c r="BL483" s="105"/>
      <c r="BM483" s="105"/>
      <c r="BN483" s="105"/>
      <c r="BO483" s="105"/>
      <c r="BP483" s="105"/>
      <c r="BQ483" s="105"/>
      <c r="BR483" s="105"/>
      <c r="BS483" s="105"/>
      <c r="BT483" s="105"/>
      <c r="BU483" s="105"/>
      <c r="BV483" s="105"/>
      <c r="BW483" s="105"/>
      <c r="BX483" s="105"/>
      <c r="BY483" s="105"/>
      <c r="BZ483" s="105"/>
      <c r="CA483" s="105"/>
      <c r="CB483" s="105"/>
      <c r="CC483" s="105"/>
      <c r="CD483" s="105"/>
      <c r="CE483" s="105"/>
      <c r="CF483" s="105"/>
      <c r="CG483" s="105"/>
      <c r="CH483" s="105"/>
      <c r="CI483" s="105"/>
      <c r="CJ483" s="105"/>
      <c r="CK483" s="105"/>
      <c r="CL483" s="105"/>
      <c r="CM483" s="105"/>
      <c r="CN483" s="105"/>
      <c r="CO483" s="105"/>
      <c r="CP483" s="105"/>
      <c r="CQ483" s="105"/>
      <c r="CR483" s="105"/>
      <c r="CS483" s="105"/>
      <c r="CT483" s="105"/>
      <c r="CU483" s="105"/>
      <c r="CV483" s="105"/>
      <c r="CW483" s="105"/>
      <c r="CX483" s="105"/>
      <c r="CY483" s="105"/>
      <c r="CZ483" s="105"/>
      <c r="DA483" s="105"/>
    </row>
    <row r="484">
      <c r="B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c r="AA484" s="105"/>
      <c r="AB484" s="105"/>
      <c r="AC484" s="105"/>
      <c r="AD484" s="105"/>
      <c r="AE484" s="105"/>
      <c r="AF484" s="105"/>
      <c r="AG484" s="105"/>
      <c r="AH484" s="105"/>
      <c r="AI484" s="105"/>
      <c r="AJ484" s="105"/>
      <c r="AK484" s="105"/>
      <c r="AL484" s="105"/>
      <c r="AM484" s="105"/>
      <c r="AN484" s="105"/>
      <c r="AO484" s="105"/>
      <c r="AP484" s="105"/>
      <c r="AQ484" s="105"/>
      <c r="AR484" s="105"/>
      <c r="AS484" s="105"/>
      <c r="AT484" s="105"/>
      <c r="AU484" s="105"/>
      <c r="AV484" s="105"/>
      <c r="AW484" s="105"/>
      <c r="AX484" s="105"/>
      <c r="AY484" s="105"/>
      <c r="AZ484" s="105"/>
      <c r="BA484" s="105"/>
      <c r="BB484" s="105"/>
      <c r="BC484" s="105"/>
      <c r="BD484" s="105"/>
      <c r="BE484" s="105"/>
      <c r="BF484" s="105"/>
      <c r="BG484" s="105"/>
      <c r="BH484" s="105"/>
      <c r="BI484" s="105"/>
      <c r="BJ484" s="105"/>
      <c r="BK484" s="105"/>
      <c r="BL484" s="105"/>
      <c r="BM484" s="105"/>
      <c r="BN484" s="105"/>
      <c r="BO484" s="105"/>
      <c r="BP484" s="105"/>
      <c r="BQ484" s="105"/>
      <c r="BR484" s="105"/>
      <c r="BS484" s="105"/>
      <c r="BT484" s="105"/>
      <c r="BU484" s="105"/>
      <c r="BV484" s="105"/>
      <c r="BW484" s="105"/>
      <c r="BX484" s="105"/>
      <c r="BY484" s="105"/>
      <c r="BZ484" s="105"/>
      <c r="CA484" s="105"/>
      <c r="CB484" s="105"/>
      <c r="CC484" s="105"/>
      <c r="CD484" s="105"/>
      <c r="CE484" s="105"/>
      <c r="CF484" s="105"/>
      <c r="CG484" s="105"/>
      <c r="CH484" s="105"/>
      <c r="CI484" s="105"/>
      <c r="CJ484" s="105"/>
      <c r="CK484" s="105"/>
      <c r="CL484" s="105"/>
      <c r="CM484" s="105"/>
      <c r="CN484" s="105"/>
      <c r="CO484" s="105"/>
      <c r="CP484" s="105"/>
      <c r="CQ484" s="105"/>
      <c r="CR484" s="105"/>
      <c r="CS484" s="105"/>
      <c r="CT484" s="105"/>
      <c r="CU484" s="105"/>
      <c r="CV484" s="105"/>
      <c r="CW484" s="105"/>
      <c r="CX484" s="105"/>
      <c r="CY484" s="105"/>
      <c r="CZ484" s="105"/>
      <c r="DA484" s="105"/>
    </row>
    <row r="485">
      <c r="B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c r="AA485" s="105"/>
      <c r="AB485" s="105"/>
      <c r="AC485" s="105"/>
      <c r="AD485" s="105"/>
      <c r="AE485" s="105"/>
      <c r="AF485" s="105"/>
      <c r="AG485" s="105"/>
      <c r="AH485" s="105"/>
      <c r="AI485" s="105"/>
      <c r="AJ485" s="105"/>
      <c r="AK485" s="105"/>
      <c r="AL485" s="105"/>
      <c r="AM485" s="105"/>
      <c r="AN485" s="105"/>
      <c r="AO485" s="105"/>
      <c r="AP485" s="105"/>
      <c r="AQ485" s="105"/>
      <c r="AR485" s="105"/>
      <c r="AS485" s="105"/>
      <c r="AT485" s="105"/>
      <c r="AU485" s="105"/>
      <c r="AV485" s="105"/>
      <c r="AW485" s="105"/>
      <c r="AX485" s="105"/>
      <c r="AY485" s="105"/>
      <c r="AZ485" s="105"/>
      <c r="BA485" s="105"/>
      <c r="BB485" s="105"/>
      <c r="BC485" s="105"/>
      <c r="BD485" s="105"/>
      <c r="BE485" s="105"/>
      <c r="BF485" s="105"/>
      <c r="BG485" s="105"/>
      <c r="BH485" s="105"/>
      <c r="BI485" s="105"/>
      <c r="BJ485" s="105"/>
      <c r="BK485" s="105"/>
      <c r="BL485" s="105"/>
      <c r="BM485" s="105"/>
      <c r="BN485" s="105"/>
      <c r="BO485" s="105"/>
      <c r="BP485" s="105"/>
      <c r="BQ485" s="105"/>
      <c r="BR485" s="105"/>
      <c r="BS485" s="105"/>
      <c r="BT485" s="105"/>
      <c r="BU485" s="105"/>
      <c r="BV485" s="105"/>
      <c r="BW485" s="105"/>
      <c r="BX485" s="105"/>
      <c r="BY485" s="105"/>
      <c r="BZ485" s="105"/>
      <c r="CA485" s="105"/>
      <c r="CB485" s="105"/>
      <c r="CC485" s="105"/>
      <c r="CD485" s="105"/>
      <c r="CE485" s="105"/>
      <c r="CF485" s="105"/>
      <c r="CG485" s="105"/>
      <c r="CH485" s="105"/>
      <c r="CI485" s="105"/>
      <c r="CJ485" s="105"/>
      <c r="CK485" s="105"/>
      <c r="CL485" s="105"/>
      <c r="CM485" s="105"/>
      <c r="CN485" s="105"/>
      <c r="CO485" s="105"/>
      <c r="CP485" s="105"/>
      <c r="CQ485" s="105"/>
      <c r="CR485" s="105"/>
      <c r="CS485" s="105"/>
      <c r="CT485" s="105"/>
      <c r="CU485" s="105"/>
      <c r="CV485" s="105"/>
      <c r="CW485" s="105"/>
      <c r="CX485" s="105"/>
      <c r="CY485" s="105"/>
      <c r="CZ485" s="105"/>
      <c r="DA485" s="105"/>
    </row>
    <row r="486">
      <c r="B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c r="AA486" s="105"/>
      <c r="AB486" s="105"/>
      <c r="AC486" s="105"/>
      <c r="AD486" s="105"/>
      <c r="AE486" s="105"/>
      <c r="AF486" s="105"/>
      <c r="AG486" s="105"/>
      <c r="AH486" s="105"/>
      <c r="AI486" s="105"/>
      <c r="AJ486" s="105"/>
      <c r="AK486" s="105"/>
      <c r="AL486" s="105"/>
      <c r="AM486" s="105"/>
      <c r="AN486" s="105"/>
      <c r="AO486" s="105"/>
      <c r="AP486" s="105"/>
      <c r="AQ486" s="105"/>
      <c r="AR486" s="105"/>
      <c r="AS486" s="105"/>
      <c r="AT486" s="105"/>
      <c r="AU486" s="105"/>
      <c r="AV486" s="105"/>
      <c r="AW486" s="105"/>
      <c r="AX486" s="105"/>
      <c r="AY486" s="105"/>
      <c r="AZ486" s="105"/>
      <c r="BA486" s="105"/>
      <c r="BB486" s="105"/>
      <c r="BC486" s="105"/>
      <c r="BD486" s="105"/>
      <c r="BE486" s="105"/>
      <c r="BF486" s="105"/>
      <c r="BG486" s="105"/>
      <c r="BH486" s="105"/>
      <c r="BI486" s="105"/>
      <c r="BJ486" s="105"/>
      <c r="BK486" s="105"/>
      <c r="BL486" s="105"/>
      <c r="BM486" s="105"/>
      <c r="BN486" s="105"/>
      <c r="BO486" s="105"/>
      <c r="BP486" s="105"/>
      <c r="BQ486" s="105"/>
      <c r="BR486" s="105"/>
      <c r="BS486" s="105"/>
      <c r="BT486" s="105"/>
      <c r="BU486" s="105"/>
      <c r="BV486" s="105"/>
      <c r="BW486" s="105"/>
      <c r="BX486" s="105"/>
      <c r="BY486" s="105"/>
      <c r="BZ486" s="105"/>
      <c r="CA486" s="105"/>
      <c r="CB486" s="105"/>
      <c r="CC486" s="105"/>
      <c r="CD486" s="105"/>
      <c r="CE486" s="105"/>
      <c r="CF486" s="105"/>
      <c r="CG486" s="105"/>
      <c r="CH486" s="105"/>
      <c r="CI486" s="105"/>
      <c r="CJ486" s="105"/>
      <c r="CK486" s="105"/>
      <c r="CL486" s="105"/>
      <c r="CM486" s="105"/>
      <c r="CN486" s="105"/>
      <c r="CO486" s="105"/>
      <c r="CP486" s="105"/>
      <c r="CQ486" s="105"/>
      <c r="CR486" s="105"/>
      <c r="CS486" s="105"/>
      <c r="CT486" s="105"/>
      <c r="CU486" s="105"/>
      <c r="CV486" s="105"/>
      <c r="CW486" s="105"/>
      <c r="CX486" s="105"/>
      <c r="CY486" s="105"/>
      <c r="CZ486" s="105"/>
      <c r="DA486" s="105"/>
    </row>
    <row r="487">
      <c r="B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c r="AA487" s="105"/>
      <c r="AB487" s="105"/>
      <c r="AC487" s="105"/>
      <c r="AD487" s="105"/>
      <c r="AE487" s="105"/>
      <c r="AF487" s="105"/>
      <c r="AG487" s="105"/>
      <c r="AH487" s="105"/>
      <c r="AI487" s="105"/>
      <c r="AJ487" s="105"/>
      <c r="AK487" s="105"/>
      <c r="AL487" s="105"/>
      <c r="AM487" s="105"/>
      <c r="AN487" s="105"/>
      <c r="AO487" s="105"/>
      <c r="AP487" s="105"/>
      <c r="AQ487" s="105"/>
      <c r="AR487" s="105"/>
      <c r="AS487" s="105"/>
      <c r="AT487" s="105"/>
      <c r="AU487" s="105"/>
      <c r="AV487" s="105"/>
      <c r="AW487" s="105"/>
      <c r="AX487" s="105"/>
      <c r="AY487" s="105"/>
      <c r="AZ487" s="105"/>
      <c r="BA487" s="105"/>
      <c r="BB487" s="105"/>
      <c r="BC487" s="105"/>
      <c r="BD487" s="105"/>
      <c r="BE487" s="105"/>
      <c r="BF487" s="105"/>
      <c r="BG487" s="105"/>
      <c r="BH487" s="105"/>
      <c r="BI487" s="105"/>
      <c r="BJ487" s="105"/>
      <c r="BK487" s="105"/>
      <c r="BL487" s="105"/>
      <c r="BM487" s="105"/>
      <c r="BN487" s="105"/>
      <c r="BO487" s="105"/>
      <c r="BP487" s="105"/>
      <c r="BQ487" s="105"/>
      <c r="BR487" s="105"/>
      <c r="BS487" s="105"/>
      <c r="BT487" s="105"/>
      <c r="BU487" s="105"/>
      <c r="BV487" s="105"/>
      <c r="BW487" s="105"/>
      <c r="BX487" s="105"/>
      <c r="BY487" s="105"/>
      <c r="BZ487" s="105"/>
      <c r="CA487" s="105"/>
      <c r="CB487" s="105"/>
      <c r="CC487" s="105"/>
      <c r="CD487" s="105"/>
      <c r="CE487" s="105"/>
      <c r="CF487" s="105"/>
      <c r="CG487" s="105"/>
      <c r="CH487" s="105"/>
      <c r="CI487" s="105"/>
      <c r="CJ487" s="105"/>
      <c r="CK487" s="105"/>
      <c r="CL487" s="105"/>
      <c r="CM487" s="105"/>
      <c r="CN487" s="105"/>
      <c r="CO487" s="105"/>
      <c r="CP487" s="105"/>
      <c r="CQ487" s="105"/>
      <c r="CR487" s="105"/>
      <c r="CS487" s="105"/>
      <c r="CT487" s="105"/>
      <c r="CU487" s="105"/>
      <c r="CV487" s="105"/>
      <c r="CW487" s="105"/>
      <c r="CX487" s="105"/>
      <c r="CY487" s="105"/>
      <c r="CZ487" s="105"/>
      <c r="DA487" s="105"/>
    </row>
    <row r="488">
      <c r="B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c r="AA488" s="105"/>
      <c r="AB488" s="105"/>
      <c r="AC488" s="105"/>
      <c r="AD488" s="105"/>
      <c r="AE488" s="105"/>
      <c r="AF488" s="105"/>
      <c r="AG488" s="105"/>
      <c r="AH488" s="105"/>
      <c r="AI488" s="105"/>
      <c r="AJ488" s="105"/>
      <c r="AK488" s="105"/>
      <c r="AL488" s="105"/>
      <c r="AM488" s="105"/>
      <c r="AN488" s="105"/>
      <c r="AO488" s="105"/>
      <c r="AP488" s="105"/>
      <c r="AQ488" s="105"/>
      <c r="AR488" s="105"/>
      <c r="AS488" s="105"/>
      <c r="AT488" s="105"/>
      <c r="AU488" s="105"/>
      <c r="AV488" s="105"/>
      <c r="AW488" s="105"/>
      <c r="AX488" s="105"/>
      <c r="AY488" s="105"/>
      <c r="AZ488" s="105"/>
      <c r="BA488" s="105"/>
      <c r="BB488" s="105"/>
      <c r="BC488" s="105"/>
      <c r="BD488" s="105"/>
      <c r="BE488" s="105"/>
      <c r="BF488" s="105"/>
      <c r="BG488" s="105"/>
      <c r="BH488" s="105"/>
      <c r="BI488" s="105"/>
      <c r="BJ488" s="105"/>
      <c r="BK488" s="105"/>
      <c r="BL488" s="105"/>
      <c r="BM488" s="105"/>
      <c r="BN488" s="105"/>
      <c r="BO488" s="105"/>
      <c r="BP488" s="105"/>
      <c r="BQ488" s="105"/>
      <c r="BR488" s="105"/>
      <c r="BS488" s="105"/>
      <c r="BT488" s="105"/>
      <c r="BU488" s="105"/>
      <c r="BV488" s="105"/>
      <c r="BW488" s="105"/>
      <c r="BX488" s="105"/>
      <c r="BY488" s="105"/>
      <c r="BZ488" s="105"/>
      <c r="CA488" s="105"/>
      <c r="CB488" s="105"/>
      <c r="CC488" s="105"/>
      <c r="CD488" s="105"/>
      <c r="CE488" s="105"/>
      <c r="CF488" s="105"/>
      <c r="CG488" s="105"/>
      <c r="CH488" s="105"/>
      <c r="CI488" s="105"/>
      <c r="CJ488" s="105"/>
      <c r="CK488" s="105"/>
      <c r="CL488" s="105"/>
      <c r="CM488" s="105"/>
      <c r="CN488" s="105"/>
      <c r="CO488" s="105"/>
      <c r="CP488" s="105"/>
      <c r="CQ488" s="105"/>
      <c r="CR488" s="105"/>
      <c r="CS488" s="105"/>
      <c r="CT488" s="105"/>
      <c r="CU488" s="105"/>
      <c r="CV488" s="105"/>
      <c r="CW488" s="105"/>
      <c r="CX488" s="105"/>
      <c r="CY488" s="105"/>
      <c r="CZ488" s="105"/>
      <c r="DA488" s="105"/>
    </row>
    <row r="489">
      <c r="B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c r="AA489" s="105"/>
      <c r="AB489" s="105"/>
      <c r="AC489" s="105"/>
      <c r="AD489" s="105"/>
      <c r="AE489" s="105"/>
      <c r="AF489" s="105"/>
      <c r="AG489" s="105"/>
      <c r="AH489" s="105"/>
      <c r="AI489" s="105"/>
      <c r="AJ489" s="105"/>
      <c r="AK489" s="105"/>
      <c r="AL489" s="105"/>
      <c r="AM489" s="105"/>
      <c r="AN489" s="105"/>
      <c r="AO489" s="105"/>
      <c r="AP489" s="105"/>
      <c r="AQ489" s="105"/>
      <c r="AR489" s="105"/>
      <c r="AS489" s="105"/>
      <c r="AT489" s="105"/>
      <c r="AU489" s="105"/>
      <c r="AV489" s="105"/>
      <c r="AW489" s="105"/>
      <c r="AX489" s="105"/>
      <c r="AY489" s="105"/>
      <c r="AZ489" s="105"/>
      <c r="BA489" s="105"/>
      <c r="BB489" s="105"/>
      <c r="BC489" s="105"/>
      <c r="BD489" s="105"/>
      <c r="BE489" s="105"/>
      <c r="BF489" s="105"/>
      <c r="BG489" s="105"/>
      <c r="BH489" s="105"/>
      <c r="BI489" s="105"/>
      <c r="BJ489" s="105"/>
      <c r="BK489" s="105"/>
      <c r="BL489" s="105"/>
      <c r="BM489" s="105"/>
      <c r="BN489" s="105"/>
      <c r="BO489" s="105"/>
      <c r="BP489" s="105"/>
      <c r="BQ489" s="105"/>
      <c r="BR489" s="105"/>
      <c r="BS489" s="105"/>
      <c r="BT489" s="105"/>
      <c r="BU489" s="105"/>
      <c r="BV489" s="105"/>
      <c r="BW489" s="105"/>
      <c r="BX489" s="105"/>
      <c r="BY489" s="105"/>
      <c r="BZ489" s="105"/>
      <c r="CA489" s="105"/>
      <c r="CB489" s="105"/>
      <c r="CC489" s="105"/>
      <c r="CD489" s="105"/>
      <c r="CE489" s="105"/>
      <c r="CF489" s="105"/>
      <c r="CG489" s="105"/>
      <c r="CH489" s="105"/>
      <c r="CI489" s="105"/>
      <c r="CJ489" s="105"/>
      <c r="CK489" s="105"/>
      <c r="CL489" s="105"/>
      <c r="CM489" s="105"/>
      <c r="CN489" s="105"/>
      <c r="CO489" s="105"/>
      <c r="CP489" s="105"/>
      <c r="CQ489" s="105"/>
      <c r="CR489" s="105"/>
      <c r="CS489" s="105"/>
      <c r="CT489" s="105"/>
      <c r="CU489" s="105"/>
      <c r="CV489" s="105"/>
      <c r="CW489" s="105"/>
      <c r="CX489" s="105"/>
      <c r="CY489" s="105"/>
      <c r="CZ489" s="105"/>
      <c r="DA489" s="105"/>
    </row>
    <row r="490">
      <c r="B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c r="AA490" s="105"/>
      <c r="AB490" s="105"/>
      <c r="AC490" s="105"/>
      <c r="AD490" s="105"/>
      <c r="AE490" s="105"/>
      <c r="AF490" s="105"/>
      <c r="AG490" s="105"/>
      <c r="AH490" s="105"/>
      <c r="AI490" s="105"/>
      <c r="AJ490" s="105"/>
      <c r="AK490" s="105"/>
      <c r="AL490" s="105"/>
      <c r="AM490" s="105"/>
      <c r="AN490" s="105"/>
      <c r="AO490" s="105"/>
      <c r="AP490" s="105"/>
      <c r="AQ490" s="105"/>
      <c r="AR490" s="105"/>
      <c r="AS490" s="105"/>
      <c r="AT490" s="105"/>
      <c r="AU490" s="105"/>
      <c r="AV490" s="105"/>
      <c r="AW490" s="105"/>
      <c r="AX490" s="105"/>
      <c r="AY490" s="105"/>
      <c r="AZ490" s="105"/>
      <c r="BA490" s="105"/>
      <c r="BB490" s="105"/>
      <c r="BC490" s="105"/>
      <c r="BD490" s="105"/>
      <c r="BE490" s="105"/>
      <c r="BF490" s="105"/>
      <c r="BG490" s="105"/>
      <c r="BH490" s="105"/>
      <c r="BI490" s="105"/>
      <c r="BJ490" s="105"/>
      <c r="BK490" s="105"/>
      <c r="BL490" s="105"/>
      <c r="BM490" s="105"/>
      <c r="BN490" s="105"/>
      <c r="BO490" s="105"/>
      <c r="BP490" s="105"/>
      <c r="BQ490" s="105"/>
      <c r="BR490" s="105"/>
      <c r="BS490" s="105"/>
      <c r="BT490" s="105"/>
      <c r="BU490" s="105"/>
      <c r="BV490" s="105"/>
      <c r="BW490" s="105"/>
      <c r="BX490" s="105"/>
      <c r="BY490" s="105"/>
      <c r="BZ490" s="105"/>
      <c r="CA490" s="105"/>
      <c r="CB490" s="105"/>
      <c r="CC490" s="105"/>
      <c r="CD490" s="105"/>
      <c r="CE490" s="105"/>
      <c r="CF490" s="105"/>
      <c r="CG490" s="105"/>
      <c r="CH490" s="105"/>
      <c r="CI490" s="105"/>
      <c r="CJ490" s="105"/>
      <c r="CK490" s="105"/>
      <c r="CL490" s="105"/>
      <c r="CM490" s="105"/>
      <c r="CN490" s="105"/>
      <c r="CO490" s="105"/>
      <c r="CP490" s="105"/>
      <c r="CQ490" s="105"/>
      <c r="CR490" s="105"/>
      <c r="CS490" s="105"/>
      <c r="CT490" s="105"/>
      <c r="CU490" s="105"/>
      <c r="CV490" s="105"/>
      <c r="CW490" s="105"/>
      <c r="CX490" s="105"/>
      <c r="CY490" s="105"/>
      <c r="CZ490" s="105"/>
      <c r="DA490" s="105"/>
    </row>
    <row r="491">
      <c r="B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c r="AA491" s="105"/>
      <c r="AB491" s="105"/>
      <c r="AC491" s="105"/>
      <c r="AD491" s="105"/>
      <c r="AE491" s="105"/>
      <c r="AF491" s="105"/>
      <c r="AG491" s="105"/>
      <c r="AH491" s="105"/>
      <c r="AI491" s="105"/>
      <c r="AJ491" s="105"/>
      <c r="AK491" s="105"/>
      <c r="AL491" s="105"/>
      <c r="AM491" s="105"/>
      <c r="AN491" s="105"/>
      <c r="AO491" s="105"/>
      <c r="AP491" s="105"/>
      <c r="AQ491" s="105"/>
      <c r="AR491" s="105"/>
      <c r="AS491" s="105"/>
      <c r="AT491" s="105"/>
      <c r="AU491" s="105"/>
      <c r="AV491" s="105"/>
      <c r="AW491" s="105"/>
      <c r="AX491" s="105"/>
      <c r="AY491" s="105"/>
      <c r="AZ491" s="105"/>
      <c r="BA491" s="105"/>
      <c r="BB491" s="105"/>
      <c r="BC491" s="105"/>
      <c r="BD491" s="105"/>
      <c r="BE491" s="105"/>
      <c r="BF491" s="105"/>
      <c r="BG491" s="105"/>
      <c r="BH491" s="105"/>
      <c r="BI491" s="105"/>
      <c r="BJ491" s="105"/>
      <c r="BK491" s="105"/>
      <c r="BL491" s="105"/>
      <c r="BM491" s="105"/>
      <c r="BN491" s="105"/>
      <c r="BO491" s="105"/>
      <c r="BP491" s="105"/>
      <c r="BQ491" s="105"/>
      <c r="BR491" s="105"/>
      <c r="BS491" s="105"/>
      <c r="BT491" s="105"/>
      <c r="BU491" s="105"/>
      <c r="BV491" s="105"/>
      <c r="BW491" s="105"/>
      <c r="BX491" s="105"/>
      <c r="BY491" s="105"/>
      <c r="BZ491" s="105"/>
      <c r="CA491" s="105"/>
      <c r="CB491" s="105"/>
      <c r="CC491" s="105"/>
      <c r="CD491" s="105"/>
      <c r="CE491" s="105"/>
      <c r="CF491" s="105"/>
      <c r="CG491" s="105"/>
      <c r="CH491" s="105"/>
      <c r="CI491" s="105"/>
      <c r="CJ491" s="105"/>
      <c r="CK491" s="105"/>
      <c r="CL491" s="105"/>
      <c r="CM491" s="105"/>
      <c r="CN491" s="105"/>
      <c r="CO491" s="105"/>
      <c r="CP491" s="105"/>
      <c r="CQ491" s="105"/>
      <c r="CR491" s="105"/>
      <c r="CS491" s="105"/>
      <c r="CT491" s="105"/>
      <c r="CU491" s="105"/>
      <c r="CV491" s="105"/>
      <c r="CW491" s="105"/>
      <c r="CX491" s="105"/>
      <c r="CY491" s="105"/>
      <c r="CZ491" s="105"/>
      <c r="DA491" s="105"/>
    </row>
    <row r="492">
      <c r="B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c r="AA492" s="105"/>
      <c r="AB492" s="105"/>
      <c r="AC492" s="105"/>
      <c r="AD492" s="105"/>
      <c r="AE492" s="105"/>
      <c r="AF492" s="105"/>
      <c r="AG492" s="105"/>
      <c r="AH492" s="105"/>
      <c r="AI492" s="105"/>
      <c r="AJ492" s="105"/>
      <c r="AK492" s="105"/>
      <c r="AL492" s="105"/>
      <c r="AM492" s="105"/>
      <c r="AN492" s="105"/>
      <c r="AO492" s="105"/>
      <c r="AP492" s="105"/>
      <c r="AQ492" s="105"/>
      <c r="AR492" s="105"/>
      <c r="AS492" s="105"/>
      <c r="AT492" s="105"/>
      <c r="AU492" s="105"/>
      <c r="AV492" s="105"/>
      <c r="AW492" s="105"/>
      <c r="AX492" s="105"/>
      <c r="AY492" s="105"/>
      <c r="AZ492" s="105"/>
      <c r="BA492" s="105"/>
      <c r="BB492" s="105"/>
      <c r="BC492" s="105"/>
      <c r="BD492" s="105"/>
      <c r="BE492" s="105"/>
      <c r="BF492" s="105"/>
      <c r="BG492" s="105"/>
      <c r="BH492" s="105"/>
      <c r="BI492" s="105"/>
      <c r="BJ492" s="105"/>
      <c r="BK492" s="105"/>
      <c r="BL492" s="105"/>
      <c r="BM492" s="105"/>
      <c r="BN492" s="105"/>
      <c r="BO492" s="105"/>
      <c r="BP492" s="105"/>
      <c r="BQ492" s="105"/>
      <c r="BR492" s="105"/>
      <c r="BS492" s="105"/>
      <c r="BT492" s="105"/>
      <c r="BU492" s="105"/>
      <c r="BV492" s="105"/>
      <c r="BW492" s="105"/>
      <c r="BX492" s="105"/>
      <c r="BY492" s="105"/>
      <c r="BZ492" s="105"/>
      <c r="CA492" s="105"/>
      <c r="CB492" s="105"/>
      <c r="CC492" s="105"/>
      <c r="CD492" s="105"/>
      <c r="CE492" s="105"/>
      <c r="CF492" s="105"/>
      <c r="CG492" s="105"/>
      <c r="CH492" s="105"/>
      <c r="CI492" s="105"/>
      <c r="CJ492" s="105"/>
      <c r="CK492" s="105"/>
      <c r="CL492" s="105"/>
      <c r="CM492" s="105"/>
      <c r="CN492" s="105"/>
      <c r="CO492" s="105"/>
      <c r="CP492" s="105"/>
      <c r="CQ492" s="105"/>
      <c r="CR492" s="105"/>
      <c r="CS492" s="105"/>
      <c r="CT492" s="105"/>
      <c r="CU492" s="105"/>
      <c r="CV492" s="105"/>
      <c r="CW492" s="105"/>
      <c r="CX492" s="105"/>
      <c r="CY492" s="105"/>
      <c r="CZ492" s="105"/>
      <c r="DA492" s="105"/>
    </row>
    <row r="493">
      <c r="B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c r="AA493" s="105"/>
      <c r="AB493" s="105"/>
      <c r="AC493" s="105"/>
      <c r="AD493" s="105"/>
      <c r="AE493" s="105"/>
      <c r="AF493" s="105"/>
      <c r="AG493" s="105"/>
      <c r="AH493" s="105"/>
      <c r="AI493" s="105"/>
      <c r="AJ493" s="105"/>
      <c r="AK493" s="105"/>
      <c r="AL493" s="105"/>
      <c r="AM493" s="105"/>
      <c r="AN493" s="105"/>
      <c r="AO493" s="105"/>
      <c r="AP493" s="105"/>
      <c r="AQ493" s="105"/>
      <c r="AR493" s="105"/>
      <c r="AS493" s="105"/>
      <c r="AT493" s="105"/>
      <c r="AU493" s="105"/>
      <c r="AV493" s="105"/>
      <c r="AW493" s="105"/>
      <c r="AX493" s="105"/>
      <c r="AY493" s="105"/>
      <c r="AZ493" s="105"/>
      <c r="BA493" s="105"/>
      <c r="BB493" s="105"/>
      <c r="BC493" s="105"/>
      <c r="BD493" s="105"/>
      <c r="BE493" s="105"/>
      <c r="BF493" s="105"/>
      <c r="BG493" s="105"/>
      <c r="BH493" s="105"/>
      <c r="BI493" s="105"/>
      <c r="BJ493" s="105"/>
      <c r="BK493" s="105"/>
      <c r="BL493" s="105"/>
      <c r="BM493" s="105"/>
      <c r="BN493" s="105"/>
      <c r="BO493" s="105"/>
      <c r="BP493" s="105"/>
      <c r="BQ493" s="105"/>
      <c r="BR493" s="105"/>
      <c r="BS493" s="105"/>
      <c r="BT493" s="105"/>
      <c r="BU493" s="105"/>
      <c r="BV493" s="105"/>
      <c r="BW493" s="105"/>
      <c r="BX493" s="105"/>
      <c r="BY493" s="105"/>
      <c r="BZ493" s="105"/>
      <c r="CA493" s="105"/>
      <c r="CB493" s="105"/>
      <c r="CC493" s="105"/>
      <c r="CD493" s="105"/>
      <c r="CE493" s="105"/>
      <c r="CF493" s="105"/>
      <c r="CG493" s="105"/>
      <c r="CH493" s="105"/>
      <c r="CI493" s="105"/>
      <c r="CJ493" s="105"/>
      <c r="CK493" s="105"/>
      <c r="CL493" s="105"/>
      <c r="CM493" s="105"/>
      <c r="CN493" s="105"/>
      <c r="CO493" s="105"/>
      <c r="CP493" s="105"/>
      <c r="CQ493" s="105"/>
      <c r="CR493" s="105"/>
      <c r="CS493" s="105"/>
      <c r="CT493" s="105"/>
      <c r="CU493" s="105"/>
      <c r="CV493" s="105"/>
      <c r="CW493" s="105"/>
      <c r="CX493" s="105"/>
      <c r="CY493" s="105"/>
      <c r="CZ493" s="105"/>
      <c r="DA493" s="105"/>
    </row>
    <row r="494">
      <c r="B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c r="AA494" s="105"/>
      <c r="AB494" s="105"/>
      <c r="AC494" s="105"/>
      <c r="AD494" s="105"/>
      <c r="AE494" s="105"/>
      <c r="AF494" s="105"/>
      <c r="AG494" s="105"/>
      <c r="AH494" s="105"/>
      <c r="AI494" s="105"/>
      <c r="AJ494" s="105"/>
      <c r="AK494" s="105"/>
      <c r="AL494" s="105"/>
      <c r="AM494" s="105"/>
      <c r="AN494" s="105"/>
      <c r="AO494" s="105"/>
      <c r="AP494" s="105"/>
      <c r="AQ494" s="105"/>
      <c r="AR494" s="105"/>
      <c r="AS494" s="105"/>
      <c r="AT494" s="105"/>
      <c r="AU494" s="105"/>
      <c r="AV494" s="105"/>
      <c r="AW494" s="105"/>
      <c r="AX494" s="105"/>
      <c r="AY494" s="105"/>
      <c r="AZ494" s="105"/>
      <c r="BA494" s="105"/>
      <c r="BB494" s="105"/>
      <c r="BC494" s="105"/>
      <c r="BD494" s="105"/>
      <c r="BE494" s="105"/>
      <c r="BF494" s="105"/>
      <c r="BG494" s="105"/>
      <c r="BH494" s="105"/>
      <c r="BI494" s="105"/>
      <c r="BJ494" s="105"/>
      <c r="BK494" s="105"/>
      <c r="BL494" s="105"/>
      <c r="BM494" s="105"/>
      <c r="BN494" s="105"/>
      <c r="BO494" s="105"/>
      <c r="BP494" s="105"/>
      <c r="BQ494" s="105"/>
      <c r="BR494" s="105"/>
      <c r="BS494" s="105"/>
      <c r="BT494" s="105"/>
      <c r="BU494" s="105"/>
      <c r="BV494" s="105"/>
      <c r="BW494" s="105"/>
      <c r="BX494" s="105"/>
      <c r="BY494" s="105"/>
      <c r="BZ494" s="105"/>
      <c r="CA494" s="105"/>
      <c r="CB494" s="105"/>
      <c r="CC494" s="105"/>
      <c r="CD494" s="105"/>
      <c r="CE494" s="105"/>
      <c r="CF494" s="105"/>
      <c r="CG494" s="105"/>
      <c r="CH494" s="105"/>
      <c r="CI494" s="105"/>
      <c r="CJ494" s="105"/>
      <c r="CK494" s="105"/>
      <c r="CL494" s="105"/>
      <c r="CM494" s="105"/>
      <c r="CN494" s="105"/>
      <c r="CO494" s="105"/>
      <c r="CP494" s="105"/>
      <c r="CQ494" s="105"/>
      <c r="CR494" s="105"/>
      <c r="CS494" s="105"/>
      <c r="CT494" s="105"/>
      <c r="CU494" s="105"/>
      <c r="CV494" s="105"/>
      <c r="CW494" s="105"/>
      <c r="CX494" s="105"/>
      <c r="CY494" s="105"/>
      <c r="CZ494" s="105"/>
      <c r="DA494" s="105"/>
    </row>
    <row r="495">
      <c r="B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c r="AA495" s="105"/>
      <c r="AB495" s="105"/>
      <c r="AC495" s="105"/>
      <c r="AD495" s="105"/>
      <c r="AE495" s="105"/>
      <c r="AF495" s="105"/>
      <c r="AG495" s="105"/>
      <c r="AH495" s="105"/>
      <c r="AI495" s="105"/>
      <c r="AJ495" s="105"/>
      <c r="AK495" s="105"/>
      <c r="AL495" s="105"/>
      <c r="AM495" s="105"/>
      <c r="AN495" s="105"/>
      <c r="AO495" s="105"/>
      <c r="AP495" s="105"/>
      <c r="AQ495" s="105"/>
      <c r="AR495" s="105"/>
      <c r="AS495" s="105"/>
      <c r="AT495" s="105"/>
      <c r="AU495" s="105"/>
      <c r="AV495" s="105"/>
      <c r="AW495" s="105"/>
      <c r="AX495" s="105"/>
      <c r="AY495" s="105"/>
      <c r="AZ495" s="105"/>
      <c r="BA495" s="105"/>
      <c r="BB495" s="105"/>
      <c r="BC495" s="105"/>
      <c r="BD495" s="105"/>
      <c r="BE495" s="105"/>
      <c r="BF495" s="105"/>
      <c r="BG495" s="105"/>
      <c r="BH495" s="105"/>
      <c r="BI495" s="105"/>
      <c r="BJ495" s="105"/>
      <c r="BK495" s="105"/>
      <c r="BL495" s="105"/>
      <c r="BM495" s="105"/>
      <c r="BN495" s="105"/>
      <c r="BO495" s="105"/>
      <c r="BP495" s="105"/>
      <c r="BQ495" s="105"/>
      <c r="BR495" s="105"/>
      <c r="BS495" s="105"/>
      <c r="BT495" s="105"/>
      <c r="BU495" s="105"/>
      <c r="BV495" s="105"/>
      <c r="BW495" s="105"/>
      <c r="BX495" s="105"/>
      <c r="BY495" s="105"/>
      <c r="BZ495" s="105"/>
      <c r="CA495" s="105"/>
      <c r="CB495" s="105"/>
      <c r="CC495" s="105"/>
      <c r="CD495" s="105"/>
      <c r="CE495" s="105"/>
      <c r="CF495" s="105"/>
      <c r="CG495" s="105"/>
      <c r="CH495" s="105"/>
      <c r="CI495" s="105"/>
      <c r="CJ495" s="105"/>
      <c r="CK495" s="105"/>
      <c r="CL495" s="105"/>
      <c r="CM495" s="105"/>
      <c r="CN495" s="105"/>
      <c r="CO495" s="105"/>
      <c r="CP495" s="105"/>
      <c r="CQ495" s="105"/>
      <c r="CR495" s="105"/>
      <c r="CS495" s="105"/>
      <c r="CT495" s="105"/>
      <c r="CU495" s="105"/>
      <c r="CV495" s="105"/>
      <c r="CW495" s="105"/>
      <c r="CX495" s="105"/>
      <c r="CY495" s="105"/>
      <c r="CZ495" s="105"/>
      <c r="DA495" s="105"/>
    </row>
    <row r="496">
      <c r="B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c r="AA496" s="105"/>
      <c r="AB496" s="105"/>
      <c r="AC496" s="105"/>
      <c r="AD496" s="105"/>
      <c r="AE496" s="105"/>
      <c r="AF496" s="105"/>
      <c r="AG496" s="105"/>
      <c r="AH496" s="105"/>
      <c r="AI496" s="105"/>
      <c r="AJ496" s="105"/>
      <c r="AK496" s="105"/>
      <c r="AL496" s="105"/>
      <c r="AM496" s="105"/>
      <c r="AN496" s="105"/>
      <c r="AO496" s="105"/>
      <c r="AP496" s="105"/>
      <c r="AQ496" s="105"/>
      <c r="AR496" s="105"/>
      <c r="AS496" s="105"/>
      <c r="AT496" s="105"/>
      <c r="AU496" s="105"/>
      <c r="AV496" s="105"/>
      <c r="AW496" s="105"/>
      <c r="AX496" s="105"/>
      <c r="AY496" s="105"/>
      <c r="AZ496" s="105"/>
      <c r="BA496" s="105"/>
      <c r="BB496" s="105"/>
      <c r="BC496" s="105"/>
      <c r="BD496" s="105"/>
      <c r="BE496" s="105"/>
      <c r="BF496" s="105"/>
      <c r="BG496" s="105"/>
      <c r="BH496" s="105"/>
      <c r="BI496" s="105"/>
      <c r="BJ496" s="105"/>
      <c r="BK496" s="105"/>
      <c r="BL496" s="105"/>
      <c r="BM496" s="105"/>
      <c r="BN496" s="105"/>
      <c r="BO496" s="105"/>
      <c r="BP496" s="105"/>
      <c r="BQ496" s="105"/>
      <c r="BR496" s="105"/>
      <c r="BS496" s="105"/>
      <c r="BT496" s="105"/>
      <c r="BU496" s="105"/>
      <c r="BV496" s="105"/>
      <c r="BW496" s="105"/>
      <c r="BX496" s="105"/>
      <c r="BY496" s="105"/>
      <c r="BZ496" s="105"/>
      <c r="CA496" s="105"/>
      <c r="CB496" s="105"/>
      <c r="CC496" s="105"/>
      <c r="CD496" s="105"/>
      <c r="CE496" s="105"/>
      <c r="CF496" s="105"/>
      <c r="CG496" s="105"/>
      <c r="CH496" s="105"/>
      <c r="CI496" s="105"/>
      <c r="CJ496" s="105"/>
      <c r="CK496" s="105"/>
      <c r="CL496" s="105"/>
      <c r="CM496" s="105"/>
      <c r="CN496" s="105"/>
      <c r="CO496" s="105"/>
      <c r="CP496" s="105"/>
      <c r="CQ496" s="105"/>
      <c r="CR496" s="105"/>
      <c r="CS496" s="105"/>
      <c r="CT496" s="105"/>
      <c r="CU496" s="105"/>
      <c r="CV496" s="105"/>
      <c r="CW496" s="105"/>
      <c r="CX496" s="105"/>
      <c r="CY496" s="105"/>
      <c r="CZ496" s="105"/>
      <c r="DA496" s="105"/>
    </row>
    <row r="497">
      <c r="B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c r="AA497" s="105"/>
      <c r="AB497" s="105"/>
      <c r="AC497" s="105"/>
      <c r="AD497" s="105"/>
      <c r="AE497" s="105"/>
      <c r="AF497" s="105"/>
      <c r="AG497" s="105"/>
      <c r="AH497" s="105"/>
      <c r="AI497" s="105"/>
      <c r="AJ497" s="105"/>
      <c r="AK497" s="105"/>
      <c r="AL497" s="105"/>
      <c r="AM497" s="105"/>
      <c r="AN497" s="105"/>
      <c r="AO497" s="105"/>
      <c r="AP497" s="105"/>
      <c r="AQ497" s="105"/>
      <c r="AR497" s="105"/>
      <c r="AS497" s="105"/>
      <c r="AT497" s="105"/>
      <c r="AU497" s="105"/>
      <c r="AV497" s="105"/>
      <c r="AW497" s="105"/>
      <c r="AX497" s="105"/>
      <c r="AY497" s="105"/>
      <c r="AZ497" s="105"/>
      <c r="BA497" s="105"/>
      <c r="BB497" s="105"/>
      <c r="BC497" s="105"/>
      <c r="BD497" s="105"/>
      <c r="BE497" s="105"/>
      <c r="BF497" s="105"/>
      <c r="BG497" s="105"/>
      <c r="BH497" s="105"/>
      <c r="BI497" s="105"/>
      <c r="BJ497" s="105"/>
      <c r="BK497" s="105"/>
      <c r="BL497" s="105"/>
      <c r="BM497" s="105"/>
      <c r="BN497" s="105"/>
      <c r="BO497" s="105"/>
      <c r="BP497" s="105"/>
      <c r="BQ497" s="105"/>
      <c r="BR497" s="105"/>
      <c r="BS497" s="105"/>
      <c r="BT497" s="105"/>
      <c r="BU497" s="105"/>
      <c r="BV497" s="105"/>
      <c r="BW497" s="105"/>
      <c r="BX497" s="105"/>
      <c r="BY497" s="105"/>
      <c r="BZ497" s="105"/>
      <c r="CA497" s="105"/>
      <c r="CB497" s="105"/>
      <c r="CC497" s="105"/>
      <c r="CD497" s="105"/>
      <c r="CE497" s="105"/>
      <c r="CF497" s="105"/>
      <c r="CG497" s="105"/>
      <c r="CH497" s="105"/>
      <c r="CI497" s="105"/>
      <c r="CJ497" s="105"/>
      <c r="CK497" s="105"/>
      <c r="CL497" s="105"/>
      <c r="CM497" s="105"/>
      <c r="CN497" s="105"/>
      <c r="CO497" s="105"/>
      <c r="CP497" s="105"/>
      <c r="CQ497" s="105"/>
      <c r="CR497" s="105"/>
      <c r="CS497" s="105"/>
      <c r="CT497" s="105"/>
      <c r="CU497" s="105"/>
      <c r="CV497" s="105"/>
      <c r="CW497" s="105"/>
      <c r="CX497" s="105"/>
      <c r="CY497" s="105"/>
      <c r="CZ497" s="105"/>
      <c r="DA497" s="105"/>
    </row>
    <row r="498">
      <c r="B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c r="AA498" s="105"/>
      <c r="AB498" s="105"/>
      <c r="AC498" s="105"/>
      <c r="AD498" s="105"/>
      <c r="AE498" s="105"/>
      <c r="AF498" s="105"/>
      <c r="AG498" s="105"/>
      <c r="AH498" s="105"/>
      <c r="AI498" s="105"/>
      <c r="AJ498" s="105"/>
      <c r="AK498" s="105"/>
      <c r="AL498" s="105"/>
      <c r="AM498" s="105"/>
      <c r="AN498" s="105"/>
      <c r="AO498" s="105"/>
      <c r="AP498" s="105"/>
      <c r="AQ498" s="105"/>
      <c r="AR498" s="105"/>
      <c r="AS498" s="105"/>
      <c r="AT498" s="105"/>
      <c r="AU498" s="105"/>
      <c r="AV498" s="105"/>
      <c r="AW498" s="105"/>
      <c r="AX498" s="105"/>
      <c r="AY498" s="105"/>
      <c r="AZ498" s="105"/>
      <c r="BA498" s="105"/>
      <c r="BB498" s="105"/>
      <c r="BC498" s="105"/>
      <c r="BD498" s="105"/>
      <c r="BE498" s="105"/>
      <c r="BF498" s="105"/>
      <c r="BG498" s="105"/>
      <c r="BH498" s="105"/>
      <c r="BI498" s="105"/>
      <c r="BJ498" s="105"/>
      <c r="BK498" s="105"/>
      <c r="BL498" s="105"/>
      <c r="BM498" s="105"/>
      <c r="BN498" s="105"/>
      <c r="BO498" s="105"/>
      <c r="BP498" s="105"/>
      <c r="BQ498" s="105"/>
      <c r="BR498" s="105"/>
      <c r="BS498" s="105"/>
      <c r="BT498" s="105"/>
      <c r="BU498" s="105"/>
      <c r="BV498" s="105"/>
      <c r="BW498" s="105"/>
      <c r="BX498" s="105"/>
      <c r="BY498" s="105"/>
      <c r="BZ498" s="105"/>
      <c r="CA498" s="105"/>
      <c r="CB498" s="105"/>
      <c r="CC498" s="105"/>
      <c r="CD498" s="105"/>
      <c r="CE498" s="105"/>
      <c r="CF498" s="105"/>
      <c r="CG498" s="105"/>
      <c r="CH498" s="105"/>
      <c r="CI498" s="105"/>
      <c r="CJ498" s="105"/>
      <c r="CK498" s="105"/>
      <c r="CL498" s="105"/>
      <c r="CM498" s="105"/>
      <c r="CN498" s="105"/>
      <c r="CO498" s="105"/>
      <c r="CP498" s="105"/>
      <c r="CQ498" s="105"/>
      <c r="CR498" s="105"/>
      <c r="CS498" s="105"/>
      <c r="CT498" s="105"/>
      <c r="CU498" s="105"/>
      <c r="CV498" s="105"/>
      <c r="CW498" s="105"/>
      <c r="CX498" s="105"/>
      <c r="CY498" s="105"/>
      <c r="CZ498" s="105"/>
      <c r="DA498" s="105"/>
    </row>
    <row r="499">
      <c r="B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c r="AA499" s="105"/>
      <c r="AB499" s="105"/>
      <c r="AC499" s="105"/>
      <c r="AD499" s="105"/>
      <c r="AE499" s="105"/>
      <c r="AF499" s="105"/>
      <c r="AG499" s="105"/>
      <c r="AH499" s="105"/>
      <c r="AI499" s="105"/>
      <c r="AJ499" s="105"/>
      <c r="AK499" s="105"/>
      <c r="AL499" s="105"/>
      <c r="AM499" s="105"/>
      <c r="AN499" s="105"/>
      <c r="AO499" s="105"/>
      <c r="AP499" s="105"/>
      <c r="AQ499" s="105"/>
      <c r="AR499" s="105"/>
      <c r="AS499" s="105"/>
      <c r="AT499" s="105"/>
      <c r="AU499" s="105"/>
      <c r="AV499" s="105"/>
      <c r="AW499" s="105"/>
      <c r="AX499" s="105"/>
      <c r="AY499" s="105"/>
      <c r="AZ499" s="105"/>
      <c r="BA499" s="105"/>
      <c r="BB499" s="105"/>
      <c r="BC499" s="105"/>
      <c r="BD499" s="105"/>
      <c r="BE499" s="105"/>
      <c r="BF499" s="105"/>
      <c r="BG499" s="105"/>
      <c r="BH499" s="105"/>
      <c r="BI499" s="105"/>
      <c r="BJ499" s="105"/>
      <c r="BK499" s="105"/>
      <c r="BL499" s="105"/>
      <c r="BM499" s="105"/>
      <c r="BN499" s="105"/>
      <c r="BO499" s="105"/>
      <c r="BP499" s="105"/>
      <c r="BQ499" s="105"/>
      <c r="BR499" s="105"/>
      <c r="BS499" s="105"/>
      <c r="BT499" s="105"/>
      <c r="BU499" s="105"/>
      <c r="BV499" s="105"/>
      <c r="BW499" s="105"/>
      <c r="BX499" s="105"/>
      <c r="BY499" s="105"/>
      <c r="BZ499" s="105"/>
      <c r="CA499" s="105"/>
      <c r="CB499" s="105"/>
      <c r="CC499" s="105"/>
      <c r="CD499" s="105"/>
      <c r="CE499" s="105"/>
      <c r="CF499" s="105"/>
      <c r="CG499" s="105"/>
      <c r="CH499" s="105"/>
      <c r="CI499" s="105"/>
      <c r="CJ499" s="105"/>
      <c r="CK499" s="105"/>
      <c r="CL499" s="105"/>
      <c r="CM499" s="105"/>
      <c r="CN499" s="105"/>
      <c r="CO499" s="105"/>
      <c r="CP499" s="105"/>
      <c r="CQ499" s="105"/>
      <c r="CR499" s="105"/>
      <c r="CS499" s="105"/>
      <c r="CT499" s="105"/>
      <c r="CU499" s="105"/>
      <c r="CV499" s="105"/>
      <c r="CW499" s="105"/>
      <c r="CX499" s="105"/>
      <c r="CY499" s="105"/>
      <c r="CZ499" s="105"/>
      <c r="DA499" s="105"/>
    </row>
    <row r="500">
      <c r="B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c r="AA500" s="105"/>
      <c r="AB500" s="105"/>
      <c r="AC500" s="105"/>
      <c r="AD500" s="105"/>
      <c r="AE500" s="105"/>
      <c r="AF500" s="105"/>
      <c r="AG500" s="105"/>
      <c r="AH500" s="105"/>
      <c r="AI500" s="105"/>
      <c r="AJ500" s="105"/>
      <c r="AK500" s="105"/>
      <c r="AL500" s="105"/>
      <c r="AM500" s="105"/>
      <c r="AN500" s="105"/>
      <c r="AO500" s="105"/>
      <c r="AP500" s="105"/>
      <c r="AQ500" s="105"/>
      <c r="AR500" s="105"/>
      <c r="AS500" s="105"/>
      <c r="AT500" s="105"/>
      <c r="AU500" s="105"/>
      <c r="AV500" s="105"/>
      <c r="AW500" s="105"/>
      <c r="AX500" s="105"/>
      <c r="AY500" s="105"/>
      <c r="AZ500" s="105"/>
      <c r="BA500" s="105"/>
      <c r="BB500" s="105"/>
      <c r="BC500" s="105"/>
      <c r="BD500" s="105"/>
      <c r="BE500" s="105"/>
      <c r="BF500" s="105"/>
      <c r="BG500" s="105"/>
      <c r="BH500" s="105"/>
      <c r="BI500" s="105"/>
      <c r="BJ500" s="105"/>
      <c r="BK500" s="105"/>
      <c r="BL500" s="105"/>
      <c r="BM500" s="105"/>
      <c r="BN500" s="105"/>
      <c r="BO500" s="105"/>
      <c r="BP500" s="105"/>
      <c r="BQ500" s="105"/>
      <c r="BR500" s="105"/>
      <c r="BS500" s="105"/>
      <c r="BT500" s="105"/>
      <c r="BU500" s="105"/>
      <c r="BV500" s="105"/>
      <c r="BW500" s="105"/>
      <c r="BX500" s="105"/>
      <c r="BY500" s="105"/>
      <c r="BZ500" s="105"/>
      <c r="CA500" s="105"/>
      <c r="CB500" s="105"/>
      <c r="CC500" s="105"/>
      <c r="CD500" s="105"/>
      <c r="CE500" s="105"/>
      <c r="CF500" s="105"/>
      <c r="CG500" s="105"/>
      <c r="CH500" s="105"/>
      <c r="CI500" s="105"/>
      <c r="CJ500" s="105"/>
      <c r="CK500" s="105"/>
      <c r="CL500" s="105"/>
      <c r="CM500" s="105"/>
      <c r="CN500" s="105"/>
      <c r="CO500" s="105"/>
      <c r="CP500" s="105"/>
      <c r="CQ500" s="105"/>
      <c r="CR500" s="105"/>
      <c r="CS500" s="105"/>
      <c r="CT500" s="105"/>
      <c r="CU500" s="105"/>
      <c r="CV500" s="105"/>
      <c r="CW500" s="105"/>
      <c r="CX500" s="105"/>
      <c r="CY500" s="105"/>
      <c r="CZ500" s="105"/>
      <c r="DA500" s="105"/>
    </row>
    <row r="501">
      <c r="B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c r="AA501" s="105"/>
      <c r="AB501" s="105"/>
      <c r="AC501" s="105"/>
      <c r="AD501" s="105"/>
      <c r="AE501" s="105"/>
      <c r="AF501" s="105"/>
      <c r="AG501" s="105"/>
      <c r="AH501" s="105"/>
      <c r="AI501" s="105"/>
      <c r="AJ501" s="105"/>
      <c r="AK501" s="105"/>
      <c r="AL501" s="105"/>
      <c r="AM501" s="105"/>
      <c r="AN501" s="105"/>
      <c r="AO501" s="105"/>
      <c r="AP501" s="105"/>
      <c r="AQ501" s="105"/>
      <c r="AR501" s="105"/>
      <c r="AS501" s="105"/>
      <c r="AT501" s="105"/>
      <c r="AU501" s="105"/>
      <c r="AV501" s="105"/>
      <c r="AW501" s="105"/>
      <c r="AX501" s="105"/>
      <c r="AY501" s="105"/>
      <c r="AZ501" s="105"/>
      <c r="BA501" s="105"/>
      <c r="BB501" s="105"/>
      <c r="BC501" s="105"/>
      <c r="BD501" s="105"/>
      <c r="BE501" s="105"/>
      <c r="BF501" s="105"/>
      <c r="BG501" s="105"/>
      <c r="BH501" s="105"/>
      <c r="BI501" s="105"/>
      <c r="BJ501" s="105"/>
      <c r="BK501" s="105"/>
      <c r="BL501" s="105"/>
      <c r="BM501" s="105"/>
      <c r="BN501" s="105"/>
      <c r="BO501" s="105"/>
      <c r="BP501" s="105"/>
      <c r="BQ501" s="105"/>
      <c r="BR501" s="105"/>
      <c r="BS501" s="105"/>
      <c r="BT501" s="105"/>
      <c r="BU501" s="105"/>
      <c r="BV501" s="105"/>
      <c r="BW501" s="105"/>
      <c r="BX501" s="105"/>
      <c r="BY501" s="105"/>
      <c r="BZ501" s="105"/>
      <c r="CA501" s="105"/>
      <c r="CB501" s="105"/>
      <c r="CC501" s="105"/>
      <c r="CD501" s="105"/>
      <c r="CE501" s="105"/>
      <c r="CF501" s="105"/>
      <c r="CG501" s="105"/>
      <c r="CH501" s="105"/>
      <c r="CI501" s="105"/>
      <c r="CJ501" s="105"/>
      <c r="CK501" s="105"/>
      <c r="CL501" s="105"/>
      <c r="CM501" s="105"/>
      <c r="CN501" s="105"/>
      <c r="CO501" s="105"/>
      <c r="CP501" s="105"/>
      <c r="CQ501" s="105"/>
      <c r="CR501" s="105"/>
      <c r="CS501" s="105"/>
      <c r="CT501" s="105"/>
      <c r="CU501" s="105"/>
      <c r="CV501" s="105"/>
      <c r="CW501" s="105"/>
      <c r="CX501" s="105"/>
      <c r="CY501" s="105"/>
      <c r="CZ501" s="105"/>
      <c r="DA501" s="105"/>
    </row>
    <row r="502">
      <c r="B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c r="AA502" s="105"/>
      <c r="AB502" s="105"/>
      <c r="AC502" s="105"/>
      <c r="AD502" s="105"/>
      <c r="AE502" s="105"/>
      <c r="AF502" s="105"/>
      <c r="AG502" s="105"/>
      <c r="AH502" s="105"/>
      <c r="AI502" s="105"/>
      <c r="AJ502" s="105"/>
      <c r="AK502" s="105"/>
      <c r="AL502" s="105"/>
      <c r="AM502" s="105"/>
      <c r="AN502" s="105"/>
      <c r="AO502" s="105"/>
      <c r="AP502" s="105"/>
      <c r="AQ502" s="105"/>
      <c r="AR502" s="105"/>
      <c r="AS502" s="105"/>
      <c r="AT502" s="105"/>
      <c r="AU502" s="105"/>
      <c r="AV502" s="105"/>
      <c r="AW502" s="105"/>
      <c r="AX502" s="105"/>
      <c r="AY502" s="105"/>
      <c r="AZ502" s="105"/>
      <c r="BA502" s="105"/>
      <c r="BB502" s="105"/>
      <c r="BC502" s="105"/>
      <c r="BD502" s="105"/>
      <c r="BE502" s="105"/>
      <c r="BF502" s="105"/>
      <c r="BG502" s="105"/>
      <c r="BH502" s="105"/>
      <c r="BI502" s="105"/>
      <c r="BJ502" s="105"/>
      <c r="BK502" s="105"/>
      <c r="BL502" s="105"/>
      <c r="BM502" s="105"/>
      <c r="BN502" s="105"/>
      <c r="BO502" s="105"/>
      <c r="BP502" s="105"/>
      <c r="BQ502" s="105"/>
      <c r="BR502" s="105"/>
      <c r="BS502" s="105"/>
      <c r="BT502" s="105"/>
      <c r="BU502" s="105"/>
      <c r="BV502" s="105"/>
      <c r="BW502" s="105"/>
      <c r="BX502" s="105"/>
      <c r="BY502" s="105"/>
      <c r="BZ502" s="105"/>
      <c r="CA502" s="105"/>
      <c r="CB502" s="105"/>
      <c r="CC502" s="105"/>
      <c r="CD502" s="105"/>
      <c r="CE502" s="105"/>
      <c r="CF502" s="105"/>
      <c r="CG502" s="105"/>
      <c r="CH502" s="105"/>
      <c r="CI502" s="105"/>
      <c r="CJ502" s="105"/>
      <c r="CK502" s="105"/>
      <c r="CL502" s="105"/>
      <c r="CM502" s="105"/>
      <c r="CN502" s="105"/>
      <c r="CO502" s="105"/>
      <c r="CP502" s="105"/>
      <c r="CQ502" s="105"/>
      <c r="CR502" s="105"/>
      <c r="CS502" s="105"/>
      <c r="CT502" s="105"/>
      <c r="CU502" s="105"/>
      <c r="CV502" s="105"/>
      <c r="CW502" s="105"/>
      <c r="CX502" s="105"/>
      <c r="CY502" s="105"/>
      <c r="CZ502" s="105"/>
      <c r="DA502" s="105"/>
    </row>
    <row r="503">
      <c r="B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c r="AA503" s="105"/>
      <c r="AB503" s="105"/>
      <c r="AC503" s="105"/>
      <c r="AD503" s="105"/>
      <c r="AE503" s="105"/>
      <c r="AF503" s="105"/>
      <c r="AG503" s="105"/>
      <c r="AH503" s="105"/>
      <c r="AI503" s="105"/>
      <c r="AJ503" s="105"/>
      <c r="AK503" s="105"/>
      <c r="AL503" s="105"/>
      <c r="AM503" s="105"/>
      <c r="AN503" s="105"/>
      <c r="AO503" s="105"/>
      <c r="AP503" s="105"/>
      <c r="AQ503" s="105"/>
      <c r="AR503" s="105"/>
      <c r="AS503" s="105"/>
      <c r="AT503" s="105"/>
      <c r="AU503" s="105"/>
      <c r="AV503" s="105"/>
      <c r="AW503" s="105"/>
      <c r="AX503" s="105"/>
      <c r="AY503" s="105"/>
      <c r="AZ503" s="105"/>
      <c r="BA503" s="105"/>
      <c r="BB503" s="105"/>
      <c r="BC503" s="105"/>
      <c r="BD503" s="105"/>
      <c r="BE503" s="105"/>
      <c r="BF503" s="105"/>
      <c r="BG503" s="105"/>
      <c r="BH503" s="105"/>
      <c r="BI503" s="105"/>
      <c r="BJ503" s="105"/>
      <c r="BK503" s="105"/>
      <c r="BL503" s="105"/>
      <c r="BM503" s="105"/>
      <c r="BN503" s="105"/>
      <c r="BO503" s="105"/>
      <c r="BP503" s="105"/>
      <c r="BQ503" s="105"/>
      <c r="BR503" s="105"/>
      <c r="BS503" s="105"/>
      <c r="BT503" s="105"/>
      <c r="BU503" s="105"/>
      <c r="BV503" s="105"/>
      <c r="BW503" s="105"/>
      <c r="BX503" s="105"/>
      <c r="BY503" s="105"/>
      <c r="BZ503" s="105"/>
      <c r="CA503" s="105"/>
      <c r="CB503" s="105"/>
      <c r="CC503" s="105"/>
      <c r="CD503" s="105"/>
      <c r="CE503" s="105"/>
      <c r="CF503" s="105"/>
      <c r="CG503" s="105"/>
      <c r="CH503" s="105"/>
      <c r="CI503" s="105"/>
      <c r="CJ503" s="105"/>
      <c r="CK503" s="105"/>
      <c r="CL503" s="105"/>
      <c r="CM503" s="105"/>
      <c r="CN503" s="105"/>
      <c r="CO503" s="105"/>
      <c r="CP503" s="105"/>
      <c r="CQ503" s="105"/>
      <c r="CR503" s="105"/>
      <c r="CS503" s="105"/>
      <c r="CT503" s="105"/>
      <c r="CU503" s="105"/>
      <c r="CV503" s="105"/>
      <c r="CW503" s="105"/>
      <c r="CX503" s="105"/>
      <c r="CY503" s="105"/>
      <c r="CZ503" s="105"/>
      <c r="DA503" s="105"/>
    </row>
    <row r="504">
      <c r="B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c r="AA504" s="105"/>
      <c r="AB504" s="105"/>
      <c r="AC504" s="105"/>
      <c r="AD504" s="105"/>
      <c r="AE504" s="105"/>
      <c r="AF504" s="105"/>
      <c r="AG504" s="105"/>
      <c r="AH504" s="105"/>
      <c r="AI504" s="105"/>
      <c r="AJ504" s="105"/>
      <c r="AK504" s="105"/>
      <c r="AL504" s="105"/>
      <c r="AM504" s="105"/>
      <c r="AN504" s="105"/>
      <c r="AO504" s="105"/>
      <c r="AP504" s="105"/>
      <c r="AQ504" s="105"/>
      <c r="AR504" s="105"/>
      <c r="AS504" s="105"/>
      <c r="AT504" s="105"/>
      <c r="AU504" s="105"/>
      <c r="AV504" s="105"/>
      <c r="AW504" s="105"/>
      <c r="AX504" s="105"/>
      <c r="AY504" s="105"/>
      <c r="AZ504" s="105"/>
      <c r="BA504" s="105"/>
      <c r="BB504" s="105"/>
      <c r="BC504" s="105"/>
      <c r="BD504" s="105"/>
      <c r="BE504" s="105"/>
      <c r="BF504" s="105"/>
      <c r="BG504" s="105"/>
      <c r="BH504" s="105"/>
      <c r="BI504" s="105"/>
      <c r="BJ504" s="105"/>
      <c r="BK504" s="105"/>
      <c r="BL504" s="105"/>
      <c r="BM504" s="105"/>
      <c r="BN504" s="105"/>
      <c r="BO504" s="105"/>
      <c r="BP504" s="105"/>
      <c r="BQ504" s="105"/>
      <c r="BR504" s="105"/>
      <c r="BS504" s="105"/>
      <c r="BT504" s="105"/>
      <c r="BU504" s="105"/>
      <c r="BV504" s="105"/>
      <c r="BW504" s="105"/>
      <c r="BX504" s="105"/>
      <c r="BY504" s="105"/>
      <c r="BZ504" s="105"/>
      <c r="CA504" s="105"/>
      <c r="CB504" s="105"/>
      <c r="CC504" s="105"/>
      <c r="CD504" s="105"/>
      <c r="CE504" s="105"/>
      <c r="CF504" s="105"/>
      <c r="CG504" s="105"/>
      <c r="CH504" s="105"/>
      <c r="CI504" s="105"/>
      <c r="CJ504" s="105"/>
      <c r="CK504" s="105"/>
      <c r="CL504" s="105"/>
      <c r="CM504" s="105"/>
      <c r="CN504" s="105"/>
      <c r="CO504" s="105"/>
      <c r="CP504" s="105"/>
      <c r="CQ504" s="105"/>
      <c r="CR504" s="105"/>
      <c r="CS504" s="105"/>
      <c r="CT504" s="105"/>
      <c r="CU504" s="105"/>
      <c r="CV504" s="105"/>
      <c r="CW504" s="105"/>
      <c r="CX504" s="105"/>
      <c r="CY504" s="105"/>
      <c r="CZ504" s="105"/>
      <c r="DA504" s="105"/>
    </row>
    <row r="505">
      <c r="B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c r="AA505" s="105"/>
      <c r="AB505" s="105"/>
      <c r="AC505" s="105"/>
      <c r="AD505" s="105"/>
      <c r="AE505" s="105"/>
      <c r="AF505" s="105"/>
      <c r="AG505" s="105"/>
      <c r="AH505" s="105"/>
      <c r="AI505" s="105"/>
      <c r="AJ505" s="105"/>
      <c r="AK505" s="105"/>
      <c r="AL505" s="105"/>
      <c r="AM505" s="105"/>
      <c r="AN505" s="105"/>
      <c r="AO505" s="105"/>
      <c r="AP505" s="105"/>
      <c r="AQ505" s="105"/>
      <c r="AR505" s="105"/>
      <c r="AS505" s="105"/>
      <c r="AT505" s="105"/>
      <c r="AU505" s="105"/>
      <c r="AV505" s="105"/>
      <c r="AW505" s="105"/>
      <c r="AX505" s="105"/>
      <c r="AY505" s="105"/>
      <c r="AZ505" s="105"/>
      <c r="BA505" s="105"/>
      <c r="BB505" s="105"/>
      <c r="BC505" s="105"/>
      <c r="BD505" s="105"/>
      <c r="BE505" s="105"/>
      <c r="BF505" s="105"/>
      <c r="BG505" s="105"/>
      <c r="BH505" s="105"/>
      <c r="BI505" s="105"/>
      <c r="BJ505" s="105"/>
      <c r="BK505" s="105"/>
      <c r="BL505" s="105"/>
      <c r="BM505" s="105"/>
      <c r="BN505" s="105"/>
      <c r="BO505" s="105"/>
      <c r="BP505" s="105"/>
      <c r="BQ505" s="105"/>
      <c r="BR505" s="105"/>
      <c r="BS505" s="105"/>
      <c r="BT505" s="105"/>
      <c r="BU505" s="105"/>
      <c r="BV505" s="105"/>
      <c r="BW505" s="105"/>
      <c r="BX505" s="105"/>
      <c r="BY505" s="105"/>
      <c r="BZ505" s="105"/>
      <c r="CA505" s="105"/>
      <c r="CB505" s="105"/>
      <c r="CC505" s="105"/>
      <c r="CD505" s="105"/>
      <c r="CE505" s="105"/>
      <c r="CF505" s="105"/>
      <c r="CG505" s="105"/>
      <c r="CH505" s="105"/>
      <c r="CI505" s="105"/>
      <c r="CJ505" s="105"/>
      <c r="CK505" s="105"/>
      <c r="CL505" s="105"/>
      <c r="CM505" s="105"/>
      <c r="CN505" s="105"/>
      <c r="CO505" s="105"/>
      <c r="CP505" s="105"/>
      <c r="CQ505" s="105"/>
      <c r="CR505" s="105"/>
      <c r="CS505" s="105"/>
      <c r="CT505" s="105"/>
      <c r="CU505" s="105"/>
      <c r="CV505" s="105"/>
      <c r="CW505" s="105"/>
      <c r="CX505" s="105"/>
      <c r="CY505" s="105"/>
      <c r="CZ505" s="105"/>
      <c r="DA505" s="105"/>
    </row>
    <row r="506">
      <c r="B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c r="AA506" s="105"/>
      <c r="AB506" s="105"/>
      <c r="AC506" s="105"/>
      <c r="AD506" s="105"/>
      <c r="AE506" s="105"/>
      <c r="AF506" s="105"/>
      <c r="AG506" s="105"/>
      <c r="AH506" s="105"/>
      <c r="AI506" s="105"/>
      <c r="AJ506" s="105"/>
      <c r="AK506" s="105"/>
      <c r="AL506" s="105"/>
      <c r="AM506" s="105"/>
      <c r="AN506" s="105"/>
      <c r="AO506" s="105"/>
      <c r="AP506" s="105"/>
      <c r="AQ506" s="105"/>
      <c r="AR506" s="105"/>
      <c r="AS506" s="105"/>
      <c r="AT506" s="105"/>
      <c r="AU506" s="105"/>
      <c r="AV506" s="105"/>
      <c r="AW506" s="105"/>
      <c r="AX506" s="105"/>
      <c r="AY506" s="105"/>
      <c r="AZ506" s="105"/>
      <c r="BA506" s="105"/>
      <c r="BB506" s="105"/>
      <c r="BC506" s="105"/>
      <c r="BD506" s="105"/>
      <c r="BE506" s="105"/>
      <c r="BF506" s="105"/>
      <c r="BG506" s="105"/>
      <c r="BH506" s="105"/>
      <c r="BI506" s="105"/>
      <c r="BJ506" s="105"/>
      <c r="BK506" s="105"/>
      <c r="BL506" s="105"/>
      <c r="BM506" s="105"/>
      <c r="BN506" s="105"/>
      <c r="BO506" s="105"/>
      <c r="BP506" s="105"/>
      <c r="BQ506" s="105"/>
      <c r="BR506" s="105"/>
      <c r="BS506" s="105"/>
      <c r="BT506" s="105"/>
      <c r="BU506" s="105"/>
      <c r="BV506" s="105"/>
      <c r="BW506" s="105"/>
      <c r="BX506" s="105"/>
      <c r="BY506" s="105"/>
      <c r="BZ506" s="105"/>
      <c r="CA506" s="105"/>
      <c r="CB506" s="105"/>
      <c r="CC506" s="105"/>
      <c r="CD506" s="105"/>
      <c r="CE506" s="105"/>
      <c r="CF506" s="105"/>
      <c r="CG506" s="105"/>
      <c r="CH506" s="105"/>
      <c r="CI506" s="105"/>
      <c r="CJ506" s="105"/>
      <c r="CK506" s="105"/>
      <c r="CL506" s="105"/>
      <c r="CM506" s="105"/>
      <c r="CN506" s="105"/>
      <c r="CO506" s="105"/>
      <c r="CP506" s="105"/>
      <c r="CQ506" s="105"/>
      <c r="CR506" s="105"/>
      <c r="CS506" s="105"/>
      <c r="CT506" s="105"/>
      <c r="CU506" s="105"/>
      <c r="CV506" s="105"/>
      <c r="CW506" s="105"/>
      <c r="CX506" s="105"/>
      <c r="CY506" s="105"/>
      <c r="CZ506" s="105"/>
      <c r="DA506" s="105"/>
    </row>
    <row r="507">
      <c r="B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c r="AA507" s="105"/>
      <c r="AB507" s="105"/>
      <c r="AC507" s="105"/>
      <c r="AD507" s="105"/>
      <c r="AE507" s="105"/>
      <c r="AF507" s="105"/>
      <c r="AG507" s="105"/>
      <c r="AH507" s="105"/>
      <c r="AI507" s="105"/>
      <c r="AJ507" s="105"/>
      <c r="AK507" s="105"/>
      <c r="AL507" s="105"/>
      <c r="AM507" s="105"/>
      <c r="AN507" s="105"/>
      <c r="AO507" s="105"/>
      <c r="AP507" s="105"/>
      <c r="AQ507" s="105"/>
      <c r="AR507" s="105"/>
      <c r="AS507" s="105"/>
      <c r="AT507" s="105"/>
      <c r="AU507" s="105"/>
      <c r="AV507" s="105"/>
      <c r="AW507" s="105"/>
      <c r="AX507" s="105"/>
      <c r="AY507" s="105"/>
      <c r="AZ507" s="105"/>
      <c r="BA507" s="105"/>
      <c r="BB507" s="105"/>
      <c r="BC507" s="105"/>
      <c r="BD507" s="105"/>
      <c r="BE507" s="105"/>
      <c r="BF507" s="105"/>
      <c r="BG507" s="105"/>
      <c r="BH507" s="105"/>
      <c r="BI507" s="105"/>
      <c r="BJ507" s="105"/>
      <c r="BK507" s="105"/>
      <c r="BL507" s="105"/>
      <c r="BM507" s="105"/>
      <c r="BN507" s="105"/>
      <c r="BO507" s="105"/>
      <c r="BP507" s="105"/>
      <c r="BQ507" s="105"/>
      <c r="BR507" s="105"/>
      <c r="BS507" s="105"/>
      <c r="BT507" s="105"/>
      <c r="BU507" s="105"/>
      <c r="BV507" s="105"/>
      <c r="BW507" s="105"/>
      <c r="BX507" s="105"/>
      <c r="BY507" s="105"/>
      <c r="BZ507" s="105"/>
      <c r="CA507" s="105"/>
      <c r="CB507" s="105"/>
      <c r="CC507" s="105"/>
      <c r="CD507" s="105"/>
      <c r="CE507" s="105"/>
      <c r="CF507" s="105"/>
      <c r="CG507" s="105"/>
      <c r="CH507" s="105"/>
      <c r="CI507" s="105"/>
      <c r="CJ507" s="105"/>
      <c r="CK507" s="105"/>
      <c r="CL507" s="105"/>
      <c r="CM507" s="105"/>
      <c r="CN507" s="105"/>
      <c r="CO507" s="105"/>
      <c r="CP507" s="105"/>
      <c r="CQ507" s="105"/>
      <c r="CR507" s="105"/>
      <c r="CS507" s="105"/>
      <c r="CT507" s="105"/>
      <c r="CU507" s="105"/>
      <c r="CV507" s="105"/>
      <c r="CW507" s="105"/>
      <c r="CX507" s="105"/>
      <c r="CY507" s="105"/>
      <c r="CZ507" s="105"/>
      <c r="DA507" s="105"/>
    </row>
    <row r="508">
      <c r="B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c r="AA508" s="105"/>
      <c r="AB508" s="105"/>
      <c r="AC508" s="105"/>
      <c r="AD508" s="105"/>
      <c r="AE508" s="105"/>
      <c r="AF508" s="105"/>
      <c r="AG508" s="105"/>
      <c r="AH508" s="105"/>
      <c r="AI508" s="105"/>
      <c r="AJ508" s="105"/>
      <c r="AK508" s="105"/>
      <c r="AL508" s="105"/>
      <c r="AM508" s="105"/>
      <c r="AN508" s="105"/>
      <c r="AO508" s="105"/>
      <c r="AP508" s="105"/>
      <c r="AQ508" s="105"/>
      <c r="AR508" s="105"/>
      <c r="AS508" s="105"/>
      <c r="AT508" s="105"/>
      <c r="AU508" s="105"/>
      <c r="AV508" s="105"/>
      <c r="AW508" s="105"/>
      <c r="AX508" s="105"/>
      <c r="AY508" s="105"/>
      <c r="AZ508" s="105"/>
      <c r="BA508" s="105"/>
      <c r="BB508" s="105"/>
      <c r="BC508" s="105"/>
      <c r="BD508" s="105"/>
      <c r="BE508" s="105"/>
      <c r="BF508" s="105"/>
      <c r="BG508" s="105"/>
      <c r="BH508" s="105"/>
      <c r="BI508" s="105"/>
      <c r="BJ508" s="105"/>
      <c r="BK508" s="105"/>
      <c r="BL508" s="105"/>
      <c r="BM508" s="105"/>
      <c r="BN508" s="105"/>
      <c r="BO508" s="105"/>
      <c r="BP508" s="105"/>
      <c r="BQ508" s="105"/>
      <c r="BR508" s="105"/>
      <c r="BS508" s="105"/>
      <c r="BT508" s="105"/>
      <c r="BU508" s="105"/>
      <c r="BV508" s="105"/>
      <c r="BW508" s="105"/>
      <c r="BX508" s="105"/>
      <c r="BY508" s="105"/>
      <c r="BZ508" s="105"/>
      <c r="CA508" s="105"/>
      <c r="CB508" s="105"/>
      <c r="CC508" s="105"/>
      <c r="CD508" s="105"/>
      <c r="CE508" s="105"/>
      <c r="CF508" s="105"/>
      <c r="CG508" s="105"/>
      <c r="CH508" s="105"/>
      <c r="CI508" s="105"/>
      <c r="CJ508" s="105"/>
      <c r="CK508" s="105"/>
      <c r="CL508" s="105"/>
      <c r="CM508" s="105"/>
      <c r="CN508" s="105"/>
      <c r="CO508" s="105"/>
      <c r="CP508" s="105"/>
      <c r="CQ508" s="105"/>
      <c r="CR508" s="105"/>
      <c r="CS508" s="105"/>
      <c r="CT508" s="105"/>
      <c r="CU508" s="105"/>
      <c r="CV508" s="105"/>
      <c r="CW508" s="105"/>
      <c r="CX508" s="105"/>
      <c r="CY508" s="105"/>
      <c r="CZ508" s="105"/>
      <c r="DA508" s="105"/>
    </row>
    <row r="509">
      <c r="B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c r="AA509" s="105"/>
      <c r="AB509" s="105"/>
      <c r="AC509" s="105"/>
      <c r="AD509" s="105"/>
      <c r="AE509" s="105"/>
      <c r="AF509" s="105"/>
      <c r="AG509" s="105"/>
      <c r="AH509" s="105"/>
      <c r="AI509" s="105"/>
      <c r="AJ509" s="105"/>
      <c r="AK509" s="105"/>
      <c r="AL509" s="105"/>
      <c r="AM509" s="105"/>
      <c r="AN509" s="105"/>
      <c r="AO509" s="105"/>
      <c r="AP509" s="105"/>
      <c r="AQ509" s="105"/>
      <c r="AR509" s="105"/>
      <c r="AS509" s="105"/>
      <c r="AT509" s="105"/>
      <c r="AU509" s="105"/>
      <c r="AV509" s="105"/>
      <c r="AW509" s="105"/>
      <c r="AX509" s="105"/>
      <c r="AY509" s="105"/>
      <c r="AZ509" s="105"/>
      <c r="BA509" s="105"/>
      <c r="BB509" s="105"/>
      <c r="BC509" s="105"/>
      <c r="BD509" s="105"/>
      <c r="BE509" s="105"/>
      <c r="BF509" s="105"/>
      <c r="BG509" s="105"/>
      <c r="BH509" s="105"/>
      <c r="BI509" s="105"/>
      <c r="BJ509" s="105"/>
      <c r="BK509" s="105"/>
      <c r="BL509" s="105"/>
      <c r="BM509" s="105"/>
      <c r="BN509" s="105"/>
      <c r="BO509" s="105"/>
      <c r="BP509" s="105"/>
      <c r="BQ509" s="105"/>
      <c r="BR509" s="105"/>
      <c r="BS509" s="105"/>
      <c r="BT509" s="105"/>
      <c r="BU509" s="105"/>
      <c r="BV509" s="105"/>
      <c r="BW509" s="105"/>
      <c r="BX509" s="105"/>
      <c r="BY509" s="105"/>
      <c r="BZ509" s="105"/>
      <c r="CA509" s="105"/>
      <c r="CB509" s="105"/>
      <c r="CC509" s="105"/>
      <c r="CD509" s="105"/>
      <c r="CE509" s="105"/>
      <c r="CF509" s="105"/>
      <c r="CG509" s="105"/>
      <c r="CH509" s="105"/>
      <c r="CI509" s="105"/>
      <c r="CJ509" s="105"/>
      <c r="CK509" s="105"/>
      <c r="CL509" s="105"/>
      <c r="CM509" s="105"/>
      <c r="CN509" s="105"/>
      <c r="CO509" s="105"/>
      <c r="CP509" s="105"/>
      <c r="CQ509" s="105"/>
      <c r="CR509" s="105"/>
      <c r="CS509" s="105"/>
      <c r="CT509" s="105"/>
      <c r="CU509" s="105"/>
      <c r="CV509" s="105"/>
      <c r="CW509" s="105"/>
      <c r="CX509" s="105"/>
      <c r="CY509" s="105"/>
      <c r="CZ509" s="105"/>
      <c r="DA509" s="105"/>
    </row>
    <row r="510">
      <c r="B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c r="AA510" s="105"/>
      <c r="AB510" s="105"/>
      <c r="AC510" s="105"/>
      <c r="AD510" s="105"/>
      <c r="AE510" s="105"/>
      <c r="AF510" s="105"/>
      <c r="AG510" s="105"/>
      <c r="AH510" s="105"/>
      <c r="AI510" s="105"/>
      <c r="AJ510" s="105"/>
      <c r="AK510" s="105"/>
      <c r="AL510" s="105"/>
      <c r="AM510" s="105"/>
      <c r="AN510" s="105"/>
      <c r="AO510" s="105"/>
      <c r="AP510" s="105"/>
      <c r="AQ510" s="105"/>
      <c r="AR510" s="105"/>
      <c r="AS510" s="105"/>
      <c r="AT510" s="105"/>
      <c r="AU510" s="105"/>
      <c r="AV510" s="105"/>
      <c r="AW510" s="105"/>
      <c r="AX510" s="105"/>
      <c r="AY510" s="105"/>
      <c r="AZ510" s="105"/>
      <c r="BA510" s="105"/>
      <c r="BB510" s="105"/>
      <c r="BC510" s="105"/>
      <c r="BD510" s="105"/>
      <c r="BE510" s="105"/>
      <c r="BF510" s="105"/>
      <c r="BG510" s="105"/>
      <c r="BH510" s="105"/>
      <c r="BI510" s="105"/>
      <c r="BJ510" s="105"/>
      <c r="BK510" s="105"/>
      <c r="BL510" s="105"/>
      <c r="BM510" s="105"/>
      <c r="BN510" s="105"/>
      <c r="BO510" s="105"/>
      <c r="BP510" s="105"/>
      <c r="BQ510" s="105"/>
      <c r="BR510" s="105"/>
      <c r="BS510" s="105"/>
      <c r="BT510" s="105"/>
      <c r="BU510" s="105"/>
      <c r="BV510" s="105"/>
      <c r="BW510" s="105"/>
      <c r="BX510" s="105"/>
      <c r="BY510" s="105"/>
      <c r="BZ510" s="105"/>
      <c r="CA510" s="105"/>
      <c r="CB510" s="105"/>
      <c r="CC510" s="105"/>
      <c r="CD510" s="105"/>
      <c r="CE510" s="105"/>
      <c r="CF510" s="105"/>
      <c r="CG510" s="105"/>
      <c r="CH510" s="105"/>
      <c r="CI510" s="105"/>
      <c r="CJ510" s="105"/>
      <c r="CK510" s="105"/>
      <c r="CL510" s="105"/>
      <c r="CM510" s="105"/>
      <c r="CN510" s="105"/>
      <c r="CO510" s="105"/>
      <c r="CP510" s="105"/>
      <c r="CQ510" s="105"/>
      <c r="CR510" s="105"/>
      <c r="CS510" s="105"/>
      <c r="CT510" s="105"/>
      <c r="CU510" s="105"/>
      <c r="CV510" s="105"/>
      <c r="CW510" s="105"/>
      <c r="CX510" s="105"/>
      <c r="CY510" s="105"/>
      <c r="CZ510" s="105"/>
      <c r="DA510" s="105"/>
    </row>
    <row r="511">
      <c r="B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c r="AA511" s="105"/>
      <c r="AB511" s="105"/>
      <c r="AC511" s="105"/>
      <c r="AD511" s="105"/>
      <c r="AE511" s="105"/>
      <c r="AF511" s="105"/>
      <c r="AG511" s="105"/>
      <c r="AH511" s="105"/>
      <c r="AI511" s="105"/>
      <c r="AJ511" s="105"/>
      <c r="AK511" s="105"/>
      <c r="AL511" s="105"/>
      <c r="AM511" s="105"/>
      <c r="AN511" s="105"/>
      <c r="AO511" s="105"/>
      <c r="AP511" s="105"/>
      <c r="AQ511" s="105"/>
      <c r="AR511" s="105"/>
      <c r="AS511" s="105"/>
      <c r="AT511" s="105"/>
      <c r="AU511" s="105"/>
      <c r="AV511" s="105"/>
      <c r="AW511" s="105"/>
      <c r="AX511" s="105"/>
      <c r="AY511" s="105"/>
      <c r="AZ511" s="105"/>
      <c r="BA511" s="105"/>
      <c r="BB511" s="105"/>
      <c r="BC511" s="105"/>
      <c r="BD511" s="105"/>
      <c r="BE511" s="105"/>
      <c r="BF511" s="105"/>
      <c r="BG511" s="105"/>
      <c r="BH511" s="105"/>
      <c r="BI511" s="105"/>
      <c r="BJ511" s="105"/>
      <c r="BK511" s="105"/>
      <c r="BL511" s="105"/>
      <c r="BM511" s="105"/>
      <c r="BN511" s="105"/>
      <c r="BO511" s="105"/>
      <c r="BP511" s="105"/>
      <c r="BQ511" s="105"/>
      <c r="BR511" s="105"/>
      <c r="BS511" s="105"/>
      <c r="BT511" s="105"/>
      <c r="BU511" s="105"/>
      <c r="BV511" s="105"/>
      <c r="BW511" s="105"/>
      <c r="BX511" s="105"/>
      <c r="BY511" s="105"/>
      <c r="BZ511" s="105"/>
      <c r="CA511" s="105"/>
      <c r="CB511" s="105"/>
      <c r="CC511" s="105"/>
      <c r="CD511" s="105"/>
      <c r="CE511" s="105"/>
      <c r="CF511" s="105"/>
      <c r="CG511" s="105"/>
      <c r="CH511" s="105"/>
      <c r="CI511" s="105"/>
      <c r="CJ511" s="105"/>
      <c r="CK511" s="105"/>
      <c r="CL511" s="105"/>
      <c r="CM511" s="105"/>
      <c r="CN511" s="105"/>
      <c r="CO511" s="105"/>
      <c r="CP511" s="105"/>
      <c r="CQ511" s="105"/>
      <c r="CR511" s="105"/>
      <c r="CS511" s="105"/>
      <c r="CT511" s="105"/>
      <c r="CU511" s="105"/>
      <c r="CV511" s="105"/>
      <c r="CW511" s="105"/>
      <c r="CX511" s="105"/>
      <c r="CY511" s="105"/>
      <c r="CZ511" s="105"/>
      <c r="DA511" s="105"/>
    </row>
    <row r="512">
      <c r="B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c r="AA512" s="105"/>
      <c r="AB512" s="105"/>
      <c r="AC512" s="105"/>
      <c r="AD512" s="105"/>
      <c r="AE512" s="105"/>
      <c r="AF512" s="105"/>
      <c r="AG512" s="105"/>
      <c r="AH512" s="105"/>
      <c r="AI512" s="105"/>
      <c r="AJ512" s="105"/>
      <c r="AK512" s="105"/>
      <c r="AL512" s="105"/>
      <c r="AM512" s="105"/>
      <c r="AN512" s="105"/>
      <c r="AO512" s="105"/>
      <c r="AP512" s="105"/>
      <c r="AQ512" s="105"/>
      <c r="AR512" s="105"/>
      <c r="AS512" s="105"/>
      <c r="AT512" s="105"/>
      <c r="AU512" s="105"/>
      <c r="AV512" s="105"/>
      <c r="AW512" s="105"/>
      <c r="AX512" s="105"/>
      <c r="AY512" s="105"/>
      <c r="AZ512" s="105"/>
      <c r="BA512" s="105"/>
      <c r="BB512" s="105"/>
      <c r="BC512" s="105"/>
      <c r="BD512" s="105"/>
      <c r="BE512" s="105"/>
      <c r="BF512" s="105"/>
      <c r="BG512" s="105"/>
      <c r="BH512" s="105"/>
      <c r="BI512" s="105"/>
      <c r="BJ512" s="105"/>
      <c r="BK512" s="105"/>
      <c r="BL512" s="105"/>
      <c r="BM512" s="105"/>
      <c r="BN512" s="105"/>
      <c r="BO512" s="105"/>
      <c r="BP512" s="105"/>
      <c r="BQ512" s="105"/>
      <c r="BR512" s="105"/>
      <c r="BS512" s="105"/>
      <c r="BT512" s="105"/>
      <c r="BU512" s="105"/>
      <c r="BV512" s="105"/>
      <c r="BW512" s="105"/>
      <c r="BX512" s="105"/>
      <c r="BY512" s="105"/>
      <c r="BZ512" s="105"/>
      <c r="CA512" s="105"/>
      <c r="CB512" s="105"/>
      <c r="CC512" s="105"/>
      <c r="CD512" s="105"/>
      <c r="CE512" s="105"/>
      <c r="CF512" s="105"/>
      <c r="CG512" s="105"/>
      <c r="CH512" s="105"/>
      <c r="CI512" s="105"/>
      <c r="CJ512" s="105"/>
      <c r="CK512" s="105"/>
      <c r="CL512" s="105"/>
      <c r="CM512" s="105"/>
      <c r="CN512" s="105"/>
      <c r="CO512" s="105"/>
      <c r="CP512" s="105"/>
      <c r="CQ512" s="105"/>
      <c r="CR512" s="105"/>
      <c r="CS512" s="105"/>
      <c r="CT512" s="105"/>
      <c r="CU512" s="105"/>
      <c r="CV512" s="105"/>
      <c r="CW512" s="105"/>
      <c r="CX512" s="105"/>
      <c r="CY512" s="105"/>
      <c r="CZ512" s="105"/>
      <c r="DA512" s="105"/>
    </row>
    <row r="513">
      <c r="B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c r="AA513" s="105"/>
      <c r="AB513" s="105"/>
      <c r="AC513" s="105"/>
      <c r="AD513" s="105"/>
      <c r="AE513" s="105"/>
      <c r="AF513" s="105"/>
      <c r="AG513" s="105"/>
      <c r="AH513" s="105"/>
      <c r="AI513" s="105"/>
      <c r="AJ513" s="105"/>
      <c r="AK513" s="105"/>
      <c r="AL513" s="105"/>
      <c r="AM513" s="105"/>
      <c r="AN513" s="105"/>
      <c r="AO513" s="105"/>
      <c r="AP513" s="105"/>
      <c r="AQ513" s="105"/>
      <c r="AR513" s="105"/>
      <c r="AS513" s="105"/>
      <c r="AT513" s="105"/>
      <c r="AU513" s="105"/>
      <c r="AV513" s="105"/>
      <c r="AW513" s="105"/>
      <c r="AX513" s="105"/>
      <c r="AY513" s="105"/>
      <c r="AZ513" s="105"/>
      <c r="BA513" s="105"/>
      <c r="BB513" s="105"/>
      <c r="BC513" s="105"/>
      <c r="BD513" s="105"/>
      <c r="BE513" s="105"/>
      <c r="BF513" s="105"/>
      <c r="BG513" s="105"/>
      <c r="BH513" s="105"/>
      <c r="BI513" s="105"/>
      <c r="BJ513" s="105"/>
      <c r="BK513" s="105"/>
      <c r="BL513" s="105"/>
      <c r="BM513" s="105"/>
      <c r="BN513" s="105"/>
      <c r="BO513" s="105"/>
      <c r="BP513" s="105"/>
      <c r="BQ513" s="105"/>
      <c r="BR513" s="105"/>
      <c r="BS513" s="105"/>
      <c r="BT513" s="105"/>
      <c r="BU513" s="105"/>
      <c r="BV513" s="105"/>
      <c r="BW513" s="105"/>
      <c r="BX513" s="105"/>
      <c r="BY513" s="105"/>
      <c r="BZ513" s="105"/>
      <c r="CA513" s="105"/>
      <c r="CB513" s="105"/>
      <c r="CC513" s="105"/>
      <c r="CD513" s="105"/>
      <c r="CE513" s="105"/>
      <c r="CF513" s="105"/>
      <c r="CG513" s="105"/>
      <c r="CH513" s="105"/>
      <c r="CI513" s="105"/>
      <c r="CJ513" s="105"/>
      <c r="CK513" s="105"/>
      <c r="CL513" s="105"/>
      <c r="CM513" s="105"/>
      <c r="CN513" s="105"/>
      <c r="CO513" s="105"/>
      <c r="CP513" s="105"/>
      <c r="CQ513" s="105"/>
      <c r="CR513" s="105"/>
      <c r="CS513" s="105"/>
      <c r="CT513" s="105"/>
      <c r="CU513" s="105"/>
      <c r="CV513" s="105"/>
      <c r="CW513" s="105"/>
      <c r="CX513" s="105"/>
      <c r="CY513" s="105"/>
      <c r="CZ513" s="105"/>
      <c r="DA513" s="105"/>
    </row>
    <row r="514">
      <c r="B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c r="AA514" s="105"/>
      <c r="AB514" s="105"/>
      <c r="AC514" s="105"/>
      <c r="AD514" s="105"/>
      <c r="AE514" s="105"/>
      <c r="AF514" s="105"/>
      <c r="AG514" s="105"/>
      <c r="AH514" s="105"/>
      <c r="AI514" s="105"/>
      <c r="AJ514" s="105"/>
      <c r="AK514" s="105"/>
      <c r="AL514" s="105"/>
      <c r="AM514" s="105"/>
      <c r="AN514" s="105"/>
      <c r="AO514" s="105"/>
      <c r="AP514" s="105"/>
      <c r="AQ514" s="105"/>
      <c r="AR514" s="105"/>
      <c r="AS514" s="105"/>
      <c r="AT514" s="105"/>
      <c r="AU514" s="105"/>
      <c r="AV514" s="105"/>
      <c r="AW514" s="105"/>
      <c r="AX514" s="105"/>
      <c r="AY514" s="105"/>
      <c r="AZ514" s="105"/>
      <c r="BA514" s="105"/>
      <c r="BB514" s="105"/>
      <c r="BC514" s="105"/>
      <c r="BD514" s="105"/>
      <c r="BE514" s="105"/>
      <c r="BF514" s="105"/>
      <c r="BG514" s="105"/>
      <c r="BH514" s="105"/>
      <c r="BI514" s="105"/>
      <c r="BJ514" s="105"/>
      <c r="BK514" s="105"/>
      <c r="BL514" s="105"/>
      <c r="BM514" s="105"/>
      <c r="BN514" s="105"/>
      <c r="BO514" s="105"/>
      <c r="BP514" s="105"/>
      <c r="BQ514" s="105"/>
      <c r="BR514" s="105"/>
      <c r="BS514" s="105"/>
      <c r="BT514" s="105"/>
      <c r="BU514" s="105"/>
      <c r="BV514" s="105"/>
      <c r="BW514" s="105"/>
      <c r="BX514" s="105"/>
      <c r="BY514" s="105"/>
      <c r="BZ514" s="105"/>
      <c r="CA514" s="105"/>
      <c r="CB514" s="105"/>
      <c r="CC514" s="105"/>
      <c r="CD514" s="105"/>
      <c r="CE514" s="105"/>
      <c r="CF514" s="105"/>
      <c r="CG514" s="105"/>
      <c r="CH514" s="105"/>
      <c r="CI514" s="105"/>
      <c r="CJ514" s="105"/>
      <c r="CK514" s="105"/>
      <c r="CL514" s="105"/>
      <c r="CM514" s="105"/>
      <c r="CN514" s="105"/>
      <c r="CO514" s="105"/>
      <c r="CP514" s="105"/>
      <c r="CQ514" s="105"/>
      <c r="CR514" s="105"/>
      <c r="CS514" s="105"/>
      <c r="CT514" s="105"/>
      <c r="CU514" s="105"/>
      <c r="CV514" s="105"/>
      <c r="CW514" s="105"/>
      <c r="CX514" s="105"/>
      <c r="CY514" s="105"/>
      <c r="CZ514" s="105"/>
      <c r="DA514" s="105"/>
    </row>
    <row r="515">
      <c r="B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c r="AA515" s="105"/>
      <c r="AB515" s="105"/>
      <c r="AC515" s="105"/>
      <c r="AD515" s="105"/>
      <c r="AE515" s="105"/>
      <c r="AF515" s="105"/>
      <c r="AG515" s="105"/>
      <c r="AH515" s="105"/>
      <c r="AI515" s="105"/>
      <c r="AJ515" s="105"/>
      <c r="AK515" s="105"/>
      <c r="AL515" s="105"/>
      <c r="AM515" s="105"/>
      <c r="AN515" s="105"/>
      <c r="AO515" s="105"/>
      <c r="AP515" s="105"/>
      <c r="AQ515" s="105"/>
      <c r="AR515" s="105"/>
      <c r="AS515" s="105"/>
      <c r="AT515" s="105"/>
      <c r="AU515" s="105"/>
      <c r="AV515" s="105"/>
      <c r="AW515" s="105"/>
      <c r="AX515" s="105"/>
      <c r="AY515" s="105"/>
      <c r="AZ515" s="105"/>
      <c r="BA515" s="105"/>
      <c r="BB515" s="105"/>
      <c r="BC515" s="105"/>
      <c r="BD515" s="105"/>
      <c r="BE515" s="105"/>
      <c r="BF515" s="105"/>
      <c r="BG515" s="105"/>
      <c r="BH515" s="105"/>
      <c r="BI515" s="105"/>
      <c r="BJ515" s="105"/>
      <c r="BK515" s="105"/>
      <c r="BL515" s="105"/>
      <c r="BM515" s="105"/>
      <c r="BN515" s="105"/>
      <c r="BO515" s="105"/>
      <c r="BP515" s="105"/>
      <c r="BQ515" s="105"/>
      <c r="BR515" s="105"/>
      <c r="BS515" s="105"/>
      <c r="BT515" s="105"/>
      <c r="BU515" s="105"/>
      <c r="BV515" s="105"/>
      <c r="BW515" s="105"/>
      <c r="BX515" s="105"/>
      <c r="BY515" s="105"/>
      <c r="BZ515" s="105"/>
      <c r="CA515" s="105"/>
      <c r="CB515" s="105"/>
      <c r="CC515" s="105"/>
      <c r="CD515" s="105"/>
      <c r="CE515" s="105"/>
      <c r="CF515" s="105"/>
      <c r="CG515" s="105"/>
      <c r="CH515" s="105"/>
      <c r="CI515" s="105"/>
      <c r="CJ515" s="105"/>
      <c r="CK515" s="105"/>
      <c r="CL515" s="105"/>
      <c r="CM515" s="105"/>
      <c r="CN515" s="105"/>
      <c r="CO515" s="105"/>
      <c r="CP515" s="105"/>
      <c r="CQ515" s="105"/>
      <c r="CR515" s="105"/>
      <c r="CS515" s="105"/>
      <c r="CT515" s="105"/>
      <c r="CU515" s="105"/>
      <c r="CV515" s="105"/>
      <c r="CW515" s="105"/>
      <c r="CX515" s="105"/>
      <c r="CY515" s="105"/>
      <c r="CZ515" s="105"/>
      <c r="DA515" s="105"/>
    </row>
    <row r="516">
      <c r="B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c r="AA516" s="105"/>
      <c r="AB516" s="105"/>
      <c r="AC516" s="105"/>
      <c r="AD516" s="105"/>
      <c r="AE516" s="105"/>
      <c r="AF516" s="105"/>
      <c r="AG516" s="105"/>
      <c r="AH516" s="105"/>
      <c r="AI516" s="105"/>
      <c r="AJ516" s="105"/>
      <c r="AK516" s="105"/>
      <c r="AL516" s="105"/>
      <c r="AM516" s="105"/>
      <c r="AN516" s="105"/>
      <c r="AO516" s="105"/>
      <c r="AP516" s="105"/>
      <c r="AQ516" s="105"/>
      <c r="AR516" s="105"/>
      <c r="AS516" s="105"/>
      <c r="AT516" s="105"/>
      <c r="AU516" s="105"/>
      <c r="AV516" s="105"/>
      <c r="AW516" s="105"/>
      <c r="AX516" s="105"/>
      <c r="AY516" s="105"/>
      <c r="AZ516" s="105"/>
      <c r="BA516" s="105"/>
      <c r="BB516" s="105"/>
      <c r="BC516" s="105"/>
      <c r="BD516" s="105"/>
      <c r="BE516" s="105"/>
      <c r="BF516" s="105"/>
      <c r="BG516" s="105"/>
      <c r="BH516" s="105"/>
      <c r="BI516" s="105"/>
      <c r="BJ516" s="105"/>
      <c r="BK516" s="105"/>
      <c r="BL516" s="105"/>
      <c r="BM516" s="105"/>
      <c r="BN516" s="105"/>
      <c r="BO516" s="105"/>
      <c r="BP516" s="105"/>
      <c r="BQ516" s="105"/>
      <c r="BR516" s="105"/>
      <c r="BS516" s="105"/>
      <c r="BT516" s="105"/>
      <c r="BU516" s="105"/>
      <c r="BV516" s="105"/>
      <c r="BW516" s="105"/>
      <c r="BX516" s="105"/>
      <c r="BY516" s="105"/>
      <c r="BZ516" s="105"/>
      <c r="CA516" s="105"/>
      <c r="CB516" s="105"/>
      <c r="CC516" s="105"/>
      <c r="CD516" s="105"/>
      <c r="CE516" s="105"/>
      <c r="CF516" s="105"/>
      <c r="CG516" s="105"/>
      <c r="CH516" s="105"/>
      <c r="CI516" s="105"/>
      <c r="CJ516" s="105"/>
      <c r="CK516" s="105"/>
      <c r="CL516" s="105"/>
      <c r="CM516" s="105"/>
      <c r="CN516" s="105"/>
      <c r="CO516" s="105"/>
      <c r="CP516" s="105"/>
      <c r="CQ516" s="105"/>
      <c r="CR516" s="105"/>
      <c r="CS516" s="105"/>
      <c r="CT516" s="105"/>
      <c r="CU516" s="105"/>
      <c r="CV516" s="105"/>
      <c r="CW516" s="105"/>
      <c r="CX516" s="105"/>
      <c r="CY516" s="105"/>
      <c r="CZ516" s="105"/>
      <c r="DA516" s="105"/>
    </row>
    <row r="517">
      <c r="B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c r="AA517" s="105"/>
      <c r="AB517" s="105"/>
      <c r="AC517" s="105"/>
      <c r="AD517" s="105"/>
      <c r="AE517" s="105"/>
      <c r="AF517" s="105"/>
      <c r="AG517" s="105"/>
      <c r="AH517" s="105"/>
      <c r="AI517" s="105"/>
      <c r="AJ517" s="105"/>
      <c r="AK517" s="105"/>
      <c r="AL517" s="105"/>
      <c r="AM517" s="105"/>
      <c r="AN517" s="105"/>
      <c r="AO517" s="105"/>
      <c r="AP517" s="105"/>
      <c r="AQ517" s="105"/>
      <c r="AR517" s="105"/>
      <c r="AS517" s="105"/>
      <c r="AT517" s="105"/>
      <c r="AU517" s="105"/>
      <c r="AV517" s="105"/>
      <c r="AW517" s="105"/>
      <c r="AX517" s="105"/>
      <c r="AY517" s="105"/>
      <c r="AZ517" s="105"/>
      <c r="BA517" s="105"/>
      <c r="BB517" s="105"/>
      <c r="BC517" s="105"/>
      <c r="BD517" s="105"/>
      <c r="BE517" s="105"/>
      <c r="BF517" s="105"/>
      <c r="BG517" s="105"/>
      <c r="BH517" s="105"/>
      <c r="BI517" s="105"/>
      <c r="BJ517" s="105"/>
      <c r="BK517" s="105"/>
      <c r="BL517" s="105"/>
      <c r="BM517" s="105"/>
      <c r="BN517" s="105"/>
      <c r="BO517" s="105"/>
      <c r="BP517" s="105"/>
      <c r="BQ517" s="105"/>
      <c r="BR517" s="105"/>
      <c r="BS517" s="105"/>
      <c r="BT517" s="105"/>
      <c r="BU517" s="105"/>
      <c r="BV517" s="105"/>
      <c r="BW517" s="105"/>
      <c r="BX517" s="105"/>
      <c r="BY517" s="105"/>
      <c r="BZ517" s="105"/>
      <c r="CA517" s="105"/>
      <c r="CB517" s="105"/>
      <c r="CC517" s="105"/>
      <c r="CD517" s="105"/>
      <c r="CE517" s="105"/>
      <c r="CF517" s="105"/>
      <c r="CG517" s="105"/>
      <c r="CH517" s="105"/>
      <c r="CI517" s="105"/>
      <c r="CJ517" s="105"/>
      <c r="CK517" s="105"/>
      <c r="CL517" s="105"/>
      <c r="CM517" s="105"/>
      <c r="CN517" s="105"/>
      <c r="CO517" s="105"/>
      <c r="CP517" s="105"/>
      <c r="CQ517" s="105"/>
      <c r="CR517" s="105"/>
      <c r="CS517" s="105"/>
      <c r="CT517" s="105"/>
      <c r="CU517" s="105"/>
      <c r="CV517" s="105"/>
      <c r="CW517" s="105"/>
      <c r="CX517" s="105"/>
      <c r="CY517" s="105"/>
      <c r="CZ517" s="105"/>
      <c r="DA517" s="105"/>
    </row>
    <row r="518">
      <c r="B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c r="AA518" s="105"/>
      <c r="AB518" s="105"/>
      <c r="AC518" s="105"/>
      <c r="AD518" s="105"/>
      <c r="AE518" s="105"/>
      <c r="AF518" s="105"/>
      <c r="AG518" s="105"/>
      <c r="AH518" s="105"/>
      <c r="AI518" s="105"/>
      <c r="AJ518" s="105"/>
      <c r="AK518" s="105"/>
      <c r="AL518" s="105"/>
      <c r="AM518" s="105"/>
      <c r="AN518" s="105"/>
      <c r="AO518" s="105"/>
      <c r="AP518" s="105"/>
      <c r="AQ518" s="105"/>
      <c r="AR518" s="105"/>
      <c r="AS518" s="105"/>
      <c r="AT518" s="105"/>
      <c r="AU518" s="105"/>
      <c r="AV518" s="105"/>
      <c r="AW518" s="105"/>
      <c r="AX518" s="105"/>
      <c r="AY518" s="105"/>
      <c r="AZ518" s="105"/>
      <c r="BA518" s="105"/>
      <c r="BB518" s="105"/>
      <c r="BC518" s="105"/>
      <c r="BD518" s="105"/>
      <c r="BE518" s="105"/>
      <c r="BF518" s="105"/>
      <c r="BG518" s="105"/>
      <c r="BH518" s="105"/>
      <c r="BI518" s="105"/>
      <c r="BJ518" s="105"/>
      <c r="BK518" s="105"/>
      <c r="BL518" s="105"/>
      <c r="BM518" s="105"/>
      <c r="BN518" s="105"/>
      <c r="BO518" s="105"/>
      <c r="BP518" s="105"/>
      <c r="BQ518" s="105"/>
      <c r="BR518" s="105"/>
      <c r="BS518" s="105"/>
      <c r="BT518" s="105"/>
      <c r="BU518" s="105"/>
      <c r="BV518" s="105"/>
      <c r="BW518" s="105"/>
      <c r="BX518" s="105"/>
      <c r="BY518" s="105"/>
      <c r="BZ518" s="105"/>
      <c r="CA518" s="105"/>
      <c r="CB518" s="105"/>
      <c r="CC518" s="105"/>
      <c r="CD518" s="105"/>
      <c r="CE518" s="105"/>
      <c r="CF518" s="105"/>
      <c r="CG518" s="105"/>
      <c r="CH518" s="105"/>
      <c r="CI518" s="105"/>
      <c r="CJ518" s="105"/>
      <c r="CK518" s="105"/>
      <c r="CL518" s="105"/>
      <c r="CM518" s="105"/>
      <c r="CN518" s="105"/>
      <c r="CO518" s="105"/>
      <c r="CP518" s="105"/>
      <c r="CQ518" s="105"/>
      <c r="CR518" s="105"/>
      <c r="CS518" s="105"/>
      <c r="CT518" s="105"/>
      <c r="CU518" s="105"/>
      <c r="CV518" s="105"/>
      <c r="CW518" s="105"/>
      <c r="CX518" s="105"/>
      <c r="CY518" s="105"/>
      <c r="CZ518" s="105"/>
      <c r="DA518" s="105"/>
    </row>
    <row r="519">
      <c r="B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c r="AA519" s="105"/>
      <c r="AB519" s="105"/>
      <c r="AC519" s="105"/>
      <c r="AD519" s="105"/>
      <c r="AE519" s="105"/>
      <c r="AF519" s="105"/>
      <c r="AG519" s="105"/>
      <c r="AH519" s="105"/>
      <c r="AI519" s="105"/>
      <c r="AJ519" s="105"/>
      <c r="AK519" s="105"/>
      <c r="AL519" s="105"/>
      <c r="AM519" s="105"/>
      <c r="AN519" s="105"/>
      <c r="AO519" s="105"/>
      <c r="AP519" s="105"/>
      <c r="AQ519" s="105"/>
      <c r="AR519" s="105"/>
      <c r="AS519" s="105"/>
      <c r="AT519" s="105"/>
      <c r="AU519" s="105"/>
      <c r="AV519" s="105"/>
      <c r="AW519" s="105"/>
      <c r="AX519" s="105"/>
      <c r="AY519" s="105"/>
      <c r="AZ519" s="105"/>
      <c r="BA519" s="105"/>
      <c r="BB519" s="105"/>
      <c r="BC519" s="105"/>
      <c r="BD519" s="105"/>
      <c r="BE519" s="105"/>
      <c r="BF519" s="105"/>
      <c r="BG519" s="105"/>
      <c r="BH519" s="105"/>
      <c r="BI519" s="105"/>
      <c r="BJ519" s="105"/>
      <c r="BK519" s="105"/>
      <c r="BL519" s="105"/>
      <c r="BM519" s="105"/>
      <c r="BN519" s="105"/>
      <c r="BO519" s="105"/>
      <c r="BP519" s="105"/>
      <c r="BQ519" s="105"/>
      <c r="BR519" s="105"/>
      <c r="BS519" s="105"/>
      <c r="BT519" s="105"/>
      <c r="BU519" s="105"/>
      <c r="BV519" s="105"/>
      <c r="BW519" s="105"/>
      <c r="BX519" s="105"/>
      <c r="BY519" s="105"/>
      <c r="BZ519" s="105"/>
      <c r="CA519" s="105"/>
      <c r="CB519" s="105"/>
      <c r="CC519" s="105"/>
      <c r="CD519" s="105"/>
      <c r="CE519" s="105"/>
      <c r="CF519" s="105"/>
      <c r="CG519" s="105"/>
      <c r="CH519" s="105"/>
      <c r="CI519" s="105"/>
      <c r="CJ519" s="105"/>
      <c r="CK519" s="105"/>
      <c r="CL519" s="105"/>
      <c r="CM519" s="105"/>
      <c r="CN519" s="105"/>
      <c r="CO519" s="105"/>
      <c r="CP519" s="105"/>
      <c r="CQ519" s="105"/>
      <c r="CR519" s="105"/>
      <c r="CS519" s="105"/>
      <c r="CT519" s="105"/>
      <c r="CU519" s="105"/>
      <c r="CV519" s="105"/>
      <c r="CW519" s="105"/>
      <c r="CX519" s="105"/>
      <c r="CY519" s="105"/>
      <c r="CZ519" s="105"/>
      <c r="DA519" s="105"/>
    </row>
    <row r="520">
      <c r="B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c r="AA520" s="105"/>
      <c r="AB520" s="105"/>
      <c r="AC520" s="105"/>
      <c r="AD520" s="105"/>
      <c r="AE520" s="105"/>
      <c r="AF520" s="105"/>
      <c r="AG520" s="105"/>
      <c r="AH520" s="105"/>
      <c r="AI520" s="105"/>
      <c r="AJ520" s="105"/>
      <c r="AK520" s="105"/>
      <c r="AL520" s="105"/>
      <c r="AM520" s="105"/>
      <c r="AN520" s="105"/>
      <c r="AO520" s="105"/>
      <c r="AP520" s="105"/>
      <c r="AQ520" s="105"/>
      <c r="AR520" s="105"/>
      <c r="AS520" s="105"/>
      <c r="AT520" s="105"/>
      <c r="AU520" s="105"/>
      <c r="AV520" s="105"/>
      <c r="AW520" s="105"/>
      <c r="AX520" s="105"/>
      <c r="AY520" s="105"/>
      <c r="AZ520" s="105"/>
      <c r="BA520" s="105"/>
      <c r="BB520" s="105"/>
      <c r="BC520" s="105"/>
      <c r="BD520" s="105"/>
      <c r="BE520" s="105"/>
      <c r="BF520" s="105"/>
      <c r="BG520" s="105"/>
      <c r="BH520" s="105"/>
      <c r="BI520" s="105"/>
      <c r="BJ520" s="105"/>
      <c r="BK520" s="105"/>
      <c r="BL520" s="105"/>
      <c r="BM520" s="105"/>
      <c r="BN520" s="105"/>
      <c r="BO520" s="105"/>
      <c r="BP520" s="105"/>
      <c r="BQ520" s="105"/>
      <c r="BR520" s="105"/>
      <c r="BS520" s="105"/>
      <c r="BT520" s="105"/>
      <c r="BU520" s="105"/>
      <c r="BV520" s="105"/>
      <c r="BW520" s="105"/>
      <c r="BX520" s="105"/>
      <c r="BY520" s="105"/>
      <c r="BZ520" s="105"/>
      <c r="CA520" s="105"/>
      <c r="CB520" s="105"/>
      <c r="CC520" s="105"/>
      <c r="CD520" s="105"/>
      <c r="CE520" s="105"/>
      <c r="CF520" s="105"/>
      <c r="CG520" s="105"/>
      <c r="CH520" s="105"/>
      <c r="CI520" s="105"/>
      <c r="CJ520" s="105"/>
      <c r="CK520" s="105"/>
      <c r="CL520" s="105"/>
      <c r="CM520" s="105"/>
      <c r="CN520" s="105"/>
      <c r="CO520" s="105"/>
      <c r="CP520" s="105"/>
      <c r="CQ520" s="105"/>
      <c r="CR520" s="105"/>
      <c r="CS520" s="105"/>
      <c r="CT520" s="105"/>
      <c r="CU520" s="105"/>
      <c r="CV520" s="105"/>
      <c r="CW520" s="105"/>
      <c r="CX520" s="105"/>
      <c r="CY520" s="105"/>
      <c r="CZ520" s="105"/>
      <c r="DA520" s="105"/>
    </row>
    <row r="521">
      <c r="B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c r="AA521" s="105"/>
      <c r="AB521" s="105"/>
      <c r="AC521" s="105"/>
      <c r="AD521" s="105"/>
      <c r="AE521" s="105"/>
      <c r="AF521" s="105"/>
      <c r="AG521" s="105"/>
      <c r="AH521" s="105"/>
      <c r="AI521" s="105"/>
      <c r="AJ521" s="105"/>
      <c r="AK521" s="105"/>
      <c r="AL521" s="105"/>
      <c r="AM521" s="105"/>
      <c r="AN521" s="105"/>
      <c r="AO521" s="105"/>
      <c r="AP521" s="105"/>
      <c r="AQ521" s="105"/>
      <c r="AR521" s="105"/>
      <c r="AS521" s="105"/>
      <c r="AT521" s="105"/>
      <c r="AU521" s="105"/>
      <c r="AV521" s="105"/>
      <c r="AW521" s="105"/>
      <c r="AX521" s="105"/>
      <c r="AY521" s="105"/>
      <c r="AZ521" s="105"/>
      <c r="BA521" s="105"/>
      <c r="BB521" s="105"/>
      <c r="BC521" s="105"/>
      <c r="BD521" s="105"/>
      <c r="BE521" s="105"/>
      <c r="BF521" s="105"/>
      <c r="BG521" s="105"/>
      <c r="BH521" s="105"/>
      <c r="BI521" s="105"/>
      <c r="BJ521" s="105"/>
      <c r="BK521" s="105"/>
      <c r="BL521" s="105"/>
      <c r="BM521" s="105"/>
      <c r="BN521" s="105"/>
      <c r="BO521" s="105"/>
      <c r="BP521" s="105"/>
      <c r="BQ521" s="105"/>
      <c r="BR521" s="105"/>
      <c r="BS521" s="105"/>
      <c r="BT521" s="105"/>
      <c r="BU521" s="105"/>
      <c r="BV521" s="105"/>
      <c r="BW521" s="105"/>
      <c r="BX521" s="105"/>
      <c r="BY521" s="105"/>
      <c r="BZ521" s="105"/>
      <c r="CA521" s="105"/>
      <c r="CB521" s="105"/>
      <c r="CC521" s="105"/>
      <c r="CD521" s="105"/>
      <c r="CE521" s="105"/>
      <c r="CF521" s="105"/>
      <c r="CG521" s="105"/>
      <c r="CH521" s="105"/>
      <c r="CI521" s="105"/>
      <c r="CJ521" s="105"/>
      <c r="CK521" s="105"/>
      <c r="CL521" s="105"/>
      <c r="CM521" s="105"/>
      <c r="CN521" s="105"/>
      <c r="CO521" s="105"/>
      <c r="CP521" s="105"/>
      <c r="CQ521" s="105"/>
      <c r="CR521" s="105"/>
      <c r="CS521" s="105"/>
      <c r="CT521" s="105"/>
      <c r="CU521" s="105"/>
      <c r="CV521" s="105"/>
      <c r="CW521" s="105"/>
      <c r="CX521" s="105"/>
      <c r="CY521" s="105"/>
      <c r="CZ521" s="105"/>
      <c r="DA521" s="105"/>
    </row>
    <row r="522">
      <c r="B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c r="AA522" s="105"/>
      <c r="AB522" s="105"/>
      <c r="AC522" s="105"/>
      <c r="AD522" s="105"/>
      <c r="AE522" s="105"/>
      <c r="AF522" s="105"/>
      <c r="AG522" s="105"/>
      <c r="AH522" s="105"/>
      <c r="AI522" s="105"/>
      <c r="AJ522" s="105"/>
      <c r="AK522" s="105"/>
      <c r="AL522" s="105"/>
      <c r="AM522" s="105"/>
      <c r="AN522" s="105"/>
      <c r="AO522" s="105"/>
      <c r="AP522" s="105"/>
      <c r="AQ522" s="105"/>
      <c r="AR522" s="105"/>
      <c r="AS522" s="105"/>
      <c r="AT522" s="105"/>
      <c r="AU522" s="105"/>
      <c r="AV522" s="105"/>
      <c r="AW522" s="105"/>
      <c r="AX522" s="105"/>
      <c r="AY522" s="105"/>
      <c r="AZ522" s="105"/>
      <c r="BA522" s="105"/>
      <c r="BB522" s="105"/>
      <c r="BC522" s="105"/>
      <c r="BD522" s="105"/>
      <c r="BE522" s="105"/>
      <c r="BF522" s="105"/>
      <c r="BG522" s="105"/>
      <c r="BH522" s="105"/>
      <c r="BI522" s="105"/>
      <c r="BJ522" s="105"/>
      <c r="BK522" s="105"/>
      <c r="BL522" s="105"/>
      <c r="BM522" s="105"/>
      <c r="BN522" s="105"/>
      <c r="BO522" s="105"/>
      <c r="BP522" s="105"/>
      <c r="BQ522" s="105"/>
      <c r="BR522" s="105"/>
      <c r="BS522" s="105"/>
      <c r="BT522" s="105"/>
      <c r="BU522" s="105"/>
      <c r="BV522" s="105"/>
      <c r="BW522" s="105"/>
      <c r="BX522" s="105"/>
      <c r="BY522" s="105"/>
      <c r="BZ522" s="105"/>
      <c r="CA522" s="105"/>
      <c r="CB522" s="105"/>
      <c r="CC522" s="105"/>
      <c r="CD522" s="105"/>
      <c r="CE522" s="105"/>
      <c r="CF522" s="105"/>
      <c r="CG522" s="105"/>
      <c r="CH522" s="105"/>
      <c r="CI522" s="105"/>
      <c r="CJ522" s="105"/>
      <c r="CK522" s="105"/>
      <c r="CL522" s="105"/>
      <c r="CM522" s="105"/>
      <c r="CN522" s="105"/>
      <c r="CO522" s="105"/>
      <c r="CP522" s="105"/>
      <c r="CQ522" s="105"/>
      <c r="CR522" s="105"/>
      <c r="CS522" s="105"/>
      <c r="CT522" s="105"/>
      <c r="CU522" s="105"/>
      <c r="CV522" s="105"/>
      <c r="CW522" s="105"/>
      <c r="CX522" s="105"/>
      <c r="CY522" s="105"/>
      <c r="CZ522" s="105"/>
      <c r="DA522" s="105"/>
    </row>
    <row r="523">
      <c r="B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c r="AA523" s="105"/>
      <c r="AB523" s="105"/>
      <c r="AC523" s="105"/>
      <c r="AD523" s="105"/>
      <c r="AE523" s="105"/>
      <c r="AF523" s="105"/>
      <c r="AG523" s="105"/>
      <c r="AH523" s="105"/>
      <c r="AI523" s="105"/>
      <c r="AJ523" s="105"/>
      <c r="AK523" s="105"/>
      <c r="AL523" s="105"/>
      <c r="AM523" s="105"/>
      <c r="AN523" s="105"/>
      <c r="AO523" s="105"/>
      <c r="AP523" s="105"/>
      <c r="AQ523" s="105"/>
      <c r="AR523" s="105"/>
      <c r="AS523" s="105"/>
      <c r="AT523" s="105"/>
      <c r="AU523" s="105"/>
      <c r="AV523" s="105"/>
      <c r="AW523" s="105"/>
      <c r="AX523" s="105"/>
      <c r="AY523" s="105"/>
      <c r="AZ523" s="105"/>
      <c r="BA523" s="105"/>
      <c r="BB523" s="105"/>
      <c r="BC523" s="105"/>
      <c r="BD523" s="105"/>
      <c r="BE523" s="105"/>
      <c r="BF523" s="105"/>
      <c r="BG523" s="105"/>
      <c r="BH523" s="105"/>
      <c r="BI523" s="105"/>
      <c r="BJ523" s="105"/>
      <c r="BK523" s="105"/>
      <c r="BL523" s="105"/>
      <c r="BM523" s="105"/>
      <c r="BN523" s="105"/>
      <c r="BO523" s="105"/>
      <c r="BP523" s="105"/>
      <c r="BQ523" s="105"/>
      <c r="BR523" s="105"/>
      <c r="BS523" s="105"/>
      <c r="BT523" s="105"/>
      <c r="BU523" s="105"/>
      <c r="BV523" s="105"/>
      <c r="BW523" s="105"/>
      <c r="BX523" s="105"/>
      <c r="BY523" s="105"/>
      <c r="BZ523" s="105"/>
      <c r="CA523" s="105"/>
      <c r="CB523" s="105"/>
      <c r="CC523" s="105"/>
      <c r="CD523" s="105"/>
      <c r="CE523" s="105"/>
      <c r="CF523" s="105"/>
      <c r="CG523" s="105"/>
      <c r="CH523" s="105"/>
      <c r="CI523" s="105"/>
      <c r="CJ523" s="105"/>
      <c r="CK523" s="105"/>
      <c r="CL523" s="105"/>
      <c r="CM523" s="105"/>
      <c r="CN523" s="105"/>
      <c r="CO523" s="105"/>
      <c r="CP523" s="105"/>
      <c r="CQ523" s="105"/>
      <c r="CR523" s="105"/>
      <c r="CS523" s="105"/>
      <c r="CT523" s="105"/>
      <c r="CU523" s="105"/>
      <c r="CV523" s="105"/>
      <c r="CW523" s="105"/>
      <c r="CX523" s="105"/>
      <c r="CY523" s="105"/>
      <c r="CZ523" s="105"/>
      <c r="DA523" s="105"/>
    </row>
    <row r="524">
      <c r="B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c r="AA524" s="105"/>
      <c r="AB524" s="105"/>
      <c r="AC524" s="105"/>
      <c r="AD524" s="105"/>
      <c r="AE524" s="105"/>
      <c r="AF524" s="105"/>
      <c r="AG524" s="105"/>
      <c r="AH524" s="105"/>
      <c r="AI524" s="105"/>
      <c r="AJ524" s="105"/>
      <c r="AK524" s="105"/>
      <c r="AL524" s="105"/>
      <c r="AM524" s="105"/>
      <c r="AN524" s="105"/>
      <c r="AO524" s="105"/>
      <c r="AP524" s="105"/>
      <c r="AQ524" s="105"/>
      <c r="AR524" s="105"/>
      <c r="AS524" s="105"/>
      <c r="AT524" s="105"/>
      <c r="AU524" s="105"/>
      <c r="AV524" s="105"/>
      <c r="AW524" s="105"/>
      <c r="AX524" s="105"/>
      <c r="AY524" s="105"/>
      <c r="AZ524" s="105"/>
      <c r="BA524" s="105"/>
      <c r="BB524" s="105"/>
      <c r="BC524" s="105"/>
      <c r="BD524" s="105"/>
      <c r="BE524" s="105"/>
      <c r="BF524" s="105"/>
      <c r="BG524" s="105"/>
      <c r="BH524" s="105"/>
      <c r="BI524" s="105"/>
      <c r="BJ524" s="105"/>
      <c r="BK524" s="105"/>
      <c r="BL524" s="105"/>
      <c r="BM524" s="105"/>
      <c r="BN524" s="105"/>
      <c r="BO524" s="105"/>
      <c r="BP524" s="105"/>
      <c r="BQ524" s="105"/>
      <c r="BR524" s="105"/>
      <c r="BS524" s="105"/>
      <c r="BT524" s="105"/>
      <c r="BU524" s="105"/>
      <c r="BV524" s="105"/>
      <c r="BW524" s="105"/>
      <c r="BX524" s="105"/>
      <c r="BY524" s="105"/>
      <c r="BZ524" s="105"/>
      <c r="CA524" s="105"/>
      <c r="CB524" s="105"/>
      <c r="CC524" s="105"/>
      <c r="CD524" s="105"/>
      <c r="CE524" s="105"/>
      <c r="CF524" s="105"/>
      <c r="CG524" s="105"/>
      <c r="CH524" s="105"/>
      <c r="CI524" s="105"/>
      <c r="CJ524" s="105"/>
      <c r="CK524" s="105"/>
      <c r="CL524" s="105"/>
      <c r="CM524" s="105"/>
      <c r="CN524" s="105"/>
      <c r="CO524" s="105"/>
      <c r="CP524" s="105"/>
      <c r="CQ524" s="105"/>
      <c r="CR524" s="105"/>
      <c r="CS524" s="105"/>
      <c r="CT524" s="105"/>
      <c r="CU524" s="105"/>
      <c r="CV524" s="105"/>
      <c r="CW524" s="105"/>
      <c r="CX524" s="105"/>
      <c r="CY524" s="105"/>
      <c r="CZ524" s="105"/>
      <c r="DA524" s="105"/>
    </row>
    <row r="525">
      <c r="B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c r="AA525" s="105"/>
      <c r="AB525" s="105"/>
      <c r="AC525" s="105"/>
      <c r="AD525" s="105"/>
      <c r="AE525" s="105"/>
      <c r="AF525" s="105"/>
      <c r="AG525" s="105"/>
      <c r="AH525" s="105"/>
      <c r="AI525" s="105"/>
      <c r="AJ525" s="105"/>
      <c r="AK525" s="105"/>
      <c r="AL525" s="105"/>
      <c r="AM525" s="105"/>
      <c r="AN525" s="105"/>
      <c r="AO525" s="105"/>
      <c r="AP525" s="105"/>
      <c r="AQ525" s="105"/>
      <c r="AR525" s="105"/>
      <c r="AS525" s="105"/>
      <c r="AT525" s="105"/>
      <c r="AU525" s="105"/>
      <c r="AV525" s="105"/>
      <c r="AW525" s="105"/>
      <c r="AX525" s="105"/>
      <c r="AY525" s="105"/>
      <c r="AZ525" s="105"/>
      <c r="BA525" s="105"/>
      <c r="BB525" s="105"/>
      <c r="BC525" s="105"/>
      <c r="BD525" s="105"/>
      <c r="BE525" s="105"/>
      <c r="BF525" s="105"/>
      <c r="BG525" s="105"/>
      <c r="BH525" s="105"/>
      <c r="BI525" s="105"/>
      <c r="BJ525" s="105"/>
      <c r="BK525" s="105"/>
      <c r="BL525" s="105"/>
      <c r="BM525" s="105"/>
      <c r="BN525" s="105"/>
      <c r="BO525" s="105"/>
      <c r="BP525" s="105"/>
      <c r="BQ525" s="105"/>
      <c r="BR525" s="105"/>
      <c r="BS525" s="105"/>
      <c r="BT525" s="105"/>
      <c r="BU525" s="105"/>
      <c r="BV525" s="105"/>
      <c r="BW525" s="105"/>
      <c r="BX525" s="105"/>
      <c r="BY525" s="105"/>
      <c r="BZ525" s="105"/>
      <c r="CA525" s="105"/>
      <c r="CB525" s="105"/>
      <c r="CC525" s="105"/>
      <c r="CD525" s="105"/>
      <c r="CE525" s="105"/>
      <c r="CF525" s="105"/>
      <c r="CG525" s="105"/>
      <c r="CH525" s="105"/>
      <c r="CI525" s="105"/>
      <c r="CJ525" s="105"/>
      <c r="CK525" s="105"/>
      <c r="CL525" s="105"/>
      <c r="CM525" s="105"/>
      <c r="CN525" s="105"/>
      <c r="CO525" s="105"/>
      <c r="CP525" s="105"/>
      <c r="CQ525" s="105"/>
      <c r="CR525" s="105"/>
      <c r="CS525" s="105"/>
      <c r="CT525" s="105"/>
      <c r="CU525" s="105"/>
      <c r="CV525" s="105"/>
      <c r="CW525" s="105"/>
      <c r="CX525" s="105"/>
      <c r="CY525" s="105"/>
      <c r="CZ525" s="105"/>
      <c r="DA525" s="105"/>
    </row>
    <row r="526">
      <c r="B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c r="AA526" s="105"/>
      <c r="AB526" s="105"/>
      <c r="AC526" s="105"/>
      <c r="AD526" s="105"/>
      <c r="AE526" s="105"/>
      <c r="AF526" s="105"/>
      <c r="AG526" s="105"/>
      <c r="AH526" s="105"/>
      <c r="AI526" s="105"/>
      <c r="AJ526" s="105"/>
      <c r="AK526" s="105"/>
      <c r="AL526" s="105"/>
      <c r="AM526" s="105"/>
      <c r="AN526" s="105"/>
      <c r="AO526" s="105"/>
      <c r="AP526" s="105"/>
      <c r="AQ526" s="105"/>
      <c r="AR526" s="105"/>
      <c r="AS526" s="105"/>
      <c r="AT526" s="105"/>
      <c r="AU526" s="105"/>
      <c r="AV526" s="105"/>
      <c r="AW526" s="105"/>
      <c r="AX526" s="105"/>
      <c r="AY526" s="105"/>
      <c r="AZ526" s="105"/>
      <c r="BA526" s="105"/>
      <c r="BB526" s="105"/>
      <c r="BC526" s="105"/>
      <c r="BD526" s="105"/>
      <c r="BE526" s="105"/>
      <c r="BF526" s="105"/>
      <c r="BG526" s="105"/>
      <c r="BH526" s="105"/>
      <c r="BI526" s="105"/>
      <c r="BJ526" s="105"/>
      <c r="BK526" s="105"/>
      <c r="BL526" s="105"/>
      <c r="BM526" s="105"/>
      <c r="BN526" s="105"/>
      <c r="BO526" s="105"/>
      <c r="BP526" s="105"/>
      <c r="BQ526" s="105"/>
      <c r="BR526" s="105"/>
      <c r="BS526" s="105"/>
      <c r="BT526" s="105"/>
      <c r="BU526" s="105"/>
      <c r="BV526" s="105"/>
      <c r="BW526" s="105"/>
      <c r="BX526" s="105"/>
      <c r="BY526" s="105"/>
      <c r="BZ526" s="105"/>
      <c r="CA526" s="105"/>
      <c r="CB526" s="105"/>
      <c r="CC526" s="105"/>
      <c r="CD526" s="105"/>
      <c r="CE526" s="105"/>
      <c r="CF526" s="105"/>
      <c r="CG526" s="105"/>
      <c r="CH526" s="105"/>
      <c r="CI526" s="105"/>
      <c r="CJ526" s="105"/>
      <c r="CK526" s="105"/>
      <c r="CL526" s="105"/>
      <c r="CM526" s="105"/>
      <c r="CN526" s="105"/>
      <c r="CO526" s="105"/>
      <c r="CP526" s="105"/>
      <c r="CQ526" s="105"/>
      <c r="CR526" s="105"/>
      <c r="CS526" s="105"/>
      <c r="CT526" s="105"/>
      <c r="CU526" s="105"/>
      <c r="CV526" s="105"/>
      <c r="CW526" s="105"/>
      <c r="CX526" s="105"/>
      <c r="CY526" s="105"/>
      <c r="CZ526" s="105"/>
      <c r="DA526" s="105"/>
    </row>
    <row r="527">
      <c r="B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c r="AA527" s="105"/>
      <c r="AB527" s="105"/>
      <c r="AC527" s="105"/>
      <c r="AD527" s="105"/>
      <c r="AE527" s="105"/>
      <c r="AF527" s="105"/>
      <c r="AG527" s="105"/>
      <c r="AH527" s="105"/>
      <c r="AI527" s="105"/>
      <c r="AJ527" s="105"/>
      <c r="AK527" s="105"/>
      <c r="AL527" s="105"/>
      <c r="AM527" s="105"/>
      <c r="AN527" s="105"/>
      <c r="AO527" s="105"/>
      <c r="AP527" s="105"/>
      <c r="AQ527" s="105"/>
      <c r="AR527" s="105"/>
      <c r="AS527" s="105"/>
      <c r="AT527" s="105"/>
      <c r="AU527" s="105"/>
      <c r="AV527" s="105"/>
      <c r="AW527" s="105"/>
      <c r="AX527" s="105"/>
      <c r="AY527" s="105"/>
      <c r="AZ527" s="105"/>
      <c r="BA527" s="105"/>
      <c r="BB527" s="105"/>
      <c r="BC527" s="105"/>
      <c r="BD527" s="105"/>
      <c r="BE527" s="105"/>
      <c r="BF527" s="105"/>
      <c r="BG527" s="105"/>
      <c r="BH527" s="105"/>
      <c r="BI527" s="105"/>
      <c r="BJ527" s="105"/>
      <c r="BK527" s="105"/>
      <c r="BL527" s="105"/>
      <c r="BM527" s="105"/>
      <c r="BN527" s="105"/>
      <c r="BO527" s="105"/>
      <c r="BP527" s="105"/>
      <c r="BQ527" s="105"/>
      <c r="BR527" s="105"/>
      <c r="BS527" s="105"/>
      <c r="BT527" s="105"/>
      <c r="BU527" s="105"/>
      <c r="BV527" s="105"/>
      <c r="BW527" s="105"/>
      <c r="BX527" s="105"/>
      <c r="BY527" s="105"/>
      <c r="BZ527" s="105"/>
      <c r="CA527" s="105"/>
      <c r="CB527" s="105"/>
      <c r="CC527" s="105"/>
      <c r="CD527" s="105"/>
      <c r="CE527" s="105"/>
      <c r="CF527" s="105"/>
      <c r="CG527" s="105"/>
      <c r="CH527" s="105"/>
      <c r="CI527" s="105"/>
      <c r="CJ527" s="105"/>
      <c r="CK527" s="105"/>
      <c r="CL527" s="105"/>
      <c r="CM527" s="105"/>
      <c r="CN527" s="105"/>
      <c r="CO527" s="105"/>
      <c r="CP527" s="105"/>
      <c r="CQ527" s="105"/>
      <c r="CR527" s="105"/>
      <c r="CS527" s="105"/>
      <c r="CT527" s="105"/>
      <c r="CU527" s="105"/>
      <c r="CV527" s="105"/>
      <c r="CW527" s="105"/>
      <c r="CX527" s="105"/>
      <c r="CY527" s="105"/>
      <c r="CZ527" s="105"/>
      <c r="DA527" s="105"/>
    </row>
    <row r="528">
      <c r="B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c r="AA528" s="105"/>
      <c r="AB528" s="105"/>
      <c r="AC528" s="105"/>
      <c r="AD528" s="105"/>
      <c r="AE528" s="105"/>
      <c r="AF528" s="105"/>
      <c r="AG528" s="105"/>
      <c r="AH528" s="105"/>
      <c r="AI528" s="105"/>
      <c r="AJ528" s="105"/>
      <c r="AK528" s="105"/>
      <c r="AL528" s="105"/>
      <c r="AM528" s="105"/>
      <c r="AN528" s="105"/>
      <c r="AO528" s="105"/>
      <c r="AP528" s="105"/>
      <c r="AQ528" s="105"/>
      <c r="AR528" s="105"/>
      <c r="AS528" s="105"/>
      <c r="AT528" s="105"/>
      <c r="AU528" s="105"/>
      <c r="AV528" s="105"/>
      <c r="AW528" s="105"/>
      <c r="AX528" s="105"/>
      <c r="AY528" s="105"/>
      <c r="AZ528" s="105"/>
      <c r="BA528" s="105"/>
      <c r="BB528" s="105"/>
      <c r="BC528" s="105"/>
      <c r="BD528" s="105"/>
      <c r="BE528" s="105"/>
      <c r="BF528" s="105"/>
      <c r="BG528" s="105"/>
      <c r="BH528" s="105"/>
      <c r="BI528" s="105"/>
      <c r="BJ528" s="105"/>
      <c r="BK528" s="105"/>
      <c r="BL528" s="105"/>
      <c r="BM528" s="105"/>
      <c r="BN528" s="105"/>
      <c r="BO528" s="105"/>
      <c r="BP528" s="105"/>
      <c r="BQ528" s="105"/>
      <c r="BR528" s="105"/>
      <c r="BS528" s="105"/>
      <c r="BT528" s="105"/>
      <c r="BU528" s="105"/>
      <c r="BV528" s="105"/>
      <c r="BW528" s="105"/>
      <c r="BX528" s="105"/>
      <c r="BY528" s="105"/>
      <c r="BZ528" s="105"/>
      <c r="CA528" s="105"/>
      <c r="CB528" s="105"/>
      <c r="CC528" s="105"/>
      <c r="CD528" s="105"/>
      <c r="CE528" s="105"/>
      <c r="CF528" s="105"/>
      <c r="CG528" s="105"/>
      <c r="CH528" s="105"/>
      <c r="CI528" s="105"/>
      <c r="CJ528" s="105"/>
      <c r="CK528" s="105"/>
      <c r="CL528" s="105"/>
      <c r="CM528" s="105"/>
      <c r="CN528" s="105"/>
      <c r="CO528" s="105"/>
      <c r="CP528" s="105"/>
      <c r="CQ528" s="105"/>
      <c r="CR528" s="105"/>
      <c r="CS528" s="105"/>
      <c r="CT528" s="105"/>
      <c r="CU528" s="105"/>
      <c r="CV528" s="105"/>
      <c r="CW528" s="105"/>
      <c r="CX528" s="105"/>
      <c r="CY528" s="105"/>
      <c r="CZ528" s="105"/>
      <c r="DA528" s="105"/>
    </row>
    <row r="529">
      <c r="B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c r="AA529" s="105"/>
      <c r="AB529" s="105"/>
      <c r="AC529" s="105"/>
      <c r="AD529" s="105"/>
      <c r="AE529" s="105"/>
      <c r="AF529" s="105"/>
      <c r="AG529" s="105"/>
      <c r="AH529" s="105"/>
      <c r="AI529" s="105"/>
      <c r="AJ529" s="105"/>
      <c r="AK529" s="105"/>
      <c r="AL529" s="105"/>
      <c r="AM529" s="105"/>
      <c r="AN529" s="105"/>
      <c r="AO529" s="105"/>
      <c r="AP529" s="105"/>
      <c r="AQ529" s="105"/>
      <c r="AR529" s="105"/>
      <c r="AS529" s="105"/>
      <c r="AT529" s="105"/>
      <c r="AU529" s="105"/>
      <c r="AV529" s="105"/>
      <c r="AW529" s="105"/>
      <c r="AX529" s="105"/>
      <c r="AY529" s="105"/>
      <c r="AZ529" s="105"/>
      <c r="BA529" s="105"/>
      <c r="BB529" s="105"/>
      <c r="BC529" s="105"/>
      <c r="BD529" s="105"/>
      <c r="BE529" s="105"/>
      <c r="BF529" s="105"/>
      <c r="BG529" s="105"/>
      <c r="BH529" s="105"/>
      <c r="BI529" s="105"/>
      <c r="BJ529" s="105"/>
      <c r="BK529" s="105"/>
      <c r="BL529" s="105"/>
      <c r="BM529" s="105"/>
      <c r="BN529" s="105"/>
      <c r="BO529" s="105"/>
      <c r="BP529" s="105"/>
      <c r="BQ529" s="105"/>
      <c r="BR529" s="105"/>
      <c r="BS529" s="105"/>
      <c r="BT529" s="105"/>
      <c r="BU529" s="105"/>
      <c r="BV529" s="105"/>
      <c r="BW529" s="105"/>
      <c r="BX529" s="105"/>
      <c r="BY529" s="105"/>
      <c r="BZ529" s="105"/>
      <c r="CA529" s="105"/>
      <c r="CB529" s="105"/>
      <c r="CC529" s="105"/>
      <c r="CD529" s="105"/>
      <c r="CE529" s="105"/>
      <c r="CF529" s="105"/>
      <c r="CG529" s="105"/>
      <c r="CH529" s="105"/>
      <c r="CI529" s="105"/>
      <c r="CJ529" s="105"/>
      <c r="CK529" s="105"/>
      <c r="CL529" s="105"/>
      <c r="CM529" s="105"/>
      <c r="CN529" s="105"/>
      <c r="CO529" s="105"/>
      <c r="CP529" s="105"/>
      <c r="CQ529" s="105"/>
      <c r="CR529" s="105"/>
      <c r="CS529" s="105"/>
      <c r="CT529" s="105"/>
      <c r="CU529" s="105"/>
      <c r="CV529" s="105"/>
      <c r="CW529" s="105"/>
      <c r="CX529" s="105"/>
      <c r="CY529" s="105"/>
      <c r="CZ529" s="105"/>
      <c r="DA529" s="105"/>
    </row>
    <row r="530">
      <c r="B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c r="AA530" s="105"/>
      <c r="AB530" s="105"/>
      <c r="AC530" s="105"/>
      <c r="AD530" s="105"/>
      <c r="AE530" s="105"/>
      <c r="AF530" s="105"/>
      <c r="AG530" s="105"/>
      <c r="AH530" s="105"/>
      <c r="AI530" s="105"/>
      <c r="AJ530" s="105"/>
      <c r="AK530" s="105"/>
      <c r="AL530" s="105"/>
      <c r="AM530" s="105"/>
      <c r="AN530" s="105"/>
      <c r="AO530" s="105"/>
      <c r="AP530" s="105"/>
      <c r="AQ530" s="105"/>
      <c r="AR530" s="105"/>
      <c r="AS530" s="105"/>
      <c r="AT530" s="105"/>
      <c r="AU530" s="105"/>
      <c r="AV530" s="105"/>
      <c r="AW530" s="105"/>
      <c r="AX530" s="105"/>
      <c r="AY530" s="105"/>
      <c r="AZ530" s="105"/>
      <c r="BA530" s="105"/>
      <c r="BB530" s="105"/>
      <c r="BC530" s="105"/>
      <c r="BD530" s="105"/>
      <c r="BE530" s="105"/>
      <c r="BF530" s="105"/>
      <c r="BG530" s="105"/>
      <c r="BH530" s="105"/>
      <c r="BI530" s="105"/>
      <c r="BJ530" s="105"/>
      <c r="BK530" s="105"/>
      <c r="BL530" s="105"/>
      <c r="BM530" s="105"/>
      <c r="BN530" s="105"/>
      <c r="BO530" s="105"/>
      <c r="BP530" s="105"/>
      <c r="BQ530" s="105"/>
      <c r="BR530" s="105"/>
      <c r="BS530" s="105"/>
      <c r="BT530" s="105"/>
      <c r="BU530" s="105"/>
      <c r="BV530" s="105"/>
      <c r="BW530" s="105"/>
      <c r="BX530" s="105"/>
      <c r="BY530" s="105"/>
      <c r="BZ530" s="105"/>
      <c r="CA530" s="105"/>
      <c r="CB530" s="105"/>
      <c r="CC530" s="105"/>
      <c r="CD530" s="105"/>
      <c r="CE530" s="105"/>
      <c r="CF530" s="105"/>
      <c r="CG530" s="105"/>
      <c r="CH530" s="105"/>
      <c r="CI530" s="105"/>
      <c r="CJ530" s="105"/>
      <c r="CK530" s="105"/>
      <c r="CL530" s="105"/>
      <c r="CM530" s="105"/>
      <c r="CN530" s="105"/>
      <c r="CO530" s="105"/>
      <c r="CP530" s="105"/>
      <c r="CQ530" s="105"/>
      <c r="CR530" s="105"/>
      <c r="CS530" s="105"/>
      <c r="CT530" s="105"/>
      <c r="CU530" s="105"/>
      <c r="CV530" s="105"/>
      <c r="CW530" s="105"/>
      <c r="CX530" s="105"/>
      <c r="CY530" s="105"/>
      <c r="CZ530" s="105"/>
      <c r="DA530" s="105"/>
    </row>
    <row r="531">
      <c r="B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c r="AA531" s="105"/>
      <c r="AB531" s="105"/>
      <c r="AC531" s="105"/>
      <c r="AD531" s="105"/>
      <c r="AE531" s="105"/>
      <c r="AF531" s="105"/>
      <c r="AG531" s="105"/>
      <c r="AH531" s="105"/>
      <c r="AI531" s="105"/>
      <c r="AJ531" s="105"/>
      <c r="AK531" s="105"/>
      <c r="AL531" s="105"/>
      <c r="AM531" s="105"/>
      <c r="AN531" s="105"/>
      <c r="AO531" s="105"/>
      <c r="AP531" s="105"/>
      <c r="AQ531" s="105"/>
      <c r="AR531" s="105"/>
      <c r="AS531" s="105"/>
      <c r="AT531" s="105"/>
      <c r="AU531" s="105"/>
      <c r="AV531" s="105"/>
      <c r="AW531" s="105"/>
      <c r="AX531" s="105"/>
      <c r="AY531" s="105"/>
      <c r="AZ531" s="105"/>
      <c r="BA531" s="105"/>
      <c r="BB531" s="105"/>
      <c r="BC531" s="105"/>
      <c r="BD531" s="105"/>
      <c r="BE531" s="105"/>
      <c r="BF531" s="105"/>
      <c r="BG531" s="105"/>
      <c r="BH531" s="105"/>
      <c r="BI531" s="105"/>
      <c r="BJ531" s="105"/>
      <c r="BK531" s="105"/>
      <c r="BL531" s="105"/>
      <c r="BM531" s="105"/>
      <c r="BN531" s="105"/>
      <c r="BO531" s="105"/>
      <c r="BP531" s="105"/>
      <c r="BQ531" s="105"/>
      <c r="BR531" s="105"/>
      <c r="BS531" s="105"/>
      <c r="BT531" s="105"/>
      <c r="BU531" s="105"/>
      <c r="BV531" s="105"/>
      <c r="BW531" s="105"/>
      <c r="BX531" s="105"/>
      <c r="BY531" s="105"/>
      <c r="BZ531" s="105"/>
      <c r="CA531" s="105"/>
      <c r="CB531" s="105"/>
      <c r="CC531" s="105"/>
      <c r="CD531" s="105"/>
      <c r="CE531" s="105"/>
      <c r="CF531" s="105"/>
      <c r="CG531" s="105"/>
      <c r="CH531" s="105"/>
      <c r="CI531" s="105"/>
      <c r="CJ531" s="105"/>
      <c r="CK531" s="105"/>
      <c r="CL531" s="105"/>
      <c r="CM531" s="105"/>
      <c r="CN531" s="105"/>
      <c r="CO531" s="105"/>
      <c r="CP531" s="105"/>
      <c r="CQ531" s="105"/>
      <c r="CR531" s="105"/>
      <c r="CS531" s="105"/>
      <c r="CT531" s="105"/>
      <c r="CU531" s="105"/>
      <c r="CV531" s="105"/>
      <c r="CW531" s="105"/>
      <c r="CX531" s="105"/>
      <c r="CY531" s="105"/>
      <c r="CZ531" s="105"/>
      <c r="DA531" s="105"/>
    </row>
    <row r="532">
      <c r="B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c r="AA532" s="105"/>
      <c r="AB532" s="105"/>
      <c r="AC532" s="105"/>
      <c r="AD532" s="105"/>
      <c r="AE532" s="105"/>
      <c r="AF532" s="105"/>
      <c r="AG532" s="105"/>
      <c r="AH532" s="105"/>
      <c r="AI532" s="105"/>
      <c r="AJ532" s="105"/>
      <c r="AK532" s="105"/>
      <c r="AL532" s="105"/>
      <c r="AM532" s="105"/>
      <c r="AN532" s="105"/>
      <c r="AO532" s="105"/>
      <c r="AP532" s="105"/>
      <c r="AQ532" s="105"/>
      <c r="AR532" s="105"/>
      <c r="AS532" s="105"/>
      <c r="AT532" s="105"/>
      <c r="AU532" s="105"/>
      <c r="AV532" s="105"/>
      <c r="AW532" s="105"/>
      <c r="AX532" s="105"/>
      <c r="AY532" s="105"/>
      <c r="AZ532" s="105"/>
      <c r="BA532" s="105"/>
      <c r="BB532" s="105"/>
      <c r="BC532" s="105"/>
      <c r="BD532" s="105"/>
      <c r="BE532" s="105"/>
      <c r="BF532" s="105"/>
      <c r="BG532" s="105"/>
      <c r="BH532" s="105"/>
      <c r="BI532" s="105"/>
      <c r="BJ532" s="105"/>
      <c r="BK532" s="105"/>
      <c r="BL532" s="105"/>
      <c r="BM532" s="105"/>
      <c r="BN532" s="105"/>
      <c r="BO532" s="105"/>
      <c r="BP532" s="105"/>
      <c r="BQ532" s="105"/>
      <c r="BR532" s="105"/>
      <c r="BS532" s="105"/>
      <c r="BT532" s="105"/>
      <c r="BU532" s="105"/>
      <c r="BV532" s="105"/>
      <c r="BW532" s="105"/>
      <c r="BX532" s="105"/>
      <c r="BY532" s="105"/>
      <c r="BZ532" s="105"/>
      <c r="CA532" s="105"/>
      <c r="CB532" s="105"/>
      <c r="CC532" s="105"/>
      <c r="CD532" s="105"/>
      <c r="CE532" s="105"/>
      <c r="CF532" s="105"/>
      <c r="CG532" s="105"/>
      <c r="CH532" s="105"/>
      <c r="CI532" s="105"/>
      <c r="CJ532" s="105"/>
      <c r="CK532" s="105"/>
      <c r="CL532" s="105"/>
      <c r="CM532" s="105"/>
      <c r="CN532" s="105"/>
      <c r="CO532" s="105"/>
      <c r="CP532" s="105"/>
      <c r="CQ532" s="105"/>
      <c r="CR532" s="105"/>
      <c r="CS532" s="105"/>
      <c r="CT532" s="105"/>
      <c r="CU532" s="105"/>
      <c r="CV532" s="105"/>
      <c r="CW532" s="105"/>
      <c r="CX532" s="105"/>
      <c r="CY532" s="105"/>
      <c r="CZ532" s="105"/>
      <c r="DA532" s="105"/>
    </row>
    <row r="533">
      <c r="B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c r="AA533" s="105"/>
      <c r="AB533" s="105"/>
      <c r="AC533" s="105"/>
      <c r="AD533" s="105"/>
      <c r="AE533" s="105"/>
      <c r="AF533" s="105"/>
      <c r="AG533" s="105"/>
      <c r="AH533" s="105"/>
      <c r="AI533" s="105"/>
      <c r="AJ533" s="105"/>
      <c r="AK533" s="105"/>
      <c r="AL533" s="105"/>
      <c r="AM533" s="105"/>
      <c r="AN533" s="105"/>
      <c r="AO533" s="105"/>
      <c r="AP533" s="105"/>
      <c r="AQ533" s="105"/>
      <c r="AR533" s="105"/>
      <c r="AS533" s="105"/>
      <c r="AT533" s="105"/>
      <c r="AU533" s="105"/>
      <c r="AV533" s="105"/>
      <c r="AW533" s="105"/>
      <c r="AX533" s="105"/>
      <c r="AY533" s="105"/>
      <c r="AZ533" s="105"/>
      <c r="BA533" s="105"/>
      <c r="BB533" s="105"/>
      <c r="BC533" s="105"/>
      <c r="BD533" s="105"/>
      <c r="BE533" s="105"/>
      <c r="BF533" s="105"/>
      <c r="BG533" s="105"/>
      <c r="BH533" s="105"/>
      <c r="BI533" s="105"/>
      <c r="BJ533" s="105"/>
      <c r="BK533" s="105"/>
      <c r="BL533" s="105"/>
      <c r="BM533" s="105"/>
      <c r="BN533" s="105"/>
      <c r="BO533" s="105"/>
      <c r="BP533" s="105"/>
      <c r="BQ533" s="105"/>
      <c r="BR533" s="105"/>
      <c r="BS533" s="105"/>
      <c r="BT533" s="105"/>
      <c r="BU533" s="105"/>
      <c r="BV533" s="105"/>
      <c r="BW533" s="105"/>
      <c r="BX533" s="105"/>
      <c r="BY533" s="105"/>
      <c r="BZ533" s="105"/>
      <c r="CA533" s="105"/>
      <c r="CB533" s="105"/>
      <c r="CC533" s="105"/>
      <c r="CD533" s="105"/>
      <c r="CE533" s="105"/>
      <c r="CF533" s="105"/>
      <c r="CG533" s="105"/>
      <c r="CH533" s="105"/>
      <c r="CI533" s="105"/>
      <c r="CJ533" s="105"/>
      <c r="CK533" s="105"/>
      <c r="CL533" s="105"/>
      <c r="CM533" s="105"/>
      <c r="CN533" s="105"/>
      <c r="CO533" s="105"/>
      <c r="CP533" s="105"/>
      <c r="CQ533" s="105"/>
      <c r="CR533" s="105"/>
      <c r="CS533" s="105"/>
      <c r="CT533" s="105"/>
      <c r="CU533" s="105"/>
      <c r="CV533" s="105"/>
      <c r="CW533" s="105"/>
      <c r="CX533" s="105"/>
      <c r="CY533" s="105"/>
      <c r="CZ533" s="105"/>
      <c r="DA533" s="105"/>
    </row>
    <row r="534">
      <c r="B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c r="AA534" s="105"/>
      <c r="AB534" s="105"/>
      <c r="AC534" s="105"/>
      <c r="AD534" s="105"/>
      <c r="AE534" s="105"/>
      <c r="AF534" s="105"/>
      <c r="AG534" s="105"/>
      <c r="AH534" s="105"/>
      <c r="AI534" s="105"/>
      <c r="AJ534" s="105"/>
      <c r="AK534" s="105"/>
      <c r="AL534" s="105"/>
      <c r="AM534" s="105"/>
      <c r="AN534" s="105"/>
      <c r="AO534" s="105"/>
      <c r="AP534" s="105"/>
      <c r="AQ534" s="105"/>
      <c r="AR534" s="105"/>
      <c r="AS534" s="105"/>
      <c r="AT534" s="105"/>
      <c r="AU534" s="105"/>
      <c r="AV534" s="105"/>
      <c r="AW534" s="105"/>
      <c r="AX534" s="105"/>
      <c r="AY534" s="105"/>
      <c r="AZ534" s="105"/>
      <c r="BA534" s="105"/>
      <c r="BB534" s="105"/>
      <c r="BC534" s="105"/>
      <c r="BD534" s="105"/>
      <c r="BE534" s="105"/>
      <c r="BF534" s="105"/>
      <c r="BG534" s="105"/>
      <c r="BH534" s="105"/>
      <c r="BI534" s="105"/>
      <c r="BJ534" s="105"/>
      <c r="BK534" s="105"/>
      <c r="BL534" s="105"/>
      <c r="BM534" s="105"/>
      <c r="BN534" s="105"/>
      <c r="BO534" s="105"/>
      <c r="BP534" s="105"/>
      <c r="BQ534" s="105"/>
      <c r="BR534" s="105"/>
      <c r="BS534" s="105"/>
      <c r="BT534" s="105"/>
      <c r="BU534" s="105"/>
      <c r="BV534" s="105"/>
      <c r="BW534" s="105"/>
      <c r="BX534" s="105"/>
      <c r="BY534" s="105"/>
      <c r="BZ534" s="105"/>
      <c r="CA534" s="105"/>
      <c r="CB534" s="105"/>
      <c r="CC534" s="105"/>
      <c r="CD534" s="105"/>
      <c r="CE534" s="105"/>
      <c r="CF534" s="105"/>
      <c r="CG534" s="105"/>
      <c r="CH534" s="105"/>
      <c r="CI534" s="105"/>
      <c r="CJ534" s="105"/>
      <c r="CK534" s="105"/>
      <c r="CL534" s="105"/>
      <c r="CM534" s="105"/>
      <c r="CN534" s="105"/>
      <c r="CO534" s="105"/>
      <c r="CP534" s="105"/>
      <c r="CQ534" s="105"/>
      <c r="CR534" s="105"/>
      <c r="CS534" s="105"/>
      <c r="CT534" s="105"/>
      <c r="CU534" s="105"/>
      <c r="CV534" s="105"/>
      <c r="CW534" s="105"/>
      <c r="CX534" s="105"/>
      <c r="CY534" s="105"/>
      <c r="CZ534" s="105"/>
      <c r="DA534" s="105"/>
    </row>
    <row r="535">
      <c r="B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c r="AA535" s="105"/>
      <c r="AB535" s="105"/>
      <c r="AC535" s="105"/>
      <c r="AD535" s="105"/>
      <c r="AE535" s="105"/>
      <c r="AF535" s="105"/>
      <c r="AG535" s="105"/>
      <c r="AH535" s="105"/>
      <c r="AI535" s="105"/>
      <c r="AJ535" s="105"/>
      <c r="AK535" s="105"/>
      <c r="AL535" s="105"/>
      <c r="AM535" s="105"/>
      <c r="AN535" s="105"/>
      <c r="AO535" s="105"/>
      <c r="AP535" s="105"/>
      <c r="AQ535" s="105"/>
      <c r="AR535" s="105"/>
      <c r="AS535" s="105"/>
      <c r="AT535" s="105"/>
      <c r="AU535" s="105"/>
      <c r="AV535" s="105"/>
      <c r="AW535" s="105"/>
      <c r="AX535" s="105"/>
      <c r="AY535" s="105"/>
      <c r="AZ535" s="105"/>
      <c r="BA535" s="105"/>
      <c r="BB535" s="105"/>
      <c r="BC535" s="105"/>
      <c r="BD535" s="105"/>
      <c r="BE535" s="105"/>
      <c r="BF535" s="105"/>
      <c r="BG535" s="105"/>
      <c r="BH535" s="105"/>
      <c r="BI535" s="105"/>
      <c r="BJ535" s="105"/>
      <c r="BK535" s="105"/>
      <c r="BL535" s="105"/>
      <c r="BM535" s="105"/>
      <c r="BN535" s="105"/>
      <c r="BO535" s="105"/>
      <c r="BP535" s="105"/>
      <c r="BQ535" s="105"/>
      <c r="BR535" s="105"/>
      <c r="BS535" s="105"/>
      <c r="BT535" s="105"/>
      <c r="BU535" s="105"/>
      <c r="BV535" s="105"/>
      <c r="BW535" s="105"/>
      <c r="BX535" s="105"/>
      <c r="BY535" s="105"/>
      <c r="BZ535" s="105"/>
      <c r="CA535" s="105"/>
      <c r="CB535" s="105"/>
      <c r="CC535" s="105"/>
      <c r="CD535" s="105"/>
      <c r="CE535" s="105"/>
      <c r="CF535" s="105"/>
      <c r="CG535" s="105"/>
      <c r="CH535" s="105"/>
      <c r="CI535" s="105"/>
      <c r="CJ535" s="105"/>
      <c r="CK535" s="105"/>
      <c r="CL535" s="105"/>
      <c r="CM535" s="105"/>
      <c r="CN535" s="105"/>
      <c r="CO535" s="105"/>
      <c r="CP535" s="105"/>
      <c r="CQ535" s="105"/>
      <c r="CR535" s="105"/>
      <c r="CS535" s="105"/>
      <c r="CT535" s="105"/>
      <c r="CU535" s="105"/>
      <c r="CV535" s="105"/>
      <c r="CW535" s="105"/>
      <c r="CX535" s="105"/>
      <c r="CY535" s="105"/>
      <c r="CZ535" s="105"/>
      <c r="DA535" s="105"/>
    </row>
    <row r="536">
      <c r="B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c r="AA536" s="105"/>
      <c r="AB536" s="105"/>
      <c r="AC536" s="105"/>
      <c r="AD536" s="105"/>
      <c r="AE536" s="105"/>
      <c r="AF536" s="105"/>
      <c r="AG536" s="105"/>
      <c r="AH536" s="105"/>
      <c r="AI536" s="105"/>
      <c r="AJ536" s="105"/>
      <c r="AK536" s="105"/>
      <c r="AL536" s="105"/>
      <c r="AM536" s="105"/>
      <c r="AN536" s="105"/>
      <c r="AO536" s="105"/>
      <c r="AP536" s="105"/>
      <c r="AQ536" s="105"/>
      <c r="AR536" s="105"/>
      <c r="AS536" s="105"/>
      <c r="AT536" s="105"/>
      <c r="AU536" s="105"/>
      <c r="AV536" s="105"/>
      <c r="AW536" s="105"/>
      <c r="AX536" s="105"/>
      <c r="AY536" s="105"/>
      <c r="AZ536" s="105"/>
      <c r="BA536" s="105"/>
      <c r="BB536" s="105"/>
      <c r="BC536" s="105"/>
      <c r="BD536" s="105"/>
      <c r="BE536" s="105"/>
      <c r="BF536" s="105"/>
      <c r="BG536" s="105"/>
      <c r="BH536" s="105"/>
      <c r="BI536" s="105"/>
      <c r="BJ536" s="105"/>
      <c r="BK536" s="105"/>
      <c r="BL536" s="105"/>
      <c r="BM536" s="105"/>
      <c r="BN536" s="105"/>
      <c r="BO536" s="105"/>
      <c r="BP536" s="105"/>
      <c r="BQ536" s="105"/>
      <c r="BR536" s="105"/>
      <c r="BS536" s="105"/>
      <c r="BT536" s="105"/>
      <c r="BU536" s="105"/>
      <c r="BV536" s="105"/>
      <c r="BW536" s="105"/>
      <c r="BX536" s="105"/>
      <c r="BY536" s="105"/>
      <c r="BZ536" s="105"/>
      <c r="CA536" s="105"/>
      <c r="CB536" s="105"/>
      <c r="CC536" s="105"/>
      <c r="CD536" s="105"/>
      <c r="CE536" s="105"/>
      <c r="CF536" s="105"/>
      <c r="CG536" s="105"/>
      <c r="CH536" s="105"/>
      <c r="CI536" s="105"/>
      <c r="CJ536" s="105"/>
      <c r="CK536" s="105"/>
      <c r="CL536" s="105"/>
      <c r="CM536" s="105"/>
      <c r="CN536" s="105"/>
      <c r="CO536" s="105"/>
      <c r="CP536" s="105"/>
      <c r="CQ536" s="105"/>
      <c r="CR536" s="105"/>
      <c r="CS536" s="105"/>
      <c r="CT536" s="105"/>
      <c r="CU536" s="105"/>
      <c r="CV536" s="105"/>
      <c r="CW536" s="105"/>
      <c r="CX536" s="105"/>
      <c r="CY536" s="105"/>
      <c r="CZ536" s="105"/>
      <c r="DA536" s="105"/>
    </row>
    <row r="537">
      <c r="B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c r="AA537" s="105"/>
      <c r="AB537" s="105"/>
      <c r="AC537" s="105"/>
      <c r="AD537" s="105"/>
      <c r="AE537" s="105"/>
      <c r="AF537" s="105"/>
      <c r="AG537" s="105"/>
      <c r="AH537" s="105"/>
      <c r="AI537" s="105"/>
      <c r="AJ537" s="105"/>
      <c r="AK537" s="105"/>
      <c r="AL537" s="105"/>
      <c r="AM537" s="105"/>
      <c r="AN537" s="105"/>
      <c r="AO537" s="105"/>
      <c r="AP537" s="105"/>
      <c r="AQ537" s="105"/>
      <c r="AR537" s="105"/>
      <c r="AS537" s="105"/>
      <c r="AT537" s="105"/>
      <c r="AU537" s="105"/>
      <c r="AV537" s="105"/>
      <c r="AW537" s="105"/>
      <c r="AX537" s="105"/>
      <c r="AY537" s="105"/>
      <c r="AZ537" s="105"/>
      <c r="BA537" s="105"/>
      <c r="BB537" s="105"/>
      <c r="BC537" s="105"/>
      <c r="BD537" s="105"/>
      <c r="BE537" s="105"/>
      <c r="BF537" s="105"/>
      <c r="BG537" s="105"/>
      <c r="BH537" s="105"/>
      <c r="BI537" s="105"/>
      <c r="BJ537" s="105"/>
      <c r="BK537" s="105"/>
      <c r="BL537" s="105"/>
      <c r="BM537" s="105"/>
      <c r="BN537" s="105"/>
      <c r="BO537" s="105"/>
      <c r="BP537" s="105"/>
      <c r="BQ537" s="105"/>
      <c r="BR537" s="105"/>
      <c r="BS537" s="105"/>
      <c r="BT537" s="105"/>
      <c r="BU537" s="105"/>
      <c r="BV537" s="105"/>
      <c r="BW537" s="105"/>
      <c r="BX537" s="105"/>
      <c r="BY537" s="105"/>
      <c r="BZ537" s="105"/>
      <c r="CA537" s="105"/>
      <c r="CB537" s="105"/>
      <c r="CC537" s="105"/>
      <c r="CD537" s="105"/>
      <c r="CE537" s="105"/>
      <c r="CF537" s="105"/>
      <c r="CG537" s="105"/>
      <c r="CH537" s="105"/>
      <c r="CI537" s="105"/>
      <c r="CJ537" s="105"/>
      <c r="CK537" s="105"/>
      <c r="CL537" s="105"/>
      <c r="CM537" s="105"/>
      <c r="CN537" s="105"/>
      <c r="CO537" s="105"/>
      <c r="CP537" s="105"/>
      <c r="CQ537" s="105"/>
      <c r="CR537" s="105"/>
      <c r="CS537" s="105"/>
      <c r="CT537" s="105"/>
      <c r="CU537" s="105"/>
      <c r="CV537" s="105"/>
      <c r="CW537" s="105"/>
      <c r="CX537" s="105"/>
      <c r="CY537" s="105"/>
      <c r="CZ537" s="105"/>
      <c r="DA537" s="105"/>
    </row>
    <row r="538">
      <c r="B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c r="AA538" s="105"/>
      <c r="AB538" s="105"/>
      <c r="AC538" s="105"/>
      <c r="AD538" s="105"/>
      <c r="AE538" s="105"/>
      <c r="AF538" s="105"/>
      <c r="AG538" s="105"/>
      <c r="AH538" s="105"/>
      <c r="AI538" s="105"/>
      <c r="AJ538" s="105"/>
      <c r="AK538" s="105"/>
      <c r="AL538" s="105"/>
      <c r="AM538" s="105"/>
      <c r="AN538" s="105"/>
      <c r="AO538" s="105"/>
      <c r="AP538" s="105"/>
      <c r="AQ538" s="105"/>
      <c r="AR538" s="105"/>
      <c r="AS538" s="105"/>
      <c r="AT538" s="105"/>
      <c r="AU538" s="105"/>
      <c r="AV538" s="105"/>
      <c r="AW538" s="105"/>
      <c r="AX538" s="105"/>
      <c r="AY538" s="105"/>
      <c r="AZ538" s="105"/>
      <c r="BA538" s="105"/>
      <c r="BB538" s="105"/>
      <c r="BC538" s="105"/>
      <c r="BD538" s="105"/>
      <c r="BE538" s="105"/>
      <c r="BF538" s="105"/>
      <c r="BG538" s="105"/>
      <c r="BH538" s="105"/>
      <c r="BI538" s="105"/>
      <c r="BJ538" s="105"/>
      <c r="BK538" s="105"/>
      <c r="BL538" s="105"/>
      <c r="BM538" s="105"/>
      <c r="BN538" s="105"/>
      <c r="BO538" s="105"/>
      <c r="BP538" s="105"/>
      <c r="BQ538" s="105"/>
      <c r="BR538" s="105"/>
      <c r="BS538" s="105"/>
      <c r="BT538" s="105"/>
      <c r="BU538" s="105"/>
      <c r="BV538" s="105"/>
      <c r="BW538" s="105"/>
      <c r="BX538" s="105"/>
      <c r="BY538" s="105"/>
      <c r="BZ538" s="105"/>
      <c r="CA538" s="105"/>
      <c r="CB538" s="105"/>
      <c r="CC538" s="105"/>
      <c r="CD538" s="105"/>
      <c r="CE538" s="105"/>
      <c r="CF538" s="105"/>
      <c r="CG538" s="105"/>
      <c r="CH538" s="105"/>
      <c r="CI538" s="105"/>
      <c r="CJ538" s="105"/>
      <c r="CK538" s="105"/>
      <c r="CL538" s="105"/>
      <c r="CM538" s="105"/>
      <c r="CN538" s="105"/>
      <c r="CO538" s="105"/>
      <c r="CP538" s="105"/>
      <c r="CQ538" s="105"/>
      <c r="CR538" s="105"/>
      <c r="CS538" s="105"/>
      <c r="CT538" s="105"/>
      <c r="CU538" s="105"/>
      <c r="CV538" s="105"/>
      <c r="CW538" s="105"/>
      <c r="CX538" s="105"/>
      <c r="CY538" s="105"/>
      <c r="CZ538" s="105"/>
      <c r="DA538" s="105"/>
    </row>
    <row r="539">
      <c r="B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c r="AA539" s="105"/>
      <c r="AB539" s="105"/>
      <c r="AC539" s="105"/>
      <c r="AD539" s="105"/>
      <c r="AE539" s="105"/>
      <c r="AF539" s="105"/>
      <c r="AG539" s="105"/>
      <c r="AH539" s="105"/>
      <c r="AI539" s="105"/>
      <c r="AJ539" s="105"/>
      <c r="AK539" s="105"/>
      <c r="AL539" s="105"/>
      <c r="AM539" s="105"/>
      <c r="AN539" s="105"/>
      <c r="AO539" s="105"/>
      <c r="AP539" s="105"/>
      <c r="AQ539" s="105"/>
      <c r="AR539" s="105"/>
      <c r="AS539" s="105"/>
      <c r="AT539" s="105"/>
      <c r="AU539" s="105"/>
      <c r="AV539" s="105"/>
      <c r="AW539" s="105"/>
      <c r="AX539" s="105"/>
      <c r="AY539" s="105"/>
      <c r="AZ539" s="105"/>
      <c r="BA539" s="105"/>
      <c r="BB539" s="105"/>
      <c r="BC539" s="105"/>
      <c r="BD539" s="105"/>
      <c r="BE539" s="105"/>
      <c r="BF539" s="105"/>
      <c r="BG539" s="105"/>
      <c r="BH539" s="105"/>
      <c r="BI539" s="105"/>
      <c r="BJ539" s="105"/>
      <c r="BK539" s="105"/>
      <c r="BL539" s="105"/>
      <c r="BM539" s="105"/>
      <c r="BN539" s="105"/>
      <c r="BO539" s="105"/>
      <c r="BP539" s="105"/>
      <c r="BQ539" s="105"/>
      <c r="BR539" s="105"/>
      <c r="BS539" s="105"/>
      <c r="BT539" s="105"/>
      <c r="BU539" s="105"/>
      <c r="BV539" s="105"/>
      <c r="BW539" s="105"/>
      <c r="BX539" s="105"/>
      <c r="BY539" s="105"/>
      <c r="BZ539" s="105"/>
      <c r="CA539" s="105"/>
      <c r="CB539" s="105"/>
      <c r="CC539" s="105"/>
      <c r="CD539" s="105"/>
      <c r="CE539" s="105"/>
      <c r="CF539" s="105"/>
      <c r="CG539" s="105"/>
      <c r="CH539" s="105"/>
      <c r="CI539" s="105"/>
      <c r="CJ539" s="105"/>
      <c r="CK539" s="105"/>
      <c r="CL539" s="105"/>
      <c r="CM539" s="105"/>
      <c r="CN539" s="105"/>
      <c r="CO539" s="105"/>
      <c r="CP539" s="105"/>
      <c r="CQ539" s="105"/>
      <c r="CR539" s="105"/>
      <c r="CS539" s="105"/>
      <c r="CT539" s="105"/>
      <c r="CU539" s="105"/>
      <c r="CV539" s="105"/>
      <c r="CW539" s="105"/>
      <c r="CX539" s="105"/>
      <c r="CY539" s="105"/>
      <c r="CZ539" s="105"/>
      <c r="DA539" s="105"/>
    </row>
    <row r="540">
      <c r="B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c r="AA540" s="105"/>
      <c r="AB540" s="105"/>
      <c r="AC540" s="105"/>
      <c r="AD540" s="105"/>
      <c r="AE540" s="105"/>
      <c r="AF540" s="105"/>
      <c r="AG540" s="105"/>
      <c r="AH540" s="105"/>
      <c r="AI540" s="105"/>
      <c r="AJ540" s="105"/>
      <c r="AK540" s="105"/>
      <c r="AL540" s="105"/>
      <c r="AM540" s="105"/>
      <c r="AN540" s="105"/>
      <c r="AO540" s="105"/>
      <c r="AP540" s="105"/>
      <c r="AQ540" s="105"/>
      <c r="AR540" s="105"/>
      <c r="AS540" s="105"/>
      <c r="AT540" s="105"/>
      <c r="AU540" s="105"/>
      <c r="AV540" s="105"/>
      <c r="AW540" s="105"/>
      <c r="AX540" s="105"/>
      <c r="AY540" s="105"/>
      <c r="AZ540" s="105"/>
      <c r="BA540" s="105"/>
      <c r="BB540" s="105"/>
      <c r="BC540" s="105"/>
      <c r="BD540" s="105"/>
      <c r="BE540" s="105"/>
      <c r="BF540" s="105"/>
      <c r="BG540" s="105"/>
      <c r="BH540" s="105"/>
      <c r="BI540" s="105"/>
      <c r="BJ540" s="105"/>
      <c r="BK540" s="105"/>
      <c r="BL540" s="105"/>
      <c r="BM540" s="105"/>
      <c r="BN540" s="105"/>
      <c r="BO540" s="105"/>
      <c r="BP540" s="105"/>
      <c r="BQ540" s="105"/>
      <c r="BR540" s="105"/>
      <c r="BS540" s="105"/>
      <c r="BT540" s="105"/>
      <c r="BU540" s="105"/>
      <c r="BV540" s="105"/>
      <c r="BW540" s="105"/>
      <c r="BX540" s="105"/>
      <c r="BY540" s="105"/>
      <c r="BZ540" s="105"/>
      <c r="CA540" s="105"/>
      <c r="CB540" s="105"/>
      <c r="CC540" s="105"/>
      <c r="CD540" s="105"/>
      <c r="CE540" s="105"/>
      <c r="CF540" s="105"/>
      <c r="CG540" s="105"/>
      <c r="CH540" s="105"/>
      <c r="CI540" s="105"/>
      <c r="CJ540" s="105"/>
      <c r="CK540" s="105"/>
      <c r="CL540" s="105"/>
      <c r="CM540" s="105"/>
      <c r="CN540" s="105"/>
      <c r="CO540" s="105"/>
      <c r="CP540" s="105"/>
      <c r="CQ540" s="105"/>
      <c r="CR540" s="105"/>
      <c r="CS540" s="105"/>
      <c r="CT540" s="105"/>
      <c r="CU540" s="105"/>
      <c r="CV540" s="105"/>
      <c r="CW540" s="105"/>
      <c r="CX540" s="105"/>
      <c r="CY540" s="105"/>
      <c r="CZ540" s="105"/>
      <c r="DA540" s="105"/>
    </row>
    <row r="541">
      <c r="B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c r="AA541" s="105"/>
      <c r="AB541" s="105"/>
      <c r="AC541" s="105"/>
      <c r="AD541" s="105"/>
      <c r="AE541" s="105"/>
      <c r="AF541" s="105"/>
      <c r="AG541" s="105"/>
      <c r="AH541" s="105"/>
      <c r="AI541" s="105"/>
      <c r="AJ541" s="105"/>
      <c r="AK541" s="105"/>
      <c r="AL541" s="105"/>
      <c r="AM541" s="105"/>
      <c r="AN541" s="105"/>
      <c r="AO541" s="105"/>
      <c r="AP541" s="105"/>
      <c r="AQ541" s="105"/>
      <c r="AR541" s="105"/>
      <c r="AS541" s="105"/>
      <c r="AT541" s="105"/>
      <c r="AU541" s="105"/>
      <c r="AV541" s="105"/>
      <c r="AW541" s="105"/>
      <c r="AX541" s="105"/>
      <c r="AY541" s="105"/>
      <c r="AZ541" s="105"/>
      <c r="BA541" s="105"/>
      <c r="BB541" s="105"/>
      <c r="BC541" s="105"/>
      <c r="BD541" s="105"/>
      <c r="BE541" s="105"/>
      <c r="BF541" s="105"/>
      <c r="BG541" s="105"/>
      <c r="BH541" s="105"/>
      <c r="BI541" s="105"/>
      <c r="BJ541" s="105"/>
      <c r="BK541" s="105"/>
      <c r="BL541" s="105"/>
      <c r="BM541" s="105"/>
      <c r="BN541" s="105"/>
      <c r="BO541" s="105"/>
      <c r="BP541" s="105"/>
      <c r="BQ541" s="105"/>
      <c r="BR541" s="105"/>
      <c r="BS541" s="105"/>
      <c r="BT541" s="105"/>
      <c r="BU541" s="105"/>
      <c r="BV541" s="105"/>
      <c r="BW541" s="105"/>
      <c r="BX541" s="105"/>
      <c r="BY541" s="105"/>
      <c r="BZ541" s="105"/>
      <c r="CA541" s="105"/>
      <c r="CB541" s="105"/>
      <c r="CC541" s="105"/>
      <c r="CD541" s="105"/>
      <c r="CE541" s="105"/>
      <c r="CF541" s="105"/>
      <c r="CG541" s="105"/>
      <c r="CH541" s="105"/>
      <c r="CI541" s="105"/>
      <c r="CJ541" s="105"/>
      <c r="CK541" s="105"/>
      <c r="CL541" s="105"/>
      <c r="CM541" s="105"/>
      <c r="CN541" s="105"/>
      <c r="CO541" s="105"/>
      <c r="CP541" s="105"/>
      <c r="CQ541" s="105"/>
      <c r="CR541" s="105"/>
      <c r="CS541" s="105"/>
      <c r="CT541" s="105"/>
      <c r="CU541" s="105"/>
      <c r="CV541" s="105"/>
      <c r="CW541" s="105"/>
      <c r="CX541" s="105"/>
      <c r="CY541" s="105"/>
      <c r="CZ541" s="105"/>
      <c r="DA541" s="105"/>
    </row>
    <row r="542">
      <c r="B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c r="AA542" s="105"/>
      <c r="AB542" s="105"/>
      <c r="AC542" s="105"/>
      <c r="AD542" s="105"/>
      <c r="AE542" s="105"/>
      <c r="AF542" s="105"/>
      <c r="AG542" s="105"/>
      <c r="AH542" s="105"/>
      <c r="AI542" s="105"/>
      <c r="AJ542" s="105"/>
      <c r="AK542" s="105"/>
      <c r="AL542" s="105"/>
      <c r="AM542" s="105"/>
      <c r="AN542" s="105"/>
      <c r="AO542" s="105"/>
      <c r="AP542" s="105"/>
      <c r="AQ542" s="105"/>
      <c r="AR542" s="105"/>
      <c r="AS542" s="105"/>
      <c r="AT542" s="105"/>
      <c r="AU542" s="105"/>
      <c r="AV542" s="105"/>
      <c r="AW542" s="105"/>
      <c r="AX542" s="105"/>
      <c r="AY542" s="105"/>
      <c r="AZ542" s="105"/>
      <c r="BA542" s="105"/>
      <c r="BB542" s="105"/>
      <c r="BC542" s="105"/>
      <c r="BD542" s="105"/>
      <c r="BE542" s="105"/>
      <c r="BF542" s="105"/>
      <c r="BG542" s="105"/>
      <c r="BH542" s="105"/>
      <c r="BI542" s="105"/>
      <c r="BJ542" s="105"/>
      <c r="BK542" s="105"/>
      <c r="BL542" s="105"/>
      <c r="BM542" s="105"/>
      <c r="BN542" s="105"/>
      <c r="BO542" s="105"/>
      <c r="BP542" s="105"/>
      <c r="BQ542" s="105"/>
      <c r="BR542" s="105"/>
      <c r="BS542" s="105"/>
      <c r="BT542" s="105"/>
      <c r="BU542" s="105"/>
      <c r="BV542" s="105"/>
      <c r="BW542" s="105"/>
      <c r="BX542" s="105"/>
      <c r="BY542" s="105"/>
      <c r="BZ542" s="105"/>
      <c r="CA542" s="105"/>
      <c r="CB542" s="105"/>
      <c r="CC542" s="105"/>
      <c r="CD542" s="105"/>
      <c r="CE542" s="105"/>
      <c r="CF542" s="105"/>
      <c r="CG542" s="105"/>
      <c r="CH542" s="105"/>
      <c r="CI542" s="105"/>
      <c r="CJ542" s="105"/>
      <c r="CK542" s="105"/>
      <c r="CL542" s="105"/>
      <c r="CM542" s="105"/>
      <c r="CN542" s="105"/>
      <c r="CO542" s="105"/>
      <c r="CP542" s="105"/>
      <c r="CQ542" s="105"/>
      <c r="CR542" s="105"/>
      <c r="CS542" s="105"/>
      <c r="CT542" s="105"/>
      <c r="CU542" s="105"/>
      <c r="CV542" s="105"/>
      <c r="CW542" s="105"/>
      <c r="CX542" s="105"/>
      <c r="CY542" s="105"/>
      <c r="CZ542" s="105"/>
      <c r="DA542" s="105"/>
    </row>
    <row r="543">
      <c r="B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c r="AA543" s="105"/>
      <c r="AB543" s="105"/>
      <c r="AC543" s="105"/>
      <c r="AD543" s="105"/>
      <c r="AE543" s="105"/>
      <c r="AF543" s="105"/>
      <c r="AG543" s="105"/>
      <c r="AH543" s="105"/>
      <c r="AI543" s="105"/>
      <c r="AJ543" s="105"/>
      <c r="AK543" s="105"/>
      <c r="AL543" s="105"/>
      <c r="AM543" s="105"/>
      <c r="AN543" s="105"/>
      <c r="AO543" s="105"/>
      <c r="AP543" s="105"/>
      <c r="AQ543" s="105"/>
      <c r="AR543" s="105"/>
      <c r="AS543" s="105"/>
      <c r="AT543" s="105"/>
      <c r="AU543" s="105"/>
      <c r="AV543" s="105"/>
      <c r="AW543" s="105"/>
      <c r="AX543" s="105"/>
      <c r="AY543" s="105"/>
      <c r="AZ543" s="105"/>
      <c r="BA543" s="105"/>
      <c r="BB543" s="105"/>
      <c r="BC543" s="105"/>
      <c r="BD543" s="105"/>
      <c r="BE543" s="105"/>
      <c r="BF543" s="105"/>
      <c r="BG543" s="105"/>
      <c r="BH543" s="105"/>
      <c r="BI543" s="105"/>
      <c r="BJ543" s="105"/>
      <c r="BK543" s="105"/>
      <c r="BL543" s="105"/>
      <c r="BM543" s="105"/>
      <c r="BN543" s="105"/>
      <c r="BO543" s="105"/>
      <c r="BP543" s="105"/>
      <c r="BQ543" s="105"/>
      <c r="BR543" s="105"/>
      <c r="BS543" s="105"/>
      <c r="BT543" s="105"/>
      <c r="BU543" s="105"/>
      <c r="BV543" s="105"/>
      <c r="BW543" s="105"/>
      <c r="BX543" s="105"/>
      <c r="BY543" s="105"/>
      <c r="BZ543" s="105"/>
      <c r="CA543" s="105"/>
      <c r="CB543" s="105"/>
      <c r="CC543" s="105"/>
      <c r="CD543" s="105"/>
      <c r="CE543" s="105"/>
      <c r="CF543" s="105"/>
      <c r="CG543" s="105"/>
      <c r="CH543" s="105"/>
      <c r="CI543" s="105"/>
      <c r="CJ543" s="105"/>
      <c r="CK543" s="105"/>
      <c r="CL543" s="105"/>
      <c r="CM543" s="105"/>
      <c r="CN543" s="105"/>
      <c r="CO543" s="105"/>
      <c r="CP543" s="105"/>
      <c r="CQ543" s="105"/>
      <c r="CR543" s="105"/>
      <c r="CS543" s="105"/>
      <c r="CT543" s="105"/>
      <c r="CU543" s="105"/>
      <c r="CV543" s="105"/>
      <c r="CW543" s="105"/>
      <c r="CX543" s="105"/>
      <c r="CY543" s="105"/>
      <c r="CZ543" s="105"/>
      <c r="DA543" s="105"/>
    </row>
    <row r="544">
      <c r="B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c r="AA544" s="105"/>
      <c r="AB544" s="105"/>
      <c r="AC544" s="105"/>
      <c r="AD544" s="105"/>
      <c r="AE544" s="105"/>
      <c r="AF544" s="105"/>
      <c r="AG544" s="105"/>
      <c r="AH544" s="105"/>
      <c r="AI544" s="105"/>
      <c r="AJ544" s="105"/>
      <c r="AK544" s="105"/>
      <c r="AL544" s="105"/>
      <c r="AM544" s="105"/>
      <c r="AN544" s="105"/>
      <c r="AO544" s="105"/>
      <c r="AP544" s="105"/>
      <c r="AQ544" s="105"/>
      <c r="AR544" s="105"/>
      <c r="AS544" s="105"/>
      <c r="AT544" s="105"/>
      <c r="AU544" s="105"/>
      <c r="AV544" s="105"/>
      <c r="AW544" s="105"/>
      <c r="AX544" s="105"/>
      <c r="AY544" s="105"/>
      <c r="AZ544" s="105"/>
      <c r="BA544" s="105"/>
      <c r="BB544" s="105"/>
      <c r="BC544" s="105"/>
      <c r="BD544" s="105"/>
      <c r="BE544" s="105"/>
      <c r="BF544" s="105"/>
      <c r="BG544" s="105"/>
      <c r="BH544" s="105"/>
      <c r="BI544" s="105"/>
      <c r="BJ544" s="105"/>
      <c r="BK544" s="105"/>
      <c r="BL544" s="105"/>
      <c r="BM544" s="105"/>
      <c r="BN544" s="105"/>
      <c r="BO544" s="105"/>
      <c r="BP544" s="105"/>
      <c r="BQ544" s="105"/>
      <c r="BR544" s="105"/>
      <c r="BS544" s="105"/>
      <c r="BT544" s="105"/>
      <c r="BU544" s="105"/>
      <c r="BV544" s="105"/>
      <c r="BW544" s="105"/>
      <c r="BX544" s="105"/>
      <c r="BY544" s="105"/>
      <c r="BZ544" s="105"/>
      <c r="CA544" s="105"/>
      <c r="CB544" s="105"/>
      <c r="CC544" s="105"/>
      <c r="CD544" s="105"/>
      <c r="CE544" s="105"/>
      <c r="CF544" s="105"/>
      <c r="CG544" s="105"/>
      <c r="CH544" s="105"/>
      <c r="CI544" s="105"/>
      <c r="CJ544" s="105"/>
      <c r="CK544" s="105"/>
      <c r="CL544" s="105"/>
      <c r="CM544" s="105"/>
      <c r="CN544" s="105"/>
      <c r="CO544" s="105"/>
      <c r="CP544" s="105"/>
      <c r="CQ544" s="105"/>
      <c r="CR544" s="105"/>
      <c r="CS544" s="105"/>
      <c r="CT544" s="105"/>
      <c r="CU544" s="105"/>
      <c r="CV544" s="105"/>
      <c r="CW544" s="105"/>
      <c r="CX544" s="105"/>
      <c r="CY544" s="105"/>
      <c r="CZ544" s="105"/>
      <c r="DA544" s="105"/>
    </row>
    <row r="545">
      <c r="B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c r="AA545" s="105"/>
      <c r="AB545" s="105"/>
      <c r="AC545" s="105"/>
      <c r="AD545" s="105"/>
      <c r="AE545" s="105"/>
      <c r="AF545" s="105"/>
      <c r="AG545" s="105"/>
      <c r="AH545" s="105"/>
      <c r="AI545" s="105"/>
      <c r="AJ545" s="105"/>
      <c r="AK545" s="105"/>
      <c r="AL545" s="105"/>
      <c r="AM545" s="105"/>
      <c r="AN545" s="105"/>
      <c r="AO545" s="105"/>
      <c r="AP545" s="105"/>
      <c r="AQ545" s="105"/>
      <c r="AR545" s="105"/>
      <c r="AS545" s="105"/>
      <c r="AT545" s="105"/>
      <c r="AU545" s="105"/>
      <c r="AV545" s="105"/>
      <c r="AW545" s="105"/>
      <c r="AX545" s="105"/>
      <c r="AY545" s="105"/>
      <c r="AZ545" s="105"/>
      <c r="BA545" s="105"/>
      <c r="BB545" s="105"/>
      <c r="BC545" s="105"/>
      <c r="BD545" s="105"/>
      <c r="BE545" s="105"/>
      <c r="BF545" s="105"/>
      <c r="BG545" s="105"/>
      <c r="BH545" s="105"/>
      <c r="BI545" s="105"/>
      <c r="BJ545" s="105"/>
      <c r="BK545" s="105"/>
      <c r="BL545" s="105"/>
      <c r="BM545" s="105"/>
      <c r="BN545" s="105"/>
      <c r="BO545" s="105"/>
      <c r="BP545" s="105"/>
      <c r="BQ545" s="105"/>
      <c r="BR545" s="105"/>
      <c r="BS545" s="105"/>
      <c r="BT545" s="105"/>
      <c r="BU545" s="105"/>
      <c r="BV545" s="105"/>
      <c r="BW545" s="105"/>
      <c r="BX545" s="105"/>
      <c r="BY545" s="105"/>
      <c r="BZ545" s="105"/>
      <c r="CA545" s="105"/>
      <c r="CB545" s="105"/>
      <c r="CC545" s="105"/>
      <c r="CD545" s="105"/>
      <c r="CE545" s="105"/>
      <c r="CF545" s="105"/>
      <c r="CG545" s="105"/>
      <c r="CH545" s="105"/>
      <c r="CI545" s="105"/>
      <c r="CJ545" s="105"/>
      <c r="CK545" s="105"/>
      <c r="CL545" s="105"/>
      <c r="CM545" s="105"/>
      <c r="CN545" s="105"/>
      <c r="CO545" s="105"/>
      <c r="CP545" s="105"/>
      <c r="CQ545" s="105"/>
      <c r="CR545" s="105"/>
      <c r="CS545" s="105"/>
      <c r="CT545" s="105"/>
      <c r="CU545" s="105"/>
      <c r="CV545" s="105"/>
      <c r="CW545" s="105"/>
      <c r="CX545" s="105"/>
      <c r="CY545" s="105"/>
      <c r="CZ545" s="105"/>
      <c r="DA545" s="105"/>
    </row>
    <row r="546">
      <c r="B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c r="AA546" s="105"/>
      <c r="AB546" s="105"/>
      <c r="AC546" s="105"/>
      <c r="AD546" s="105"/>
      <c r="AE546" s="105"/>
      <c r="AF546" s="105"/>
      <c r="AG546" s="105"/>
      <c r="AH546" s="105"/>
      <c r="AI546" s="105"/>
      <c r="AJ546" s="105"/>
      <c r="AK546" s="105"/>
      <c r="AL546" s="105"/>
      <c r="AM546" s="105"/>
      <c r="AN546" s="105"/>
      <c r="AO546" s="105"/>
      <c r="AP546" s="105"/>
      <c r="AQ546" s="105"/>
      <c r="AR546" s="105"/>
      <c r="AS546" s="105"/>
      <c r="AT546" s="105"/>
      <c r="AU546" s="105"/>
      <c r="AV546" s="105"/>
      <c r="AW546" s="105"/>
      <c r="AX546" s="105"/>
      <c r="AY546" s="105"/>
      <c r="AZ546" s="105"/>
      <c r="BA546" s="105"/>
      <c r="BB546" s="105"/>
      <c r="BC546" s="105"/>
      <c r="BD546" s="105"/>
      <c r="BE546" s="105"/>
      <c r="BF546" s="105"/>
      <c r="BG546" s="105"/>
      <c r="BH546" s="105"/>
      <c r="BI546" s="105"/>
      <c r="BJ546" s="105"/>
      <c r="BK546" s="105"/>
      <c r="BL546" s="105"/>
      <c r="BM546" s="105"/>
      <c r="BN546" s="105"/>
      <c r="BO546" s="105"/>
      <c r="BP546" s="105"/>
      <c r="BQ546" s="105"/>
      <c r="BR546" s="105"/>
      <c r="BS546" s="105"/>
      <c r="BT546" s="105"/>
      <c r="BU546" s="105"/>
      <c r="BV546" s="105"/>
      <c r="BW546" s="105"/>
      <c r="BX546" s="105"/>
      <c r="BY546" s="105"/>
      <c r="BZ546" s="105"/>
      <c r="CA546" s="105"/>
      <c r="CB546" s="105"/>
      <c r="CC546" s="105"/>
      <c r="CD546" s="105"/>
      <c r="CE546" s="105"/>
      <c r="CF546" s="105"/>
      <c r="CG546" s="105"/>
      <c r="CH546" s="105"/>
      <c r="CI546" s="105"/>
      <c r="CJ546" s="105"/>
      <c r="CK546" s="105"/>
      <c r="CL546" s="105"/>
      <c r="CM546" s="105"/>
      <c r="CN546" s="105"/>
      <c r="CO546" s="105"/>
      <c r="CP546" s="105"/>
      <c r="CQ546" s="105"/>
      <c r="CR546" s="105"/>
      <c r="CS546" s="105"/>
      <c r="CT546" s="105"/>
      <c r="CU546" s="105"/>
      <c r="CV546" s="105"/>
      <c r="CW546" s="105"/>
      <c r="CX546" s="105"/>
      <c r="CY546" s="105"/>
      <c r="CZ546" s="105"/>
      <c r="DA546" s="105"/>
    </row>
    <row r="547">
      <c r="B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c r="AA547" s="105"/>
      <c r="AB547" s="105"/>
      <c r="AC547" s="105"/>
      <c r="AD547" s="105"/>
      <c r="AE547" s="105"/>
      <c r="AF547" s="105"/>
      <c r="AG547" s="105"/>
      <c r="AH547" s="105"/>
      <c r="AI547" s="105"/>
      <c r="AJ547" s="105"/>
      <c r="AK547" s="105"/>
      <c r="AL547" s="105"/>
      <c r="AM547" s="105"/>
      <c r="AN547" s="105"/>
      <c r="AO547" s="105"/>
      <c r="AP547" s="105"/>
      <c r="AQ547" s="105"/>
      <c r="AR547" s="105"/>
      <c r="AS547" s="105"/>
      <c r="AT547" s="105"/>
      <c r="AU547" s="105"/>
      <c r="AV547" s="105"/>
      <c r="AW547" s="105"/>
      <c r="AX547" s="105"/>
      <c r="AY547" s="105"/>
      <c r="AZ547" s="105"/>
      <c r="BA547" s="105"/>
      <c r="BB547" s="105"/>
      <c r="BC547" s="105"/>
      <c r="BD547" s="105"/>
      <c r="BE547" s="105"/>
      <c r="BF547" s="105"/>
      <c r="BG547" s="105"/>
      <c r="BH547" s="105"/>
      <c r="BI547" s="105"/>
      <c r="BJ547" s="105"/>
      <c r="BK547" s="105"/>
      <c r="BL547" s="105"/>
      <c r="BM547" s="105"/>
      <c r="BN547" s="105"/>
      <c r="BO547" s="105"/>
      <c r="BP547" s="105"/>
      <c r="BQ547" s="105"/>
      <c r="BR547" s="105"/>
      <c r="BS547" s="105"/>
      <c r="BT547" s="105"/>
      <c r="BU547" s="105"/>
      <c r="BV547" s="105"/>
      <c r="BW547" s="105"/>
      <c r="BX547" s="105"/>
      <c r="BY547" s="105"/>
      <c r="BZ547" s="105"/>
      <c r="CA547" s="105"/>
      <c r="CB547" s="105"/>
      <c r="CC547" s="105"/>
      <c r="CD547" s="105"/>
      <c r="CE547" s="105"/>
      <c r="CF547" s="105"/>
      <c r="CG547" s="105"/>
      <c r="CH547" s="105"/>
      <c r="CI547" s="105"/>
      <c r="CJ547" s="105"/>
      <c r="CK547" s="105"/>
      <c r="CL547" s="105"/>
      <c r="CM547" s="105"/>
      <c r="CN547" s="105"/>
      <c r="CO547" s="105"/>
      <c r="CP547" s="105"/>
      <c r="CQ547" s="105"/>
      <c r="CR547" s="105"/>
      <c r="CS547" s="105"/>
      <c r="CT547" s="105"/>
      <c r="CU547" s="105"/>
      <c r="CV547" s="105"/>
      <c r="CW547" s="105"/>
      <c r="CX547" s="105"/>
      <c r="CY547" s="105"/>
      <c r="CZ547" s="105"/>
      <c r="DA547" s="105"/>
    </row>
    <row r="548">
      <c r="B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c r="AA548" s="105"/>
      <c r="AB548" s="105"/>
      <c r="AC548" s="105"/>
      <c r="AD548" s="105"/>
      <c r="AE548" s="105"/>
      <c r="AF548" s="105"/>
      <c r="AG548" s="105"/>
      <c r="AH548" s="105"/>
      <c r="AI548" s="105"/>
      <c r="AJ548" s="105"/>
      <c r="AK548" s="105"/>
      <c r="AL548" s="105"/>
      <c r="AM548" s="105"/>
      <c r="AN548" s="105"/>
      <c r="AO548" s="105"/>
      <c r="AP548" s="105"/>
      <c r="AQ548" s="105"/>
      <c r="AR548" s="105"/>
      <c r="AS548" s="105"/>
      <c r="AT548" s="105"/>
      <c r="AU548" s="105"/>
      <c r="AV548" s="105"/>
      <c r="AW548" s="105"/>
      <c r="AX548" s="105"/>
      <c r="AY548" s="105"/>
      <c r="AZ548" s="105"/>
      <c r="BA548" s="105"/>
      <c r="BB548" s="105"/>
      <c r="BC548" s="105"/>
      <c r="BD548" s="105"/>
      <c r="BE548" s="105"/>
      <c r="BF548" s="105"/>
      <c r="BG548" s="105"/>
      <c r="BH548" s="105"/>
      <c r="BI548" s="105"/>
      <c r="BJ548" s="105"/>
      <c r="BK548" s="105"/>
      <c r="BL548" s="105"/>
      <c r="BM548" s="105"/>
      <c r="BN548" s="105"/>
      <c r="BO548" s="105"/>
      <c r="BP548" s="105"/>
      <c r="BQ548" s="105"/>
      <c r="BR548" s="105"/>
      <c r="BS548" s="105"/>
      <c r="BT548" s="105"/>
      <c r="BU548" s="105"/>
      <c r="BV548" s="105"/>
      <c r="BW548" s="105"/>
      <c r="BX548" s="105"/>
      <c r="BY548" s="105"/>
      <c r="BZ548" s="105"/>
      <c r="CA548" s="105"/>
      <c r="CB548" s="105"/>
      <c r="CC548" s="105"/>
      <c r="CD548" s="105"/>
      <c r="CE548" s="105"/>
      <c r="CF548" s="105"/>
      <c r="CG548" s="105"/>
      <c r="CH548" s="105"/>
      <c r="CI548" s="105"/>
      <c r="CJ548" s="105"/>
      <c r="CK548" s="105"/>
      <c r="CL548" s="105"/>
      <c r="CM548" s="105"/>
      <c r="CN548" s="105"/>
      <c r="CO548" s="105"/>
      <c r="CP548" s="105"/>
      <c r="CQ548" s="105"/>
      <c r="CR548" s="105"/>
      <c r="CS548" s="105"/>
      <c r="CT548" s="105"/>
      <c r="CU548" s="105"/>
      <c r="CV548" s="105"/>
      <c r="CW548" s="105"/>
      <c r="CX548" s="105"/>
      <c r="CY548" s="105"/>
      <c r="CZ548" s="105"/>
      <c r="DA548" s="105"/>
    </row>
    <row r="549">
      <c r="B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c r="AA549" s="105"/>
      <c r="AB549" s="105"/>
      <c r="AC549" s="105"/>
      <c r="AD549" s="105"/>
      <c r="AE549" s="105"/>
      <c r="AF549" s="105"/>
      <c r="AG549" s="105"/>
      <c r="AH549" s="105"/>
      <c r="AI549" s="105"/>
      <c r="AJ549" s="105"/>
      <c r="AK549" s="105"/>
      <c r="AL549" s="105"/>
      <c r="AM549" s="105"/>
      <c r="AN549" s="105"/>
      <c r="AO549" s="105"/>
      <c r="AP549" s="105"/>
      <c r="AQ549" s="105"/>
      <c r="AR549" s="105"/>
      <c r="AS549" s="105"/>
      <c r="AT549" s="105"/>
      <c r="AU549" s="105"/>
      <c r="AV549" s="105"/>
      <c r="AW549" s="105"/>
      <c r="AX549" s="105"/>
      <c r="AY549" s="105"/>
      <c r="AZ549" s="105"/>
      <c r="BA549" s="105"/>
      <c r="BB549" s="105"/>
      <c r="BC549" s="105"/>
      <c r="BD549" s="105"/>
      <c r="BE549" s="105"/>
      <c r="BF549" s="105"/>
      <c r="BG549" s="105"/>
      <c r="BH549" s="105"/>
      <c r="BI549" s="105"/>
      <c r="BJ549" s="105"/>
      <c r="BK549" s="105"/>
      <c r="BL549" s="105"/>
      <c r="BM549" s="105"/>
      <c r="BN549" s="105"/>
      <c r="BO549" s="105"/>
      <c r="BP549" s="105"/>
      <c r="BQ549" s="105"/>
      <c r="BR549" s="105"/>
      <c r="BS549" s="105"/>
      <c r="BT549" s="105"/>
      <c r="BU549" s="105"/>
      <c r="BV549" s="105"/>
      <c r="BW549" s="105"/>
      <c r="BX549" s="105"/>
      <c r="BY549" s="105"/>
      <c r="BZ549" s="105"/>
      <c r="CA549" s="105"/>
      <c r="CB549" s="105"/>
      <c r="CC549" s="105"/>
      <c r="CD549" s="105"/>
      <c r="CE549" s="105"/>
      <c r="CF549" s="105"/>
      <c r="CG549" s="105"/>
      <c r="CH549" s="105"/>
      <c r="CI549" s="105"/>
      <c r="CJ549" s="105"/>
      <c r="CK549" s="105"/>
      <c r="CL549" s="105"/>
      <c r="CM549" s="105"/>
      <c r="CN549" s="105"/>
      <c r="CO549" s="105"/>
      <c r="CP549" s="105"/>
      <c r="CQ549" s="105"/>
      <c r="CR549" s="105"/>
      <c r="CS549" s="105"/>
      <c r="CT549" s="105"/>
      <c r="CU549" s="105"/>
      <c r="CV549" s="105"/>
      <c r="CW549" s="105"/>
      <c r="CX549" s="105"/>
      <c r="CY549" s="105"/>
      <c r="CZ549" s="105"/>
      <c r="DA549" s="105"/>
    </row>
    <row r="550">
      <c r="B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c r="AA550" s="105"/>
      <c r="AB550" s="105"/>
      <c r="AC550" s="105"/>
      <c r="AD550" s="105"/>
      <c r="AE550" s="105"/>
      <c r="AF550" s="105"/>
      <c r="AG550" s="105"/>
      <c r="AH550" s="105"/>
      <c r="AI550" s="105"/>
      <c r="AJ550" s="105"/>
      <c r="AK550" s="105"/>
      <c r="AL550" s="105"/>
      <c r="AM550" s="105"/>
      <c r="AN550" s="105"/>
      <c r="AO550" s="105"/>
      <c r="AP550" s="105"/>
      <c r="AQ550" s="105"/>
      <c r="AR550" s="105"/>
      <c r="AS550" s="105"/>
      <c r="AT550" s="105"/>
      <c r="AU550" s="105"/>
      <c r="AV550" s="105"/>
      <c r="AW550" s="105"/>
      <c r="AX550" s="105"/>
      <c r="AY550" s="105"/>
      <c r="AZ550" s="105"/>
      <c r="BA550" s="105"/>
      <c r="BB550" s="105"/>
      <c r="BC550" s="105"/>
      <c r="BD550" s="105"/>
      <c r="BE550" s="105"/>
      <c r="BF550" s="105"/>
      <c r="BG550" s="105"/>
      <c r="BH550" s="105"/>
      <c r="BI550" s="105"/>
      <c r="BJ550" s="105"/>
      <c r="BK550" s="105"/>
      <c r="BL550" s="105"/>
      <c r="BM550" s="105"/>
      <c r="BN550" s="105"/>
      <c r="BO550" s="105"/>
      <c r="BP550" s="105"/>
      <c r="BQ550" s="105"/>
      <c r="BR550" s="105"/>
      <c r="BS550" s="105"/>
      <c r="BT550" s="105"/>
      <c r="BU550" s="105"/>
      <c r="BV550" s="105"/>
      <c r="BW550" s="105"/>
      <c r="BX550" s="105"/>
      <c r="BY550" s="105"/>
      <c r="BZ550" s="105"/>
      <c r="CA550" s="105"/>
      <c r="CB550" s="105"/>
      <c r="CC550" s="105"/>
      <c r="CD550" s="105"/>
      <c r="CE550" s="105"/>
      <c r="CF550" s="105"/>
      <c r="CG550" s="105"/>
      <c r="CH550" s="105"/>
      <c r="CI550" s="105"/>
      <c r="CJ550" s="105"/>
      <c r="CK550" s="105"/>
      <c r="CL550" s="105"/>
      <c r="CM550" s="105"/>
      <c r="CN550" s="105"/>
      <c r="CO550" s="105"/>
      <c r="CP550" s="105"/>
      <c r="CQ550" s="105"/>
      <c r="CR550" s="105"/>
      <c r="CS550" s="105"/>
      <c r="CT550" s="105"/>
      <c r="CU550" s="105"/>
      <c r="CV550" s="105"/>
      <c r="CW550" s="105"/>
      <c r="CX550" s="105"/>
      <c r="CY550" s="105"/>
      <c r="CZ550" s="105"/>
      <c r="DA550" s="105"/>
    </row>
    <row r="551">
      <c r="B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c r="AA551" s="105"/>
      <c r="AB551" s="105"/>
      <c r="AC551" s="105"/>
      <c r="AD551" s="105"/>
      <c r="AE551" s="105"/>
      <c r="AF551" s="105"/>
      <c r="AG551" s="105"/>
      <c r="AH551" s="105"/>
      <c r="AI551" s="105"/>
      <c r="AJ551" s="105"/>
      <c r="AK551" s="105"/>
      <c r="AL551" s="105"/>
      <c r="AM551" s="105"/>
      <c r="AN551" s="105"/>
      <c r="AO551" s="105"/>
      <c r="AP551" s="105"/>
      <c r="AQ551" s="105"/>
      <c r="AR551" s="105"/>
      <c r="AS551" s="105"/>
      <c r="AT551" s="105"/>
      <c r="AU551" s="105"/>
      <c r="AV551" s="105"/>
      <c r="AW551" s="105"/>
      <c r="AX551" s="105"/>
      <c r="AY551" s="105"/>
      <c r="AZ551" s="105"/>
      <c r="BA551" s="105"/>
      <c r="BB551" s="105"/>
      <c r="BC551" s="105"/>
      <c r="BD551" s="105"/>
      <c r="BE551" s="105"/>
      <c r="BF551" s="105"/>
      <c r="BG551" s="105"/>
      <c r="BH551" s="105"/>
      <c r="BI551" s="105"/>
      <c r="BJ551" s="105"/>
      <c r="BK551" s="105"/>
      <c r="BL551" s="105"/>
      <c r="BM551" s="105"/>
      <c r="BN551" s="105"/>
      <c r="BO551" s="105"/>
      <c r="BP551" s="105"/>
      <c r="BQ551" s="105"/>
      <c r="BR551" s="105"/>
      <c r="BS551" s="105"/>
      <c r="BT551" s="105"/>
      <c r="BU551" s="105"/>
      <c r="BV551" s="105"/>
      <c r="BW551" s="105"/>
      <c r="BX551" s="105"/>
      <c r="BY551" s="105"/>
      <c r="BZ551" s="105"/>
      <c r="CA551" s="105"/>
      <c r="CB551" s="105"/>
      <c r="CC551" s="105"/>
      <c r="CD551" s="105"/>
      <c r="CE551" s="105"/>
      <c r="CF551" s="105"/>
      <c r="CG551" s="105"/>
      <c r="CH551" s="105"/>
      <c r="CI551" s="105"/>
      <c r="CJ551" s="105"/>
      <c r="CK551" s="105"/>
      <c r="CL551" s="105"/>
      <c r="CM551" s="105"/>
      <c r="CN551" s="105"/>
      <c r="CO551" s="105"/>
      <c r="CP551" s="105"/>
      <c r="CQ551" s="105"/>
      <c r="CR551" s="105"/>
      <c r="CS551" s="105"/>
      <c r="CT551" s="105"/>
      <c r="CU551" s="105"/>
      <c r="CV551" s="105"/>
      <c r="CW551" s="105"/>
      <c r="CX551" s="105"/>
      <c r="CY551" s="105"/>
      <c r="CZ551" s="105"/>
      <c r="DA551" s="105"/>
    </row>
    <row r="552">
      <c r="B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c r="AA552" s="105"/>
      <c r="AB552" s="105"/>
      <c r="AC552" s="105"/>
      <c r="AD552" s="105"/>
      <c r="AE552" s="105"/>
      <c r="AF552" s="105"/>
      <c r="AG552" s="105"/>
      <c r="AH552" s="105"/>
      <c r="AI552" s="105"/>
      <c r="AJ552" s="105"/>
      <c r="AK552" s="105"/>
      <c r="AL552" s="105"/>
      <c r="AM552" s="105"/>
      <c r="AN552" s="105"/>
      <c r="AO552" s="105"/>
      <c r="AP552" s="105"/>
      <c r="AQ552" s="105"/>
      <c r="AR552" s="105"/>
      <c r="AS552" s="105"/>
      <c r="AT552" s="105"/>
      <c r="AU552" s="105"/>
      <c r="AV552" s="105"/>
      <c r="AW552" s="105"/>
      <c r="AX552" s="105"/>
      <c r="AY552" s="105"/>
      <c r="AZ552" s="105"/>
      <c r="BA552" s="105"/>
      <c r="BB552" s="105"/>
      <c r="BC552" s="105"/>
      <c r="BD552" s="105"/>
      <c r="BE552" s="105"/>
      <c r="BF552" s="105"/>
      <c r="BG552" s="105"/>
      <c r="BH552" s="105"/>
      <c r="BI552" s="105"/>
      <c r="BJ552" s="105"/>
      <c r="BK552" s="105"/>
      <c r="BL552" s="105"/>
      <c r="BM552" s="105"/>
      <c r="BN552" s="105"/>
      <c r="BO552" s="105"/>
      <c r="BP552" s="105"/>
      <c r="BQ552" s="105"/>
      <c r="BR552" s="105"/>
      <c r="BS552" s="105"/>
      <c r="BT552" s="105"/>
      <c r="BU552" s="105"/>
      <c r="BV552" s="105"/>
      <c r="BW552" s="105"/>
      <c r="BX552" s="105"/>
      <c r="BY552" s="105"/>
      <c r="BZ552" s="105"/>
      <c r="CA552" s="105"/>
      <c r="CB552" s="105"/>
      <c r="CC552" s="105"/>
      <c r="CD552" s="105"/>
      <c r="CE552" s="105"/>
      <c r="CF552" s="105"/>
      <c r="CG552" s="105"/>
      <c r="CH552" s="105"/>
      <c r="CI552" s="105"/>
      <c r="CJ552" s="105"/>
      <c r="CK552" s="105"/>
      <c r="CL552" s="105"/>
      <c r="CM552" s="105"/>
      <c r="CN552" s="105"/>
      <c r="CO552" s="105"/>
      <c r="CP552" s="105"/>
      <c r="CQ552" s="105"/>
      <c r="CR552" s="105"/>
      <c r="CS552" s="105"/>
      <c r="CT552" s="105"/>
      <c r="CU552" s="105"/>
      <c r="CV552" s="105"/>
      <c r="CW552" s="105"/>
      <c r="CX552" s="105"/>
      <c r="CY552" s="105"/>
      <c r="CZ552" s="105"/>
      <c r="DA552" s="105"/>
    </row>
    <row r="553">
      <c r="B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c r="AA553" s="105"/>
      <c r="AB553" s="105"/>
      <c r="AC553" s="105"/>
      <c r="AD553" s="105"/>
      <c r="AE553" s="105"/>
      <c r="AF553" s="105"/>
      <c r="AG553" s="105"/>
      <c r="AH553" s="105"/>
      <c r="AI553" s="105"/>
      <c r="AJ553" s="105"/>
      <c r="AK553" s="105"/>
      <c r="AL553" s="105"/>
      <c r="AM553" s="105"/>
      <c r="AN553" s="105"/>
      <c r="AO553" s="105"/>
      <c r="AP553" s="105"/>
      <c r="AQ553" s="105"/>
      <c r="AR553" s="105"/>
      <c r="AS553" s="105"/>
      <c r="AT553" s="105"/>
      <c r="AU553" s="105"/>
      <c r="AV553" s="105"/>
      <c r="AW553" s="105"/>
      <c r="AX553" s="105"/>
      <c r="AY553" s="105"/>
      <c r="AZ553" s="105"/>
      <c r="BA553" s="105"/>
      <c r="BB553" s="105"/>
      <c r="BC553" s="105"/>
      <c r="BD553" s="105"/>
      <c r="BE553" s="105"/>
      <c r="BF553" s="105"/>
      <c r="BG553" s="105"/>
      <c r="BH553" s="105"/>
      <c r="BI553" s="105"/>
      <c r="BJ553" s="105"/>
      <c r="BK553" s="105"/>
      <c r="BL553" s="105"/>
      <c r="BM553" s="105"/>
      <c r="BN553" s="105"/>
      <c r="BO553" s="105"/>
      <c r="BP553" s="105"/>
      <c r="BQ553" s="105"/>
      <c r="BR553" s="105"/>
      <c r="BS553" s="105"/>
      <c r="BT553" s="105"/>
      <c r="BU553" s="105"/>
      <c r="BV553" s="105"/>
      <c r="BW553" s="105"/>
      <c r="BX553" s="105"/>
      <c r="BY553" s="105"/>
      <c r="BZ553" s="105"/>
      <c r="CA553" s="105"/>
      <c r="CB553" s="105"/>
      <c r="CC553" s="105"/>
      <c r="CD553" s="105"/>
      <c r="CE553" s="105"/>
      <c r="CF553" s="105"/>
      <c r="CG553" s="105"/>
      <c r="CH553" s="105"/>
      <c r="CI553" s="105"/>
      <c r="CJ553" s="105"/>
      <c r="CK553" s="105"/>
      <c r="CL553" s="105"/>
      <c r="CM553" s="105"/>
      <c r="CN553" s="105"/>
      <c r="CO553" s="105"/>
      <c r="CP553" s="105"/>
      <c r="CQ553" s="105"/>
      <c r="CR553" s="105"/>
      <c r="CS553" s="105"/>
      <c r="CT553" s="105"/>
      <c r="CU553" s="105"/>
      <c r="CV553" s="105"/>
      <c r="CW553" s="105"/>
      <c r="CX553" s="105"/>
      <c r="CY553" s="105"/>
      <c r="CZ553" s="105"/>
      <c r="DA553" s="105"/>
    </row>
    <row r="554">
      <c r="B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c r="AA554" s="105"/>
      <c r="AB554" s="105"/>
      <c r="AC554" s="105"/>
      <c r="AD554" s="105"/>
      <c r="AE554" s="105"/>
      <c r="AF554" s="105"/>
      <c r="AG554" s="105"/>
      <c r="AH554" s="105"/>
      <c r="AI554" s="105"/>
      <c r="AJ554" s="105"/>
      <c r="AK554" s="105"/>
      <c r="AL554" s="105"/>
      <c r="AM554" s="105"/>
      <c r="AN554" s="105"/>
      <c r="AO554" s="105"/>
      <c r="AP554" s="105"/>
      <c r="AQ554" s="105"/>
      <c r="AR554" s="105"/>
      <c r="AS554" s="105"/>
      <c r="AT554" s="105"/>
      <c r="AU554" s="105"/>
      <c r="AV554" s="105"/>
      <c r="AW554" s="105"/>
      <c r="AX554" s="105"/>
      <c r="AY554" s="105"/>
      <c r="AZ554" s="105"/>
      <c r="BA554" s="105"/>
      <c r="BB554" s="105"/>
      <c r="BC554" s="105"/>
      <c r="BD554" s="105"/>
      <c r="BE554" s="105"/>
      <c r="BF554" s="105"/>
      <c r="BG554" s="105"/>
      <c r="BH554" s="105"/>
      <c r="BI554" s="105"/>
      <c r="BJ554" s="105"/>
      <c r="BK554" s="105"/>
      <c r="BL554" s="105"/>
      <c r="BM554" s="105"/>
      <c r="BN554" s="105"/>
      <c r="BO554" s="105"/>
      <c r="BP554" s="105"/>
      <c r="BQ554" s="105"/>
      <c r="BR554" s="105"/>
      <c r="BS554" s="105"/>
      <c r="BT554" s="105"/>
      <c r="BU554" s="105"/>
      <c r="BV554" s="105"/>
      <c r="BW554" s="105"/>
      <c r="BX554" s="105"/>
      <c r="BY554" s="105"/>
      <c r="BZ554" s="105"/>
      <c r="CA554" s="105"/>
      <c r="CB554" s="105"/>
      <c r="CC554" s="105"/>
      <c r="CD554" s="105"/>
      <c r="CE554" s="105"/>
      <c r="CF554" s="105"/>
      <c r="CG554" s="105"/>
      <c r="CH554" s="105"/>
      <c r="CI554" s="105"/>
      <c r="CJ554" s="105"/>
      <c r="CK554" s="105"/>
      <c r="CL554" s="105"/>
      <c r="CM554" s="105"/>
      <c r="CN554" s="105"/>
      <c r="CO554" s="105"/>
      <c r="CP554" s="105"/>
      <c r="CQ554" s="105"/>
      <c r="CR554" s="105"/>
      <c r="CS554" s="105"/>
      <c r="CT554" s="105"/>
      <c r="CU554" s="105"/>
      <c r="CV554" s="105"/>
      <c r="CW554" s="105"/>
      <c r="CX554" s="105"/>
      <c r="CY554" s="105"/>
      <c r="CZ554" s="105"/>
      <c r="DA554" s="105"/>
    </row>
    <row r="555">
      <c r="B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c r="AA555" s="105"/>
      <c r="AB555" s="105"/>
      <c r="AC555" s="105"/>
      <c r="AD555" s="105"/>
      <c r="AE555" s="105"/>
      <c r="AF555" s="105"/>
      <c r="AG555" s="105"/>
      <c r="AH555" s="105"/>
      <c r="AI555" s="105"/>
      <c r="AJ555" s="105"/>
      <c r="AK555" s="105"/>
      <c r="AL555" s="105"/>
      <c r="AM555" s="105"/>
      <c r="AN555" s="105"/>
      <c r="AO555" s="105"/>
      <c r="AP555" s="105"/>
      <c r="AQ555" s="105"/>
      <c r="AR555" s="105"/>
      <c r="AS555" s="105"/>
      <c r="AT555" s="105"/>
      <c r="AU555" s="105"/>
      <c r="AV555" s="105"/>
      <c r="AW555" s="105"/>
      <c r="AX555" s="105"/>
      <c r="AY555" s="105"/>
      <c r="AZ555" s="105"/>
      <c r="BA555" s="105"/>
      <c r="BB555" s="105"/>
      <c r="BC555" s="105"/>
      <c r="BD555" s="105"/>
      <c r="BE555" s="105"/>
      <c r="BF555" s="105"/>
      <c r="BG555" s="105"/>
      <c r="BH555" s="105"/>
      <c r="BI555" s="105"/>
      <c r="BJ555" s="105"/>
      <c r="BK555" s="105"/>
      <c r="BL555" s="105"/>
      <c r="BM555" s="105"/>
      <c r="BN555" s="105"/>
      <c r="BO555" s="105"/>
      <c r="BP555" s="105"/>
      <c r="BQ555" s="105"/>
      <c r="BR555" s="105"/>
      <c r="BS555" s="105"/>
      <c r="BT555" s="105"/>
      <c r="BU555" s="105"/>
      <c r="BV555" s="105"/>
      <c r="BW555" s="105"/>
      <c r="BX555" s="105"/>
      <c r="BY555" s="105"/>
      <c r="BZ555" s="105"/>
      <c r="CA555" s="105"/>
      <c r="CB555" s="105"/>
      <c r="CC555" s="105"/>
      <c r="CD555" s="105"/>
      <c r="CE555" s="105"/>
      <c r="CF555" s="105"/>
      <c r="CG555" s="105"/>
      <c r="CH555" s="105"/>
      <c r="CI555" s="105"/>
      <c r="CJ555" s="105"/>
      <c r="CK555" s="105"/>
      <c r="CL555" s="105"/>
      <c r="CM555" s="105"/>
      <c r="CN555" s="105"/>
      <c r="CO555" s="105"/>
      <c r="CP555" s="105"/>
      <c r="CQ555" s="105"/>
      <c r="CR555" s="105"/>
      <c r="CS555" s="105"/>
      <c r="CT555" s="105"/>
      <c r="CU555" s="105"/>
      <c r="CV555" s="105"/>
      <c r="CW555" s="105"/>
      <c r="CX555" s="105"/>
      <c r="CY555" s="105"/>
      <c r="CZ555" s="105"/>
      <c r="DA555" s="105"/>
    </row>
    <row r="556">
      <c r="B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c r="AA556" s="105"/>
      <c r="AB556" s="105"/>
      <c r="AC556" s="105"/>
      <c r="AD556" s="105"/>
      <c r="AE556" s="105"/>
      <c r="AF556" s="105"/>
      <c r="AG556" s="105"/>
      <c r="AH556" s="105"/>
      <c r="AI556" s="105"/>
      <c r="AJ556" s="105"/>
      <c r="AK556" s="105"/>
      <c r="AL556" s="105"/>
      <c r="AM556" s="105"/>
      <c r="AN556" s="105"/>
      <c r="AO556" s="105"/>
      <c r="AP556" s="105"/>
      <c r="AQ556" s="105"/>
      <c r="AR556" s="105"/>
      <c r="AS556" s="105"/>
      <c r="AT556" s="105"/>
      <c r="AU556" s="105"/>
      <c r="AV556" s="105"/>
      <c r="AW556" s="105"/>
      <c r="AX556" s="105"/>
      <c r="AY556" s="105"/>
      <c r="AZ556" s="105"/>
      <c r="BA556" s="105"/>
      <c r="BB556" s="105"/>
      <c r="BC556" s="105"/>
      <c r="BD556" s="105"/>
      <c r="BE556" s="105"/>
      <c r="BF556" s="105"/>
      <c r="BG556" s="105"/>
      <c r="BH556" s="105"/>
      <c r="BI556" s="105"/>
      <c r="BJ556" s="105"/>
      <c r="BK556" s="105"/>
      <c r="BL556" s="105"/>
      <c r="BM556" s="105"/>
      <c r="BN556" s="105"/>
      <c r="BO556" s="105"/>
      <c r="BP556" s="105"/>
      <c r="BQ556" s="105"/>
      <c r="BR556" s="105"/>
      <c r="BS556" s="105"/>
      <c r="BT556" s="105"/>
      <c r="BU556" s="105"/>
      <c r="BV556" s="105"/>
      <c r="BW556" s="105"/>
      <c r="BX556" s="105"/>
      <c r="BY556" s="105"/>
      <c r="BZ556" s="105"/>
      <c r="CA556" s="105"/>
      <c r="CB556" s="105"/>
      <c r="CC556" s="105"/>
      <c r="CD556" s="105"/>
      <c r="CE556" s="105"/>
      <c r="CF556" s="105"/>
      <c r="CG556" s="105"/>
      <c r="CH556" s="105"/>
      <c r="CI556" s="105"/>
      <c r="CJ556" s="105"/>
      <c r="CK556" s="105"/>
      <c r="CL556" s="105"/>
      <c r="CM556" s="105"/>
      <c r="CN556" s="105"/>
      <c r="CO556" s="105"/>
      <c r="CP556" s="105"/>
      <c r="CQ556" s="105"/>
      <c r="CR556" s="105"/>
      <c r="CS556" s="105"/>
      <c r="CT556" s="105"/>
      <c r="CU556" s="105"/>
      <c r="CV556" s="105"/>
      <c r="CW556" s="105"/>
      <c r="CX556" s="105"/>
      <c r="CY556" s="105"/>
      <c r="CZ556" s="105"/>
      <c r="DA556" s="105"/>
    </row>
    <row r="557">
      <c r="B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c r="AA557" s="105"/>
      <c r="AB557" s="105"/>
      <c r="AC557" s="105"/>
      <c r="AD557" s="105"/>
      <c r="AE557" s="105"/>
      <c r="AF557" s="105"/>
      <c r="AG557" s="105"/>
      <c r="AH557" s="105"/>
      <c r="AI557" s="105"/>
      <c r="AJ557" s="105"/>
      <c r="AK557" s="105"/>
      <c r="AL557" s="105"/>
      <c r="AM557" s="105"/>
      <c r="AN557" s="105"/>
      <c r="AO557" s="105"/>
      <c r="AP557" s="105"/>
      <c r="AQ557" s="105"/>
      <c r="AR557" s="105"/>
      <c r="AS557" s="105"/>
      <c r="AT557" s="105"/>
      <c r="AU557" s="105"/>
      <c r="AV557" s="105"/>
      <c r="AW557" s="105"/>
      <c r="AX557" s="105"/>
      <c r="AY557" s="105"/>
      <c r="AZ557" s="105"/>
      <c r="BA557" s="105"/>
      <c r="BB557" s="105"/>
      <c r="BC557" s="105"/>
      <c r="BD557" s="105"/>
      <c r="BE557" s="105"/>
      <c r="BF557" s="105"/>
      <c r="BG557" s="105"/>
      <c r="BH557" s="105"/>
      <c r="BI557" s="105"/>
      <c r="BJ557" s="105"/>
      <c r="BK557" s="105"/>
      <c r="BL557" s="105"/>
      <c r="BM557" s="105"/>
      <c r="BN557" s="105"/>
      <c r="BO557" s="105"/>
      <c r="BP557" s="105"/>
      <c r="BQ557" s="105"/>
      <c r="BR557" s="105"/>
      <c r="BS557" s="105"/>
      <c r="BT557" s="105"/>
      <c r="BU557" s="105"/>
      <c r="BV557" s="105"/>
      <c r="BW557" s="105"/>
      <c r="BX557" s="105"/>
      <c r="BY557" s="105"/>
      <c r="BZ557" s="105"/>
      <c r="CA557" s="105"/>
      <c r="CB557" s="105"/>
      <c r="CC557" s="105"/>
      <c r="CD557" s="105"/>
      <c r="CE557" s="105"/>
      <c r="CF557" s="105"/>
      <c r="CG557" s="105"/>
      <c r="CH557" s="105"/>
      <c r="CI557" s="105"/>
      <c r="CJ557" s="105"/>
      <c r="CK557" s="105"/>
      <c r="CL557" s="105"/>
      <c r="CM557" s="105"/>
      <c r="CN557" s="105"/>
      <c r="CO557" s="105"/>
      <c r="CP557" s="105"/>
      <c r="CQ557" s="105"/>
      <c r="CR557" s="105"/>
      <c r="CS557" s="105"/>
      <c r="CT557" s="105"/>
      <c r="CU557" s="105"/>
      <c r="CV557" s="105"/>
      <c r="CW557" s="105"/>
      <c r="CX557" s="105"/>
      <c r="CY557" s="105"/>
      <c r="CZ557" s="105"/>
      <c r="DA557" s="105"/>
    </row>
    <row r="558">
      <c r="B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c r="AA558" s="105"/>
      <c r="AB558" s="105"/>
      <c r="AC558" s="105"/>
      <c r="AD558" s="105"/>
      <c r="AE558" s="105"/>
      <c r="AF558" s="105"/>
      <c r="AG558" s="105"/>
      <c r="AH558" s="105"/>
      <c r="AI558" s="105"/>
      <c r="AJ558" s="105"/>
      <c r="AK558" s="105"/>
      <c r="AL558" s="105"/>
      <c r="AM558" s="105"/>
      <c r="AN558" s="105"/>
      <c r="AO558" s="105"/>
      <c r="AP558" s="105"/>
      <c r="AQ558" s="105"/>
      <c r="AR558" s="105"/>
      <c r="AS558" s="105"/>
      <c r="AT558" s="105"/>
      <c r="AU558" s="105"/>
      <c r="AV558" s="105"/>
      <c r="AW558" s="105"/>
      <c r="AX558" s="105"/>
      <c r="AY558" s="105"/>
      <c r="AZ558" s="105"/>
      <c r="BA558" s="105"/>
      <c r="BB558" s="105"/>
      <c r="BC558" s="105"/>
      <c r="BD558" s="105"/>
      <c r="BE558" s="105"/>
      <c r="BF558" s="105"/>
      <c r="BG558" s="105"/>
      <c r="BH558" s="105"/>
      <c r="BI558" s="105"/>
      <c r="BJ558" s="105"/>
      <c r="BK558" s="105"/>
      <c r="BL558" s="105"/>
      <c r="BM558" s="105"/>
      <c r="BN558" s="105"/>
      <c r="BO558" s="105"/>
      <c r="BP558" s="105"/>
      <c r="BQ558" s="105"/>
      <c r="BR558" s="105"/>
      <c r="BS558" s="105"/>
      <c r="BT558" s="105"/>
      <c r="BU558" s="105"/>
      <c r="BV558" s="105"/>
      <c r="BW558" s="105"/>
      <c r="BX558" s="105"/>
      <c r="BY558" s="105"/>
      <c r="BZ558" s="105"/>
      <c r="CA558" s="105"/>
      <c r="CB558" s="105"/>
      <c r="CC558" s="105"/>
      <c r="CD558" s="105"/>
      <c r="CE558" s="105"/>
      <c r="CF558" s="105"/>
      <c r="CG558" s="105"/>
      <c r="CH558" s="105"/>
      <c r="CI558" s="105"/>
      <c r="CJ558" s="105"/>
      <c r="CK558" s="105"/>
      <c r="CL558" s="105"/>
      <c r="CM558" s="105"/>
      <c r="CN558" s="105"/>
      <c r="CO558" s="105"/>
      <c r="CP558" s="105"/>
      <c r="CQ558" s="105"/>
      <c r="CR558" s="105"/>
      <c r="CS558" s="105"/>
      <c r="CT558" s="105"/>
      <c r="CU558" s="105"/>
      <c r="CV558" s="105"/>
      <c r="CW558" s="105"/>
      <c r="CX558" s="105"/>
      <c r="CY558" s="105"/>
      <c r="CZ558" s="105"/>
      <c r="DA558" s="105"/>
    </row>
    <row r="559">
      <c r="B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c r="AA559" s="105"/>
      <c r="AB559" s="105"/>
      <c r="AC559" s="105"/>
      <c r="AD559" s="105"/>
      <c r="AE559" s="105"/>
      <c r="AF559" s="105"/>
      <c r="AG559" s="105"/>
      <c r="AH559" s="105"/>
      <c r="AI559" s="105"/>
      <c r="AJ559" s="105"/>
      <c r="AK559" s="105"/>
      <c r="AL559" s="105"/>
      <c r="AM559" s="105"/>
      <c r="AN559" s="105"/>
      <c r="AO559" s="105"/>
      <c r="AP559" s="105"/>
      <c r="AQ559" s="105"/>
      <c r="AR559" s="105"/>
      <c r="AS559" s="105"/>
      <c r="AT559" s="105"/>
      <c r="AU559" s="105"/>
      <c r="AV559" s="105"/>
      <c r="AW559" s="105"/>
      <c r="AX559" s="105"/>
      <c r="AY559" s="105"/>
      <c r="AZ559" s="105"/>
      <c r="BA559" s="105"/>
      <c r="BB559" s="105"/>
      <c r="BC559" s="105"/>
      <c r="BD559" s="105"/>
      <c r="BE559" s="105"/>
      <c r="BF559" s="105"/>
      <c r="BG559" s="105"/>
      <c r="BH559" s="105"/>
      <c r="BI559" s="105"/>
      <c r="BJ559" s="105"/>
      <c r="BK559" s="105"/>
      <c r="BL559" s="105"/>
      <c r="BM559" s="105"/>
      <c r="BN559" s="105"/>
      <c r="BO559" s="105"/>
      <c r="BP559" s="105"/>
      <c r="BQ559" s="105"/>
      <c r="BR559" s="105"/>
      <c r="BS559" s="105"/>
      <c r="BT559" s="105"/>
      <c r="BU559" s="105"/>
      <c r="BV559" s="105"/>
      <c r="BW559" s="105"/>
      <c r="BX559" s="105"/>
      <c r="BY559" s="105"/>
      <c r="BZ559" s="105"/>
      <c r="CA559" s="105"/>
      <c r="CB559" s="105"/>
      <c r="CC559" s="105"/>
      <c r="CD559" s="105"/>
      <c r="CE559" s="105"/>
      <c r="CF559" s="105"/>
      <c r="CG559" s="105"/>
      <c r="CH559" s="105"/>
      <c r="CI559" s="105"/>
      <c r="CJ559" s="105"/>
      <c r="CK559" s="105"/>
      <c r="CL559" s="105"/>
      <c r="CM559" s="105"/>
      <c r="CN559" s="105"/>
      <c r="CO559" s="105"/>
      <c r="CP559" s="105"/>
      <c r="CQ559" s="105"/>
      <c r="CR559" s="105"/>
      <c r="CS559" s="105"/>
      <c r="CT559" s="105"/>
      <c r="CU559" s="105"/>
      <c r="CV559" s="105"/>
      <c r="CW559" s="105"/>
      <c r="CX559" s="105"/>
      <c r="CY559" s="105"/>
      <c r="CZ559" s="105"/>
      <c r="DA559" s="105"/>
    </row>
    <row r="560">
      <c r="B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c r="AA560" s="105"/>
      <c r="AB560" s="105"/>
      <c r="AC560" s="105"/>
      <c r="AD560" s="105"/>
      <c r="AE560" s="105"/>
      <c r="AF560" s="105"/>
      <c r="AG560" s="105"/>
      <c r="AH560" s="105"/>
      <c r="AI560" s="105"/>
      <c r="AJ560" s="105"/>
      <c r="AK560" s="105"/>
      <c r="AL560" s="105"/>
      <c r="AM560" s="105"/>
      <c r="AN560" s="105"/>
      <c r="AO560" s="105"/>
      <c r="AP560" s="105"/>
      <c r="AQ560" s="105"/>
      <c r="AR560" s="105"/>
      <c r="AS560" s="105"/>
      <c r="AT560" s="105"/>
      <c r="AU560" s="105"/>
      <c r="AV560" s="105"/>
      <c r="AW560" s="105"/>
      <c r="AX560" s="105"/>
      <c r="AY560" s="105"/>
      <c r="AZ560" s="105"/>
      <c r="BA560" s="105"/>
      <c r="BB560" s="105"/>
      <c r="BC560" s="105"/>
      <c r="BD560" s="105"/>
      <c r="BE560" s="105"/>
      <c r="BF560" s="105"/>
      <c r="BG560" s="105"/>
      <c r="BH560" s="105"/>
      <c r="BI560" s="105"/>
      <c r="BJ560" s="105"/>
      <c r="BK560" s="105"/>
      <c r="BL560" s="105"/>
      <c r="BM560" s="105"/>
      <c r="BN560" s="105"/>
      <c r="BO560" s="105"/>
      <c r="BP560" s="105"/>
      <c r="BQ560" s="105"/>
      <c r="BR560" s="105"/>
      <c r="BS560" s="105"/>
      <c r="BT560" s="105"/>
      <c r="BU560" s="105"/>
      <c r="BV560" s="105"/>
      <c r="BW560" s="105"/>
      <c r="BX560" s="105"/>
      <c r="BY560" s="105"/>
      <c r="BZ560" s="105"/>
      <c r="CA560" s="105"/>
      <c r="CB560" s="105"/>
      <c r="CC560" s="105"/>
      <c r="CD560" s="105"/>
      <c r="CE560" s="105"/>
      <c r="CF560" s="105"/>
      <c r="CG560" s="105"/>
      <c r="CH560" s="105"/>
      <c r="CI560" s="105"/>
      <c r="CJ560" s="105"/>
      <c r="CK560" s="105"/>
      <c r="CL560" s="105"/>
      <c r="CM560" s="105"/>
      <c r="CN560" s="105"/>
      <c r="CO560" s="105"/>
      <c r="CP560" s="105"/>
      <c r="CQ560" s="105"/>
      <c r="CR560" s="105"/>
      <c r="CS560" s="105"/>
      <c r="CT560" s="105"/>
      <c r="CU560" s="105"/>
      <c r="CV560" s="105"/>
      <c r="CW560" s="105"/>
      <c r="CX560" s="105"/>
      <c r="CY560" s="105"/>
      <c r="CZ560" s="105"/>
      <c r="DA560" s="105"/>
    </row>
    <row r="561">
      <c r="B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c r="AA561" s="105"/>
      <c r="AB561" s="105"/>
      <c r="AC561" s="105"/>
      <c r="AD561" s="105"/>
      <c r="AE561" s="105"/>
      <c r="AF561" s="105"/>
      <c r="AG561" s="105"/>
      <c r="AH561" s="105"/>
      <c r="AI561" s="105"/>
      <c r="AJ561" s="105"/>
      <c r="AK561" s="105"/>
      <c r="AL561" s="105"/>
      <c r="AM561" s="105"/>
      <c r="AN561" s="105"/>
      <c r="AO561" s="105"/>
      <c r="AP561" s="105"/>
      <c r="AQ561" s="105"/>
      <c r="AR561" s="105"/>
      <c r="AS561" s="105"/>
      <c r="AT561" s="105"/>
      <c r="AU561" s="105"/>
      <c r="AV561" s="105"/>
      <c r="AW561" s="105"/>
      <c r="AX561" s="105"/>
      <c r="AY561" s="105"/>
      <c r="AZ561" s="105"/>
      <c r="BA561" s="105"/>
      <c r="BB561" s="105"/>
      <c r="BC561" s="105"/>
      <c r="BD561" s="105"/>
      <c r="BE561" s="105"/>
      <c r="BF561" s="105"/>
      <c r="BG561" s="105"/>
      <c r="BH561" s="105"/>
      <c r="BI561" s="105"/>
      <c r="BJ561" s="105"/>
      <c r="BK561" s="105"/>
      <c r="BL561" s="105"/>
      <c r="BM561" s="105"/>
      <c r="BN561" s="105"/>
      <c r="BO561" s="105"/>
      <c r="BP561" s="105"/>
      <c r="BQ561" s="105"/>
      <c r="BR561" s="105"/>
      <c r="BS561" s="105"/>
      <c r="BT561" s="105"/>
      <c r="BU561" s="105"/>
      <c r="BV561" s="105"/>
      <c r="BW561" s="105"/>
      <c r="BX561" s="105"/>
      <c r="BY561" s="105"/>
      <c r="BZ561" s="105"/>
      <c r="CA561" s="105"/>
      <c r="CB561" s="105"/>
      <c r="CC561" s="105"/>
      <c r="CD561" s="105"/>
      <c r="CE561" s="105"/>
      <c r="CF561" s="105"/>
      <c r="CG561" s="105"/>
      <c r="CH561" s="105"/>
      <c r="CI561" s="105"/>
      <c r="CJ561" s="105"/>
      <c r="CK561" s="105"/>
      <c r="CL561" s="105"/>
      <c r="CM561" s="105"/>
      <c r="CN561" s="105"/>
      <c r="CO561" s="105"/>
      <c r="CP561" s="105"/>
      <c r="CQ561" s="105"/>
      <c r="CR561" s="105"/>
      <c r="CS561" s="105"/>
      <c r="CT561" s="105"/>
      <c r="CU561" s="105"/>
      <c r="CV561" s="105"/>
      <c r="CW561" s="105"/>
      <c r="CX561" s="105"/>
      <c r="CY561" s="105"/>
      <c r="CZ561" s="105"/>
      <c r="DA561" s="105"/>
    </row>
    <row r="562">
      <c r="B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c r="AA562" s="105"/>
      <c r="AB562" s="105"/>
      <c r="AC562" s="105"/>
      <c r="AD562" s="105"/>
      <c r="AE562" s="105"/>
      <c r="AF562" s="105"/>
      <c r="AG562" s="105"/>
      <c r="AH562" s="105"/>
      <c r="AI562" s="105"/>
      <c r="AJ562" s="105"/>
      <c r="AK562" s="105"/>
      <c r="AL562" s="105"/>
      <c r="AM562" s="105"/>
      <c r="AN562" s="105"/>
      <c r="AO562" s="105"/>
      <c r="AP562" s="105"/>
      <c r="AQ562" s="105"/>
      <c r="AR562" s="105"/>
      <c r="AS562" s="105"/>
      <c r="AT562" s="105"/>
      <c r="AU562" s="105"/>
      <c r="AV562" s="105"/>
      <c r="AW562" s="105"/>
      <c r="AX562" s="105"/>
      <c r="AY562" s="105"/>
      <c r="AZ562" s="105"/>
      <c r="BA562" s="105"/>
      <c r="BB562" s="105"/>
      <c r="BC562" s="105"/>
      <c r="BD562" s="105"/>
      <c r="BE562" s="105"/>
      <c r="BF562" s="105"/>
      <c r="BG562" s="105"/>
      <c r="BH562" s="105"/>
      <c r="BI562" s="105"/>
      <c r="BJ562" s="105"/>
      <c r="BK562" s="105"/>
      <c r="BL562" s="105"/>
      <c r="BM562" s="105"/>
      <c r="BN562" s="105"/>
      <c r="BO562" s="105"/>
      <c r="BP562" s="105"/>
      <c r="BQ562" s="105"/>
      <c r="BR562" s="105"/>
      <c r="BS562" s="105"/>
      <c r="BT562" s="105"/>
      <c r="BU562" s="105"/>
      <c r="BV562" s="105"/>
      <c r="BW562" s="105"/>
      <c r="BX562" s="105"/>
      <c r="BY562" s="105"/>
      <c r="BZ562" s="105"/>
      <c r="CA562" s="105"/>
      <c r="CB562" s="105"/>
      <c r="CC562" s="105"/>
      <c r="CD562" s="105"/>
      <c r="CE562" s="105"/>
      <c r="CF562" s="105"/>
      <c r="CG562" s="105"/>
      <c r="CH562" s="105"/>
      <c r="CI562" s="105"/>
      <c r="CJ562" s="105"/>
      <c r="CK562" s="105"/>
      <c r="CL562" s="105"/>
      <c r="CM562" s="105"/>
      <c r="CN562" s="105"/>
      <c r="CO562" s="105"/>
      <c r="CP562" s="105"/>
      <c r="CQ562" s="105"/>
      <c r="CR562" s="105"/>
      <c r="CS562" s="105"/>
      <c r="CT562" s="105"/>
      <c r="CU562" s="105"/>
      <c r="CV562" s="105"/>
      <c r="CW562" s="105"/>
      <c r="CX562" s="105"/>
      <c r="CY562" s="105"/>
      <c r="CZ562" s="105"/>
      <c r="DA562" s="105"/>
    </row>
    <row r="563">
      <c r="B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c r="AA563" s="105"/>
      <c r="AB563" s="105"/>
      <c r="AC563" s="105"/>
      <c r="AD563" s="105"/>
      <c r="AE563" s="105"/>
      <c r="AF563" s="105"/>
      <c r="AG563" s="105"/>
      <c r="AH563" s="105"/>
      <c r="AI563" s="105"/>
      <c r="AJ563" s="105"/>
      <c r="AK563" s="105"/>
      <c r="AL563" s="105"/>
      <c r="AM563" s="105"/>
      <c r="AN563" s="105"/>
      <c r="AO563" s="105"/>
      <c r="AP563" s="105"/>
      <c r="AQ563" s="105"/>
      <c r="AR563" s="105"/>
      <c r="AS563" s="105"/>
      <c r="AT563" s="105"/>
      <c r="AU563" s="105"/>
      <c r="AV563" s="105"/>
      <c r="AW563" s="105"/>
      <c r="AX563" s="105"/>
      <c r="AY563" s="105"/>
      <c r="AZ563" s="105"/>
      <c r="BA563" s="105"/>
      <c r="BB563" s="105"/>
      <c r="BC563" s="105"/>
      <c r="BD563" s="105"/>
      <c r="BE563" s="105"/>
      <c r="BF563" s="105"/>
      <c r="BG563" s="105"/>
      <c r="BH563" s="105"/>
      <c r="BI563" s="105"/>
      <c r="BJ563" s="105"/>
      <c r="BK563" s="105"/>
      <c r="BL563" s="105"/>
      <c r="BM563" s="105"/>
      <c r="BN563" s="105"/>
      <c r="BO563" s="105"/>
      <c r="BP563" s="105"/>
      <c r="BQ563" s="105"/>
      <c r="BR563" s="105"/>
      <c r="BS563" s="105"/>
      <c r="BT563" s="105"/>
      <c r="BU563" s="105"/>
      <c r="BV563" s="105"/>
      <c r="BW563" s="105"/>
      <c r="BX563" s="105"/>
      <c r="BY563" s="105"/>
      <c r="BZ563" s="105"/>
      <c r="CA563" s="105"/>
      <c r="CB563" s="105"/>
      <c r="CC563" s="105"/>
      <c r="CD563" s="105"/>
      <c r="CE563" s="105"/>
      <c r="CF563" s="105"/>
      <c r="CG563" s="105"/>
      <c r="CH563" s="105"/>
      <c r="CI563" s="105"/>
      <c r="CJ563" s="105"/>
      <c r="CK563" s="105"/>
      <c r="CL563" s="105"/>
      <c r="CM563" s="105"/>
      <c r="CN563" s="105"/>
      <c r="CO563" s="105"/>
      <c r="CP563" s="105"/>
      <c r="CQ563" s="105"/>
      <c r="CR563" s="105"/>
      <c r="CS563" s="105"/>
      <c r="CT563" s="105"/>
      <c r="CU563" s="105"/>
      <c r="CV563" s="105"/>
      <c r="CW563" s="105"/>
      <c r="CX563" s="105"/>
      <c r="CY563" s="105"/>
      <c r="CZ563" s="105"/>
      <c r="DA563" s="105"/>
    </row>
    <row r="564">
      <c r="B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c r="AA564" s="105"/>
      <c r="AB564" s="105"/>
      <c r="AC564" s="105"/>
      <c r="AD564" s="105"/>
      <c r="AE564" s="105"/>
      <c r="AF564" s="105"/>
      <c r="AG564" s="105"/>
      <c r="AH564" s="105"/>
      <c r="AI564" s="105"/>
      <c r="AJ564" s="105"/>
      <c r="AK564" s="105"/>
      <c r="AL564" s="105"/>
      <c r="AM564" s="105"/>
      <c r="AN564" s="105"/>
      <c r="AO564" s="105"/>
      <c r="AP564" s="105"/>
      <c r="AQ564" s="105"/>
      <c r="AR564" s="105"/>
      <c r="AS564" s="105"/>
      <c r="AT564" s="105"/>
      <c r="AU564" s="105"/>
      <c r="AV564" s="105"/>
      <c r="AW564" s="105"/>
      <c r="AX564" s="105"/>
      <c r="AY564" s="105"/>
      <c r="AZ564" s="105"/>
      <c r="BA564" s="105"/>
      <c r="BB564" s="105"/>
      <c r="BC564" s="105"/>
      <c r="BD564" s="105"/>
      <c r="BE564" s="105"/>
      <c r="BF564" s="105"/>
      <c r="BG564" s="105"/>
      <c r="BH564" s="105"/>
      <c r="BI564" s="105"/>
      <c r="BJ564" s="105"/>
      <c r="BK564" s="105"/>
      <c r="BL564" s="105"/>
      <c r="BM564" s="105"/>
      <c r="BN564" s="105"/>
      <c r="BO564" s="105"/>
      <c r="BP564" s="105"/>
      <c r="BQ564" s="105"/>
      <c r="BR564" s="105"/>
      <c r="BS564" s="105"/>
      <c r="BT564" s="105"/>
      <c r="BU564" s="105"/>
      <c r="BV564" s="105"/>
      <c r="BW564" s="105"/>
      <c r="BX564" s="105"/>
      <c r="BY564" s="105"/>
      <c r="BZ564" s="105"/>
      <c r="CA564" s="105"/>
      <c r="CB564" s="105"/>
      <c r="CC564" s="105"/>
      <c r="CD564" s="105"/>
      <c r="CE564" s="105"/>
      <c r="CF564" s="105"/>
      <c r="CG564" s="105"/>
      <c r="CH564" s="105"/>
      <c r="CI564" s="105"/>
      <c r="CJ564" s="105"/>
      <c r="CK564" s="105"/>
      <c r="CL564" s="105"/>
      <c r="CM564" s="105"/>
      <c r="CN564" s="105"/>
      <c r="CO564" s="105"/>
      <c r="CP564" s="105"/>
      <c r="CQ564" s="105"/>
      <c r="CR564" s="105"/>
      <c r="CS564" s="105"/>
      <c r="CT564" s="105"/>
      <c r="CU564" s="105"/>
      <c r="CV564" s="105"/>
      <c r="CW564" s="105"/>
      <c r="CX564" s="105"/>
      <c r="CY564" s="105"/>
      <c r="CZ564" s="105"/>
      <c r="DA564" s="105"/>
    </row>
    <row r="565">
      <c r="B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c r="AA565" s="105"/>
      <c r="AB565" s="105"/>
      <c r="AC565" s="105"/>
      <c r="AD565" s="105"/>
      <c r="AE565" s="105"/>
      <c r="AF565" s="105"/>
      <c r="AG565" s="105"/>
      <c r="AH565" s="105"/>
      <c r="AI565" s="105"/>
      <c r="AJ565" s="105"/>
      <c r="AK565" s="105"/>
      <c r="AL565" s="105"/>
      <c r="AM565" s="105"/>
      <c r="AN565" s="105"/>
      <c r="AO565" s="105"/>
      <c r="AP565" s="105"/>
      <c r="AQ565" s="105"/>
      <c r="AR565" s="105"/>
      <c r="AS565" s="105"/>
      <c r="AT565" s="105"/>
      <c r="AU565" s="105"/>
      <c r="AV565" s="105"/>
      <c r="AW565" s="105"/>
      <c r="AX565" s="105"/>
      <c r="AY565" s="105"/>
      <c r="AZ565" s="105"/>
      <c r="BA565" s="105"/>
      <c r="BB565" s="105"/>
      <c r="BC565" s="105"/>
      <c r="BD565" s="105"/>
      <c r="BE565" s="105"/>
      <c r="BF565" s="105"/>
      <c r="BG565" s="105"/>
      <c r="BH565" s="105"/>
      <c r="BI565" s="105"/>
      <c r="BJ565" s="105"/>
      <c r="BK565" s="105"/>
      <c r="BL565" s="105"/>
      <c r="BM565" s="105"/>
      <c r="BN565" s="105"/>
      <c r="BO565" s="105"/>
      <c r="BP565" s="105"/>
      <c r="BQ565" s="105"/>
      <c r="BR565" s="105"/>
      <c r="BS565" s="105"/>
      <c r="BT565" s="105"/>
      <c r="BU565" s="105"/>
      <c r="BV565" s="105"/>
      <c r="BW565" s="105"/>
      <c r="BX565" s="105"/>
      <c r="BY565" s="105"/>
      <c r="BZ565" s="105"/>
      <c r="CA565" s="105"/>
      <c r="CB565" s="105"/>
      <c r="CC565" s="105"/>
      <c r="CD565" s="105"/>
      <c r="CE565" s="105"/>
      <c r="CF565" s="105"/>
      <c r="CG565" s="105"/>
      <c r="CH565" s="105"/>
      <c r="CI565" s="105"/>
      <c r="CJ565" s="105"/>
      <c r="CK565" s="105"/>
      <c r="CL565" s="105"/>
      <c r="CM565" s="105"/>
      <c r="CN565" s="105"/>
      <c r="CO565" s="105"/>
      <c r="CP565" s="105"/>
      <c r="CQ565" s="105"/>
      <c r="CR565" s="105"/>
      <c r="CS565" s="105"/>
      <c r="CT565" s="105"/>
      <c r="CU565" s="105"/>
      <c r="CV565" s="105"/>
      <c r="CW565" s="105"/>
      <c r="CX565" s="105"/>
      <c r="CY565" s="105"/>
      <c r="CZ565" s="105"/>
      <c r="DA565" s="105"/>
    </row>
    <row r="566">
      <c r="B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c r="AA566" s="105"/>
      <c r="AB566" s="105"/>
      <c r="AC566" s="105"/>
      <c r="AD566" s="105"/>
      <c r="AE566" s="105"/>
      <c r="AF566" s="105"/>
      <c r="AG566" s="105"/>
      <c r="AH566" s="105"/>
      <c r="AI566" s="105"/>
      <c r="AJ566" s="105"/>
      <c r="AK566" s="105"/>
      <c r="AL566" s="105"/>
      <c r="AM566" s="105"/>
      <c r="AN566" s="105"/>
      <c r="AO566" s="105"/>
      <c r="AP566" s="105"/>
      <c r="AQ566" s="105"/>
      <c r="AR566" s="105"/>
      <c r="AS566" s="105"/>
      <c r="AT566" s="105"/>
      <c r="AU566" s="105"/>
      <c r="AV566" s="105"/>
      <c r="AW566" s="105"/>
      <c r="AX566" s="105"/>
      <c r="AY566" s="105"/>
      <c r="AZ566" s="105"/>
      <c r="BA566" s="105"/>
      <c r="BB566" s="105"/>
      <c r="BC566" s="105"/>
      <c r="BD566" s="105"/>
      <c r="BE566" s="105"/>
      <c r="BF566" s="105"/>
      <c r="BG566" s="105"/>
      <c r="BH566" s="105"/>
      <c r="BI566" s="105"/>
      <c r="BJ566" s="105"/>
      <c r="BK566" s="105"/>
      <c r="BL566" s="105"/>
      <c r="BM566" s="105"/>
      <c r="BN566" s="105"/>
      <c r="BO566" s="105"/>
      <c r="BP566" s="105"/>
      <c r="BQ566" s="105"/>
      <c r="BR566" s="105"/>
      <c r="BS566" s="105"/>
      <c r="BT566" s="105"/>
      <c r="BU566" s="105"/>
      <c r="BV566" s="105"/>
      <c r="BW566" s="105"/>
      <c r="BX566" s="105"/>
      <c r="BY566" s="105"/>
      <c r="BZ566" s="105"/>
      <c r="CA566" s="105"/>
      <c r="CB566" s="105"/>
      <c r="CC566" s="105"/>
      <c r="CD566" s="105"/>
      <c r="CE566" s="105"/>
      <c r="CF566" s="105"/>
      <c r="CG566" s="105"/>
      <c r="CH566" s="105"/>
      <c r="CI566" s="105"/>
      <c r="CJ566" s="105"/>
      <c r="CK566" s="105"/>
      <c r="CL566" s="105"/>
      <c r="CM566" s="105"/>
      <c r="CN566" s="105"/>
      <c r="CO566" s="105"/>
      <c r="CP566" s="105"/>
      <c r="CQ566" s="105"/>
      <c r="CR566" s="105"/>
      <c r="CS566" s="105"/>
      <c r="CT566" s="105"/>
      <c r="CU566" s="105"/>
      <c r="CV566" s="105"/>
      <c r="CW566" s="105"/>
      <c r="CX566" s="105"/>
      <c r="CY566" s="105"/>
      <c r="CZ566" s="105"/>
      <c r="DA566" s="105"/>
    </row>
    <row r="567">
      <c r="B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c r="AA567" s="105"/>
      <c r="AB567" s="105"/>
      <c r="AC567" s="105"/>
      <c r="AD567" s="105"/>
      <c r="AE567" s="105"/>
      <c r="AF567" s="105"/>
      <c r="AG567" s="105"/>
      <c r="AH567" s="105"/>
      <c r="AI567" s="105"/>
      <c r="AJ567" s="105"/>
      <c r="AK567" s="105"/>
      <c r="AL567" s="105"/>
      <c r="AM567" s="105"/>
      <c r="AN567" s="105"/>
      <c r="AO567" s="105"/>
      <c r="AP567" s="105"/>
      <c r="AQ567" s="105"/>
      <c r="AR567" s="105"/>
      <c r="AS567" s="105"/>
      <c r="AT567" s="105"/>
      <c r="AU567" s="105"/>
      <c r="AV567" s="105"/>
      <c r="AW567" s="105"/>
      <c r="AX567" s="105"/>
      <c r="AY567" s="105"/>
      <c r="AZ567" s="105"/>
      <c r="BA567" s="105"/>
      <c r="BB567" s="105"/>
      <c r="BC567" s="105"/>
      <c r="BD567" s="105"/>
      <c r="BE567" s="105"/>
      <c r="BF567" s="105"/>
      <c r="BG567" s="105"/>
      <c r="BH567" s="105"/>
      <c r="BI567" s="105"/>
      <c r="BJ567" s="105"/>
      <c r="BK567" s="105"/>
      <c r="BL567" s="105"/>
      <c r="BM567" s="105"/>
      <c r="BN567" s="105"/>
      <c r="BO567" s="105"/>
      <c r="BP567" s="105"/>
      <c r="BQ567" s="105"/>
      <c r="BR567" s="105"/>
      <c r="BS567" s="105"/>
      <c r="BT567" s="105"/>
      <c r="BU567" s="105"/>
      <c r="BV567" s="105"/>
      <c r="BW567" s="105"/>
      <c r="BX567" s="105"/>
      <c r="BY567" s="105"/>
      <c r="BZ567" s="105"/>
      <c r="CA567" s="105"/>
      <c r="CB567" s="105"/>
      <c r="CC567" s="105"/>
      <c r="CD567" s="105"/>
      <c r="CE567" s="105"/>
      <c r="CF567" s="105"/>
      <c r="CG567" s="105"/>
      <c r="CH567" s="105"/>
      <c r="CI567" s="105"/>
      <c r="CJ567" s="105"/>
      <c r="CK567" s="105"/>
      <c r="CL567" s="105"/>
      <c r="CM567" s="105"/>
      <c r="CN567" s="105"/>
      <c r="CO567" s="105"/>
      <c r="CP567" s="105"/>
      <c r="CQ567" s="105"/>
      <c r="CR567" s="105"/>
      <c r="CS567" s="105"/>
      <c r="CT567" s="105"/>
      <c r="CU567" s="105"/>
      <c r="CV567" s="105"/>
      <c r="CW567" s="105"/>
      <c r="CX567" s="105"/>
      <c r="CY567" s="105"/>
      <c r="CZ567" s="105"/>
      <c r="DA567" s="105"/>
    </row>
    <row r="568">
      <c r="B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c r="AA568" s="105"/>
      <c r="AB568" s="105"/>
      <c r="AC568" s="105"/>
      <c r="AD568" s="105"/>
      <c r="AE568" s="105"/>
      <c r="AF568" s="105"/>
      <c r="AG568" s="105"/>
      <c r="AH568" s="105"/>
      <c r="AI568" s="105"/>
      <c r="AJ568" s="105"/>
      <c r="AK568" s="105"/>
      <c r="AL568" s="105"/>
      <c r="AM568" s="105"/>
      <c r="AN568" s="105"/>
      <c r="AO568" s="105"/>
      <c r="AP568" s="105"/>
      <c r="AQ568" s="105"/>
      <c r="AR568" s="105"/>
      <c r="AS568" s="105"/>
      <c r="AT568" s="105"/>
      <c r="AU568" s="105"/>
      <c r="AV568" s="105"/>
      <c r="AW568" s="105"/>
      <c r="AX568" s="105"/>
      <c r="AY568" s="105"/>
      <c r="AZ568" s="105"/>
      <c r="BA568" s="105"/>
      <c r="BB568" s="105"/>
      <c r="BC568" s="105"/>
      <c r="BD568" s="105"/>
      <c r="BE568" s="105"/>
      <c r="BF568" s="105"/>
      <c r="BG568" s="105"/>
      <c r="BH568" s="105"/>
      <c r="BI568" s="105"/>
      <c r="BJ568" s="105"/>
      <c r="BK568" s="105"/>
      <c r="BL568" s="105"/>
      <c r="BM568" s="105"/>
      <c r="BN568" s="105"/>
      <c r="BO568" s="105"/>
      <c r="BP568" s="105"/>
      <c r="BQ568" s="105"/>
      <c r="BR568" s="105"/>
      <c r="BS568" s="105"/>
      <c r="BT568" s="105"/>
      <c r="BU568" s="105"/>
      <c r="BV568" s="105"/>
      <c r="BW568" s="105"/>
      <c r="BX568" s="105"/>
      <c r="BY568" s="105"/>
      <c r="BZ568" s="105"/>
      <c r="CA568" s="105"/>
      <c r="CB568" s="105"/>
      <c r="CC568" s="105"/>
      <c r="CD568" s="105"/>
      <c r="CE568" s="105"/>
      <c r="CF568" s="105"/>
      <c r="CG568" s="105"/>
      <c r="CH568" s="105"/>
      <c r="CI568" s="105"/>
      <c r="CJ568" s="105"/>
      <c r="CK568" s="105"/>
      <c r="CL568" s="105"/>
      <c r="CM568" s="105"/>
      <c r="CN568" s="105"/>
      <c r="CO568" s="105"/>
      <c r="CP568" s="105"/>
      <c r="CQ568" s="105"/>
      <c r="CR568" s="105"/>
      <c r="CS568" s="105"/>
      <c r="CT568" s="105"/>
      <c r="CU568" s="105"/>
      <c r="CV568" s="105"/>
      <c r="CW568" s="105"/>
      <c r="CX568" s="105"/>
      <c r="CY568" s="105"/>
      <c r="CZ568" s="105"/>
      <c r="DA568" s="105"/>
    </row>
    <row r="569">
      <c r="B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c r="AA569" s="105"/>
      <c r="AB569" s="105"/>
      <c r="AC569" s="105"/>
      <c r="AD569" s="105"/>
      <c r="AE569" s="105"/>
      <c r="AF569" s="105"/>
      <c r="AG569" s="105"/>
      <c r="AH569" s="105"/>
      <c r="AI569" s="105"/>
      <c r="AJ569" s="105"/>
      <c r="AK569" s="105"/>
      <c r="AL569" s="105"/>
      <c r="AM569" s="105"/>
      <c r="AN569" s="105"/>
      <c r="AO569" s="105"/>
      <c r="AP569" s="105"/>
      <c r="AQ569" s="105"/>
      <c r="AR569" s="105"/>
      <c r="AS569" s="105"/>
      <c r="AT569" s="105"/>
      <c r="AU569" s="105"/>
      <c r="AV569" s="105"/>
      <c r="AW569" s="105"/>
      <c r="AX569" s="105"/>
      <c r="AY569" s="105"/>
      <c r="AZ569" s="105"/>
      <c r="BA569" s="105"/>
      <c r="BB569" s="105"/>
      <c r="BC569" s="105"/>
      <c r="BD569" s="105"/>
      <c r="BE569" s="105"/>
      <c r="BF569" s="105"/>
      <c r="BG569" s="105"/>
      <c r="BH569" s="105"/>
      <c r="BI569" s="105"/>
      <c r="BJ569" s="105"/>
      <c r="BK569" s="105"/>
      <c r="BL569" s="105"/>
      <c r="BM569" s="105"/>
      <c r="BN569" s="105"/>
      <c r="BO569" s="105"/>
      <c r="BP569" s="105"/>
      <c r="BQ569" s="105"/>
      <c r="BR569" s="105"/>
      <c r="BS569" s="105"/>
      <c r="BT569" s="105"/>
      <c r="BU569" s="105"/>
      <c r="BV569" s="105"/>
      <c r="BW569" s="105"/>
      <c r="BX569" s="105"/>
      <c r="BY569" s="105"/>
      <c r="BZ569" s="105"/>
      <c r="CA569" s="105"/>
      <c r="CB569" s="105"/>
      <c r="CC569" s="105"/>
      <c r="CD569" s="105"/>
      <c r="CE569" s="105"/>
      <c r="CF569" s="105"/>
      <c r="CG569" s="105"/>
      <c r="CH569" s="105"/>
      <c r="CI569" s="105"/>
      <c r="CJ569" s="105"/>
      <c r="CK569" s="105"/>
      <c r="CL569" s="105"/>
      <c r="CM569" s="105"/>
      <c r="CN569" s="105"/>
      <c r="CO569" s="105"/>
      <c r="CP569" s="105"/>
      <c r="CQ569" s="105"/>
      <c r="CR569" s="105"/>
      <c r="CS569" s="105"/>
      <c r="CT569" s="105"/>
      <c r="CU569" s="105"/>
      <c r="CV569" s="105"/>
      <c r="CW569" s="105"/>
      <c r="CX569" s="105"/>
      <c r="CY569" s="105"/>
      <c r="CZ569" s="105"/>
      <c r="DA569" s="105"/>
    </row>
    <row r="570">
      <c r="B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c r="AA570" s="105"/>
      <c r="AB570" s="105"/>
      <c r="AC570" s="105"/>
      <c r="AD570" s="105"/>
      <c r="AE570" s="105"/>
      <c r="AF570" s="105"/>
      <c r="AG570" s="105"/>
      <c r="AH570" s="105"/>
      <c r="AI570" s="105"/>
      <c r="AJ570" s="105"/>
      <c r="AK570" s="105"/>
      <c r="AL570" s="105"/>
      <c r="AM570" s="105"/>
      <c r="AN570" s="105"/>
      <c r="AO570" s="105"/>
      <c r="AP570" s="105"/>
      <c r="AQ570" s="105"/>
      <c r="AR570" s="105"/>
      <c r="AS570" s="105"/>
      <c r="AT570" s="105"/>
      <c r="AU570" s="105"/>
      <c r="AV570" s="105"/>
      <c r="AW570" s="105"/>
      <c r="AX570" s="105"/>
      <c r="AY570" s="105"/>
      <c r="AZ570" s="105"/>
      <c r="BA570" s="105"/>
      <c r="BB570" s="105"/>
      <c r="BC570" s="105"/>
      <c r="BD570" s="105"/>
      <c r="BE570" s="105"/>
      <c r="BF570" s="105"/>
      <c r="BG570" s="105"/>
      <c r="BH570" s="105"/>
      <c r="BI570" s="105"/>
      <c r="BJ570" s="105"/>
      <c r="BK570" s="105"/>
      <c r="BL570" s="105"/>
      <c r="BM570" s="105"/>
      <c r="BN570" s="105"/>
      <c r="BO570" s="105"/>
      <c r="BP570" s="105"/>
      <c r="BQ570" s="105"/>
      <c r="BR570" s="105"/>
      <c r="BS570" s="105"/>
      <c r="BT570" s="105"/>
      <c r="BU570" s="105"/>
      <c r="BV570" s="105"/>
      <c r="BW570" s="105"/>
      <c r="BX570" s="105"/>
      <c r="BY570" s="105"/>
      <c r="BZ570" s="105"/>
      <c r="CA570" s="105"/>
      <c r="CB570" s="105"/>
      <c r="CC570" s="105"/>
      <c r="CD570" s="105"/>
      <c r="CE570" s="105"/>
      <c r="CF570" s="105"/>
      <c r="CG570" s="105"/>
      <c r="CH570" s="105"/>
      <c r="CI570" s="105"/>
      <c r="CJ570" s="105"/>
      <c r="CK570" s="105"/>
      <c r="CL570" s="105"/>
      <c r="CM570" s="105"/>
      <c r="CN570" s="105"/>
      <c r="CO570" s="105"/>
      <c r="CP570" s="105"/>
      <c r="CQ570" s="105"/>
      <c r="CR570" s="105"/>
      <c r="CS570" s="105"/>
      <c r="CT570" s="105"/>
      <c r="CU570" s="105"/>
      <c r="CV570" s="105"/>
      <c r="CW570" s="105"/>
      <c r="CX570" s="105"/>
      <c r="CY570" s="105"/>
      <c r="CZ570" s="105"/>
      <c r="DA570" s="105"/>
    </row>
    <row r="571">
      <c r="B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c r="AA571" s="105"/>
      <c r="AB571" s="105"/>
      <c r="AC571" s="105"/>
      <c r="AD571" s="105"/>
      <c r="AE571" s="105"/>
      <c r="AF571" s="105"/>
      <c r="AG571" s="105"/>
      <c r="AH571" s="105"/>
      <c r="AI571" s="105"/>
      <c r="AJ571" s="105"/>
      <c r="AK571" s="105"/>
      <c r="AL571" s="105"/>
      <c r="AM571" s="105"/>
      <c r="AN571" s="105"/>
      <c r="AO571" s="105"/>
      <c r="AP571" s="105"/>
      <c r="AQ571" s="105"/>
      <c r="AR571" s="105"/>
      <c r="AS571" s="105"/>
      <c r="AT571" s="105"/>
      <c r="AU571" s="105"/>
      <c r="AV571" s="105"/>
      <c r="AW571" s="105"/>
      <c r="AX571" s="105"/>
      <c r="AY571" s="105"/>
      <c r="AZ571" s="105"/>
      <c r="BA571" s="105"/>
      <c r="BB571" s="105"/>
      <c r="BC571" s="105"/>
      <c r="BD571" s="105"/>
      <c r="BE571" s="105"/>
      <c r="BF571" s="105"/>
      <c r="BG571" s="105"/>
      <c r="BH571" s="105"/>
      <c r="BI571" s="105"/>
      <c r="BJ571" s="105"/>
      <c r="BK571" s="105"/>
      <c r="BL571" s="105"/>
      <c r="BM571" s="105"/>
      <c r="BN571" s="105"/>
      <c r="BO571" s="105"/>
      <c r="BP571" s="105"/>
      <c r="BQ571" s="105"/>
      <c r="BR571" s="105"/>
      <c r="BS571" s="105"/>
      <c r="BT571" s="105"/>
      <c r="BU571" s="105"/>
      <c r="BV571" s="105"/>
      <c r="BW571" s="105"/>
      <c r="BX571" s="105"/>
      <c r="BY571" s="105"/>
      <c r="BZ571" s="105"/>
      <c r="CA571" s="105"/>
      <c r="CB571" s="105"/>
      <c r="CC571" s="105"/>
      <c r="CD571" s="105"/>
      <c r="CE571" s="105"/>
      <c r="CF571" s="105"/>
      <c r="CG571" s="105"/>
      <c r="CH571" s="105"/>
      <c r="CI571" s="105"/>
      <c r="CJ571" s="105"/>
      <c r="CK571" s="105"/>
      <c r="CL571" s="105"/>
      <c r="CM571" s="105"/>
      <c r="CN571" s="105"/>
      <c r="CO571" s="105"/>
      <c r="CP571" s="105"/>
      <c r="CQ571" s="105"/>
      <c r="CR571" s="105"/>
      <c r="CS571" s="105"/>
      <c r="CT571" s="105"/>
      <c r="CU571" s="105"/>
      <c r="CV571" s="105"/>
      <c r="CW571" s="105"/>
      <c r="CX571" s="105"/>
      <c r="CY571" s="105"/>
      <c r="CZ571" s="105"/>
      <c r="DA571" s="105"/>
    </row>
    <row r="572">
      <c r="B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c r="AA572" s="105"/>
      <c r="AB572" s="105"/>
      <c r="AC572" s="105"/>
      <c r="AD572" s="105"/>
      <c r="AE572" s="105"/>
      <c r="AF572" s="105"/>
      <c r="AG572" s="105"/>
      <c r="AH572" s="105"/>
      <c r="AI572" s="105"/>
      <c r="AJ572" s="105"/>
      <c r="AK572" s="105"/>
      <c r="AL572" s="105"/>
      <c r="AM572" s="105"/>
      <c r="AN572" s="105"/>
      <c r="AO572" s="105"/>
      <c r="AP572" s="105"/>
      <c r="AQ572" s="105"/>
      <c r="AR572" s="105"/>
      <c r="AS572" s="105"/>
      <c r="AT572" s="105"/>
      <c r="AU572" s="105"/>
      <c r="AV572" s="105"/>
      <c r="AW572" s="105"/>
      <c r="AX572" s="105"/>
      <c r="AY572" s="105"/>
      <c r="AZ572" s="105"/>
      <c r="BA572" s="105"/>
      <c r="BB572" s="105"/>
      <c r="BC572" s="105"/>
      <c r="BD572" s="105"/>
      <c r="BE572" s="105"/>
      <c r="BF572" s="105"/>
      <c r="BG572" s="105"/>
      <c r="BH572" s="105"/>
      <c r="BI572" s="105"/>
      <c r="BJ572" s="105"/>
      <c r="BK572" s="105"/>
      <c r="BL572" s="105"/>
      <c r="BM572" s="105"/>
      <c r="BN572" s="105"/>
      <c r="BO572" s="105"/>
      <c r="BP572" s="105"/>
      <c r="BQ572" s="105"/>
      <c r="BR572" s="105"/>
      <c r="BS572" s="105"/>
      <c r="BT572" s="105"/>
      <c r="BU572" s="105"/>
      <c r="BV572" s="105"/>
      <c r="BW572" s="105"/>
      <c r="BX572" s="105"/>
      <c r="BY572" s="105"/>
      <c r="BZ572" s="105"/>
      <c r="CA572" s="105"/>
      <c r="CB572" s="105"/>
      <c r="CC572" s="105"/>
      <c r="CD572" s="105"/>
      <c r="CE572" s="105"/>
      <c r="CF572" s="105"/>
      <c r="CG572" s="105"/>
      <c r="CH572" s="105"/>
      <c r="CI572" s="105"/>
      <c r="CJ572" s="105"/>
      <c r="CK572" s="105"/>
      <c r="CL572" s="105"/>
      <c r="CM572" s="105"/>
      <c r="CN572" s="105"/>
      <c r="CO572" s="105"/>
      <c r="CP572" s="105"/>
      <c r="CQ572" s="105"/>
      <c r="CR572" s="105"/>
      <c r="CS572" s="105"/>
      <c r="CT572" s="105"/>
      <c r="CU572" s="105"/>
      <c r="CV572" s="105"/>
      <c r="CW572" s="105"/>
      <c r="CX572" s="105"/>
      <c r="CY572" s="105"/>
      <c r="CZ572" s="105"/>
      <c r="DA572" s="105"/>
    </row>
    <row r="573">
      <c r="B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c r="AA573" s="105"/>
      <c r="AB573" s="105"/>
      <c r="AC573" s="105"/>
      <c r="AD573" s="105"/>
      <c r="AE573" s="105"/>
      <c r="AF573" s="105"/>
      <c r="AG573" s="105"/>
      <c r="AH573" s="105"/>
      <c r="AI573" s="105"/>
      <c r="AJ573" s="105"/>
      <c r="AK573" s="105"/>
      <c r="AL573" s="105"/>
      <c r="AM573" s="105"/>
      <c r="AN573" s="105"/>
      <c r="AO573" s="105"/>
      <c r="AP573" s="105"/>
      <c r="AQ573" s="105"/>
      <c r="AR573" s="105"/>
      <c r="AS573" s="105"/>
      <c r="AT573" s="105"/>
      <c r="AU573" s="105"/>
      <c r="AV573" s="105"/>
      <c r="AW573" s="105"/>
      <c r="AX573" s="105"/>
      <c r="AY573" s="105"/>
      <c r="AZ573" s="105"/>
      <c r="BA573" s="105"/>
      <c r="BB573" s="105"/>
      <c r="BC573" s="105"/>
      <c r="BD573" s="105"/>
      <c r="BE573" s="105"/>
      <c r="BF573" s="105"/>
      <c r="BG573" s="105"/>
      <c r="BH573" s="105"/>
      <c r="BI573" s="105"/>
      <c r="BJ573" s="105"/>
      <c r="BK573" s="105"/>
      <c r="BL573" s="105"/>
      <c r="BM573" s="105"/>
      <c r="BN573" s="105"/>
      <c r="BO573" s="105"/>
      <c r="BP573" s="105"/>
      <c r="BQ573" s="105"/>
      <c r="BR573" s="105"/>
      <c r="BS573" s="105"/>
      <c r="BT573" s="105"/>
      <c r="BU573" s="105"/>
      <c r="BV573" s="105"/>
      <c r="BW573" s="105"/>
      <c r="BX573" s="105"/>
      <c r="BY573" s="105"/>
      <c r="BZ573" s="105"/>
      <c r="CA573" s="105"/>
      <c r="CB573" s="105"/>
      <c r="CC573" s="105"/>
      <c r="CD573" s="105"/>
      <c r="CE573" s="105"/>
      <c r="CF573" s="105"/>
      <c r="CG573" s="105"/>
      <c r="CH573" s="105"/>
      <c r="CI573" s="105"/>
      <c r="CJ573" s="105"/>
      <c r="CK573" s="105"/>
      <c r="CL573" s="105"/>
      <c r="CM573" s="105"/>
      <c r="CN573" s="105"/>
      <c r="CO573" s="105"/>
      <c r="CP573" s="105"/>
      <c r="CQ573" s="105"/>
      <c r="CR573" s="105"/>
      <c r="CS573" s="105"/>
      <c r="CT573" s="105"/>
      <c r="CU573" s="105"/>
      <c r="CV573" s="105"/>
      <c r="CW573" s="105"/>
      <c r="CX573" s="105"/>
      <c r="CY573" s="105"/>
      <c r="CZ573" s="105"/>
      <c r="DA573" s="105"/>
    </row>
    <row r="574">
      <c r="B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c r="AA574" s="105"/>
      <c r="AB574" s="105"/>
      <c r="AC574" s="105"/>
      <c r="AD574" s="105"/>
      <c r="AE574" s="105"/>
      <c r="AF574" s="105"/>
      <c r="AG574" s="105"/>
      <c r="AH574" s="105"/>
      <c r="AI574" s="105"/>
      <c r="AJ574" s="105"/>
      <c r="AK574" s="105"/>
      <c r="AL574" s="105"/>
      <c r="AM574" s="105"/>
      <c r="AN574" s="105"/>
      <c r="AO574" s="105"/>
      <c r="AP574" s="105"/>
      <c r="AQ574" s="105"/>
      <c r="AR574" s="105"/>
      <c r="AS574" s="105"/>
      <c r="AT574" s="105"/>
      <c r="AU574" s="105"/>
      <c r="AV574" s="105"/>
      <c r="AW574" s="105"/>
      <c r="AX574" s="105"/>
      <c r="AY574" s="105"/>
      <c r="AZ574" s="105"/>
      <c r="BA574" s="105"/>
      <c r="BB574" s="105"/>
      <c r="BC574" s="105"/>
      <c r="BD574" s="105"/>
      <c r="BE574" s="105"/>
      <c r="BF574" s="105"/>
      <c r="BG574" s="105"/>
      <c r="BH574" s="105"/>
      <c r="BI574" s="105"/>
      <c r="BJ574" s="105"/>
      <c r="BK574" s="105"/>
      <c r="BL574" s="105"/>
      <c r="BM574" s="105"/>
      <c r="BN574" s="105"/>
      <c r="BO574" s="105"/>
      <c r="BP574" s="105"/>
      <c r="BQ574" s="105"/>
      <c r="BR574" s="105"/>
      <c r="BS574" s="105"/>
      <c r="BT574" s="105"/>
      <c r="BU574" s="105"/>
      <c r="BV574" s="105"/>
      <c r="BW574" s="105"/>
      <c r="BX574" s="105"/>
      <c r="BY574" s="105"/>
      <c r="BZ574" s="105"/>
      <c r="CA574" s="105"/>
      <c r="CB574" s="105"/>
      <c r="CC574" s="105"/>
      <c r="CD574" s="105"/>
      <c r="CE574" s="105"/>
      <c r="CF574" s="105"/>
      <c r="CG574" s="105"/>
      <c r="CH574" s="105"/>
      <c r="CI574" s="105"/>
      <c r="CJ574" s="105"/>
      <c r="CK574" s="105"/>
      <c r="CL574" s="105"/>
      <c r="CM574" s="105"/>
      <c r="CN574" s="105"/>
      <c r="CO574" s="105"/>
      <c r="CP574" s="105"/>
      <c r="CQ574" s="105"/>
      <c r="CR574" s="105"/>
      <c r="CS574" s="105"/>
      <c r="CT574" s="105"/>
      <c r="CU574" s="105"/>
      <c r="CV574" s="105"/>
      <c r="CW574" s="105"/>
      <c r="CX574" s="105"/>
      <c r="CY574" s="105"/>
      <c r="CZ574" s="105"/>
      <c r="DA574" s="105"/>
    </row>
    <row r="575">
      <c r="B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c r="AA575" s="105"/>
      <c r="AB575" s="105"/>
      <c r="AC575" s="105"/>
      <c r="AD575" s="105"/>
      <c r="AE575" s="105"/>
      <c r="AF575" s="105"/>
      <c r="AG575" s="105"/>
      <c r="AH575" s="105"/>
      <c r="AI575" s="105"/>
      <c r="AJ575" s="105"/>
      <c r="AK575" s="105"/>
      <c r="AL575" s="105"/>
      <c r="AM575" s="105"/>
      <c r="AN575" s="105"/>
      <c r="AO575" s="105"/>
      <c r="AP575" s="105"/>
      <c r="AQ575" s="105"/>
      <c r="AR575" s="105"/>
      <c r="AS575" s="105"/>
      <c r="AT575" s="105"/>
      <c r="AU575" s="105"/>
      <c r="AV575" s="105"/>
      <c r="AW575" s="105"/>
      <c r="AX575" s="105"/>
      <c r="AY575" s="105"/>
      <c r="AZ575" s="105"/>
      <c r="BA575" s="105"/>
      <c r="BB575" s="105"/>
      <c r="BC575" s="105"/>
      <c r="BD575" s="105"/>
      <c r="BE575" s="105"/>
      <c r="BF575" s="105"/>
      <c r="BG575" s="105"/>
      <c r="BH575" s="105"/>
      <c r="BI575" s="105"/>
      <c r="BJ575" s="105"/>
      <c r="BK575" s="105"/>
      <c r="BL575" s="105"/>
      <c r="BM575" s="105"/>
      <c r="BN575" s="105"/>
      <c r="BO575" s="105"/>
      <c r="BP575" s="105"/>
      <c r="BQ575" s="105"/>
      <c r="BR575" s="105"/>
      <c r="BS575" s="105"/>
      <c r="BT575" s="105"/>
      <c r="BU575" s="105"/>
      <c r="BV575" s="105"/>
      <c r="BW575" s="105"/>
      <c r="BX575" s="105"/>
      <c r="BY575" s="105"/>
      <c r="BZ575" s="105"/>
      <c r="CA575" s="105"/>
      <c r="CB575" s="105"/>
      <c r="CC575" s="105"/>
      <c r="CD575" s="105"/>
      <c r="CE575" s="105"/>
      <c r="CF575" s="105"/>
      <c r="CG575" s="105"/>
      <c r="CH575" s="105"/>
      <c r="CI575" s="105"/>
      <c r="CJ575" s="105"/>
      <c r="CK575" s="105"/>
      <c r="CL575" s="105"/>
      <c r="CM575" s="105"/>
      <c r="CN575" s="105"/>
      <c r="CO575" s="105"/>
      <c r="CP575" s="105"/>
      <c r="CQ575" s="105"/>
      <c r="CR575" s="105"/>
      <c r="CS575" s="105"/>
      <c r="CT575" s="105"/>
      <c r="CU575" s="105"/>
      <c r="CV575" s="105"/>
      <c r="CW575" s="105"/>
      <c r="CX575" s="105"/>
      <c r="CY575" s="105"/>
      <c r="CZ575" s="105"/>
      <c r="DA575" s="105"/>
    </row>
    <row r="576">
      <c r="B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c r="AA576" s="105"/>
      <c r="AB576" s="105"/>
      <c r="AC576" s="105"/>
      <c r="AD576" s="105"/>
      <c r="AE576" s="105"/>
      <c r="AF576" s="105"/>
      <c r="AG576" s="105"/>
      <c r="AH576" s="105"/>
      <c r="AI576" s="105"/>
      <c r="AJ576" s="105"/>
      <c r="AK576" s="105"/>
      <c r="AL576" s="105"/>
      <c r="AM576" s="105"/>
      <c r="AN576" s="105"/>
      <c r="AO576" s="105"/>
      <c r="AP576" s="105"/>
      <c r="AQ576" s="105"/>
      <c r="AR576" s="105"/>
      <c r="AS576" s="105"/>
      <c r="AT576" s="105"/>
      <c r="AU576" s="105"/>
      <c r="AV576" s="105"/>
      <c r="AW576" s="105"/>
      <c r="AX576" s="105"/>
      <c r="AY576" s="105"/>
      <c r="AZ576" s="105"/>
      <c r="BA576" s="105"/>
      <c r="BB576" s="105"/>
      <c r="BC576" s="105"/>
      <c r="BD576" s="105"/>
      <c r="BE576" s="105"/>
      <c r="BF576" s="105"/>
      <c r="BG576" s="105"/>
      <c r="BH576" s="105"/>
      <c r="BI576" s="105"/>
      <c r="BJ576" s="105"/>
      <c r="BK576" s="105"/>
      <c r="BL576" s="105"/>
      <c r="BM576" s="105"/>
      <c r="BN576" s="105"/>
      <c r="BO576" s="105"/>
      <c r="BP576" s="105"/>
      <c r="BQ576" s="105"/>
      <c r="BR576" s="105"/>
      <c r="BS576" s="105"/>
      <c r="BT576" s="105"/>
      <c r="BU576" s="105"/>
      <c r="BV576" s="105"/>
      <c r="BW576" s="105"/>
      <c r="BX576" s="105"/>
      <c r="BY576" s="105"/>
      <c r="BZ576" s="105"/>
      <c r="CA576" s="105"/>
      <c r="CB576" s="105"/>
      <c r="CC576" s="105"/>
      <c r="CD576" s="105"/>
      <c r="CE576" s="105"/>
      <c r="CF576" s="105"/>
      <c r="CG576" s="105"/>
      <c r="CH576" s="105"/>
      <c r="CI576" s="105"/>
      <c r="CJ576" s="105"/>
      <c r="CK576" s="105"/>
      <c r="CL576" s="105"/>
      <c r="CM576" s="105"/>
      <c r="CN576" s="105"/>
      <c r="CO576" s="105"/>
      <c r="CP576" s="105"/>
      <c r="CQ576" s="105"/>
      <c r="CR576" s="105"/>
      <c r="CS576" s="105"/>
      <c r="CT576" s="105"/>
      <c r="CU576" s="105"/>
      <c r="CV576" s="105"/>
      <c r="CW576" s="105"/>
      <c r="CX576" s="105"/>
      <c r="CY576" s="105"/>
      <c r="CZ576" s="105"/>
      <c r="DA576" s="105"/>
    </row>
    <row r="577">
      <c r="B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c r="AA577" s="105"/>
      <c r="AB577" s="105"/>
      <c r="AC577" s="105"/>
      <c r="AD577" s="105"/>
      <c r="AE577" s="105"/>
      <c r="AF577" s="105"/>
      <c r="AG577" s="105"/>
      <c r="AH577" s="105"/>
      <c r="AI577" s="105"/>
      <c r="AJ577" s="105"/>
      <c r="AK577" s="105"/>
      <c r="AL577" s="105"/>
      <c r="AM577" s="105"/>
      <c r="AN577" s="105"/>
      <c r="AO577" s="105"/>
      <c r="AP577" s="105"/>
      <c r="AQ577" s="105"/>
      <c r="AR577" s="105"/>
      <c r="AS577" s="105"/>
      <c r="AT577" s="105"/>
      <c r="AU577" s="105"/>
      <c r="AV577" s="105"/>
      <c r="AW577" s="105"/>
      <c r="AX577" s="105"/>
      <c r="AY577" s="105"/>
      <c r="AZ577" s="105"/>
      <c r="BA577" s="105"/>
      <c r="BB577" s="105"/>
      <c r="BC577" s="105"/>
      <c r="BD577" s="105"/>
      <c r="BE577" s="105"/>
      <c r="BF577" s="105"/>
      <c r="BG577" s="105"/>
      <c r="BH577" s="105"/>
      <c r="BI577" s="105"/>
      <c r="BJ577" s="105"/>
      <c r="BK577" s="105"/>
      <c r="BL577" s="105"/>
      <c r="BM577" s="105"/>
      <c r="BN577" s="105"/>
      <c r="BO577" s="105"/>
      <c r="BP577" s="105"/>
      <c r="BQ577" s="105"/>
      <c r="BR577" s="105"/>
      <c r="BS577" s="105"/>
      <c r="BT577" s="105"/>
      <c r="BU577" s="105"/>
      <c r="BV577" s="105"/>
      <c r="BW577" s="105"/>
      <c r="BX577" s="105"/>
      <c r="BY577" s="105"/>
      <c r="BZ577" s="105"/>
      <c r="CA577" s="105"/>
      <c r="CB577" s="105"/>
      <c r="CC577" s="105"/>
      <c r="CD577" s="105"/>
      <c r="CE577" s="105"/>
      <c r="CF577" s="105"/>
      <c r="CG577" s="105"/>
      <c r="CH577" s="105"/>
      <c r="CI577" s="105"/>
      <c r="CJ577" s="105"/>
      <c r="CK577" s="105"/>
      <c r="CL577" s="105"/>
      <c r="CM577" s="105"/>
      <c r="CN577" s="105"/>
      <c r="CO577" s="105"/>
      <c r="CP577" s="105"/>
      <c r="CQ577" s="105"/>
      <c r="CR577" s="105"/>
      <c r="CS577" s="105"/>
      <c r="CT577" s="105"/>
      <c r="CU577" s="105"/>
      <c r="CV577" s="105"/>
      <c r="CW577" s="105"/>
      <c r="CX577" s="105"/>
      <c r="CY577" s="105"/>
      <c r="CZ577" s="105"/>
      <c r="DA577" s="105"/>
    </row>
    <row r="578">
      <c r="B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c r="AA578" s="105"/>
      <c r="AB578" s="105"/>
      <c r="AC578" s="105"/>
      <c r="AD578" s="105"/>
      <c r="AE578" s="105"/>
      <c r="AF578" s="105"/>
      <c r="AG578" s="105"/>
      <c r="AH578" s="105"/>
      <c r="AI578" s="105"/>
      <c r="AJ578" s="105"/>
      <c r="AK578" s="105"/>
      <c r="AL578" s="105"/>
      <c r="AM578" s="105"/>
      <c r="AN578" s="105"/>
      <c r="AO578" s="105"/>
      <c r="AP578" s="105"/>
      <c r="AQ578" s="105"/>
      <c r="AR578" s="105"/>
      <c r="AS578" s="105"/>
      <c r="AT578" s="105"/>
      <c r="AU578" s="105"/>
      <c r="AV578" s="105"/>
      <c r="AW578" s="105"/>
      <c r="AX578" s="105"/>
      <c r="AY578" s="105"/>
      <c r="AZ578" s="105"/>
      <c r="BA578" s="105"/>
      <c r="BB578" s="105"/>
      <c r="BC578" s="105"/>
      <c r="BD578" s="105"/>
      <c r="BE578" s="105"/>
      <c r="BF578" s="105"/>
      <c r="BG578" s="105"/>
      <c r="BH578" s="105"/>
      <c r="BI578" s="105"/>
      <c r="BJ578" s="105"/>
      <c r="BK578" s="105"/>
      <c r="BL578" s="105"/>
      <c r="BM578" s="105"/>
      <c r="BN578" s="105"/>
      <c r="BO578" s="105"/>
      <c r="BP578" s="105"/>
      <c r="BQ578" s="105"/>
      <c r="BR578" s="105"/>
      <c r="BS578" s="105"/>
      <c r="BT578" s="105"/>
      <c r="BU578" s="105"/>
      <c r="BV578" s="105"/>
      <c r="BW578" s="105"/>
      <c r="BX578" s="105"/>
      <c r="BY578" s="105"/>
      <c r="BZ578" s="105"/>
      <c r="CA578" s="105"/>
      <c r="CB578" s="105"/>
      <c r="CC578" s="105"/>
      <c r="CD578" s="105"/>
      <c r="CE578" s="105"/>
      <c r="CF578" s="105"/>
      <c r="CG578" s="105"/>
      <c r="CH578" s="105"/>
      <c r="CI578" s="105"/>
      <c r="CJ578" s="105"/>
      <c r="CK578" s="105"/>
      <c r="CL578" s="105"/>
      <c r="CM578" s="105"/>
      <c r="CN578" s="105"/>
      <c r="CO578" s="105"/>
      <c r="CP578" s="105"/>
      <c r="CQ578" s="105"/>
      <c r="CR578" s="105"/>
      <c r="CS578" s="105"/>
      <c r="CT578" s="105"/>
      <c r="CU578" s="105"/>
      <c r="CV578" s="105"/>
      <c r="CW578" s="105"/>
      <c r="CX578" s="105"/>
      <c r="CY578" s="105"/>
      <c r="CZ578" s="105"/>
      <c r="DA578" s="105"/>
    </row>
    <row r="579">
      <c r="B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c r="AA579" s="105"/>
      <c r="AB579" s="105"/>
      <c r="AC579" s="105"/>
      <c r="AD579" s="105"/>
      <c r="AE579" s="105"/>
      <c r="AF579" s="105"/>
      <c r="AG579" s="105"/>
      <c r="AH579" s="105"/>
      <c r="AI579" s="105"/>
      <c r="AJ579" s="105"/>
      <c r="AK579" s="105"/>
      <c r="AL579" s="105"/>
      <c r="AM579" s="105"/>
      <c r="AN579" s="105"/>
      <c r="AO579" s="105"/>
      <c r="AP579" s="105"/>
      <c r="AQ579" s="105"/>
      <c r="AR579" s="105"/>
      <c r="AS579" s="105"/>
      <c r="AT579" s="105"/>
      <c r="AU579" s="105"/>
      <c r="AV579" s="105"/>
      <c r="AW579" s="105"/>
      <c r="AX579" s="105"/>
      <c r="AY579" s="105"/>
      <c r="AZ579" s="105"/>
      <c r="BA579" s="105"/>
      <c r="BB579" s="105"/>
      <c r="BC579" s="105"/>
      <c r="BD579" s="105"/>
      <c r="BE579" s="105"/>
      <c r="BF579" s="105"/>
      <c r="BG579" s="105"/>
      <c r="BH579" s="105"/>
      <c r="BI579" s="105"/>
      <c r="BJ579" s="105"/>
      <c r="BK579" s="105"/>
      <c r="BL579" s="105"/>
      <c r="BM579" s="105"/>
      <c r="BN579" s="105"/>
      <c r="BO579" s="105"/>
      <c r="BP579" s="105"/>
      <c r="BQ579" s="105"/>
      <c r="BR579" s="105"/>
      <c r="BS579" s="105"/>
      <c r="BT579" s="105"/>
      <c r="BU579" s="105"/>
      <c r="BV579" s="105"/>
      <c r="BW579" s="105"/>
      <c r="BX579" s="105"/>
      <c r="BY579" s="105"/>
      <c r="BZ579" s="105"/>
      <c r="CA579" s="105"/>
      <c r="CB579" s="105"/>
      <c r="CC579" s="105"/>
      <c r="CD579" s="105"/>
      <c r="CE579" s="105"/>
      <c r="CF579" s="105"/>
      <c r="CG579" s="105"/>
      <c r="CH579" s="105"/>
      <c r="CI579" s="105"/>
      <c r="CJ579" s="105"/>
      <c r="CK579" s="105"/>
      <c r="CL579" s="105"/>
      <c r="CM579" s="105"/>
      <c r="CN579" s="105"/>
      <c r="CO579" s="105"/>
      <c r="CP579" s="105"/>
      <c r="CQ579" s="105"/>
      <c r="CR579" s="105"/>
      <c r="CS579" s="105"/>
      <c r="CT579" s="105"/>
      <c r="CU579" s="105"/>
      <c r="CV579" s="105"/>
      <c r="CW579" s="105"/>
      <c r="CX579" s="105"/>
      <c r="CY579" s="105"/>
      <c r="CZ579" s="105"/>
      <c r="DA579" s="105"/>
    </row>
    <row r="580">
      <c r="B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c r="AA580" s="105"/>
      <c r="AB580" s="105"/>
      <c r="AC580" s="105"/>
      <c r="AD580" s="105"/>
      <c r="AE580" s="105"/>
      <c r="AF580" s="105"/>
      <c r="AG580" s="105"/>
      <c r="AH580" s="105"/>
      <c r="AI580" s="105"/>
      <c r="AJ580" s="105"/>
      <c r="AK580" s="105"/>
      <c r="AL580" s="105"/>
      <c r="AM580" s="105"/>
      <c r="AN580" s="105"/>
      <c r="AO580" s="105"/>
      <c r="AP580" s="105"/>
      <c r="AQ580" s="105"/>
      <c r="AR580" s="105"/>
      <c r="AS580" s="105"/>
      <c r="AT580" s="105"/>
      <c r="AU580" s="105"/>
      <c r="AV580" s="105"/>
      <c r="AW580" s="105"/>
      <c r="AX580" s="105"/>
      <c r="AY580" s="105"/>
      <c r="AZ580" s="105"/>
      <c r="BA580" s="105"/>
      <c r="BB580" s="105"/>
      <c r="BC580" s="105"/>
      <c r="BD580" s="105"/>
      <c r="BE580" s="105"/>
      <c r="BF580" s="105"/>
      <c r="BG580" s="105"/>
      <c r="BH580" s="105"/>
      <c r="BI580" s="105"/>
      <c r="BJ580" s="105"/>
      <c r="BK580" s="105"/>
      <c r="BL580" s="105"/>
      <c r="BM580" s="105"/>
      <c r="BN580" s="105"/>
      <c r="BO580" s="105"/>
      <c r="BP580" s="105"/>
      <c r="BQ580" s="105"/>
      <c r="BR580" s="105"/>
      <c r="BS580" s="105"/>
      <c r="BT580" s="105"/>
      <c r="BU580" s="105"/>
      <c r="BV580" s="105"/>
      <c r="BW580" s="105"/>
      <c r="BX580" s="105"/>
      <c r="BY580" s="105"/>
      <c r="BZ580" s="105"/>
      <c r="CA580" s="105"/>
      <c r="CB580" s="105"/>
      <c r="CC580" s="105"/>
      <c r="CD580" s="105"/>
      <c r="CE580" s="105"/>
      <c r="CF580" s="105"/>
      <c r="CG580" s="105"/>
      <c r="CH580" s="105"/>
      <c r="CI580" s="105"/>
      <c r="CJ580" s="105"/>
      <c r="CK580" s="105"/>
      <c r="CL580" s="105"/>
      <c r="CM580" s="105"/>
      <c r="CN580" s="105"/>
      <c r="CO580" s="105"/>
      <c r="CP580" s="105"/>
      <c r="CQ580" s="105"/>
      <c r="CR580" s="105"/>
      <c r="CS580" s="105"/>
      <c r="CT580" s="105"/>
      <c r="CU580" s="105"/>
      <c r="CV580" s="105"/>
      <c r="CW580" s="105"/>
      <c r="CX580" s="105"/>
      <c r="CY580" s="105"/>
      <c r="CZ580" s="105"/>
      <c r="DA580" s="105"/>
    </row>
    <row r="581">
      <c r="B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c r="AA581" s="105"/>
      <c r="AB581" s="105"/>
      <c r="AC581" s="105"/>
      <c r="AD581" s="105"/>
      <c r="AE581" s="105"/>
      <c r="AF581" s="105"/>
      <c r="AG581" s="105"/>
      <c r="AH581" s="105"/>
      <c r="AI581" s="105"/>
      <c r="AJ581" s="105"/>
      <c r="AK581" s="105"/>
      <c r="AL581" s="105"/>
      <c r="AM581" s="105"/>
      <c r="AN581" s="105"/>
      <c r="AO581" s="105"/>
      <c r="AP581" s="105"/>
      <c r="AQ581" s="105"/>
      <c r="AR581" s="105"/>
      <c r="AS581" s="105"/>
      <c r="AT581" s="105"/>
      <c r="AU581" s="105"/>
      <c r="AV581" s="105"/>
      <c r="AW581" s="105"/>
      <c r="AX581" s="105"/>
      <c r="AY581" s="105"/>
      <c r="AZ581" s="105"/>
      <c r="BA581" s="105"/>
      <c r="BB581" s="105"/>
      <c r="BC581" s="105"/>
      <c r="BD581" s="105"/>
      <c r="BE581" s="105"/>
      <c r="BF581" s="105"/>
      <c r="BG581" s="105"/>
      <c r="BH581" s="105"/>
      <c r="BI581" s="105"/>
      <c r="BJ581" s="105"/>
      <c r="BK581" s="105"/>
      <c r="BL581" s="105"/>
      <c r="BM581" s="105"/>
      <c r="BN581" s="105"/>
      <c r="BO581" s="105"/>
      <c r="BP581" s="105"/>
      <c r="BQ581" s="105"/>
      <c r="BR581" s="105"/>
      <c r="BS581" s="105"/>
      <c r="BT581" s="105"/>
      <c r="BU581" s="105"/>
      <c r="BV581" s="105"/>
      <c r="BW581" s="105"/>
      <c r="BX581" s="105"/>
      <c r="BY581" s="105"/>
      <c r="BZ581" s="105"/>
      <c r="CA581" s="105"/>
      <c r="CB581" s="105"/>
      <c r="CC581" s="105"/>
      <c r="CD581" s="105"/>
      <c r="CE581" s="105"/>
      <c r="CF581" s="105"/>
      <c r="CG581" s="105"/>
      <c r="CH581" s="105"/>
      <c r="CI581" s="105"/>
      <c r="CJ581" s="105"/>
      <c r="CK581" s="105"/>
      <c r="CL581" s="105"/>
      <c r="CM581" s="105"/>
      <c r="CN581" s="105"/>
      <c r="CO581" s="105"/>
      <c r="CP581" s="105"/>
      <c r="CQ581" s="105"/>
      <c r="CR581" s="105"/>
      <c r="CS581" s="105"/>
      <c r="CT581" s="105"/>
      <c r="CU581" s="105"/>
      <c r="CV581" s="105"/>
      <c r="CW581" s="105"/>
      <c r="CX581" s="105"/>
      <c r="CY581" s="105"/>
      <c r="CZ581" s="105"/>
      <c r="DA581" s="105"/>
    </row>
    <row r="582">
      <c r="B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c r="AA582" s="105"/>
      <c r="AB582" s="105"/>
      <c r="AC582" s="105"/>
      <c r="AD582" s="105"/>
      <c r="AE582" s="105"/>
      <c r="AF582" s="105"/>
      <c r="AG582" s="105"/>
      <c r="AH582" s="105"/>
      <c r="AI582" s="105"/>
      <c r="AJ582" s="105"/>
      <c r="AK582" s="105"/>
      <c r="AL582" s="105"/>
      <c r="AM582" s="105"/>
      <c r="AN582" s="105"/>
      <c r="AO582" s="105"/>
      <c r="AP582" s="105"/>
      <c r="AQ582" s="105"/>
      <c r="AR582" s="105"/>
      <c r="AS582" s="105"/>
      <c r="AT582" s="105"/>
      <c r="AU582" s="105"/>
      <c r="AV582" s="105"/>
      <c r="AW582" s="105"/>
      <c r="AX582" s="105"/>
      <c r="AY582" s="105"/>
      <c r="AZ582" s="105"/>
      <c r="BA582" s="105"/>
      <c r="BB582" s="105"/>
      <c r="BC582" s="105"/>
      <c r="BD582" s="105"/>
      <c r="BE582" s="105"/>
      <c r="BF582" s="105"/>
      <c r="BG582" s="105"/>
      <c r="BH582" s="105"/>
      <c r="BI582" s="105"/>
      <c r="BJ582" s="105"/>
      <c r="BK582" s="105"/>
      <c r="BL582" s="105"/>
      <c r="BM582" s="105"/>
      <c r="BN582" s="105"/>
      <c r="BO582" s="105"/>
      <c r="BP582" s="105"/>
      <c r="BQ582" s="105"/>
      <c r="BR582" s="105"/>
      <c r="BS582" s="105"/>
      <c r="BT582" s="105"/>
      <c r="BU582" s="105"/>
      <c r="BV582" s="105"/>
      <c r="BW582" s="105"/>
      <c r="BX582" s="105"/>
      <c r="BY582" s="105"/>
      <c r="BZ582" s="105"/>
      <c r="CA582" s="105"/>
      <c r="CB582" s="105"/>
      <c r="CC582" s="105"/>
      <c r="CD582" s="105"/>
      <c r="CE582" s="105"/>
      <c r="CF582" s="105"/>
      <c r="CG582" s="105"/>
      <c r="CH582" s="105"/>
      <c r="CI582" s="105"/>
      <c r="CJ582" s="105"/>
      <c r="CK582" s="105"/>
      <c r="CL582" s="105"/>
      <c r="CM582" s="105"/>
      <c r="CN582" s="105"/>
      <c r="CO582" s="105"/>
      <c r="CP582" s="105"/>
      <c r="CQ582" s="105"/>
      <c r="CR582" s="105"/>
      <c r="CS582" s="105"/>
      <c r="CT582" s="105"/>
      <c r="CU582" s="105"/>
      <c r="CV582" s="105"/>
      <c r="CW582" s="105"/>
      <c r="CX582" s="105"/>
      <c r="CY582" s="105"/>
      <c r="CZ582" s="105"/>
      <c r="DA582" s="105"/>
    </row>
    <row r="583">
      <c r="B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c r="AA583" s="105"/>
      <c r="AB583" s="105"/>
      <c r="AC583" s="105"/>
      <c r="AD583" s="105"/>
      <c r="AE583" s="105"/>
      <c r="AF583" s="105"/>
      <c r="AG583" s="105"/>
      <c r="AH583" s="105"/>
      <c r="AI583" s="105"/>
      <c r="AJ583" s="105"/>
      <c r="AK583" s="105"/>
      <c r="AL583" s="105"/>
      <c r="AM583" s="105"/>
      <c r="AN583" s="105"/>
      <c r="AO583" s="105"/>
      <c r="AP583" s="105"/>
      <c r="AQ583" s="105"/>
      <c r="AR583" s="105"/>
      <c r="AS583" s="105"/>
      <c r="AT583" s="105"/>
      <c r="AU583" s="105"/>
      <c r="AV583" s="105"/>
      <c r="AW583" s="105"/>
      <c r="AX583" s="105"/>
      <c r="AY583" s="105"/>
      <c r="AZ583" s="105"/>
      <c r="BA583" s="105"/>
      <c r="BB583" s="105"/>
      <c r="BC583" s="105"/>
      <c r="BD583" s="105"/>
      <c r="BE583" s="105"/>
      <c r="BF583" s="105"/>
      <c r="BG583" s="105"/>
      <c r="BH583" s="105"/>
      <c r="BI583" s="105"/>
      <c r="BJ583" s="105"/>
      <c r="BK583" s="105"/>
      <c r="BL583" s="105"/>
      <c r="BM583" s="105"/>
      <c r="BN583" s="105"/>
      <c r="BO583" s="105"/>
      <c r="BP583" s="105"/>
      <c r="BQ583" s="105"/>
      <c r="BR583" s="105"/>
      <c r="BS583" s="105"/>
      <c r="BT583" s="105"/>
      <c r="BU583" s="105"/>
      <c r="BV583" s="105"/>
      <c r="BW583" s="105"/>
      <c r="BX583" s="105"/>
      <c r="BY583" s="105"/>
      <c r="BZ583" s="105"/>
      <c r="CA583" s="105"/>
      <c r="CB583" s="105"/>
      <c r="CC583" s="105"/>
      <c r="CD583" s="105"/>
      <c r="CE583" s="105"/>
      <c r="CF583" s="105"/>
      <c r="CG583" s="105"/>
      <c r="CH583" s="105"/>
      <c r="CI583" s="105"/>
      <c r="CJ583" s="105"/>
      <c r="CK583" s="105"/>
      <c r="CL583" s="105"/>
      <c r="CM583" s="105"/>
      <c r="CN583" s="105"/>
      <c r="CO583" s="105"/>
      <c r="CP583" s="105"/>
      <c r="CQ583" s="105"/>
      <c r="CR583" s="105"/>
      <c r="CS583" s="105"/>
      <c r="CT583" s="105"/>
      <c r="CU583" s="105"/>
      <c r="CV583" s="105"/>
      <c r="CW583" s="105"/>
      <c r="CX583" s="105"/>
      <c r="CY583" s="105"/>
      <c r="CZ583" s="105"/>
      <c r="DA583" s="105"/>
    </row>
    <row r="584">
      <c r="B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c r="AA584" s="105"/>
      <c r="AB584" s="105"/>
      <c r="AC584" s="105"/>
      <c r="AD584" s="105"/>
      <c r="AE584" s="105"/>
      <c r="AF584" s="105"/>
      <c r="AG584" s="105"/>
      <c r="AH584" s="105"/>
      <c r="AI584" s="105"/>
      <c r="AJ584" s="105"/>
      <c r="AK584" s="105"/>
      <c r="AL584" s="105"/>
      <c r="AM584" s="105"/>
      <c r="AN584" s="105"/>
      <c r="AO584" s="105"/>
      <c r="AP584" s="105"/>
      <c r="AQ584" s="105"/>
      <c r="AR584" s="105"/>
      <c r="AS584" s="105"/>
      <c r="AT584" s="105"/>
      <c r="AU584" s="105"/>
      <c r="AV584" s="105"/>
      <c r="AW584" s="105"/>
      <c r="AX584" s="105"/>
      <c r="AY584" s="105"/>
      <c r="AZ584" s="105"/>
      <c r="BA584" s="105"/>
      <c r="BB584" s="105"/>
      <c r="BC584" s="105"/>
      <c r="BD584" s="105"/>
      <c r="BE584" s="105"/>
      <c r="BF584" s="105"/>
      <c r="BG584" s="105"/>
      <c r="BH584" s="105"/>
      <c r="BI584" s="105"/>
      <c r="BJ584" s="105"/>
      <c r="BK584" s="105"/>
      <c r="BL584" s="105"/>
      <c r="BM584" s="105"/>
      <c r="BN584" s="105"/>
      <c r="BO584" s="105"/>
      <c r="BP584" s="105"/>
      <c r="BQ584" s="105"/>
      <c r="BR584" s="105"/>
      <c r="BS584" s="105"/>
      <c r="BT584" s="105"/>
      <c r="BU584" s="105"/>
      <c r="BV584" s="105"/>
      <c r="BW584" s="105"/>
      <c r="BX584" s="105"/>
      <c r="BY584" s="105"/>
      <c r="BZ584" s="105"/>
      <c r="CA584" s="105"/>
      <c r="CB584" s="105"/>
      <c r="CC584" s="105"/>
      <c r="CD584" s="105"/>
      <c r="CE584" s="105"/>
      <c r="CF584" s="105"/>
      <c r="CG584" s="105"/>
      <c r="CH584" s="105"/>
      <c r="CI584" s="105"/>
      <c r="CJ584" s="105"/>
      <c r="CK584" s="105"/>
      <c r="CL584" s="105"/>
      <c r="CM584" s="105"/>
      <c r="CN584" s="105"/>
      <c r="CO584" s="105"/>
      <c r="CP584" s="105"/>
      <c r="CQ584" s="105"/>
      <c r="CR584" s="105"/>
      <c r="CS584" s="105"/>
      <c r="CT584" s="105"/>
      <c r="CU584" s="105"/>
      <c r="CV584" s="105"/>
      <c r="CW584" s="105"/>
      <c r="CX584" s="105"/>
      <c r="CY584" s="105"/>
      <c r="CZ584" s="105"/>
      <c r="DA584" s="105"/>
    </row>
    <row r="585">
      <c r="B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c r="AA585" s="105"/>
      <c r="AB585" s="105"/>
      <c r="AC585" s="105"/>
      <c r="AD585" s="105"/>
      <c r="AE585" s="105"/>
      <c r="AF585" s="105"/>
      <c r="AG585" s="105"/>
      <c r="AH585" s="105"/>
      <c r="AI585" s="105"/>
      <c r="AJ585" s="105"/>
      <c r="AK585" s="105"/>
      <c r="AL585" s="105"/>
      <c r="AM585" s="105"/>
      <c r="AN585" s="105"/>
      <c r="AO585" s="105"/>
      <c r="AP585" s="105"/>
      <c r="AQ585" s="105"/>
      <c r="AR585" s="105"/>
      <c r="AS585" s="105"/>
      <c r="AT585" s="105"/>
      <c r="AU585" s="105"/>
      <c r="AV585" s="105"/>
      <c r="AW585" s="105"/>
      <c r="AX585" s="105"/>
      <c r="AY585" s="105"/>
      <c r="AZ585" s="105"/>
      <c r="BA585" s="105"/>
      <c r="BB585" s="105"/>
      <c r="BC585" s="105"/>
      <c r="BD585" s="105"/>
      <c r="BE585" s="105"/>
      <c r="BF585" s="105"/>
      <c r="BG585" s="105"/>
      <c r="BH585" s="105"/>
      <c r="BI585" s="105"/>
      <c r="BJ585" s="105"/>
      <c r="BK585" s="105"/>
      <c r="BL585" s="105"/>
      <c r="BM585" s="105"/>
      <c r="BN585" s="105"/>
      <c r="BO585" s="105"/>
      <c r="BP585" s="105"/>
      <c r="BQ585" s="105"/>
      <c r="BR585" s="105"/>
      <c r="BS585" s="105"/>
      <c r="BT585" s="105"/>
      <c r="BU585" s="105"/>
      <c r="BV585" s="105"/>
      <c r="BW585" s="105"/>
      <c r="BX585" s="105"/>
      <c r="BY585" s="105"/>
      <c r="BZ585" s="105"/>
      <c r="CA585" s="105"/>
      <c r="CB585" s="105"/>
      <c r="CC585" s="105"/>
      <c r="CD585" s="105"/>
      <c r="CE585" s="105"/>
      <c r="CF585" s="105"/>
      <c r="CG585" s="105"/>
      <c r="CH585" s="105"/>
      <c r="CI585" s="105"/>
      <c r="CJ585" s="105"/>
      <c r="CK585" s="105"/>
      <c r="CL585" s="105"/>
      <c r="CM585" s="105"/>
      <c r="CN585" s="105"/>
      <c r="CO585" s="105"/>
      <c r="CP585" s="105"/>
      <c r="CQ585" s="105"/>
      <c r="CR585" s="105"/>
      <c r="CS585" s="105"/>
      <c r="CT585" s="105"/>
      <c r="CU585" s="105"/>
      <c r="CV585" s="105"/>
      <c r="CW585" s="105"/>
      <c r="CX585" s="105"/>
      <c r="CY585" s="105"/>
      <c r="CZ585" s="105"/>
      <c r="DA585" s="105"/>
    </row>
    <row r="586">
      <c r="B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c r="AA586" s="105"/>
      <c r="AB586" s="105"/>
      <c r="AC586" s="105"/>
      <c r="AD586" s="105"/>
      <c r="AE586" s="105"/>
      <c r="AF586" s="105"/>
      <c r="AG586" s="105"/>
      <c r="AH586" s="105"/>
      <c r="AI586" s="105"/>
      <c r="AJ586" s="105"/>
      <c r="AK586" s="105"/>
      <c r="AL586" s="105"/>
      <c r="AM586" s="105"/>
      <c r="AN586" s="105"/>
      <c r="AO586" s="105"/>
      <c r="AP586" s="105"/>
      <c r="AQ586" s="105"/>
      <c r="AR586" s="105"/>
      <c r="AS586" s="105"/>
      <c r="AT586" s="105"/>
      <c r="AU586" s="105"/>
      <c r="AV586" s="105"/>
      <c r="AW586" s="105"/>
      <c r="AX586" s="105"/>
      <c r="AY586" s="105"/>
      <c r="AZ586" s="105"/>
      <c r="BA586" s="105"/>
      <c r="BB586" s="105"/>
      <c r="BC586" s="105"/>
      <c r="BD586" s="105"/>
      <c r="BE586" s="105"/>
      <c r="BF586" s="105"/>
      <c r="BG586" s="105"/>
      <c r="BH586" s="105"/>
      <c r="BI586" s="105"/>
      <c r="BJ586" s="105"/>
      <c r="BK586" s="105"/>
      <c r="BL586" s="105"/>
      <c r="BM586" s="105"/>
      <c r="BN586" s="105"/>
      <c r="BO586" s="105"/>
      <c r="BP586" s="105"/>
      <c r="BQ586" s="105"/>
      <c r="BR586" s="105"/>
      <c r="BS586" s="105"/>
      <c r="BT586" s="105"/>
      <c r="BU586" s="105"/>
      <c r="BV586" s="105"/>
      <c r="BW586" s="105"/>
      <c r="BX586" s="105"/>
      <c r="BY586" s="105"/>
      <c r="BZ586" s="105"/>
      <c r="CA586" s="105"/>
      <c r="CB586" s="105"/>
      <c r="CC586" s="105"/>
      <c r="CD586" s="105"/>
      <c r="CE586" s="105"/>
      <c r="CF586" s="105"/>
      <c r="CG586" s="105"/>
      <c r="CH586" s="105"/>
      <c r="CI586" s="105"/>
      <c r="CJ586" s="105"/>
      <c r="CK586" s="105"/>
      <c r="CL586" s="105"/>
      <c r="CM586" s="105"/>
      <c r="CN586" s="105"/>
      <c r="CO586" s="105"/>
      <c r="CP586" s="105"/>
      <c r="CQ586" s="105"/>
      <c r="CR586" s="105"/>
      <c r="CS586" s="105"/>
      <c r="CT586" s="105"/>
      <c r="CU586" s="105"/>
      <c r="CV586" s="105"/>
      <c r="CW586" s="105"/>
      <c r="CX586" s="105"/>
      <c r="CY586" s="105"/>
      <c r="CZ586" s="105"/>
      <c r="DA586" s="105"/>
    </row>
    <row r="587">
      <c r="B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c r="AA587" s="105"/>
      <c r="AB587" s="105"/>
      <c r="AC587" s="105"/>
      <c r="AD587" s="105"/>
      <c r="AE587" s="105"/>
      <c r="AF587" s="105"/>
      <c r="AG587" s="105"/>
      <c r="AH587" s="105"/>
      <c r="AI587" s="105"/>
      <c r="AJ587" s="105"/>
      <c r="AK587" s="105"/>
      <c r="AL587" s="105"/>
      <c r="AM587" s="105"/>
      <c r="AN587" s="105"/>
      <c r="AO587" s="105"/>
      <c r="AP587" s="105"/>
      <c r="AQ587" s="105"/>
      <c r="AR587" s="105"/>
      <c r="AS587" s="105"/>
      <c r="AT587" s="105"/>
      <c r="AU587" s="105"/>
      <c r="AV587" s="105"/>
      <c r="AW587" s="105"/>
      <c r="AX587" s="105"/>
      <c r="AY587" s="105"/>
      <c r="AZ587" s="105"/>
      <c r="BA587" s="105"/>
      <c r="BB587" s="105"/>
      <c r="BC587" s="105"/>
      <c r="BD587" s="105"/>
      <c r="BE587" s="105"/>
      <c r="BF587" s="105"/>
      <c r="BG587" s="105"/>
      <c r="BH587" s="105"/>
      <c r="BI587" s="105"/>
      <c r="BJ587" s="105"/>
      <c r="BK587" s="105"/>
      <c r="BL587" s="105"/>
      <c r="BM587" s="105"/>
      <c r="BN587" s="105"/>
      <c r="BO587" s="105"/>
      <c r="BP587" s="105"/>
      <c r="BQ587" s="105"/>
      <c r="BR587" s="105"/>
      <c r="BS587" s="105"/>
      <c r="BT587" s="105"/>
      <c r="BU587" s="105"/>
      <c r="BV587" s="105"/>
      <c r="BW587" s="105"/>
      <c r="BX587" s="105"/>
      <c r="BY587" s="105"/>
      <c r="BZ587" s="105"/>
      <c r="CA587" s="105"/>
      <c r="CB587" s="105"/>
      <c r="CC587" s="105"/>
      <c r="CD587" s="105"/>
      <c r="CE587" s="105"/>
      <c r="CF587" s="105"/>
      <c r="CG587" s="105"/>
      <c r="CH587" s="105"/>
      <c r="CI587" s="105"/>
      <c r="CJ587" s="105"/>
      <c r="CK587" s="105"/>
      <c r="CL587" s="105"/>
      <c r="CM587" s="105"/>
      <c r="CN587" s="105"/>
      <c r="CO587" s="105"/>
      <c r="CP587" s="105"/>
      <c r="CQ587" s="105"/>
      <c r="CR587" s="105"/>
      <c r="CS587" s="105"/>
      <c r="CT587" s="105"/>
      <c r="CU587" s="105"/>
      <c r="CV587" s="105"/>
      <c r="CW587" s="105"/>
      <c r="CX587" s="105"/>
      <c r="CY587" s="105"/>
      <c r="CZ587" s="105"/>
      <c r="DA587" s="105"/>
    </row>
    <row r="588">
      <c r="B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c r="AA588" s="105"/>
      <c r="AB588" s="105"/>
      <c r="AC588" s="105"/>
      <c r="AD588" s="105"/>
      <c r="AE588" s="105"/>
      <c r="AF588" s="105"/>
      <c r="AG588" s="105"/>
      <c r="AH588" s="105"/>
      <c r="AI588" s="105"/>
      <c r="AJ588" s="105"/>
      <c r="AK588" s="105"/>
      <c r="AL588" s="105"/>
      <c r="AM588" s="105"/>
      <c r="AN588" s="105"/>
      <c r="AO588" s="105"/>
      <c r="AP588" s="105"/>
      <c r="AQ588" s="105"/>
      <c r="AR588" s="105"/>
      <c r="AS588" s="105"/>
      <c r="AT588" s="105"/>
      <c r="AU588" s="105"/>
      <c r="AV588" s="105"/>
      <c r="AW588" s="105"/>
      <c r="AX588" s="105"/>
      <c r="AY588" s="105"/>
      <c r="AZ588" s="105"/>
      <c r="BA588" s="105"/>
      <c r="BB588" s="105"/>
      <c r="BC588" s="105"/>
      <c r="BD588" s="105"/>
      <c r="BE588" s="105"/>
      <c r="BF588" s="105"/>
      <c r="BG588" s="105"/>
      <c r="BH588" s="105"/>
      <c r="BI588" s="105"/>
      <c r="BJ588" s="105"/>
      <c r="BK588" s="105"/>
      <c r="BL588" s="105"/>
      <c r="BM588" s="105"/>
      <c r="BN588" s="105"/>
      <c r="BO588" s="105"/>
      <c r="BP588" s="105"/>
      <c r="BQ588" s="105"/>
      <c r="BR588" s="105"/>
      <c r="BS588" s="105"/>
      <c r="BT588" s="105"/>
      <c r="BU588" s="105"/>
      <c r="BV588" s="105"/>
      <c r="BW588" s="105"/>
      <c r="BX588" s="105"/>
      <c r="BY588" s="105"/>
      <c r="BZ588" s="105"/>
      <c r="CA588" s="105"/>
      <c r="CB588" s="105"/>
      <c r="CC588" s="105"/>
      <c r="CD588" s="105"/>
      <c r="CE588" s="105"/>
      <c r="CF588" s="105"/>
      <c r="CG588" s="105"/>
      <c r="CH588" s="105"/>
      <c r="CI588" s="105"/>
      <c r="CJ588" s="105"/>
      <c r="CK588" s="105"/>
      <c r="CL588" s="105"/>
      <c r="CM588" s="105"/>
      <c r="CN588" s="105"/>
      <c r="CO588" s="105"/>
      <c r="CP588" s="105"/>
      <c r="CQ588" s="105"/>
      <c r="CR588" s="105"/>
      <c r="CS588" s="105"/>
      <c r="CT588" s="105"/>
      <c r="CU588" s="105"/>
      <c r="CV588" s="105"/>
      <c r="CW588" s="105"/>
      <c r="CX588" s="105"/>
      <c r="CY588" s="105"/>
      <c r="CZ588" s="105"/>
      <c r="DA588" s="105"/>
    </row>
    <row r="589">
      <c r="B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c r="AA589" s="105"/>
      <c r="AB589" s="105"/>
      <c r="AC589" s="105"/>
      <c r="AD589" s="105"/>
      <c r="AE589" s="105"/>
      <c r="AF589" s="105"/>
      <c r="AG589" s="105"/>
      <c r="AH589" s="105"/>
      <c r="AI589" s="105"/>
      <c r="AJ589" s="105"/>
      <c r="AK589" s="105"/>
      <c r="AL589" s="105"/>
      <c r="AM589" s="105"/>
      <c r="AN589" s="105"/>
      <c r="AO589" s="105"/>
      <c r="AP589" s="105"/>
      <c r="AQ589" s="105"/>
      <c r="AR589" s="105"/>
      <c r="AS589" s="105"/>
      <c r="AT589" s="105"/>
      <c r="AU589" s="105"/>
      <c r="AV589" s="105"/>
      <c r="AW589" s="105"/>
      <c r="AX589" s="105"/>
      <c r="AY589" s="105"/>
      <c r="AZ589" s="105"/>
      <c r="BA589" s="105"/>
      <c r="BB589" s="105"/>
      <c r="BC589" s="105"/>
      <c r="BD589" s="105"/>
      <c r="BE589" s="105"/>
      <c r="BF589" s="105"/>
      <c r="BG589" s="105"/>
      <c r="BH589" s="105"/>
      <c r="BI589" s="105"/>
      <c r="BJ589" s="105"/>
      <c r="BK589" s="105"/>
      <c r="BL589" s="105"/>
      <c r="BM589" s="105"/>
      <c r="BN589" s="105"/>
      <c r="BO589" s="105"/>
      <c r="BP589" s="105"/>
      <c r="BQ589" s="105"/>
      <c r="BR589" s="105"/>
      <c r="BS589" s="105"/>
      <c r="BT589" s="105"/>
      <c r="BU589" s="105"/>
      <c r="BV589" s="105"/>
      <c r="BW589" s="105"/>
      <c r="BX589" s="105"/>
      <c r="BY589" s="105"/>
      <c r="BZ589" s="105"/>
      <c r="CA589" s="105"/>
      <c r="CB589" s="105"/>
      <c r="CC589" s="105"/>
      <c r="CD589" s="105"/>
      <c r="CE589" s="105"/>
      <c r="CF589" s="105"/>
      <c r="CG589" s="105"/>
      <c r="CH589" s="105"/>
      <c r="CI589" s="105"/>
      <c r="CJ589" s="105"/>
      <c r="CK589" s="105"/>
      <c r="CL589" s="105"/>
      <c r="CM589" s="105"/>
      <c r="CN589" s="105"/>
      <c r="CO589" s="105"/>
      <c r="CP589" s="105"/>
      <c r="CQ589" s="105"/>
      <c r="CR589" s="105"/>
      <c r="CS589" s="105"/>
      <c r="CT589" s="105"/>
      <c r="CU589" s="105"/>
      <c r="CV589" s="105"/>
      <c r="CW589" s="105"/>
      <c r="CX589" s="105"/>
      <c r="CY589" s="105"/>
      <c r="CZ589" s="105"/>
      <c r="DA589" s="105"/>
    </row>
    <row r="590">
      <c r="B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c r="AA590" s="105"/>
      <c r="AB590" s="105"/>
      <c r="AC590" s="105"/>
      <c r="AD590" s="105"/>
      <c r="AE590" s="105"/>
      <c r="AF590" s="105"/>
      <c r="AG590" s="105"/>
      <c r="AH590" s="105"/>
      <c r="AI590" s="105"/>
      <c r="AJ590" s="105"/>
      <c r="AK590" s="105"/>
      <c r="AL590" s="105"/>
      <c r="AM590" s="105"/>
      <c r="AN590" s="105"/>
      <c r="AO590" s="105"/>
      <c r="AP590" s="105"/>
      <c r="AQ590" s="105"/>
      <c r="AR590" s="105"/>
      <c r="AS590" s="105"/>
      <c r="AT590" s="105"/>
      <c r="AU590" s="105"/>
      <c r="AV590" s="105"/>
      <c r="AW590" s="105"/>
      <c r="AX590" s="105"/>
      <c r="AY590" s="105"/>
      <c r="AZ590" s="105"/>
      <c r="BA590" s="105"/>
      <c r="BB590" s="105"/>
      <c r="BC590" s="105"/>
      <c r="BD590" s="105"/>
      <c r="BE590" s="105"/>
      <c r="BF590" s="105"/>
      <c r="BG590" s="105"/>
      <c r="BH590" s="105"/>
      <c r="BI590" s="105"/>
      <c r="BJ590" s="105"/>
      <c r="BK590" s="105"/>
      <c r="BL590" s="105"/>
      <c r="BM590" s="105"/>
      <c r="BN590" s="105"/>
      <c r="BO590" s="105"/>
      <c r="BP590" s="105"/>
      <c r="BQ590" s="105"/>
      <c r="BR590" s="105"/>
      <c r="BS590" s="105"/>
      <c r="BT590" s="105"/>
      <c r="BU590" s="105"/>
      <c r="BV590" s="105"/>
      <c r="BW590" s="105"/>
      <c r="BX590" s="105"/>
      <c r="BY590" s="105"/>
      <c r="BZ590" s="105"/>
      <c r="CA590" s="105"/>
      <c r="CB590" s="105"/>
      <c r="CC590" s="105"/>
      <c r="CD590" s="105"/>
      <c r="CE590" s="105"/>
      <c r="CF590" s="105"/>
      <c r="CG590" s="105"/>
      <c r="CH590" s="105"/>
      <c r="CI590" s="105"/>
      <c r="CJ590" s="105"/>
      <c r="CK590" s="105"/>
      <c r="CL590" s="105"/>
      <c r="CM590" s="105"/>
      <c r="CN590" s="105"/>
      <c r="CO590" s="105"/>
      <c r="CP590" s="105"/>
      <c r="CQ590" s="105"/>
      <c r="CR590" s="105"/>
      <c r="CS590" s="105"/>
      <c r="CT590" s="105"/>
      <c r="CU590" s="105"/>
      <c r="CV590" s="105"/>
      <c r="CW590" s="105"/>
      <c r="CX590" s="105"/>
      <c r="CY590" s="105"/>
      <c r="CZ590" s="105"/>
      <c r="DA590" s="105"/>
    </row>
    <row r="591">
      <c r="B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c r="AA591" s="105"/>
      <c r="AB591" s="105"/>
      <c r="AC591" s="105"/>
      <c r="AD591" s="105"/>
      <c r="AE591" s="105"/>
      <c r="AF591" s="105"/>
      <c r="AG591" s="105"/>
      <c r="AH591" s="105"/>
      <c r="AI591" s="105"/>
      <c r="AJ591" s="105"/>
      <c r="AK591" s="105"/>
      <c r="AL591" s="105"/>
      <c r="AM591" s="105"/>
      <c r="AN591" s="105"/>
      <c r="AO591" s="105"/>
      <c r="AP591" s="105"/>
      <c r="AQ591" s="105"/>
      <c r="AR591" s="105"/>
      <c r="AS591" s="105"/>
      <c r="AT591" s="105"/>
      <c r="AU591" s="105"/>
      <c r="AV591" s="105"/>
      <c r="AW591" s="105"/>
      <c r="AX591" s="105"/>
      <c r="AY591" s="105"/>
      <c r="AZ591" s="105"/>
      <c r="BA591" s="105"/>
      <c r="BB591" s="105"/>
      <c r="BC591" s="105"/>
      <c r="BD591" s="105"/>
      <c r="BE591" s="105"/>
      <c r="BF591" s="105"/>
      <c r="BG591" s="105"/>
      <c r="BH591" s="105"/>
      <c r="BI591" s="105"/>
      <c r="BJ591" s="105"/>
      <c r="BK591" s="105"/>
      <c r="BL591" s="105"/>
      <c r="BM591" s="105"/>
      <c r="BN591" s="105"/>
      <c r="BO591" s="105"/>
      <c r="BP591" s="105"/>
      <c r="BQ591" s="105"/>
      <c r="BR591" s="105"/>
      <c r="BS591" s="105"/>
      <c r="BT591" s="105"/>
      <c r="BU591" s="105"/>
      <c r="BV591" s="105"/>
      <c r="BW591" s="105"/>
      <c r="BX591" s="105"/>
      <c r="BY591" s="105"/>
      <c r="BZ591" s="105"/>
      <c r="CA591" s="105"/>
      <c r="CB591" s="105"/>
      <c r="CC591" s="105"/>
      <c r="CD591" s="105"/>
      <c r="CE591" s="105"/>
      <c r="CF591" s="105"/>
      <c r="CG591" s="105"/>
      <c r="CH591" s="105"/>
      <c r="CI591" s="105"/>
      <c r="CJ591" s="105"/>
      <c r="CK591" s="105"/>
      <c r="CL591" s="105"/>
      <c r="CM591" s="105"/>
      <c r="CN591" s="105"/>
      <c r="CO591" s="105"/>
      <c r="CP591" s="105"/>
      <c r="CQ591" s="105"/>
      <c r="CR591" s="105"/>
      <c r="CS591" s="105"/>
      <c r="CT591" s="105"/>
      <c r="CU591" s="105"/>
      <c r="CV591" s="105"/>
      <c r="CW591" s="105"/>
      <c r="CX591" s="105"/>
      <c r="CY591" s="105"/>
      <c r="CZ591" s="105"/>
      <c r="DA591" s="105"/>
    </row>
    <row r="592">
      <c r="B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c r="AA592" s="105"/>
      <c r="AB592" s="105"/>
      <c r="AC592" s="105"/>
      <c r="AD592" s="105"/>
      <c r="AE592" s="105"/>
      <c r="AF592" s="105"/>
      <c r="AG592" s="105"/>
      <c r="AH592" s="105"/>
      <c r="AI592" s="105"/>
      <c r="AJ592" s="105"/>
      <c r="AK592" s="105"/>
      <c r="AL592" s="105"/>
      <c r="AM592" s="105"/>
      <c r="AN592" s="105"/>
      <c r="AO592" s="105"/>
      <c r="AP592" s="105"/>
      <c r="AQ592" s="105"/>
      <c r="AR592" s="105"/>
      <c r="AS592" s="105"/>
      <c r="AT592" s="105"/>
      <c r="AU592" s="105"/>
      <c r="AV592" s="105"/>
      <c r="AW592" s="105"/>
      <c r="AX592" s="105"/>
      <c r="AY592" s="105"/>
      <c r="AZ592" s="105"/>
      <c r="BA592" s="105"/>
      <c r="BB592" s="105"/>
      <c r="BC592" s="105"/>
      <c r="BD592" s="105"/>
      <c r="BE592" s="105"/>
      <c r="BF592" s="105"/>
      <c r="BG592" s="105"/>
      <c r="BH592" s="105"/>
      <c r="BI592" s="105"/>
      <c r="BJ592" s="105"/>
      <c r="BK592" s="105"/>
      <c r="BL592" s="105"/>
      <c r="BM592" s="105"/>
      <c r="BN592" s="105"/>
      <c r="BO592" s="105"/>
      <c r="BP592" s="105"/>
      <c r="BQ592" s="105"/>
      <c r="BR592" s="105"/>
      <c r="BS592" s="105"/>
      <c r="BT592" s="105"/>
      <c r="BU592" s="105"/>
      <c r="BV592" s="105"/>
      <c r="BW592" s="105"/>
      <c r="BX592" s="105"/>
      <c r="BY592" s="105"/>
      <c r="BZ592" s="105"/>
      <c r="CA592" s="105"/>
      <c r="CB592" s="105"/>
      <c r="CC592" s="105"/>
      <c r="CD592" s="105"/>
      <c r="CE592" s="105"/>
      <c r="CF592" s="105"/>
      <c r="CG592" s="105"/>
      <c r="CH592" s="105"/>
      <c r="CI592" s="105"/>
      <c r="CJ592" s="105"/>
      <c r="CK592" s="105"/>
      <c r="CL592" s="105"/>
      <c r="CM592" s="105"/>
      <c r="CN592" s="105"/>
      <c r="CO592" s="105"/>
      <c r="CP592" s="105"/>
      <c r="CQ592" s="105"/>
      <c r="CR592" s="105"/>
      <c r="CS592" s="105"/>
      <c r="CT592" s="105"/>
      <c r="CU592" s="105"/>
      <c r="CV592" s="105"/>
      <c r="CW592" s="105"/>
      <c r="CX592" s="105"/>
      <c r="CY592" s="105"/>
      <c r="CZ592" s="105"/>
      <c r="DA592" s="105"/>
    </row>
    <row r="593">
      <c r="B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c r="AA593" s="105"/>
      <c r="AB593" s="105"/>
      <c r="AC593" s="105"/>
      <c r="AD593" s="105"/>
      <c r="AE593" s="105"/>
      <c r="AF593" s="105"/>
      <c r="AG593" s="105"/>
      <c r="AH593" s="105"/>
      <c r="AI593" s="105"/>
      <c r="AJ593" s="105"/>
      <c r="AK593" s="105"/>
      <c r="AL593" s="105"/>
      <c r="AM593" s="105"/>
      <c r="AN593" s="105"/>
      <c r="AO593" s="105"/>
      <c r="AP593" s="105"/>
      <c r="AQ593" s="105"/>
      <c r="AR593" s="105"/>
      <c r="AS593" s="105"/>
      <c r="AT593" s="105"/>
      <c r="AU593" s="105"/>
      <c r="AV593" s="105"/>
      <c r="AW593" s="105"/>
      <c r="AX593" s="105"/>
      <c r="AY593" s="105"/>
      <c r="AZ593" s="105"/>
      <c r="BA593" s="105"/>
      <c r="BB593" s="105"/>
      <c r="BC593" s="105"/>
      <c r="BD593" s="105"/>
      <c r="BE593" s="105"/>
      <c r="BF593" s="105"/>
      <c r="BG593" s="105"/>
      <c r="BH593" s="105"/>
      <c r="BI593" s="105"/>
      <c r="BJ593" s="105"/>
      <c r="BK593" s="105"/>
      <c r="BL593" s="105"/>
      <c r="BM593" s="105"/>
      <c r="BN593" s="105"/>
      <c r="BO593" s="105"/>
      <c r="BP593" s="105"/>
      <c r="BQ593" s="105"/>
      <c r="BR593" s="105"/>
      <c r="BS593" s="105"/>
      <c r="BT593" s="105"/>
      <c r="BU593" s="105"/>
      <c r="BV593" s="105"/>
      <c r="BW593" s="105"/>
      <c r="BX593" s="105"/>
      <c r="BY593" s="105"/>
      <c r="BZ593" s="105"/>
      <c r="CA593" s="105"/>
      <c r="CB593" s="105"/>
      <c r="CC593" s="105"/>
      <c r="CD593" s="105"/>
      <c r="CE593" s="105"/>
      <c r="CF593" s="105"/>
      <c r="CG593" s="105"/>
      <c r="CH593" s="105"/>
      <c r="CI593" s="105"/>
      <c r="CJ593" s="105"/>
      <c r="CK593" s="105"/>
      <c r="CL593" s="105"/>
      <c r="CM593" s="105"/>
      <c r="CN593" s="105"/>
      <c r="CO593" s="105"/>
      <c r="CP593" s="105"/>
      <c r="CQ593" s="105"/>
      <c r="CR593" s="105"/>
      <c r="CS593" s="105"/>
      <c r="CT593" s="105"/>
      <c r="CU593" s="105"/>
      <c r="CV593" s="105"/>
      <c r="CW593" s="105"/>
      <c r="CX593" s="105"/>
      <c r="CY593" s="105"/>
      <c r="CZ593" s="105"/>
      <c r="DA593" s="105"/>
    </row>
    <row r="594">
      <c r="B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c r="AA594" s="105"/>
      <c r="AB594" s="105"/>
      <c r="AC594" s="105"/>
      <c r="AD594" s="105"/>
      <c r="AE594" s="105"/>
      <c r="AF594" s="105"/>
      <c r="AG594" s="105"/>
      <c r="AH594" s="105"/>
      <c r="AI594" s="105"/>
      <c r="AJ594" s="105"/>
      <c r="AK594" s="105"/>
      <c r="AL594" s="105"/>
      <c r="AM594" s="105"/>
      <c r="AN594" s="105"/>
      <c r="AO594" s="105"/>
      <c r="AP594" s="105"/>
      <c r="AQ594" s="105"/>
      <c r="AR594" s="105"/>
      <c r="AS594" s="105"/>
      <c r="AT594" s="105"/>
      <c r="AU594" s="105"/>
      <c r="AV594" s="105"/>
      <c r="AW594" s="105"/>
      <c r="AX594" s="105"/>
      <c r="AY594" s="105"/>
      <c r="AZ594" s="105"/>
      <c r="BA594" s="105"/>
      <c r="BB594" s="105"/>
      <c r="BC594" s="105"/>
      <c r="BD594" s="105"/>
      <c r="BE594" s="105"/>
      <c r="BF594" s="105"/>
      <c r="BG594" s="105"/>
      <c r="BH594" s="105"/>
      <c r="BI594" s="105"/>
      <c r="BJ594" s="105"/>
      <c r="BK594" s="105"/>
      <c r="BL594" s="105"/>
      <c r="BM594" s="105"/>
      <c r="BN594" s="105"/>
      <c r="BO594" s="105"/>
      <c r="BP594" s="105"/>
      <c r="BQ594" s="105"/>
      <c r="BR594" s="105"/>
      <c r="BS594" s="105"/>
      <c r="BT594" s="105"/>
      <c r="BU594" s="105"/>
      <c r="BV594" s="105"/>
      <c r="BW594" s="105"/>
      <c r="BX594" s="105"/>
      <c r="BY594" s="105"/>
      <c r="BZ594" s="105"/>
      <c r="CA594" s="105"/>
      <c r="CB594" s="105"/>
      <c r="CC594" s="105"/>
      <c r="CD594" s="105"/>
      <c r="CE594" s="105"/>
      <c r="CF594" s="105"/>
      <c r="CG594" s="105"/>
      <c r="CH594" s="105"/>
      <c r="CI594" s="105"/>
      <c r="CJ594" s="105"/>
      <c r="CK594" s="105"/>
      <c r="CL594" s="105"/>
      <c r="CM594" s="105"/>
      <c r="CN594" s="105"/>
      <c r="CO594" s="105"/>
      <c r="CP594" s="105"/>
      <c r="CQ594" s="105"/>
      <c r="CR594" s="105"/>
      <c r="CS594" s="105"/>
      <c r="CT594" s="105"/>
      <c r="CU594" s="105"/>
      <c r="CV594" s="105"/>
      <c r="CW594" s="105"/>
      <c r="CX594" s="105"/>
      <c r="CY594" s="105"/>
      <c r="CZ594" s="105"/>
      <c r="DA594" s="105"/>
    </row>
    <row r="595">
      <c r="B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c r="AA595" s="105"/>
      <c r="AB595" s="105"/>
      <c r="AC595" s="105"/>
      <c r="AD595" s="105"/>
      <c r="AE595" s="105"/>
      <c r="AF595" s="105"/>
      <c r="AG595" s="105"/>
      <c r="AH595" s="105"/>
      <c r="AI595" s="105"/>
      <c r="AJ595" s="105"/>
      <c r="AK595" s="105"/>
      <c r="AL595" s="105"/>
      <c r="AM595" s="105"/>
      <c r="AN595" s="105"/>
      <c r="AO595" s="105"/>
      <c r="AP595" s="105"/>
      <c r="AQ595" s="105"/>
      <c r="AR595" s="105"/>
      <c r="AS595" s="105"/>
      <c r="AT595" s="105"/>
      <c r="AU595" s="105"/>
      <c r="AV595" s="105"/>
      <c r="AW595" s="105"/>
      <c r="AX595" s="105"/>
      <c r="AY595" s="105"/>
      <c r="AZ595" s="105"/>
      <c r="BA595" s="105"/>
      <c r="BB595" s="105"/>
      <c r="BC595" s="105"/>
      <c r="BD595" s="105"/>
      <c r="BE595" s="105"/>
      <c r="BF595" s="105"/>
      <c r="BG595" s="105"/>
      <c r="BH595" s="105"/>
      <c r="BI595" s="105"/>
      <c r="BJ595" s="105"/>
      <c r="BK595" s="105"/>
      <c r="BL595" s="105"/>
      <c r="BM595" s="105"/>
      <c r="BN595" s="105"/>
      <c r="BO595" s="105"/>
      <c r="BP595" s="105"/>
      <c r="BQ595" s="105"/>
      <c r="BR595" s="105"/>
      <c r="BS595" s="105"/>
      <c r="BT595" s="105"/>
      <c r="BU595" s="105"/>
      <c r="BV595" s="105"/>
      <c r="BW595" s="105"/>
      <c r="BX595" s="105"/>
      <c r="BY595" s="105"/>
      <c r="BZ595" s="105"/>
      <c r="CA595" s="105"/>
      <c r="CB595" s="105"/>
      <c r="CC595" s="105"/>
      <c r="CD595" s="105"/>
      <c r="CE595" s="105"/>
      <c r="CF595" s="105"/>
      <c r="CG595" s="105"/>
      <c r="CH595" s="105"/>
      <c r="CI595" s="105"/>
      <c r="CJ595" s="105"/>
      <c r="CK595" s="105"/>
      <c r="CL595" s="105"/>
      <c r="CM595" s="105"/>
      <c r="CN595" s="105"/>
      <c r="CO595" s="105"/>
      <c r="CP595" s="105"/>
      <c r="CQ595" s="105"/>
      <c r="CR595" s="105"/>
      <c r="CS595" s="105"/>
      <c r="CT595" s="105"/>
      <c r="CU595" s="105"/>
      <c r="CV595" s="105"/>
      <c r="CW595" s="105"/>
      <c r="CX595" s="105"/>
      <c r="CY595" s="105"/>
      <c r="CZ595" s="105"/>
      <c r="DA595" s="105"/>
    </row>
    <row r="596">
      <c r="B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c r="AA596" s="105"/>
      <c r="AB596" s="105"/>
      <c r="AC596" s="105"/>
      <c r="AD596" s="105"/>
      <c r="AE596" s="105"/>
      <c r="AF596" s="105"/>
      <c r="AG596" s="105"/>
      <c r="AH596" s="105"/>
      <c r="AI596" s="105"/>
      <c r="AJ596" s="105"/>
      <c r="AK596" s="105"/>
      <c r="AL596" s="105"/>
      <c r="AM596" s="105"/>
      <c r="AN596" s="105"/>
      <c r="AO596" s="105"/>
      <c r="AP596" s="105"/>
      <c r="AQ596" s="105"/>
      <c r="AR596" s="105"/>
      <c r="AS596" s="105"/>
      <c r="AT596" s="105"/>
      <c r="AU596" s="105"/>
      <c r="AV596" s="105"/>
      <c r="AW596" s="105"/>
      <c r="AX596" s="105"/>
      <c r="AY596" s="105"/>
      <c r="AZ596" s="105"/>
      <c r="BA596" s="105"/>
      <c r="BB596" s="105"/>
      <c r="BC596" s="105"/>
      <c r="BD596" s="105"/>
      <c r="BE596" s="105"/>
      <c r="BF596" s="105"/>
      <c r="BG596" s="105"/>
      <c r="BH596" s="105"/>
      <c r="BI596" s="105"/>
      <c r="BJ596" s="105"/>
      <c r="BK596" s="105"/>
      <c r="BL596" s="105"/>
      <c r="BM596" s="105"/>
      <c r="BN596" s="105"/>
      <c r="BO596" s="105"/>
      <c r="BP596" s="105"/>
      <c r="BQ596" s="105"/>
      <c r="BR596" s="105"/>
      <c r="BS596" s="105"/>
      <c r="BT596" s="105"/>
      <c r="BU596" s="105"/>
      <c r="BV596" s="105"/>
      <c r="BW596" s="105"/>
      <c r="BX596" s="105"/>
      <c r="BY596" s="105"/>
      <c r="BZ596" s="105"/>
      <c r="CA596" s="105"/>
      <c r="CB596" s="105"/>
      <c r="CC596" s="105"/>
      <c r="CD596" s="105"/>
      <c r="CE596" s="105"/>
      <c r="CF596" s="105"/>
      <c r="CG596" s="105"/>
      <c r="CH596" s="105"/>
      <c r="CI596" s="105"/>
      <c r="CJ596" s="105"/>
      <c r="CK596" s="105"/>
      <c r="CL596" s="105"/>
      <c r="CM596" s="105"/>
      <c r="CN596" s="105"/>
      <c r="CO596" s="105"/>
      <c r="CP596" s="105"/>
      <c r="CQ596" s="105"/>
      <c r="CR596" s="105"/>
      <c r="CS596" s="105"/>
      <c r="CT596" s="105"/>
      <c r="CU596" s="105"/>
      <c r="CV596" s="105"/>
      <c r="CW596" s="105"/>
      <c r="CX596" s="105"/>
      <c r="CY596" s="105"/>
      <c r="CZ596" s="105"/>
      <c r="DA596" s="105"/>
    </row>
    <row r="597">
      <c r="B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c r="AA597" s="105"/>
      <c r="AB597" s="105"/>
      <c r="AC597" s="105"/>
      <c r="AD597" s="105"/>
      <c r="AE597" s="105"/>
      <c r="AF597" s="105"/>
      <c r="AG597" s="105"/>
      <c r="AH597" s="105"/>
      <c r="AI597" s="105"/>
      <c r="AJ597" s="105"/>
      <c r="AK597" s="105"/>
      <c r="AL597" s="105"/>
      <c r="AM597" s="105"/>
      <c r="AN597" s="105"/>
      <c r="AO597" s="105"/>
      <c r="AP597" s="105"/>
      <c r="AQ597" s="105"/>
      <c r="AR597" s="105"/>
      <c r="AS597" s="105"/>
      <c r="AT597" s="105"/>
      <c r="AU597" s="105"/>
      <c r="AV597" s="105"/>
      <c r="AW597" s="105"/>
      <c r="AX597" s="105"/>
      <c r="AY597" s="105"/>
      <c r="AZ597" s="105"/>
      <c r="BA597" s="105"/>
      <c r="BB597" s="105"/>
      <c r="BC597" s="105"/>
      <c r="BD597" s="105"/>
      <c r="BE597" s="105"/>
      <c r="BF597" s="105"/>
      <c r="BG597" s="105"/>
      <c r="BH597" s="105"/>
      <c r="BI597" s="105"/>
      <c r="BJ597" s="105"/>
      <c r="BK597" s="105"/>
      <c r="BL597" s="105"/>
      <c r="BM597" s="105"/>
      <c r="BN597" s="105"/>
      <c r="BO597" s="105"/>
      <c r="BP597" s="105"/>
      <c r="BQ597" s="105"/>
      <c r="BR597" s="105"/>
      <c r="BS597" s="105"/>
      <c r="BT597" s="105"/>
      <c r="BU597" s="105"/>
      <c r="BV597" s="105"/>
      <c r="BW597" s="105"/>
      <c r="BX597" s="105"/>
      <c r="BY597" s="105"/>
      <c r="BZ597" s="105"/>
      <c r="CA597" s="105"/>
      <c r="CB597" s="105"/>
      <c r="CC597" s="105"/>
      <c r="CD597" s="105"/>
      <c r="CE597" s="105"/>
      <c r="CF597" s="105"/>
      <c r="CG597" s="105"/>
      <c r="CH597" s="105"/>
      <c r="CI597" s="105"/>
      <c r="CJ597" s="105"/>
      <c r="CK597" s="105"/>
      <c r="CL597" s="105"/>
      <c r="CM597" s="105"/>
      <c r="CN597" s="105"/>
      <c r="CO597" s="105"/>
      <c r="CP597" s="105"/>
      <c r="CQ597" s="105"/>
      <c r="CR597" s="105"/>
      <c r="CS597" s="105"/>
      <c r="CT597" s="105"/>
      <c r="CU597" s="105"/>
      <c r="CV597" s="105"/>
      <c r="CW597" s="105"/>
      <c r="CX597" s="105"/>
      <c r="CY597" s="105"/>
      <c r="CZ597" s="105"/>
      <c r="DA597" s="105"/>
    </row>
    <row r="598">
      <c r="B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c r="AA598" s="105"/>
      <c r="AB598" s="105"/>
      <c r="AC598" s="105"/>
      <c r="AD598" s="105"/>
      <c r="AE598" s="105"/>
      <c r="AF598" s="105"/>
      <c r="AG598" s="105"/>
      <c r="AH598" s="105"/>
      <c r="AI598" s="105"/>
      <c r="AJ598" s="105"/>
      <c r="AK598" s="105"/>
      <c r="AL598" s="105"/>
      <c r="AM598" s="105"/>
      <c r="AN598" s="105"/>
      <c r="AO598" s="105"/>
      <c r="AP598" s="105"/>
      <c r="AQ598" s="105"/>
      <c r="AR598" s="105"/>
      <c r="AS598" s="105"/>
      <c r="AT598" s="105"/>
      <c r="AU598" s="105"/>
      <c r="AV598" s="105"/>
      <c r="AW598" s="105"/>
      <c r="AX598" s="105"/>
      <c r="AY598" s="105"/>
      <c r="AZ598" s="105"/>
      <c r="BA598" s="105"/>
      <c r="BB598" s="105"/>
      <c r="BC598" s="105"/>
      <c r="BD598" s="105"/>
      <c r="BE598" s="105"/>
      <c r="BF598" s="105"/>
      <c r="BG598" s="105"/>
      <c r="BH598" s="105"/>
      <c r="BI598" s="105"/>
      <c r="BJ598" s="105"/>
      <c r="BK598" s="105"/>
      <c r="BL598" s="105"/>
      <c r="BM598" s="105"/>
      <c r="BN598" s="105"/>
      <c r="BO598" s="105"/>
      <c r="BP598" s="105"/>
      <c r="BQ598" s="105"/>
      <c r="BR598" s="105"/>
      <c r="BS598" s="105"/>
      <c r="BT598" s="105"/>
      <c r="BU598" s="105"/>
      <c r="BV598" s="105"/>
      <c r="BW598" s="105"/>
      <c r="BX598" s="105"/>
      <c r="BY598" s="105"/>
      <c r="BZ598" s="105"/>
      <c r="CA598" s="105"/>
      <c r="CB598" s="105"/>
      <c r="CC598" s="105"/>
      <c r="CD598" s="105"/>
      <c r="CE598" s="105"/>
      <c r="CF598" s="105"/>
      <c r="CG598" s="105"/>
      <c r="CH598" s="105"/>
      <c r="CI598" s="105"/>
      <c r="CJ598" s="105"/>
      <c r="CK598" s="105"/>
      <c r="CL598" s="105"/>
      <c r="CM598" s="105"/>
      <c r="CN598" s="105"/>
      <c r="CO598" s="105"/>
      <c r="CP598" s="105"/>
      <c r="CQ598" s="105"/>
      <c r="CR598" s="105"/>
      <c r="CS598" s="105"/>
      <c r="CT598" s="105"/>
      <c r="CU598" s="105"/>
      <c r="CV598" s="105"/>
      <c r="CW598" s="105"/>
      <c r="CX598" s="105"/>
      <c r="CY598" s="105"/>
      <c r="CZ598" s="105"/>
      <c r="DA598" s="105"/>
    </row>
    <row r="599">
      <c r="B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c r="AA599" s="105"/>
      <c r="AB599" s="105"/>
      <c r="AC599" s="105"/>
      <c r="AD599" s="105"/>
      <c r="AE599" s="105"/>
      <c r="AF599" s="105"/>
      <c r="AG599" s="105"/>
      <c r="AH599" s="105"/>
      <c r="AI599" s="105"/>
      <c r="AJ599" s="105"/>
      <c r="AK599" s="105"/>
      <c r="AL599" s="105"/>
      <c r="AM599" s="105"/>
      <c r="AN599" s="105"/>
      <c r="AO599" s="105"/>
      <c r="AP599" s="105"/>
      <c r="AQ599" s="105"/>
      <c r="AR599" s="105"/>
      <c r="AS599" s="105"/>
      <c r="AT599" s="105"/>
      <c r="AU599" s="105"/>
      <c r="AV599" s="105"/>
      <c r="AW599" s="105"/>
      <c r="AX599" s="105"/>
      <c r="AY599" s="105"/>
      <c r="AZ599" s="105"/>
      <c r="BA599" s="105"/>
      <c r="BB599" s="105"/>
      <c r="BC599" s="105"/>
      <c r="BD599" s="105"/>
      <c r="BE599" s="105"/>
      <c r="BF599" s="105"/>
      <c r="BG599" s="105"/>
      <c r="BH599" s="105"/>
      <c r="BI599" s="105"/>
      <c r="BJ599" s="105"/>
      <c r="BK599" s="105"/>
      <c r="BL599" s="105"/>
      <c r="BM599" s="105"/>
      <c r="BN599" s="105"/>
      <c r="BO599" s="105"/>
      <c r="BP599" s="105"/>
      <c r="BQ599" s="105"/>
      <c r="BR599" s="105"/>
      <c r="BS599" s="105"/>
      <c r="BT599" s="105"/>
      <c r="BU599" s="105"/>
      <c r="BV599" s="105"/>
      <c r="BW599" s="105"/>
      <c r="BX599" s="105"/>
      <c r="BY599" s="105"/>
      <c r="BZ599" s="105"/>
      <c r="CA599" s="105"/>
      <c r="CB599" s="105"/>
      <c r="CC599" s="105"/>
      <c r="CD599" s="105"/>
      <c r="CE599" s="105"/>
      <c r="CF599" s="105"/>
      <c r="CG599" s="105"/>
      <c r="CH599" s="105"/>
      <c r="CI599" s="105"/>
      <c r="CJ599" s="105"/>
      <c r="CK599" s="105"/>
      <c r="CL599" s="105"/>
      <c r="CM599" s="105"/>
      <c r="CN599" s="105"/>
      <c r="CO599" s="105"/>
      <c r="CP599" s="105"/>
      <c r="CQ599" s="105"/>
      <c r="CR599" s="105"/>
      <c r="CS599" s="105"/>
      <c r="CT599" s="105"/>
      <c r="CU599" s="105"/>
      <c r="CV599" s="105"/>
      <c r="CW599" s="105"/>
      <c r="CX599" s="105"/>
      <c r="CY599" s="105"/>
      <c r="CZ599" s="105"/>
      <c r="DA599" s="105"/>
    </row>
    <row r="600">
      <c r="B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c r="AA600" s="105"/>
      <c r="AB600" s="105"/>
      <c r="AC600" s="105"/>
      <c r="AD600" s="105"/>
      <c r="AE600" s="105"/>
      <c r="AF600" s="105"/>
      <c r="AG600" s="105"/>
      <c r="AH600" s="105"/>
      <c r="AI600" s="105"/>
      <c r="AJ600" s="105"/>
      <c r="AK600" s="105"/>
      <c r="AL600" s="105"/>
      <c r="AM600" s="105"/>
      <c r="AN600" s="105"/>
      <c r="AO600" s="105"/>
      <c r="AP600" s="105"/>
      <c r="AQ600" s="105"/>
      <c r="AR600" s="105"/>
      <c r="AS600" s="105"/>
      <c r="AT600" s="105"/>
      <c r="AU600" s="105"/>
      <c r="AV600" s="105"/>
      <c r="AW600" s="105"/>
      <c r="AX600" s="105"/>
      <c r="AY600" s="105"/>
      <c r="AZ600" s="105"/>
      <c r="BA600" s="105"/>
      <c r="BB600" s="105"/>
      <c r="BC600" s="105"/>
      <c r="BD600" s="105"/>
      <c r="BE600" s="105"/>
      <c r="BF600" s="105"/>
      <c r="BG600" s="105"/>
      <c r="BH600" s="105"/>
      <c r="BI600" s="105"/>
      <c r="BJ600" s="105"/>
      <c r="BK600" s="105"/>
      <c r="BL600" s="105"/>
      <c r="BM600" s="105"/>
      <c r="BN600" s="105"/>
      <c r="BO600" s="105"/>
      <c r="BP600" s="105"/>
      <c r="BQ600" s="105"/>
      <c r="BR600" s="105"/>
      <c r="BS600" s="105"/>
      <c r="BT600" s="105"/>
      <c r="BU600" s="105"/>
      <c r="BV600" s="105"/>
      <c r="BW600" s="105"/>
      <c r="BX600" s="105"/>
      <c r="BY600" s="105"/>
      <c r="BZ600" s="105"/>
      <c r="CA600" s="105"/>
      <c r="CB600" s="105"/>
      <c r="CC600" s="105"/>
      <c r="CD600" s="105"/>
      <c r="CE600" s="105"/>
      <c r="CF600" s="105"/>
      <c r="CG600" s="105"/>
      <c r="CH600" s="105"/>
      <c r="CI600" s="105"/>
      <c r="CJ600" s="105"/>
      <c r="CK600" s="105"/>
      <c r="CL600" s="105"/>
      <c r="CM600" s="105"/>
      <c r="CN600" s="105"/>
      <c r="CO600" s="105"/>
      <c r="CP600" s="105"/>
      <c r="CQ600" s="105"/>
      <c r="CR600" s="105"/>
      <c r="CS600" s="105"/>
      <c r="CT600" s="105"/>
      <c r="CU600" s="105"/>
      <c r="CV600" s="105"/>
      <c r="CW600" s="105"/>
      <c r="CX600" s="105"/>
      <c r="CY600" s="105"/>
      <c r="CZ600" s="105"/>
      <c r="DA600" s="105"/>
    </row>
    <row r="601">
      <c r="B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c r="AA601" s="105"/>
      <c r="AB601" s="105"/>
      <c r="AC601" s="105"/>
      <c r="AD601" s="105"/>
      <c r="AE601" s="105"/>
      <c r="AF601" s="105"/>
      <c r="AG601" s="105"/>
      <c r="AH601" s="105"/>
      <c r="AI601" s="105"/>
      <c r="AJ601" s="105"/>
      <c r="AK601" s="105"/>
      <c r="AL601" s="105"/>
      <c r="AM601" s="105"/>
      <c r="AN601" s="105"/>
      <c r="AO601" s="105"/>
      <c r="AP601" s="105"/>
      <c r="AQ601" s="105"/>
      <c r="AR601" s="105"/>
      <c r="AS601" s="105"/>
      <c r="AT601" s="105"/>
      <c r="AU601" s="105"/>
      <c r="AV601" s="105"/>
      <c r="AW601" s="105"/>
      <c r="AX601" s="105"/>
      <c r="AY601" s="105"/>
      <c r="AZ601" s="105"/>
      <c r="BA601" s="105"/>
      <c r="BB601" s="105"/>
      <c r="BC601" s="105"/>
      <c r="BD601" s="105"/>
      <c r="BE601" s="105"/>
      <c r="BF601" s="105"/>
      <c r="BG601" s="105"/>
      <c r="BH601" s="105"/>
      <c r="BI601" s="105"/>
      <c r="BJ601" s="105"/>
      <c r="BK601" s="105"/>
      <c r="BL601" s="105"/>
      <c r="BM601" s="105"/>
      <c r="BN601" s="105"/>
      <c r="BO601" s="105"/>
      <c r="BP601" s="105"/>
      <c r="BQ601" s="105"/>
      <c r="BR601" s="105"/>
      <c r="BS601" s="105"/>
      <c r="BT601" s="105"/>
      <c r="BU601" s="105"/>
      <c r="BV601" s="105"/>
      <c r="BW601" s="105"/>
      <c r="BX601" s="105"/>
      <c r="BY601" s="105"/>
      <c r="BZ601" s="105"/>
      <c r="CA601" s="105"/>
      <c r="CB601" s="105"/>
      <c r="CC601" s="105"/>
      <c r="CD601" s="105"/>
      <c r="CE601" s="105"/>
      <c r="CF601" s="105"/>
      <c r="CG601" s="105"/>
      <c r="CH601" s="105"/>
      <c r="CI601" s="105"/>
      <c r="CJ601" s="105"/>
      <c r="CK601" s="105"/>
      <c r="CL601" s="105"/>
      <c r="CM601" s="105"/>
      <c r="CN601" s="105"/>
      <c r="CO601" s="105"/>
      <c r="CP601" s="105"/>
      <c r="CQ601" s="105"/>
      <c r="CR601" s="105"/>
      <c r="CS601" s="105"/>
      <c r="CT601" s="105"/>
      <c r="CU601" s="105"/>
      <c r="CV601" s="105"/>
      <c r="CW601" s="105"/>
      <c r="CX601" s="105"/>
      <c r="CY601" s="105"/>
      <c r="CZ601" s="105"/>
      <c r="DA601" s="105"/>
    </row>
    <row r="602">
      <c r="B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c r="AA602" s="105"/>
      <c r="AB602" s="105"/>
      <c r="AC602" s="105"/>
      <c r="AD602" s="105"/>
      <c r="AE602" s="105"/>
      <c r="AF602" s="105"/>
      <c r="AG602" s="105"/>
      <c r="AH602" s="105"/>
      <c r="AI602" s="105"/>
      <c r="AJ602" s="105"/>
      <c r="AK602" s="105"/>
      <c r="AL602" s="105"/>
      <c r="AM602" s="105"/>
      <c r="AN602" s="105"/>
      <c r="AO602" s="105"/>
      <c r="AP602" s="105"/>
      <c r="AQ602" s="105"/>
      <c r="AR602" s="105"/>
      <c r="AS602" s="105"/>
      <c r="AT602" s="105"/>
      <c r="AU602" s="105"/>
      <c r="AV602" s="105"/>
      <c r="AW602" s="105"/>
      <c r="AX602" s="105"/>
      <c r="AY602" s="105"/>
      <c r="AZ602" s="105"/>
      <c r="BA602" s="105"/>
      <c r="BB602" s="105"/>
      <c r="BC602" s="105"/>
      <c r="BD602" s="105"/>
      <c r="BE602" s="105"/>
      <c r="BF602" s="105"/>
      <c r="BG602" s="105"/>
      <c r="BH602" s="105"/>
      <c r="BI602" s="105"/>
      <c r="BJ602" s="105"/>
      <c r="BK602" s="105"/>
      <c r="BL602" s="105"/>
      <c r="BM602" s="105"/>
      <c r="BN602" s="105"/>
      <c r="BO602" s="105"/>
      <c r="BP602" s="105"/>
      <c r="BQ602" s="105"/>
      <c r="BR602" s="105"/>
      <c r="BS602" s="105"/>
      <c r="BT602" s="105"/>
      <c r="BU602" s="105"/>
      <c r="BV602" s="105"/>
      <c r="BW602" s="105"/>
      <c r="BX602" s="105"/>
      <c r="BY602" s="105"/>
      <c r="BZ602" s="105"/>
      <c r="CA602" s="105"/>
      <c r="CB602" s="105"/>
      <c r="CC602" s="105"/>
      <c r="CD602" s="105"/>
      <c r="CE602" s="105"/>
      <c r="CF602" s="105"/>
      <c r="CG602" s="105"/>
      <c r="CH602" s="105"/>
      <c r="CI602" s="105"/>
      <c r="CJ602" s="105"/>
      <c r="CK602" s="105"/>
      <c r="CL602" s="105"/>
      <c r="CM602" s="105"/>
      <c r="CN602" s="105"/>
      <c r="CO602" s="105"/>
      <c r="CP602" s="105"/>
      <c r="CQ602" s="105"/>
      <c r="CR602" s="105"/>
      <c r="CS602" s="105"/>
      <c r="CT602" s="105"/>
      <c r="CU602" s="105"/>
      <c r="CV602" s="105"/>
      <c r="CW602" s="105"/>
      <c r="CX602" s="105"/>
      <c r="CY602" s="105"/>
      <c r="CZ602" s="105"/>
      <c r="DA602" s="105"/>
    </row>
    <row r="603">
      <c r="B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c r="AA603" s="105"/>
      <c r="AB603" s="105"/>
      <c r="AC603" s="105"/>
      <c r="AD603" s="105"/>
      <c r="AE603" s="105"/>
      <c r="AF603" s="105"/>
      <c r="AG603" s="105"/>
      <c r="AH603" s="105"/>
      <c r="AI603" s="105"/>
      <c r="AJ603" s="105"/>
      <c r="AK603" s="105"/>
      <c r="AL603" s="105"/>
      <c r="AM603" s="105"/>
      <c r="AN603" s="105"/>
      <c r="AO603" s="105"/>
      <c r="AP603" s="105"/>
      <c r="AQ603" s="105"/>
      <c r="AR603" s="105"/>
      <c r="AS603" s="105"/>
      <c r="AT603" s="105"/>
      <c r="AU603" s="105"/>
      <c r="AV603" s="105"/>
      <c r="AW603" s="105"/>
      <c r="AX603" s="105"/>
      <c r="AY603" s="105"/>
      <c r="AZ603" s="105"/>
      <c r="BA603" s="105"/>
      <c r="BB603" s="105"/>
      <c r="BC603" s="105"/>
      <c r="BD603" s="105"/>
      <c r="BE603" s="105"/>
      <c r="BF603" s="105"/>
      <c r="BG603" s="105"/>
      <c r="BH603" s="105"/>
      <c r="BI603" s="105"/>
      <c r="BJ603" s="105"/>
      <c r="BK603" s="105"/>
      <c r="BL603" s="105"/>
      <c r="BM603" s="105"/>
      <c r="BN603" s="105"/>
      <c r="BO603" s="105"/>
      <c r="BP603" s="105"/>
      <c r="BQ603" s="105"/>
      <c r="BR603" s="105"/>
      <c r="BS603" s="105"/>
      <c r="BT603" s="105"/>
      <c r="BU603" s="105"/>
      <c r="BV603" s="105"/>
      <c r="BW603" s="105"/>
      <c r="BX603" s="105"/>
      <c r="BY603" s="105"/>
      <c r="BZ603" s="105"/>
      <c r="CA603" s="105"/>
      <c r="CB603" s="105"/>
      <c r="CC603" s="105"/>
      <c r="CD603" s="105"/>
      <c r="CE603" s="105"/>
      <c r="CF603" s="105"/>
      <c r="CG603" s="105"/>
      <c r="CH603" s="105"/>
      <c r="CI603" s="105"/>
      <c r="CJ603" s="105"/>
      <c r="CK603" s="105"/>
      <c r="CL603" s="105"/>
      <c r="CM603" s="105"/>
      <c r="CN603" s="105"/>
      <c r="CO603" s="105"/>
      <c r="CP603" s="105"/>
      <c r="CQ603" s="105"/>
      <c r="CR603" s="105"/>
      <c r="CS603" s="105"/>
      <c r="CT603" s="105"/>
      <c r="CU603" s="105"/>
      <c r="CV603" s="105"/>
      <c r="CW603" s="105"/>
      <c r="CX603" s="105"/>
      <c r="CY603" s="105"/>
      <c r="CZ603" s="105"/>
      <c r="DA603" s="105"/>
    </row>
    <row r="604">
      <c r="B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c r="AA604" s="105"/>
      <c r="AB604" s="105"/>
      <c r="AC604" s="105"/>
      <c r="AD604" s="105"/>
      <c r="AE604" s="105"/>
      <c r="AF604" s="105"/>
      <c r="AG604" s="105"/>
      <c r="AH604" s="105"/>
      <c r="AI604" s="105"/>
      <c r="AJ604" s="105"/>
      <c r="AK604" s="105"/>
      <c r="AL604" s="105"/>
      <c r="AM604" s="105"/>
      <c r="AN604" s="105"/>
      <c r="AO604" s="105"/>
      <c r="AP604" s="105"/>
      <c r="AQ604" s="105"/>
      <c r="AR604" s="105"/>
      <c r="AS604" s="105"/>
      <c r="AT604" s="105"/>
      <c r="AU604" s="105"/>
      <c r="AV604" s="105"/>
      <c r="AW604" s="105"/>
      <c r="AX604" s="105"/>
      <c r="AY604" s="105"/>
      <c r="AZ604" s="105"/>
      <c r="BA604" s="105"/>
      <c r="BB604" s="105"/>
      <c r="BC604" s="105"/>
      <c r="BD604" s="105"/>
      <c r="BE604" s="105"/>
      <c r="BF604" s="105"/>
      <c r="BG604" s="105"/>
      <c r="BH604" s="105"/>
      <c r="BI604" s="105"/>
      <c r="BJ604" s="105"/>
      <c r="BK604" s="105"/>
      <c r="BL604" s="105"/>
      <c r="BM604" s="105"/>
      <c r="BN604" s="105"/>
      <c r="BO604" s="105"/>
      <c r="BP604" s="105"/>
      <c r="BQ604" s="105"/>
      <c r="BR604" s="105"/>
      <c r="BS604" s="105"/>
      <c r="BT604" s="105"/>
      <c r="BU604" s="105"/>
      <c r="BV604" s="105"/>
      <c r="BW604" s="105"/>
      <c r="BX604" s="105"/>
      <c r="BY604" s="105"/>
      <c r="BZ604" s="105"/>
      <c r="CA604" s="105"/>
      <c r="CB604" s="105"/>
      <c r="CC604" s="105"/>
      <c r="CD604" s="105"/>
      <c r="CE604" s="105"/>
      <c r="CF604" s="105"/>
      <c r="CG604" s="105"/>
      <c r="CH604" s="105"/>
      <c r="CI604" s="105"/>
      <c r="CJ604" s="105"/>
      <c r="CK604" s="105"/>
      <c r="CL604" s="105"/>
      <c r="CM604" s="105"/>
      <c r="CN604" s="105"/>
      <c r="CO604" s="105"/>
      <c r="CP604" s="105"/>
      <c r="CQ604" s="105"/>
      <c r="CR604" s="105"/>
      <c r="CS604" s="105"/>
      <c r="CT604" s="105"/>
      <c r="CU604" s="105"/>
      <c r="CV604" s="105"/>
      <c r="CW604" s="105"/>
      <c r="CX604" s="105"/>
      <c r="CY604" s="105"/>
      <c r="CZ604" s="105"/>
      <c r="DA604" s="105"/>
    </row>
    <row r="605">
      <c r="B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c r="AA605" s="105"/>
      <c r="AB605" s="105"/>
      <c r="AC605" s="105"/>
      <c r="AD605" s="105"/>
      <c r="AE605" s="105"/>
      <c r="AF605" s="105"/>
      <c r="AG605" s="105"/>
      <c r="AH605" s="105"/>
      <c r="AI605" s="105"/>
      <c r="AJ605" s="105"/>
      <c r="AK605" s="105"/>
      <c r="AL605" s="105"/>
      <c r="AM605" s="105"/>
      <c r="AN605" s="105"/>
      <c r="AO605" s="105"/>
      <c r="AP605" s="105"/>
      <c r="AQ605" s="105"/>
      <c r="AR605" s="105"/>
      <c r="AS605" s="105"/>
      <c r="AT605" s="105"/>
      <c r="AU605" s="105"/>
      <c r="AV605" s="105"/>
      <c r="AW605" s="105"/>
      <c r="AX605" s="105"/>
      <c r="AY605" s="105"/>
      <c r="AZ605" s="105"/>
      <c r="BA605" s="105"/>
      <c r="BB605" s="105"/>
      <c r="BC605" s="105"/>
      <c r="BD605" s="105"/>
      <c r="BE605" s="105"/>
      <c r="BF605" s="105"/>
      <c r="BG605" s="105"/>
      <c r="BH605" s="105"/>
      <c r="BI605" s="105"/>
      <c r="BJ605" s="105"/>
      <c r="BK605" s="105"/>
      <c r="BL605" s="105"/>
      <c r="BM605" s="105"/>
      <c r="BN605" s="105"/>
      <c r="BO605" s="105"/>
      <c r="BP605" s="105"/>
      <c r="BQ605" s="105"/>
      <c r="BR605" s="105"/>
      <c r="BS605" s="105"/>
      <c r="BT605" s="105"/>
      <c r="BU605" s="105"/>
      <c r="BV605" s="105"/>
      <c r="BW605" s="105"/>
      <c r="BX605" s="105"/>
      <c r="BY605" s="105"/>
      <c r="BZ605" s="105"/>
      <c r="CA605" s="105"/>
      <c r="CB605" s="105"/>
      <c r="CC605" s="105"/>
      <c r="CD605" s="105"/>
      <c r="CE605" s="105"/>
      <c r="CF605" s="105"/>
      <c r="CG605" s="105"/>
      <c r="CH605" s="105"/>
      <c r="CI605" s="105"/>
      <c r="CJ605" s="105"/>
      <c r="CK605" s="105"/>
      <c r="CL605" s="105"/>
      <c r="CM605" s="105"/>
      <c r="CN605" s="105"/>
      <c r="CO605" s="105"/>
      <c r="CP605" s="105"/>
      <c r="CQ605" s="105"/>
      <c r="CR605" s="105"/>
      <c r="CS605" s="105"/>
      <c r="CT605" s="105"/>
      <c r="CU605" s="105"/>
      <c r="CV605" s="105"/>
      <c r="CW605" s="105"/>
      <c r="CX605" s="105"/>
      <c r="CY605" s="105"/>
      <c r="CZ605" s="105"/>
      <c r="DA605" s="105"/>
    </row>
    <row r="606">
      <c r="B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c r="AA606" s="105"/>
      <c r="AB606" s="105"/>
      <c r="AC606" s="105"/>
      <c r="AD606" s="105"/>
      <c r="AE606" s="105"/>
      <c r="AF606" s="105"/>
      <c r="AG606" s="105"/>
      <c r="AH606" s="105"/>
      <c r="AI606" s="105"/>
      <c r="AJ606" s="105"/>
      <c r="AK606" s="105"/>
      <c r="AL606" s="105"/>
      <c r="AM606" s="105"/>
      <c r="AN606" s="105"/>
      <c r="AO606" s="105"/>
      <c r="AP606" s="105"/>
      <c r="AQ606" s="105"/>
      <c r="AR606" s="105"/>
      <c r="AS606" s="105"/>
      <c r="AT606" s="105"/>
      <c r="AU606" s="105"/>
      <c r="AV606" s="105"/>
      <c r="AW606" s="105"/>
      <c r="AX606" s="105"/>
      <c r="AY606" s="105"/>
      <c r="AZ606" s="105"/>
      <c r="BA606" s="105"/>
      <c r="BB606" s="105"/>
      <c r="BC606" s="105"/>
      <c r="BD606" s="105"/>
      <c r="BE606" s="105"/>
      <c r="BF606" s="105"/>
      <c r="BG606" s="105"/>
      <c r="BH606" s="105"/>
      <c r="BI606" s="105"/>
      <c r="BJ606" s="105"/>
      <c r="BK606" s="105"/>
      <c r="BL606" s="105"/>
      <c r="BM606" s="105"/>
      <c r="BN606" s="105"/>
      <c r="BO606" s="105"/>
      <c r="BP606" s="105"/>
      <c r="BQ606" s="105"/>
      <c r="BR606" s="105"/>
      <c r="BS606" s="105"/>
      <c r="BT606" s="105"/>
      <c r="BU606" s="105"/>
      <c r="BV606" s="105"/>
      <c r="BW606" s="105"/>
      <c r="BX606" s="105"/>
      <c r="BY606" s="105"/>
      <c r="BZ606" s="105"/>
      <c r="CA606" s="105"/>
      <c r="CB606" s="105"/>
      <c r="CC606" s="105"/>
      <c r="CD606" s="105"/>
      <c r="CE606" s="105"/>
      <c r="CF606" s="105"/>
      <c r="CG606" s="105"/>
      <c r="CH606" s="105"/>
      <c r="CI606" s="105"/>
      <c r="CJ606" s="105"/>
      <c r="CK606" s="105"/>
      <c r="CL606" s="105"/>
      <c r="CM606" s="105"/>
      <c r="CN606" s="105"/>
      <c r="CO606" s="105"/>
      <c r="CP606" s="105"/>
      <c r="CQ606" s="105"/>
      <c r="CR606" s="105"/>
      <c r="CS606" s="105"/>
      <c r="CT606" s="105"/>
      <c r="CU606" s="105"/>
      <c r="CV606" s="105"/>
      <c r="CW606" s="105"/>
      <c r="CX606" s="105"/>
      <c r="CY606" s="105"/>
      <c r="CZ606" s="105"/>
      <c r="DA606" s="105"/>
    </row>
    <row r="607">
      <c r="B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c r="AA607" s="105"/>
      <c r="AB607" s="105"/>
      <c r="AC607" s="105"/>
      <c r="AD607" s="105"/>
      <c r="AE607" s="105"/>
      <c r="AF607" s="105"/>
      <c r="AG607" s="105"/>
      <c r="AH607" s="105"/>
      <c r="AI607" s="105"/>
      <c r="AJ607" s="105"/>
      <c r="AK607" s="105"/>
      <c r="AL607" s="105"/>
      <c r="AM607" s="105"/>
      <c r="AN607" s="105"/>
      <c r="AO607" s="105"/>
      <c r="AP607" s="105"/>
      <c r="AQ607" s="105"/>
      <c r="AR607" s="105"/>
      <c r="AS607" s="105"/>
      <c r="AT607" s="105"/>
      <c r="AU607" s="105"/>
      <c r="AV607" s="105"/>
      <c r="AW607" s="105"/>
      <c r="AX607" s="105"/>
      <c r="AY607" s="105"/>
      <c r="AZ607" s="105"/>
      <c r="BA607" s="105"/>
      <c r="BB607" s="105"/>
      <c r="BC607" s="105"/>
      <c r="BD607" s="105"/>
      <c r="BE607" s="105"/>
      <c r="BF607" s="105"/>
      <c r="BG607" s="105"/>
      <c r="BH607" s="105"/>
      <c r="BI607" s="105"/>
      <c r="BJ607" s="105"/>
      <c r="BK607" s="105"/>
      <c r="BL607" s="105"/>
      <c r="BM607" s="105"/>
      <c r="BN607" s="105"/>
      <c r="BO607" s="105"/>
      <c r="BP607" s="105"/>
      <c r="BQ607" s="105"/>
      <c r="BR607" s="105"/>
      <c r="BS607" s="105"/>
      <c r="BT607" s="105"/>
      <c r="BU607" s="105"/>
      <c r="BV607" s="105"/>
      <c r="BW607" s="105"/>
      <c r="BX607" s="105"/>
      <c r="BY607" s="105"/>
      <c r="BZ607" s="105"/>
      <c r="CA607" s="105"/>
      <c r="CB607" s="105"/>
      <c r="CC607" s="105"/>
      <c r="CD607" s="105"/>
      <c r="CE607" s="105"/>
      <c r="CF607" s="105"/>
      <c r="CG607" s="105"/>
      <c r="CH607" s="105"/>
      <c r="CI607" s="105"/>
      <c r="CJ607" s="105"/>
      <c r="CK607" s="105"/>
      <c r="CL607" s="105"/>
      <c r="CM607" s="105"/>
      <c r="CN607" s="105"/>
      <c r="CO607" s="105"/>
      <c r="CP607" s="105"/>
      <c r="CQ607" s="105"/>
      <c r="CR607" s="105"/>
      <c r="CS607" s="105"/>
      <c r="CT607" s="105"/>
      <c r="CU607" s="105"/>
      <c r="CV607" s="105"/>
      <c r="CW607" s="105"/>
      <c r="CX607" s="105"/>
      <c r="CY607" s="105"/>
      <c r="CZ607" s="105"/>
      <c r="DA607" s="105"/>
    </row>
    <row r="608">
      <c r="B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c r="AA608" s="105"/>
      <c r="AB608" s="105"/>
      <c r="AC608" s="105"/>
      <c r="AD608" s="105"/>
      <c r="AE608" s="105"/>
      <c r="AF608" s="105"/>
      <c r="AG608" s="105"/>
      <c r="AH608" s="105"/>
      <c r="AI608" s="105"/>
      <c r="AJ608" s="105"/>
      <c r="AK608" s="105"/>
      <c r="AL608" s="105"/>
      <c r="AM608" s="105"/>
      <c r="AN608" s="105"/>
      <c r="AO608" s="105"/>
      <c r="AP608" s="105"/>
      <c r="AQ608" s="105"/>
      <c r="AR608" s="105"/>
      <c r="AS608" s="105"/>
      <c r="AT608" s="105"/>
      <c r="AU608" s="105"/>
      <c r="AV608" s="105"/>
      <c r="AW608" s="105"/>
      <c r="AX608" s="105"/>
      <c r="AY608" s="105"/>
      <c r="AZ608" s="105"/>
      <c r="BA608" s="105"/>
      <c r="BB608" s="105"/>
      <c r="BC608" s="105"/>
      <c r="BD608" s="105"/>
      <c r="BE608" s="105"/>
      <c r="BF608" s="105"/>
      <c r="BG608" s="105"/>
      <c r="BH608" s="105"/>
      <c r="BI608" s="105"/>
      <c r="BJ608" s="105"/>
      <c r="BK608" s="105"/>
      <c r="BL608" s="105"/>
      <c r="BM608" s="105"/>
      <c r="BN608" s="105"/>
      <c r="BO608" s="105"/>
      <c r="BP608" s="105"/>
      <c r="BQ608" s="105"/>
      <c r="BR608" s="105"/>
      <c r="BS608" s="105"/>
      <c r="BT608" s="105"/>
      <c r="BU608" s="105"/>
      <c r="BV608" s="105"/>
      <c r="BW608" s="105"/>
      <c r="BX608" s="105"/>
      <c r="BY608" s="105"/>
      <c r="BZ608" s="105"/>
      <c r="CA608" s="105"/>
      <c r="CB608" s="105"/>
      <c r="CC608" s="105"/>
      <c r="CD608" s="105"/>
      <c r="CE608" s="105"/>
      <c r="CF608" s="105"/>
      <c r="CG608" s="105"/>
      <c r="CH608" s="105"/>
      <c r="CI608" s="105"/>
      <c r="CJ608" s="105"/>
      <c r="CK608" s="105"/>
      <c r="CL608" s="105"/>
      <c r="CM608" s="105"/>
      <c r="CN608" s="105"/>
      <c r="CO608" s="105"/>
      <c r="CP608" s="105"/>
      <c r="CQ608" s="105"/>
      <c r="CR608" s="105"/>
      <c r="CS608" s="105"/>
      <c r="CT608" s="105"/>
      <c r="CU608" s="105"/>
      <c r="CV608" s="105"/>
      <c r="CW608" s="105"/>
      <c r="CX608" s="105"/>
      <c r="CY608" s="105"/>
      <c r="CZ608" s="105"/>
      <c r="DA608" s="105"/>
    </row>
    <row r="609">
      <c r="B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c r="AA609" s="105"/>
      <c r="AB609" s="105"/>
      <c r="AC609" s="105"/>
      <c r="AD609" s="105"/>
      <c r="AE609" s="105"/>
      <c r="AF609" s="105"/>
      <c r="AG609" s="105"/>
      <c r="AH609" s="105"/>
      <c r="AI609" s="105"/>
      <c r="AJ609" s="105"/>
      <c r="AK609" s="105"/>
      <c r="AL609" s="105"/>
      <c r="AM609" s="105"/>
      <c r="AN609" s="105"/>
      <c r="AO609" s="105"/>
      <c r="AP609" s="105"/>
      <c r="AQ609" s="105"/>
      <c r="AR609" s="105"/>
      <c r="AS609" s="105"/>
      <c r="AT609" s="105"/>
      <c r="AU609" s="105"/>
      <c r="AV609" s="105"/>
      <c r="AW609" s="105"/>
      <c r="AX609" s="105"/>
      <c r="AY609" s="105"/>
      <c r="AZ609" s="105"/>
      <c r="BA609" s="105"/>
      <c r="BB609" s="105"/>
      <c r="BC609" s="105"/>
      <c r="BD609" s="105"/>
      <c r="BE609" s="105"/>
      <c r="BF609" s="105"/>
      <c r="BG609" s="105"/>
      <c r="BH609" s="105"/>
      <c r="BI609" s="105"/>
      <c r="BJ609" s="105"/>
      <c r="BK609" s="105"/>
      <c r="BL609" s="105"/>
      <c r="BM609" s="105"/>
      <c r="BN609" s="105"/>
      <c r="BO609" s="105"/>
      <c r="BP609" s="105"/>
      <c r="BQ609" s="105"/>
      <c r="BR609" s="105"/>
      <c r="BS609" s="105"/>
      <c r="BT609" s="105"/>
      <c r="BU609" s="105"/>
      <c r="BV609" s="105"/>
      <c r="BW609" s="105"/>
      <c r="BX609" s="105"/>
      <c r="BY609" s="105"/>
      <c r="BZ609" s="105"/>
      <c r="CA609" s="105"/>
      <c r="CB609" s="105"/>
      <c r="CC609" s="105"/>
      <c r="CD609" s="105"/>
      <c r="CE609" s="105"/>
      <c r="CF609" s="105"/>
      <c r="CG609" s="105"/>
      <c r="CH609" s="105"/>
      <c r="CI609" s="105"/>
      <c r="CJ609" s="105"/>
      <c r="CK609" s="105"/>
      <c r="CL609" s="105"/>
      <c r="CM609" s="105"/>
      <c r="CN609" s="105"/>
      <c r="CO609" s="105"/>
      <c r="CP609" s="105"/>
      <c r="CQ609" s="105"/>
      <c r="CR609" s="105"/>
      <c r="CS609" s="105"/>
      <c r="CT609" s="105"/>
      <c r="CU609" s="105"/>
      <c r="CV609" s="105"/>
      <c r="CW609" s="105"/>
      <c r="CX609" s="105"/>
      <c r="CY609" s="105"/>
      <c r="CZ609" s="105"/>
      <c r="DA609" s="105"/>
    </row>
    <row r="610">
      <c r="B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c r="AA610" s="105"/>
      <c r="AB610" s="105"/>
      <c r="AC610" s="105"/>
      <c r="AD610" s="105"/>
      <c r="AE610" s="105"/>
      <c r="AF610" s="105"/>
      <c r="AG610" s="105"/>
      <c r="AH610" s="105"/>
      <c r="AI610" s="105"/>
      <c r="AJ610" s="105"/>
      <c r="AK610" s="105"/>
      <c r="AL610" s="105"/>
      <c r="AM610" s="105"/>
      <c r="AN610" s="105"/>
      <c r="AO610" s="105"/>
      <c r="AP610" s="105"/>
      <c r="AQ610" s="105"/>
      <c r="AR610" s="105"/>
      <c r="AS610" s="105"/>
      <c r="AT610" s="105"/>
      <c r="AU610" s="105"/>
      <c r="AV610" s="105"/>
      <c r="AW610" s="105"/>
      <c r="AX610" s="105"/>
      <c r="AY610" s="105"/>
      <c r="AZ610" s="105"/>
      <c r="BA610" s="105"/>
      <c r="BB610" s="105"/>
      <c r="BC610" s="105"/>
      <c r="BD610" s="105"/>
      <c r="BE610" s="105"/>
      <c r="BF610" s="105"/>
      <c r="BG610" s="105"/>
      <c r="BH610" s="105"/>
      <c r="BI610" s="105"/>
      <c r="BJ610" s="105"/>
      <c r="BK610" s="105"/>
      <c r="BL610" s="105"/>
      <c r="BM610" s="105"/>
      <c r="BN610" s="105"/>
      <c r="BO610" s="105"/>
      <c r="BP610" s="105"/>
      <c r="BQ610" s="105"/>
      <c r="BR610" s="105"/>
      <c r="BS610" s="105"/>
      <c r="BT610" s="105"/>
      <c r="BU610" s="105"/>
      <c r="BV610" s="105"/>
      <c r="BW610" s="105"/>
      <c r="BX610" s="105"/>
      <c r="BY610" s="105"/>
      <c r="BZ610" s="105"/>
      <c r="CA610" s="105"/>
      <c r="CB610" s="105"/>
      <c r="CC610" s="105"/>
      <c r="CD610" s="105"/>
      <c r="CE610" s="105"/>
      <c r="CF610" s="105"/>
      <c r="CG610" s="105"/>
      <c r="CH610" s="105"/>
      <c r="CI610" s="105"/>
      <c r="CJ610" s="105"/>
      <c r="CK610" s="105"/>
      <c r="CL610" s="105"/>
      <c r="CM610" s="105"/>
      <c r="CN610" s="105"/>
      <c r="CO610" s="105"/>
      <c r="CP610" s="105"/>
      <c r="CQ610" s="105"/>
      <c r="CR610" s="105"/>
      <c r="CS610" s="105"/>
      <c r="CT610" s="105"/>
      <c r="CU610" s="105"/>
      <c r="CV610" s="105"/>
      <c r="CW610" s="105"/>
      <c r="CX610" s="105"/>
      <c r="CY610" s="105"/>
      <c r="CZ610" s="105"/>
      <c r="DA610" s="105"/>
    </row>
    <row r="611">
      <c r="B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c r="AA611" s="105"/>
      <c r="AB611" s="105"/>
      <c r="AC611" s="105"/>
      <c r="AD611" s="105"/>
      <c r="AE611" s="105"/>
      <c r="AF611" s="105"/>
      <c r="AG611" s="105"/>
      <c r="AH611" s="105"/>
      <c r="AI611" s="105"/>
      <c r="AJ611" s="105"/>
      <c r="AK611" s="105"/>
      <c r="AL611" s="105"/>
      <c r="AM611" s="105"/>
      <c r="AN611" s="105"/>
      <c r="AO611" s="105"/>
      <c r="AP611" s="105"/>
      <c r="AQ611" s="105"/>
      <c r="AR611" s="105"/>
      <c r="AS611" s="105"/>
      <c r="AT611" s="105"/>
      <c r="AU611" s="105"/>
      <c r="AV611" s="105"/>
      <c r="AW611" s="105"/>
      <c r="AX611" s="105"/>
      <c r="AY611" s="105"/>
      <c r="AZ611" s="105"/>
      <c r="BA611" s="105"/>
      <c r="BB611" s="105"/>
      <c r="BC611" s="105"/>
      <c r="BD611" s="105"/>
      <c r="BE611" s="105"/>
      <c r="BF611" s="105"/>
      <c r="BG611" s="105"/>
      <c r="BH611" s="105"/>
      <c r="BI611" s="105"/>
      <c r="BJ611" s="105"/>
      <c r="BK611" s="105"/>
      <c r="BL611" s="105"/>
      <c r="BM611" s="105"/>
      <c r="BN611" s="105"/>
      <c r="BO611" s="105"/>
      <c r="BP611" s="105"/>
      <c r="BQ611" s="105"/>
      <c r="BR611" s="105"/>
      <c r="BS611" s="105"/>
      <c r="BT611" s="105"/>
      <c r="BU611" s="105"/>
      <c r="BV611" s="105"/>
      <c r="BW611" s="105"/>
      <c r="BX611" s="105"/>
      <c r="BY611" s="105"/>
      <c r="BZ611" s="105"/>
      <c r="CA611" s="105"/>
      <c r="CB611" s="105"/>
      <c r="CC611" s="105"/>
      <c r="CD611" s="105"/>
      <c r="CE611" s="105"/>
      <c r="CF611" s="105"/>
      <c r="CG611" s="105"/>
      <c r="CH611" s="105"/>
      <c r="CI611" s="105"/>
      <c r="CJ611" s="105"/>
      <c r="CK611" s="105"/>
      <c r="CL611" s="105"/>
      <c r="CM611" s="105"/>
      <c r="CN611" s="105"/>
      <c r="CO611" s="105"/>
      <c r="CP611" s="105"/>
      <c r="CQ611" s="105"/>
      <c r="CR611" s="105"/>
      <c r="CS611" s="105"/>
      <c r="CT611" s="105"/>
      <c r="CU611" s="105"/>
      <c r="CV611" s="105"/>
      <c r="CW611" s="105"/>
      <c r="CX611" s="105"/>
      <c r="CY611" s="105"/>
      <c r="CZ611" s="105"/>
      <c r="DA611" s="105"/>
    </row>
    <row r="612">
      <c r="B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c r="AA612" s="105"/>
      <c r="AB612" s="105"/>
      <c r="AC612" s="105"/>
      <c r="AD612" s="105"/>
      <c r="AE612" s="105"/>
      <c r="AF612" s="105"/>
      <c r="AG612" s="105"/>
      <c r="AH612" s="105"/>
      <c r="AI612" s="105"/>
      <c r="AJ612" s="105"/>
      <c r="AK612" s="105"/>
      <c r="AL612" s="105"/>
      <c r="AM612" s="105"/>
      <c r="AN612" s="105"/>
      <c r="AO612" s="105"/>
      <c r="AP612" s="105"/>
      <c r="AQ612" s="105"/>
      <c r="AR612" s="105"/>
      <c r="AS612" s="105"/>
      <c r="AT612" s="105"/>
      <c r="AU612" s="105"/>
      <c r="AV612" s="105"/>
      <c r="AW612" s="105"/>
      <c r="AX612" s="105"/>
      <c r="AY612" s="105"/>
      <c r="AZ612" s="105"/>
      <c r="BA612" s="105"/>
      <c r="BB612" s="105"/>
      <c r="BC612" s="105"/>
      <c r="BD612" s="105"/>
      <c r="BE612" s="105"/>
      <c r="BF612" s="105"/>
      <c r="BG612" s="105"/>
      <c r="BH612" s="105"/>
      <c r="BI612" s="105"/>
      <c r="BJ612" s="105"/>
      <c r="BK612" s="105"/>
      <c r="BL612" s="105"/>
      <c r="BM612" s="105"/>
      <c r="BN612" s="105"/>
      <c r="BO612" s="105"/>
      <c r="BP612" s="105"/>
      <c r="BQ612" s="105"/>
      <c r="BR612" s="105"/>
      <c r="BS612" s="105"/>
      <c r="BT612" s="105"/>
      <c r="BU612" s="105"/>
      <c r="BV612" s="105"/>
      <c r="BW612" s="105"/>
      <c r="BX612" s="105"/>
      <c r="BY612" s="105"/>
      <c r="BZ612" s="105"/>
      <c r="CA612" s="105"/>
      <c r="CB612" s="105"/>
      <c r="CC612" s="105"/>
      <c r="CD612" s="105"/>
      <c r="CE612" s="105"/>
      <c r="CF612" s="105"/>
      <c r="CG612" s="105"/>
      <c r="CH612" s="105"/>
      <c r="CI612" s="105"/>
      <c r="CJ612" s="105"/>
      <c r="CK612" s="105"/>
      <c r="CL612" s="105"/>
      <c r="CM612" s="105"/>
      <c r="CN612" s="105"/>
      <c r="CO612" s="105"/>
      <c r="CP612" s="105"/>
      <c r="CQ612" s="105"/>
      <c r="CR612" s="105"/>
      <c r="CS612" s="105"/>
      <c r="CT612" s="105"/>
      <c r="CU612" s="105"/>
      <c r="CV612" s="105"/>
      <c r="CW612" s="105"/>
      <c r="CX612" s="105"/>
      <c r="CY612" s="105"/>
      <c r="CZ612" s="105"/>
      <c r="DA612" s="105"/>
    </row>
    <row r="613">
      <c r="B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c r="AA613" s="105"/>
      <c r="AB613" s="105"/>
      <c r="AC613" s="105"/>
      <c r="AD613" s="105"/>
      <c r="AE613" s="105"/>
      <c r="AF613" s="105"/>
      <c r="AG613" s="105"/>
      <c r="AH613" s="105"/>
      <c r="AI613" s="105"/>
      <c r="AJ613" s="105"/>
      <c r="AK613" s="105"/>
      <c r="AL613" s="105"/>
      <c r="AM613" s="105"/>
      <c r="AN613" s="105"/>
      <c r="AO613" s="105"/>
      <c r="AP613" s="105"/>
      <c r="AQ613" s="105"/>
      <c r="AR613" s="105"/>
      <c r="AS613" s="105"/>
      <c r="AT613" s="105"/>
      <c r="AU613" s="105"/>
      <c r="AV613" s="105"/>
      <c r="AW613" s="105"/>
      <c r="AX613" s="105"/>
      <c r="AY613" s="105"/>
      <c r="AZ613" s="105"/>
      <c r="BA613" s="105"/>
      <c r="BB613" s="105"/>
      <c r="BC613" s="105"/>
      <c r="BD613" s="105"/>
      <c r="BE613" s="105"/>
      <c r="BF613" s="105"/>
      <c r="BG613" s="105"/>
      <c r="BH613" s="105"/>
      <c r="BI613" s="105"/>
      <c r="BJ613" s="105"/>
      <c r="BK613" s="105"/>
      <c r="BL613" s="105"/>
      <c r="BM613" s="105"/>
      <c r="BN613" s="105"/>
      <c r="BO613" s="105"/>
      <c r="BP613" s="105"/>
      <c r="BQ613" s="105"/>
      <c r="BR613" s="105"/>
      <c r="BS613" s="105"/>
      <c r="BT613" s="105"/>
      <c r="BU613" s="105"/>
      <c r="BV613" s="105"/>
      <c r="BW613" s="105"/>
      <c r="BX613" s="105"/>
      <c r="BY613" s="105"/>
      <c r="BZ613" s="105"/>
      <c r="CA613" s="105"/>
      <c r="CB613" s="105"/>
      <c r="CC613" s="105"/>
      <c r="CD613" s="105"/>
      <c r="CE613" s="105"/>
      <c r="CF613" s="105"/>
      <c r="CG613" s="105"/>
      <c r="CH613" s="105"/>
      <c r="CI613" s="105"/>
      <c r="CJ613" s="105"/>
      <c r="CK613" s="105"/>
      <c r="CL613" s="105"/>
      <c r="CM613" s="105"/>
      <c r="CN613" s="105"/>
      <c r="CO613" s="105"/>
      <c r="CP613" s="105"/>
      <c r="CQ613" s="105"/>
      <c r="CR613" s="105"/>
      <c r="CS613" s="105"/>
      <c r="CT613" s="105"/>
      <c r="CU613" s="105"/>
      <c r="CV613" s="105"/>
      <c r="CW613" s="105"/>
      <c r="CX613" s="105"/>
      <c r="CY613" s="105"/>
      <c r="CZ613" s="105"/>
      <c r="DA613" s="105"/>
    </row>
    <row r="614">
      <c r="B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c r="AA614" s="105"/>
      <c r="AB614" s="105"/>
      <c r="AC614" s="105"/>
      <c r="AD614" s="105"/>
      <c r="AE614" s="105"/>
      <c r="AF614" s="105"/>
      <c r="AG614" s="105"/>
      <c r="AH614" s="105"/>
      <c r="AI614" s="105"/>
      <c r="AJ614" s="105"/>
      <c r="AK614" s="105"/>
      <c r="AL614" s="105"/>
      <c r="AM614" s="105"/>
      <c r="AN614" s="105"/>
      <c r="AO614" s="105"/>
      <c r="AP614" s="105"/>
      <c r="AQ614" s="105"/>
      <c r="AR614" s="105"/>
      <c r="AS614" s="105"/>
      <c r="AT614" s="105"/>
      <c r="AU614" s="105"/>
      <c r="AV614" s="105"/>
      <c r="AW614" s="105"/>
      <c r="AX614" s="105"/>
      <c r="AY614" s="105"/>
      <c r="AZ614" s="105"/>
      <c r="BA614" s="105"/>
      <c r="BB614" s="105"/>
      <c r="BC614" s="105"/>
      <c r="BD614" s="105"/>
      <c r="BE614" s="105"/>
      <c r="BF614" s="105"/>
      <c r="BG614" s="105"/>
      <c r="BH614" s="105"/>
      <c r="BI614" s="105"/>
      <c r="BJ614" s="105"/>
      <c r="BK614" s="105"/>
      <c r="BL614" s="105"/>
      <c r="BM614" s="105"/>
      <c r="BN614" s="105"/>
      <c r="BO614" s="105"/>
      <c r="BP614" s="105"/>
      <c r="BQ614" s="105"/>
      <c r="BR614" s="105"/>
      <c r="BS614" s="105"/>
      <c r="BT614" s="105"/>
      <c r="BU614" s="105"/>
      <c r="BV614" s="105"/>
      <c r="BW614" s="105"/>
      <c r="BX614" s="105"/>
      <c r="BY614" s="105"/>
      <c r="BZ614" s="105"/>
      <c r="CA614" s="105"/>
      <c r="CB614" s="105"/>
      <c r="CC614" s="105"/>
      <c r="CD614" s="105"/>
      <c r="CE614" s="105"/>
      <c r="CF614" s="105"/>
      <c r="CG614" s="105"/>
      <c r="CH614" s="105"/>
      <c r="CI614" s="105"/>
      <c r="CJ614" s="105"/>
      <c r="CK614" s="105"/>
      <c r="CL614" s="105"/>
      <c r="CM614" s="105"/>
      <c r="CN614" s="105"/>
      <c r="CO614" s="105"/>
      <c r="CP614" s="105"/>
      <c r="CQ614" s="105"/>
      <c r="CR614" s="105"/>
      <c r="CS614" s="105"/>
      <c r="CT614" s="105"/>
      <c r="CU614" s="105"/>
      <c r="CV614" s="105"/>
      <c r="CW614" s="105"/>
      <c r="CX614" s="105"/>
      <c r="CY614" s="105"/>
      <c r="CZ614" s="105"/>
      <c r="DA614" s="105"/>
    </row>
    <row r="615">
      <c r="B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c r="AA615" s="105"/>
      <c r="AB615" s="105"/>
      <c r="AC615" s="105"/>
      <c r="AD615" s="105"/>
      <c r="AE615" s="105"/>
      <c r="AF615" s="105"/>
      <c r="AG615" s="105"/>
      <c r="AH615" s="105"/>
      <c r="AI615" s="105"/>
      <c r="AJ615" s="105"/>
      <c r="AK615" s="105"/>
      <c r="AL615" s="105"/>
      <c r="AM615" s="105"/>
      <c r="AN615" s="105"/>
      <c r="AO615" s="105"/>
      <c r="AP615" s="105"/>
      <c r="AQ615" s="105"/>
      <c r="AR615" s="105"/>
      <c r="AS615" s="105"/>
      <c r="AT615" s="105"/>
      <c r="AU615" s="105"/>
      <c r="AV615" s="105"/>
      <c r="AW615" s="105"/>
      <c r="AX615" s="105"/>
      <c r="AY615" s="105"/>
      <c r="AZ615" s="105"/>
      <c r="BA615" s="105"/>
      <c r="BB615" s="105"/>
      <c r="BC615" s="105"/>
      <c r="BD615" s="105"/>
      <c r="BE615" s="105"/>
      <c r="BF615" s="105"/>
      <c r="BG615" s="105"/>
      <c r="BH615" s="105"/>
      <c r="BI615" s="105"/>
      <c r="BJ615" s="105"/>
      <c r="BK615" s="105"/>
      <c r="BL615" s="105"/>
      <c r="BM615" s="105"/>
      <c r="BN615" s="105"/>
      <c r="BO615" s="105"/>
      <c r="BP615" s="105"/>
      <c r="BQ615" s="105"/>
      <c r="BR615" s="105"/>
      <c r="BS615" s="105"/>
      <c r="BT615" s="105"/>
      <c r="BU615" s="105"/>
      <c r="BV615" s="105"/>
      <c r="BW615" s="105"/>
      <c r="BX615" s="105"/>
      <c r="BY615" s="105"/>
      <c r="BZ615" s="105"/>
      <c r="CA615" s="105"/>
      <c r="CB615" s="105"/>
      <c r="CC615" s="105"/>
      <c r="CD615" s="105"/>
      <c r="CE615" s="105"/>
      <c r="CF615" s="105"/>
      <c r="CG615" s="105"/>
      <c r="CH615" s="105"/>
      <c r="CI615" s="105"/>
      <c r="CJ615" s="105"/>
      <c r="CK615" s="105"/>
      <c r="CL615" s="105"/>
      <c r="CM615" s="105"/>
      <c r="CN615" s="105"/>
      <c r="CO615" s="105"/>
      <c r="CP615" s="105"/>
      <c r="CQ615" s="105"/>
      <c r="CR615" s="105"/>
      <c r="CS615" s="105"/>
      <c r="CT615" s="105"/>
      <c r="CU615" s="105"/>
      <c r="CV615" s="105"/>
      <c r="CW615" s="105"/>
      <c r="CX615" s="105"/>
      <c r="CY615" s="105"/>
      <c r="CZ615" s="105"/>
      <c r="DA615" s="105"/>
    </row>
    <row r="616">
      <c r="B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c r="AA616" s="105"/>
      <c r="AB616" s="105"/>
      <c r="AC616" s="105"/>
      <c r="AD616" s="105"/>
      <c r="AE616" s="105"/>
      <c r="AF616" s="105"/>
      <c r="AG616" s="105"/>
      <c r="AH616" s="105"/>
      <c r="AI616" s="105"/>
      <c r="AJ616" s="105"/>
      <c r="AK616" s="105"/>
      <c r="AL616" s="105"/>
      <c r="AM616" s="105"/>
      <c r="AN616" s="105"/>
      <c r="AO616" s="105"/>
      <c r="AP616" s="105"/>
      <c r="AQ616" s="105"/>
      <c r="AR616" s="105"/>
      <c r="AS616" s="105"/>
      <c r="AT616" s="105"/>
      <c r="AU616" s="105"/>
      <c r="AV616" s="105"/>
      <c r="AW616" s="105"/>
      <c r="AX616" s="105"/>
      <c r="AY616" s="105"/>
      <c r="AZ616" s="105"/>
      <c r="BA616" s="105"/>
      <c r="BB616" s="105"/>
      <c r="BC616" s="105"/>
      <c r="BD616" s="105"/>
      <c r="BE616" s="105"/>
      <c r="BF616" s="105"/>
      <c r="BG616" s="105"/>
      <c r="BH616" s="105"/>
      <c r="BI616" s="105"/>
      <c r="BJ616" s="105"/>
      <c r="BK616" s="105"/>
      <c r="BL616" s="105"/>
      <c r="BM616" s="105"/>
      <c r="BN616" s="105"/>
      <c r="BO616" s="105"/>
      <c r="BP616" s="105"/>
      <c r="BQ616" s="105"/>
      <c r="BR616" s="105"/>
      <c r="BS616" s="105"/>
      <c r="BT616" s="105"/>
      <c r="BU616" s="105"/>
      <c r="BV616" s="105"/>
      <c r="BW616" s="105"/>
      <c r="BX616" s="105"/>
      <c r="BY616" s="105"/>
      <c r="BZ616" s="105"/>
      <c r="CA616" s="105"/>
      <c r="CB616" s="105"/>
      <c r="CC616" s="105"/>
      <c r="CD616" s="105"/>
      <c r="CE616" s="105"/>
      <c r="CF616" s="105"/>
      <c r="CG616" s="105"/>
      <c r="CH616" s="105"/>
      <c r="CI616" s="105"/>
      <c r="CJ616" s="105"/>
      <c r="CK616" s="105"/>
      <c r="CL616" s="105"/>
      <c r="CM616" s="105"/>
      <c r="CN616" s="105"/>
      <c r="CO616" s="105"/>
      <c r="CP616" s="105"/>
      <c r="CQ616" s="105"/>
      <c r="CR616" s="105"/>
      <c r="CS616" s="105"/>
      <c r="CT616" s="105"/>
      <c r="CU616" s="105"/>
      <c r="CV616" s="105"/>
      <c r="CW616" s="105"/>
      <c r="CX616" s="105"/>
      <c r="CY616" s="105"/>
      <c r="CZ616" s="105"/>
      <c r="DA616" s="105"/>
    </row>
    <row r="617">
      <c r="B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c r="AA617" s="105"/>
      <c r="AB617" s="105"/>
      <c r="AC617" s="105"/>
      <c r="AD617" s="105"/>
      <c r="AE617" s="105"/>
      <c r="AF617" s="105"/>
      <c r="AG617" s="105"/>
      <c r="AH617" s="105"/>
      <c r="AI617" s="105"/>
      <c r="AJ617" s="105"/>
      <c r="AK617" s="105"/>
      <c r="AL617" s="105"/>
      <c r="AM617" s="105"/>
      <c r="AN617" s="105"/>
      <c r="AO617" s="105"/>
      <c r="AP617" s="105"/>
      <c r="AQ617" s="105"/>
      <c r="AR617" s="105"/>
      <c r="AS617" s="105"/>
      <c r="AT617" s="105"/>
      <c r="AU617" s="105"/>
      <c r="AV617" s="105"/>
      <c r="AW617" s="105"/>
      <c r="AX617" s="105"/>
      <c r="AY617" s="105"/>
      <c r="AZ617" s="105"/>
      <c r="BA617" s="105"/>
      <c r="BB617" s="105"/>
      <c r="BC617" s="105"/>
      <c r="BD617" s="105"/>
      <c r="BE617" s="105"/>
      <c r="BF617" s="105"/>
      <c r="BG617" s="105"/>
      <c r="BH617" s="105"/>
      <c r="BI617" s="105"/>
      <c r="BJ617" s="105"/>
      <c r="BK617" s="105"/>
      <c r="BL617" s="105"/>
      <c r="BM617" s="105"/>
      <c r="BN617" s="105"/>
      <c r="BO617" s="105"/>
      <c r="BP617" s="105"/>
      <c r="BQ617" s="105"/>
      <c r="BR617" s="105"/>
      <c r="BS617" s="105"/>
      <c r="BT617" s="105"/>
      <c r="BU617" s="105"/>
      <c r="BV617" s="105"/>
      <c r="BW617" s="105"/>
      <c r="BX617" s="105"/>
      <c r="BY617" s="105"/>
      <c r="BZ617" s="105"/>
      <c r="CA617" s="105"/>
      <c r="CB617" s="105"/>
      <c r="CC617" s="105"/>
      <c r="CD617" s="105"/>
      <c r="CE617" s="105"/>
      <c r="CF617" s="105"/>
      <c r="CG617" s="105"/>
      <c r="CH617" s="105"/>
      <c r="CI617" s="105"/>
      <c r="CJ617" s="105"/>
      <c r="CK617" s="105"/>
      <c r="CL617" s="105"/>
      <c r="CM617" s="105"/>
      <c r="CN617" s="105"/>
      <c r="CO617" s="105"/>
      <c r="CP617" s="105"/>
      <c r="CQ617" s="105"/>
      <c r="CR617" s="105"/>
      <c r="CS617" s="105"/>
      <c r="CT617" s="105"/>
      <c r="CU617" s="105"/>
      <c r="CV617" s="105"/>
      <c r="CW617" s="105"/>
      <c r="CX617" s="105"/>
      <c r="CY617" s="105"/>
      <c r="CZ617" s="105"/>
      <c r="DA617" s="105"/>
    </row>
    <row r="618">
      <c r="B618" s="105"/>
      <c r="F618" s="105"/>
      <c r="G618" s="105"/>
      <c r="H618" s="105"/>
      <c r="I618" s="105"/>
      <c r="J618" s="105"/>
      <c r="K618" s="105"/>
      <c r="L618" s="105"/>
      <c r="M618" s="105"/>
      <c r="N618" s="105"/>
      <c r="O618" s="105"/>
      <c r="P618" s="105"/>
      <c r="Q618" s="105"/>
      <c r="R618" s="105"/>
      <c r="S618" s="105"/>
      <c r="T618" s="105"/>
      <c r="U618" s="105"/>
      <c r="V618" s="105"/>
      <c r="W618" s="105"/>
      <c r="X618" s="105"/>
      <c r="Y618" s="105"/>
      <c r="Z618" s="105"/>
      <c r="AA618" s="105"/>
      <c r="AB618" s="105"/>
      <c r="AC618" s="105"/>
      <c r="AD618" s="105"/>
      <c r="AE618" s="105"/>
      <c r="AF618" s="105"/>
      <c r="AG618" s="105"/>
      <c r="AH618" s="105"/>
      <c r="AI618" s="105"/>
      <c r="AJ618" s="105"/>
      <c r="AK618" s="105"/>
      <c r="AL618" s="105"/>
      <c r="AM618" s="105"/>
      <c r="AN618" s="105"/>
      <c r="AO618" s="105"/>
      <c r="AP618" s="105"/>
      <c r="AQ618" s="105"/>
      <c r="AR618" s="105"/>
      <c r="AS618" s="105"/>
      <c r="AT618" s="105"/>
      <c r="AU618" s="105"/>
      <c r="AV618" s="105"/>
      <c r="AW618" s="105"/>
      <c r="AX618" s="105"/>
      <c r="AY618" s="105"/>
      <c r="AZ618" s="105"/>
      <c r="BA618" s="105"/>
      <c r="BB618" s="105"/>
      <c r="BC618" s="105"/>
      <c r="BD618" s="105"/>
      <c r="BE618" s="105"/>
      <c r="BF618" s="105"/>
      <c r="BG618" s="105"/>
      <c r="BH618" s="105"/>
      <c r="BI618" s="105"/>
      <c r="BJ618" s="105"/>
      <c r="BK618" s="105"/>
      <c r="BL618" s="105"/>
      <c r="BM618" s="105"/>
      <c r="BN618" s="105"/>
      <c r="BO618" s="105"/>
      <c r="BP618" s="105"/>
      <c r="BQ618" s="105"/>
      <c r="BR618" s="105"/>
      <c r="BS618" s="105"/>
      <c r="BT618" s="105"/>
      <c r="BU618" s="105"/>
      <c r="BV618" s="105"/>
      <c r="BW618" s="105"/>
      <c r="BX618" s="105"/>
      <c r="BY618" s="105"/>
      <c r="BZ618" s="105"/>
      <c r="CA618" s="105"/>
      <c r="CB618" s="105"/>
      <c r="CC618" s="105"/>
      <c r="CD618" s="105"/>
      <c r="CE618" s="105"/>
      <c r="CF618" s="105"/>
      <c r="CG618" s="105"/>
      <c r="CH618" s="105"/>
      <c r="CI618" s="105"/>
      <c r="CJ618" s="105"/>
      <c r="CK618" s="105"/>
      <c r="CL618" s="105"/>
      <c r="CM618" s="105"/>
      <c r="CN618" s="105"/>
      <c r="CO618" s="105"/>
      <c r="CP618" s="105"/>
      <c r="CQ618" s="105"/>
      <c r="CR618" s="105"/>
      <c r="CS618" s="105"/>
      <c r="CT618" s="105"/>
      <c r="CU618" s="105"/>
      <c r="CV618" s="105"/>
      <c r="CW618" s="105"/>
      <c r="CX618" s="105"/>
      <c r="CY618" s="105"/>
      <c r="CZ618" s="105"/>
      <c r="DA618" s="105"/>
    </row>
    <row r="619">
      <c r="B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c r="AA619" s="105"/>
      <c r="AB619" s="105"/>
      <c r="AC619" s="105"/>
      <c r="AD619" s="105"/>
      <c r="AE619" s="105"/>
      <c r="AF619" s="105"/>
      <c r="AG619" s="105"/>
      <c r="AH619" s="105"/>
      <c r="AI619" s="105"/>
      <c r="AJ619" s="105"/>
      <c r="AK619" s="105"/>
      <c r="AL619" s="105"/>
      <c r="AM619" s="105"/>
      <c r="AN619" s="105"/>
      <c r="AO619" s="105"/>
      <c r="AP619" s="105"/>
      <c r="AQ619" s="105"/>
      <c r="AR619" s="105"/>
      <c r="AS619" s="105"/>
      <c r="AT619" s="105"/>
      <c r="AU619" s="105"/>
      <c r="AV619" s="105"/>
      <c r="AW619" s="105"/>
      <c r="AX619" s="105"/>
      <c r="AY619" s="105"/>
      <c r="AZ619" s="105"/>
      <c r="BA619" s="105"/>
      <c r="BB619" s="105"/>
      <c r="BC619" s="105"/>
      <c r="BD619" s="105"/>
      <c r="BE619" s="105"/>
      <c r="BF619" s="105"/>
      <c r="BG619" s="105"/>
      <c r="BH619" s="105"/>
      <c r="BI619" s="105"/>
      <c r="BJ619" s="105"/>
      <c r="BK619" s="105"/>
      <c r="BL619" s="105"/>
      <c r="BM619" s="105"/>
      <c r="BN619" s="105"/>
      <c r="BO619" s="105"/>
      <c r="BP619" s="105"/>
      <c r="BQ619" s="105"/>
      <c r="BR619" s="105"/>
      <c r="BS619" s="105"/>
      <c r="BT619" s="105"/>
      <c r="BU619" s="105"/>
      <c r="BV619" s="105"/>
      <c r="BW619" s="105"/>
      <c r="BX619" s="105"/>
      <c r="BY619" s="105"/>
      <c r="BZ619" s="105"/>
      <c r="CA619" s="105"/>
      <c r="CB619" s="105"/>
      <c r="CC619" s="105"/>
      <c r="CD619" s="105"/>
      <c r="CE619" s="105"/>
      <c r="CF619" s="105"/>
      <c r="CG619" s="105"/>
      <c r="CH619" s="105"/>
      <c r="CI619" s="105"/>
      <c r="CJ619" s="105"/>
      <c r="CK619" s="105"/>
      <c r="CL619" s="105"/>
      <c r="CM619" s="105"/>
      <c r="CN619" s="105"/>
      <c r="CO619" s="105"/>
      <c r="CP619" s="105"/>
      <c r="CQ619" s="105"/>
      <c r="CR619" s="105"/>
      <c r="CS619" s="105"/>
      <c r="CT619" s="105"/>
      <c r="CU619" s="105"/>
      <c r="CV619" s="105"/>
      <c r="CW619" s="105"/>
      <c r="CX619" s="105"/>
      <c r="CY619" s="105"/>
      <c r="CZ619" s="105"/>
      <c r="DA619" s="105"/>
    </row>
    <row r="620">
      <c r="B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c r="AA620" s="105"/>
      <c r="AB620" s="105"/>
      <c r="AC620" s="105"/>
      <c r="AD620" s="105"/>
      <c r="AE620" s="105"/>
      <c r="AF620" s="105"/>
      <c r="AG620" s="105"/>
      <c r="AH620" s="105"/>
      <c r="AI620" s="105"/>
      <c r="AJ620" s="105"/>
      <c r="AK620" s="105"/>
      <c r="AL620" s="105"/>
      <c r="AM620" s="105"/>
      <c r="AN620" s="105"/>
      <c r="AO620" s="105"/>
      <c r="AP620" s="105"/>
      <c r="AQ620" s="105"/>
      <c r="AR620" s="105"/>
      <c r="AS620" s="105"/>
      <c r="AT620" s="105"/>
      <c r="AU620" s="105"/>
      <c r="AV620" s="105"/>
      <c r="AW620" s="105"/>
      <c r="AX620" s="105"/>
      <c r="AY620" s="105"/>
      <c r="AZ620" s="105"/>
      <c r="BA620" s="105"/>
      <c r="BB620" s="105"/>
      <c r="BC620" s="105"/>
      <c r="BD620" s="105"/>
      <c r="BE620" s="105"/>
      <c r="BF620" s="105"/>
      <c r="BG620" s="105"/>
      <c r="BH620" s="105"/>
      <c r="BI620" s="105"/>
      <c r="BJ620" s="105"/>
      <c r="BK620" s="105"/>
      <c r="BL620" s="105"/>
      <c r="BM620" s="105"/>
      <c r="BN620" s="105"/>
      <c r="BO620" s="105"/>
      <c r="BP620" s="105"/>
      <c r="BQ620" s="105"/>
      <c r="BR620" s="105"/>
      <c r="BS620" s="105"/>
      <c r="BT620" s="105"/>
      <c r="BU620" s="105"/>
      <c r="BV620" s="105"/>
      <c r="BW620" s="105"/>
      <c r="BX620" s="105"/>
      <c r="BY620" s="105"/>
      <c r="BZ620" s="105"/>
      <c r="CA620" s="105"/>
      <c r="CB620" s="105"/>
      <c r="CC620" s="105"/>
      <c r="CD620" s="105"/>
      <c r="CE620" s="105"/>
      <c r="CF620" s="105"/>
      <c r="CG620" s="105"/>
      <c r="CH620" s="105"/>
      <c r="CI620" s="105"/>
      <c r="CJ620" s="105"/>
      <c r="CK620" s="105"/>
      <c r="CL620" s="105"/>
      <c r="CM620" s="105"/>
      <c r="CN620" s="105"/>
      <c r="CO620" s="105"/>
      <c r="CP620" s="105"/>
      <c r="CQ620" s="105"/>
      <c r="CR620" s="105"/>
      <c r="CS620" s="105"/>
      <c r="CT620" s="105"/>
      <c r="CU620" s="105"/>
      <c r="CV620" s="105"/>
      <c r="CW620" s="105"/>
      <c r="CX620" s="105"/>
      <c r="CY620" s="105"/>
      <c r="CZ620" s="105"/>
      <c r="DA620" s="105"/>
    </row>
    <row r="621">
      <c r="B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c r="AA621" s="105"/>
      <c r="AB621" s="105"/>
      <c r="AC621" s="105"/>
      <c r="AD621" s="105"/>
      <c r="AE621" s="105"/>
      <c r="AF621" s="105"/>
      <c r="AG621" s="105"/>
      <c r="AH621" s="105"/>
      <c r="AI621" s="105"/>
      <c r="AJ621" s="105"/>
      <c r="AK621" s="105"/>
      <c r="AL621" s="105"/>
      <c r="AM621" s="105"/>
      <c r="AN621" s="105"/>
      <c r="AO621" s="105"/>
      <c r="AP621" s="105"/>
      <c r="AQ621" s="105"/>
      <c r="AR621" s="105"/>
      <c r="AS621" s="105"/>
      <c r="AT621" s="105"/>
      <c r="AU621" s="105"/>
      <c r="AV621" s="105"/>
      <c r="AW621" s="105"/>
      <c r="AX621" s="105"/>
      <c r="AY621" s="105"/>
      <c r="AZ621" s="105"/>
      <c r="BA621" s="105"/>
      <c r="BB621" s="105"/>
      <c r="BC621" s="105"/>
      <c r="BD621" s="105"/>
      <c r="BE621" s="105"/>
      <c r="BF621" s="105"/>
      <c r="BG621" s="105"/>
      <c r="BH621" s="105"/>
      <c r="BI621" s="105"/>
      <c r="BJ621" s="105"/>
      <c r="BK621" s="105"/>
      <c r="BL621" s="105"/>
      <c r="BM621" s="105"/>
      <c r="BN621" s="105"/>
      <c r="BO621" s="105"/>
      <c r="BP621" s="105"/>
      <c r="BQ621" s="105"/>
      <c r="BR621" s="105"/>
      <c r="BS621" s="105"/>
      <c r="BT621" s="105"/>
      <c r="BU621" s="105"/>
      <c r="BV621" s="105"/>
      <c r="BW621" s="105"/>
      <c r="BX621" s="105"/>
      <c r="BY621" s="105"/>
      <c r="BZ621" s="105"/>
      <c r="CA621" s="105"/>
      <c r="CB621" s="105"/>
      <c r="CC621" s="105"/>
      <c r="CD621" s="105"/>
      <c r="CE621" s="105"/>
      <c r="CF621" s="105"/>
      <c r="CG621" s="105"/>
      <c r="CH621" s="105"/>
      <c r="CI621" s="105"/>
      <c r="CJ621" s="105"/>
      <c r="CK621" s="105"/>
      <c r="CL621" s="105"/>
      <c r="CM621" s="105"/>
      <c r="CN621" s="105"/>
      <c r="CO621" s="105"/>
      <c r="CP621" s="105"/>
      <c r="CQ621" s="105"/>
      <c r="CR621" s="105"/>
      <c r="CS621" s="105"/>
      <c r="CT621" s="105"/>
      <c r="CU621" s="105"/>
      <c r="CV621" s="105"/>
      <c r="CW621" s="105"/>
      <c r="CX621" s="105"/>
      <c r="CY621" s="105"/>
      <c r="CZ621" s="105"/>
      <c r="DA621" s="105"/>
    </row>
    <row r="622">
      <c r="B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c r="AA622" s="105"/>
      <c r="AB622" s="105"/>
      <c r="AC622" s="105"/>
      <c r="AD622" s="105"/>
      <c r="AE622" s="105"/>
      <c r="AF622" s="105"/>
      <c r="AG622" s="105"/>
      <c r="AH622" s="105"/>
      <c r="AI622" s="105"/>
      <c r="AJ622" s="105"/>
      <c r="AK622" s="105"/>
      <c r="AL622" s="105"/>
      <c r="AM622" s="105"/>
      <c r="AN622" s="105"/>
      <c r="AO622" s="105"/>
      <c r="AP622" s="105"/>
      <c r="AQ622" s="105"/>
      <c r="AR622" s="105"/>
      <c r="AS622" s="105"/>
      <c r="AT622" s="105"/>
      <c r="AU622" s="105"/>
      <c r="AV622" s="105"/>
      <c r="AW622" s="105"/>
      <c r="AX622" s="105"/>
      <c r="AY622" s="105"/>
      <c r="AZ622" s="105"/>
      <c r="BA622" s="105"/>
      <c r="BB622" s="105"/>
      <c r="BC622" s="105"/>
      <c r="BD622" s="105"/>
      <c r="BE622" s="105"/>
      <c r="BF622" s="105"/>
      <c r="BG622" s="105"/>
      <c r="BH622" s="105"/>
      <c r="BI622" s="105"/>
      <c r="BJ622" s="105"/>
      <c r="BK622" s="105"/>
      <c r="BL622" s="105"/>
      <c r="BM622" s="105"/>
      <c r="BN622" s="105"/>
      <c r="BO622" s="105"/>
      <c r="BP622" s="105"/>
      <c r="BQ622" s="105"/>
      <c r="BR622" s="105"/>
      <c r="BS622" s="105"/>
      <c r="BT622" s="105"/>
      <c r="BU622" s="105"/>
      <c r="BV622" s="105"/>
      <c r="BW622" s="105"/>
      <c r="BX622" s="105"/>
      <c r="BY622" s="105"/>
      <c r="BZ622" s="105"/>
      <c r="CA622" s="105"/>
      <c r="CB622" s="105"/>
      <c r="CC622" s="105"/>
      <c r="CD622" s="105"/>
      <c r="CE622" s="105"/>
      <c r="CF622" s="105"/>
      <c r="CG622" s="105"/>
      <c r="CH622" s="105"/>
      <c r="CI622" s="105"/>
      <c r="CJ622" s="105"/>
      <c r="CK622" s="105"/>
      <c r="CL622" s="105"/>
      <c r="CM622" s="105"/>
      <c r="CN622" s="105"/>
      <c r="CO622" s="105"/>
      <c r="CP622" s="105"/>
      <c r="CQ622" s="105"/>
      <c r="CR622" s="105"/>
      <c r="CS622" s="105"/>
      <c r="CT622" s="105"/>
      <c r="CU622" s="105"/>
      <c r="CV622" s="105"/>
      <c r="CW622" s="105"/>
      <c r="CX622" s="105"/>
      <c r="CY622" s="105"/>
      <c r="CZ622" s="105"/>
      <c r="DA622" s="105"/>
    </row>
    <row r="623">
      <c r="B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c r="AA623" s="105"/>
      <c r="AB623" s="105"/>
      <c r="AC623" s="105"/>
      <c r="AD623" s="105"/>
      <c r="AE623" s="105"/>
      <c r="AF623" s="105"/>
      <c r="AG623" s="105"/>
      <c r="AH623" s="105"/>
      <c r="AI623" s="105"/>
      <c r="AJ623" s="105"/>
      <c r="AK623" s="105"/>
      <c r="AL623" s="105"/>
      <c r="AM623" s="105"/>
      <c r="AN623" s="105"/>
      <c r="AO623" s="105"/>
      <c r="AP623" s="105"/>
      <c r="AQ623" s="105"/>
      <c r="AR623" s="105"/>
      <c r="AS623" s="105"/>
      <c r="AT623" s="105"/>
      <c r="AU623" s="105"/>
      <c r="AV623" s="105"/>
      <c r="AW623" s="105"/>
      <c r="AX623" s="105"/>
      <c r="AY623" s="105"/>
      <c r="AZ623" s="105"/>
      <c r="BA623" s="105"/>
      <c r="BB623" s="105"/>
      <c r="BC623" s="105"/>
      <c r="BD623" s="105"/>
      <c r="BE623" s="105"/>
      <c r="BF623" s="105"/>
      <c r="BG623" s="105"/>
      <c r="BH623" s="105"/>
      <c r="BI623" s="105"/>
      <c r="BJ623" s="105"/>
      <c r="BK623" s="105"/>
      <c r="BL623" s="105"/>
      <c r="BM623" s="105"/>
      <c r="BN623" s="105"/>
      <c r="BO623" s="105"/>
      <c r="BP623" s="105"/>
      <c r="BQ623" s="105"/>
      <c r="BR623" s="105"/>
      <c r="BS623" s="105"/>
      <c r="BT623" s="105"/>
      <c r="BU623" s="105"/>
      <c r="BV623" s="105"/>
      <c r="BW623" s="105"/>
      <c r="BX623" s="105"/>
      <c r="BY623" s="105"/>
      <c r="BZ623" s="105"/>
      <c r="CA623" s="105"/>
      <c r="CB623" s="105"/>
      <c r="CC623" s="105"/>
      <c r="CD623" s="105"/>
      <c r="CE623" s="105"/>
      <c r="CF623" s="105"/>
      <c r="CG623" s="105"/>
      <c r="CH623" s="105"/>
      <c r="CI623" s="105"/>
      <c r="CJ623" s="105"/>
      <c r="CK623" s="105"/>
      <c r="CL623" s="105"/>
      <c r="CM623" s="105"/>
      <c r="CN623" s="105"/>
      <c r="CO623" s="105"/>
      <c r="CP623" s="105"/>
      <c r="CQ623" s="105"/>
      <c r="CR623" s="105"/>
      <c r="CS623" s="105"/>
      <c r="CT623" s="105"/>
      <c r="CU623" s="105"/>
      <c r="CV623" s="105"/>
      <c r="CW623" s="105"/>
      <c r="CX623" s="105"/>
      <c r="CY623" s="105"/>
      <c r="CZ623" s="105"/>
      <c r="DA623" s="105"/>
    </row>
    <row r="624">
      <c r="B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c r="AA624" s="105"/>
      <c r="AB624" s="105"/>
      <c r="AC624" s="105"/>
      <c r="AD624" s="105"/>
      <c r="AE624" s="105"/>
      <c r="AF624" s="105"/>
      <c r="AG624" s="105"/>
      <c r="AH624" s="105"/>
      <c r="AI624" s="105"/>
      <c r="AJ624" s="105"/>
      <c r="AK624" s="105"/>
      <c r="AL624" s="105"/>
      <c r="AM624" s="105"/>
      <c r="AN624" s="105"/>
      <c r="AO624" s="105"/>
      <c r="AP624" s="105"/>
      <c r="AQ624" s="105"/>
      <c r="AR624" s="105"/>
      <c r="AS624" s="105"/>
      <c r="AT624" s="105"/>
      <c r="AU624" s="105"/>
      <c r="AV624" s="105"/>
      <c r="AW624" s="105"/>
      <c r="AX624" s="105"/>
      <c r="AY624" s="105"/>
      <c r="AZ624" s="105"/>
      <c r="BA624" s="105"/>
      <c r="BB624" s="105"/>
      <c r="BC624" s="105"/>
      <c r="BD624" s="105"/>
      <c r="BE624" s="105"/>
      <c r="BF624" s="105"/>
      <c r="BG624" s="105"/>
      <c r="BH624" s="105"/>
      <c r="BI624" s="105"/>
      <c r="BJ624" s="105"/>
      <c r="BK624" s="105"/>
      <c r="BL624" s="105"/>
      <c r="BM624" s="105"/>
      <c r="BN624" s="105"/>
      <c r="BO624" s="105"/>
      <c r="BP624" s="105"/>
      <c r="BQ624" s="105"/>
      <c r="BR624" s="105"/>
      <c r="BS624" s="105"/>
      <c r="BT624" s="105"/>
      <c r="BU624" s="105"/>
      <c r="BV624" s="105"/>
      <c r="BW624" s="105"/>
      <c r="BX624" s="105"/>
      <c r="BY624" s="105"/>
      <c r="BZ624" s="105"/>
      <c r="CA624" s="105"/>
      <c r="CB624" s="105"/>
      <c r="CC624" s="105"/>
      <c r="CD624" s="105"/>
      <c r="CE624" s="105"/>
      <c r="CF624" s="105"/>
      <c r="CG624" s="105"/>
      <c r="CH624" s="105"/>
      <c r="CI624" s="105"/>
      <c r="CJ624" s="105"/>
      <c r="CK624" s="105"/>
      <c r="CL624" s="105"/>
      <c r="CM624" s="105"/>
      <c r="CN624" s="105"/>
      <c r="CO624" s="105"/>
      <c r="CP624" s="105"/>
      <c r="CQ624" s="105"/>
      <c r="CR624" s="105"/>
      <c r="CS624" s="105"/>
      <c r="CT624" s="105"/>
      <c r="CU624" s="105"/>
      <c r="CV624" s="105"/>
      <c r="CW624" s="105"/>
      <c r="CX624" s="105"/>
      <c r="CY624" s="105"/>
      <c r="CZ624" s="105"/>
      <c r="DA624" s="105"/>
    </row>
    <row r="625">
      <c r="B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c r="AA625" s="105"/>
      <c r="AB625" s="105"/>
      <c r="AC625" s="105"/>
      <c r="AD625" s="105"/>
      <c r="AE625" s="105"/>
      <c r="AF625" s="105"/>
      <c r="AG625" s="105"/>
      <c r="AH625" s="105"/>
      <c r="AI625" s="105"/>
      <c r="AJ625" s="105"/>
      <c r="AK625" s="105"/>
      <c r="AL625" s="105"/>
      <c r="AM625" s="105"/>
      <c r="AN625" s="105"/>
      <c r="AO625" s="105"/>
      <c r="AP625" s="105"/>
      <c r="AQ625" s="105"/>
      <c r="AR625" s="105"/>
      <c r="AS625" s="105"/>
      <c r="AT625" s="105"/>
      <c r="AU625" s="105"/>
      <c r="AV625" s="105"/>
      <c r="AW625" s="105"/>
      <c r="AX625" s="105"/>
      <c r="AY625" s="105"/>
      <c r="AZ625" s="105"/>
      <c r="BA625" s="105"/>
      <c r="BB625" s="105"/>
      <c r="BC625" s="105"/>
      <c r="BD625" s="105"/>
      <c r="BE625" s="105"/>
      <c r="BF625" s="105"/>
      <c r="BG625" s="105"/>
      <c r="BH625" s="105"/>
      <c r="BI625" s="105"/>
      <c r="BJ625" s="105"/>
      <c r="BK625" s="105"/>
      <c r="BL625" s="105"/>
      <c r="BM625" s="105"/>
      <c r="BN625" s="105"/>
      <c r="BO625" s="105"/>
      <c r="BP625" s="105"/>
      <c r="BQ625" s="105"/>
      <c r="BR625" s="105"/>
      <c r="BS625" s="105"/>
      <c r="BT625" s="105"/>
      <c r="BU625" s="105"/>
      <c r="BV625" s="105"/>
      <c r="BW625" s="105"/>
      <c r="BX625" s="105"/>
      <c r="BY625" s="105"/>
      <c r="BZ625" s="105"/>
      <c r="CA625" s="105"/>
      <c r="CB625" s="105"/>
      <c r="CC625" s="105"/>
      <c r="CD625" s="105"/>
      <c r="CE625" s="105"/>
      <c r="CF625" s="105"/>
      <c r="CG625" s="105"/>
      <c r="CH625" s="105"/>
      <c r="CI625" s="105"/>
      <c r="CJ625" s="105"/>
      <c r="CK625" s="105"/>
      <c r="CL625" s="105"/>
      <c r="CM625" s="105"/>
      <c r="CN625" s="105"/>
      <c r="CO625" s="105"/>
      <c r="CP625" s="105"/>
      <c r="CQ625" s="105"/>
      <c r="CR625" s="105"/>
      <c r="CS625" s="105"/>
      <c r="CT625" s="105"/>
      <c r="CU625" s="105"/>
      <c r="CV625" s="105"/>
      <c r="CW625" s="105"/>
      <c r="CX625" s="105"/>
      <c r="CY625" s="105"/>
      <c r="CZ625" s="105"/>
      <c r="DA625" s="105"/>
    </row>
    <row r="626">
      <c r="B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c r="AA626" s="105"/>
      <c r="AB626" s="105"/>
      <c r="AC626" s="105"/>
      <c r="AD626" s="105"/>
      <c r="AE626" s="105"/>
      <c r="AF626" s="105"/>
      <c r="AG626" s="105"/>
      <c r="AH626" s="105"/>
      <c r="AI626" s="105"/>
      <c r="AJ626" s="105"/>
      <c r="AK626" s="105"/>
      <c r="AL626" s="105"/>
      <c r="AM626" s="105"/>
      <c r="AN626" s="105"/>
      <c r="AO626" s="105"/>
      <c r="AP626" s="105"/>
      <c r="AQ626" s="105"/>
      <c r="AR626" s="105"/>
      <c r="AS626" s="105"/>
      <c r="AT626" s="105"/>
      <c r="AU626" s="105"/>
      <c r="AV626" s="105"/>
      <c r="AW626" s="105"/>
      <c r="AX626" s="105"/>
      <c r="AY626" s="105"/>
      <c r="AZ626" s="105"/>
      <c r="BA626" s="105"/>
      <c r="BB626" s="105"/>
      <c r="BC626" s="105"/>
      <c r="BD626" s="105"/>
      <c r="BE626" s="105"/>
      <c r="BF626" s="105"/>
      <c r="BG626" s="105"/>
      <c r="BH626" s="105"/>
      <c r="BI626" s="105"/>
      <c r="BJ626" s="105"/>
      <c r="BK626" s="105"/>
      <c r="BL626" s="105"/>
      <c r="BM626" s="105"/>
      <c r="BN626" s="105"/>
      <c r="BO626" s="105"/>
      <c r="BP626" s="105"/>
      <c r="BQ626" s="105"/>
      <c r="BR626" s="105"/>
      <c r="BS626" s="105"/>
      <c r="BT626" s="105"/>
      <c r="BU626" s="105"/>
      <c r="BV626" s="105"/>
      <c r="BW626" s="105"/>
      <c r="BX626" s="105"/>
      <c r="BY626" s="105"/>
      <c r="BZ626" s="105"/>
      <c r="CA626" s="105"/>
      <c r="CB626" s="105"/>
      <c r="CC626" s="105"/>
      <c r="CD626" s="105"/>
      <c r="CE626" s="105"/>
      <c r="CF626" s="105"/>
      <c r="CG626" s="105"/>
      <c r="CH626" s="105"/>
      <c r="CI626" s="105"/>
      <c r="CJ626" s="105"/>
      <c r="CK626" s="105"/>
      <c r="CL626" s="105"/>
      <c r="CM626" s="105"/>
      <c r="CN626" s="105"/>
      <c r="CO626" s="105"/>
      <c r="CP626" s="105"/>
      <c r="CQ626" s="105"/>
      <c r="CR626" s="105"/>
      <c r="CS626" s="105"/>
      <c r="CT626" s="105"/>
      <c r="CU626" s="105"/>
      <c r="CV626" s="105"/>
      <c r="CW626" s="105"/>
      <c r="CX626" s="105"/>
      <c r="CY626" s="105"/>
      <c r="CZ626" s="105"/>
      <c r="DA626" s="105"/>
    </row>
    <row r="627">
      <c r="B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c r="AA627" s="105"/>
      <c r="AB627" s="105"/>
      <c r="AC627" s="105"/>
      <c r="AD627" s="105"/>
      <c r="AE627" s="105"/>
      <c r="AF627" s="105"/>
      <c r="AG627" s="105"/>
      <c r="AH627" s="105"/>
      <c r="AI627" s="105"/>
      <c r="AJ627" s="105"/>
      <c r="AK627" s="105"/>
      <c r="AL627" s="105"/>
      <c r="AM627" s="105"/>
      <c r="AN627" s="105"/>
      <c r="AO627" s="105"/>
      <c r="AP627" s="105"/>
      <c r="AQ627" s="105"/>
      <c r="AR627" s="105"/>
      <c r="AS627" s="105"/>
      <c r="AT627" s="105"/>
      <c r="AU627" s="105"/>
      <c r="AV627" s="105"/>
      <c r="AW627" s="105"/>
      <c r="AX627" s="105"/>
      <c r="AY627" s="105"/>
      <c r="AZ627" s="105"/>
      <c r="BA627" s="105"/>
      <c r="BB627" s="105"/>
      <c r="BC627" s="105"/>
      <c r="BD627" s="105"/>
      <c r="BE627" s="105"/>
      <c r="BF627" s="105"/>
      <c r="BG627" s="105"/>
      <c r="BH627" s="105"/>
      <c r="BI627" s="105"/>
      <c r="BJ627" s="105"/>
      <c r="BK627" s="105"/>
      <c r="BL627" s="105"/>
      <c r="BM627" s="105"/>
      <c r="BN627" s="105"/>
      <c r="BO627" s="105"/>
      <c r="BP627" s="105"/>
      <c r="BQ627" s="105"/>
      <c r="BR627" s="105"/>
      <c r="BS627" s="105"/>
      <c r="BT627" s="105"/>
      <c r="BU627" s="105"/>
      <c r="BV627" s="105"/>
      <c r="BW627" s="105"/>
      <c r="BX627" s="105"/>
      <c r="BY627" s="105"/>
      <c r="BZ627" s="105"/>
      <c r="CA627" s="105"/>
      <c r="CB627" s="105"/>
      <c r="CC627" s="105"/>
      <c r="CD627" s="105"/>
      <c r="CE627" s="105"/>
      <c r="CF627" s="105"/>
      <c r="CG627" s="105"/>
      <c r="CH627" s="105"/>
      <c r="CI627" s="105"/>
      <c r="CJ627" s="105"/>
      <c r="CK627" s="105"/>
      <c r="CL627" s="105"/>
      <c r="CM627" s="105"/>
      <c r="CN627" s="105"/>
      <c r="CO627" s="105"/>
      <c r="CP627" s="105"/>
      <c r="CQ627" s="105"/>
      <c r="CR627" s="105"/>
      <c r="CS627" s="105"/>
      <c r="CT627" s="105"/>
      <c r="CU627" s="105"/>
      <c r="CV627" s="105"/>
      <c r="CW627" s="105"/>
      <c r="CX627" s="105"/>
      <c r="CY627" s="105"/>
      <c r="CZ627" s="105"/>
      <c r="DA627" s="105"/>
    </row>
    <row r="628">
      <c r="B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c r="AA628" s="105"/>
      <c r="AB628" s="105"/>
      <c r="AC628" s="105"/>
      <c r="AD628" s="105"/>
      <c r="AE628" s="105"/>
      <c r="AF628" s="105"/>
      <c r="AG628" s="105"/>
      <c r="AH628" s="105"/>
      <c r="AI628" s="105"/>
      <c r="AJ628" s="105"/>
      <c r="AK628" s="105"/>
      <c r="AL628" s="105"/>
      <c r="AM628" s="105"/>
      <c r="AN628" s="105"/>
      <c r="AO628" s="105"/>
      <c r="AP628" s="105"/>
      <c r="AQ628" s="105"/>
      <c r="AR628" s="105"/>
      <c r="AS628" s="105"/>
      <c r="AT628" s="105"/>
      <c r="AU628" s="105"/>
      <c r="AV628" s="105"/>
      <c r="AW628" s="105"/>
      <c r="AX628" s="105"/>
      <c r="AY628" s="105"/>
      <c r="AZ628" s="105"/>
      <c r="BA628" s="105"/>
      <c r="BB628" s="105"/>
      <c r="BC628" s="105"/>
      <c r="BD628" s="105"/>
      <c r="BE628" s="105"/>
      <c r="BF628" s="105"/>
      <c r="BG628" s="105"/>
      <c r="BH628" s="105"/>
      <c r="BI628" s="105"/>
      <c r="BJ628" s="105"/>
      <c r="BK628" s="105"/>
      <c r="BL628" s="105"/>
      <c r="BM628" s="105"/>
      <c r="BN628" s="105"/>
      <c r="BO628" s="105"/>
      <c r="BP628" s="105"/>
      <c r="BQ628" s="105"/>
      <c r="BR628" s="105"/>
      <c r="BS628" s="105"/>
      <c r="BT628" s="105"/>
      <c r="BU628" s="105"/>
      <c r="BV628" s="105"/>
      <c r="BW628" s="105"/>
      <c r="BX628" s="105"/>
      <c r="BY628" s="105"/>
      <c r="BZ628" s="105"/>
      <c r="CA628" s="105"/>
      <c r="CB628" s="105"/>
      <c r="CC628" s="105"/>
      <c r="CD628" s="105"/>
      <c r="CE628" s="105"/>
      <c r="CF628" s="105"/>
      <c r="CG628" s="105"/>
      <c r="CH628" s="105"/>
      <c r="CI628" s="105"/>
      <c r="CJ628" s="105"/>
      <c r="CK628" s="105"/>
      <c r="CL628" s="105"/>
      <c r="CM628" s="105"/>
      <c r="CN628" s="105"/>
      <c r="CO628" s="105"/>
      <c r="CP628" s="105"/>
      <c r="CQ628" s="105"/>
      <c r="CR628" s="105"/>
      <c r="CS628" s="105"/>
      <c r="CT628" s="105"/>
      <c r="CU628" s="105"/>
      <c r="CV628" s="105"/>
      <c r="CW628" s="105"/>
      <c r="CX628" s="105"/>
      <c r="CY628" s="105"/>
      <c r="CZ628" s="105"/>
      <c r="DA628" s="105"/>
    </row>
    <row r="629">
      <c r="B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c r="AA629" s="105"/>
      <c r="AB629" s="105"/>
      <c r="AC629" s="105"/>
      <c r="AD629" s="105"/>
      <c r="AE629" s="105"/>
      <c r="AF629" s="105"/>
      <c r="AG629" s="105"/>
      <c r="AH629" s="105"/>
      <c r="AI629" s="105"/>
      <c r="AJ629" s="105"/>
      <c r="AK629" s="105"/>
      <c r="AL629" s="105"/>
      <c r="AM629" s="105"/>
      <c r="AN629" s="105"/>
      <c r="AO629" s="105"/>
      <c r="AP629" s="105"/>
      <c r="AQ629" s="105"/>
      <c r="AR629" s="105"/>
      <c r="AS629" s="105"/>
      <c r="AT629" s="105"/>
      <c r="AU629" s="105"/>
      <c r="AV629" s="105"/>
      <c r="AW629" s="105"/>
      <c r="AX629" s="105"/>
      <c r="AY629" s="105"/>
      <c r="AZ629" s="105"/>
      <c r="BA629" s="105"/>
      <c r="BB629" s="105"/>
      <c r="BC629" s="105"/>
      <c r="BD629" s="105"/>
      <c r="BE629" s="105"/>
      <c r="BF629" s="105"/>
      <c r="BG629" s="105"/>
      <c r="BH629" s="105"/>
      <c r="BI629" s="105"/>
      <c r="BJ629" s="105"/>
      <c r="BK629" s="105"/>
      <c r="BL629" s="105"/>
      <c r="BM629" s="105"/>
      <c r="BN629" s="105"/>
      <c r="BO629" s="105"/>
      <c r="BP629" s="105"/>
      <c r="BQ629" s="105"/>
      <c r="BR629" s="105"/>
      <c r="BS629" s="105"/>
      <c r="BT629" s="105"/>
      <c r="BU629" s="105"/>
      <c r="BV629" s="105"/>
      <c r="BW629" s="105"/>
      <c r="BX629" s="105"/>
      <c r="BY629" s="105"/>
      <c r="BZ629" s="105"/>
      <c r="CA629" s="105"/>
      <c r="CB629" s="105"/>
      <c r="CC629" s="105"/>
      <c r="CD629" s="105"/>
      <c r="CE629" s="105"/>
      <c r="CF629" s="105"/>
      <c r="CG629" s="105"/>
      <c r="CH629" s="105"/>
      <c r="CI629" s="105"/>
      <c r="CJ629" s="105"/>
      <c r="CK629" s="105"/>
      <c r="CL629" s="105"/>
      <c r="CM629" s="105"/>
      <c r="CN629" s="105"/>
      <c r="CO629" s="105"/>
      <c r="CP629" s="105"/>
      <c r="CQ629" s="105"/>
      <c r="CR629" s="105"/>
      <c r="CS629" s="105"/>
      <c r="CT629" s="105"/>
      <c r="CU629" s="105"/>
      <c r="CV629" s="105"/>
      <c r="CW629" s="105"/>
      <c r="CX629" s="105"/>
      <c r="CY629" s="105"/>
      <c r="CZ629" s="105"/>
      <c r="DA629" s="105"/>
    </row>
    <row r="630">
      <c r="B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c r="AA630" s="105"/>
      <c r="AB630" s="105"/>
      <c r="AC630" s="105"/>
      <c r="AD630" s="105"/>
      <c r="AE630" s="105"/>
      <c r="AF630" s="105"/>
      <c r="AG630" s="105"/>
      <c r="AH630" s="105"/>
      <c r="AI630" s="105"/>
      <c r="AJ630" s="105"/>
      <c r="AK630" s="105"/>
      <c r="AL630" s="105"/>
      <c r="AM630" s="105"/>
      <c r="AN630" s="105"/>
      <c r="AO630" s="105"/>
      <c r="AP630" s="105"/>
      <c r="AQ630" s="105"/>
      <c r="AR630" s="105"/>
      <c r="AS630" s="105"/>
      <c r="AT630" s="105"/>
      <c r="AU630" s="105"/>
      <c r="AV630" s="105"/>
      <c r="AW630" s="105"/>
      <c r="AX630" s="105"/>
      <c r="AY630" s="105"/>
      <c r="AZ630" s="105"/>
      <c r="BA630" s="105"/>
      <c r="BB630" s="105"/>
      <c r="BC630" s="105"/>
      <c r="BD630" s="105"/>
      <c r="BE630" s="105"/>
      <c r="BF630" s="105"/>
      <c r="BG630" s="105"/>
      <c r="BH630" s="105"/>
      <c r="BI630" s="105"/>
      <c r="BJ630" s="105"/>
      <c r="BK630" s="105"/>
      <c r="BL630" s="105"/>
      <c r="BM630" s="105"/>
      <c r="BN630" s="105"/>
      <c r="BO630" s="105"/>
      <c r="BP630" s="105"/>
      <c r="BQ630" s="105"/>
      <c r="BR630" s="105"/>
      <c r="BS630" s="105"/>
      <c r="BT630" s="105"/>
      <c r="BU630" s="105"/>
      <c r="BV630" s="105"/>
      <c r="BW630" s="105"/>
      <c r="BX630" s="105"/>
      <c r="BY630" s="105"/>
      <c r="BZ630" s="105"/>
      <c r="CA630" s="105"/>
      <c r="CB630" s="105"/>
      <c r="CC630" s="105"/>
      <c r="CD630" s="105"/>
      <c r="CE630" s="105"/>
      <c r="CF630" s="105"/>
      <c r="CG630" s="105"/>
      <c r="CH630" s="105"/>
      <c r="CI630" s="105"/>
      <c r="CJ630" s="105"/>
      <c r="CK630" s="105"/>
      <c r="CL630" s="105"/>
      <c r="CM630" s="105"/>
      <c r="CN630" s="105"/>
      <c r="CO630" s="105"/>
      <c r="CP630" s="105"/>
      <c r="CQ630" s="105"/>
      <c r="CR630" s="105"/>
      <c r="CS630" s="105"/>
      <c r="CT630" s="105"/>
      <c r="CU630" s="105"/>
      <c r="CV630" s="105"/>
      <c r="CW630" s="105"/>
      <c r="CX630" s="105"/>
      <c r="CY630" s="105"/>
      <c r="CZ630" s="105"/>
      <c r="DA630" s="105"/>
    </row>
    <row r="631">
      <c r="B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c r="AA631" s="105"/>
      <c r="AB631" s="105"/>
      <c r="AC631" s="105"/>
      <c r="AD631" s="105"/>
      <c r="AE631" s="105"/>
      <c r="AF631" s="105"/>
      <c r="AG631" s="105"/>
      <c r="AH631" s="105"/>
      <c r="AI631" s="105"/>
      <c r="AJ631" s="105"/>
      <c r="AK631" s="105"/>
      <c r="AL631" s="105"/>
      <c r="AM631" s="105"/>
      <c r="AN631" s="105"/>
      <c r="AO631" s="105"/>
      <c r="AP631" s="105"/>
      <c r="AQ631" s="105"/>
      <c r="AR631" s="105"/>
      <c r="AS631" s="105"/>
      <c r="AT631" s="105"/>
      <c r="AU631" s="105"/>
      <c r="AV631" s="105"/>
      <c r="AW631" s="105"/>
      <c r="AX631" s="105"/>
      <c r="AY631" s="105"/>
      <c r="AZ631" s="105"/>
      <c r="BA631" s="105"/>
      <c r="BB631" s="105"/>
      <c r="BC631" s="105"/>
      <c r="BD631" s="105"/>
      <c r="BE631" s="105"/>
      <c r="BF631" s="105"/>
      <c r="BG631" s="105"/>
      <c r="BH631" s="105"/>
      <c r="BI631" s="105"/>
      <c r="BJ631" s="105"/>
      <c r="BK631" s="105"/>
      <c r="BL631" s="105"/>
      <c r="BM631" s="105"/>
      <c r="BN631" s="105"/>
      <c r="BO631" s="105"/>
      <c r="BP631" s="105"/>
      <c r="BQ631" s="105"/>
      <c r="BR631" s="105"/>
      <c r="BS631" s="105"/>
      <c r="BT631" s="105"/>
      <c r="BU631" s="105"/>
      <c r="BV631" s="105"/>
      <c r="BW631" s="105"/>
      <c r="BX631" s="105"/>
      <c r="BY631" s="105"/>
      <c r="BZ631" s="105"/>
      <c r="CA631" s="105"/>
      <c r="CB631" s="105"/>
      <c r="CC631" s="105"/>
      <c r="CD631" s="105"/>
      <c r="CE631" s="105"/>
      <c r="CF631" s="105"/>
      <c r="CG631" s="105"/>
      <c r="CH631" s="105"/>
      <c r="CI631" s="105"/>
      <c r="CJ631" s="105"/>
      <c r="CK631" s="105"/>
      <c r="CL631" s="105"/>
      <c r="CM631" s="105"/>
      <c r="CN631" s="105"/>
      <c r="CO631" s="105"/>
      <c r="CP631" s="105"/>
      <c r="CQ631" s="105"/>
      <c r="CR631" s="105"/>
      <c r="CS631" s="105"/>
      <c r="CT631" s="105"/>
      <c r="CU631" s="105"/>
      <c r="CV631" s="105"/>
      <c r="CW631" s="105"/>
      <c r="CX631" s="105"/>
      <c r="CY631" s="105"/>
      <c r="CZ631" s="105"/>
      <c r="DA631" s="105"/>
    </row>
    <row r="632">
      <c r="B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c r="AA632" s="105"/>
      <c r="AB632" s="105"/>
      <c r="AC632" s="105"/>
      <c r="AD632" s="105"/>
      <c r="AE632" s="105"/>
      <c r="AF632" s="105"/>
      <c r="AG632" s="105"/>
      <c r="AH632" s="105"/>
      <c r="AI632" s="105"/>
      <c r="AJ632" s="105"/>
      <c r="AK632" s="105"/>
      <c r="AL632" s="105"/>
      <c r="AM632" s="105"/>
      <c r="AN632" s="105"/>
      <c r="AO632" s="105"/>
      <c r="AP632" s="105"/>
      <c r="AQ632" s="105"/>
      <c r="AR632" s="105"/>
      <c r="AS632" s="105"/>
      <c r="AT632" s="105"/>
      <c r="AU632" s="105"/>
      <c r="AV632" s="105"/>
      <c r="AW632" s="105"/>
      <c r="AX632" s="105"/>
      <c r="AY632" s="105"/>
      <c r="AZ632" s="105"/>
      <c r="BA632" s="105"/>
      <c r="BB632" s="105"/>
      <c r="BC632" s="105"/>
      <c r="BD632" s="105"/>
      <c r="BE632" s="105"/>
      <c r="BF632" s="105"/>
      <c r="BG632" s="105"/>
      <c r="BH632" s="105"/>
      <c r="BI632" s="105"/>
      <c r="BJ632" s="105"/>
      <c r="BK632" s="105"/>
      <c r="BL632" s="105"/>
      <c r="BM632" s="105"/>
      <c r="BN632" s="105"/>
      <c r="BO632" s="105"/>
      <c r="BP632" s="105"/>
      <c r="BQ632" s="105"/>
      <c r="BR632" s="105"/>
      <c r="BS632" s="105"/>
      <c r="BT632" s="105"/>
      <c r="BU632" s="105"/>
      <c r="BV632" s="105"/>
      <c r="BW632" s="105"/>
      <c r="BX632" s="105"/>
      <c r="BY632" s="105"/>
      <c r="BZ632" s="105"/>
      <c r="CA632" s="105"/>
      <c r="CB632" s="105"/>
      <c r="CC632" s="105"/>
      <c r="CD632" s="105"/>
      <c r="CE632" s="105"/>
      <c r="CF632" s="105"/>
      <c r="CG632" s="105"/>
      <c r="CH632" s="105"/>
      <c r="CI632" s="105"/>
      <c r="CJ632" s="105"/>
      <c r="CK632" s="105"/>
      <c r="CL632" s="105"/>
      <c r="CM632" s="105"/>
      <c r="CN632" s="105"/>
      <c r="CO632" s="105"/>
      <c r="CP632" s="105"/>
      <c r="CQ632" s="105"/>
      <c r="CR632" s="105"/>
      <c r="CS632" s="105"/>
      <c r="CT632" s="105"/>
      <c r="CU632" s="105"/>
      <c r="CV632" s="105"/>
      <c r="CW632" s="105"/>
      <c r="CX632" s="105"/>
      <c r="CY632" s="105"/>
      <c r="CZ632" s="105"/>
      <c r="DA632" s="105"/>
    </row>
    <row r="633">
      <c r="B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c r="AA633" s="105"/>
      <c r="AB633" s="105"/>
      <c r="AC633" s="105"/>
      <c r="AD633" s="105"/>
      <c r="AE633" s="105"/>
      <c r="AF633" s="105"/>
      <c r="AG633" s="105"/>
      <c r="AH633" s="105"/>
      <c r="AI633" s="105"/>
      <c r="AJ633" s="105"/>
      <c r="AK633" s="105"/>
      <c r="AL633" s="105"/>
      <c r="AM633" s="105"/>
      <c r="AN633" s="105"/>
      <c r="AO633" s="105"/>
      <c r="AP633" s="105"/>
      <c r="AQ633" s="105"/>
      <c r="AR633" s="105"/>
      <c r="AS633" s="105"/>
      <c r="AT633" s="105"/>
      <c r="AU633" s="105"/>
      <c r="AV633" s="105"/>
      <c r="AW633" s="105"/>
      <c r="AX633" s="105"/>
      <c r="AY633" s="105"/>
      <c r="AZ633" s="105"/>
      <c r="BA633" s="105"/>
      <c r="BB633" s="105"/>
      <c r="BC633" s="105"/>
      <c r="BD633" s="105"/>
      <c r="BE633" s="105"/>
      <c r="BF633" s="105"/>
      <c r="BG633" s="105"/>
      <c r="BH633" s="105"/>
      <c r="BI633" s="105"/>
      <c r="BJ633" s="105"/>
      <c r="BK633" s="105"/>
      <c r="BL633" s="105"/>
      <c r="BM633" s="105"/>
      <c r="BN633" s="105"/>
      <c r="BO633" s="105"/>
      <c r="BP633" s="105"/>
      <c r="BQ633" s="105"/>
      <c r="BR633" s="105"/>
      <c r="BS633" s="105"/>
      <c r="BT633" s="105"/>
      <c r="BU633" s="105"/>
      <c r="BV633" s="105"/>
      <c r="BW633" s="105"/>
      <c r="BX633" s="105"/>
      <c r="BY633" s="105"/>
      <c r="BZ633" s="105"/>
      <c r="CA633" s="105"/>
      <c r="CB633" s="105"/>
      <c r="CC633" s="105"/>
      <c r="CD633" s="105"/>
      <c r="CE633" s="105"/>
      <c r="CF633" s="105"/>
      <c r="CG633" s="105"/>
      <c r="CH633" s="105"/>
      <c r="CI633" s="105"/>
      <c r="CJ633" s="105"/>
      <c r="CK633" s="105"/>
      <c r="CL633" s="105"/>
      <c r="CM633" s="105"/>
      <c r="CN633" s="105"/>
      <c r="CO633" s="105"/>
      <c r="CP633" s="105"/>
      <c r="CQ633" s="105"/>
      <c r="CR633" s="105"/>
      <c r="CS633" s="105"/>
      <c r="CT633" s="105"/>
      <c r="CU633" s="105"/>
      <c r="CV633" s="105"/>
      <c r="CW633" s="105"/>
      <c r="CX633" s="105"/>
      <c r="CY633" s="105"/>
      <c r="CZ633" s="105"/>
      <c r="DA633" s="105"/>
    </row>
    <row r="634">
      <c r="B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c r="AA634" s="105"/>
      <c r="AB634" s="105"/>
      <c r="AC634" s="105"/>
      <c r="AD634" s="105"/>
      <c r="AE634" s="105"/>
      <c r="AF634" s="105"/>
      <c r="AG634" s="105"/>
      <c r="AH634" s="105"/>
      <c r="AI634" s="105"/>
      <c r="AJ634" s="105"/>
      <c r="AK634" s="105"/>
      <c r="AL634" s="105"/>
      <c r="AM634" s="105"/>
      <c r="AN634" s="105"/>
      <c r="AO634" s="105"/>
      <c r="AP634" s="105"/>
      <c r="AQ634" s="105"/>
      <c r="AR634" s="105"/>
      <c r="AS634" s="105"/>
      <c r="AT634" s="105"/>
      <c r="AU634" s="105"/>
      <c r="AV634" s="105"/>
      <c r="AW634" s="105"/>
      <c r="AX634" s="105"/>
      <c r="AY634" s="105"/>
      <c r="AZ634" s="105"/>
      <c r="BA634" s="105"/>
      <c r="BB634" s="105"/>
      <c r="BC634" s="105"/>
      <c r="BD634" s="105"/>
      <c r="BE634" s="105"/>
      <c r="BF634" s="105"/>
      <c r="BG634" s="105"/>
      <c r="BH634" s="105"/>
      <c r="BI634" s="105"/>
      <c r="BJ634" s="105"/>
      <c r="BK634" s="105"/>
      <c r="BL634" s="105"/>
      <c r="BM634" s="105"/>
      <c r="BN634" s="105"/>
      <c r="BO634" s="105"/>
      <c r="BP634" s="105"/>
      <c r="BQ634" s="105"/>
      <c r="BR634" s="105"/>
      <c r="BS634" s="105"/>
      <c r="BT634" s="105"/>
      <c r="BU634" s="105"/>
      <c r="BV634" s="105"/>
      <c r="BW634" s="105"/>
      <c r="BX634" s="105"/>
      <c r="BY634" s="105"/>
      <c r="BZ634" s="105"/>
      <c r="CA634" s="105"/>
      <c r="CB634" s="105"/>
      <c r="CC634" s="105"/>
      <c r="CD634" s="105"/>
      <c r="CE634" s="105"/>
      <c r="CF634" s="105"/>
      <c r="CG634" s="105"/>
      <c r="CH634" s="105"/>
      <c r="CI634" s="105"/>
      <c r="CJ634" s="105"/>
      <c r="CK634" s="105"/>
      <c r="CL634" s="105"/>
      <c r="CM634" s="105"/>
      <c r="CN634" s="105"/>
      <c r="CO634" s="105"/>
      <c r="CP634" s="105"/>
      <c r="CQ634" s="105"/>
      <c r="CR634" s="105"/>
      <c r="CS634" s="105"/>
      <c r="CT634" s="105"/>
      <c r="CU634" s="105"/>
      <c r="CV634" s="105"/>
      <c r="CW634" s="105"/>
      <c r="CX634" s="105"/>
      <c r="CY634" s="105"/>
      <c r="CZ634" s="105"/>
      <c r="DA634" s="105"/>
    </row>
    <row r="635">
      <c r="B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c r="AA635" s="105"/>
      <c r="AB635" s="105"/>
      <c r="AC635" s="105"/>
      <c r="AD635" s="105"/>
      <c r="AE635" s="105"/>
      <c r="AF635" s="105"/>
      <c r="AG635" s="105"/>
      <c r="AH635" s="105"/>
      <c r="AI635" s="105"/>
      <c r="AJ635" s="105"/>
      <c r="AK635" s="105"/>
      <c r="AL635" s="105"/>
      <c r="AM635" s="105"/>
      <c r="AN635" s="105"/>
      <c r="AO635" s="105"/>
      <c r="AP635" s="105"/>
      <c r="AQ635" s="105"/>
      <c r="AR635" s="105"/>
      <c r="AS635" s="105"/>
      <c r="AT635" s="105"/>
      <c r="AU635" s="105"/>
      <c r="AV635" s="105"/>
      <c r="AW635" s="105"/>
      <c r="AX635" s="105"/>
      <c r="AY635" s="105"/>
      <c r="AZ635" s="105"/>
      <c r="BA635" s="105"/>
      <c r="BB635" s="105"/>
      <c r="BC635" s="105"/>
      <c r="BD635" s="105"/>
      <c r="BE635" s="105"/>
      <c r="BF635" s="105"/>
      <c r="BG635" s="105"/>
      <c r="BH635" s="105"/>
      <c r="BI635" s="105"/>
      <c r="BJ635" s="105"/>
      <c r="BK635" s="105"/>
      <c r="BL635" s="105"/>
      <c r="BM635" s="105"/>
      <c r="BN635" s="105"/>
      <c r="BO635" s="105"/>
      <c r="BP635" s="105"/>
      <c r="BQ635" s="105"/>
      <c r="BR635" s="105"/>
      <c r="BS635" s="105"/>
      <c r="BT635" s="105"/>
      <c r="BU635" s="105"/>
      <c r="BV635" s="105"/>
      <c r="BW635" s="105"/>
      <c r="BX635" s="105"/>
      <c r="BY635" s="105"/>
      <c r="BZ635" s="105"/>
      <c r="CA635" s="105"/>
      <c r="CB635" s="105"/>
      <c r="CC635" s="105"/>
      <c r="CD635" s="105"/>
      <c r="CE635" s="105"/>
      <c r="CF635" s="105"/>
      <c r="CG635" s="105"/>
      <c r="CH635" s="105"/>
      <c r="CI635" s="105"/>
      <c r="CJ635" s="105"/>
      <c r="CK635" s="105"/>
      <c r="CL635" s="105"/>
      <c r="CM635" s="105"/>
      <c r="CN635" s="105"/>
      <c r="CO635" s="105"/>
      <c r="CP635" s="105"/>
      <c r="CQ635" s="105"/>
      <c r="CR635" s="105"/>
      <c r="CS635" s="105"/>
      <c r="CT635" s="105"/>
      <c r="CU635" s="105"/>
      <c r="CV635" s="105"/>
      <c r="CW635" s="105"/>
      <c r="CX635" s="105"/>
      <c r="CY635" s="105"/>
      <c r="CZ635" s="105"/>
      <c r="DA635" s="105"/>
    </row>
    <row r="636">
      <c r="B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c r="AA636" s="105"/>
      <c r="AB636" s="105"/>
      <c r="AC636" s="105"/>
      <c r="AD636" s="105"/>
      <c r="AE636" s="105"/>
      <c r="AF636" s="105"/>
      <c r="AG636" s="105"/>
      <c r="AH636" s="105"/>
      <c r="AI636" s="105"/>
      <c r="AJ636" s="105"/>
      <c r="AK636" s="105"/>
      <c r="AL636" s="105"/>
      <c r="AM636" s="105"/>
      <c r="AN636" s="105"/>
      <c r="AO636" s="105"/>
      <c r="AP636" s="105"/>
      <c r="AQ636" s="105"/>
      <c r="AR636" s="105"/>
      <c r="AS636" s="105"/>
      <c r="AT636" s="105"/>
      <c r="AU636" s="105"/>
      <c r="AV636" s="105"/>
      <c r="AW636" s="105"/>
      <c r="AX636" s="105"/>
      <c r="AY636" s="105"/>
      <c r="AZ636" s="105"/>
      <c r="BA636" s="105"/>
      <c r="BB636" s="105"/>
      <c r="BC636" s="105"/>
      <c r="BD636" s="105"/>
      <c r="BE636" s="105"/>
      <c r="BF636" s="105"/>
      <c r="BG636" s="105"/>
      <c r="BH636" s="105"/>
      <c r="BI636" s="105"/>
      <c r="BJ636" s="105"/>
      <c r="BK636" s="105"/>
      <c r="BL636" s="105"/>
      <c r="BM636" s="105"/>
      <c r="BN636" s="105"/>
      <c r="BO636" s="105"/>
      <c r="BP636" s="105"/>
      <c r="BQ636" s="105"/>
      <c r="BR636" s="105"/>
      <c r="BS636" s="105"/>
      <c r="BT636" s="105"/>
      <c r="BU636" s="105"/>
      <c r="BV636" s="105"/>
      <c r="BW636" s="105"/>
      <c r="BX636" s="105"/>
      <c r="BY636" s="105"/>
      <c r="BZ636" s="105"/>
      <c r="CA636" s="105"/>
      <c r="CB636" s="105"/>
      <c r="CC636" s="105"/>
      <c r="CD636" s="105"/>
      <c r="CE636" s="105"/>
      <c r="CF636" s="105"/>
      <c r="CG636" s="105"/>
      <c r="CH636" s="105"/>
      <c r="CI636" s="105"/>
      <c r="CJ636" s="105"/>
      <c r="CK636" s="105"/>
      <c r="CL636" s="105"/>
      <c r="CM636" s="105"/>
      <c r="CN636" s="105"/>
      <c r="CO636" s="105"/>
      <c r="CP636" s="105"/>
      <c r="CQ636" s="105"/>
      <c r="CR636" s="105"/>
      <c r="CS636" s="105"/>
      <c r="CT636" s="105"/>
      <c r="CU636" s="105"/>
      <c r="CV636" s="105"/>
      <c r="CW636" s="105"/>
      <c r="CX636" s="105"/>
      <c r="CY636" s="105"/>
      <c r="CZ636" s="105"/>
      <c r="DA636" s="105"/>
    </row>
    <row r="637">
      <c r="B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c r="AA637" s="105"/>
      <c r="AB637" s="105"/>
      <c r="AC637" s="105"/>
      <c r="AD637" s="105"/>
      <c r="AE637" s="105"/>
      <c r="AF637" s="105"/>
      <c r="AG637" s="105"/>
      <c r="AH637" s="105"/>
      <c r="AI637" s="105"/>
      <c r="AJ637" s="105"/>
      <c r="AK637" s="105"/>
      <c r="AL637" s="105"/>
      <c r="AM637" s="105"/>
      <c r="AN637" s="105"/>
      <c r="AO637" s="105"/>
      <c r="AP637" s="105"/>
      <c r="AQ637" s="105"/>
      <c r="AR637" s="105"/>
      <c r="AS637" s="105"/>
      <c r="AT637" s="105"/>
      <c r="AU637" s="105"/>
      <c r="AV637" s="105"/>
      <c r="AW637" s="105"/>
      <c r="AX637" s="105"/>
      <c r="AY637" s="105"/>
      <c r="AZ637" s="105"/>
      <c r="BA637" s="105"/>
      <c r="BB637" s="105"/>
      <c r="BC637" s="105"/>
      <c r="BD637" s="105"/>
      <c r="BE637" s="105"/>
      <c r="BF637" s="105"/>
      <c r="BG637" s="105"/>
      <c r="BH637" s="105"/>
      <c r="BI637" s="105"/>
      <c r="BJ637" s="105"/>
      <c r="BK637" s="105"/>
      <c r="BL637" s="105"/>
      <c r="BM637" s="105"/>
      <c r="BN637" s="105"/>
      <c r="BO637" s="105"/>
      <c r="BP637" s="105"/>
      <c r="BQ637" s="105"/>
      <c r="BR637" s="105"/>
      <c r="BS637" s="105"/>
      <c r="BT637" s="105"/>
      <c r="BU637" s="105"/>
      <c r="BV637" s="105"/>
      <c r="BW637" s="105"/>
      <c r="BX637" s="105"/>
      <c r="BY637" s="105"/>
      <c r="BZ637" s="105"/>
      <c r="CA637" s="105"/>
      <c r="CB637" s="105"/>
      <c r="CC637" s="105"/>
      <c r="CD637" s="105"/>
      <c r="CE637" s="105"/>
      <c r="CF637" s="105"/>
      <c r="CG637" s="105"/>
      <c r="CH637" s="105"/>
      <c r="CI637" s="105"/>
      <c r="CJ637" s="105"/>
      <c r="CK637" s="105"/>
      <c r="CL637" s="105"/>
      <c r="CM637" s="105"/>
      <c r="CN637" s="105"/>
      <c r="CO637" s="105"/>
      <c r="CP637" s="105"/>
      <c r="CQ637" s="105"/>
      <c r="CR637" s="105"/>
      <c r="CS637" s="105"/>
      <c r="CT637" s="105"/>
      <c r="CU637" s="105"/>
      <c r="CV637" s="105"/>
      <c r="CW637" s="105"/>
      <c r="CX637" s="105"/>
      <c r="CY637" s="105"/>
      <c r="CZ637" s="105"/>
      <c r="DA637" s="105"/>
    </row>
    <row r="638">
      <c r="B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c r="AA638" s="105"/>
      <c r="AB638" s="105"/>
      <c r="AC638" s="105"/>
      <c r="AD638" s="105"/>
      <c r="AE638" s="105"/>
      <c r="AF638" s="105"/>
      <c r="AG638" s="105"/>
      <c r="AH638" s="105"/>
      <c r="AI638" s="105"/>
      <c r="AJ638" s="105"/>
      <c r="AK638" s="105"/>
      <c r="AL638" s="105"/>
      <c r="AM638" s="105"/>
      <c r="AN638" s="105"/>
      <c r="AO638" s="105"/>
      <c r="AP638" s="105"/>
      <c r="AQ638" s="105"/>
      <c r="AR638" s="105"/>
      <c r="AS638" s="105"/>
      <c r="AT638" s="105"/>
      <c r="AU638" s="105"/>
      <c r="AV638" s="105"/>
      <c r="AW638" s="105"/>
      <c r="AX638" s="105"/>
      <c r="AY638" s="105"/>
      <c r="AZ638" s="105"/>
      <c r="BA638" s="105"/>
      <c r="BB638" s="105"/>
      <c r="BC638" s="105"/>
      <c r="BD638" s="105"/>
      <c r="BE638" s="105"/>
      <c r="BF638" s="105"/>
      <c r="BG638" s="105"/>
      <c r="BH638" s="105"/>
      <c r="BI638" s="105"/>
      <c r="BJ638" s="105"/>
      <c r="BK638" s="105"/>
      <c r="BL638" s="105"/>
      <c r="BM638" s="105"/>
      <c r="BN638" s="105"/>
      <c r="BO638" s="105"/>
      <c r="BP638" s="105"/>
      <c r="BQ638" s="105"/>
      <c r="BR638" s="105"/>
      <c r="BS638" s="105"/>
      <c r="BT638" s="105"/>
      <c r="BU638" s="105"/>
      <c r="BV638" s="105"/>
      <c r="BW638" s="105"/>
      <c r="BX638" s="105"/>
      <c r="BY638" s="105"/>
      <c r="BZ638" s="105"/>
      <c r="CA638" s="105"/>
      <c r="CB638" s="105"/>
      <c r="CC638" s="105"/>
      <c r="CD638" s="105"/>
      <c r="CE638" s="105"/>
      <c r="CF638" s="105"/>
      <c r="CG638" s="105"/>
      <c r="CH638" s="105"/>
      <c r="CI638" s="105"/>
      <c r="CJ638" s="105"/>
      <c r="CK638" s="105"/>
      <c r="CL638" s="105"/>
      <c r="CM638" s="105"/>
      <c r="CN638" s="105"/>
      <c r="CO638" s="105"/>
      <c r="CP638" s="105"/>
      <c r="CQ638" s="105"/>
      <c r="CR638" s="105"/>
      <c r="CS638" s="105"/>
      <c r="CT638" s="105"/>
      <c r="CU638" s="105"/>
      <c r="CV638" s="105"/>
      <c r="CW638" s="105"/>
      <c r="CX638" s="105"/>
      <c r="CY638" s="105"/>
      <c r="CZ638" s="105"/>
      <c r="DA638" s="105"/>
    </row>
    <row r="639">
      <c r="B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c r="AA639" s="105"/>
      <c r="AB639" s="105"/>
      <c r="AC639" s="105"/>
      <c r="AD639" s="105"/>
      <c r="AE639" s="105"/>
      <c r="AF639" s="105"/>
      <c r="AG639" s="105"/>
      <c r="AH639" s="105"/>
      <c r="AI639" s="105"/>
      <c r="AJ639" s="105"/>
      <c r="AK639" s="105"/>
      <c r="AL639" s="105"/>
      <c r="AM639" s="105"/>
      <c r="AN639" s="105"/>
      <c r="AO639" s="105"/>
      <c r="AP639" s="105"/>
      <c r="AQ639" s="105"/>
      <c r="AR639" s="105"/>
      <c r="AS639" s="105"/>
      <c r="AT639" s="105"/>
      <c r="AU639" s="105"/>
      <c r="AV639" s="105"/>
      <c r="AW639" s="105"/>
      <c r="AX639" s="105"/>
      <c r="AY639" s="105"/>
      <c r="AZ639" s="105"/>
      <c r="BA639" s="105"/>
      <c r="BB639" s="105"/>
      <c r="BC639" s="105"/>
      <c r="BD639" s="105"/>
      <c r="BE639" s="105"/>
      <c r="BF639" s="105"/>
      <c r="BG639" s="105"/>
      <c r="BH639" s="105"/>
      <c r="BI639" s="105"/>
      <c r="BJ639" s="105"/>
      <c r="BK639" s="105"/>
      <c r="BL639" s="105"/>
      <c r="BM639" s="105"/>
      <c r="BN639" s="105"/>
      <c r="BO639" s="105"/>
      <c r="BP639" s="105"/>
      <c r="BQ639" s="105"/>
      <c r="BR639" s="105"/>
      <c r="BS639" s="105"/>
      <c r="BT639" s="105"/>
      <c r="BU639" s="105"/>
      <c r="BV639" s="105"/>
      <c r="BW639" s="105"/>
      <c r="BX639" s="105"/>
      <c r="BY639" s="105"/>
      <c r="BZ639" s="105"/>
      <c r="CA639" s="105"/>
      <c r="CB639" s="105"/>
      <c r="CC639" s="105"/>
      <c r="CD639" s="105"/>
      <c r="CE639" s="105"/>
      <c r="CF639" s="105"/>
      <c r="CG639" s="105"/>
      <c r="CH639" s="105"/>
      <c r="CI639" s="105"/>
      <c r="CJ639" s="105"/>
      <c r="CK639" s="105"/>
      <c r="CL639" s="105"/>
      <c r="CM639" s="105"/>
      <c r="CN639" s="105"/>
      <c r="CO639" s="105"/>
      <c r="CP639" s="105"/>
      <c r="CQ639" s="105"/>
      <c r="CR639" s="105"/>
      <c r="CS639" s="105"/>
      <c r="CT639" s="105"/>
      <c r="CU639" s="105"/>
      <c r="CV639" s="105"/>
      <c r="CW639" s="105"/>
      <c r="CX639" s="105"/>
      <c r="CY639" s="105"/>
      <c r="CZ639" s="105"/>
      <c r="DA639" s="105"/>
    </row>
    <row r="640">
      <c r="B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c r="AA640" s="105"/>
      <c r="AB640" s="105"/>
      <c r="AC640" s="105"/>
      <c r="AD640" s="105"/>
      <c r="AE640" s="105"/>
      <c r="AF640" s="105"/>
      <c r="AG640" s="105"/>
      <c r="AH640" s="105"/>
      <c r="AI640" s="105"/>
      <c r="AJ640" s="105"/>
      <c r="AK640" s="105"/>
      <c r="AL640" s="105"/>
      <c r="AM640" s="105"/>
      <c r="AN640" s="105"/>
      <c r="AO640" s="105"/>
      <c r="AP640" s="105"/>
      <c r="AQ640" s="105"/>
      <c r="AR640" s="105"/>
      <c r="AS640" s="105"/>
      <c r="AT640" s="105"/>
      <c r="AU640" s="105"/>
      <c r="AV640" s="105"/>
      <c r="AW640" s="105"/>
      <c r="AX640" s="105"/>
      <c r="AY640" s="105"/>
      <c r="AZ640" s="105"/>
      <c r="BA640" s="105"/>
      <c r="BB640" s="105"/>
      <c r="BC640" s="105"/>
      <c r="BD640" s="105"/>
      <c r="BE640" s="105"/>
      <c r="BF640" s="105"/>
      <c r="BG640" s="105"/>
      <c r="BH640" s="105"/>
      <c r="BI640" s="105"/>
      <c r="BJ640" s="105"/>
      <c r="BK640" s="105"/>
      <c r="BL640" s="105"/>
      <c r="BM640" s="105"/>
      <c r="BN640" s="105"/>
      <c r="BO640" s="105"/>
      <c r="BP640" s="105"/>
      <c r="BQ640" s="105"/>
      <c r="BR640" s="105"/>
      <c r="BS640" s="105"/>
      <c r="BT640" s="105"/>
      <c r="BU640" s="105"/>
      <c r="BV640" s="105"/>
      <c r="BW640" s="105"/>
      <c r="BX640" s="105"/>
      <c r="BY640" s="105"/>
      <c r="BZ640" s="105"/>
      <c r="CA640" s="105"/>
      <c r="CB640" s="105"/>
      <c r="CC640" s="105"/>
      <c r="CD640" s="105"/>
      <c r="CE640" s="105"/>
      <c r="CF640" s="105"/>
      <c r="CG640" s="105"/>
      <c r="CH640" s="105"/>
      <c r="CI640" s="105"/>
      <c r="CJ640" s="105"/>
      <c r="CK640" s="105"/>
      <c r="CL640" s="105"/>
      <c r="CM640" s="105"/>
      <c r="CN640" s="105"/>
      <c r="CO640" s="105"/>
      <c r="CP640" s="105"/>
      <c r="CQ640" s="105"/>
      <c r="CR640" s="105"/>
      <c r="CS640" s="105"/>
      <c r="CT640" s="105"/>
      <c r="CU640" s="105"/>
      <c r="CV640" s="105"/>
      <c r="CW640" s="105"/>
      <c r="CX640" s="105"/>
      <c r="CY640" s="105"/>
      <c r="CZ640" s="105"/>
      <c r="DA640" s="105"/>
    </row>
    <row r="641">
      <c r="B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c r="AA641" s="105"/>
      <c r="AB641" s="105"/>
      <c r="AC641" s="105"/>
      <c r="AD641" s="105"/>
      <c r="AE641" s="105"/>
      <c r="AF641" s="105"/>
      <c r="AG641" s="105"/>
      <c r="AH641" s="105"/>
      <c r="AI641" s="105"/>
      <c r="AJ641" s="105"/>
      <c r="AK641" s="105"/>
      <c r="AL641" s="105"/>
      <c r="AM641" s="105"/>
      <c r="AN641" s="105"/>
      <c r="AO641" s="105"/>
      <c r="AP641" s="105"/>
      <c r="AQ641" s="105"/>
      <c r="AR641" s="105"/>
      <c r="AS641" s="105"/>
      <c r="AT641" s="105"/>
      <c r="AU641" s="105"/>
      <c r="AV641" s="105"/>
      <c r="AW641" s="105"/>
      <c r="AX641" s="105"/>
      <c r="AY641" s="105"/>
      <c r="AZ641" s="105"/>
      <c r="BA641" s="105"/>
      <c r="BB641" s="105"/>
      <c r="BC641" s="105"/>
      <c r="BD641" s="105"/>
      <c r="BE641" s="105"/>
      <c r="BF641" s="105"/>
      <c r="BG641" s="105"/>
      <c r="BH641" s="105"/>
      <c r="BI641" s="105"/>
      <c r="BJ641" s="105"/>
      <c r="BK641" s="105"/>
      <c r="BL641" s="105"/>
      <c r="BM641" s="105"/>
      <c r="BN641" s="105"/>
      <c r="BO641" s="105"/>
      <c r="BP641" s="105"/>
      <c r="BQ641" s="105"/>
      <c r="BR641" s="105"/>
      <c r="BS641" s="105"/>
      <c r="BT641" s="105"/>
      <c r="BU641" s="105"/>
      <c r="BV641" s="105"/>
      <c r="BW641" s="105"/>
      <c r="BX641" s="105"/>
      <c r="BY641" s="105"/>
      <c r="BZ641" s="105"/>
      <c r="CA641" s="105"/>
      <c r="CB641" s="105"/>
      <c r="CC641" s="105"/>
      <c r="CD641" s="105"/>
      <c r="CE641" s="105"/>
      <c r="CF641" s="105"/>
      <c r="CG641" s="105"/>
      <c r="CH641" s="105"/>
      <c r="CI641" s="105"/>
      <c r="CJ641" s="105"/>
      <c r="CK641" s="105"/>
      <c r="CL641" s="105"/>
      <c r="CM641" s="105"/>
      <c r="CN641" s="105"/>
      <c r="CO641" s="105"/>
      <c r="CP641" s="105"/>
      <c r="CQ641" s="105"/>
      <c r="CR641" s="105"/>
      <c r="CS641" s="105"/>
      <c r="CT641" s="105"/>
      <c r="CU641" s="105"/>
      <c r="CV641" s="105"/>
      <c r="CW641" s="105"/>
      <c r="CX641" s="105"/>
      <c r="CY641" s="105"/>
      <c r="CZ641" s="105"/>
      <c r="DA641" s="105"/>
    </row>
    <row r="642">
      <c r="B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c r="AA642" s="105"/>
      <c r="AB642" s="105"/>
      <c r="AC642" s="105"/>
      <c r="AD642" s="105"/>
      <c r="AE642" s="105"/>
      <c r="AF642" s="105"/>
      <c r="AG642" s="105"/>
      <c r="AH642" s="105"/>
      <c r="AI642" s="105"/>
      <c r="AJ642" s="105"/>
      <c r="AK642" s="105"/>
      <c r="AL642" s="105"/>
      <c r="AM642" s="105"/>
      <c r="AN642" s="105"/>
      <c r="AO642" s="105"/>
      <c r="AP642" s="105"/>
      <c r="AQ642" s="105"/>
      <c r="AR642" s="105"/>
      <c r="AS642" s="105"/>
      <c r="AT642" s="105"/>
      <c r="AU642" s="105"/>
      <c r="AV642" s="105"/>
      <c r="AW642" s="105"/>
      <c r="AX642" s="105"/>
      <c r="AY642" s="105"/>
      <c r="AZ642" s="105"/>
      <c r="BA642" s="105"/>
      <c r="BB642" s="105"/>
      <c r="BC642" s="105"/>
      <c r="BD642" s="105"/>
      <c r="BE642" s="105"/>
      <c r="BF642" s="105"/>
      <c r="BG642" s="105"/>
      <c r="BH642" s="105"/>
      <c r="BI642" s="105"/>
      <c r="BJ642" s="105"/>
      <c r="BK642" s="105"/>
      <c r="BL642" s="105"/>
      <c r="BM642" s="105"/>
      <c r="BN642" s="105"/>
      <c r="BO642" s="105"/>
      <c r="BP642" s="105"/>
      <c r="BQ642" s="105"/>
      <c r="BR642" s="105"/>
      <c r="BS642" s="105"/>
      <c r="BT642" s="105"/>
      <c r="BU642" s="105"/>
      <c r="BV642" s="105"/>
      <c r="BW642" s="105"/>
      <c r="BX642" s="105"/>
      <c r="BY642" s="105"/>
      <c r="BZ642" s="105"/>
      <c r="CA642" s="105"/>
      <c r="CB642" s="105"/>
      <c r="CC642" s="105"/>
      <c r="CD642" s="105"/>
      <c r="CE642" s="105"/>
      <c r="CF642" s="105"/>
      <c r="CG642" s="105"/>
      <c r="CH642" s="105"/>
      <c r="CI642" s="105"/>
      <c r="CJ642" s="105"/>
      <c r="CK642" s="105"/>
      <c r="CL642" s="105"/>
      <c r="CM642" s="105"/>
      <c r="CN642" s="105"/>
      <c r="CO642" s="105"/>
      <c r="CP642" s="105"/>
      <c r="CQ642" s="105"/>
      <c r="CR642" s="105"/>
      <c r="CS642" s="105"/>
      <c r="CT642" s="105"/>
      <c r="CU642" s="105"/>
      <c r="CV642" s="105"/>
      <c r="CW642" s="105"/>
      <c r="CX642" s="105"/>
      <c r="CY642" s="105"/>
      <c r="CZ642" s="105"/>
      <c r="DA642" s="105"/>
    </row>
    <row r="643">
      <c r="B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c r="AA643" s="105"/>
      <c r="AB643" s="105"/>
      <c r="AC643" s="105"/>
      <c r="AD643" s="105"/>
      <c r="AE643" s="105"/>
      <c r="AF643" s="105"/>
      <c r="AG643" s="105"/>
      <c r="AH643" s="105"/>
      <c r="AI643" s="105"/>
      <c r="AJ643" s="105"/>
      <c r="AK643" s="105"/>
      <c r="AL643" s="105"/>
      <c r="AM643" s="105"/>
      <c r="AN643" s="105"/>
      <c r="AO643" s="105"/>
      <c r="AP643" s="105"/>
      <c r="AQ643" s="105"/>
      <c r="AR643" s="105"/>
      <c r="AS643" s="105"/>
      <c r="AT643" s="105"/>
      <c r="AU643" s="105"/>
      <c r="AV643" s="105"/>
      <c r="AW643" s="105"/>
      <c r="AX643" s="105"/>
      <c r="AY643" s="105"/>
      <c r="AZ643" s="105"/>
      <c r="BA643" s="105"/>
      <c r="BB643" s="105"/>
      <c r="BC643" s="105"/>
      <c r="BD643" s="105"/>
      <c r="BE643" s="105"/>
      <c r="BF643" s="105"/>
      <c r="BG643" s="105"/>
      <c r="BH643" s="105"/>
      <c r="BI643" s="105"/>
      <c r="BJ643" s="105"/>
      <c r="BK643" s="105"/>
      <c r="BL643" s="105"/>
      <c r="BM643" s="105"/>
      <c r="BN643" s="105"/>
      <c r="BO643" s="105"/>
      <c r="BP643" s="105"/>
      <c r="BQ643" s="105"/>
      <c r="BR643" s="105"/>
      <c r="BS643" s="105"/>
      <c r="BT643" s="105"/>
      <c r="BU643" s="105"/>
      <c r="BV643" s="105"/>
      <c r="BW643" s="105"/>
      <c r="BX643" s="105"/>
      <c r="BY643" s="105"/>
      <c r="BZ643" s="105"/>
      <c r="CA643" s="105"/>
      <c r="CB643" s="105"/>
      <c r="CC643" s="105"/>
      <c r="CD643" s="105"/>
      <c r="CE643" s="105"/>
      <c r="CF643" s="105"/>
      <c r="CG643" s="105"/>
      <c r="CH643" s="105"/>
      <c r="CI643" s="105"/>
      <c r="CJ643" s="105"/>
      <c r="CK643" s="105"/>
      <c r="CL643" s="105"/>
      <c r="CM643" s="105"/>
      <c r="CN643" s="105"/>
      <c r="CO643" s="105"/>
      <c r="CP643" s="105"/>
      <c r="CQ643" s="105"/>
      <c r="CR643" s="105"/>
      <c r="CS643" s="105"/>
      <c r="CT643" s="105"/>
      <c r="CU643" s="105"/>
      <c r="CV643" s="105"/>
      <c r="CW643" s="105"/>
      <c r="CX643" s="105"/>
      <c r="CY643" s="105"/>
      <c r="CZ643" s="105"/>
      <c r="DA643" s="105"/>
    </row>
    <row r="644">
      <c r="B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c r="AA644" s="105"/>
      <c r="AB644" s="105"/>
      <c r="AC644" s="105"/>
      <c r="AD644" s="105"/>
      <c r="AE644" s="105"/>
      <c r="AF644" s="105"/>
      <c r="AG644" s="105"/>
      <c r="AH644" s="105"/>
      <c r="AI644" s="105"/>
      <c r="AJ644" s="105"/>
      <c r="AK644" s="105"/>
      <c r="AL644" s="105"/>
      <c r="AM644" s="105"/>
      <c r="AN644" s="105"/>
      <c r="AO644" s="105"/>
      <c r="AP644" s="105"/>
      <c r="AQ644" s="105"/>
      <c r="AR644" s="105"/>
      <c r="AS644" s="105"/>
      <c r="AT644" s="105"/>
      <c r="AU644" s="105"/>
      <c r="AV644" s="105"/>
      <c r="AW644" s="105"/>
      <c r="AX644" s="105"/>
      <c r="AY644" s="105"/>
      <c r="AZ644" s="105"/>
      <c r="BA644" s="105"/>
      <c r="BB644" s="105"/>
      <c r="BC644" s="105"/>
      <c r="BD644" s="105"/>
      <c r="BE644" s="105"/>
      <c r="BF644" s="105"/>
      <c r="BG644" s="105"/>
      <c r="BH644" s="105"/>
      <c r="BI644" s="105"/>
      <c r="BJ644" s="105"/>
      <c r="BK644" s="105"/>
      <c r="BL644" s="105"/>
      <c r="BM644" s="105"/>
      <c r="BN644" s="105"/>
      <c r="BO644" s="105"/>
      <c r="BP644" s="105"/>
      <c r="BQ644" s="105"/>
      <c r="BR644" s="105"/>
      <c r="BS644" s="105"/>
      <c r="BT644" s="105"/>
      <c r="BU644" s="105"/>
      <c r="BV644" s="105"/>
      <c r="BW644" s="105"/>
      <c r="BX644" s="105"/>
      <c r="BY644" s="105"/>
      <c r="BZ644" s="105"/>
      <c r="CA644" s="105"/>
      <c r="CB644" s="105"/>
      <c r="CC644" s="105"/>
      <c r="CD644" s="105"/>
      <c r="CE644" s="105"/>
      <c r="CF644" s="105"/>
      <c r="CG644" s="105"/>
      <c r="CH644" s="105"/>
      <c r="CI644" s="105"/>
      <c r="CJ644" s="105"/>
      <c r="CK644" s="105"/>
      <c r="CL644" s="105"/>
      <c r="CM644" s="105"/>
      <c r="CN644" s="105"/>
      <c r="CO644" s="105"/>
      <c r="CP644" s="105"/>
      <c r="CQ644" s="105"/>
      <c r="CR644" s="105"/>
      <c r="CS644" s="105"/>
      <c r="CT644" s="105"/>
      <c r="CU644" s="105"/>
      <c r="CV644" s="105"/>
      <c r="CW644" s="105"/>
      <c r="CX644" s="105"/>
      <c r="CY644" s="105"/>
      <c r="CZ644" s="105"/>
      <c r="DA644" s="105"/>
    </row>
    <row r="645">
      <c r="B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c r="AA645" s="105"/>
      <c r="AB645" s="105"/>
      <c r="AC645" s="105"/>
      <c r="AD645" s="105"/>
      <c r="AE645" s="105"/>
      <c r="AF645" s="105"/>
      <c r="AG645" s="105"/>
      <c r="AH645" s="105"/>
      <c r="AI645" s="105"/>
      <c r="AJ645" s="105"/>
      <c r="AK645" s="105"/>
      <c r="AL645" s="105"/>
      <c r="AM645" s="105"/>
      <c r="AN645" s="105"/>
      <c r="AO645" s="105"/>
      <c r="AP645" s="105"/>
      <c r="AQ645" s="105"/>
      <c r="AR645" s="105"/>
      <c r="AS645" s="105"/>
      <c r="AT645" s="105"/>
      <c r="AU645" s="105"/>
      <c r="AV645" s="105"/>
      <c r="AW645" s="105"/>
      <c r="AX645" s="105"/>
      <c r="AY645" s="105"/>
      <c r="AZ645" s="105"/>
      <c r="BA645" s="105"/>
      <c r="BB645" s="105"/>
      <c r="BC645" s="105"/>
      <c r="BD645" s="105"/>
      <c r="BE645" s="105"/>
      <c r="BF645" s="105"/>
      <c r="BG645" s="105"/>
      <c r="BH645" s="105"/>
      <c r="BI645" s="105"/>
      <c r="BJ645" s="105"/>
      <c r="BK645" s="105"/>
      <c r="BL645" s="105"/>
      <c r="BM645" s="105"/>
      <c r="BN645" s="105"/>
      <c r="BO645" s="105"/>
      <c r="BP645" s="105"/>
      <c r="BQ645" s="105"/>
      <c r="BR645" s="105"/>
      <c r="BS645" s="105"/>
      <c r="BT645" s="105"/>
      <c r="BU645" s="105"/>
      <c r="BV645" s="105"/>
      <c r="BW645" s="105"/>
      <c r="BX645" s="105"/>
      <c r="BY645" s="105"/>
      <c r="BZ645" s="105"/>
      <c r="CA645" s="105"/>
      <c r="CB645" s="105"/>
      <c r="CC645" s="105"/>
      <c r="CD645" s="105"/>
      <c r="CE645" s="105"/>
      <c r="CF645" s="105"/>
      <c r="CG645" s="105"/>
      <c r="CH645" s="105"/>
      <c r="CI645" s="105"/>
      <c r="CJ645" s="105"/>
      <c r="CK645" s="105"/>
      <c r="CL645" s="105"/>
      <c r="CM645" s="105"/>
      <c r="CN645" s="105"/>
      <c r="CO645" s="105"/>
      <c r="CP645" s="105"/>
      <c r="CQ645" s="105"/>
      <c r="CR645" s="105"/>
      <c r="CS645" s="105"/>
      <c r="CT645" s="105"/>
      <c r="CU645" s="105"/>
      <c r="CV645" s="105"/>
      <c r="CW645" s="105"/>
      <c r="CX645" s="105"/>
      <c r="CY645" s="105"/>
      <c r="CZ645" s="105"/>
      <c r="DA645" s="105"/>
    </row>
    <row r="646">
      <c r="B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c r="AA646" s="105"/>
      <c r="AB646" s="105"/>
      <c r="AC646" s="105"/>
      <c r="AD646" s="105"/>
      <c r="AE646" s="105"/>
      <c r="AF646" s="105"/>
      <c r="AG646" s="105"/>
      <c r="AH646" s="105"/>
      <c r="AI646" s="105"/>
      <c r="AJ646" s="105"/>
      <c r="AK646" s="105"/>
      <c r="AL646" s="105"/>
      <c r="AM646" s="105"/>
      <c r="AN646" s="105"/>
      <c r="AO646" s="105"/>
      <c r="AP646" s="105"/>
      <c r="AQ646" s="105"/>
      <c r="AR646" s="105"/>
      <c r="AS646" s="105"/>
      <c r="AT646" s="105"/>
      <c r="AU646" s="105"/>
      <c r="AV646" s="105"/>
      <c r="AW646" s="105"/>
      <c r="AX646" s="105"/>
      <c r="AY646" s="105"/>
      <c r="AZ646" s="105"/>
      <c r="BA646" s="105"/>
      <c r="BB646" s="105"/>
      <c r="BC646" s="105"/>
      <c r="BD646" s="105"/>
      <c r="BE646" s="105"/>
      <c r="BF646" s="105"/>
      <c r="BG646" s="105"/>
      <c r="BH646" s="105"/>
      <c r="BI646" s="105"/>
      <c r="BJ646" s="105"/>
      <c r="BK646" s="105"/>
      <c r="BL646" s="105"/>
      <c r="BM646" s="105"/>
      <c r="BN646" s="105"/>
      <c r="BO646" s="105"/>
      <c r="BP646" s="105"/>
      <c r="BQ646" s="105"/>
      <c r="BR646" s="105"/>
      <c r="BS646" s="105"/>
      <c r="BT646" s="105"/>
      <c r="BU646" s="105"/>
      <c r="BV646" s="105"/>
      <c r="BW646" s="105"/>
      <c r="BX646" s="105"/>
      <c r="BY646" s="105"/>
      <c r="BZ646" s="105"/>
      <c r="CA646" s="105"/>
      <c r="CB646" s="105"/>
      <c r="CC646" s="105"/>
      <c r="CD646" s="105"/>
      <c r="CE646" s="105"/>
      <c r="CF646" s="105"/>
      <c r="CG646" s="105"/>
      <c r="CH646" s="105"/>
      <c r="CI646" s="105"/>
      <c r="CJ646" s="105"/>
      <c r="CK646" s="105"/>
      <c r="CL646" s="105"/>
      <c r="CM646" s="105"/>
      <c r="CN646" s="105"/>
      <c r="CO646" s="105"/>
      <c r="CP646" s="105"/>
      <c r="CQ646" s="105"/>
      <c r="CR646" s="105"/>
      <c r="CS646" s="105"/>
      <c r="CT646" s="105"/>
      <c r="CU646" s="105"/>
      <c r="CV646" s="105"/>
      <c r="CW646" s="105"/>
      <c r="CX646" s="105"/>
      <c r="CY646" s="105"/>
      <c r="CZ646" s="105"/>
      <c r="DA646" s="105"/>
    </row>
    <row r="647">
      <c r="B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c r="AA647" s="105"/>
      <c r="AB647" s="105"/>
      <c r="AC647" s="105"/>
      <c r="AD647" s="105"/>
      <c r="AE647" s="105"/>
      <c r="AF647" s="105"/>
      <c r="AG647" s="105"/>
      <c r="AH647" s="105"/>
      <c r="AI647" s="105"/>
      <c r="AJ647" s="105"/>
      <c r="AK647" s="105"/>
      <c r="AL647" s="105"/>
      <c r="AM647" s="105"/>
      <c r="AN647" s="105"/>
      <c r="AO647" s="105"/>
      <c r="AP647" s="105"/>
      <c r="AQ647" s="105"/>
      <c r="AR647" s="105"/>
      <c r="AS647" s="105"/>
      <c r="AT647" s="105"/>
      <c r="AU647" s="105"/>
      <c r="AV647" s="105"/>
      <c r="AW647" s="105"/>
      <c r="AX647" s="105"/>
      <c r="AY647" s="105"/>
      <c r="AZ647" s="105"/>
      <c r="BA647" s="105"/>
      <c r="BB647" s="105"/>
      <c r="BC647" s="105"/>
      <c r="BD647" s="105"/>
      <c r="BE647" s="105"/>
      <c r="BF647" s="105"/>
      <c r="BG647" s="105"/>
      <c r="BH647" s="105"/>
      <c r="BI647" s="105"/>
      <c r="BJ647" s="105"/>
      <c r="BK647" s="105"/>
      <c r="BL647" s="105"/>
      <c r="BM647" s="105"/>
      <c r="BN647" s="105"/>
      <c r="BO647" s="105"/>
      <c r="BP647" s="105"/>
      <c r="BQ647" s="105"/>
      <c r="BR647" s="105"/>
      <c r="BS647" s="105"/>
      <c r="BT647" s="105"/>
      <c r="BU647" s="105"/>
      <c r="BV647" s="105"/>
      <c r="BW647" s="105"/>
      <c r="BX647" s="105"/>
      <c r="BY647" s="105"/>
      <c r="BZ647" s="105"/>
      <c r="CA647" s="105"/>
      <c r="CB647" s="105"/>
      <c r="CC647" s="105"/>
      <c r="CD647" s="105"/>
      <c r="CE647" s="105"/>
      <c r="CF647" s="105"/>
      <c r="CG647" s="105"/>
      <c r="CH647" s="105"/>
      <c r="CI647" s="105"/>
      <c r="CJ647" s="105"/>
      <c r="CK647" s="105"/>
      <c r="CL647" s="105"/>
      <c r="CM647" s="105"/>
      <c r="CN647" s="105"/>
      <c r="CO647" s="105"/>
      <c r="CP647" s="105"/>
      <c r="CQ647" s="105"/>
      <c r="CR647" s="105"/>
      <c r="CS647" s="105"/>
      <c r="CT647" s="105"/>
      <c r="CU647" s="105"/>
      <c r="CV647" s="105"/>
      <c r="CW647" s="105"/>
      <c r="CX647" s="105"/>
      <c r="CY647" s="105"/>
      <c r="CZ647" s="105"/>
      <c r="DA647" s="105"/>
    </row>
    <row r="648">
      <c r="B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c r="AA648" s="105"/>
      <c r="AB648" s="105"/>
      <c r="AC648" s="105"/>
      <c r="AD648" s="105"/>
      <c r="AE648" s="105"/>
      <c r="AF648" s="105"/>
      <c r="AG648" s="105"/>
      <c r="AH648" s="105"/>
      <c r="AI648" s="105"/>
      <c r="AJ648" s="105"/>
      <c r="AK648" s="105"/>
      <c r="AL648" s="105"/>
      <c r="AM648" s="105"/>
      <c r="AN648" s="105"/>
      <c r="AO648" s="105"/>
      <c r="AP648" s="105"/>
      <c r="AQ648" s="105"/>
      <c r="AR648" s="105"/>
      <c r="AS648" s="105"/>
      <c r="AT648" s="105"/>
      <c r="AU648" s="105"/>
      <c r="AV648" s="105"/>
      <c r="AW648" s="105"/>
      <c r="AX648" s="105"/>
      <c r="AY648" s="105"/>
      <c r="AZ648" s="105"/>
      <c r="BA648" s="105"/>
      <c r="BB648" s="105"/>
      <c r="BC648" s="105"/>
      <c r="BD648" s="105"/>
      <c r="BE648" s="105"/>
      <c r="BF648" s="105"/>
      <c r="BG648" s="105"/>
      <c r="BH648" s="105"/>
      <c r="BI648" s="105"/>
      <c r="BJ648" s="105"/>
      <c r="BK648" s="105"/>
      <c r="BL648" s="105"/>
      <c r="BM648" s="105"/>
      <c r="BN648" s="105"/>
      <c r="BO648" s="105"/>
      <c r="BP648" s="105"/>
      <c r="BQ648" s="105"/>
      <c r="BR648" s="105"/>
      <c r="BS648" s="105"/>
      <c r="BT648" s="105"/>
      <c r="BU648" s="105"/>
      <c r="BV648" s="105"/>
      <c r="BW648" s="105"/>
      <c r="BX648" s="105"/>
      <c r="BY648" s="105"/>
      <c r="BZ648" s="105"/>
      <c r="CA648" s="105"/>
      <c r="CB648" s="105"/>
      <c r="CC648" s="105"/>
      <c r="CD648" s="105"/>
      <c r="CE648" s="105"/>
      <c r="CF648" s="105"/>
      <c r="CG648" s="105"/>
      <c r="CH648" s="105"/>
      <c r="CI648" s="105"/>
      <c r="CJ648" s="105"/>
      <c r="CK648" s="105"/>
      <c r="CL648" s="105"/>
      <c r="CM648" s="105"/>
      <c r="CN648" s="105"/>
      <c r="CO648" s="105"/>
      <c r="CP648" s="105"/>
      <c r="CQ648" s="105"/>
      <c r="CR648" s="105"/>
      <c r="CS648" s="105"/>
      <c r="CT648" s="105"/>
      <c r="CU648" s="105"/>
      <c r="CV648" s="105"/>
      <c r="CW648" s="105"/>
      <c r="CX648" s="105"/>
      <c r="CY648" s="105"/>
      <c r="CZ648" s="105"/>
      <c r="DA648" s="105"/>
    </row>
    <row r="649">
      <c r="B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c r="AA649" s="105"/>
      <c r="AB649" s="105"/>
      <c r="AC649" s="105"/>
      <c r="AD649" s="105"/>
      <c r="AE649" s="105"/>
      <c r="AF649" s="105"/>
      <c r="AG649" s="105"/>
      <c r="AH649" s="105"/>
      <c r="AI649" s="105"/>
      <c r="AJ649" s="105"/>
      <c r="AK649" s="105"/>
      <c r="AL649" s="105"/>
      <c r="AM649" s="105"/>
      <c r="AN649" s="105"/>
      <c r="AO649" s="105"/>
      <c r="AP649" s="105"/>
      <c r="AQ649" s="105"/>
      <c r="AR649" s="105"/>
      <c r="AS649" s="105"/>
      <c r="AT649" s="105"/>
      <c r="AU649" s="105"/>
      <c r="AV649" s="105"/>
      <c r="AW649" s="105"/>
      <c r="AX649" s="105"/>
      <c r="AY649" s="105"/>
      <c r="AZ649" s="105"/>
      <c r="BA649" s="105"/>
      <c r="BB649" s="105"/>
      <c r="BC649" s="105"/>
      <c r="BD649" s="105"/>
      <c r="BE649" s="105"/>
      <c r="BF649" s="105"/>
      <c r="BG649" s="105"/>
      <c r="BH649" s="105"/>
      <c r="BI649" s="105"/>
      <c r="BJ649" s="105"/>
      <c r="BK649" s="105"/>
      <c r="BL649" s="105"/>
      <c r="BM649" s="105"/>
      <c r="BN649" s="105"/>
      <c r="BO649" s="105"/>
      <c r="BP649" s="105"/>
      <c r="BQ649" s="105"/>
      <c r="BR649" s="105"/>
      <c r="BS649" s="105"/>
      <c r="BT649" s="105"/>
      <c r="BU649" s="105"/>
      <c r="BV649" s="105"/>
      <c r="BW649" s="105"/>
      <c r="BX649" s="105"/>
      <c r="BY649" s="105"/>
      <c r="BZ649" s="105"/>
      <c r="CA649" s="105"/>
      <c r="CB649" s="105"/>
      <c r="CC649" s="105"/>
      <c r="CD649" s="105"/>
      <c r="CE649" s="105"/>
      <c r="CF649" s="105"/>
      <c r="CG649" s="105"/>
      <c r="CH649" s="105"/>
      <c r="CI649" s="105"/>
      <c r="CJ649" s="105"/>
      <c r="CK649" s="105"/>
      <c r="CL649" s="105"/>
      <c r="CM649" s="105"/>
      <c r="CN649" s="105"/>
      <c r="CO649" s="105"/>
      <c r="CP649" s="105"/>
      <c r="CQ649" s="105"/>
      <c r="CR649" s="105"/>
      <c r="CS649" s="105"/>
      <c r="CT649" s="105"/>
      <c r="CU649" s="105"/>
      <c r="CV649" s="105"/>
      <c r="CW649" s="105"/>
      <c r="CX649" s="105"/>
      <c r="CY649" s="105"/>
      <c r="CZ649" s="105"/>
      <c r="DA649" s="105"/>
    </row>
    <row r="650">
      <c r="B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c r="AA650" s="105"/>
      <c r="AB650" s="105"/>
      <c r="AC650" s="105"/>
      <c r="AD650" s="105"/>
      <c r="AE650" s="105"/>
      <c r="AF650" s="105"/>
      <c r="AG650" s="105"/>
      <c r="AH650" s="105"/>
      <c r="AI650" s="105"/>
      <c r="AJ650" s="105"/>
      <c r="AK650" s="105"/>
      <c r="AL650" s="105"/>
      <c r="AM650" s="105"/>
      <c r="AN650" s="105"/>
      <c r="AO650" s="105"/>
      <c r="AP650" s="105"/>
      <c r="AQ650" s="105"/>
      <c r="AR650" s="105"/>
      <c r="AS650" s="105"/>
      <c r="AT650" s="105"/>
      <c r="AU650" s="105"/>
      <c r="AV650" s="105"/>
      <c r="AW650" s="105"/>
      <c r="AX650" s="105"/>
      <c r="AY650" s="105"/>
      <c r="AZ650" s="105"/>
      <c r="BA650" s="105"/>
      <c r="BB650" s="105"/>
      <c r="BC650" s="105"/>
      <c r="BD650" s="105"/>
      <c r="BE650" s="105"/>
      <c r="BF650" s="105"/>
      <c r="BG650" s="105"/>
      <c r="BH650" s="105"/>
      <c r="BI650" s="105"/>
      <c r="BJ650" s="105"/>
      <c r="BK650" s="105"/>
      <c r="BL650" s="105"/>
      <c r="BM650" s="105"/>
      <c r="BN650" s="105"/>
      <c r="BO650" s="105"/>
      <c r="BP650" s="105"/>
      <c r="BQ650" s="105"/>
      <c r="BR650" s="105"/>
      <c r="BS650" s="105"/>
      <c r="BT650" s="105"/>
      <c r="BU650" s="105"/>
      <c r="BV650" s="105"/>
      <c r="BW650" s="105"/>
      <c r="BX650" s="105"/>
      <c r="BY650" s="105"/>
      <c r="BZ650" s="105"/>
      <c r="CA650" s="105"/>
      <c r="CB650" s="105"/>
      <c r="CC650" s="105"/>
      <c r="CD650" s="105"/>
      <c r="CE650" s="105"/>
      <c r="CF650" s="105"/>
      <c r="CG650" s="105"/>
      <c r="CH650" s="105"/>
      <c r="CI650" s="105"/>
      <c r="CJ650" s="105"/>
      <c r="CK650" s="105"/>
      <c r="CL650" s="105"/>
      <c r="CM650" s="105"/>
      <c r="CN650" s="105"/>
      <c r="CO650" s="105"/>
      <c r="CP650" s="105"/>
      <c r="CQ650" s="105"/>
      <c r="CR650" s="105"/>
      <c r="CS650" s="105"/>
      <c r="CT650" s="105"/>
      <c r="CU650" s="105"/>
      <c r="CV650" s="105"/>
      <c r="CW650" s="105"/>
      <c r="CX650" s="105"/>
      <c r="CY650" s="105"/>
      <c r="CZ650" s="105"/>
      <c r="DA650" s="105"/>
    </row>
    <row r="651">
      <c r="B651" s="105"/>
      <c r="F651" s="105"/>
      <c r="G651" s="105"/>
      <c r="H651" s="105"/>
      <c r="I651" s="105"/>
      <c r="J651" s="105"/>
      <c r="K651" s="105"/>
      <c r="L651" s="105"/>
      <c r="M651" s="105"/>
      <c r="N651" s="105"/>
      <c r="O651" s="105"/>
      <c r="P651" s="105"/>
      <c r="Q651" s="105"/>
      <c r="R651" s="105"/>
      <c r="S651" s="105"/>
      <c r="T651" s="105"/>
      <c r="U651" s="105"/>
      <c r="V651" s="105"/>
      <c r="W651" s="105"/>
      <c r="X651" s="105"/>
      <c r="Y651" s="105"/>
      <c r="Z651" s="105"/>
      <c r="AA651" s="105"/>
      <c r="AB651" s="105"/>
      <c r="AC651" s="105"/>
      <c r="AD651" s="105"/>
      <c r="AE651" s="105"/>
      <c r="AF651" s="105"/>
      <c r="AG651" s="105"/>
      <c r="AH651" s="105"/>
      <c r="AI651" s="105"/>
      <c r="AJ651" s="105"/>
      <c r="AK651" s="105"/>
      <c r="AL651" s="105"/>
      <c r="AM651" s="105"/>
      <c r="AN651" s="105"/>
      <c r="AO651" s="105"/>
      <c r="AP651" s="105"/>
      <c r="AQ651" s="105"/>
      <c r="AR651" s="105"/>
      <c r="AS651" s="105"/>
      <c r="AT651" s="105"/>
      <c r="AU651" s="105"/>
      <c r="AV651" s="105"/>
      <c r="AW651" s="105"/>
      <c r="AX651" s="105"/>
      <c r="AY651" s="105"/>
      <c r="AZ651" s="105"/>
      <c r="BA651" s="105"/>
      <c r="BB651" s="105"/>
      <c r="BC651" s="105"/>
      <c r="BD651" s="105"/>
      <c r="BE651" s="105"/>
      <c r="BF651" s="105"/>
      <c r="BG651" s="105"/>
      <c r="BH651" s="105"/>
      <c r="BI651" s="105"/>
      <c r="BJ651" s="105"/>
      <c r="BK651" s="105"/>
      <c r="BL651" s="105"/>
      <c r="BM651" s="105"/>
      <c r="BN651" s="105"/>
      <c r="BO651" s="105"/>
      <c r="BP651" s="105"/>
      <c r="BQ651" s="105"/>
      <c r="BR651" s="105"/>
      <c r="BS651" s="105"/>
      <c r="BT651" s="105"/>
      <c r="BU651" s="105"/>
      <c r="BV651" s="105"/>
      <c r="BW651" s="105"/>
      <c r="BX651" s="105"/>
      <c r="BY651" s="105"/>
      <c r="BZ651" s="105"/>
      <c r="CA651" s="105"/>
      <c r="CB651" s="105"/>
      <c r="CC651" s="105"/>
      <c r="CD651" s="105"/>
      <c r="CE651" s="105"/>
      <c r="CF651" s="105"/>
      <c r="CG651" s="105"/>
      <c r="CH651" s="105"/>
      <c r="CI651" s="105"/>
      <c r="CJ651" s="105"/>
      <c r="CK651" s="105"/>
      <c r="CL651" s="105"/>
      <c r="CM651" s="105"/>
      <c r="CN651" s="105"/>
      <c r="CO651" s="105"/>
      <c r="CP651" s="105"/>
      <c r="CQ651" s="105"/>
      <c r="CR651" s="105"/>
      <c r="CS651" s="105"/>
      <c r="CT651" s="105"/>
      <c r="CU651" s="105"/>
      <c r="CV651" s="105"/>
      <c r="CW651" s="105"/>
      <c r="CX651" s="105"/>
      <c r="CY651" s="105"/>
      <c r="CZ651" s="105"/>
      <c r="DA651" s="105"/>
    </row>
    <row r="652">
      <c r="B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c r="AA652" s="105"/>
      <c r="AB652" s="105"/>
      <c r="AC652" s="105"/>
      <c r="AD652" s="105"/>
      <c r="AE652" s="105"/>
      <c r="AF652" s="105"/>
      <c r="AG652" s="105"/>
      <c r="AH652" s="105"/>
      <c r="AI652" s="105"/>
      <c r="AJ652" s="105"/>
      <c r="AK652" s="105"/>
      <c r="AL652" s="105"/>
      <c r="AM652" s="105"/>
      <c r="AN652" s="105"/>
      <c r="AO652" s="105"/>
      <c r="AP652" s="105"/>
      <c r="AQ652" s="105"/>
      <c r="AR652" s="105"/>
      <c r="AS652" s="105"/>
      <c r="AT652" s="105"/>
      <c r="AU652" s="105"/>
      <c r="AV652" s="105"/>
      <c r="AW652" s="105"/>
      <c r="AX652" s="105"/>
      <c r="AY652" s="105"/>
      <c r="AZ652" s="105"/>
      <c r="BA652" s="105"/>
      <c r="BB652" s="105"/>
      <c r="BC652" s="105"/>
      <c r="BD652" s="105"/>
      <c r="BE652" s="105"/>
      <c r="BF652" s="105"/>
      <c r="BG652" s="105"/>
      <c r="BH652" s="105"/>
      <c r="BI652" s="105"/>
      <c r="BJ652" s="105"/>
      <c r="BK652" s="105"/>
      <c r="BL652" s="105"/>
      <c r="BM652" s="105"/>
      <c r="BN652" s="105"/>
      <c r="BO652" s="105"/>
      <c r="BP652" s="105"/>
      <c r="BQ652" s="105"/>
      <c r="BR652" s="105"/>
      <c r="BS652" s="105"/>
      <c r="BT652" s="105"/>
      <c r="BU652" s="105"/>
      <c r="BV652" s="105"/>
      <c r="BW652" s="105"/>
      <c r="BX652" s="105"/>
      <c r="BY652" s="105"/>
      <c r="BZ652" s="105"/>
      <c r="CA652" s="105"/>
      <c r="CB652" s="105"/>
      <c r="CC652" s="105"/>
      <c r="CD652" s="105"/>
      <c r="CE652" s="105"/>
      <c r="CF652" s="105"/>
      <c r="CG652" s="105"/>
      <c r="CH652" s="105"/>
      <c r="CI652" s="105"/>
      <c r="CJ652" s="105"/>
      <c r="CK652" s="105"/>
      <c r="CL652" s="105"/>
      <c r="CM652" s="105"/>
      <c r="CN652" s="105"/>
      <c r="CO652" s="105"/>
      <c r="CP652" s="105"/>
      <c r="CQ652" s="105"/>
      <c r="CR652" s="105"/>
      <c r="CS652" s="105"/>
      <c r="CT652" s="105"/>
      <c r="CU652" s="105"/>
      <c r="CV652" s="105"/>
      <c r="CW652" s="105"/>
      <c r="CX652" s="105"/>
      <c r="CY652" s="105"/>
      <c r="CZ652" s="105"/>
      <c r="DA652" s="105"/>
    </row>
    <row r="653">
      <c r="B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c r="AA653" s="105"/>
      <c r="AB653" s="105"/>
      <c r="AC653" s="105"/>
      <c r="AD653" s="105"/>
      <c r="AE653" s="105"/>
      <c r="AF653" s="105"/>
      <c r="AG653" s="105"/>
      <c r="AH653" s="105"/>
      <c r="AI653" s="105"/>
      <c r="AJ653" s="105"/>
      <c r="AK653" s="105"/>
      <c r="AL653" s="105"/>
      <c r="AM653" s="105"/>
      <c r="AN653" s="105"/>
      <c r="AO653" s="105"/>
      <c r="AP653" s="105"/>
      <c r="AQ653" s="105"/>
      <c r="AR653" s="105"/>
      <c r="AS653" s="105"/>
      <c r="AT653" s="105"/>
      <c r="AU653" s="105"/>
      <c r="AV653" s="105"/>
      <c r="AW653" s="105"/>
      <c r="AX653" s="105"/>
      <c r="AY653" s="105"/>
      <c r="AZ653" s="105"/>
      <c r="BA653" s="105"/>
      <c r="BB653" s="105"/>
      <c r="BC653" s="105"/>
      <c r="BD653" s="105"/>
      <c r="BE653" s="105"/>
      <c r="BF653" s="105"/>
      <c r="BG653" s="105"/>
      <c r="BH653" s="105"/>
      <c r="BI653" s="105"/>
      <c r="BJ653" s="105"/>
      <c r="BK653" s="105"/>
      <c r="BL653" s="105"/>
      <c r="BM653" s="105"/>
      <c r="BN653" s="105"/>
      <c r="BO653" s="105"/>
      <c r="BP653" s="105"/>
      <c r="BQ653" s="105"/>
      <c r="BR653" s="105"/>
      <c r="BS653" s="105"/>
      <c r="BT653" s="105"/>
      <c r="BU653" s="105"/>
      <c r="BV653" s="105"/>
      <c r="BW653" s="105"/>
      <c r="BX653" s="105"/>
      <c r="BY653" s="105"/>
      <c r="BZ653" s="105"/>
      <c r="CA653" s="105"/>
      <c r="CB653" s="105"/>
      <c r="CC653" s="105"/>
      <c r="CD653" s="105"/>
      <c r="CE653" s="105"/>
      <c r="CF653" s="105"/>
      <c r="CG653" s="105"/>
      <c r="CH653" s="105"/>
      <c r="CI653" s="105"/>
      <c r="CJ653" s="105"/>
      <c r="CK653" s="105"/>
      <c r="CL653" s="105"/>
      <c r="CM653" s="105"/>
      <c r="CN653" s="105"/>
      <c r="CO653" s="105"/>
      <c r="CP653" s="105"/>
      <c r="CQ653" s="105"/>
      <c r="CR653" s="105"/>
      <c r="CS653" s="105"/>
      <c r="CT653" s="105"/>
      <c r="CU653" s="105"/>
      <c r="CV653" s="105"/>
      <c r="CW653" s="105"/>
      <c r="CX653" s="105"/>
      <c r="CY653" s="105"/>
      <c r="CZ653" s="105"/>
      <c r="DA653" s="105"/>
    </row>
    <row r="654">
      <c r="B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c r="AA654" s="105"/>
      <c r="AB654" s="105"/>
      <c r="AC654" s="105"/>
      <c r="AD654" s="105"/>
      <c r="AE654" s="105"/>
      <c r="AF654" s="105"/>
      <c r="AG654" s="105"/>
      <c r="AH654" s="105"/>
      <c r="AI654" s="105"/>
      <c r="AJ654" s="105"/>
      <c r="AK654" s="105"/>
      <c r="AL654" s="105"/>
      <c r="AM654" s="105"/>
      <c r="AN654" s="105"/>
      <c r="AO654" s="105"/>
      <c r="AP654" s="105"/>
      <c r="AQ654" s="105"/>
      <c r="AR654" s="105"/>
      <c r="AS654" s="105"/>
      <c r="AT654" s="105"/>
      <c r="AU654" s="105"/>
      <c r="AV654" s="105"/>
      <c r="AW654" s="105"/>
      <c r="AX654" s="105"/>
      <c r="AY654" s="105"/>
      <c r="AZ654" s="105"/>
      <c r="BA654" s="105"/>
      <c r="BB654" s="105"/>
      <c r="BC654" s="105"/>
      <c r="BD654" s="105"/>
      <c r="BE654" s="105"/>
      <c r="BF654" s="105"/>
      <c r="BG654" s="105"/>
      <c r="BH654" s="105"/>
      <c r="BI654" s="105"/>
      <c r="BJ654" s="105"/>
      <c r="BK654" s="105"/>
      <c r="BL654" s="105"/>
      <c r="BM654" s="105"/>
      <c r="BN654" s="105"/>
      <c r="BO654" s="105"/>
      <c r="BP654" s="105"/>
      <c r="BQ654" s="105"/>
      <c r="BR654" s="105"/>
      <c r="BS654" s="105"/>
      <c r="BT654" s="105"/>
      <c r="BU654" s="105"/>
      <c r="BV654" s="105"/>
      <c r="BW654" s="105"/>
      <c r="BX654" s="105"/>
      <c r="BY654" s="105"/>
      <c r="BZ654" s="105"/>
      <c r="CA654" s="105"/>
      <c r="CB654" s="105"/>
      <c r="CC654" s="105"/>
      <c r="CD654" s="105"/>
      <c r="CE654" s="105"/>
      <c r="CF654" s="105"/>
      <c r="CG654" s="105"/>
      <c r="CH654" s="105"/>
      <c r="CI654" s="105"/>
      <c r="CJ654" s="105"/>
      <c r="CK654" s="105"/>
      <c r="CL654" s="105"/>
      <c r="CM654" s="105"/>
      <c r="CN654" s="105"/>
      <c r="CO654" s="105"/>
      <c r="CP654" s="105"/>
      <c r="CQ654" s="105"/>
      <c r="CR654" s="105"/>
      <c r="CS654" s="105"/>
      <c r="CT654" s="105"/>
      <c r="CU654" s="105"/>
      <c r="CV654" s="105"/>
      <c r="CW654" s="105"/>
      <c r="CX654" s="105"/>
      <c r="CY654" s="105"/>
      <c r="CZ654" s="105"/>
      <c r="DA654" s="105"/>
    </row>
    <row r="655">
      <c r="B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c r="AA655" s="105"/>
      <c r="AB655" s="105"/>
      <c r="AC655" s="105"/>
      <c r="AD655" s="105"/>
      <c r="AE655" s="105"/>
      <c r="AF655" s="105"/>
      <c r="AG655" s="105"/>
      <c r="AH655" s="105"/>
      <c r="AI655" s="105"/>
      <c r="AJ655" s="105"/>
      <c r="AK655" s="105"/>
      <c r="AL655" s="105"/>
      <c r="AM655" s="105"/>
      <c r="AN655" s="105"/>
      <c r="AO655" s="105"/>
      <c r="AP655" s="105"/>
      <c r="AQ655" s="105"/>
      <c r="AR655" s="105"/>
      <c r="AS655" s="105"/>
      <c r="AT655" s="105"/>
      <c r="AU655" s="105"/>
      <c r="AV655" s="105"/>
      <c r="AW655" s="105"/>
      <c r="AX655" s="105"/>
      <c r="AY655" s="105"/>
      <c r="AZ655" s="105"/>
      <c r="BA655" s="105"/>
      <c r="BB655" s="105"/>
      <c r="BC655" s="105"/>
      <c r="BD655" s="105"/>
      <c r="BE655" s="105"/>
      <c r="BF655" s="105"/>
      <c r="BG655" s="105"/>
      <c r="BH655" s="105"/>
      <c r="BI655" s="105"/>
      <c r="BJ655" s="105"/>
      <c r="BK655" s="105"/>
      <c r="BL655" s="105"/>
      <c r="BM655" s="105"/>
      <c r="BN655" s="105"/>
      <c r="BO655" s="105"/>
      <c r="BP655" s="105"/>
      <c r="BQ655" s="105"/>
      <c r="BR655" s="105"/>
      <c r="BS655" s="105"/>
      <c r="BT655" s="105"/>
      <c r="BU655" s="105"/>
      <c r="BV655" s="105"/>
      <c r="BW655" s="105"/>
      <c r="BX655" s="105"/>
      <c r="BY655" s="105"/>
      <c r="BZ655" s="105"/>
      <c r="CA655" s="105"/>
      <c r="CB655" s="105"/>
      <c r="CC655" s="105"/>
      <c r="CD655" s="105"/>
      <c r="CE655" s="105"/>
      <c r="CF655" s="105"/>
      <c r="CG655" s="105"/>
      <c r="CH655" s="105"/>
      <c r="CI655" s="105"/>
      <c r="CJ655" s="105"/>
      <c r="CK655" s="105"/>
      <c r="CL655" s="105"/>
      <c r="CM655" s="105"/>
      <c r="CN655" s="105"/>
      <c r="CO655" s="105"/>
      <c r="CP655" s="105"/>
      <c r="CQ655" s="105"/>
      <c r="CR655" s="105"/>
      <c r="CS655" s="105"/>
      <c r="CT655" s="105"/>
      <c r="CU655" s="105"/>
      <c r="CV655" s="105"/>
      <c r="CW655" s="105"/>
      <c r="CX655" s="105"/>
      <c r="CY655" s="105"/>
      <c r="CZ655" s="105"/>
      <c r="DA655" s="105"/>
    </row>
    <row r="656">
      <c r="B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c r="AA656" s="105"/>
      <c r="AB656" s="105"/>
      <c r="AC656" s="105"/>
      <c r="AD656" s="105"/>
      <c r="AE656" s="105"/>
      <c r="AF656" s="105"/>
      <c r="AG656" s="105"/>
      <c r="AH656" s="105"/>
      <c r="AI656" s="105"/>
      <c r="AJ656" s="105"/>
      <c r="AK656" s="105"/>
      <c r="AL656" s="105"/>
      <c r="AM656" s="105"/>
      <c r="AN656" s="105"/>
      <c r="AO656" s="105"/>
      <c r="AP656" s="105"/>
      <c r="AQ656" s="105"/>
      <c r="AR656" s="105"/>
      <c r="AS656" s="105"/>
      <c r="AT656" s="105"/>
      <c r="AU656" s="105"/>
      <c r="AV656" s="105"/>
      <c r="AW656" s="105"/>
      <c r="AX656" s="105"/>
      <c r="AY656" s="105"/>
      <c r="AZ656" s="105"/>
      <c r="BA656" s="105"/>
      <c r="BB656" s="105"/>
      <c r="BC656" s="105"/>
      <c r="BD656" s="105"/>
      <c r="BE656" s="105"/>
      <c r="BF656" s="105"/>
      <c r="BG656" s="105"/>
      <c r="BH656" s="105"/>
      <c r="BI656" s="105"/>
      <c r="BJ656" s="105"/>
      <c r="BK656" s="105"/>
      <c r="BL656" s="105"/>
      <c r="BM656" s="105"/>
      <c r="BN656" s="105"/>
      <c r="BO656" s="105"/>
      <c r="BP656" s="105"/>
      <c r="BQ656" s="105"/>
      <c r="BR656" s="105"/>
      <c r="BS656" s="105"/>
      <c r="BT656" s="105"/>
      <c r="BU656" s="105"/>
      <c r="BV656" s="105"/>
      <c r="BW656" s="105"/>
      <c r="BX656" s="105"/>
      <c r="BY656" s="105"/>
      <c r="BZ656" s="105"/>
      <c r="CA656" s="105"/>
      <c r="CB656" s="105"/>
      <c r="CC656" s="105"/>
      <c r="CD656" s="105"/>
      <c r="CE656" s="105"/>
      <c r="CF656" s="105"/>
      <c r="CG656" s="105"/>
      <c r="CH656" s="105"/>
      <c r="CI656" s="105"/>
      <c r="CJ656" s="105"/>
      <c r="CK656" s="105"/>
      <c r="CL656" s="105"/>
      <c r="CM656" s="105"/>
      <c r="CN656" s="105"/>
      <c r="CO656" s="105"/>
      <c r="CP656" s="105"/>
      <c r="CQ656" s="105"/>
      <c r="CR656" s="105"/>
      <c r="CS656" s="105"/>
      <c r="CT656" s="105"/>
      <c r="CU656" s="105"/>
      <c r="CV656" s="105"/>
      <c r="CW656" s="105"/>
      <c r="CX656" s="105"/>
      <c r="CY656" s="105"/>
      <c r="CZ656" s="105"/>
      <c r="DA656" s="105"/>
    </row>
    <row r="657">
      <c r="B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c r="AA657" s="105"/>
      <c r="AB657" s="105"/>
      <c r="AC657" s="105"/>
      <c r="AD657" s="105"/>
      <c r="AE657" s="105"/>
      <c r="AF657" s="105"/>
      <c r="AG657" s="105"/>
      <c r="AH657" s="105"/>
      <c r="AI657" s="105"/>
      <c r="AJ657" s="105"/>
      <c r="AK657" s="105"/>
      <c r="AL657" s="105"/>
      <c r="AM657" s="105"/>
      <c r="AN657" s="105"/>
      <c r="AO657" s="105"/>
      <c r="AP657" s="105"/>
      <c r="AQ657" s="105"/>
      <c r="AR657" s="105"/>
      <c r="AS657" s="105"/>
      <c r="AT657" s="105"/>
      <c r="AU657" s="105"/>
      <c r="AV657" s="105"/>
      <c r="AW657" s="105"/>
      <c r="AX657" s="105"/>
      <c r="AY657" s="105"/>
      <c r="AZ657" s="105"/>
      <c r="BA657" s="105"/>
      <c r="BB657" s="105"/>
      <c r="BC657" s="105"/>
      <c r="BD657" s="105"/>
      <c r="BE657" s="105"/>
      <c r="BF657" s="105"/>
      <c r="BG657" s="105"/>
      <c r="BH657" s="105"/>
      <c r="BI657" s="105"/>
      <c r="BJ657" s="105"/>
      <c r="BK657" s="105"/>
      <c r="BL657" s="105"/>
      <c r="BM657" s="105"/>
      <c r="BN657" s="105"/>
      <c r="BO657" s="105"/>
      <c r="BP657" s="105"/>
      <c r="BQ657" s="105"/>
      <c r="BR657" s="105"/>
      <c r="BS657" s="105"/>
      <c r="BT657" s="105"/>
      <c r="BU657" s="105"/>
      <c r="BV657" s="105"/>
      <c r="BW657" s="105"/>
      <c r="BX657" s="105"/>
      <c r="BY657" s="105"/>
      <c r="BZ657" s="105"/>
      <c r="CA657" s="105"/>
      <c r="CB657" s="105"/>
      <c r="CC657" s="105"/>
      <c r="CD657" s="105"/>
      <c r="CE657" s="105"/>
      <c r="CF657" s="105"/>
      <c r="CG657" s="105"/>
      <c r="CH657" s="105"/>
      <c r="CI657" s="105"/>
      <c r="CJ657" s="105"/>
      <c r="CK657" s="105"/>
      <c r="CL657" s="105"/>
      <c r="CM657" s="105"/>
      <c r="CN657" s="105"/>
      <c r="CO657" s="105"/>
      <c r="CP657" s="105"/>
      <c r="CQ657" s="105"/>
      <c r="CR657" s="105"/>
      <c r="CS657" s="105"/>
      <c r="CT657" s="105"/>
      <c r="CU657" s="105"/>
      <c r="CV657" s="105"/>
      <c r="CW657" s="105"/>
      <c r="CX657" s="105"/>
      <c r="CY657" s="105"/>
      <c r="CZ657" s="105"/>
      <c r="DA657" s="105"/>
    </row>
    <row r="658">
      <c r="B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c r="AA658" s="105"/>
      <c r="AB658" s="105"/>
      <c r="AC658" s="105"/>
      <c r="AD658" s="105"/>
      <c r="AE658" s="105"/>
      <c r="AF658" s="105"/>
      <c r="AG658" s="105"/>
      <c r="AH658" s="105"/>
      <c r="AI658" s="105"/>
      <c r="AJ658" s="105"/>
      <c r="AK658" s="105"/>
      <c r="AL658" s="105"/>
      <c r="AM658" s="105"/>
      <c r="AN658" s="105"/>
      <c r="AO658" s="105"/>
      <c r="AP658" s="105"/>
      <c r="AQ658" s="105"/>
      <c r="AR658" s="105"/>
      <c r="AS658" s="105"/>
      <c r="AT658" s="105"/>
      <c r="AU658" s="105"/>
      <c r="AV658" s="105"/>
      <c r="AW658" s="105"/>
      <c r="AX658" s="105"/>
      <c r="AY658" s="105"/>
      <c r="AZ658" s="105"/>
      <c r="BA658" s="105"/>
      <c r="BB658" s="105"/>
      <c r="BC658" s="105"/>
      <c r="BD658" s="105"/>
      <c r="BE658" s="105"/>
      <c r="BF658" s="105"/>
      <c r="BG658" s="105"/>
      <c r="BH658" s="105"/>
      <c r="BI658" s="105"/>
      <c r="BJ658" s="105"/>
      <c r="BK658" s="105"/>
      <c r="BL658" s="105"/>
      <c r="BM658" s="105"/>
      <c r="BN658" s="105"/>
      <c r="BO658" s="105"/>
      <c r="BP658" s="105"/>
      <c r="BQ658" s="105"/>
      <c r="BR658" s="105"/>
      <c r="BS658" s="105"/>
      <c r="BT658" s="105"/>
      <c r="BU658" s="105"/>
      <c r="BV658" s="105"/>
      <c r="BW658" s="105"/>
      <c r="BX658" s="105"/>
      <c r="BY658" s="105"/>
      <c r="BZ658" s="105"/>
      <c r="CA658" s="105"/>
      <c r="CB658" s="105"/>
      <c r="CC658" s="105"/>
      <c r="CD658" s="105"/>
      <c r="CE658" s="105"/>
      <c r="CF658" s="105"/>
      <c r="CG658" s="105"/>
      <c r="CH658" s="105"/>
      <c r="CI658" s="105"/>
      <c r="CJ658" s="105"/>
      <c r="CK658" s="105"/>
      <c r="CL658" s="105"/>
      <c r="CM658" s="105"/>
      <c r="CN658" s="105"/>
      <c r="CO658" s="105"/>
      <c r="CP658" s="105"/>
      <c r="CQ658" s="105"/>
      <c r="CR658" s="105"/>
      <c r="CS658" s="105"/>
      <c r="CT658" s="105"/>
      <c r="CU658" s="105"/>
      <c r="CV658" s="105"/>
      <c r="CW658" s="105"/>
      <c r="CX658" s="105"/>
      <c r="CY658" s="105"/>
      <c r="CZ658" s="105"/>
      <c r="DA658" s="105"/>
    </row>
    <row r="659">
      <c r="B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c r="AA659" s="105"/>
      <c r="AB659" s="105"/>
      <c r="AC659" s="105"/>
      <c r="AD659" s="105"/>
      <c r="AE659" s="105"/>
      <c r="AF659" s="105"/>
      <c r="AG659" s="105"/>
      <c r="AH659" s="105"/>
      <c r="AI659" s="105"/>
      <c r="AJ659" s="105"/>
      <c r="AK659" s="105"/>
      <c r="AL659" s="105"/>
      <c r="AM659" s="105"/>
      <c r="AN659" s="105"/>
      <c r="AO659" s="105"/>
      <c r="AP659" s="105"/>
      <c r="AQ659" s="105"/>
      <c r="AR659" s="105"/>
      <c r="AS659" s="105"/>
      <c r="AT659" s="105"/>
      <c r="AU659" s="105"/>
      <c r="AV659" s="105"/>
      <c r="AW659" s="105"/>
      <c r="AX659" s="105"/>
      <c r="AY659" s="105"/>
      <c r="AZ659" s="105"/>
      <c r="BA659" s="105"/>
      <c r="BB659" s="105"/>
      <c r="BC659" s="105"/>
      <c r="BD659" s="105"/>
      <c r="BE659" s="105"/>
      <c r="BF659" s="105"/>
      <c r="BG659" s="105"/>
      <c r="BH659" s="105"/>
      <c r="BI659" s="105"/>
      <c r="BJ659" s="105"/>
      <c r="BK659" s="105"/>
      <c r="BL659" s="105"/>
      <c r="BM659" s="105"/>
      <c r="BN659" s="105"/>
      <c r="BO659" s="105"/>
      <c r="BP659" s="105"/>
      <c r="BQ659" s="105"/>
      <c r="BR659" s="105"/>
      <c r="BS659" s="105"/>
      <c r="BT659" s="105"/>
      <c r="BU659" s="105"/>
      <c r="BV659" s="105"/>
      <c r="BW659" s="105"/>
      <c r="BX659" s="105"/>
      <c r="BY659" s="105"/>
      <c r="BZ659" s="105"/>
      <c r="CA659" s="105"/>
      <c r="CB659" s="105"/>
      <c r="CC659" s="105"/>
      <c r="CD659" s="105"/>
      <c r="CE659" s="105"/>
      <c r="CF659" s="105"/>
      <c r="CG659" s="105"/>
      <c r="CH659" s="105"/>
      <c r="CI659" s="105"/>
      <c r="CJ659" s="105"/>
      <c r="CK659" s="105"/>
      <c r="CL659" s="105"/>
      <c r="CM659" s="105"/>
      <c r="CN659" s="105"/>
      <c r="CO659" s="105"/>
      <c r="CP659" s="105"/>
      <c r="CQ659" s="105"/>
      <c r="CR659" s="105"/>
      <c r="CS659" s="105"/>
      <c r="CT659" s="105"/>
      <c r="CU659" s="105"/>
      <c r="CV659" s="105"/>
      <c r="CW659" s="105"/>
      <c r="CX659" s="105"/>
      <c r="CY659" s="105"/>
      <c r="CZ659" s="105"/>
      <c r="DA659" s="105"/>
    </row>
    <row r="660">
      <c r="B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c r="AA660" s="105"/>
      <c r="AB660" s="105"/>
      <c r="AC660" s="105"/>
      <c r="AD660" s="105"/>
      <c r="AE660" s="105"/>
      <c r="AF660" s="105"/>
      <c r="AG660" s="105"/>
      <c r="AH660" s="105"/>
      <c r="AI660" s="105"/>
      <c r="AJ660" s="105"/>
      <c r="AK660" s="105"/>
      <c r="AL660" s="105"/>
      <c r="AM660" s="105"/>
      <c r="AN660" s="105"/>
      <c r="AO660" s="105"/>
      <c r="AP660" s="105"/>
      <c r="AQ660" s="105"/>
      <c r="AR660" s="105"/>
      <c r="AS660" s="105"/>
      <c r="AT660" s="105"/>
      <c r="AU660" s="105"/>
      <c r="AV660" s="105"/>
      <c r="AW660" s="105"/>
      <c r="AX660" s="105"/>
      <c r="AY660" s="105"/>
      <c r="AZ660" s="105"/>
      <c r="BA660" s="105"/>
      <c r="BB660" s="105"/>
      <c r="BC660" s="105"/>
      <c r="BD660" s="105"/>
      <c r="BE660" s="105"/>
      <c r="BF660" s="105"/>
      <c r="BG660" s="105"/>
      <c r="BH660" s="105"/>
      <c r="BI660" s="105"/>
      <c r="BJ660" s="105"/>
      <c r="BK660" s="105"/>
      <c r="BL660" s="105"/>
      <c r="BM660" s="105"/>
      <c r="BN660" s="105"/>
      <c r="BO660" s="105"/>
      <c r="BP660" s="105"/>
      <c r="BQ660" s="105"/>
      <c r="BR660" s="105"/>
      <c r="BS660" s="105"/>
      <c r="BT660" s="105"/>
      <c r="BU660" s="105"/>
      <c r="BV660" s="105"/>
      <c r="BW660" s="105"/>
      <c r="BX660" s="105"/>
      <c r="BY660" s="105"/>
      <c r="BZ660" s="105"/>
      <c r="CA660" s="105"/>
      <c r="CB660" s="105"/>
      <c r="CC660" s="105"/>
      <c r="CD660" s="105"/>
      <c r="CE660" s="105"/>
      <c r="CF660" s="105"/>
      <c r="CG660" s="105"/>
      <c r="CH660" s="105"/>
      <c r="CI660" s="105"/>
      <c r="CJ660" s="105"/>
      <c r="CK660" s="105"/>
      <c r="CL660" s="105"/>
      <c r="CM660" s="105"/>
      <c r="CN660" s="105"/>
      <c r="CO660" s="105"/>
      <c r="CP660" s="105"/>
      <c r="CQ660" s="105"/>
      <c r="CR660" s="105"/>
      <c r="CS660" s="105"/>
      <c r="CT660" s="105"/>
      <c r="CU660" s="105"/>
      <c r="CV660" s="105"/>
      <c r="CW660" s="105"/>
      <c r="CX660" s="105"/>
      <c r="CY660" s="105"/>
      <c r="CZ660" s="105"/>
      <c r="DA660" s="105"/>
    </row>
    <row r="661">
      <c r="B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c r="AA661" s="105"/>
      <c r="AB661" s="105"/>
      <c r="AC661" s="105"/>
      <c r="AD661" s="105"/>
      <c r="AE661" s="105"/>
      <c r="AF661" s="105"/>
      <c r="AG661" s="105"/>
      <c r="AH661" s="105"/>
      <c r="AI661" s="105"/>
      <c r="AJ661" s="105"/>
      <c r="AK661" s="105"/>
      <c r="AL661" s="105"/>
      <c r="AM661" s="105"/>
      <c r="AN661" s="105"/>
      <c r="AO661" s="105"/>
      <c r="AP661" s="105"/>
      <c r="AQ661" s="105"/>
      <c r="AR661" s="105"/>
      <c r="AS661" s="105"/>
      <c r="AT661" s="105"/>
      <c r="AU661" s="105"/>
      <c r="AV661" s="105"/>
      <c r="AW661" s="105"/>
      <c r="AX661" s="105"/>
      <c r="AY661" s="105"/>
      <c r="AZ661" s="105"/>
      <c r="BA661" s="105"/>
      <c r="BB661" s="105"/>
      <c r="BC661" s="105"/>
      <c r="BD661" s="105"/>
      <c r="BE661" s="105"/>
      <c r="BF661" s="105"/>
      <c r="BG661" s="105"/>
      <c r="BH661" s="105"/>
      <c r="BI661" s="105"/>
      <c r="BJ661" s="105"/>
      <c r="BK661" s="105"/>
      <c r="BL661" s="105"/>
      <c r="BM661" s="105"/>
      <c r="BN661" s="105"/>
      <c r="BO661" s="105"/>
      <c r="BP661" s="105"/>
      <c r="BQ661" s="105"/>
      <c r="BR661" s="105"/>
      <c r="BS661" s="105"/>
      <c r="BT661" s="105"/>
      <c r="BU661" s="105"/>
      <c r="BV661" s="105"/>
      <c r="BW661" s="105"/>
      <c r="BX661" s="105"/>
      <c r="BY661" s="105"/>
      <c r="BZ661" s="105"/>
      <c r="CA661" s="105"/>
      <c r="CB661" s="105"/>
      <c r="CC661" s="105"/>
      <c r="CD661" s="105"/>
      <c r="CE661" s="105"/>
      <c r="CF661" s="105"/>
      <c r="CG661" s="105"/>
      <c r="CH661" s="105"/>
      <c r="CI661" s="105"/>
      <c r="CJ661" s="105"/>
      <c r="CK661" s="105"/>
      <c r="CL661" s="105"/>
      <c r="CM661" s="105"/>
      <c r="CN661" s="105"/>
      <c r="CO661" s="105"/>
      <c r="CP661" s="105"/>
      <c r="CQ661" s="105"/>
      <c r="CR661" s="105"/>
      <c r="CS661" s="105"/>
      <c r="CT661" s="105"/>
      <c r="CU661" s="105"/>
      <c r="CV661" s="105"/>
      <c r="CW661" s="105"/>
      <c r="CX661" s="105"/>
      <c r="CY661" s="105"/>
      <c r="CZ661" s="105"/>
      <c r="DA661" s="105"/>
    </row>
    <row r="662">
      <c r="B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c r="AA662" s="105"/>
      <c r="AB662" s="105"/>
      <c r="AC662" s="105"/>
      <c r="AD662" s="105"/>
      <c r="AE662" s="105"/>
      <c r="AF662" s="105"/>
      <c r="AG662" s="105"/>
      <c r="AH662" s="105"/>
      <c r="AI662" s="105"/>
      <c r="AJ662" s="105"/>
      <c r="AK662" s="105"/>
      <c r="AL662" s="105"/>
      <c r="AM662" s="105"/>
      <c r="AN662" s="105"/>
      <c r="AO662" s="105"/>
      <c r="AP662" s="105"/>
      <c r="AQ662" s="105"/>
      <c r="AR662" s="105"/>
      <c r="AS662" s="105"/>
      <c r="AT662" s="105"/>
      <c r="AU662" s="105"/>
      <c r="AV662" s="105"/>
      <c r="AW662" s="105"/>
      <c r="AX662" s="105"/>
      <c r="AY662" s="105"/>
      <c r="AZ662" s="105"/>
      <c r="BA662" s="105"/>
      <c r="BB662" s="105"/>
      <c r="BC662" s="105"/>
      <c r="BD662" s="105"/>
      <c r="BE662" s="105"/>
      <c r="BF662" s="105"/>
      <c r="BG662" s="105"/>
      <c r="BH662" s="105"/>
      <c r="BI662" s="105"/>
      <c r="BJ662" s="105"/>
      <c r="BK662" s="105"/>
      <c r="BL662" s="105"/>
      <c r="BM662" s="105"/>
      <c r="BN662" s="105"/>
      <c r="BO662" s="105"/>
      <c r="BP662" s="105"/>
      <c r="BQ662" s="105"/>
      <c r="BR662" s="105"/>
      <c r="BS662" s="105"/>
      <c r="BT662" s="105"/>
      <c r="BU662" s="105"/>
      <c r="BV662" s="105"/>
      <c r="BW662" s="105"/>
      <c r="BX662" s="105"/>
      <c r="BY662" s="105"/>
      <c r="BZ662" s="105"/>
      <c r="CA662" s="105"/>
      <c r="CB662" s="105"/>
      <c r="CC662" s="105"/>
      <c r="CD662" s="105"/>
      <c r="CE662" s="105"/>
      <c r="CF662" s="105"/>
      <c r="CG662" s="105"/>
      <c r="CH662" s="105"/>
      <c r="CI662" s="105"/>
      <c r="CJ662" s="105"/>
      <c r="CK662" s="105"/>
      <c r="CL662" s="105"/>
      <c r="CM662" s="105"/>
      <c r="CN662" s="105"/>
      <c r="CO662" s="105"/>
      <c r="CP662" s="105"/>
      <c r="CQ662" s="105"/>
      <c r="CR662" s="105"/>
      <c r="CS662" s="105"/>
      <c r="CT662" s="105"/>
      <c r="CU662" s="105"/>
      <c r="CV662" s="105"/>
      <c r="CW662" s="105"/>
      <c r="CX662" s="105"/>
      <c r="CY662" s="105"/>
      <c r="CZ662" s="105"/>
      <c r="DA662" s="105"/>
    </row>
    <row r="663">
      <c r="B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c r="AA663" s="105"/>
      <c r="AB663" s="105"/>
      <c r="AC663" s="105"/>
      <c r="AD663" s="105"/>
      <c r="AE663" s="105"/>
      <c r="AF663" s="105"/>
      <c r="AG663" s="105"/>
      <c r="AH663" s="105"/>
      <c r="AI663" s="105"/>
      <c r="AJ663" s="105"/>
      <c r="AK663" s="105"/>
      <c r="AL663" s="105"/>
      <c r="AM663" s="105"/>
      <c r="AN663" s="105"/>
      <c r="AO663" s="105"/>
      <c r="AP663" s="105"/>
      <c r="AQ663" s="105"/>
      <c r="AR663" s="105"/>
      <c r="AS663" s="105"/>
      <c r="AT663" s="105"/>
      <c r="AU663" s="105"/>
      <c r="AV663" s="105"/>
      <c r="AW663" s="105"/>
      <c r="AX663" s="105"/>
      <c r="AY663" s="105"/>
      <c r="AZ663" s="105"/>
      <c r="BA663" s="105"/>
      <c r="BB663" s="105"/>
      <c r="BC663" s="105"/>
      <c r="BD663" s="105"/>
      <c r="BE663" s="105"/>
      <c r="BF663" s="105"/>
      <c r="BG663" s="105"/>
      <c r="BH663" s="105"/>
      <c r="BI663" s="105"/>
      <c r="BJ663" s="105"/>
      <c r="BK663" s="105"/>
      <c r="BL663" s="105"/>
      <c r="BM663" s="105"/>
      <c r="BN663" s="105"/>
      <c r="BO663" s="105"/>
      <c r="BP663" s="105"/>
      <c r="BQ663" s="105"/>
      <c r="BR663" s="105"/>
      <c r="BS663" s="105"/>
      <c r="BT663" s="105"/>
      <c r="BU663" s="105"/>
      <c r="BV663" s="105"/>
      <c r="BW663" s="105"/>
      <c r="BX663" s="105"/>
      <c r="BY663" s="105"/>
      <c r="BZ663" s="105"/>
      <c r="CA663" s="105"/>
      <c r="CB663" s="105"/>
      <c r="CC663" s="105"/>
      <c r="CD663" s="105"/>
      <c r="CE663" s="105"/>
      <c r="CF663" s="105"/>
      <c r="CG663" s="105"/>
      <c r="CH663" s="105"/>
      <c r="CI663" s="105"/>
      <c r="CJ663" s="105"/>
      <c r="CK663" s="105"/>
      <c r="CL663" s="105"/>
      <c r="CM663" s="105"/>
      <c r="CN663" s="105"/>
      <c r="CO663" s="105"/>
      <c r="CP663" s="105"/>
      <c r="CQ663" s="105"/>
      <c r="CR663" s="105"/>
      <c r="CS663" s="105"/>
      <c r="CT663" s="105"/>
      <c r="CU663" s="105"/>
      <c r="CV663" s="105"/>
      <c r="CW663" s="105"/>
      <c r="CX663" s="105"/>
      <c r="CY663" s="105"/>
      <c r="CZ663" s="105"/>
      <c r="DA663" s="105"/>
    </row>
    <row r="664">
      <c r="B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c r="AA664" s="105"/>
      <c r="AB664" s="105"/>
      <c r="AC664" s="105"/>
      <c r="AD664" s="105"/>
      <c r="AE664" s="105"/>
      <c r="AF664" s="105"/>
      <c r="AG664" s="105"/>
      <c r="AH664" s="105"/>
      <c r="AI664" s="105"/>
      <c r="AJ664" s="105"/>
      <c r="AK664" s="105"/>
      <c r="AL664" s="105"/>
      <c r="AM664" s="105"/>
      <c r="AN664" s="105"/>
      <c r="AO664" s="105"/>
      <c r="AP664" s="105"/>
      <c r="AQ664" s="105"/>
      <c r="AR664" s="105"/>
      <c r="AS664" s="105"/>
      <c r="AT664" s="105"/>
      <c r="AU664" s="105"/>
      <c r="AV664" s="105"/>
      <c r="AW664" s="105"/>
      <c r="AX664" s="105"/>
      <c r="AY664" s="105"/>
      <c r="AZ664" s="105"/>
      <c r="BA664" s="105"/>
      <c r="BB664" s="105"/>
      <c r="BC664" s="105"/>
      <c r="BD664" s="105"/>
      <c r="BE664" s="105"/>
      <c r="BF664" s="105"/>
      <c r="BG664" s="105"/>
      <c r="BH664" s="105"/>
      <c r="BI664" s="105"/>
      <c r="BJ664" s="105"/>
      <c r="BK664" s="105"/>
      <c r="BL664" s="105"/>
      <c r="BM664" s="105"/>
      <c r="BN664" s="105"/>
      <c r="BO664" s="105"/>
      <c r="BP664" s="105"/>
      <c r="BQ664" s="105"/>
      <c r="BR664" s="105"/>
      <c r="BS664" s="105"/>
      <c r="BT664" s="105"/>
      <c r="BU664" s="105"/>
      <c r="BV664" s="105"/>
      <c r="BW664" s="105"/>
      <c r="BX664" s="105"/>
      <c r="BY664" s="105"/>
      <c r="BZ664" s="105"/>
      <c r="CA664" s="105"/>
      <c r="CB664" s="105"/>
      <c r="CC664" s="105"/>
      <c r="CD664" s="105"/>
      <c r="CE664" s="105"/>
      <c r="CF664" s="105"/>
      <c r="CG664" s="105"/>
      <c r="CH664" s="105"/>
      <c r="CI664" s="105"/>
      <c r="CJ664" s="105"/>
      <c r="CK664" s="105"/>
      <c r="CL664" s="105"/>
      <c r="CM664" s="105"/>
      <c r="CN664" s="105"/>
      <c r="CO664" s="105"/>
      <c r="CP664" s="105"/>
      <c r="CQ664" s="105"/>
      <c r="CR664" s="105"/>
      <c r="CS664" s="105"/>
      <c r="CT664" s="105"/>
      <c r="CU664" s="105"/>
      <c r="CV664" s="105"/>
      <c r="CW664" s="105"/>
      <c r="CX664" s="105"/>
      <c r="CY664" s="105"/>
      <c r="CZ664" s="105"/>
      <c r="DA664" s="105"/>
    </row>
    <row r="665">
      <c r="B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c r="AA665" s="105"/>
      <c r="AB665" s="105"/>
      <c r="AC665" s="105"/>
      <c r="AD665" s="105"/>
      <c r="AE665" s="105"/>
      <c r="AF665" s="105"/>
      <c r="AG665" s="105"/>
      <c r="AH665" s="105"/>
      <c r="AI665" s="105"/>
      <c r="AJ665" s="105"/>
      <c r="AK665" s="105"/>
      <c r="AL665" s="105"/>
      <c r="AM665" s="105"/>
      <c r="AN665" s="105"/>
      <c r="AO665" s="105"/>
      <c r="AP665" s="105"/>
      <c r="AQ665" s="105"/>
      <c r="AR665" s="105"/>
      <c r="AS665" s="105"/>
      <c r="AT665" s="105"/>
      <c r="AU665" s="105"/>
      <c r="AV665" s="105"/>
      <c r="AW665" s="105"/>
      <c r="AX665" s="105"/>
      <c r="AY665" s="105"/>
      <c r="AZ665" s="105"/>
      <c r="BA665" s="105"/>
      <c r="BB665" s="105"/>
      <c r="BC665" s="105"/>
      <c r="BD665" s="105"/>
      <c r="BE665" s="105"/>
      <c r="BF665" s="105"/>
      <c r="BG665" s="105"/>
      <c r="BH665" s="105"/>
      <c r="BI665" s="105"/>
      <c r="BJ665" s="105"/>
      <c r="BK665" s="105"/>
      <c r="BL665" s="105"/>
      <c r="BM665" s="105"/>
      <c r="BN665" s="105"/>
      <c r="BO665" s="105"/>
      <c r="BP665" s="105"/>
      <c r="BQ665" s="105"/>
      <c r="BR665" s="105"/>
      <c r="BS665" s="105"/>
      <c r="BT665" s="105"/>
      <c r="BU665" s="105"/>
      <c r="BV665" s="105"/>
      <c r="BW665" s="105"/>
      <c r="BX665" s="105"/>
      <c r="BY665" s="105"/>
      <c r="BZ665" s="105"/>
      <c r="CA665" s="105"/>
      <c r="CB665" s="105"/>
      <c r="CC665" s="105"/>
      <c r="CD665" s="105"/>
      <c r="CE665" s="105"/>
      <c r="CF665" s="105"/>
      <c r="CG665" s="105"/>
      <c r="CH665" s="105"/>
      <c r="CI665" s="105"/>
      <c r="CJ665" s="105"/>
      <c r="CK665" s="105"/>
      <c r="CL665" s="105"/>
      <c r="CM665" s="105"/>
      <c r="CN665" s="105"/>
      <c r="CO665" s="105"/>
      <c r="CP665" s="105"/>
      <c r="CQ665" s="105"/>
      <c r="CR665" s="105"/>
      <c r="CS665" s="105"/>
      <c r="CT665" s="105"/>
      <c r="CU665" s="105"/>
      <c r="CV665" s="105"/>
      <c r="CW665" s="105"/>
      <c r="CX665" s="105"/>
      <c r="CY665" s="105"/>
      <c r="CZ665" s="105"/>
      <c r="DA665" s="105"/>
    </row>
    <row r="666">
      <c r="B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c r="AA666" s="105"/>
      <c r="AB666" s="105"/>
      <c r="AC666" s="105"/>
      <c r="AD666" s="105"/>
      <c r="AE666" s="105"/>
      <c r="AF666" s="105"/>
      <c r="AG666" s="105"/>
      <c r="AH666" s="105"/>
      <c r="AI666" s="105"/>
      <c r="AJ666" s="105"/>
      <c r="AK666" s="105"/>
      <c r="AL666" s="105"/>
      <c r="AM666" s="105"/>
      <c r="AN666" s="105"/>
      <c r="AO666" s="105"/>
      <c r="AP666" s="105"/>
      <c r="AQ666" s="105"/>
      <c r="AR666" s="105"/>
      <c r="AS666" s="105"/>
      <c r="AT666" s="105"/>
      <c r="AU666" s="105"/>
      <c r="AV666" s="105"/>
      <c r="AW666" s="105"/>
      <c r="AX666" s="105"/>
      <c r="AY666" s="105"/>
      <c r="AZ666" s="105"/>
      <c r="BA666" s="105"/>
      <c r="BB666" s="105"/>
      <c r="BC666" s="105"/>
      <c r="BD666" s="105"/>
      <c r="BE666" s="105"/>
      <c r="BF666" s="105"/>
      <c r="BG666" s="105"/>
      <c r="BH666" s="105"/>
      <c r="BI666" s="105"/>
      <c r="BJ666" s="105"/>
      <c r="BK666" s="105"/>
      <c r="BL666" s="105"/>
      <c r="BM666" s="105"/>
      <c r="BN666" s="105"/>
      <c r="BO666" s="105"/>
      <c r="BP666" s="105"/>
      <c r="BQ666" s="105"/>
      <c r="BR666" s="105"/>
      <c r="BS666" s="105"/>
      <c r="BT666" s="105"/>
      <c r="BU666" s="105"/>
      <c r="BV666" s="105"/>
      <c r="BW666" s="105"/>
      <c r="BX666" s="105"/>
      <c r="BY666" s="105"/>
      <c r="BZ666" s="105"/>
      <c r="CA666" s="105"/>
      <c r="CB666" s="105"/>
      <c r="CC666" s="105"/>
      <c r="CD666" s="105"/>
      <c r="CE666" s="105"/>
      <c r="CF666" s="105"/>
      <c r="CG666" s="105"/>
      <c r="CH666" s="105"/>
      <c r="CI666" s="105"/>
      <c r="CJ666" s="105"/>
      <c r="CK666" s="105"/>
      <c r="CL666" s="105"/>
      <c r="CM666" s="105"/>
      <c r="CN666" s="105"/>
      <c r="CO666" s="105"/>
      <c r="CP666" s="105"/>
      <c r="CQ666" s="105"/>
      <c r="CR666" s="105"/>
      <c r="CS666" s="105"/>
      <c r="CT666" s="105"/>
      <c r="CU666" s="105"/>
      <c r="CV666" s="105"/>
      <c r="CW666" s="105"/>
      <c r="CX666" s="105"/>
      <c r="CY666" s="105"/>
      <c r="CZ666" s="105"/>
      <c r="DA666" s="105"/>
    </row>
    <row r="667">
      <c r="B667" s="105"/>
      <c r="F667" s="105"/>
      <c r="G667" s="105"/>
      <c r="H667" s="105"/>
      <c r="I667" s="105"/>
      <c r="J667" s="105"/>
      <c r="K667" s="105"/>
      <c r="L667" s="105"/>
      <c r="M667" s="105"/>
      <c r="N667" s="105"/>
      <c r="O667" s="105"/>
      <c r="P667" s="105"/>
      <c r="Q667" s="105"/>
      <c r="R667" s="105"/>
      <c r="S667" s="105"/>
      <c r="T667" s="105"/>
      <c r="U667" s="105"/>
      <c r="V667" s="105"/>
      <c r="W667" s="105"/>
      <c r="X667" s="105"/>
      <c r="Y667" s="105"/>
      <c r="Z667" s="105"/>
      <c r="AA667" s="105"/>
      <c r="AB667" s="105"/>
      <c r="AC667" s="105"/>
      <c r="AD667" s="105"/>
      <c r="AE667" s="105"/>
      <c r="AF667" s="105"/>
      <c r="AG667" s="105"/>
      <c r="AH667" s="105"/>
      <c r="AI667" s="105"/>
      <c r="AJ667" s="105"/>
      <c r="AK667" s="105"/>
      <c r="AL667" s="105"/>
      <c r="AM667" s="105"/>
      <c r="AN667" s="105"/>
      <c r="AO667" s="105"/>
      <c r="AP667" s="105"/>
      <c r="AQ667" s="105"/>
      <c r="AR667" s="105"/>
      <c r="AS667" s="105"/>
      <c r="AT667" s="105"/>
      <c r="AU667" s="105"/>
      <c r="AV667" s="105"/>
      <c r="AW667" s="105"/>
      <c r="AX667" s="105"/>
      <c r="AY667" s="105"/>
      <c r="AZ667" s="105"/>
      <c r="BA667" s="105"/>
      <c r="BB667" s="105"/>
      <c r="BC667" s="105"/>
      <c r="BD667" s="105"/>
      <c r="BE667" s="105"/>
      <c r="BF667" s="105"/>
      <c r="BG667" s="105"/>
      <c r="BH667" s="105"/>
      <c r="BI667" s="105"/>
      <c r="BJ667" s="105"/>
      <c r="BK667" s="105"/>
      <c r="BL667" s="105"/>
      <c r="BM667" s="105"/>
      <c r="BN667" s="105"/>
      <c r="BO667" s="105"/>
      <c r="BP667" s="105"/>
      <c r="BQ667" s="105"/>
      <c r="BR667" s="105"/>
      <c r="BS667" s="105"/>
      <c r="BT667" s="105"/>
      <c r="BU667" s="105"/>
      <c r="BV667" s="105"/>
      <c r="BW667" s="105"/>
      <c r="BX667" s="105"/>
      <c r="BY667" s="105"/>
      <c r="BZ667" s="105"/>
      <c r="CA667" s="105"/>
      <c r="CB667" s="105"/>
      <c r="CC667" s="105"/>
      <c r="CD667" s="105"/>
      <c r="CE667" s="105"/>
      <c r="CF667" s="105"/>
      <c r="CG667" s="105"/>
      <c r="CH667" s="105"/>
      <c r="CI667" s="105"/>
      <c r="CJ667" s="105"/>
      <c r="CK667" s="105"/>
      <c r="CL667" s="105"/>
      <c r="CM667" s="105"/>
      <c r="CN667" s="105"/>
      <c r="CO667" s="105"/>
      <c r="CP667" s="105"/>
      <c r="CQ667" s="105"/>
      <c r="CR667" s="105"/>
      <c r="CS667" s="105"/>
      <c r="CT667" s="105"/>
      <c r="CU667" s="105"/>
      <c r="CV667" s="105"/>
      <c r="CW667" s="105"/>
      <c r="CX667" s="105"/>
      <c r="CY667" s="105"/>
      <c r="CZ667" s="105"/>
      <c r="DA667" s="105"/>
    </row>
    <row r="668">
      <c r="B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c r="AA668" s="105"/>
      <c r="AB668" s="105"/>
      <c r="AC668" s="105"/>
      <c r="AD668" s="105"/>
      <c r="AE668" s="105"/>
      <c r="AF668" s="105"/>
      <c r="AG668" s="105"/>
      <c r="AH668" s="105"/>
      <c r="AI668" s="105"/>
      <c r="AJ668" s="105"/>
      <c r="AK668" s="105"/>
      <c r="AL668" s="105"/>
      <c r="AM668" s="105"/>
      <c r="AN668" s="105"/>
      <c r="AO668" s="105"/>
      <c r="AP668" s="105"/>
      <c r="AQ668" s="105"/>
      <c r="AR668" s="105"/>
      <c r="AS668" s="105"/>
      <c r="AT668" s="105"/>
      <c r="AU668" s="105"/>
      <c r="AV668" s="105"/>
      <c r="AW668" s="105"/>
      <c r="AX668" s="105"/>
      <c r="AY668" s="105"/>
      <c r="AZ668" s="105"/>
      <c r="BA668" s="105"/>
      <c r="BB668" s="105"/>
      <c r="BC668" s="105"/>
      <c r="BD668" s="105"/>
      <c r="BE668" s="105"/>
      <c r="BF668" s="105"/>
      <c r="BG668" s="105"/>
      <c r="BH668" s="105"/>
      <c r="BI668" s="105"/>
      <c r="BJ668" s="105"/>
      <c r="BK668" s="105"/>
      <c r="BL668" s="105"/>
      <c r="BM668" s="105"/>
      <c r="BN668" s="105"/>
      <c r="BO668" s="105"/>
      <c r="BP668" s="105"/>
      <c r="BQ668" s="105"/>
      <c r="BR668" s="105"/>
      <c r="BS668" s="105"/>
      <c r="BT668" s="105"/>
      <c r="BU668" s="105"/>
      <c r="BV668" s="105"/>
      <c r="BW668" s="105"/>
      <c r="BX668" s="105"/>
      <c r="BY668" s="105"/>
      <c r="BZ668" s="105"/>
      <c r="CA668" s="105"/>
      <c r="CB668" s="105"/>
      <c r="CC668" s="105"/>
      <c r="CD668" s="105"/>
      <c r="CE668" s="105"/>
      <c r="CF668" s="105"/>
      <c r="CG668" s="105"/>
      <c r="CH668" s="105"/>
      <c r="CI668" s="105"/>
      <c r="CJ668" s="105"/>
      <c r="CK668" s="105"/>
      <c r="CL668" s="105"/>
      <c r="CM668" s="105"/>
      <c r="CN668" s="105"/>
      <c r="CO668" s="105"/>
      <c r="CP668" s="105"/>
      <c r="CQ668" s="105"/>
      <c r="CR668" s="105"/>
      <c r="CS668" s="105"/>
      <c r="CT668" s="105"/>
      <c r="CU668" s="105"/>
      <c r="CV668" s="105"/>
      <c r="CW668" s="105"/>
      <c r="CX668" s="105"/>
      <c r="CY668" s="105"/>
      <c r="CZ668" s="105"/>
      <c r="DA668" s="105"/>
    </row>
    <row r="669">
      <c r="B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c r="AA669" s="105"/>
      <c r="AB669" s="105"/>
      <c r="AC669" s="105"/>
      <c r="AD669" s="105"/>
      <c r="AE669" s="105"/>
      <c r="AF669" s="105"/>
      <c r="AG669" s="105"/>
      <c r="AH669" s="105"/>
      <c r="AI669" s="105"/>
      <c r="AJ669" s="105"/>
      <c r="AK669" s="105"/>
      <c r="AL669" s="105"/>
      <c r="AM669" s="105"/>
      <c r="AN669" s="105"/>
      <c r="AO669" s="105"/>
      <c r="AP669" s="105"/>
      <c r="AQ669" s="105"/>
      <c r="AR669" s="105"/>
      <c r="AS669" s="105"/>
      <c r="AT669" s="105"/>
      <c r="AU669" s="105"/>
      <c r="AV669" s="105"/>
      <c r="AW669" s="105"/>
      <c r="AX669" s="105"/>
      <c r="AY669" s="105"/>
      <c r="AZ669" s="105"/>
      <c r="BA669" s="105"/>
      <c r="BB669" s="105"/>
      <c r="BC669" s="105"/>
      <c r="BD669" s="105"/>
      <c r="BE669" s="105"/>
      <c r="BF669" s="105"/>
      <c r="BG669" s="105"/>
      <c r="BH669" s="105"/>
      <c r="BI669" s="105"/>
      <c r="BJ669" s="105"/>
      <c r="BK669" s="105"/>
      <c r="BL669" s="105"/>
      <c r="BM669" s="105"/>
      <c r="BN669" s="105"/>
      <c r="BO669" s="105"/>
      <c r="BP669" s="105"/>
      <c r="BQ669" s="105"/>
      <c r="BR669" s="105"/>
      <c r="BS669" s="105"/>
      <c r="BT669" s="105"/>
      <c r="BU669" s="105"/>
      <c r="BV669" s="105"/>
      <c r="BW669" s="105"/>
      <c r="BX669" s="105"/>
      <c r="BY669" s="105"/>
      <c r="BZ669" s="105"/>
      <c r="CA669" s="105"/>
      <c r="CB669" s="105"/>
      <c r="CC669" s="105"/>
      <c r="CD669" s="105"/>
      <c r="CE669" s="105"/>
      <c r="CF669" s="105"/>
      <c r="CG669" s="105"/>
      <c r="CH669" s="105"/>
      <c r="CI669" s="105"/>
      <c r="CJ669" s="105"/>
      <c r="CK669" s="105"/>
      <c r="CL669" s="105"/>
      <c r="CM669" s="105"/>
      <c r="CN669" s="105"/>
      <c r="CO669" s="105"/>
      <c r="CP669" s="105"/>
      <c r="CQ669" s="105"/>
      <c r="CR669" s="105"/>
      <c r="CS669" s="105"/>
      <c r="CT669" s="105"/>
      <c r="CU669" s="105"/>
      <c r="CV669" s="105"/>
      <c r="CW669" s="105"/>
      <c r="CX669" s="105"/>
      <c r="CY669" s="105"/>
      <c r="CZ669" s="105"/>
      <c r="DA669" s="105"/>
    </row>
    <row r="670">
      <c r="B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c r="AA670" s="105"/>
      <c r="AB670" s="105"/>
      <c r="AC670" s="105"/>
      <c r="AD670" s="105"/>
      <c r="AE670" s="105"/>
      <c r="AF670" s="105"/>
      <c r="AG670" s="105"/>
      <c r="AH670" s="105"/>
      <c r="AI670" s="105"/>
      <c r="AJ670" s="105"/>
      <c r="AK670" s="105"/>
      <c r="AL670" s="105"/>
      <c r="AM670" s="105"/>
      <c r="AN670" s="105"/>
      <c r="AO670" s="105"/>
      <c r="AP670" s="105"/>
      <c r="AQ670" s="105"/>
      <c r="AR670" s="105"/>
      <c r="AS670" s="105"/>
      <c r="AT670" s="105"/>
      <c r="AU670" s="105"/>
      <c r="AV670" s="105"/>
      <c r="AW670" s="105"/>
      <c r="AX670" s="105"/>
      <c r="AY670" s="105"/>
      <c r="AZ670" s="105"/>
      <c r="BA670" s="105"/>
      <c r="BB670" s="105"/>
      <c r="BC670" s="105"/>
      <c r="BD670" s="105"/>
      <c r="BE670" s="105"/>
      <c r="BF670" s="105"/>
      <c r="BG670" s="105"/>
      <c r="BH670" s="105"/>
      <c r="BI670" s="105"/>
      <c r="BJ670" s="105"/>
      <c r="BK670" s="105"/>
      <c r="BL670" s="105"/>
      <c r="BM670" s="105"/>
      <c r="BN670" s="105"/>
      <c r="BO670" s="105"/>
      <c r="BP670" s="105"/>
      <c r="BQ670" s="105"/>
      <c r="BR670" s="105"/>
      <c r="BS670" s="105"/>
      <c r="BT670" s="105"/>
      <c r="BU670" s="105"/>
      <c r="BV670" s="105"/>
      <c r="BW670" s="105"/>
      <c r="BX670" s="105"/>
      <c r="BY670" s="105"/>
      <c r="BZ670" s="105"/>
      <c r="CA670" s="105"/>
      <c r="CB670" s="105"/>
      <c r="CC670" s="105"/>
      <c r="CD670" s="105"/>
      <c r="CE670" s="105"/>
      <c r="CF670" s="105"/>
      <c r="CG670" s="105"/>
      <c r="CH670" s="105"/>
      <c r="CI670" s="105"/>
      <c r="CJ670" s="105"/>
      <c r="CK670" s="105"/>
      <c r="CL670" s="105"/>
      <c r="CM670" s="105"/>
      <c r="CN670" s="105"/>
      <c r="CO670" s="105"/>
      <c r="CP670" s="105"/>
      <c r="CQ670" s="105"/>
      <c r="CR670" s="105"/>
      <c r="CS670" s="105"/>
      <c r="CT670" s="105"/>
      <c r="CU670" s="105"/>
      <c r="CV670" s="105"/>
      <c r="CW670" s="105"/>
      <c r="CX670" s="105"/>
      <c r="CY670" s="105"/>
      <c r="CZ670" s="105"/>
      <c r="DA670" s="105"/>
    </row>
    <row r="671">
      <c r="B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c r="AA671" s="105"/>
      <c r="AB671" s="105"/>
      <c r="AC671" s="105"/>
      <c r="AD671" s="105"/>
      <c r="AE671" s="105"/>
      <c r="AF671" s="105"/>
      <c r="AG671" s="105"/>
      <c r="AH671" s="105"/>
      <c r="AI671" s="105"/>
      <c r="AJ671" s="105"/>
      <c r="AK671" s="105"/>
      <c r="AL671" s="105"/>
      <c r="AM671" s="105"/>
      <c r="AN671" s="105"/>
      <c r="AO671" s="105"/>
      <c r="AP671" s="105"/>
      <c r="AQ671" s="105"/>
      <c r="AR671" s="105"/>
      <c r="AS671" s="105"/>
      <c r="AT671" s="105"/>
      <c r="AU671" s="105"/>
      <c r="AV671" s="105"/>
      <c r="AW671" s="105"/>
      <c r="AX671" s="105"/>
      <c r="AY671" s="105"/>
      <c r="AZ671" s="105"/>
      <c r="BA671" s="105"/>
      <c r="BB671" s="105"/>
      <c r="BC671" s="105"/>
      <c r="BD671" s="105"/>
      <c r="BE671" s="105"/>
      <c r="BF671" s="105"/>
      <c r="BG671" s="105"/>
      <c r="BH671" s="105"/>
      <c r="BI671" s="105"/>
      <c r="BJ671" s="105"/>
      <c r="BK671" s="105"/>
      <c r="BL671" s="105"/>
      <c r="BM671" s="105"/>
      <c r="BN671" s="105"/>
      <c r="BO671" s="105"/>
      <c r="BP671" s="105"/>
      <c r="BQ671" s="105"/>
      <c r="BR671" s="105"/>
      <c r="BS671" s="105"/>
      <c r="BT671" s="105"/>
      <c r="BU671" s="105"/>
      <c r="BV671" s="105"/>
      <c r="BW671" s="105"/>
      <c r="BX671" s="105"/>
      <c r="BY671" s="105"/>
      <c r="BZ671" s="105"/>
      <c r="CA671" s="105"/>
      <c r="CB671" s="105"/>
      <c r="CC671" s="105"/>
      <c r="CD671" s="105"/>
      <c r="CE671" s="105"/>
      <c r="CF671" s="105"/>
      <c r="CG671" s="105"/>
      <c r="CH671" s="105"/>
      <c r="CI671" s="105"/>
      <c r="CJ671" s="105"/>
      <c r="CK671" s="105"/>
      <c r="CL671" s="105"/>
      <c r="CM671" s="105"/>
      <c r="CN671" s="105"/>
      <c r="CO671" s="105"/>
      <c r="CP671" s="105"/>
      <c r="CQ671" s="105"/>
      <c r="CR671" s="105"/>
      <c r="CS671" s="105"/>
      <c r="CT671" s="105"/>
      <c r="CU671" s="105"/>
      <c r="CV671" s="105"/>
      <c r="CW671" s="105"/>
      <c r="CX671" s="105"/>
      <c r="CY671" s="105"/>
      <c r="CZ671" s="105"/>
      <c r="DA671" s="105"/>
    </row>
    <row r="672">
      <c r="B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c r="AA672" s="105"/>
      <c r="AB672" s="105"/>
      <c r="AC672" s="105"/>
      <c r="AD672" s="105"/>
      <c r="AE672" s="105"/>
      <c r="AF672" s="105"/>
      <c r="AG672" s="105"/>
      <c r="AH672" s="105"/>
      <c r="AI672" s="105"/>
      <c r="AJ672" s="105"/>
      <c r="AK672" s="105"/>
      <c r="AL672" s="105"/>
      <c r="AM672" s="105"/>
      <c r="AN672" s="105"/>
      <c r="AO672" s="105"/>
      <c r="AP672" s="105"/>
      <c r="AQ672" s="105"/>
      <c r="AR672" s="105"/>
      <c r="AS672" s="105"/>
      <c r="AT672" s="105"/>
      <c r="AU672" s="105"/>
      <c r="AV672" s="105"/>
      <c r="AW672" s="105"/>
      <c r="AX672" s="105"/>
      <c r="AY672" s="105"/>
      <c r="AZ672" s="105"/>
      <c r="BA672" s="105"/>
      <c r="BB672" s="105"/>
      <c r="BC672" s="105"/>
      <c r="BD672" s="105"/>
      <c r="BE672" s="105"/>
      <c r="BF672" s="105"/>
      <c r="BG672" s="105"/>
      <c r="BH672" s="105"/>
      <c r="BI672" s="105"/>
      <c r="BJ672" s="105"/>
      <c r="BK672" s="105"/>
      <c r="BL672" s="105"/>
      <c r="BM672" s="105"/>
      <c r="BN672" s="105"/>
      <c r="BO672" s="105"/>
      <c r="BP672" s="105"/>
      <c r="BQ672" s="105"/>
      <c r="BR672" s="105"/>
      <c r="BS672" s="105"/>
      <c r="BT672" s="105"/>
      <c r="BU672" s="105"/>
      <c r="BV672" s="105"/>
      <c r="BW672" s="105"/>
      <c r="BX672" s="105"/>
      <c r="BY672" s="105"/>
      <c r="BZ672" s="105"/>
      <c r="CA672" s="105"/>
      <c r="CB672" s="105"/>
      <c r="CC672" s="105"/>
      <c r="CD672" s="105"/>
      <c r="CE672" s="105"/>
      <c r="CF672" s="105"/>
      <c r="CG672" s="105"/>
      <c r="CH672" s="105"/>
      <c r="CI672" s="105"/>
      <c r="CJ672" s="105"/>
      <c r="CK672" s="105"/>
      <c r="CL672" s="105"/>
      <c r="CM672" s="105"/>
      <c r="CN672" s="105"/>
      <c r="CO672" s="105"/>
      <c r="CP672" s="105"/>
      <c r="CQ672" s="105"/>
      <c r="CR672" s="105"/>
      <c r="CS672" s="105"/>
      <c r="CT672" s="105"/>
      <c r="CU672" s="105"/>
      <c r="CV672" s="105"/>
      <c r="CW672" s="105"/>
      <c r="CX672" s="105"/>
      <c r="CY672" s="105"/>
      <c r="CZ672" s="105"/>
      <c r="DA672" s="105"/>
    </row>
    <row r="673">
      <c r="B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c r="AA673" s="105"/>
      <c r="AB673" s="105"/>
      <c r="AC673" s="105"/>
      <c r="AD673" s="105"/>
      <c r="AE673" s="105"/>
      <c r="AF673" s="105"/>
      <c r="AG673" s="105"/>
      <c r="AH673" s="105"/>
      <c r="AI673" s="105"/>
      <c r="AJ673" s="105"/>
      <c r="AK673" s="105"/>
      <c r="AL673" s="105"/>
      <c r="AM673" s="105"/>
      <c r="AN673" s="105"/>
      <c r="AO673" s="105"/>
      <c r="AP673" s="105"/>
      <c r="AQ673" s="105"/>
      <c r="AR673" s="105"/>
      <c r="AS673" s="105"/>
      <c r="AT673" s="105"/>
      <c r="AU673" s="105"/>
      <c r="AV673" s="105"/>
      <c r="AW673" s="105"/>
      <c r="AX673" s="105"/>
      <c r="AY673" s="105"/>
      <c r="AZ673" s="105"/>
      <c r="BA673" s="105"/>
      <c r="BB673" s="105"/>
      <c r="BC673" s="105"/>
      <c r="BD673" s="105"/>
      <c r="BE673" s="105"/>
      <c r="BF673" s="105"/>
      <c r="BG673" s="105"/>
      <c r="BH673" s="105"/>
      <c r="BI673" s="105"/>
      <c r="BJ673" s="105"/>
      <c r="BK673" s="105"/>
      <c r="BL673" s="105"/>
      <c r="BM673" s="105"/>
      <c r="BN673" s="105"/>
      <c r="BO673" s="105"/>
      <c r="BP673" s="105"/>
      <c r="BQ673" s="105"/>
      <c r="BR673" s="105"/>
      <c r="BS673" s="105"/>
      <c r="BT673" s="105"/>
      <c r="BU673" s="105"/>
      <c r="BV673" s="105"/>
      <c r="BW673" s="105"/>
      <c r="BX673" s="105"/>
      <c r="BY673" s="105"/>
      <c r="BZ673" s="105"/>
      <c r="CA673" s="105"/>
      <c r="CB673" s="105"/>
      <c r="CC673" s="105"/>
      <c r="CD673" s="105"/>
      <c r="CE673" s="105"/>
      <c r="CF673" s="105"/>
      <c r="CG673" s="105"/>
      <c r="CH673" s="105"/>
      <c r="CI673" s="105"/>
      <c r="CJ673" s="105"/>
      <c r="CK673" s="105"/>
      <c r="CL673" s="105"/>
      <c r="CM673" s="105"/>
      <c r="CN673" s="105"/>
      <c r="CO673" s="105"/>
      <c r="CP673" s="105"/>
      <c r="CQ673" s="105"/>
      <c r="CR673" s="105"/>
      <c r="CS673" s="105"/>
      <c r="CT673" s="105"/>
      <c r="CU673" s="105"/>
      <c r="CV673" s="105"/>
      <c r="CW673" s="105"/>
      <c r="CX673" s="105"/>
      <c r="CY673" s="105"/>
      <c r="CZ673" s="105"/>
      <c r="DA673" s="105"/>
    </row>
    <row r="674">
      <c r="B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c r="AA674" s="105"/>
      <c r="AB674" s="105"/>
      <c r="AC674" s="105"/>
      <c r="AD674" s="105"/>
      <c r="AE674" s="105"/>
      <c r="AF674" s="105"/>
      <c r="AG674" s="105"/>
      <c r="AH674" s="105"/>
      <c r="AI674" s="105"/>
      <c r="AJ674" s="105"/>
      <c r="AK674" s="105"/>
      <c r="AL674" s="105"/>
      <c r="AM674" s="105"/>
      <c r="AN674" s="105"/>
      <c r="AO674" s="105"/>
      <c r="AP674" s="105"/>
      <c r="AQ674" s="105"/>
      <c r="AR674" s="105"/>
      <c r="AS674" s="105"/>
      <c r="AT674" s="105"/>
      <c r="AU674" s="105"/>
      <c r="AV674" s="105"/>
      <c r="AW674" s="105"/>
      <c r="AX674" s="105"/>
      <c r="AY674" s="105"/>
      <c r="AZ674" s="105"/>
      <c r="BA674" s="105"/>
      <c r="BB674" s="105"/>
      <c r="BC674" s="105"/>
      <c r="BD674" s="105"/>
      <c r="BE674" s="105"/>
      <c r="BF674" s="105"/>
      <c r="BG674" s="105"/>
      <c r="BH674" s="105"/>
      <c r="BI674" s="105"/>
      <c r="BJ674" s="105"/>
      <c r="BK674" s="105"/>
      <c r="BL674" s="105"/>
      <c r="BM674" s="105"/>
      <c r="BN674" s="105"/>
      <c r="BO674" s="105"/>
      <c r="BP674" s="105"/>
      <c r="BQ674" s="105"/>
      <c r="BR674" s="105"/>
      <c r="BS674" s="105"/>
      <c r="BT674" s="105"/>
      <c r="BU674" s="105"/>
      <c r="BV674" s="105"/>
      <c r="BW674" s="105"/>
      <c r="BX674" s="105"/>
      <c r="BY674" s="105"/>
      <c r="BZ674" s="105"/>
      <c r="CA674" s="105"/>
      <c r="CB674" s="105"/>
      <c r="CC674" s="105"/>
      <c r="CD674" s="105"/>
      <c r="CE674" s="105"/>
      <c r="CF674" s="105"/>
      <c r="CG674" s="105"/>
      <c r="CH674" s="105"/>
      <c r="CI674" s="105"/>
      <c r="CJ674" s="105"/>
      <c r="CK674" s="105"/>
      <c r="CL674" s="105"/>
      <c r="CM674" s="105"/>
      <c r="CN674" s="105"/>
      <c r="CO674" s="105"/>
      <c r="CP674" s="105"/>
      <c r="CQ674" s="105"/>
      <c r="CR674" s="105"/>
      <c r="CS674" s="105"/>
      <c r="CT674" s="105"/>
      <c r="CU674" s="105"/>
      <c r="CV674" s="105"/>
      <c r="CW674" s="105"/>
      <c r="CX674" s="105"/>
      <c r="CY674" s="105"/>
      <c r="CZ674" s="105"/>
      <c r="DA674" s="105"/>
    </row>
    <row r="675">
      <c r="B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c r="AA675" s="105"/>
      <c r="AB675" s="105"/>
      <c r="AC675" s="105"/>
      <c r="AD675" s="105"/>
      <c r="AE675" s="105"/>
      <c r="AF675" s="105"/>
      <c r="AG675" s="105"/>
      <c r="AH675" s="105"/>
      <c r="AI675" s="105"/>
      <c r="AJ675" s="105"/>
      <c r="AK675" s="105"/>
      <c r="AL675" s="105"/>
      <c r="AM675" s="105"/>
      <c r="AN675" s="105"/>
      <c r="AO675" s="105"/>
      <c r="AP675" s="105"/>
      <c r="AQ675" s="105"/>
      <c r="AR675" s="105"/>
      <c r="AS675" s="105"/>
      <c r="AT675" s="105"/>
      <c r="AU675" s="105"/>
      <c r="AV675" s="105"/>
      <c r="AW675" s="105"/>
      <c r="AX675" s="105"/>
      <c r="AY675" s="105"/>
      <c r="AZ675" s="105"/>
      <c r="BA675" s="105"/>
      <c r="BB675" s="105"/>
      <c r="BC675" s="105"/>
      <c r="BD675" s="105"/>
      <c r="BE675" s="105"/>
      <c r="BF675" s="105"/>
      <c r="BG675" s="105"/>
      <c r="BH675" s="105"/>
      <c r="BI675" s="105"/>
      <c r="BJ675" s="105"/>
      <c r="BK675" s="105"/>
      <c r="BL675" s="105"/>
      <c r="BM675" s="105"/>
      <c r="BN675" s="105"/>
      <c r="BO675" s="105"/>
      <c r="BP675" s="105"/>
      <c r="BQ675" s="105"/>
      <c r="BR675" s="105"/>
      <c r="BS675" s="105"/>
      <c r="BT675" s="105"/>
      <c r="BU675" s="105"/>
      <c r="BV675" s="105"/>
      <c r="BW675" s="105"/>
      <c r="BX675" s="105"/>
      <c r="BY675" s="105"/>
      <c r="BZ675" s="105"/>
      <c r="CA675" s="105"/>
      <c r="CB675" s="105"/>
      <c r="CC675" s="105"/>
      <c r="CD675" s="105"/>
      <c r="CE675" s="105"/>
      <c r="CF675" s="105"/>
      <c r="CG675" s="105"/>
      <c r="CH675" s="105"/>
      <c r="CI675" s="105"/>
      <c r="CJ675" s="105"/>
      <c r="CK675" s="105"/>
      <c r="CL675" s="105"/>
      <c r="CM675" s="105"/>
      <c r="CN675" s="105"/>
      <c r="CO675" s="105"/>
      <c r="CP675" s="105"/>
      <c r="CQ675" s="105"/>
      <c r="CR675" s="105"/>
      <c r="CS675" s="105"/>
      <c r="CT675" s="105"/>
      <c r="CU675" s="105"/>
      <c r="CV675" s="105"/>
      <c r="CW675" s="105"/>
      <c r="CX675" s="105"/>
      <c r="CY675" s="105"/>
      <c r="CZ675" s="105"/>
      <c r="DA675" s="105"/>
    </row>
    <row r="676">
      <c r="B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c r="AA676" s="105"/>
      <c r="AB676" s="105"/>
      <c r="AC676" s="105"/>
      <c r="AD676" s="105"/>
      <c r="AE676" s="105"/>
      <c r="AF676" s="105"/>
      <c r="AG676" s="105"/>
      <c r="AH676" s="105"/>
      <c r="AI676" s="105"/>
      <c r="AJ676" s="105"/>
      <c r="AK676" s="105"/>
      <c r="AL676" s="105"/>
      <c r="AM676" s="105"/>
      <c r="AN676" s="105"/>
      <c r="AO676" s="105"/>
      <c r="AP676" s="105"/>
      <c r="AQ676" s="105"/>
      <c r="AR676" s="105"/>
      <c r="AS676" s="105"/>
      <c r="AT676" s="105"/>
      <c r="AU676" s="105"/>
      <c r="AV676" s="105"/>
      <c r="AW676" s="105"/>
      <c r="AX676" s="105"/>
      <c r="AY676" s="105"/>
      <c r="AZ676" s="105"/>
      <c r="BA676" s="105"/>
      <c r="BB676" s="105"/>
      <c r="BC676" s="105"/>
      <c r="BD676" s="105"/>
      <c r="BE676" s="105"/>
      <c r="BF676" s="105"/>
      <c r="BG676" s="105"/>
      <c r="BH676" s="105"/>
      <c r="BI676" s="105"/>
      <c r="BJ676" s="105"/>
      <c r="BK676" s="105"/>
      <c r="BL676" s="105"/>
      <c r="BM676" s="105"/>
      <c r="BN676" s="105"/>
      <c r="BO676" s="105"/>
      <c r="BP676" s="105"/>
      <c r="BQ676" s="105"/>
      <c r="BR676" s="105"/>
      <c r="BS676" s="105"/>
      <c r="BT676" s="105"/>
      <c r="BU676" s="105"/>
      <c r="BV676" s="105"/>
      <c r="BW676" s="105"/>
      <c r="BX676" s="105"/>
      <c r="BY676" s="105"/>
      <c r="BZ676" s="105"/>
      <c r="CA676" s="105"/>
      <c r="CB676" s="105"/>
      <c r="CC676" s="105"/>
      <c r="CD676" s="105"/>
      <c r="CE676" s="105"/>
      <c r="CF676" s="105"/>
      <c r="CG676" s="105"/>
      <c r="CH676" s="105"/>
      <c r="CI676" s="105"/>
      <c r="CJ676" s="105"/>
      <c r="CK676" s="105"/>
      <c r="CL676" s="105"/>
      <c r="CM676" s="105"/>
      <c r="CN676" s="105"/>
      <c r="CO676" s="105"/>
      <c r="CP676" s="105"/>
      <c r="CQ676" s="105"/>
      <c r="CR676" s="105"/>
      <c r="CS676" s="105"/>
      <c r="CT676" s="105"/>
      <c r="CU676" s="105"/>
      <c r="CV676" s="105"/>
      <c r="CW676" s="105"/>
      <c r="CX676" s="105"/>
      <c r="CY676" s="105"/>
      <c r="CZ676" s="105"/>
      <c r="DA676" s="105"/>
    </row>
    <row r="677">
      <c r="B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c r="AA677" s="105"/>
      <c r="AB677" s="105"/>
      <c r="AC677" s="105"/>
      <c r="AD677" s="105"/>
      <c r="AE677" s="105"/>
      <c r="AF677" s="105"/>
      <c r="AG677" s="105"/>
      <c r="AH677" s="105"/>
      <c r="AI677" s="105"/>
      <c r="AJ677" s="105"/>
      <c r="AK677" s="105"/>
      <c r="AL677" s="105"/>
      <c r="AM677" s="105"/>
      <c r="AN677" s="105"/>
      <c r="AO677" s="105"/>
      <c r="AP677" s="105"/>
      <c r="AQ677" s="105"/>
      <c r="AR677" s="105"/>
      <c r="AS677" s="105"/>
      <c r="AT677" s="105"/>
      <c r="AU677" s="105"/>
      <c r="AV677" s="105"/>
      <c r="AW677" s="105"/>
      <c r="AX677" s="105"/>
      <c r="AY677" s="105"/>
      <c r="AZ677" s="105"/>
      <c r="BA677" s="105"/>
      <c r="BB677" s="105"/>
      <c r="BC677" s="105"/>
      <c r="BD677" s="105"/>
      <c r="BE677" s="105"/>
      <c r="BF677" s="105"/>
      <c r="BG677" s="105"/>
      <c r="BH677" s="105"/>
      <c r="BI677" s="105"/>
      <c r="BJ677" s="105"/>
      <c r="BK677" s="105"/>
      <c r="BL677" s="105"/>
      <c r="BM677" s="105"/>
      <c r="BN677" s="105"/>
      <c r="BO677" s="105"/>
      <c r="BP677" s="105"/>
      <c r="BQ677" s="105"/>
      <c r="BR677" s="105"/>
      <c r="BS677" s="105"/>
      <c r="BT677" s="105"/>
      <c r="BU677" s="105"/>
      <c r="BV677" s="105"/>
      <c r="BW677" s="105"/>
      <c r="BX677" s="105"/>
      <c r="BY677" s="105"/>
      <c r="BZ677" s="105"/>
      <c r="CA677" s="105"/>
      <c r="CB677" s="105"/>
      <c r="CC677" s="105"/>
      <c r="CD677" s="105"/>
      <c r="CE677" s="105"/>
      <c r="CF677" s="105"/>
      <c r="CG677" s="105"/>
      <c r="CH677" s="105"/>
      <c r="CI677" s="105"/>
      <c r="CJ677" s="105"/>
      <c r="CK677" s="105"/>
      <c r="CL677" s="105"/>
      <c r="CM677" s="105"/>
      <c r="CN677" s="105"/>
      <c r="CO677" s="105"/>
      <c r="CP677" s="105"/>
      <c r="CQ677" s="105"/>
      <c r="CR677" s="105"/>
      <c r="CS677" s="105"/>
      <c r="CT677" s="105"/>
      <c r="CU677" s="105"/>
      <c r="CV677" s="105"/>
      <c r="CW677" s="105"/>
      <c r="CX677" s="105"/>
      <c r="CY677" s="105"/>
      <c r="CZ677" s="105"/>
      <c r="DA677" s="105"/>
    </row>
    <row r="678">
      <c r="B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c r="AA678" s="105"/>
      <c r="AB678" s="105"/>
      <c r="AC678" s="105"/>
      <c r="AD678" s="105"/>
      <c r="AE678" s="105"/>
      <c r="AF678" s="105"/>
      <c r="AG678" s="105"/>
      <c r="AH678" s="105"/>
      <c r="AI678" s="105"/>
      <c r="AJ678" s="105"/>
      <c r="AK678" s="105"/>
      <c r="AL678" s="105"/>
      <c r="AM678" s="105"/>
      <c r="AN678" s="105"/>
      <c r="AO678" s="105"/>
      <c r="AP678" s="105"/>
      <c r="AQ678" s="105"/>
      <c r="AR678" s="105"/>
      <c r="AS678" s="105"/>
      <c r="AT678" s="105"/>
      <c r="AU678" s="105"/>
      <c r="AV678" s="105"/>
      <c r="AW678" s="105"/>
      <c r="AX678" s="105"/>
      <c r="AY678" s="105"/>
      <c r="AZ678" s="105"/>
      <c r="BA678" s="105"/>
      <c r="BB678" s="105"/>
      <c r="BC678" s="105"/>
      <c r="BD678" s="105"/>
      <c r="BE678" s="105"/>
      <c r="BF678" s="105"/>
      <c r="BG678" s="105"/>
      <c r="BH678" s="105"/>
      <c r="BI678" s="105"/>
      <c r="BJ678" s="105"/>
      <c r="BK678" s="105"/>
      <c r="BL678" s="105"/>
      <c r="BM678" s="105"/>
      <c r="BN678" s="105"/>
      <c r="BO678" s="105"/>
      <c r="BP678" s="105"/>
      <c r="BQ678" s="105"/>
      <c r="BR678" s="105"/>
      <c r="BS678" s="105"/>
      <c r="BT678" s="105"/>
      <c r="BU678" s="105"/>
      <c r="BV678" s="105"/>
      <c r="BW678" s="105"/>
      <c r="BX678" s="105"/>
      <c r="BY678" s="105"/>
      <c r="BZ678" s="105"/>
      <c r="CA678" s="105"/>
      <c r="CB678" s="105"/>
      <c r="CC678" s="105"/>
      <c r="CD678" s="105"/>
      <c r="CE678" s="105"/>
      <c r="CF678" s="105"/>
      <c r="CG678" s="105"/>
      <c r="CH678" s="105"/>
      <c r="CI678" s="105"/>
      <c r="CJ678" s="105"/>
      <c r="CK678" s="105"/>
      <c r="CL678" s="105"/>
      <c r="CM678" s="105"/>
      <c r="CN678" s="105"/>
      <c r="CO678" s="105"/>
      <c r="CP678" s="105"/>
      <c r="CQ678" s="105"/>
      <c r="CR678" s="105"/>
      <c r="CS678" s="105"/>
      <c r="CT678" s="105"/>
      <c r="CU678" s="105"/>
      <c r="CV678" s="105"/>
      <c r="CW678" s="105"/>
      <c r="CX678" s="105"/>
      <c r="CY678" s="105"/>
      <c r="CZ678" s="105"/>
      <c r="DA678" s="105"/>
    </row>
    <row r="679">
      <c r="B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c r="AA679" s="105"/>
      <c r="AB679" s="105"/>
      <c r="AC679" s="105"/>
      <c r="AD679" s="105"/>
      <c r="AE679" s="105"/>
      <c r="AF679" s="105"/>
      <c r="AG679" s="105"/>
      <c r="AH679" s="105"/>
      <c r="AI679" s="105"/>
      <c r="AJ679" s="105"/>
      <c r="AK679" s="105"/>
      <c r="AL679" s="105"/>
      <c r="AM679" s="105"/>
      <c r="AN679" s="105"/>
      <c r="AO679" s="105"/>
      <c r="AP679" s="105"/>
      <c r="AQ679" s="105"/>
      <c r="AR679" s="105"/>
      <c r="AS679" s="105"/>
      <c r="AT679" s="105"/>
      <c r="AU679" s="105"/>
      <c r="AV679" s="105"/>
      <c r="AW679" s="105"/>
      <c r="AX679" s="105"/>
      <c r="AY679" s="105"/>
      <c r="AZ679" s="105"/>
      <c r="BA679" s="105"/>
      <c r="BB679" s="105"/>
      <c r="BC679" s="105"/>
      <c r="BD679" s="105"/>
      <c r="BE679" s="105"/>
      <c r="BF679" s="105"/>
      <c r="BG679" s="105"/>
      <c r="BH679" s="105"/>
      <c r="BI679" s="105"/>
      <c r="BJ679" s="105"/>
      <c r="BK679" s="105"/>
      <c r="BL679" s="105"/>
      <c r="BM679" s="105"/>
      <c r="BN679" s="105"/>
      <c r="BO679" s="105"/>
      <c r="BP679" s="105"/>
      <c r="BQ679" s="105"/>
      <c r="BR679" s="105"/>
      <c r="BS679" s="105"/>
      <c r="BT679" s="105"/>
      <c r="BU679" s="105"/>
      <c r="BV679" s="105"/>
      <c r="BW679" s="105"/>
      <c r="BX679" s="105"/>
      <c r="BY679" s="105"/>
      <c r="BZ679" s="105"/>
      <c r="CA679" s="105"/>
      <c r="CB679" s="105"/>
      <c r="CC679" s="105"/>
      <c r="CD679" s="105"/>
      <c r="CE679" s="105"/>
      <c r="CF679" s="105"/>
      <c r="CG679" s="105"/>
      <c r="CH679" s="105"/>
      <c r="CI679" s="105"/>
      <c r="CJ679" s="105"/>
      <c r="CK679" s="105"/>
      <c r="CL679" s="105"/>
      <c r="CM679" s="105"/>
      <c r="CN679" s="105"/>
      <c r="CO679" s="105"/>
      <c r="CP679" s="105"/>
      <c r="CQ679" s="105"/>
      <c r="CR679" s="105"/>
      <c r="CS679" s="105"/>
      <c r="CT679" s="105"/>
      <c r="CU679" s="105"/>
      <c r="CV679" s="105"/>
      <c r="CW679" s="105"/>
      <c r="CX679" s="105"/>
      <c r="CY679" s="105"/>
      <c r="CZ679" s="105"/>
      <c r="DA679" s="105"/>
    </row>
    <row r="680">
      <c r="B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c r="AA680" s="105"/>
      <c r="AB680" s="105"/>
      <c r="AC680" s="105"/>
      <c r="AD680" s="105"/>
      <c r="AE680" s="105"/>
      <c r="AF680" s="105"/>
      <c r="AG680" s="105"/>
      <c r="AH680" s="105"/>
      <c r="AI680" s="105"/>
      <c r="AJ680" s="105"/>
      <c r="AK680" s="105"/>
      <c r="AL680" s="105"/>
      <c r="AM680" s="105"/>
      <c r="AN680" s="105"/>
      <c r="AO680" s="105"/>
      <c r="AP680" s="105"/>
      <c r="AQ680" s="105"/>
      <c r="AR680" s="105"/>
      <c r="AS680" s="105"/>
      <c r="AT680" s="105"/>
      <c r="AU680" s="105"/>
      <c r="AV680" s="105"/>
      <c r="AW680" s="105"/>
      <c r="AX680" s="105"/>
      <c r="AY680" s="105"/>
      <c r="AZ680" s="105"/>
      <c r="BA680" s="105"/>
      <c r="BB680" s="105"/>
      <c r="BC680" s="105"/>
      <c r="BD680" s="105"/>
      <c r="BE680" s="105"/>
      <c r="BF680" s="105"/>
      <c r="BG680" s="105"/>
      <c r="BH680" s="105"/>
      <c r="BI680" s="105"/>
      <c r="BJ680" s="105"/>
      <c r="BK680" s="105"/>
      <c r="BL680" s="105"/>
      <c r="BM680" s="105"/>
      <c r="BN680" s="105"/>
      <c r="BO680" s="105"/>
      <c r="BP680" s="105"/>
      <c r="BQ680" s="105"/>
      <c r="BR680" s="105"/>
      <c r="BS680" s="105"/>
      <c r="BT680" s="105"/>
      <c r="BU680" s="105"/>
      <c r="BV680" s="105"/>
      <c r="BW680" s="105"/>
      <c r="BX680" s="105"/>
      <c r="BY680" s="105"/>
      <c r="BZ680" s="105"/>
      <c r="CA680" s="105"/>
      <c r="CB680" s="105"/>
      <c r="CC680" s="105"/>
      <c r="CD680" s="105"/>
      <c r="CE680" s="105"/>
      <c r="CF680" s="105"/>
      <c r="CG680" s="105"/>
      <c r="CH680" s="105"/>
      <c r="CI680" s="105"/>
      <c r="CJ680" s="105"/>
      <c r="CK680" s="105"/>
      <c r="CL680" s="105"/>
      <c r="CM680" s="105"/>
      <c r="CN680" s="105"/>
      <c r="CO680" s="105"/>
      <c r="CP680" s="105"/>
      <c r="CQ680" s="105"/>
      <c r="CR680" s="105"/>
      <c r="CS680" s="105"/>
      <c r="CT680" s="105"/>
      <c r="CU680" s="105"/>
      <c r="CV680" s="105"/>
      <c r="CW680" s="105"/>
      <c r="CX680" s="105"/>
      <c r="CY680" s="105"/>
      <c r="CZ680" s="105"/>
      <c r="DA680" s="105"/>
    </row>
    <row r="681">
      <c r="B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c r="AA681" s="105"/>
      <c r="AB681" s="105"/>
      <c r="AC681" s="105"/>
      <c r="AD681" s="105"/>
      <c r="AE681" s="105"/>
      <c r="AF681" s="105"/>
      <c r="AG681" s="105"/>
      <c r="AH681" s="105"/>
      <c r="AI681" s="105"/>
      <c r="AJ681" s="105"/>
      <c r="AK681" s="105"/>
      <c r="AL681" s="105"/>
      <c r="AM681" s="105"/>
      <c r="AN681" s="105"/>
      <c r="AO681" s="105"/>
      <c r="AP681" s="105"/>
      <c r="AQ681" s="105"/>
      <c r="AR681" s="105"/>
      <c r="AS681" s="105"/>
      <c r="AT681" s="105"/>
      <c r="AU681" s="105"/>
      <c r="AV681" s="105"/>
      <c r="AW681" s="105"/>
      <c r="AX681" s="105"/>
      <c r="AY681" s="105"/>
      <c r="AZ681" s="105"/>
      <c r="BA681" s="105"/>
      <c r="BB681" s="105"/>
      <c r="BC681" s="105"/>
      <c r="BD681" s="105"/>
      <c r="BE681" s="105"/>
      <c r="BF681" s="105"/>
      <c r="BG681" s="105"/>
      <c r="BH681" s="105"/>
      <c r="BI681" s="105"/>
      <c r="BJ681" s="105"/>
      <c r="BK681" s="105"/>
      <c r="BL681" s="105"/>
      <c r="BM681" s="105"/>
      <c r="BN681" s="105"/>
      <c r="BO681" s="105"/>
      <c r="BP681" s="105"/>
      <c r="BQ681" s="105"/>
      <c r="BR681" s="105"/>
      <c r="BS681" s="105"/>
      <c r="BT681" s="105"/>
      <c r="BU681" s="105"/>
      <c r="BV681" s="105"/>
      <c r="BW681" s="105"/>
      <c r="BX681" s="105"/>
      <c r="BY681" s="105"/>
      <c r="BZ681" s="105"/>
      <c r="CA681" s="105"/>
      <c r="CB681" s="105"/>
      <c r="CC681" s="105"/>
      <c r="CD681" s="105"/>
      <c r="CE681" s="105"/>
      <c r="CF681" s="105"/>
      <c r="CG681" s="105"/>
      <c r="CH681" s="105"/>
      <c r="CI681" s="105"/>
      <c r="CJ681" s="105"/>
      <c r="CK681" s="105"/>
      <c r="CL681" s="105"/>
      <c r="CM681" s="105"/>
      <c r="CN681" s="105"/>
      <c r="CO681" s="105"/>
      <c r="CP681" s="105"/>
      <c r="CQ681" s="105"/>
      <c r="CR681" s="105"/>
      <c r="CS681" s="105"/>
      <c r="CT681" s="105"/>
      <c r="CU681" s="105"/>
      <c r="CV681" s="105"/>
      <c r="CW681" s="105"/>
      <c r="CX681" s="105"/>
      <c r="CY681" s="105"/>
      <c r="CZ681" s="105"/>
      <c r="DA681" s="105"/>
    </row>
    <row r="682">
      <c r="B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c r="AA682" s="105"/>
      <c r="AB682" s="105"/>
      <c r="AC682" s="105"/>
      <c r="AD682" s="105"/>
      <c r="AE682" s="105"/>
      <c r="AF682" s="105"/>
      <c r="AG682" s="105"/>
      <c r="AH682" s="105"/>
      <c r="AI682" s="105"/>
      <c r="AJ682" s="105"/>
      <c r="AK682" s="105"/>
      <c r="AL682" s="105"/>
      <c r="AM682" s="105"/>
      <c r="AN682" s="105"/>
      <c r="AO682" s="105"/>
      <c r="AP682" s="105"/>
      <c r="AQ682" s="105"/>
      <c r="AR682" s="105"/>
      <c r="AS682" s="105"/>
      <c r="AT682" s="105"/>
      <c r="AU682" s="105"/>
      <c r="AV682" s="105"/>
      <c r="AW682" s="105"/>
      <c r="AX682" s="105"/>
      <c r="AY682" s="105"/>
      <c r="AZ682" s="105"/>
      <c r="BA682" s="105"/>
      <c r="BB682" s="105"/>
      <c r="BC682" s="105"/>
      <c r="BD682" s="105"/>
      <c r="BE682" s="105"/>
      <c r="BF682" s="105"/>
      <c r="BG682" s="105"/>
      <c r="BH682" s="105"/>
      <c r="BI682" s="105"/>
      <c r="BJ682" s="105"/>
      <c r="BK682" s="105"/>
      <c r="BL682" s="105"/>
      <c r="BM682" s="105"/>
      <c r="BN682" s="105"/>
      <c r="BO682" s="105"/>
      <c r="BP682" s="105"/>
      <c r="BQ682" s="105"/>
      <c r="BR682" s="105"/>
      <c r="BS682" s="105"/>
      <c r="BT682" s="105"/>
      <c r="BU682" s="105"/>
      <c r="BV682" s="105"/>
      <c r="BW682" s="105"/>
      <c r="BX682" s="105"/>
      <c r="BY682" s="105"/>
      <c r="BZ682" s="105"/>
      <c r="CA682" s="105"/>
      <c r="CB682" s="105"/>
      <c r="CC682" s="105"/>
      <c r="CD682" s="105"/>
      <c r="CE682" s="105"/>
      <c r="CF682" s="105"/>
      <c r="CG682" s="105"/>
      <c r="CH682" s="105"/>
      <c r="CI682" s="105"/>
      <c r="CJ682" s="105"/>
      <c r="CK682" s="105"/>
      <c r="CL682" s="105"/>
      <c r="CM682" s="105"/>
      <c r="CN682" s="105"/>
      <c r="CO682" s="105"/>
      <c r="CP682" s="105"/>
      <c r="CQ682" s="105"/>
      <c r="CR682" s="105"/>
      <c r="CS682" s="105"/>
      <c r="CT682" s="105"/>
      <c r="CU682" s="105"/>
      <c r="CV682" s="105"/>
      <c r="CW682" s="105"/>
      <c r="CX682" s="105"/>
      <c r="CY682" s="105"/>
      <c r="CZ682" s="105"/>
      <c r="DA682" s="105"/>
    </row>
    <row r="683">
      <c r="B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c r="AA683" s="105"/>
      <c r="AB683" s="105"/>
      <c r="AC683" s="105"/>
      <c r="AD683" s="105"/>
      <c r="AE683" s="105"/>
      <c r="AF683" s="105"/>
      <c r="AG683" s="105"/>
      <c r="AH683" s="105"/>
      <c r="AI683" s="105"/>
      <c r="AJ683" s="105"/>
      <c r="AK683" s="105"/>
      <c r="AL683" s="105"/>
      <c r="AM683" s="105"/>
      <c r="AN683" s="105"/>
      <c r="AO683" s="105"/>
      <c r="AP683" s="105"/>
      <c r="AQ683" s="105"/>
      <c r="AR683" s="105"/>
      <c r="AS683" s="105"/>
      <c r="AT683" s="105"/>
      <c r="AU683" s="105"/>
      <c r="AV683" s="105"/>
      <c r="AW683" s="105"/>
      <c r="AX683" s="105"/>
      <c r="AY683" s="105"/>
      <c r="AZ683" s="105"/>
      <c r="BA683" s="105"/>
      <c r="BB683" s="105"/>
      <c r="BC683" s="105"/>
      <c r="BD683" s="105"/>
      <c r="BE683" s="105"/>
      <c r="BF683" s="105"/>
      <c r="BG683" s="105"/>
      <c r="BH683" s="105"/>
      <c r="BI683" s="105"/>
      <c r="BJ683" s="105"/>
      <c r="BK683" s="105"/>
      <c r="BL683" s="105"/>
      <c r="BM683" s="105"/>
      <c r="BN683" s="105"/>
      <c r="BO683" s="105"/>
      <c r="BP683" s="105"/>
      <c r="BQ683" s="105"/>
      <c r="BR683" s="105"/>
      <c r="BS683" s="105"/>
      <c r="BT683" s="105"/>
      <c r="BU683" s="105"/>
      <c r="BV683" s="105"/>
      <c r="BW683" s="105"/>
      <c r="BX683" s="105"/>
      <c r="BY683" s="105"/>
      <c r="BZ683" s="105"/>
      <c r="CA683" s="105"/>
      <c r="CB683" s="105"/>
      <c r="CC683" s="105"/>
      <c r="CD683" s="105"/>
      <c r="CE683" s="105"/>
      <c r="CF683" s="105"/>
      <c r="CG683" s="105"/>
      <c r="CH683" s="105"/>
      <c r="CI683" s="105"/>
      <c r="CJ683" s="105"/>
      <c r="CK683" s="105"/>
      <c r="CL683" s="105"/>
      <c r="CM683" s="105"/>
      <c r="CN683" s="105"/>
      <c r="CO683" s="105"/>
      <c r="CP683" s="105"/>
      <c r="CQ683" s="105"/>
      <c r="CR683" s="105"/>
      <c r="CS683" s="105"/>
      <c r="CT683" s="105"/>
      <c r="CU683" s="105"/>
      <c r="CV683" s="105"/>
      <c r="CW683" s="105"/>
      <c r="CX683" s="105"/>
      <c r="CY683" s="105"/>
      <c r="CZ683" s="105"/>
      <c r="DA683" s="105"/>
    </row>
    <row r="684">
      <c r="B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c r="AA684" s="105"/>
      <c r="AB684" s="105"/>
      <c r="AC684" s="105"/>
      <c r="AD684" s="105"/>
      <c r="AE684" s="105"/>
      <c r="AF684" s="105"/>
      <c r="AG684" s="105"/>
      <c r="AH684" s="105"/>
      <c r="AI684" s="105"/>
      <c r="AJ684" s="105"/>
      <c r="AK684" s="105"/>
      <c r="AL684" s="105"/>
      <c r="AM684" s="105"/>
      <c r="AN684" s="105"/>
      <c r="AO684" s="105"/>
      <c r="AP684" s="105"/>
      <c r="AQ684" s="105"/>
      <c r="AR684" s="105"/>
      <c r="AS684" s="105"/>
      <c r="AT684" s="105"/>
      <c r="AU684" s="105"/>
      <c r="AV684" s="105"/>
      <c r="AW684" s="105"/>
      <c r="AX684" s="105"/>
      <c r="AY684" s="105"/>
      <c r="AZ684" s="105"/>
      <c r="BA684" s="105"/>
      <c r="BB684" s="105"/>
      <c r="BC684" s="105"/>
      <c r="BD684" s="105"/>
      <c r="BE684" s="105"/>
      <c r="BF684" s="105"/>
      <c r="BG684" s="105"/>
      <c r="BH684" s="105"/>
      <c r="BI684" s="105"/>
      <c r="BJ684" s="105"/>
      <c r="BK684" s="105"/>
      <c r="BL684" s="105"/>
      <c r="BM684" s="105"/>
      <c r="BN684" s="105"/>
      <c r="BO684" s="105"/>
      <c r="BP684" s="105"/>
      <c r="BQ684" s="105"/>
      <c r="BR684" s="105"/>
      <c r="BS684" s="105"/>
      <c r="BT684" s="105"/>
      <c r="BU684" s="105"/>
      <c r="BV684" s="105"/>
      <c r="BW684" s="105"/>
      <c r="BX684" s="105"/>
      <c r="BY684" s="105"/>
      <c r="BZ684" s="105"/>
      <c r="CA684" s="105"/>
      <c r="CB684" s="105"/>
      <c r="CC684" s="105"/>
      <c r="CD684" s="105"/>
      <c r="CE684" s="105"/>
      <c r="CF684" s="105"/>
      <c r="CG684" s="105"/>
      <c r="CH684" s="105"/>
      <c r="CI684" s="105"/>
      <c r="CJ684" s="105"/>
      <c r="CK684" s="105"/>
      <c r="CL684" s="105"/>
      <c r="CM684" s="105"/>
      <c r="CN684" s="105"/>
      <c r="CO684" s="105"/>
      <c r="CP684" s="105"/>
      <c r="CQ684" s="105"/>
      <c r="CR684" s="105"/>
      <c r="CS684" s="105"/>
      <c r="CT684" s="105"/>
      <c r="CU684" s="105"/>
      <c r="CV684" s="105"/>
      <c r="CW684" s="105"/>
      <c r="CX684" s="105"/>
      <c r="CY684" s="105"/>
      <c r="CZ684" s="105"/>
      <c r="DA684" s="105"/>
    </row>
    <row r="685">
      <c r="B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c r="AA685" s="105"/>
      <c r="AB685" s="105"/>
      <c r="AC685" s="105"/>
      <c r="AD685" s="105"/>
      <c r="AE685" s="105"/>
      <c r="AF685" s="105"/>
      <c r="AG685" s="105"/>
      <c r="AH685" s="105"/>
      <c r="AI685" s="105"/>
      <c r="AJ685" s="105"/>
      <c r="AK685" s="105"/>
      <c r="AL685" s="105"/>
      <c r="AM685" s="105"/>
      <c r="AN685" s="105"/>
      <c r="AO685" s="105"/>
      <c r="AP685" s="105"/>
      <c r="AQ685" s="105"/>
      <c r="AR685" s="105"/>
      <c r="AS685" s="105"/>
      <c r="AT685" s="105"/>
      <c r="AU685" s="105"/>
      <c r="AV685" s="105"/>
      <c r="AW685" s="105"/>
      <c r="AX685" s="105"/>
      <c r="AY685" s="105"/>
      <c r="AZ685" s="105"/>
      <c r="BA685" s="105"/>
      <c r="BB685" s="105"/>
      <c r="BC685" s="105"/>
      <c r="BD685" s="105"/>
      <c r="BE685" s="105"/>
      <c r="BF685" s="105"/>
      <c r="BG685" s="105"/>
      <c r="BH685" s="105"/>
      <c r="BI685" s="105"/>
      <c r="BJ685" s="105"/>
      <c r="BK685" s="105"/>
      <c r="BL685" s="105"/>
      <c r="BM685" s="105"/>
      <c r="BN685" s="105"/>
      <c r="BO685" s="105"/>
      <c r="BP685" s="105"/>
      <c r="BQ685" s="105"/>
      <c r="BR685" s="105"/>
      <c r="BS685" s="105"/>
      <c r="BT685" s="105"/>
      <c r="BU685" s="105"/>
      <c r="BV685" s="105"/>
      <c r="BW685" s="105"/>
      <c r="BX685" s="105"/>
      <c r="BY685" s="105"/>
      <c r="BZ685" s="105"/>
      <c r="CA685" s="105"/>
      <c r="CB685" s="105"/>
      <c r="CC685" s="105"/>
      <c r="CD685" s="105"/>
      <c r="CE685" s="105"/>
      <c r="CF685" s="105"/>
      <c r="CG685" s="105"/>
      <c r="CH685" s="105"/>
      <c r="CI685" s="105"/>
      <c r="CJ685" s="105"/>
      <c r="CK685" s="105"/>
      <c r="CL685" s="105"/>
      <c r="CM685" s="105"/>
      <c r="CN685" s="105"/>
      <c r="CO685" s="105"/>
      <c r="CP685" s="105"/>
      <c r="CQ685" s="105"/>
      <c r="CR685" s="105"/>
      <c r="CS685" s="105"/>
      <c r="CT685" s="105"/>
      <c r="CU685" s="105"/>
      <c r="CV685" s="105"/>
      <c r="CW685" s="105"/>
      <c r="CX685" s="105"/>
      <c r="CY685" s="105"/>
      <c r="CZ685" s="105"/>
      <c r="DA685" s="105"/>
    </row>
    <row r="686">
      <c r="B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c r="AA686" s="105"/>
      <c r="AB686" s="105"/>
      <c r="AC686" s="105"/>
      <c r="AD686" s="105"/>
      <c r="AE686" s="105"/>
      <c r="AF686" s="105"/>
      <c r="AG686" s="105"/>
      <c r="AH686" s="105"/>
      <c r="AI686" s="105"/>
      <c r="AJ686" s="105"/>
      <c r="AK686" s="105"/>
      <c r="AL686" s="105"/>
      <c r="AM686" s="105"/>
      <c r="AN686" s="105"/>
      <c r="AO686" s="105"/>
      <c r="AP686" s="105"/>
      <c r="AQ686" s="105"/>
      <c r="AR686" s="105"/>
      <c r="AS686" s="105"/>
      <c r="AT686" s="105"/>
      <c r="AU686" s="105"/>
      <c r="AV686" s="105"/>
      <c r="AW686" s="105"/>
      <c r="AX686" s="105"/>
      <c r="AY686" s="105"/>
      <c r="AZ686" s="105"/>
      <c r="BA686" s="105"/>
      <c r="BB686" s="105"/>
      <c r="BC686" s="105"/>
      <c r="BD686" s="105"/>
      <c r="BE686" s="105"/>
      <c r="BF686" s="105"/>
      <c r="BG686" s="105"/>
      <c r="BH686" s="105"/>
      <c r="BI686" s="105"/>
      <c r="BJ686" s="105"/>
      <c r="BK686" s="105"/>
      <c r="BL686" s="105"/>
      <c r="BM686" s="105"/>
      <c r="BN686" s="105"/>
      <c r="BO686" s="105"/>
      <c r="BP686" s="105"/>
      <c r="BQ686" s="105"/>
      <c r="BR686" s="105"/>
      <c r="BS686" s="105"/>
      <c r="BT686" s="105"/>
      <c r="BU686" s="105"/>
      <c r="BV686" s="105"/>
      <c r="BW686" s="105"/>
      <c r="BX686" s="105"/>
      <c r="BY686" s="105"/>
      <c r="BZ686" s="105"/>
      <c r="CA686" s="105"/>
      <c r="CB686" s="105"/>
      <c r="CC686" s="105"/>
      <c r="CD686" s="105"/>
      <c r="CE686" s="105"/>
      <c r="CF686" s="105"/>
      <c r="CG686" s="105"/>
      <c r="CH686" s="105"/>
      <c r="CI686" s="105"/>
      <c r="CJ686" s="105"/>
      <c r="CK686" s="105"/>
      <c r="CL686" s="105"/>
      <c r="CM686" s="105"/>
      <c r="CN686" s="105"/>
      <c r="CO686" s="105"/>
      <c r="CP686" s="105"/>
      <c r="CQ686" s="105"/>
      <c r="CR686" s="105"/>
      <c r="CS686" s="105"/>
      <c r="CT686" s="105"/>
      <c r="CU686" s="105"/>
      <c r="CV686" s="105"/>
      <c r="CW686" s="105"/>
      <c r="CX686" s="105"/>
      <c r="CY686" s="105"/>
      <c r="CZ686" s="105"/>
      <c r="DA686" s="105"/>
    </row>
    <row r="687">
      <c r="B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c r="AA687" s="105"/>
      <c r="AB687" s="105"/>
      <c r="AC687" s="105"/>
      <c r="AD687" s="105"/>
      <c r="AE687" s="105"/>
      <c r="AF687" s="105"/>
      <c r="AG687" s="105"/>
      <c r="AH687" s="105"/>
      <c r="AI687" s="105"/>
      <c r="AJ687" s="105"/>
      <c r="AK687" s="105"/>
      <c r="AL687" s="105"/>
      <c r="AM687" s="105"/>
      <c r="AN687" s="105"/>
      <c r="AO687" s="105"/>
      <c r="AP687" s="105"/>
      <c r="AQ687" s="105"/>
      <c r="AR687" s="105"/>
      <c r="AS687" s="105"/>
      <c r="AT687" s="105"/>
      <c r="AU687" s="105"/>
      <c r="AV687" s="105"/>
      <c r="AW687" s="105"/>
      <c r="AX687" s="105"/>
      <c r="AY687" s="105"/>
      <c r="AZ687" s="105"/>
      <c r="BA687" s="105"/>
      <c r="BB687" s="105"/>
      <c r="BC687" s="105"/>
      <c r="BD687" s="105"/>
      <c r="BE687" s="105"/>
      <c r="BF687" s="105"/>
      <c r="BG687" s="105"/>
      <c r="BH687" s="105"/>
      <c r="BI687" s="105"/>
      <c r="BJ687" s="105"/>
      <c r="BK687" s="105"/>
      <c r="BL687" s="105"/>
      <c r="BM687" s="105"/>
      <c r="BN687" s="105"/>
      <c r="BO687" s="105"/>
      <c r="BP687" s="105"/>
      <c r="BQ687" s="105"/>
      <c r="BR687" s="105"/>
      <c r="BS687" s="105"/>
      <c r="BT687" s="105"/>
      <c r="BU687" s="105"/>
      <c r="BV687" s="105"/>
      <c r="BW687" s="105"/>
      <c r="BX687" s="105"/>
      <c r="BY687" s="105"/>
      <c r="BZ687" s="105"/>
      <c r="CA687" s="105"/>
      <c r="CB687" s="105"/>
      <c r="CC687" s="105"/>
      <c r="CD687" s="105"/>
      <c r="CE687" s="105"/>
      <c r="CF687" s="105"/>
      <c r="CG687" s="105"/>
      <c r="CH687" s="105"/>
      <c r="CI687" s="105"/>
      <c r="CJ687" s="105"/>
      <c r="CK687" s="105"/>
      <c r="CL687" s="105"/>
      <c r="CM687" s="105"/>
      <c r="CN687" s="105"/>
      <c r="CO687" s="105"/>
      <c r="CP687" s="105"/>
      <c r="CQ687" s="105"/>
      <c r="CR687" s="105"/>
      <c r="CS687" s="105"/>
      <c r="CT687" s="105"/>
      <c r="CU687" s="105"/>
      <c r="CV687" s="105"/>
      <c r="CW687" s="105"/>
      <c r="CX687" s="105"/>
      <c r="CY687" s="105"/>
      <c r="CZ687" s="105"/>
      <c r="DA687" s="105"/>
    </row>
    <row r="688">
      <c r="B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c r="AA688" s="105"/>
      <c r="AB688" s="105"/>
      <c r="AC688" s="105"/>
      <c r="AD688" s="105"/>
      <c r="AE688" s="105"/>
      <c r="AF688" s="105"/>
      <c r="AG688" s="105"/>
      <c r="AH688" s="105"/>
      <c r="AI688" s="105"/>
      <c r="AJ688" s="105"/>
      <c r="AK688" s="105"/>
      <c r="AL688" s="105"/>
      <c r="AM688" s="105"/>
      <c r="AN688" s="105"/>
      <c r="AO688" s="105"/>
      <c r="AP688" s="105"/>
      <c r="AQ688" s="105"/>
      <c r="AR688" s="105"/>
      <c r="AS688" s="105"/>
      <c r="AT688" s="105"/>
      <c r="AU688" s="105"/>
      <c r="AV688" s="105"/>
      <c r="AW688" s="105"/>
      <c r="AX688" s="105"/>
      <c r="AY688" s="105"/>
      <c r="AZ688" s="105"/>
      <c r="BA688" s="105"/>
      <c r="BB688" s="105"/>
      <c r="BC688" s="105"/>
      <c r="BD688" s="105"/>
      <c r="BE688" s="105"/>
      <c r="BF688" s="105"/>
      <c r="BG688" s="105"/>
      <c r="BH688" s="105"/>
      <c r="BI688" s="105"/>
      <c r="BJ688" s="105"/>
      <c r="BK688" s="105"/>
      <c r="BL688" s="105"/>
      <c r="BM688" s="105"/>
      <c r="BN688" s="105"/>
      <c r="BO688" s="105"/>
      <c r="BP688" s="105"/>
      <c r="BQ688" s="105"/>
      <c r="BR688" s="105"/>
      <c r="BS688" s="105"/>
      <c r="BT688" s="105"/>
      <c r="BU688" s="105"/>
      <c r="BV688" s="105"/>
      <c r="BW688" s="105"/>
      <c r="BX688" s="105"/>
      <c r="BY688" s="105"/>
      <c r="BZ688" s="105"/>
      <c r="CA688" s="105"/>
      <c r="CB688" s="105"/>
      <c r="CC688" s="105"/>
      <c r="CD688" s="105"/>
      <c r="CE688" s="105"/>
      <c r="CF688" s="105"/>
      <c r="CG688" s="105"/>
      <c r="CH688" s="105"/>
      <c r="CI688" s="105"/>
      <c r="CJ688" s="105"/>
      <c r="CK688" s="105"/>
      <c r="CL688" s="105"/>
      <c r="CM688" s="105"/>
      <c r="CN688" s="105"/>
      <c r="CO688" s="105"/>
      <c r="CP688" s="105"/>
      <c r="CQ688" s="105"/>
      <c r="CR688" s="105"/>
      <c r="CS688" s="105"/>
      <c r="CT688" s="105"/>
      <c r="CU688" s="105"/>
      <c r="CV688" s="105"/>
      <c r="CW688" s="105"/>
      <c r="CX688" s="105"/>
      <c r="CY688" s="105"/>
      <c r="CZ688" s="105"/>
      <c r="DA688" s="105"/>
    </row>
    <row r="689">
      <c r="B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c r="AA689" s="105"/>
      <c r="AB689" s="105"/>
      <c r="AC689" s="105"/>
      <c r="AD689" s="105"/>
      <c r="AE689" s="105"/>
      <c r="AF689" s="105"/>
      <c r="AG689" s="105"/>
      <c r="AH689" s="105"/>
      <c r="AI689" s="105"/>
      <c r="AJ689" s="105"/>
      <c r="AK689" s="105"/>
      <c r="AL689" s="105"/>
      <c r="AM689" s="105"/>
      <c r="AN689" s="105"/>
      <c r="AO689" s="105"/>
      <c r="AP689" s="105"/>
      <c r="AQ689" s="105"/>
      <c r="AR689" s="105"/>
      <c r="AS689" s="105"/>
      <c r="AT689" s="105"/>
      <c r="AU689" s="105"/>
      <c r="AV689" s="105"/>
      <c r="AW689" s="105"/>
      <c r="AX689" s="105"/>
      <c r="AY689" s="105"/>
      <c r="AZ689" s="105"/>
      <c r="BA689" s="105"/>
      <c r="BB689" s="105"/>
      <c r="BC689" s="105"/>
      <c r="BD689" s="105"/>
      <c r="BE689" s="105"/>
      <c r="BF689" s="105"/>
      <c r="BG689" s="105"/>
      <c r="BH689" s="105"/>
      <c r="BI689" s="105"/>
      <c r="BJ689" s="105"/>
      <c r="BK689" s="105"/>
      <c r="BL689" s="105"/>
      <c r="BM689" s="105"/>
      <c r="BN689" s="105"/>
      <c r="BO689" s="105"/>
      <c r="BP689" s="105"/>
      <c r="BQ689" s="105"/>
      <c r="BR689" s="105"/>
      <c r="BS689" s="105"/>
      <c r="BT689" s="105"/>
      <c r="BU689" s="105"/>
      <c r="BV689" s="105"/>
      <c r="BW689" s="105"/>
      <c r="BX689" s="105"/>
      <c r="BY689" s="105"/>
      <c r="BZ689" s="105"/>
      <c r="CA689" s="105"/>
      <c r="CB689" s="105"/>
      <c r="CC689" s="105"/>
      <c r="CD689" s="105"/>
      <c r="CE689" s="105"/>
      <c r="CF689" s="105"/>
      <c r="CG689" s="105"/>
      <c r="CH689" s="105"/>
      <c r="CI689" s="105"/>
      <c r="CJ689" s="105"/>
      <c r="CK689" s="105"/>
      <c r="CL689" s="105"/>
      <c r="CM689" s="105"/>
      <c r="CN689" s="105"/>
      <c r="CO689" s="105"/>
      <c r="CP689" s="105"/>
      <c r="CQ689" s="105"/>
      <c r="CR689" s="105"/>
      <c r="CS689" s="105"/>
      <c r="CT689" s="105"/>
      <c r="CU689" s="105"/>
      <c r="CV689" s="105"/>
      <c r="CW689" s="105"/>
      <c r="CX689" s="105"/>
      <c r="CY689" s="105"/>
      <c r="CZ689" s="105"/>
      <c r="DA689" s="105"/>
    </row>
    <row r="690">
      <c r="B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c r="AA690" s="105"/>
      <c r="AB690" s="105"/>
      <c r="AC690" s="105"/>
      <c r="AD690" s="105"/>
      <c r="AE690" s="105"/>
      <c r="AF690" s="105"/>
      <c r="AG690" s="105"/>
      <c r="AH690" s="105"/>
      <c r="AI690" s="105"/>
      <c r="AJ690" s="105"/>
      <c r="AK690" s="105"/>
      <c r="AL690" s="105"/>
      <c r="AM690" s="105"/>
      <c r="AN690" s="105"/>
      <c r="AO690" s="105"/>
      <c r="AP690" s="105"/>
      <c r="AQ690" s="105"/>
      <c r="AR690" s="105"/>
      <c r="AS690" s="105"/>
      <c r="AT690" s="105"/>
      <c r="AU690" s="105"/>
      <c r="AV690" s="105"/>
      <c r="AW690" s="105"/>
      <c r="AX690" s="105"/>
      <c r="AY690" s="105"/>
      <c r="AZ690" s="105"/>
      <c r="BA690" s="105"/>
      <c r="BB690" s="105"/>
      <c r="BC690" s="105"/>
      <c r="BD690" s="105"/>
      <c r="BE690" s="105"/>
      <c r="BF690" s="105"/>
      <c r="BG690" s="105"/>
      <c r="BH690" s="105"/>
      <c r="BI690" s="105"/>
      <c r="BJ690" s="105"/>
      <c r="BK690" s="105"/>
      <c r="BL690" s="105"/>
      <c r="BM690" s="105"/>
      <c r="BN690" s="105"/>
      <c r="BO690" s="105"/>
      <c r="BP690" s="105"/>
      <c r="BQ690" s="105"/>
      <c r="BR690" s="105"/>
      <c r="BS690" s="105"/>
      <c r="BT690" s="105"/>
      <c r="BU690" s="105"/>
      <c r="BV690" s="105"/>
      <c r="BW690" s="105"/>
      <c r="BX690" s="105"/>
      <c r="BY690" s="105"/>
      <c r="BZ690" s="105"/>
      <c r="CA690" s="105"/>
      <c r="CB690" s="105"/>
      <c r="CC690" s="105"/>
      <c r="CD690" s="105"/>
      <c r="CE690" s="105"/>
      <c r="CF690" s="105"/>
      <c r="CG690" s="105"/>
      <c r="CH690" s="105"/>
      <c r="CI690" s="105"/>
      <c r="CJ690" s="105"/>
      <c r="CK690" s="105"/>
      <c r="CL690" s="105"/>
      <c r="CM690" s="105"/>
      <c r="CN690" s="105"/>
      <c r="CO690" s="105"/>
      <c r="CP690" s="105"/>
      <c r="CQ690" s="105"/>
      <c r="CR690" s="105"/>
      <c r="CS690" s="105"/>
      <c r="CT690" s="105"/>
      <c r="CU690" s="105"/>
      <c r="CV690" s="105"/>
      <c r="CW690" s="105"/>
      <c r="CX690" s="105"/>
      <c r="CY690" s="105"/>
      <c r="CZ690" s="105"/>
      <c r="DA690" s="105"/>
    </row>
    <row r="691">
      <c r="B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c r="AA691" s="105"/>
      <c r="AB691" s="105"/>
      <c r="AC691" s="105"/>
      <c r="AD691" s="105"/>
      <c r="AE691" s="105"/>
      <c r="AF691" s="105"/>
      <c r="AG691" s="105"/>
      <c r="AH691" s="105"/>
      <c r="AI691" s="105"/>
      <c r="AJ691" s="105"/>
      <c r="AK691" s="105"/>
      <c r="AL691" s="105"/>
      <c r="AM691" s="105"/>
      <c r="AN691" s="105"/>
      <c r="AO691" s="105"/>
      <c r="AP691" s="105"/>
      <c r="AQ691" s="105"/>
      <c r="AR691" s="105"/>
      <c r="AS691" s="105"/>
      <c r="AT691" s="105"/>
      <c r="AU691" s="105"/>
      <c r="AV691" s="105"/>
      <c r="AW691" s="105"/>
      <c r="AX691" s="105"/>
      <c r="AY691" s="105"/>
      <c r="AZ691" s="105"/>
      <c r="BA691" s="105"/>
      <c r="BB691" s="105"/>
      <c r="BC691" s="105"/>
      <c r="BD691" s="105"/>
      <c r="BE691" s="105"/>
      <c r="BF691" s="105"/>
      <c r="BG691" s="105"/>
      <c r="BH691" s="105"/>
      <c r="BI691" s="105"/>
      <c r="BJ691" s="105"/>
      <c r="BK691" s="105"/>
      <c r="BL691" s="105"/>
      <c r="BM691" s="105"/>
      <c r="BN691" s="105"/>
      <c r="BO691" s="105"/>
      <c r="BP691" s="105"/>
      <c r="BQ691" s="105"/>
      <c r="BR691" s="105"/>
      <c r="BS691" s="105"/>
      <c r="BT691" s="105"/>
      <c r="BU691" s="105"/>
      <c r="BV691" s="105"/>
      <c r="BW691" s="105"/>
      <c r="BX691" s="105"/>
      <c r="BY691" s="105"/>
      <c r="BZ691" s="105"/>
      <c r="CA691" s="105"/>
      <c r="CB691" s="105"/>
      <c r="CC691" s="105"/>
      <c r="CD691" s="105"/>
      <c r="CE691" s="105"/>
      <c r="CF691" s="105"/>
      <c r="CG691" s="105"/>
      <c r="CH691" s="105"/>
      <c r="CI691" s="105"/>
      <c r="CJ691" s="105"/>
      <c r="CK691" s="105"/>
      <c r="CL691" s="105"/>
      <c r="CM691" s="105"/>
      <c r="CN691" s="105"/>
      <c r="CO691" s="105"/>
      <c r="CP691" s="105"/>
      <c r="CQ691" s="105"/>
      <c r="CR691" s="105"/>
      <c r="CS691" s="105"/>
      <c r="CT691" s="105"/>
      <c r="CU691" s="105"/>
      <c r="CV691" s="105"/>
      <c r="CW691" s="105"/>
      <c r="CX691" s="105"/>
      <c r="CY691" s="105"/>
      <c r="CZ691" s="105"/>
      <c r="DA691" s="105"/>
    </row>
    <row r="692">
      <c r="B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c r="AA692" s="105"/>
      <c r="AB692" s="105"/>
      <c r="AC692" s="105"/>
      <c r="AD692" s="105"/>
      <c r="AE692" s="105"/>
      <c r="AF692" s="105"/>
      <c r="AG692" s="105"/>
      <c r="AH692" s="105"/>
      <c r="AI692" s="105"/>
      <c r="AJ692" s="105"/>
      <c r="AK692" s="105"/>
      <c r="AL692" s="105"/>
      <c r="AM692" s="105"/>
      <c r="AN692" s="105"/>
      <c r="AO692" s="105"/>
      <c r="AP692" s="105"/>
      <c r="AQ692" s="105"/>
      <c r="AR692" s="105"/>
      <c r="AS692" s="105"/>
      <c r="AT692" s="105"/>
      <c r="AU692" s="105"/>
      <c r="AV692" s="105"/>
      <c r="AW692" s="105"/>
      <c r="AX692" s="105"/>
      <c r="AY692" s="105"/>
      <c r="AZ692" s="105"/>
      <c r="BA692" s="105"/>
      <c r="BB692" s="105"/>
      <c r="BC692" s="105"/>
      <c r="BD692" s="105"/>
      <c r="BE692" s="105"/>
      <c r="BF692" s="105"/>
      <c r="BG692" s="105"/>
      <c r="BH692" s="105"/>
      <c r="BI692" s="105"/>
      <c r="BJ692" s="105"/>
      <c r="BK692" s="105"/>
      <c r="BL692" s="105"/>
      <c r="BM692" s="105"/>
      <c r="BN692" s="105"/>
      <c r="BO692" s="105"/>
      <c r="BP692" s="105"/>
      <c r="BQ692" s="105"/>
      <c r="BR692" s="105"/>
      <c r="BS692" s="105"/>
      <c r="BT692" s="105"/>
      <c r="BU692" s="105"/>
      <c r="BV692" s="105"/>
      <c r="BW692" s="105"/>
      <c r="BX692" s="105"/>
      <c r="BY692" s="105"/>
      <c r="BZ692" s="105"/>
      <c r="CA692" s="105"/>
      <c r="CB692" s="105"/>
      <c r="CC692" s="105"/>
      <c r="CD692" s="105"/>
      <c r="CE692" s="105"/>
      <c r="CF692" s="105"/>
      <c r="CG692" s="105"/>
      <c r="CH692" s="105"/>
      <c r="CI692" s="105"/>
      <c r="CJ692" s="105"/>
      <c r="CK692" s="105"/>
      <c r="CL692" s="105"/>
      <c r="CM692" s="105"/>
      <c r="CN692" s="105"/>
      <c r="CO692" s="105"/>
      <c r="CP692" s="105"/>
      <c r="CQ692" s="105"/>
      <c r="CR692" s="105"/>
      <c r="CS692" s="105"/>
      <c r="CT692" s="105"/>
      <c r="CU692" s="105"/>
      <c r="CV692" s="105"/>
      <c r="CW692" s="105"/>
      <c r="CX692" s="105"/>
      <c r="CY692" s="105"/>
      <c r="CZ692" s="105"/>
      <c r="DA692" s="105"/>
    </row>
    <row r="693">
      <c r="B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c r="AA693" s="105"/>
      <c r="AB693" s="105"/>
      <c r="AC693" s="105"/>
      <c r="AD693" s="105"/>
      <c r="AE693" s="105"/>
      <c r="AF693" s="105"/>
      <c r="AG693" s="105"/>
      <c r="AH693" s="105"/>
      <c r="AI693" s="105"/>
      <c r="AJ693" s="105"/>
      <c r="AK693" s="105"/>
      <c r="AL693" s="105"/>
      <c r="AM693" s="105"/>
      <c r="AN693" s="105"/>
      <c r="AO693" s="105"/>
      <c r="AP693" s="105"/>
      <c r="AQ693" s="105"/>
      <c r="AR693" s="105"/>
      <c r="AS693" s="105"/>
      <c r="AT693" s="105"/>
      <c r="AU693" s="105"/>
      <c r="AV693" s="105"/>
      <c r="AW693" s="105"/>
      <c r="AX693" s="105"/>
      <c r="AY693" s="105"/>
      <c r="AZ693" s="105"/>
      <c r="BA693" s="105"/>
      <c r="BB693" s="105"/>
      <c r="BC693" s="105"/>
      <c r="BD693" s="105"/>
      <c r="BE693" s="105"/>
      <c r="BF693" s="105"/>
      <c r="BG693" s="105"/>
      <c r="BH693" s="105"/>
      <c r="BI693" s="105"/>
      <c r="BJ693" s="105"/>
      <c r="BK693" s="105"/>
      <c r="BL693" s="105"/>
      <c r="BM693" s="105"/>
      <c r="BN693" s="105"/>
      <c r="BO693" s="105"/>
      <c r="BP693" s="105"/>
      <c r="BQ693" s="105"/>
      <c r="BR693" s="105"/>
      <c r="BS693" s="105"/>
      <c r="BT693" s="105"/>
      <c r="BU693" s="105"/>
      <c r="BV693" s="105"/>
      <c r="BW693" s="105"/>
      <c r="BX693" s="105"/>
      <c r="BY693" s="105"/>
      <c r="BZ693" s="105"/>
      <c r="CA693" s="105"/>
      <c r="CB693" s="105"/>
      <c r="CC693" s="105"/>
      <c r="CD693" s="105"/>
      <c r="CE693" s="105"/>
      <c r="CF693" s="105"/>
      <c r="CG693" s="105"/>
      <c r="CH693" s="105"/>
      <c r="CI693" s="105"/>
      <c r="CJ693" s="105"/>
      <c r="CK693" s="105"/>
      <c r="CL693" s="105"/>
      <c r="CM693" s="105"/>
      <c r="CN693" s="105"/>
      <c r="CO693" s="105"/>
      <c r="CP693" s="105"/>
      <c r="CQ693" s="105"/>
      <c r="CR693" s="105"/>
      <c r="CS693" s="105"/>
      <c r="CT693" s="105"/>
      <c r="CU693" s="105"/>
      <c r="CV693" s="105"/>
      <c r="CW693" s="105"/>
      <c r="CX693" s="105"/>
      <c r="CY693" s="105"/>
      <c r="CZ693" s="105"/>
      <c r="DA693" s="105"/>
    </row>
    <row r="694">
      <c r="B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c r="AA694" s="105"/>
      <c r="AB694" s="105"/>
      <c r="AC694" s="105"/>
      <c r="AD694" s="105"/>
      <c r="AE694" s="105"/>
      <c r="AF694" s="105"/>
      <c r="AG694" s="105"/>
      <c r="AH694" s="105"/>
      <c r="AI694" s="105"/>
      <c r="AJ694" s="105"/>
      <c r="AK694" s="105"/>
      <c r="AL694" s="105"/>
      <c r="AM694" s="105"/>
      <c r="AN694" s="105"/>
      <c r="AO694" s="105"/>
      <c r="AP694" s="105"/>
      <c r="AQ694" s="105"/>
      <c r="AR694" s="105"/>
      <c r="AS694" s="105"/>
      <c r="AT694" s="105"/>
      <c r="AU694" s="105"/>
      <c r="AV694" s="105"/>
      <c r="AW694" s="105"/>
      <c r="AX694" s="105"/>
      <c r="AY694" s="105"/>
      <c r="AZ694" s="105"/>
      <c r="BA694" s="105"/>
      <c r="BB694" s="105"/>
      <c r="BC694" s="105"/>
      <c r="BD694" s="105"/>
      <c r="BE694" s="105"/>
      <c r="BF694" s="105"/>
      <c r="BG694" s="105"/>
      <c r="BH694" s="105"/>
      <c r="BI694" s="105"/>
      <c r="BJ694" s="105"/>
      <c r="BK694" s="105"/>
      <c r="BL694" s="105"/>
      <c r="BM694" s="105"/>
      <c r="BN694" s="105"/>
      <c r="BO694" s="105"/>
      <c r="BP694" s="105"/>
      <c r="BQ694" s="105"/>
      <c r="BR694" s="105"/>
      <c r="BS694" s="105"/>
      <c r="BT694" s="105"/>
      <c r="BU694" s="105"/>
      <c r="BV694" s="105"/>
      <c r="BW694" s="105"/>
      <c r="BX694" s="105"/>
      <c r="BY694" s="105"/>
      <c r="BZ694" s="105"/>
      <c r="CA694" s="105"/>
      <c r="CB694" s="105"/>
      <c r="CC694" s="105"/>
      <c r="CD694" s="105"/>
      <c r="CE694" s="105"/>
      <c r="CF694" s="105"/>
      <c r="CG694" s="105"/>
      <c r="CH694" s="105"/>
      <c r="CI694" s="105"/>
      <c r="CJ694" s="105"/>
      <c r="CK694" s="105"/>
      <c r="CL694" s="105"/>
      <c r="CM694" s="105"/>
      <c r="CN694" s="105"/>
      <c r="CO694" s="105"/>
      <c r="CP694" s="105"/>
      <c r="CQ694" s="105"/>
      <c r="CR694" s="105"/>
      <c r="CS694" s="105"/>
      <c r="CT694" s="105"/>
      <c r="CU694" s="105"/>
      <c r="CV694" s="105"/>
      <c r="CW694" s="105"/>
      <c r="CX694" s="105"/>
      <c r="CY694" s="105"/>
      <c r="CZ694" s="105"/>
      <c r="DA694" s="105"/>
    </row>
    <row r="695">
      <c r="B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c r="AA695" s="105"/>
      <c r="AB695" s="105"/>
      <c r="AC695" s="105"/>
      <c r="AD695" s="105"/>
      <c r="AE695" s="105"/>
      <c r="AF695" s="105"/>
      <c r="AG695" s="105"/>
      <c r="AH695" s="105"/>
      <c r="AI695" s="105"/>
      <c r="AJ695" s="105"/>
      <c r="AK695" s="105"/>
      <c r="AL695" s="105"/>
      <c r="AM695" s="105"/>
      <c r="AN695" s="105"/>
      <c r="AO695" s="105"/>
      <c r="AP695" s="105"/>
      <c r="AQ695" s="105"/>
      <c r="AR695" s="105"/>
      <c r="AS695" s="105"/>
      <c r="AT695" s="105"/>
      <c r="AU695" s="105"/>
      <c r="AV695" s="105"/>
      <c r="AW695" s="105"/>
      <c r="AX695" s="105"/>
      <c r="AY695" s="105"/>
      <c r="AZ695" s="105"/>
      <c r="BA695" s="105"/>
      <c r="BB695" s="105"/>
      <c r="BC695" s="105"/>
      <c r="BD695" s="105"/>
      <c r="BE695" s="105"/>
      <c r="BF695" s="105"/>
      <c r="BG695" s="105"/>
      <c r="BH695" s="105"/>
      <c r="BI695" s="105"/>
      <c r="BJ695" s="105"/>
      <c r="BK695" s="105"/>
      <c r="BL695" s="105"/>
      <c r="BM695" s="105"/>
      <c r="BN695" s="105"/>
      <c r="BO695" s="105"/>
      <c r="BP695" s="105"/>
      <c r="BQ695" s="105"/>
      <c r="BR695" s="105"/>
      <c r="BS695" s="105"/>
      <c r="BT695" s="105"/>
      <c r="BU695" s="105"/>
      <c r="BV695" s="105"/>
      <c r="BW695" s="105"/>
      <c r="BX695" s="105"/>
      <c r="BY695" s="105"/>
      <c r="BZ695" s="105"/>
      <c r="CA695" s="105"/>
      <c r="CB695" s="105"/>
      <c r="CC695" s="105"/>
      <c r="CD695" s="105"/>
      <c r="CE695" s="105"/>
      <c r="CF695" s="105"/>
      <c r="CG695" s="105"/>
      <c r="CH695" s="105"/>
      <c r="CI695" s="105"/>
      <c r="CJ695" s="105"/>
      <c r="CK695" s="105"/>
      <c r="CL695" s="105"/>
      <c r="CM695" s="105"/>
      <c r="CN695" s="105"/>
      <c r="CO695" s="105"/>
      <c r="CP695" s="105"/>
      <c r="CQ695" s="105"/>
      <c r="CR695" s="105"/>
      <c r="CS695" s="105"/>
      <c r="CT695" s="105"/>
      <c r="CU695" s="105"/>
      <c r="CV695" s="105"/>
      <c r="CW695" s="105"/>
      <c r="CX695" s="105"/>
      <c r="CY695" s="105"/>
      <c r="CZ695" s="105"/>
      <c r="DA695" s="105"/>
    </row>
    <row r="696">
      <c r="B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c r="AA696" s="105"/>
      <c r="AB696" s="105"/>
      <c r="AC696" s="105"/>
      <c r="AD696" s="105"/>
      <c r="AE696" s="105"/>
      <c r="AF696" s="105"/>
      <c r="AG696" s="105"/>
      <c r="AH696" s="105"/>
      <c r="AI696" s="105"/>
      <c r="AJ696" s="105"/>
      <c r="AK696" s="105"/>
      <c r="AL696" s="105"/>
      <c r="AM696" s="105"/>
      <c r="AN696" s="105"/>
      <c r="AO696" s="105"/>
      <c r="AP696" s="105"/>
      <c r="AQ696" s="105"/>
      <c r="AR696" s="105"/>
      <c r="AS696" s="105"/>
      <c r="AT696" s="105"/>
      <c r="AU696" s="105"/>
      <c r="AV696" s="105"/>
      <c r="AW696" s="105"/>
      <c r="AX696" s="105"/>
      <c r="AY696" s="105"/>
      <c r="AZ696" s="105"/>
      <c r="BA696" s="105"/>
      <c r="BB696" s="105"/>
      <c r="BC696" s="105"/>
      <c r="BD696" s="105"/>
      <c r="BE696" s="105"/>
      <c r="BF696" s="105"/>
      <c r="BG696" s="105"/>
      <c r="BH696" s="105"/>
      <c r="BI696" s="105"/>
      <c r="BJ696" s="105"/>
      <c r="BK696" s="105"/>
      <c r="BL696" s="105"/>
      <c r="BM696" s="105"/>
      <c r="BN696" s="105"/>
      <c r="BO696" s="105"/>
      <c r="BP696" s="105"/>
      <c r="BQ696" s="105"/>
      <c r="BR696" s="105"/>
      <c r="BS696" s="105"/>
      <c r="BT696" s="105"/>
      <c r="BU696" s="105"/>
      <c r="BV696" s="105"/>
      <c r="BW696" s="105"/>
      <c r="BX696" s="105"/>
      <c r="BY696" s="105"/>
      <c r="BZ696" s="105"/>
      <c r="CA696" s="105"/>
      <c r="CB696" s="105"/>
      <c r="CC696" s="105"/>
      <c r="CD696" s="105"/>
      <c r="CE696" s="105"/>
      <c r="CF696" s="105"/>
      <c r="CG696" s="105"/>
      <c r="CH696" s="105"/>
      <c r="CI696" s="105"/>
      <c r="CJ696" s="105"/>
      <c r="CK696" s="105"/>
      <c r="CL696" s="105"/>
      <c r="CM696" s="105"/>
      <c r="CN696" s="105"/>
      <c r="CO696" s="105"/>
      <c r="CP696" s="105"/>
      <c r="CQ696" s="105"/>
      <c r="CR696" s="105"/>
      <c r="CS696" s="105"/>
      <c r="CT696" s="105"/>
      <c r="CU696" s="105"/>
      <c r="CV696" s="105"/>
      <c r="CW696" s="105"/>
      <c r="CX696" s="105"/>
      <c r="CY696" s="105"/>
      <c r="CZ696" s="105"/>
      <c r="DA696" s="105"/>
    </row>
    <row r="697">
      <c r="B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c r="AA697" s="105"/>
      <c r="AB697" s="105"/>
      <c r="AC697" s="105"/>
      <c r="AD697" s="105"/>
      <c r="AE697" s="105"/>
      <c r="AF697" s="105"/>
      <c r="AG697" s="105"/>
      <c r="AH697" s="105"/>
      <c r="AI697" s="105"/>
      <c r="AJ697" s="105"/>
      <c r="AK697" s="105"/>
      <c r="AL697" s="105"/>
      <c r="AM697" s="105"/>
      <c r="AN697" s="105"/>
      <c r="AO697" s="105"/>
      <c r="AP697" s="105"/>
      <c r="AQ697" s="105"/>
      <c r="AR697" s="105"/>
      <c r="AS697" s="105"/>
      <c r="AT697" s="105"/>
      <c r="AU697" s="105"/>
      <c r="AV697" s="105"/>
      <c r="AW697" s="105"/>
      <c r="AX697" s="105"/>
      <c r="AY697" s="105"/>
      <c r="AZ697" s="105"/>
      <c r="BA697" s="105"/>
      <c r="BB697" s="105"/>
      <c r="BC697" s="105"/>
      <c r="BD697" s="105"/>
      <c r="BE697" s="105"/>
      <c r="BF697" s="105"/>
      <c r="BG697" s="105"/>
      <c r="BH697" s="105"/>
      <c r="BI697" s="105"/>
      <c r="BJ697" s="105"/>
      <c r="BK697" s="105"/>
      <c r="BL697" s="105"/>
      <c r="BM697" s="105"/>
      <c r="BN697" s="105"/>
      <c r="BO697" s="105"/>
      <c r="BP697" s="105"/>
      <c r="BQ697" s="105"/>
      <c r="BR697" s="105"/>
      <c r="BS697" s="105"/>
      <c r="BT697" s="105"/>
      <c r="BU697" s="105"/>
      <c r="BV697" s="105"/>
      <c r="BW697" s="105"/>
      <c r="BX697" s="105"/>
      <c r="BY697" s="105"/>
      <c r="BZ697" s="105"/>
      <c r="CA697" s="105"/>
      <c r="CB697" s="105"/>
      <c r="CC697" s="105"/>
      <c r="CD697" s="105"/>
      <c r="CE697" s="105"/>
      <c r="CF697" s="105"/>
      <c r="CG697" s="105"/>
      <c r="CH697" s="105"/>
      <c r="CI697" s="105"/>
      <c r="CJ697" s="105"/>
      <c r="CK697" s="105"/>
      <c r="CL697" s="105"/>
      <c r="CM697" s="105"/>
      <c r="CN697" s="105"/>
      <c r="CO697" s="105"/>
      <c r="CP697" s="105"/>
      <c r="CQ697" s="105"/>
      <c r="CR697" s="105"/>
      <c r="CS697" s="105"/>
      <c r="CT697" s="105"/>
      <c r="CU697" s="105"/>
      <c r="CV697" s="105"/>
      <c r="CW697" s="105"/>
      <c r="CX697" s="105"/>
      <c r="CY697" s="105"/>
      <c r="CZ697" s="105"/>
      <c r="DA697" s="105"/>
    </row>
    <row r="698">
      <c r="B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c r="AA698" s="105"/>
      <c r="AB698" s="105"/>
      <c r="AC698" s="105"/>
      <c r="AD698" s="105"/>
      <c r="AE698" s="105"/>
      <c r="AF698" s="105"/>
      <c r="AG698" s="105"/>
      <c r="AH698" s="105"/>
      <c r="AI698" s="105"/>
      <c r="AJ698" s="105"/>
      <c r="AK698" s="105"/>
      <c r="AL698" s="105"/>
      <c r="AM698" s="105"/>
      <c r="AN698" s="105"/>
      <c r="AO698" s="105"/>
      <c r="AP698" s="105"/>
      <c r="AQ698" s="105"/>
      <c r="AR698" s="105"/>
      <c r="AS698" s="105"/>
      <c r="AT698" s="105"/>
      <c r="AU698" s="105"/>
      <c r="AV698" s="105"/>
      <c r="AW698" s="105"/>
      <c r="AX698" s="105"/>
      <c r="AY698" s="105"/>
      <c r="AZ698" s="105"/>
      <c r="BA698" s="105"/>
      <c r="BB698" s="105"/>
      <c r="BC698" s="105"/>
      <c r="BD698" s="105"/>
      <c r="BE698" s="105"/>
      <c r="BF698" s="105"/>
      <c r="BG698" s="105"/>
      <c r="BH698" s="105"/>
      <c r="BI698" s="105"/>
      <c r="BJ698" s="105"/>
      <c r="BK698" s="105"/>
      <c r="BL698" s="105"/>
      <c r="BM698" s="105"/>
      <c r="BN698" s="105"/>
      <c r="BO698" s="105"/>
      <c r="BP698" s="105"/>
      <c r="BQ698" s="105"/>
      <c r="BR698" s="105"/>
      <c r="BS698" s="105"/>
      <c r="BT698" s="105"/>
      <c r="BU698" s="105"/>
      <c r="BV698" s="105"/>
      <c r="BW698" s="105"/>
      <c r="BX698" s="105"/>
      <c r="BY698" s="105"/>
      <c r="BZ698" s="105"/>
      <c r="CA698" s="105"/>
      <c r="CB698" s="105"/>
      <c r="CC698" s="105"/>
      <c r="CD698" s="105"/>
      <c r="CE698" s="105"/>
      <c r="CF698" s="105"/>
      <c r="CG698" s="105"/>
      <c r="CH698" s="105"/>
      <c r="CI698" s="105"/>
      <c r="CJ698" s="105"/>
      <c r="CK698" s="105"/>
      <c r="CL698" s="105"/>
      <c r="CM698" s="105"/>
      <c r="CN698" s="105"/>
      <c r="CO698" s="105"/>
      <c r="CP698" s="105"/>
      <c r="CQ698" s="105"/>
      <c r="CR698" s="105"/>
      <c r="CS698" s="105"/>
      <c r="CT698" s="105"/>
      <c r="CU698" s="105"/>
      <c r="CV698" s="105"/>
      <c r="CW698" s="105"/>
      <c r="CX698" s="105"/>
      <c r="CY698" s="105"/>
      <c r="CZ698" s="105"/>
      <c r="DA698" s="105"/>
    </row>
    <row r="699">
      <c r="B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c r="AA699" s="105"/>
      <c r="AB699" s="105"/>
      <c r="AC699" s="105"/>
      <c r="AD699" s="105"/>
      <c r="AE699" s="105"/>
      <c r="AF699" s="105"/>
      <c r="AG699" s="105"/>
      <c r="AH699" s="105"/>
      <c r="AI699" s="105"/>
      <c r="AJ699" s="105"/>
      <c r="AK699" s="105"/>
      <c r="AL699" s="105"/>
      <c r="AM699" s="105"/>
      <c r="AN699" s="105"/>
      <c r="AO699" s="105"/>
      <c r="AP699" s="105"/>
      <c r="AQ699" s="105"/>
      <c r="AR699" s="105"/>
      <c r="AS699" s="105"/>
      <c r="AT699" s="105"/>
      <c r="AU699" s="105"/>
      <c r="AV699" s="105"/>
      <c r="AW699" s="105"/>
      <c r="AX699" s="105"/>
      <c r="AY699" s="105"/>
      <c r="AZ699" s="105"/>
      <c r="BA699" s="105"/>
      <c r="BB699" s="105"/>
      <c r="BC699" s="105"/>
      <c r="BD699" s="105"/>
      <c r="BE699" s="105"/>
      <c r="BF699" s="105"/>
      <c r="BG699" s="105"/>
      <c r="BH699" s="105"/>
      <c r="BI699" s="105"/>
      <c r="BJ699" s="105"/>
      <c r="BK699" s="105"/>
      <c r="BL699" s="105"/>
      <c r="BM699" s="105"/>
      <c r="BN699" s="105"/>
      <c r="BO699" s="105"/>
      <c r="BP699" s="105"/>
      <c r="BQ699" s="105"/>
      <c r="BR699" s="105"/>
      <c r="BS699" s="105"/>
      <c r="BT699" s="105"/>
      <c r="BU699" s="105"/>
      <c r="BV699" s="105"/>
      <c r="BW699" s="105"/>
      <c r="BX699" s="105"/>
      <c r="BY699" s="105"/>
      <c r="BZ699" s="105"/>
      <c r="CA699" s="105"/>
      <c r="CB699" s="105"/>
      <c r="CC699" s="105"/>
      <c r="CD699" s="105"/>
      <c r="CE699" s="105"/>
      <c r="CF699" s="105"/>
      <c r="CG699" s="105"/>
      <c r="CH699" s="105"/>
      <c r="CI699" s="105"/>
      <c r="CJ699" s="105"/>
      <c r="CK699" s="105"/>
      <c r="CL699" s="105"/>
      <c r="CM699" s="105"/>
      <c r="CN699" s="105"/>
      <c r="CO699" s="105"/>
      <c r="CP699" s="105"/>
      <c r="CQ699" s="105"/>
      <c r="CR699" s="105"/>
      <c r="CS699" s="105"/>
      <c r="CT699" s="105"/>
      <c r="CU699" s="105"/>
      <c r="CV699" s="105"/>
      <c r="CW699" s="105"/>
      <c r="CX699" s="105"/>
      <c r="CY699" s="105"/>
      <c r="CZ699" s="105"/>
      <c r="DA699" s="105"/>
    </row>
    <row r="700">
      <c r="B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c r="AA700" s="105"/>
      <c r="AB700" s="105"/>
      <c r="AC700" s="105"/>
      <c r="AD700" s="105"/>
      <c r="AE700" s="105"/>
      <c r="AF700" s="105"/>
      <c r="AG700" s="105"/>
      <c r="AH700" s="105"/>
      <c r="AI700" s="105"/>
      <c r="AJ700" s="105"/>
      <c r="AK700" s="105"/>
      <c r="AL700" s="105"/>
      <c r="AM700" s="105"/>
      <c r="AN700" s="105"/>
      <c r="AO700" s="105"/>
      <c r="AP700" s="105"/>
      <c r="AQ700" s="105"/>
      <c r="AR700" s="105"/>
      <c r="AS700" s="105"/>
      <c r="AT700" s="105"/>
      <c r="AU700" s="105"/>
      <c r="AV700" s="105"/>
      <c r="AW700" s="105"/>
      <c r="AX700" s="105"/>
      <c r="AY700" s="105"/>
      <c r="AZ700" s="105"/>
      <c r="BA700" s="105"/>
      <c r="BB700" s="105"/>
      <c r="BC700" s="105"/>
      <c r="BD700" s="105"/>
      <c r="BE700" s="105"/>
      <c r="BF700" s="105"/>
      <c r="BG700" s="105"/>
      <c r="BH700" s="105"/>
      <c r="BI700" s="105"/>
      <c r="BJ700" s="105"/>
      <c r="BK700" s="105"/>
      <c r="BL700" s="105"/>
      <c r="BM700" s="105"/>
      <c r="BN700" s="105"/>
      <c r="BO700" s="105"/>
      <c r="BP700" s="105"/>
      <c r="BQ700" s="105"/>
      <c r="BR700" s="105"/>
      <c r="BS700" s="105"/>
      <c r="BT700" s="105"/>
      <c r="BU700" s="105"/>
      <c r="BV700" s="105"/>
      <c r="BW700" s="105"/>
      <c r="BX700" s="105"/>
      <c r="BY700" s="105"/>
      <c r="BZ700" s="105"/>
      <c r="CA700" s="105"/>
      <c r="CB700" s="105"/>
      <c r="CC700" s="105"/>
      <c r="CD700" s="105"/>
      <c r="CE700" s="105"/>
      <c r="CF700" s="105"/>
      <c r="CG700" s="105"/>
      <c r="CH700" s="105"/>
      <c r="CI700" s="105"/>
      <c r="CJ700" s="105"/>
      <c r="CK700" s="105"/>
      <c r="CL700" s="105"/>
      <c r="CM700" s="105"/>
      <c r="CN700" s="105"/>
      <c r="CO700" s="105"/>
      <c r="CP700" s="105"/>
      <c r="CQ700" s="105"/>
      <c r="CR700" s="105"/>
      <c r="CS700" s="105"/>
      <c r="CT700" s="105"/>
      <c r="CU700" s="105"/>
      <c r="CV700" s="105"/>
      <c r="CW700" s="105"/>
      <c r="CX700" s="105"/>
      <c r="CY700" s="105"/>
      <c r="CZ700" s="105"/>
      <c r="DA700" s="105"/>
    </row>
    <row r="701">
      <c r="B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c r="AA701" s="105"/>
      <c r="AB701" s="105"/>
      <c r="AC701" s="105"/>
      <c r="AD701" s="105"/>
      <c r="AE701" s="105"/>
      <c r="AF701" s="105"/>
      <c r="AG701" s="105"/>
      <c r="AH701" s="105"/>
      <c r="AI701" s="105"/>
      <c r="AJ701" s="105"/>
      <c r="AK701" s="105"/>
      <c r="AL701" s="105"/>
      <c r="AM701" s="105"/>
      <c r="AN701" s="105"/>
      <c r="AO701" s="105"/>
      <c r="AP701" s="105"/>
      <c r="AQ701" s="105"/>
      <c r="AR701" s="105"/>
      <c r="AS701" s="105"/>
      <c r="AT701" s="105"/>
      <c r="AU701" s="105"/>
      <c r="AV701" s="105"/>
      <c r="AW701" s="105"/>
      <c r="AX701" s="105"/>
      <c r="AY701" s="105"/>
      <c r="AZ701" s="105"/>
      <c r="BA701" s="105"/>
      <c r="BB701" s="105"/>
      <c r="BC701" s="105"/>
      <c r="BD701" s="105"/>
      <c r="BE701" s="105"/>
      <c r="BF701" s="105"/>
      <c r="BG701" s="105"/>
      <c r="BH701" s="105"/>
      <c r="BI701" s="105"/>
      <c r="BJ701" s="105"/>
      <c r="BK701" s="105"/>
      <c r="BL701" s="105"/>
      <c r="BM701" s="105"/>
      <c r="BN701" s="105"/>
      <c r="BO701" s="105"/>
      <c r="BP701" s="105"/>
      <c r="BQ701" s="105"/>
      <c r="BR701" s="105"/>
      <c r="BS701" s="105"/>
      <c r="BT701" s="105"/>
      <c r="BU701" s="105"/>
      <c r="BV701" s="105"/>
      <c r="BW701" s="105"/>
      <c r="BX701" s="105"/>
      <c r="BY701" s="105"/>
      <c r="BZ701" s="105"/>
      <c r="CA701" s="105"/>
      <c r="CB701" s="105"/>
      <c r="CC701" s="105"/>
      <c r="CD701" s="105"/>
      <c r="CE701" s="105"/>
      <c r="CF701" s="105"/>
      <c r="CG701" s="105"/>
      <c r="CH701" s="105"/>
      <c r="CI701" s="105"/>
      <c r="CJ701" s="105"/>
      <c r="CK701" s="105"/>
      <c r="CL701" s="105"/>
      <c r="CM701" s="105"/>
      <c r="CN701" s="105"/>
      <c r="CO701" s="105"/>
      <c r="CP701" s="105"/>
      <c r="CQ701" s="105"/>
      <c r="CR701" s="105"/>
      <c r="CS701" s="105"/>
      <c r="CT701" s="105"/>
      <c r="CU701" s="105"/>
      <c r="CV701" s="105"/>
      <c r="CW701" s="105"/>
      <c r="CX701" s="105"/>
      <c r="CY701" s="105"/>
      <c r="CZ701" s="105"/>
      <c r="DA701" s="105"/>
    </row>
    <row r="702">
      <c r="B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c r="AA702" s="105"/>
      <c r="AB702" s="105"/>
      <c r="AC702" s="105"/>
      <c r="AD702" s="105"/>
      <c r="AE702" s="105"/>
      <c r="AF702" s="105"/>
      <c r="AG702" s="105"/>
      <c r="AH702" s="105"/>
      <c r="AI702" s="105"/>
      <c r="AJ702" s="105"/>
      <c r="AK702" s="105"/>
      <c r="AL702" s="105"/>
      <c r="AM702" s="105"/>
      <c r="AN702" s="105"/>
      <c r="AO702" s="105"/>
      <c r="AP702" s="105"/>
      <c r="AQ702" s="105"/>
      <c r="AR702" s="105"/>
      <c r="AS702" s="105"/>
      <c r="AT702" s="105"/>
      <c r="AU702" s="105"/>
      <c r="AV702" s="105"/>
      <c r="AW702" s="105"/>
      <c r="AX702" s="105"/>
      <c r="AY702" s="105"/>
      <c r="AZ702" s="105"/>
      <c r="BA702" s="105"/>
      <c r="BB702" s="105"/>
      <c r="BC702" s="105"/>
      <c r="BD702" s="105"/>
      <c r="BE702" s="105"/>
      <c r="BF702" s="105"/>
      <c r="BG702" s="105"/>
      <c r="BH702" s="105"/>
      <c r="BI702" s="105"/>
      <c r="BJ702" s="105"/>
      <c r="BK702" s="105"/>
      <c r="BL702" s="105"/>
      <c r="BM702" s="105"/>
      <c r="BN702" s="105"/>
      <c r="BO702" s="105"/>
      <c r="BP702" s="105"/>
      <c r="BQ702" s="105"/>
      <c r="BR702" s="105"/>
      <c r="BS702" s="105"/>
      <c r="BT702" s="105"/>
      <c r="BU702" s="105"/>
      <c r="BV702" s="105"/>
      <c r="BW702" s="105"/>
      <c r="BX702" s="105"/>
      <c r="BY702" s="105"/>
      <c r="BZ702" s="105"/>
      <c r="CA702" s="105"/>
      <c r="CB702" s="105"/>
      <c r="CC702" s="105"/>
      <c r="CD702" s="105"/>
      <c r="CE702" s="105"/>
      <c r="CF702" s="105"/>
      <c r="CG702" s="105"/>
      <c r="CH702" s="105"/>
      <c r="CI702" s="105"/>
      <c r="CJ702" s="105"/>
      <c r="CK702" s="105"/>
      <c r="CL702" s="105"/>
      <c r="CM702" s="105"/>
      <c r="CN702" s="105"/>
      <c r="CO702" s="105"/>
      <c r="CP702" s="105"/>
      <c r="CQ702" s="105"/>
      <c r="CR702" s="105"/>
      <c r="CS702" s="105"/>
      <c r="CT702" s="105"/>
      <c r="CU702" s="105"/>
      <c r="CV702" s="105"/>
      <c r="CW702" s="105"/>
      <c r="CX702" s="105"/>
      <c r="CY702" s="105"/>
      <c r="CZ702" s="105"/>
      <c r="DA702" s="105"/>
    </row>
    <row r="703">
      <c r="B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c r="AA703" s="105"/>
      <c r="AB703" s="105"/>
      <c r="AC703" s="105"/>
      <c r="AD703" s="105"/>
      <c r="AE703" s="105"/>
      <c r="AF703" s="105"/>
      <c r="AG703" s="105"/>
      <c r="AH703" s="105"/>
      <c r="AI703" s="105"/>
      <c r="AJ703" s="105"/>
      <c r="AK703" s="105"/>
      <c r="AL703" s="105"/>
      <c r="AM703" s="105"/>
      <c r="AN703" s="105"/>
      <c r="AO703" s="105"/>
      <c r="AP703" s="105"/>
      <c r="AQ703" s="105"/>
      <c r="AR703" s="105"/>
      <c r="AS703" s="105"/>
      <c r="AT703" s="105"/>
      <c r="AU703" s="105"/>
      <c r="AV703" s="105"/>
      <c r="AW703" s="105"/>
      <c r="AX703" s="105"/>
      <c r="AY703" s="105"/>
      <c r="AZ703" s="105"/>
      <c r="BA703" s="105"/>
      <c r="BB703" s="105"/>
      <c r="BC703" s="105"/>
      <c r="BD703" s="105"/>
      <c r="BE703" s="105"/>
      <c r="BF703" s="105"/>
      <c r="BG703" s="105"/>
      <c r="BH703" s="105"/>
      <c r="BI703" s="105"/>
      <c r="BJ703" s="105"/>
      <c r="BK703" s="105"/>
      <c r="BL703" s="105"/>
      <c r="BM703" s="105"/>
      <c r="BN703" s="105"/>
      <c r="BO703" s="105"/>
      <c r="BP703" s="105"/>
      <c r="BQ703" s="105"/>
      <c r="BR703" s="105"/>
      <c r="BS703" s="105"/>
      <c r="BT703" s="105"/>
      <c r="BU703" s="105"/>
      <c r="BV703" s="105"/>
      <c r="BW703" s="105"/>
      <c r="BX703" s="105"/>
      <c r="BY703" s="105"/>
      <c r="BZ703" s="105"/>
      <c r="CA703" s="105"/>
      <c r="CB703" s="105"/>
      <c r="CC703" s="105"/>
      <c r="CD703" s="105"/>
      <c r="CE703" s="105"/>
      <c r="CF703" s="105"/>
      <c r="CG703" s="105"/>
      <c r="CH703" s="105"/>
      <c r="CI703" s="105"/>
      <c r="CJ703" s="105"/>
      <c r="CK703" s="105"/>
      <c r="CL703" s="105"/>
      <c r="CM703" s="105"/>
      <c r="CN703" s="105"/>
      <c r="CO703" s="105"/>
      <c r="CP703" s="105"/>
      <c r="CQ703" s="105"/>
      <c r="CR703" s="105"/>
      <c r="CS703" s="105"/>
      <c r="CT703" s="105"/>
      <c r="CU703" s="105"/>
      <c r="CV703" s="105"/>
      <c r="CW703" s="105"/>
      <c r="CX703" s="105"/>
      <c r="CY703" s="105"/>
      <c r="CZ703" s="105"/>
      <c r="DA703" s="105"/>
    </row>
    <row r="704">
      <c r="B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c r="AA704" s="105"/>
      <c r="AB704" s="105"/>
      <c r="AC704" s="105"/>
      <c r="AD704" s="105"/>
      <c r="AE704" s="105"/>
      <c r="AF704" s="105"/>
      <c r="AG704" s="105"/>
      <c r="AH704" s="105"/>
      <c r="AI704" s="105"/>
      <c r="AJ704" s="105"/>
      <c r="AK704" s="105"/>
      <c r="AL704" s="105"/>
      <c r="AM704" s="105"/>
      <c r="AN704" s="105"/>
      <c r="AO704" s="105"/>
      <c r="AP704" s="105"/>
      <c r="AQ704" s="105"/>
      <c r="AR704" s="105"/>
      <c r="AS704" s="105"/>
      <c r="AT704" s="105"/>
      <c r="AU704" s="105"/>
      <c r="AV704" s="105"/>
      <c r="AW704" s="105"/>
      <c r="AX704" s="105"/>
      <c r="AY704" s="105"/>
      <c r="AZ704" s="105"/>
      <c r="BA704" s="105"/>
      <c r="BB704" s="105"/>
      <c r="BC704" s="105"/>
      <c r="BD704" s="105"/>
      <c r="BE704" s="105"/>
      <c r="BF704" s="105"/>
      <c r="BG704" s="105"/>
      <c r="BH704" s="105"/>
      <c r="BI704" s="105"/>
      <c r="BJ704" s="105"/>
      <c r="BK704" s="105"/>
      <c r="BL704" s="105"/>
      <c r="BM704" s="105"/>
      <c r="BN704" s="105"/>
      <c r="BO704" s="105"/>
      <c r="BP704" s="105"/>
      <c r="BQ704" s="105"/>
      <c r="BR704" s="105"/>
      <c r="BS704" s="105"/>
      <c r="BT704" s="105"/>
      <c r="BU704" s="105"/>
      <c r="BV704" s="105"/>
      <c r="BW704" s="105"/>
      <c r="BX704" s="105"/>
      <c r="BY704" s="105"/>
      <c r="BZ704" s="105"/>
      <c r="CA704" s="105"/>
      <c r="CB704" s="105"/>
      <c r="CC704" s="105"/>
      <c r="CD704" s="105"/>
      <c r="CE704" s="105"/>
      <c r="CF704" s="105"/>
      <c r="CG704" s="105"/>
      <c r="CH704" s="105"/>
      <c r="CI704" s="105"/>
      <c r="CJ704" s="105"/>
      <c r="CK704" s="105"/>
      <c r="CL704" s="105"/>
      <c r="CM704" s="105"/>
      <c r="CN704" s="105"/>
      <c r="CO704" s="105"/>
      <c r="CP704" s="105"/>
      <c r="CQ704" s="105"/>
      <c r="CR704" s="105"/>
      <c r="CS704" s="105"/>
      <c r="CT704" s="105"/>
      <c r="CU704" s="105"/>
      <c r="CV704" s="105"/>
      <c r="CW704" s="105"/>
      <c r="CX704" s="105"/>
      <c r="CY704" s="105"/>
      <c r="CZ704" s="105"/>
      <c r="DA704" s="105"/>
    </row>
    <row r="705">
      <c r="B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c r="AA705" s="105"/>
      <c r="AB705" s="105"/>
      <c r="AC705" s="105"/>
      <c r="AD705" s="105"/>
      <c r="AE705" s="105"/>
      <c r="AF705" s="105"/>
      <c r="AG705" s="105"/>
      <c r="AH705" s="105"/>
      <c r="AI705" s="105"/>
      <c r="AJ705" s="105"/>
      <c r="AK705" s="105"/>
      <c r="AL705" s="105"/>
      <c r="AM705" s="105"/>
      <c r="AN705" s="105"/>
      <c r="AO705" s="105"/>
      <c r="AP705" s="105"/>
      <c r="AQ705" s="105"/>
      <c r="AR705" s="105"/>
      <c r="AS705" s="105"/>
      <c r="AT705" s="105"/>
      <c r="AU705" s="105"/>
      <c r="AV705" s="105"/>
      <c r="AW705" s="105"/>
      <c r="AX705" s="105"/>
      <c r="AY705" s="105"/>
      <c r="AZ705" s="105"/>
      <c r="BA705" s="105"/>
      <c r="BB705" s="105"/>
      <c r="BC705" s="105"/>
      <c r="BD705" s="105"/>
      <c r="BE705" s="105"/>
      <c r="BF705" s="105"/>
      <c r="BG705" s="105"/>
      <c r="BH705" s="105"/>
      <c r="BI705" s="105"/>
      <c r="BJ705" s="105"/>
      <c r="BK705" s="105"/>
      <c r="BL705" s="105"/>
      <c r="BM705" s="105"/>
      <c r="BN705" s="105"/>
      <c r="BO705" s="105"/>
      <c r="BP705" s="105"/>
      <c r="BQ705" s="105"/>
      <c r="BR705" s="105"/>
      <c r="BS705" s="105"/>
      <c r="BT705" s="105"/>
      <c r="BU705" s="105"/>
      <c r="BV705" s="105"/>
      <c r="BW705" s="105"/>
      <c r="BX705" s="105"/>
      <c r="BY705" s="105"/>
      <c r="BZ705" s="105"/>
      <c r="CA705" s="105"/>
      <c r="CB705" s="105"/>
      <c r="CC705" s="105"/>
      <c r="CD705" s="105"/>
      <c r="CE705" s="105"/>
      <c r="CF705" s="105"/>
      <c r="CG705" s="105"/>
      <c r="CH705" s="105"/>
      <c r="CI705" s="105"/>
      <c r="CJ705" s="105"/>
      <c r="CK705" s="105"/>
      <c r="CL705" s="105"/>
      <c r="CM705" s="105"/>
      <c r="CN705" s="105"/>
      <c r="CO705" s="105"/>
      <c r="CP705" s="105"/>
      <c r="CQ705" s="105"/>
      <c r="CR705" s="105"/>
      <c r="CS705" s="105"/>
      <c r="CT705" s="105"/>
      <c r="CU705" s="105"/>
      <c r="CV705" s="105"/>
      <c r="CW705" s="105"/>
      <c r="CX705" s="105"/>
      <c r="CY705" s="105"/>
      <c r="CZ705" s="105"/>
      <c r="DA705" s="105"/>
    </row>
    <row r="706">
      <c r="B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c r="AA706" s="105"/>
      <c r="AB706" s="105"/>
      <c r="AC706" s="105"/>
      <c r="AD706" s="105"/>
      <c r="AE706" s="105"/>
      <c r="AF706" s="105"/>
      <c r="AG706" s="105"/>
      <c r="AH706" s="105"/>
      <c r="AI706" s="105"/>
      <c r="AJ706" s="105"/>
      <c r="AK706" s="105"/>
      <c r="AL706" s="105"/>
      <c r="AM706" s="105"/>
      <c r="AN706" s="105"/>
      <c r="AO706" s="105"/>
      <c r="AP706" s="105"/>
      <c r="AQ706" s="105"/>
      <c r="AR706" s="105"/>
      <c r="AS706" s="105"/>
      <c r="AT706" s="105"/>
      <c r="AU706" s="105"/>
      <c r="AV706" s="105"/>
      <c r="AW706" s="105"/>
      <c r="AX706" s="105"/>
      <c r="AY706" s="105"/>
      <c r="AZ706" s="105"/>
      <c r="BA706" s="105"/>
      <c r="BB706" s="105"/>
      <c r="BC706" s="105"/>
      <c r="BD706" s="105"/>
      <c r="BE706" s="105"/>
      <c r="BF706" s="105"/>
      <c r="BG706" s="105"/>
      <c r="BH706" s="105"/>
      <c r="BI706" s="105"/>
      <c r="BJ706" s="105"/>
      <c r="BK706" s="105"/>
      <c r="BL706" s="105"/>
      <c r="BM706" s="105"/>
      <c r="BN706" s="105"/>
      <c r="BO706" s="105"/>
      <c r="BP706" s="105"/>
      <c r="BQ706" s="105"/>
      <c r="BR706" s="105"/>
      <c r="BS706" s="105"/>
      <c r="BT706" s="105"/>
      <c r="BU706" s="105"/>
      <c r="BV706" s="105"/>
      <c r="BW706" s="105"/>
      <c r="BX706" s="105"/>
      <c r="BY706" s="105"/>
      <c r="BZ706" s="105"/>
      <c r="CA706" s="105"/>
      <c r="CB706" s="105"/>
      <c r="CC706" s="105"/>
      <c r="CD706" s="105"/>
      <c r="CE706" s="105"/>
      <c r="CF706" s="105"/>
      <c r="CG706" s="105"/>
      <c r="CH706" s="105"/>
      <c r="CI706" s="105"/>
      <c r="CJ706" s="105"/>
      <c r="CK706" s="105"/>
      <c r="CL706" s="105"/>
      <c r="CM706" s="105"/>
      <c r="CN706" s="105"/>
      <c r="CO706" s="105"/>
      <c r="CP706" s="105"/>
      <c r="CQ706" s="105"/>
      <c r="CR706" s="105"/>
      <c r="CS706" s="105"/>
      <c r="CT706" s="105"/>
      <c r="CU706" s="105"/>
      <c r="CV706" s="105"/>
      <c r="CW706" s="105"/>
      <c r="CX706" s="105"/>
      <c r="CY706" s="105"/>
      <c r="CZ706" s="105"/>
      <c r="DA706" s="105"/>
    </row>
    <row r="707">
      <c r="B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c r="AA707" s="105"/>
      <c r="AB707" s="105"/>
      <c r="AC707" s="105"/>
      <c r="AD707" s="105"/>
      <c r="AE707" s="105"/>
      <c r="AF707" s="105"/>
      <c r="AG707" s="105"/>
      <c r="AH707" s="105"/>
      <c r="AI707" s="105"/>
      <c r="AJ707" s="105"/>
      <c r="AK707" s="105"/>
      <c r="AL707" s="105"/>
      <c r="AM707" s="105"/>
      <c r="AN707" s="105"/>
      <c r="AO707" s="105"/>
      <c r="AP707" s="105"/>
      <c r="AQ707" s="105"/>
      <c r="AR707" s="105"/>
      <c r="AS707" s="105"/>
      <c r="AT707" s="105"/>
      <c r="AU707" s="105"/>
      <c r="AV707" s="105"/>
      <c r="AW707" s="105"/>
      <c r="AX707" s="105"/>
      <c r="AY707" s="105"/>
      <c r="AZ707" s="105"/>
      <c r="BA707" s="105"/>
      <c r="BB707" s="105"/>
      <c r="BC707" s="105"/>
      <c r="BD707" s="105"/>
      <c r="BE707" s="105"/>
      <c r="BF707" s="105"/>
      <c r="BG707" s="105"/>
      <c r="BH707" s="105"/>
      <c r="BI707" s="105"/>
      <c r="BJ707" s="105"/>
      <c r="BK707" s="105"/>
      <c r="BL707" s="105"/>
      <c r="BM707" s="105"/>
      <c r="BN707" s="105"/>
      <c r="BO707" s="105"/>
      <c r="BP707" s="105"/>
      <c r="BQ707" s="105"/>
      <c r="BR707" s="105"/>
      <c r="BS707" s="105"/>
      <c r="BT707" s="105"/>
      <c r="BU707" s="105"/>
      <c r="BV707" s="105"/>
      <c r="BW707" s="105"/>
      <c r="BX707" s="105"/>
      <c r="BY707" s="105"/>
      <c r="BZ707" s="105"/>
      <c r="CA707" s="105"/>
      <c r="CB707" s="105"/>
      <c r="CC707" s="105"/>
      <c r="CD707" s="105"/>
      <c r="CE707" s="105"/>
      <c r="CF707" s="105"/>
      <c r="CG707" s="105"/>
      <c r="CH707" s="105"/>
      <c r="CI707" s="105"/>
      <c r="CJ707" s="105"/>
      <c r="CK707" s="105"/>
      <c r="CL707" s="105"/>
      <c r="CM707" s="105"/>
      <c r="CN707" s="105"/>
      <c r="CO707" s="105"/>
      <c r="CP707" s="105"/>
      <c r="CQ707" s="105"/>
      <c r="CR707" s="105"/>
      <c r="CS707" s="105"/>
      <c r="CT707" s="105"/>
      <c r="CU707" s="105"/>
      <c r="CV707" s="105"/>
      <c r="CW707" s="105"/>
      <c r="CX707" s="105"/>
      <c r="CY707" s="105"/>
      <c r="CZ707" s="105"/>
      <c r="DA707" s="105"/>
    </row>
    <row r="708">
      <c r="B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c r="AA708" s="105"/>
      <c r="AB708" s="105"/>
      <c r="AC708" s="105"/>
      <c r="AD708" s="105"/>
      <c r="AE708" s="105"/>
      <c r="AF708" s="105"/>
      <c r="AG708" s="105"/>
      <c r="AH708" s="105"/>
      <c r="AI708" s="105"/>
      <c r="AJ708" s="105"/>
      <c r="AK708" s="105"/>
      <c r="AL708" s="105"/>
      <c r="AM708" s="105"/>
      <c r="AN708" s="105"/>
      <c r="AO708" s="105"/>
      <c r="AP708" s="105"/>
      <c r="AQ708" s="105"/>
      <c r="AR708" s="105"/>
      <c r="AS708" s="105"/>
      <c r="AT708" s="105"/>
      <c r="AU708" s="105"/>
      <c r="AV708" s="105"/>
      <c r="AW708" s="105"/>
      <c r="AX708" s="105"/>
      <c r="AY708" s="105"/>
      <c r="AZ708" s="105"/>
      <c r="BA708" s="105"/>
      <c r="BB708" s="105"/>
      <c r="BC708" s="105"/>
      <c r="BD708" s="105"/>
      <c r="BE708" s="105"/>
      <c r="BF708" s="105"/>
      <c r="BG708" s="105"/>
      <c r="BH708" s="105"/>
      <c r="BI708" s="105"/>
      <c r="BJ708" s="105"/>
      <c r="BK708" s="105"/>
      <c r="BL708" s="105"/>
      <c r="BM708" s="105"/>
      <c r="BN708" s="105"/>
      <c r="BO708" s="105"/>
      <c r="BP708" s="105"/>
      <c r="BQ708" s="105"/>
      <c r="BR708" s="105"/>
      <c r="BS708" s="105"/>
      <c r="BT708" s="105"/>
      <c r="BU708" s="105"/>
      <c r="BV708" s="105"/>
      <c r="BW708" s="105"/>
      <c r="BX708" s="105"/>
      <c r="BY708" s="105"/>
      <c r="BZ708" s="105"/>
      <c r="CA708" s="105"/>
      <c r="CB708" s="105"/>
      <c r="CC708" s="105"/>
      <c r="CD708" s="105"/>
      <c r="CE708" s="105"/>
      <c r="CF708" s="105"/>
      <c r="CG708" s="105"/>
      <c r="CH708" s="105"/>
      <c r="CI708" s="105"/>
      <c r="CJ708" s="105"/>
      <c r="CK708" s="105"/>
      <c r="CL708" s="105"/>
      <c r="CM708" s="105"/>
      <c r="CN708" s="105"/>
      <c r="CO708" s="105"/>
      <c r="CP708" s="105"/>
      <c r="CQ708" s="105"/>
      <c r="CR708" s="105"/>
      <c r="CS708" s="105"/>
      <c r="CT708" s="105"/>
      <c r="CU708" s="105"/>
      <c r="CV708" s="105"/>
      <c r="CW708" s="105"/>
      <c r="CX708" s="105"/>
      <c r="CY708" s="105"/>
      <c r="CZ708" s="105"/>
      <c r="DA708" s="105"/>
    </row>
    <row r="709">
      <c r="B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c r="AA709" s="105"/>
      <c r="AB709" s="105"/>
      <c r="AC709" s="105"/>
      <c r="AD709" s="105"/>
      <c r="AE709" s="105"/>
      <c r="AF709" s="105"/>
      <c r="AG709" s="105"/>
      <c r="AH709" s="105"/>
      <c r="AI709" s="105"/>
      <c r="AJ709" s="105"/>
      <c r="AK709" s="105"/>
      <c r="AL709" s="105"/>
      <c r="AM709" s="105"/>
      <c r="AN709" s="105"/>
      <c r="AO709" s="105"/>
      <c r="AP709" s="105"/>
      <c r="AQ709" s="105"/>
      <c r="AR709" s="105"/>
      <c r="AS709" s="105"/>
      <c r="AT709" s="105"/>
      <c r="AU709" s="105"/>
      <c r="AV709" s="105"/>
      <c r="AW709" s="105"/>
      <c r="AX709" s="105"/>
      <c r="AY709" s="105"/>
      <c r="AZ709" s="105"/>
      <c r="BA709" s="105"/>
      <c r="BB709" s="105"/>
      <c r="BC709" s="105"/>
      <c r="BD709" s="105"/>
      <c r="BE709" s="105"/>
      <c r="BF709" s="105"/>
      <c r="BG709" s="105"/>
      <c r="BH709" s="105"/>
      <c r="BI709" s="105"/>
      <c r="BJ709" s="105"/>
      <c r="BK709" s="105"/>
      <c r="BL709" s="105"/>
      <c r="BM709" s="105"/>
      <c r="BN709" s="105"/>
      <c r="BO709" s="105"/>
      <c r="BP709" s="105"/>
      <c r="BQ709" s="105"/>
      <c r="BR709" s="105"/>
      <c r="BS709" s="105"/>
      <c r="BT709" s="105"/>
      <c r="BU709" s="105"/>
      <c r="BV709" s="105"/>
      <c r="BW709" s="105"/>
      <c r="BX709" s="105"/>
      <c r="BY709" s="105"/>
      <c r="BZ709" s="105"/>
      <c r="CA709" s="105"/>
      <c r="CB709" s="105"/>
      <c r="CC709" s="105"/>
      <c r="CD709" s="105"/>
      <c r="CE709" s="105"/>
      <c r="CF709" s="105"/>
      <c r="CG709" s="105"/>
      <c r="CH709" s="105"/>
      <c r="CI709" s="105"/>
      <c r="CJ709" s="105"/>
      <c r="CK709" s="105"/>
      <c r="CL709" s="105"/>
      <c r="CM709" s="105"/>
      <c r="CN709" s="105"/>
      <c r="CO709" s="105"/>
      <c r="CP709" s="105"/>
      <c r="CQ709" s="105"/>
      <c r="CR709" s="105"/>
      <c r="CS709" s="105"/>
      <c r="CT709" s="105"/>
      <c r="CU709" s="105"/>
      <c r="CV709" s="105"/>
      <c r="CW709" s="105"/>
      <c r="CX709" s="105"/>
      <c r="CY709" s="105"/>
      <c r="CZ709" s="105"/>
      <c r="DA709" s="105"/>
    </row>
    <row r="710">
      <c r="B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c r="AA710" s="105"/>
      <c r="AB710" s="105"/>
      <c r="AC710" s="105"/>
      <c r="AD710" s="105"/>
      <c r="AE710" s="105"/>
      <c r="AF710" s="105"/>
      <c r="AG710" s="105"/>
      <c r="AH710" s="105"/>
      <c r="AI710" s="105"/>
      <c r="AJ710" s="105"/>
      <c r="AK710" s="105"/>
      <c r="AL710" s="105"/>
      <c r="AM710" s="105"/>
      <c r="AN710" s="105"/>
      <c r="AO710" s="105"/>
      <c r="AP710" s="105"/>
      <c r="AQ710" s="105"/>
      <c r="AR710" s="105"/>
      <c r="AS710" s="105"/>
      <c r="AT710" s="105"/>
      <c r="AU710" s="105"/>
      <c r="AV710" s="105"/>
      <c r="AW710" s="105"/>
      <c r="AX710" s="105"/>
      <c r="AY710" s="105"/>
      <c r="AZ710" s="105"/>
      <c r="BA710" s="105"/>
      <c r="BB710" s="105"/>
      <c r="BC710" s="105"/>
      <c r="BD710" s="105"/>
      <c r="BE710" s="105"/>
      <c r="BF710" s="105"/>
      <c r="BG710" s="105"/>
      <c r="BH710" s="105"/>
      <c r="BI710" s="105"/>
      <c r="BJ710" s="105"/>
      <c r="BK710" s="105"/>
      <c r="BL710" s="105"/>
      <c r="BM710" s="105"/>
      <c r="BN710" s="105"/>
      <c r="BO710" s="105"/>
      <c r="BP710" s="105"/>
      <c r="BQ710" s="105"/>
      <c r="BR710" s="105"/>
      <c r="BS710" s="105"/>
      <c r="BT710" s="105"/>
      <c r="BU710" s="105"/>
      <c r="BV710" s="105"/>
      <c r="BW710" s="105"/>
      <c r="BX710" s="105"/>
      <c r="BY710" s="105"/>
      <c r="BZ710" s="105"/>
      <c r="CA710" s="105"/>
      <c r="CB710" s="105"/>
      <c r="CC710" s="105"/>
      <c r="CD710" s="105"/>
      <c r="CE710" s="105"/>
      <c r="CF710" s="105"/>
      <c r="CG710" s="105"/>
      <c r="CH710" s="105"/>
      <c r="CI710" s="105"/>
      <c r="CJ710" s="105"/>
      <c r="CK710" s="105"/>
      <c r="CL710" s="105"/>
      <c r="CM710" s="105"/>
      <c r="CN710" s="105"/>
      <c r="CO710" s="105"/>
      <c r="CP710" s="105"/>
      <c r="CQ710" s="105"/>
      <c r="CR710" s="105"/>
      <c r="CS710" s="105"/>
      <c r="CT710" s="105"/>
      <c r="CU710" s="105"/>
      <c r="CV710" s="105"/>
      <c r="CW710" s="105"/>
      <c r="CX710" s="105"/>
      <c r="CY710" s="105"/>
      <c r="CZ710" s="105"/>
      <c r="DA710" s="105"/>
    </row>
    <row r="711">
      <c r="B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c r="AA711" s="105"/>
      <c r="AB711" s="105"/>
      <c r="AC711" s="105"/>
      <c r="AD711" s="105"/>
      <c r="AE711" s="105"/>
      <c r="AF711" s="105"/>
      <c r="AG711" s="105"/>
      <c r="AH711" s="105"/>
      <c r="AI711" s="105"/>
      <c r="AJ711" s="105"/>
      <c r="AK711" s="105"/>
      <c r="AL711" s="105"/>
      <c r="AM711" s="105"/>
      <c r="AN711" s="105"/>
      <c r="AO711" s="105"/>
      <c r="AP711" s="105"/>
      <c r="AQ711" s="105"/>
      <c r="AR711" s="105"/>
      <c r="AS711" s="105"/>
      <c r="AT711" s="105"/>
      <c r="AU711" s="105"/>
      <c r="AV711" s="105"/>
      <c r="AW711" s="105"/>
      <c r="AX711" s="105"/>
      <c r="AY711" s="105"/>
      <c r="AZ711" s="105"/>
      <c r="BA711" s="105"/>
      <c r="BB711" s="105"/>
      <c r="BC711" s="105"/>
      <c r="BD711" s="105"/>
      <c r="BE711" s="105"/>
      <c r="BF711" s="105"/>
      <c r="BG711" s="105"/>
      <c r="BH711" s="105"/>
      <c r="BI711" s="105"/>
      <c r="BJ711" s="105"/>
      <c r="BK711" s="105"/>
      <c r="BL711" s="105"/>
      <c r="BM711" s="105"/>
      <c r="BN711" s="105"/>
      <c r="BO711" s="105"/>
      <c r="BP711" s="105"/>
      <c r="BQ711" s="105"/>
      <c r="BR711" s="105"/>
      <c r="BS711" s="105"/>
      <c r="BT711" s="105"/>
      <c r="BU711" s="105"/>
      <c r="BV711" s="105"/>
      <c r="BW711" s="105"/>
      <c r="BX711" s="105"/>
      <c r="BY711" s="105"/>
      <c r="BZ711" s="105"/>
      <c r="CA711" s="105"/>
      <c r="CB711" s="105"/>
      <c r="CC711" s="105"/>
      <c r="CD711" s="105"/>
      <c r="CE711" s="105"/>
      <c r="CF711" s="105"/>
      <c r="CG711" s="105"/>
      <c r="CH711" s="105"/>
      <c r="CI711" s="105"/>
      <c r="CJ711" s="105"/>
      <c r="CK711" s="105"/>
      <c r="CL711" s="105"/>
      <c r="CM711" s="105"/>
      <c r="CN711" s="105"/>
      <c r="CO711" s="105"/>
      <c r="CP711" s="105"/>
      <c r="CQ711" s="105"/>
      <c r="CR711" s="105"/>
      <c r="CS711" s="105"/>
      <c r="CT711" s="105"/>
      <c r="CU711" s="105"/>
      <c r="CV711" s="105"/>
      <c r="CW711" s="105"/>
      <c r="CX711" s="105"/>
      <c r="CY711" s="105"/>
      <c r="CZ711" s="105"/>
      <c r="DA711" s="105"/>
    </row>
    <row r="712">
      <c r="B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c r="AA712" s="105"/>
      <c r="AB712" s="105"/>
      <c r="AC712" s="105"/>
      <c r="AD712" s="105"/>
      <c r="AE712" s="105"/>
      <c r="AF712" s="105"/>
      <c r="AG712" s="105"/>
      <c r="AH712" s="105"/>
      <c r="AI712" s="105"/>
      <c r="AJ712" s="105"/>
      <c r="AK712" s="105"/>
      <c r="AL712" s="105"/>
      <c r="AM712" s="105"/>
      <c r="AN712" s="105"/>
      <c r="AO712" s="105"/>
      <c r="AP712" s="105"/>
      <c r="AQ712" s="105"/>
      <c r="AR712" s="105"/>
      <c r="AS712" s="105"/>
      <c r="AT712" s="105"/>
      <c r="AU712" s="105"/>
      <c r="AV712" s="105"/>
      <c r="AW712" s="105"/>
      <c r="AX712" s="105"/>
      <c r="AY712" s="105"/>
      <c r="AZ712" s="105"/>
      <c r="BA712" s="105"/>
      <c r="BB712" s="105"/>
      <c r="BC712" s="105"/>
      <c r="BD712" s="105"/>
      <c r="BE712" s="105"/>
      <c r="BF712" s="105"/>
      <c r="BG712" s="105"/>
      <c r="BH712" s="105"/>
      <c r="BI712" s="105"/>
      <c r="BJ712" s="105"/>
      <c r="BK712" s="105"/>
      <c r="BL712" s="105"/>
      <c r="BM712" s="105"/>
      <c r="BN712" s="105"/>
      <c r="BO712" s="105"/>
      <c r="BP712" s="105"/>
      <c r="BQ712" s="105"/>
      <c r="BR712" s="105"/>
      <c r="BS712" s="105"/>
      <c r="BT712" s="105"/>
      <c r="BU712" s="105"/>
      <c r="BV712" s="105"/>
      <c r="BW712" s="105"/>
      <c r="BX712" s="105"/>
      <c r="BY712" s="105"/>
      <c r="BZ712" s="105"/>
      <c r="CA712" s="105"/>
      <c r="CB712" s="105"/>
      <c r="CC712" s="105"/>
      <c r="CD712" s="105"/>
      <c r="CE712" s="105"/>
      <c r="CF712" s="105"/>
      <c r="CG712" s="105"/>
      <c r="CH712" s="105"/>
      <c r="CI712" s="105"/>
      <c r="CJ712" s="105"/>
      <c r="CK712" s="105"/>
      <c r="CL712" s="105"/>
      <c r="CM712" s="105"/>
      <c r="CN712" s="105"/>
      <c r="CO712" s="105"/>
      <c r="CP712" s="105"/>
      <c r="CQ712" s="105"/>
      <c r="CR712" s="105"/>
      <c r="CS712" s="105"/>
      <c r="CT712" s="105"/>
      <c r="CU712" s="105"/>
      <c r="CV712" s="105"/>
      <c r="CW712" s="105"/>
      <c r="CX712" s="105"/>
      <c r="CY712" s="105"/>
      <c r="CZ712" s="105"/>
      <c r="DA712" s="105"/>
    </row>
    <row r="713">
      <c r="B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c r="AA713" s="105"/>
      <c r="AB713" s="105"/>
      <c r="AC713" s="105"/>
      <c r="AD713" s="105"/>
      <c r="AE713" s="105"/>
      <c r="AF713" s="105"/>
      <c r="AG713" s="105"/>
      <c r="AH713" s="105"/>
      <c r="AI713" s="105"/>
      <c r="AJ713" s="105"/>
      <c r="AK713" s="105"/>
      <c r="AL713" s="105"/>
      <c r="AM713" s="105"/>
      <c r="AN713" s="105"/>
      <c r="AO713" s="105"/>
      <c r="AP713" s="105"/>
      <c r="AQ713" s="105"/>
      <c r="AR713" s="105"/>
      <c r="AS713" s="105"/>
      <c r="AT713" s="105"/>
      <c r="AU713" s="105"/>
      <c r="AV713" s="105"/>
      <c r="AW713" s="105"/>
      <c r="AX713" s="105"/>
      <c r="AY713" s="105"/>
      <c r="AZ713" s="105"/>
      <c r="BA713" s="105"/>
      <c r="BB713" s="105"/>
      <c r="BC713" s="105"/>
      <c r="BD713" s="105"/>
      <c r="BE713" s="105"/>
      <c r="BF713" s="105"/>
      <c r="BG713" s="105"/>
      <c r="BH713" s="105"/>
      <c r="BI713" s="105"/>
      <c r="BJ713" s="105"/>
      <c r="BK713" s="105"/>
      <c r="BL713" s="105"/>
      <c r="BM713" s="105"/>
      <c r="BN713" s="105"/>
      <c r="BO713" s="105"/>
      <c r="BP713" s="105"/>
      <c r="BQ713" s="105"/>
      <c r="BR713" s="105"/>
      <c r="BS713" s="105"/>
      <c r="BT713" s="105"/>
      <c r="BU713" s="105"/>
      <c r="BV713" s="105"/>
      <c r="BW713" s="105"/>
      <c r="BX713" s="105"/>
      <c r="BY713" s="105"/>
      <c r="BZ713" s="105"/>
      <c r="CA713" s="105"/>
      <c r="CB713" s="105"/>
      <c r="CC713" s="105"/>
      <c r="CD713" s="105"/>
      <c r="CE713" s="105"/>
      <c r="CF713" s="105"/>
      <c r="CG713" s="105"/>
      <c r="CH713" s="105"/>
      <c r="CI713" s="105"/>
      <c r="CJ713" s="105"/>
      <c r="CK713" s="105"/>
      <c r="CL713" s="105"/>
      <c r="CM713" s="105"/>
      <c r="CN713" s="105"/>
      <c r="CO713" s="105"/>
      <c r="CP713" s="105"/>
      <c r="CQ713" s="105"/>
      <c r="CR713" s="105"/>
      <c r="CS713" s="105"/>
      <c r="CT713" s="105"/>
      <c r="CU713" s="105"/>
      <c r="CV713" s="105"/>
      <c r="CW713" s="105"/>
      <c r="CX713" s="105"/>
      <c r="CY713" s="105"/>
      <c r="CZ713" s="105"/>
      <c r="DA713" s="105"/>
    </row>
    <row r="714">
      <c r="B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c r="AA714" s="105"/>
      <c r="AB714" s="105"/>
      <c r="AC714" s="105"/>
      <c r="AD714" s="105"/>
      <c r="AE714" s="105"/>
      <c r="AF714" s="105"/>
      <c r="AG714" s="105"/>
      <c r="AH714" s="105"/>
      <c r="AI714" s="105"/>
      <c r="AJ714" s="105"/>
      <c r="AK714" s="105"/>
      <c r="AL714" s="105"/>
      <c r="AM714" s="105"/>
      <c r="AN714" s="105"/>
      <c r="AO714" s="105"/>
      <c r="AP714" s="105"/>
      <c r="AQ714" s="105"/>
      <c r="AR714" s="105"/>
      <c r="AS714" s="105"/>
      <c r="AT714" s="105"/>
      <c r="AU714" s="105"/>
      <c r="AV714" s="105"/>
      <c r="AW714" s="105"/>
      <c r="AX714" s="105"/>
      <c r="AY714" s="105"/>
      <c r="AZ714" s="105"/>
      <c r="BA714" s="105"/>
      <c r="BB714" s="105"/>
      <c r="BC714" s="105"/>
      <c r="BD714" s="105"/>
      <c r="BE714" s="105"/>
      <c r="BF714" s="105"/>
      <c r="BG714" s="105"/>
      <c r="BH714" s="105"/>
      <c r="BI714" s="105"/>
      <c r="BJ714" s="105"/>
      <c r="BK714" s="105"/>
      <c r="BL714" s="105"/>
      <c r="BM714" s="105"/>
      <c r="BN714" s="105"/>
      <c r="BO714" s="105"/>
      <c r="BP714" s="105"/>
      <c r="BQ714" s="105"/>
      <c r="BR714" s="105"/>
      <c r="BS714" s="105"/>
      <c r="BT714" s="105"/>
      <c r="BU714" s="105"/>
      <c r="BV714" s="105"/>
      <c r="BW714" s="105"/>
      <c r="BX714" s="105"/>
      <c r="BY714" s="105"/>
      <c r="BZ714" s="105"/>
      <c r="CA714" s="105"/>
      <c r="CB714" s="105"/>
      <c r="CC714" s="105"/>
      <c r="CD714" s="105"/>
      <c r="CE714" s="105"/>
      <c r="CF714" s="105"/>
      <c r="CG714" s="105"/>
      <c r="CH714" s="105"/>
      <c r="CI714" s="105"/>
      <c r="CJ714" s="105"/>
      <c r="CK714" s="105"/>
      <c r="CL714" s="105"/>
      <c r="CM714" s="105"/>
      <c r="CN714" s="105"/>
      <c r="CO714" s="105"/>
      <c r="CP714" s="105"/>
      <c r="CQ714" s="105"/>
      <c r="CR714" s="105"/>
      <c r="CS714" s="105"/>
      <c r="CT714" s="105"/>
      <c r="CU714" s="105"/>
      <c r="CV714" s="105"/>
      <c r="CW714" s="105"/>
      <c r="CX714" s="105"/>
      <c r="CY714" s="105"/>
      <c r="CZ714" s="105"/>
      <c r="DA714" s="105"/>
    </row>
    <row r="715">
      <c r="B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c r="AA715" s="105"/>
      <c r="AB715" s="105"/>
      <c r="AC715" s="105"/>
      <c r="AD715" s="105"/>
      <c r="AE715" s="105"/>
      <c r="AF715" s="105"/>
      <c r="AG715" s="105"/>
      <c r="AH715" s="105"/>
      <c r="AI715" s="105"/>
      <c r="AJ715" s="105"/>
      <c r="AK715" s="105"/>
      <c r="AL715" s="105"/>
      <c r="AM715" s="105"/>
      <c r="AN715" s="105"/>
      <c r="AO715" s="105"/>
      <c r="AP715" s="105"/>
      <c r="AQ715" s="105"/>
      <c r="AR715" s="105"/>
      <c r="AS715" s="105"/>
      <c r="AT715" s="105"/>
      <c r="AU715" s="105"/>
      <c r="AV715" s="105"/>
      <c r="AW715" s="105"/>
      <c r="AX715" s="105"/>
      <c r="AY715" s="105"/>
      <c r="AZ715" s="105"/>
      <c r="BA715" s="105"/>
      <c r="BB715" s="105"/>
      <c r="BC715" s="105"/>
      <c r="BD715" s="105"/>
      <c r="BE715" s="105"/>
      <c r="BF715" s="105"/>
      <c r="BG715" s="105"/>
      <c r="BH715" s="105"/>
      <c r="BI715" s="105"/>
      <c r="BJ715" s="105"/>
      <c r="BK715" s="105"/>
      <c r="BL715" s="105"/>
      <c r="BM715" s="105"/>
      <c r="BN715" s="105"/>
      <c r="BO715" s="105"/>
      <c r="BP715" s="105"/>
      <c r="BQ715" s="105"/>
      <c r="BR715" s="105"/>
      <c r="BS715" s="105"/>
      <c r="BT715" s="105"/>
      <c r="BU715" s="105"/>
      <c r="BV715" s="105"/>
      <c r="BW715" s="105"/>
      <c r="BX715" s="105"/>
      <c r="BY715" s="105"/>
      <c r="BZ715" s="105"/>
      <c r="CA715" s="105"/>
      <c r="CB715" s="105"/>
      <c r="CC715" s="105"/>
      <c r="CD715" s="105"/>
      <c r="CE715" s="105"/>
      <c r="CF715" s="105"/>
      <c r="CG715" s="105"/>
      <c r="CH715" s="105"/>
      <c r="CI715" s="105"/>
      <c r="CJ715" s="105"/>
      <c r="CK715" s="105"/>
      <c r="CL715" s="105"/>
      <c r="CM715" s="105"/>
      <c r="CN715" s="105"/>
      <c r="CO715" s="105"/>
      <c r="CP715" s="105"/>
      <c r="CQ715" s="105"/>
      <c r="CR715" s="105"/>
      <c r="CS715" s="105"/>
      <c r="CT715" s="105"/>
      <c r="CU715" s="105"/>
      <c r="CV715" s="105"/>
      <c r="CW715" s="105"/>
      <c r="CX715" s="105"/>
      <c r="CY715" s="105"/>
      <c r="CZ715" s="105"/>
      <c r="DA715" s="105"/>
    </row>
    <row r="716">
      <c r="B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c r="AA716" s="105"/>
      <c r="AB716" s="105"/>
      <c r="AC716" s="105"/>
      <c r="AD716" s="105"/>
      <c r="AE716" s="105"/>
      <c r="AF716" s="105"/>
      <c r="AG716" s="105"/>
      <c r="AH716" s="105"/>
      <c r="AI716" s="105"/>
      <c r="AJ716" s="105"/>
      <c r="AK716" s="105"/>
      <c r="AL716" s="105"/>
      <c r="AM716" s="105"/>
      <c r="AN716" s="105"/>
      <c r="AO716" s="105"/>
      <c r="AP716" s="105"/>
      <c r="AQ716" s="105"/>
      <c r="AR716" s="105"/>
      <c r="AS716" s="105"/>
      <c r="AT716" s="105"/>
      <c r="AU716" s="105"/>
      <c r="AV716" s="105"/>
      <c r="AW716" s="105"/>
      <c r="AX716" s="105"/>
      <c r="AY716" s="105"/>
      <c r="AZ716" s="105"/>
      <c r="BA716" s="105"/>
      <c r="BB716" s="105"/>
      <c r="BC716" s="105"/>
      <c r="BD716" s="105"/>
      <c r="BE716" s="105"/>
      <c r="BF716" s="105"/>
      <c r="BG716" s="105"/>
      <c r="BH716" s="105"/>
      <c r="BI716" s="105"/>
      <c r="BJ716" s="105"/>
      <c r="BK716" s="105"/>
      <c r="BL716" s="105"/>
      <c r="BM716" s="105"/>
      <c r="BN716" s="105"/>
      <c r="BO716" s="105"/>
      <c r="BP716" s="105"/>
      <c r="BQ716" s="105"/>
      <c r="BR716" s="105"/>
      <c r="BS716" s="105"/>
      <c r="BT716" s="105"/>
      <c r="BU716" s="105"/>
      <c r="BV716" s="105"/>
      <c r="BW716" s="105"/>
      <c r="BX716" s="105"/>
      <c r="BY716" s="105"/>
      <c r="BZ716" s="105"/>
      <c r="CA716" s="105"/>
      <c r="CB716" s="105"/>
      <c r="CC716" s="105"/>
      <c r="CD716" s="105"/>
      <c r="CE716" s="105"/>
      <c r="CF716" s="105"/>
      <c r="CG716" s="105"/>
      <c r="CH716" s="105"/>
      <c r="CI716" s="105"/>
      <c r="CJ716" s="105"/>
      <c r="CK716" s="105"/>
      <c r="CL716" s="105"/>
      <c r="CM716" s="105"/>
      <c r="CN716" s="105"/>
      <c r="CO716" s="105"/>
      <c r="CP716" s="105"/>
      <c r="CQ716" s="105"/>
      <c r="CR716" s="105"/>
      <c r="CS716" s="105"/>
      <c r="CT716" s="105"/>
      <c r="CU716" s="105"/>
      <c r="CV716" s="105"/>
      <c r="CW716" s="105"/>
      <c r="CX716" s="105"/>
      <c r="CY716" s="105"/>
      <c r="CZ716" s="105"/>
      <c r="DA716" s="105"/>
    </row>
    <row r="717">
      <c r="B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c r="AA717" s="105"/>
      <c r="AB717" s="105"/>
      <c r="AC717" s="105"/>
      <c r="AD717" s="105"/>
      <c r="AE717" s="105"/>
      <c r="AF717" s="105"/>
      <c r="AG717" s="105"/>
      <c r="AH717" s="105"/>
      <c r="AI717" s="105"/>
      <c r="AJ717" s="105"/>
      <c r="AK717" s="105"/>
      <c r="AL717" s="105"/>
      <c r="AM717" s="105"/>
      <c r="AN717" s="105"/>
      <c r="AO717" s="105"/>
      <c r="AP717" s="105"/>
      <c r="AQ717" s="105"/>
      <c r="AR717" s="105"/>
      <c r="AS717" s="105"/>
      <c r="AT717" s="105"/>
      <c r="AU717" s="105"/>
      <c r="AV717" s="105"/>
      <c r="AW717" s="105"/>
      <c r="AX717" s="105"/>
      <c r="AY717" s="105"/>
      <c r="AZ717" s="105"/>
      <c r="BA717" s="105"/>
      <c r="BB717" s="105"/>
      <c r="BC717" s="105"/>
      <c r="BD717" s="105"/>
      <c r="BE717" s="105"/>
      <c r="BF717" s="105"/>
      <c r="BG717" s="105"/>
      <c r="BH717" s="105"/>
      <c r="BI717" s="105"/>
      <c r="BJ717" s="105"/>
      <c r="BK717" s="105"/>
      <c r="BL717" s="105"/>
      <c r="BM717" s="105"/>
      <c r="BN717" s="105"/>
      <c r="BO717" s="105"/>
      <c r="BP717" s="105"/>
      <c r="BQ717" s="105"/>
      <c r="BR717" s="105"/>
      <c r="BS717" s="105"/>
      <c r="BT717" s="105"/>
      <c r="BU717" s="105"/>
      <c r="BV717" s="105"/>
      <c r="BW717" s="105"/>
      <c r="BX717" s="105"/>
      <c r="BY717" s="105"/>
      <c r="BZ717" s="105"/>
      <c r="CA717" s="105"/>
      <c r="CB717" s="105"/>
      <c r="CC717" s="105"/>
      <c r="CD717" s="105"/>
      <c r="CE717" s="105"/>
      <c r="CF717" s="105"/>
      <c r="CG717" s="105"/>
      <c r="CH717" s="105"/>
      <c r="CI717" s="105"/>
      <c r="CJ717" s="105"/>
      <c r="CK717" s="105"/>
      <c r="CL717" s="105"/>
      <c r="CM717" s="105"/>
      <c r="CN717" s="105"/>
      <c r="CO717" s="105"/>
      <c r="CP717" s="105"/>
      <c r="CQ717" s="105"/>
      <c r="CR717" s="105"/>
      <c r="CS717" s="105"/>
      <c r="CT717" s="105"/>
      <c r="CU717" s="105"/>
      <c r="CV717" s="105"/>
      <c r="CW717" s="105"/>
      <c r="CX717" s="105"/>
      <c r="CY717" s="105"/>
      <c r="CZ717" s="105"/>
      <c r="DA717" s="105"/>
    </row>
    <row r="718">
      <c r="B718" s="105"/>
      <c r="F718" s="105"/>
      <c r="G718" s="105"/>
      <c r="H718" s="105"/>
      <c r="I718" s="105"/>
      <c r="J718" s="105"/>
      <c r="K718" s="105"/>
      <c r="L718" s="105"/>
      <c r="M718" s="105"/>
      <c r="N718" s="105"/>
      <c r="O718" s="105"/>
      <c r="P718" s="105"/>
      <c r="Q718" s="105"/>
      <c r="R718" s="105"/>
      <c r="S718" s="105"/>
      <c r="T718" s="105"/>
      <c r="U718" s="105"/>
      <c r="V718" s="105"/>
      <c r="W718" s="105"/>
      <c r="X718" s="105"/>
      <c r="Y718" s="105"/>
      <c r="Z718" s="105"/>
      <c r="AA718" s="105"/>
      <c r="AB718" s="105"/>
      <c r="AC718" s="105"/>
      <c r="AD718" s="105"/>
      <c r="AE718" s="105"/>
      <c r="AF718" s="105"/>
      <c r="AG718" s="105"/>
      <c r="AH718" s="105"/>
      <c r="AI718" s="105"/>
      <c r="AJ718" s="105"/>
      <c r="AK718" s="105"/>
      <c r="AL718" s="105"/>
      <c r="AM718" s="105"/>
      <c r="AN718" s="105"/>
      <c r="AO718" s="105"/>
      <c r="AP718" s="105"/>
      <c r="AQ718" s="105"/>
      <c r="AR718" s="105"/>
      <c r="AS718" s="105"/>
      <c r="AT718" s="105"/>
      <c r="AU718" s="105"/>
      <c r="AV718" s="105"/>
      <c r="AW718" s="105"/>
      <c r="AX718" s="105"/>
      <c r="AY718" s="105"/>
      <c r="AZ718" s="105"/>
      <c r="BA718" s="105"/>
      <c r="BB718" s="105"/>
      <c r="BC718" s="105"/>
      <c r="BD718" s="105"/>
      <c r="BE718" s="105"/>
      <c r="BF718" s="105"/>
      <c r="BG718" s="105"/>
      <c r="BH718" s="105"/>
      <c r="BI718" s="105"/>
      <c r="BJ718" s="105"/>
      <c r="BK718" s="105"/>
      <c r="BL718" s="105"/>
      <c r="BM718" s="105"/>
      <c r="BN718" s="105"/>
      <c r="BO718" s="105"/>
      <c r="BP718" s="105"/>
      <c r="BQ718" s="105"/>
      <c r="BR718" s="105"/>
      <c r="BS718" s="105"/>
      <c r="BT718" s="105"/>
      <c r="BU718" s="105"/>
      <c r="BV718" s="105"/>
      <c r="BW718" s="105"/>
      <c r="BX718" s="105"/>
      <c r="BY718" s="105"/>
      <c r="BZ718" s="105"/>
      <c r="CA718" s="105"/>
      <c r="CB718" s="105"/>
      <c r="CC718" s="105"/>
      <c r="CD718" s="105"/>
      <c r="CE718" s="105"/>
      <c r="CF718" s="105"/>
      <c r="CG718" s="105"/>
      <c r="CH718" s="105"/>
      <c r="CI718" s="105"/>
      <c r="CJ718" s="105"/>
      <c r="CK718" s="105"/>
      <c r="CL718" s="105"/>
      <c r="CM718" s="105"/>
      <c r="CN718" s="105"/>
      <c r="CO718" s="105"/>
      <c r="CP718" s="105"/>
      <c r="CQ718" s="105"/>
      <c r="CR718" s="105"/>
      <c r="CS718" s="105"/>
      <c r="CT718" s="105"/>
      <c r="CU718" s="105"/>
      <c r="CV718" s="105"/>
      <c r="CW718" s="105"/>
      <c r="CX718" s="105"/>
      <c r="CY718" s="105"/>
      <c r="CZ718" s="105"/>
      <c r="DA718" s="105"/>
    </row>
    <row r="719">
      <c r="B719" s="105"/>
      <c r="F719" s="105"/>
      <c r="G719" s="105"/>
      <c r="H719" s="105"/>
      <c r="I719" s="105"/>
      <c r="J719" s="105"/>
      <c r="K719" s="105"/>
      <c r="L719" s="105"/>
      <c r="M719" s="105"/>
      <c r="N719" s="105"/>
      <c r="O719" s="105"/>
      <c r="P719" s="105"/>
      <c r="Q719" s="105"/>
      <c r="R719" s="105"/>
      <c r="S719" s="105"/>
      <c r="T719" s="105"/>
      <c r="U719" s="105"/>
      <c r="V719" s="105"/>
      <c r="W719" s="105"/>
      <c r="X719" s="105"/>
      <c r="Y719" s="105"/>
      <c r="Z719" s="105"/>
      <c r="AA719" s="105"/>
      <c r="AB719" s="105"/>
      <c r="AC719" s="105"/>
      <c r="AD719" s="105"/>
      <c r="AE719" s="105"/>
      <c r="AF719" s="105"/>
      <c r="AG719" s="105"/>
      <c r="AH719" s="105"/>
      <c r="AI719" s="105"/>
      <c r="AJ719" s="105"/>
      <c r="AK719" s="105"/>
      <c r="AL719" s="105"/>
      <c r="AM719" s="105"/>
      <c r="AN719" s="105"/>
      <c r="AO719" s="105"/>
      <c r="AP719" s="105"/>
      <c r="AQ719" s="105"/>
      <c r="AR719" s="105"/>
      <c r="AS719" s="105"/>
      <c r="AT719" s="105"/>
      <c r="AU719" s="105"/>
      <c r="AV719" s="105"/>
      <c r="AW719" s="105"/>
      <c r="AX719" s="105"/>
      <c r="AY719" s="105"/>
      <c r="AZ719" s="105"/>
      <c r="BA719" s="105"/>
      <c r="BB719" s="105"/>
      <c r="BC719" s="105"/>
      <c r="BD719" s="105"/>
      <c r="BE719" s="105"/>
      <c r="BF719" s="105"/>
      <c r="BG719" s="105"/>
      <c r="BH719" s="105"/>
      <c r="BI719" s="105"/>
      <c r="BJ719" s="105"/>
      <c r="BK719" s="105"/>
      <c r="BL719" s="105"/>
      <c r="BM719" s="105"/>
      <c r="BN719" s="105"/>
      <c r="BO719" s="105"/>
      <c r="BP719" s="105"/>
      <c r="BQ719" s="105"/>
      <c r="BR719" s="105"/>
      <c r="BS719" s="105"/>
      <c r="BT719" s="105"/>
      <c r="BU719" s="105"/>
      <c r="BV719" s="105"/>
      <c r="BW719" s="105"/>
      <c r="BX719" s="105"/>
      <c r="BY719" s="105"/>
      <c r="BZ719" s="105"/>
      <c r="CA719" s="105"/>
      <c r="CB719" s="105"/>
      <c r="CC719" s="105"/>
      <c r="CD719" s="105"/>
      <c r="CE719" s="105"/>
      <c r="CF719" s="105"/>
      <c r="CG719" s="105"/>
      <c r="CH719" s="105"/>
      <c r="CI719" s="105"/>
      <c r="CJ719" s="105"/>
      <c r="CK719" s="105"/>
      <c r="CL719" s="105"/>
      <c r="CM719" s="105"/>
      <c r="CN719" s="105"/>
      <c r="CO719" s="105"/>
      <c r="CP719" s="105"/>
      <c r="CQ719" s="105"/>
      <c r="CR719" s="105"/>
      <c r="CS719" s="105"/>
      <c r="CT719" s="105"/>
      <c r="CU719" s="105"/>
      <c r="CV719" s="105"/>
      <c r="CW719" s="105"/>
      <c r="CX719" s="105"/>
      <c r="CY719" s="105"/>
      <c r="CZ719" s="105"/>
      <c r="DA719" s="105"/>
    </row>
    <row r="720">
      <c r="B720" s="105"/>
      <c r="F720" s="105"/>
      <c r="G720" s="105"/>
      <c r="H720" s="105"/>
      <c r="I720" s="105"/>
      <c r="J720" s="105"/>
      <c r="K720" s="105"/>
      <c r="L720" s="105"/>
      <c r="M720" s="105"/>
      <c r="N720" s="105"/>
      <c r="O720" s="105"/>
      <c r="P720" s="105"/>
      <c r="Q720" s="105"/>
      <c r="R720" s="105"/>
      <c r="S720" s="105"/>
      <c r="T720" s="105"/>
      <c r="U720" s="105"/>
      <c r="V720" s="105"/>
      <c r="W720" s="105"/>
      <c r="X720" s="105"/>
      <c r="Y720" s="105"/>
      <c r="Z720" s="105"/>
      <c r="AA720" s="105"/>
      <c r="AB720" s="105"/>
      <c r="AC720" s="105"/>
      <c r="AD720" s="105"/>
      <c r="AE720" s="105"/>
      <c r="AF720" s="105"/>
      <c r="AG720" s="105"/>
      <c r="AH720" s="105"/>
      <c r="AI720" s="105"/>
      <c r="AJ720" s="105"/>
      <c r="AK720" s="105"/>
      <c r="AL720" s="105"/>
      <c r="AM720" s="105"/>
      <c r="AN720" s="105"/>
      <c r="AO720" s="105"/>
      <c r="AP720" s="105"/>
      <c r="AQ720" s="105"/>
      <c r="AR720" s="105"/>
      <c r="AS720" s="105"/>
      <c r="AT720" s="105"/>
      <c r="AU720" s="105"/>
      <c r="AV720" s="105"/>
      <c r="AW720" s="105"/>
      <c r="AX720" s="105"/>
      <c r="AY720" s="105"/>
      <c r="AZ720" s="105"/>
      <c r="BA720" s="105"/>
      <c r="BB720" s="105"/>
      <c r="BC720" s="105"/>
      <c r="BD720" s="105"/>
      <c r="BE720" s="105"/>
      <c r="BF720" s="105"/>
      <c r="BG720" s="105"/>
      <c r="BH720" s="105"/>
      <c r="BI720" s="105"/>
      <c r="BJ720" s="105"/>
      <c r="BK720" s="105"/>
      <c r="BL720" s="105"/>
      <c r="BM720" s="105"/>
      <c r="BN720" s="105"/>
      <c r="BO720" s="105"/>
      <c r="BP720" s="105"/>
      <c r="BQ720" s="105"/>
      <c r="BR720" s="105"/>
      <c r="BS720" s="105"/>
      <c r="BT720" s="105"/>
      <c r="BU720" s="105"/>
      <c r="BV720" s="105"/>
      <c r="BW720" s="105"/>
      <c r="BX720" s="105"/>
      <c r="BY720" s="105"/>
      <c r="BZ720" s="105"/>
      <c r="CA720" s="105"/>
      <c r="CB720" s="105"/>
      <c r="CC720" s="105"/>
      <c r="CD720" s="105"/>
      <c r="CE720" s="105"/>
      <c r="CF720" s="105"/>
      <c r="CG720" s="105"/>
      <c r="CH720" s="105"/>
      <c r="CI720" s="105"/>
      <c r="CJ720" s="105"/>
      <c r="CK720" s="105"/>
      <c r="CL720" s="105"/>
      <c r="CM720" s="105"/>
      <c r="CN720" s="105"/>
      <c r="CO720" s="105"/>
      <c r="CP720" s="105"/>
      <c r="CQ720" s="105"/>
      <c r="CR720" s="105"/>
      <c r="CS720" s="105"/>
      <c r="CT720" s="105"/>
      <c r="CU720" s="105"/>
      <c r="CV720" s="105"/>
      <c r="CW720" s="105"/>
      <c r="CX720" s="105"/>
      <c r="CY720" s="105"/>
      <c r="CZ720" s="105"/>
      <c r="DA720" s="105"/>
    </row>
    <row r="721">
      <c r="B721" s="105"/>
      <c r="F721" s="105"/>
      <c r="G721" s="105"/>
      <c r="H721" s="105"/>
      <c r="I721" s="105"/>
      <c r="J721" s="105"/>
      <c r="K721" s="105"/>
      <c r="L721" s="105"/>
      <c r="M721" s="105"/>
      <c r="N721" s="105"/>
      <c r="O721" s="105"/>
      <c r="P721" s="105"/>
      <c r="Q721" s="105"/>
      <c r="R721" s="105"/>
      <c r="S721" s="105"/>
      <c r="T721" s="105"/>
      <c r="U721" s="105"/>
      <c r="V721" s="105"/>
      <c r="W721" s="105"/>
      <c r="X721" s="105"/>
      <c r="Y721" s="105"/>
      <c r="Z721" s="105"/>
      <c r="AA721" s="105"/>
      <c r="AB721" s="105"/>
      <c r="AC721" s="105"/>
      <c r="AD721" s="105"/>
      <c r="AE721" s="105"/>
      <c r="AF721" s="105"/>
      <c r="AG721" s="105"/>
      <c r="AH721" s="105"/>
      <c r="AI721" s="105"/>
      <c r="AJ721" s="105"/>
      <c r="AK721" s="105"/>
      <c r="AL721" s="105"/>
      <c r="AM721" s="105"/>
      <c r="AN721" s="105"/>
      <c r="AO721" s="105"/>
      <c r="AP721" s="105"/>
      <c r="AQ721" s="105"/>
      <c r="AR721" s="105"/>
      <c r="AS721" s="105"/>
      <c r="AT721" s="105"/>
      <c r="AU721" s="105"/>
      <c r="AV721" s="105"/>
      <c r="AW721" s="105"/>
      <c r="AX721" s="105"/>
      <c r="AY721" s="105"/>
      <c r="AZ721" s="105"/>
      <c r="BA721" s="105"/>
      <c r="BB721" s="105"/>
      <c r="BC721" s="105"/>
      <c r="BD721" s="105"/>
      <c r="BE721" s="105"/>
      <c r="BF721" s="105"/>
      <c r="BG721" s="105"/>
      <c r="BH721" s="105"/>
      <c r="BI721" s="105"/>
      <c r="BJ721" s="105"/>
      <c r="BK721" s="105"/>
      <c r="BL721" s="105"/>
      <c r="BM721" s="105"/>
      <c r="BN721" s="105"/>
      <c r="BO721" s="105"/>
      <c r="BP721" s="105"/>
      <c r="BQ721" s="105"/>
      <c r="BR721" s="105"/>
      <c r="BS721" s="105"/>
      <c r="BT721" s="105"/>
      <c r="BU721" s="105"/>
      <c r="BV721" s="105"/>
      <c r="BW721" s="105"/>
      <c r="BX721" s="105"/>
      <c r="BY721" s="105"/>
      <c r="BZ721" s="105"/>
      <c r="CA721" s="105"/>
      <c r="CB721" s="105"/>
      <c r="CC721" s="105"/>
      <c r="CD721" s="105"/>
      <c r="CE721" s="105"/>
      <c r="CF721" s="105"/>
      <c r="CG721" s="105"/>
      <c r="CH721" s="105"/>
      <c r="CI721" s="105"/>
      <c r="CJ721" s="105"/>
      <c r="CK721" s="105"/>
      <c r="CL721" s="105"/>
      <c r="CM721" s="105"/>
      <c r="CN721" s="105"/>
      <c r="CO721" s="105"/>
      <c r="CP721" s="105"/>
      <c r="CQ721" s="105"/>
      <c r="CR721" s="105"/>
      <c r="CS721" s="105"/>
      <c r="CT721" s="105"/>
      <c r="CU721" s="105"/>
      <c r="CV721" s="105"/>
      <c r="CW721" s="105"/>
      <c r="CX721" s="105"/>
      <c r="CY721" s="105"/>
      <c r="CZ721" s="105"/>
      <c r="DA721" s="105"/>
    </row>
    <row r="722">
      <c r="B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c r="AA722" s="105"/>
      <c r="AB722" s="105"/>
      <c r="AC722" s="105"/>
      <c r="AD722" s="105"/>
      <c r="AE722" s="105"/>
      <c r="AF722" s="105"/>
      <c r="AG722" s="105"/>
      <c r="AH722" s="105"/>
      <c r="AI722" s="105"/>
      <c r="AJ722" s="105"/>
      <c r="AK722" s="105"/>
      <c r="AL722" s="105"/>
      <c r="AM722" s="105"/>
      <c r="AN722" s="105"/>
      <c r="AO722" s="105"/>
      <c r="AP722" s="105"/>
      <c r="AQ722" s="105"/>
      <c r="AR722" s="105"/>
      <c r="AS722" s="105"/>
      <c r="AT722" s="105"/>
      <c r="AU722" s="105"/>
      <c r="AV722" s="105"/>
      <c r="AW722" s="105"/>
      <c r="AX722" s="105"/>
      <c r="AY722" s="105"/>
      <c r="AZ722" s="105"/>
      <c r="BA722" s="105"/>
      <c r="BB722" s="105"/>
      <c r="BC722" s="105"/>
      <c r="BD722" s="105"/>
      <c r="BE722" s="105"/>
      <c r="BF722" s="105"/>
      <c r="BG722" s="105"/>
      <c r="BH722" s="105"/>
      <c r="BI722" s="105"/>
      <c r="BJ722" s="105"/>
      <c r="BK722" s="105"/>
      <c r="BL722" s="105"/>
      <c r="BM722" s="105"/>
      <c r="BN722" s="105"/>
      <c r="BO722" s="105"/>
      <c r="BP722" s="105"/>
      <c r="BQ722" s="105"/>
      <c r="BR722" s="105"/>
      <c r="BS722" s="105"/>
      <c r="BT722" s="105"/>
      <c r="BU722" s="105"/>
      <c r="BV722" s="105"/>
      <c r="BW722" s="105"/>
      <c r="BX722" s="105"/>
      <c r="BY722" s="105"/>
      <c r="BZ722" s="105"/>
      <c r="CA722" s="105"/>
      <c r="CB722" s="105"/>
      <c r="CC722" s="105"/>
      <c r="CD722" s="105"/>
      <c r="CE722" s="105"/>
      <c r="CF722" s="105"/>
      <c r="CG722" s="105"/>
      <c r="CH722" s="105"/>
      <c r="CI722" s="105"/>
      <c r="CJ722" s="105"/>
      <c r="CK722" s="105"/>
      <c r="CL722" s="105"/>
      <c r="CM722" s="105"/>
      <c r="CN722" s="105"/>
      <c r="CO722" s="105"/>
      <c r="CP722" s="105"/>
      <c r="CQ722" s="105"/>
      <c r="CR722" s="105"/>
      <c r="CS722" s="105"/>
      <c r="CT722" s="105"/>
      <c r="CU722" s="105"/>
      <c r="CV722" s="105"/>
      <c r="CW722" s="105"/>
      <c r="CX722" s="105"/>
      <c r="CY722" s="105"/>
      <c r="CZ722" s="105"/>
      <c r="DA722" s="105"/>
    </row>
    <row r="723">
      <c r="B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c r="AA723" s="105"/>
      <c r="AB723" s="105"/>
      <c r="AC723" s="105"/>
      <c r="AD723" s="105"/>
      <c r="AE723" s="105"/>
      <c r="AF723" s="105"/>
      <c r="AG723" s="105"/>
      <c r="AH723" s="105"/>
      <c r="AI723" s="105"/>
      <c r="AJ723" s="105"/>
      <c r="AK723" s="105"/>
      <c r="AL723" s="105"/>
      <c r="AM723" s="105"/>
      <c r="AN723" s="105"/>
      <c r="AO723" s="105"/>
      <c r="AP723" s="105"/>
      <c r="AQ723" s="105"/>
      <c r="AR723" s="105"/>
      <c r="AS723" s="105"/>
      <c r="AT723" s="105"/>
      <c r="AU723" s="105"/>
      <c r="AV723" s="105"/>
      <c r="AW723" s="105"/>
      <c r="AX723" s="105"/>
      <c r="AY723" s="105"/>
      <c r="AZ723" s="105"/>
      <c r="BA723" s="105"/>
      <c r="BB723" s="105"/>
      <c r="BC723" s="105"/>
      <c r="BD723" s="105"/>
      <c r="BE723" s="105"/>
      <c r="BF723" s="105"/>
      <c r="BG723" s="105"/>
      <c r="BH723" s="105"/>
      <c r="BI723" s="105"/>
      <c r="BJ723" s="105"/>
      <c r="BK723" s="105"/>
      <c r="BL723" s="105"/>
      <c r="BM723" s="105"/>
      <c r="BN723" s="105"/>
      <c r="BO723" s="105"/>
      <c r="BP723" s="105"/>
      <c r="BQ723" s="105"/>
      <c r="BR723" s="105"/>
      <c r="BS723" s="105"/>
      <c r="BT723" s="105"/>
      <c r="BU723" s="105"/>
      <c r="BV723" s="105"/>
      <c r="BW723" s="105"/>
      <c r="BX723" s="105"/>
      <c r="BY723" s="105"/>
      <c r="BZ723" s="105"/>
      <c r="CA723" s="105"/>
      <c r="CB723" s="105"/>
      <c r="CC723" s="105"/>
      <c r="CD723" s="105"/>
      <c r="CE723" s="105"/>
      <c r="CF723" s="105"/>
      <c r="CG723" s="105"/>
      <c r="CH723" s="105"/>
      <c r="CI723" s="105"/>
      <c r="CJ723" s="105"/>
      <c r="CK723" s="105"/>
      <c r="CL723" s="105"/>
      <c r="CM723" s="105"/>
      <c r="CN723" s="105"/>
      <c r="CO723" s="105"/>
      <c r="CP723" s="105"/>
      <c r="CQ723" s="105"/>
      <c r="CR723" s="105"/>
      <c r="CS723" s="105"/>
      <c r="CT723" s="105"/>
      <c r="CU723" s="105"/>
      <c r="CV723" s="105"/>
      <c r="CW723" s="105"/>
      <c r="CX723" s="105"/>
      <c r="CY723" s="105"/>
      <c r="CZ723" s="105"/>
      <c r="DA723" s="105"/>
    </row>
    <row r="724">
      <c r="B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c r="AA724" s="105"/>
      <c r="AB724" s="105"/>
      <c r="AC724" s="105"/>
      <c r="AD724" s="105"/>
      <c r="AE724" s="105"/>
      <c r="AF724" s="105"/>
      <c r="AG724" s="105"/>
      <c r="AH724" s="105"/>
      <c r="AI724" s="105"/>
      <c r="AJ724" s="105"/>
      <c r="AK724" s="105"/>
      <c r="AL724" s="105"/>
      <c r="AM724" s="105"/>
      <c r="AN724" s="105"/>
      <c r="AO724" s="105"/>
      <c r="AP724" s="105"/>
      <c r="AQ724" s="105"/>
      <c r="AR724" s="105"/>
      <c r="AS724" s="105"/>
      <c r="AT724" s="105"/>
      <c r="AU724" s="105"/>
      <c r="AV724" s="105"/>
      <c r="AW724" s="105"/>
      <c r="AX724" s="105"/>
      <c r="AY724" s="105"/>
      <c r="AZ724" s="105"/>
      <c r="BA724" s="105"/>
      <c r="BB724" s="105"/>
      <c r="BC724" s="105"/>
      <c r="BD724" s="105"/>
      <c r="BE724" s="105"/>
      <c r="BF724" s="105"/>
      <c r="BG724" s="105"/>
      <c r="BH724" s="105"/>
      <c r="BI724" s="105"/>
      <c r="BJ724" s="105"/>
      <c r="BK724" s="105"/>
      <c r="BL724" s="105"/>
      <c r="BM724" s="105"/>
      <c r="BN724" s="105"/>
      <c r="BO724" s="105"/>
      <c r="BP724" s="105"/>
      <c r="BQ724" s="105"/>
      <c r="BR724" s="105"/>
      <c r="BS724" s="105"/>
      <c r="BT724" s="105"/>
      <c r="BU724" s="105"/>
      <c r="BV724" s="105"/>
      <c r="BW724" s="105"/>
      <c r="BX724" s="105"/>
      <c r="BY724" s="105"/>
      <c r="BZ724" s="105"/>
      <c r="CA724" s="105"/>
      <c r="CB724" s="105"/>
      <c r="CC724" s="105"/>
      <c r="CD724" s="105"/>
      <c r="CE724" s="105"/>
      <c r="CF724" s="105"/>
      <c r="CG724" s="105"/>
      <c r="CH724" s="105"/>
      <c r="CI724" s="105"/>
      <c r="CJ724" s="105"/>
      <c r="CK724" s="105"/>
      <c r="CL724" s="105"/>
      <c r="CM724" s="105"/>
      <c r="CN724" s="105"/>
      <c r="CO724" s="105"/>
      <c r="CP724" s="105"/>
      <c r="CQ724" s="105"/>
      <c r="CR724" s="105"/>
      <c r="CS724" s="105"/>
      <c r="CT724" s="105"/>
      <c r="CU724" s="105"/>
      <c r="CV724" s="105"/>
      <c r="CW724" s="105"/>
      <c r="CX724" s="105"/>
      <c r="CY724" s="105"/>
      <c r="CZ724" s="105"/>
      <c r="DA724" s="105"/>
    </row>
    <row r="725">
      <c r="B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c r="AA725" s="105"/>
      <c r="AB725" s="105"/>
      <c r="AC725" s="105"/>
      <c r="AD725" s="105"/>
      <c r="AE725" s="105"/>
      <c r="AF725" s="105"/>
      <c r="AG725" s="105"/>
      <c r="AH725" s="105"/>
      <c r="AI725" s="105"/>
      <c r="AJ725" s="105"/>
      <c r="AK725" s="105"/>
      <c r="AL725" s="105"/>
      <c r="AM725" s="105"/>
      <c r="AN725" s="105"/>
      <c r="AO725" s="105"/>
      <c r="AP725" s="105"/>
      <c r="AQ725" s="105"/>
      <c r="AR725" s="105"/>
      <c r="AS725" s="105"/>
      <c r="AT725" s="105"/>
      <c r="AU725" s="105"/>
      <c r="AV725" s="105"/>
      <c r="AW725" s="105"/>
      <c r="AX725" s="105"/>
      <c r="AY725" s="105"/>
      <c r="AZ725" s="105"/>
      <c r="BA725" s="105"/>
      <c r="BB725" s="105"/>
      <c r="BC725" s="105"/>
      <c r="BD725" s="105"/>
      <c r="BE725" s="105"/>
      <c r="BF725" s="105"/>
      <c r="BG725" s="105"/>
      <c r="BH725" s="105"/>
      <c r="BI725" s="105"/>
      <c r="BJ725" s="105"/>
      <c r="BK725" s="105"/>
      <c r="BL725" s="105"/>
      <c r="BM725" s="105"/>
      <c r="BN725" s="105"/>
      <c r="BO725" s="105"/>
      <c r="BP725" s="105"/>
      <c r="BQ725" s="105"/>
      <c r="BR725" s="105"/>
      <c r="BS725" s="105"/>
      <c r="BT725" s="105"/>
      <c r="BU725" s="105"/>
      <c r="BV725" s="105"/>
      <c r="BW725" s="105"/>
      <c r="BX725" s="105"/>
      <c r="BY725" s="105"/>
      <c r="BZ725" s="105"/>
      <c r="CA725" s="105"/>
      <c r="CB725" s="105"/>
      <c r="CC725" s="105"/>
      <c r="CD725" s="105"/>
      <c r="CE725" s="105"/>
      <c r="CF725" s="105"/>
      <c r="CG725" s="105"/>
      <c r="CH725" s="105"/>
      <c r="CI725" s="105"/>
      <c r="CJ725" s="105"/>
      <c r="CK725" s="105"/>
      <c r="CL725" s="105"/>
      <c r="CM725" s="105"/>
      <c r="CN725" s="105"/>
      <c r="CO725" s="105"/>
      <c r="CP725" s="105"/>
      <c r="CQ725" s="105"/>
      <c r="CR725" s="105"/>
      <c r="CS725" s="105"/>
      <c r="CT725" s="105"/>
      <c r="CU725" s="105"/>
      <c r="CV725" s="105"/>
      <c r="CW725" s="105"/>
      <c r="CX725" s="105"/>
      <c r="CY725" s="105"/>
      <c r="CZ725" s="105"/>
      <c r="DA725" s="105"/>
    </row>
    <row r="726">
      <c r="B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c r="AA726" s="105"/>
      <c r="AB726" s="105"/>
      <c r="AC726" s="105"/>
      <c r="AD726" s="105"/>
      <c r="AE726" s="105"/>
      <c r="AF726" s="105"/>
      <c r="AG726" s="105"/>
      <c r="AH726" s="105"/>
      <c r="AI726" s="105"/>
      <c r="AJ726" s="105"/>
      <c r="AK726" s="105"/>
      <c r="AL726" s="105"/>
      <c r="AM726" s="105"/>
      <c r="AN726" s="105"/>
      <c r="AO726" s="105"/>
      <c r="AP726" s="105"/>
      <c r="AQ726" s="105"/>
      <c r="AR726" s="105"/>
      <c r="AS726" s="105"/>
      <c r="AT726" s="105"/>
      <c r="AU726" s="105"/>
      <c r="AV726" s="105"/>
      <c r="AW726" s="105"/>
      <c r="AX726" s="105"/>
      <c r="AY726" s="105"/>
      <c r="AZ726" s="105"/>
      <c r="BA726" s="105"/>
      <c r="BB726" s="105"/>
      <c r="BC726" s="105"/>
      <c r="BD726" s="105"/>
      <c r="BE726" s="105"/>
      <c r="BF726" s="105"/>
      <c r="BG726" s="105"/>
      <c r="BH726" s="105"/>
      <c r="BI726" s="105"/>
      <c r="BJ726" s="105"/>
      <c r="BK726" s="105"/>
      <c r="BL726" s="105"/>
      <c r="BM726" s="105"/>
      <c r="BN726" s="105"/>
      <c r="BO726" s="105"/>
      <c r="BP726" s="105"/>
      <c r="BQ726" s="105"/>
      <c r="BR726" s="105"/>
      <c r="BS726" s="105"/>
      <c r="BT726" s="105"/>
      <c r="BU726" s="105"/>
      <c r="BV726" s="105"/>
      <c r="BW726" s="105"/>
      <c r="BX726" s="105"/>
      <c r="BY726" s="105"/>
      <c r="BZ726" s="105"/>
      <c r="CA726" s="105"/>
      <c r="CB726" s="105"/>
      <c r="CC726" s="105"/>
      <c r="CD726" s="105"/>
      <c r="CE726" s="105"/>
      <c r="CF726" s="105"/>
      <c r="CG726" s="105"/>
      <c r="CH726" s="105"/>
      <c r="CI726" s="105"/>
      <c r="CJ726" s="105"/>
      <c r="CK726" s="105"/>
      <c r="CL726" s="105"/>
      <c r="CM726" s="105"/>
      <c r="CN726" s="105"/>
      <c r="CO726" s="105"/>
      <c r="CP726" s="105"/>
      <c r="CQ726" s="105"/>
      <c r="CR726" s="105"/>
      <c r="CS726" s="105"/>
      <c r="CT726" s="105"/>
      <c r="CU726" s="105"/>
      <c r="CV726" s="105"/>
      <c r="CW726" s="105"/>
      <c r="CX726" s="105"/>
      <c r="CY726" s="105"/>
      <c r="CZ726" s="105"/>
      <c r="DA726" s="105"/>
    </row>
    <row r="727">
      <c r="B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c r="AA727" s="105"/>
      <c r="AB727" s="105"/>
      <c r="AC727" s="105"/>
      <c r="AD727" s="105"/>
      <c r="AE727" s="105"/>
      <c r="AF727" s="105"/>
      <c r="AG727" s="105"/>
      <c r="AH727" s="105"/>
      <c r="AI727" s="105"/>
      <c r="AJ727" s="105"/>
      <c r="AK727" s="105"/>
      <c r="AL727" s="105"/>
      <c r="AM727" s="105"/>
      <c r="AN727" s="105"/>
      <c r="AO727" s="105"/>
      <c r="AP727" s="105"/>
      <c r="AQ727" s="105"/>
      <c r="AR727" s="105"/>
      <c r="AS727" s="105"/>
      <c r="AT727" s="105"/>
      <c r="AU727" s="105"/>
      <c r="AV727" s="105"/>
      <c r="AW727" s="105"/>
      <c r="AX727" s="105"/>
      <c r="AY727" s="105"/>
      <c r="AZ727" s="105"/>
      <c r="BA727" s="105"/>
      <c r="BB727" s="105"/>
      <c r="BC727" s="105"/>
      <c r="BD727" s="105"/>
      <c r="BE727" s="105"/>
      <c r="BF727" s="105"/>
      <c r="BG727" s="105"/>
      <c r="BH727" s="105"/>
      <c r="BI727" s="105"/>
      <c r="BJ727" s="105"/>
      <c r="BK727" s="105"/>
      <c r="BL727" s="105"/>
      <c r="BM727" s="105"/>
      <c r="BN727" s="105"/>
      <c r="BO727" s="105"/>
      <c r="BP727" s="105"/>
      <c r="BQ727" s="105"/>
      <c r="BR727" s="105"/>
      <c r="BS727" s="105"/>
      <c r="BT727" s="105"/>
      <c r="BU727" s="105"/>
      <c r="BV727" s="105"/>
      <c r="BW727" s="105"/>
      <c r="BX727" s="105"/>
      <c r="BY727" s="105"/>
      <c r="BZ727" s="105"/>
      <c r="CA727" s="105"/>
      <c r="CB727" s="105"/>
      <c r="CC727" s="105"/>
      <c r="CD727" s="105"/>
      <c r="CE727" s="105"/>
      <c r="CF727" s="105"/>
      <c r="CG727" s="105"/>
      <c r="CH727" s="105"/>
      <c r="CI727" s="105"/>
      <c r="CJ727" s="105"/>
      <c r="CK727" s="105"/>
      <c r="CL727" s="105"/>
      <c r="CM727" s="105"/>
      <c r="CN727" s="105"/>
      <c r="CO727" s="105"/>
      <c r="CP727" s="105"/>
      <c r="CQ727" s="105"/>
      <c r="CR727" s="105"/>
      <c r="CS727" s="105"/>
      <c r="CT727" s="105"/>
      <c r="CU727" s="105"/>
      <c r="CV727" s="105"/>
      <c r="CW727" s="105"/>
      <c r="CX727" s="105"/>
      <c r="CY727" s="105"/>
      <c r="CZ727" s="105"/>
      <c r="DA727" s="105"/>
    </row>
    <row r="728">
      <c r="B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c r="AA728" s="105"/>
      <c r="AB728" s="105"/>
      <c r="AC728" s="105"/>
      <c r="AD728" s="105"/>
      <c r="AE728" s="105"/>
      <c r="AF728" s="105"/>
      <c r="AG728" s="105"/>
      <c r="AH728" s="105"/>
      <c r="AI728" s="105"/>
      <c r="AJ728" s="105"/>
      <c r="AK728" s="105"/>
      <c r="AL728" s="105"/>
      <c r="AM728" s="105"/>
      <c r="AN728" s="105"/>
      <c r="AO728" s="105"/>
      <c r="AP728" s="105"/>
      <c r="AQ728" s="105"/>
      <c r="AR728" s="105"/>
      <c r="AS728" s="105"/>
      <c r="AT728" s="105"/>
      <c r="AU728" s="105"/>
      <c r="AV728" s="105"/>
      <c r="AW728" s="105"/>
      <c r="AX728" s="105"/>
      <c r="AY728" s="105"/>
      <c r="AZ728" s="105"/>
      <c r="BA728" s="105"/>
      <c r="BB728" s="105"/>
      <c r="BC728" s="105"/>
      <c r="BD728" s="105"/>
      <c r="BE728" s="105"/>
      <c r="BF728" s="105"/>
      <c r="BG728" s="105"/>
      <c r="BH728" s="105"/>
      <c r="BI728" s="105"/>
      <c r="BJ728" s="105"/>
      <c r="BK728" s="105"/>
      <c r="BL728" s="105"/>
      <c r="BM728" s="105"/>
      <c r="BN728" s="105"/>
      <c r="BO728" s="105"/>
      <c r="BP728" s="105"/>
      <c r="BQ728" s="105"/>
      <c r="BR728" s="105"/>
      <c r="BS728" s="105"/>
      <c r="BT728" s="105"/>
      <c r="BU728" s="105"/>
      <c r="BV728" s="105"/>
      <c r="BW728" s="105"/>
      <c r="BX728" s="105"/>
      <c r="BY728" s="105"/>
      <c r="BZ728" s="105"/>
      <c r="CA728" s="105"/>
      <c r="CB728" s="105"/>
      <c r="CC728" s="105"/>
      <c r="CD728" s="105"/>
      <c r="CE728" s="105"/>
      <c r="CF728" s="105"/>
      <c r="CG728" s="105"/>
      <c r="CH728" s="105"/>
      <c r="CI728" s="105"/>
      <c r="CJ728" s="105"/>
      <c r="CK728" s="105"/>
      <c r="CL728" s="105"/>
      <c r="CM728" s="105"/>
      <c r="CN728" s="105"/>
      <c r="CO728" s="105"/>
      <c r="CP728" s="105"/>
      <c r="CQ728" s="105"/>
      <c r="CR728" s="105"/>
      <c r="CS728" s="105"/>
      <c r="CT728" s="105"/>
      <c r="CU728" s="105"/>
      <c r="CV728" s="105"/>
      <c r="CW728" s="105"/>
      <c r="CX728" s="105"/>
      <c r="CY728" s="105"/>
      <c r="CZ728" s="105"/>
      <c r="DA728" s="105"/>
    </row>
    <row r="729">
      <c r="B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c r="AA729" s="105"/>
      <c r="AB729" s="105"/>
      <c r="AC729" s="105"/>
      <c r="AD729" s="105"/>
      <c r="AE729" s="105"/>
      <c r="AF729" s="105"/>
      <c r="AG729" s="105"/>
      <c r="AH729" s="105"/>
      <c r="AI729" s="105"/>
      <c r="AJ729" s="105"/>
      <c r="AK729" s="105"/>
      <c r="AL729" s="105"/>
      <c r="AM729" s="105"/>
      <c r="AN729" s="105"/>
      <c r="AO729" s="105"/>
      <c r="AP729" s="105"/>
      <c r="AQ729" s="105"/>
      <c r="AR729" s="105"/>
      <c r="AS729" s="105"/>
      <c r="AT729" s="105"/>
      <c r="AU729" s="105"/>
      <c r="AV729" s="105"/>
      <c r="AW729" s="105"/>
      <c r="AX729" s="105"/>
      <c r="AY729" s="105"/>
      <c r="AZ729" s="105"/>
      <c r="BA729" s="105"/>
      <c r="BB729" s="105"/>
      <c r="BC729" s="105"/>
      <c r="BD729" s="105"/>
      <c r="BE729" s="105"/>
      <c r="BF729" s="105"/>
      <c r="BG729" s="105"/>
      <c r="BH729" s="105"/>
      <c r="BI729" s="105"/>
      <c r="BJ729" s="105"/>
      <c r="BK729" s="105"/>
      <c r="BL729" s="105"/>
      <c r="BM729" s="105"/>
      <c r="BN729" s="105"/>
      <c r="BO729" s="105"/>
      <c r="BP729" s="105"/>
      <c r="BQ729" s="105"/>
      <c r="BR729" s="105"/>
      <c r="BS729" s="105"/>
      <c r="BT729" s="105"/>
      <c r="BU729" s="105"/>
      <c r="BV729" s="105"/>
      <c r="BW729" s="105"/>
      <c r="BX729" s="105"/>
      <c r="BY729" s="105"/>
      <c r="BZ729" s="105"/>
      <c r="CA729" s="105"/>
      <c r="CB729" s="105"/>
      <c r="CC729" s="105"/>
      <c r="CD729" s="105"/>
      <c r="CE729" s="105"/>
      <c r="CF729" s="105"/>
      <c r="CG729" s="105"/>
      <c r="CH729" s="105"/>
      <c r="CI729" s="105"/>
      <c r="CJ729" s="105"/>
      <c r="CK729" s="105"/>
      <c r="CL729" s="105"/>
      <c r="CM729" s="105"/>
      <c r="CN729" s="105"/>
      <c r="CO729" s="105"/>
      <c r="CP729" s="105"/>
      <c r="CQ729" s="105"/>
      <c r="CR729" s="105"/>
      <c r="CS729" s="105"/>
      <c r="CT729" s="105"/>
      <c r="CU729" s="105"/>
      <c r="CV729" s="105"/>
      <c r="CW729" s="105"/>
      <c r="CX729" s="105"/>
      <c r="CY729" s="105"/>
      <c r="CZ729" s="105"/>
      <c r="DA729" s="105"/>
    </row>
    <row r="730">
      <c r="B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c r="AA730" s="105"/>
      <c r="AB730" s="105"/>
      <c r="AC730" s="105"/>
      <c r="AD730" s="105"/>
      <c r="AE730" s="105"/>
      <c r="AF730" s="105"/>
      <c r="AG730" s="105"/>
      <c r="AH730" s="105"/>
      <c r="AI730" s="105"/>
      <c r="AJ730" s="105"/>
      <c r="AK730" s="105"/>
      <c r="AL730" s="105"/>
      <c r="AM730" s="105"/>
      <c r="AN730" s="105"/>
      <c r="AO730" s="105"/>
      <c r="AP730" s="105"/>
      <c r="AQ730" s="105"/>
      <c r="AR730" s="105"/>
      <c r="AS730" s="105"/>
      <c r="AT730" s="105"/>
      <c r="AU730" s="105"/>
      <c r="AV730" s="105"/>
      <c r="AW730" s="105"/>
      <c r="AX730" s="105"/>
      <c r="AY730" s="105"/>
      <c r="AZ730" s="105"/>
      <c r="BA730" s="105"/>
      <c r="BB730" s="105"/>
      <c r="BC730" s="105"/>
      <c r="BD730" s="105"/>
      <c r="BE730" s="105"/>
      <c r="BF730" s="105"/>
      <c r="BG730" s="105"/>
      <c r="BH730" s="105"/>
      <c r="BI730" s="105"/>
      <c r="BJ730" s="105"/>
      <c r="BK730" s="105"/>
      <c r="BL730" s="105"/>
      <c r="BM730" s="105"/>
      <c r="BN730" s="105"/>
      <c r="BO730" s="105"/>
      <c r="BP730" s="105"/>
      <c r="BQ730" s="105"/>
      <c r="BR730" s="105"/>
      <c r="BS730" s="105"/>
      <c r="BT730" s="105"/>
      <c r="BU730" s="105"/>
      <c r="BV730" s="105"/>
      <c r="BW730" s="105"/>
      <c r="BX730" s="105"/>
      <c r="BY730" s="105"/>
      <c r="BZ730" s="105"/>
      <c r="CA730" s="105"/>
      <c r="CB730" s="105"/>
      <c r="CC730" s="105"/>
      <c r="CD730" s="105"/>
      <c r="CE730" s="105"/>
      <c r="CF730" s="105"/>
      <c r="CG730" s="105"/>
      <c r="CH730" s="105"/>
      <c r="CI730" s="105"/>
      <c r="CJ730" s="105"/>
      <c r="CK730" s="105"/>
      <c r="CL730" s="105"/>
      <c r="CM730" s="105"/>
      <c r="CN730" s="105"/>
      <c r="CO730" s="105"/>
      <c r="CP730" s="105"/>
      <c r="CQ730" s="105"/>
      <c r="CR730" s="105"/>
      <c r="CS730" s="105"/>
      <c r="CT730" s="105"/>
      <c r="CU730" s="105"/>
      <c r="CV730" s="105"/>
      <c r="CW730" s="105"/>
      <c r="CX730" s="105"/>
      <c r="CY730" s="105"/>
      <c r="CZ730" s="105"/>
      <c r="DA730" s="105"/>
    </row>
    <row r="731">
      <c r="B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c r="AA731" s="105"/>
      <c r="AB731" s="105"/>
      <c r="AC731" s="105"/>
      <c r="AD731" s="105"/>
      <c r="AE731" s="105"/>
      <c r="AF731" s="105"/>
      <c r="AG731" s="105"/>
      <c r="AH731" s="105"/>
      <c r="AI731" s="105"/>
      <c r="AJ731" s="105"/>
      <c r="AK731" s="105"/>
      <c r="AL731" s="105"/>
      <c r="AM731" s="105"/>
      <c r="AN731" s="105"/>
      <c r="AO731" s="105"/>
      <c r="AP731" s="105"/>
      <c r="AQ731" s="105"/>
      <c r="AR731" s="105"/>
      <c r="AS731" s="105"/>
      <c r="AT731" s="105"/>
      <c r="AU731" s="105"/>
      <c r="AV731" s="105"/>
      <c r="AW731" s="105"/>
      <c r="AX731" s="105"/>
      <c r="AY731" s="105"/>
      <c r="AZ731" s="105"/>
      <c r="BA731" s="105"/>
      <c r="BB731" s="105"/>
      <c r="BC731" s="105"/>
      <c r="BD731" s="105"/>
      <c r="BE731" s="105"/>
      <c r="BF731" s="105"/>
      <c r="BG731" s="105"/>
      <c r="BH731" s="105"/>
      <c r="BI731" s="105"/>
      <c r="BJ731" s="105"/>
      <c r="BK731" s="105"/>
      <c r="BL731" s="105"/>
      <c r="BM731" s="105"/>
      <c r="BN731" s="105"/>
      <c r="BO731" s="105"/>
      <c r="BP731" s="105"/>
      <c r="BQ731" s="105"/>
      <c r="BR731" s="105"/>
      <c r="BS731" s="105"/>
      <c r="BT731" s="105"/>
      <c r="BU731" s="105"/>
      <c r="BV731" s="105"/>
      <c r="BW731" s="105"/>
      <c r="BX731" s="105"/>
      <c r="BY731" s="105"/>
      <c r="BZ731" s="105"/>
      <c r="CA731" s="105"/>
      <c r="CB731" s="105"/>
      <c r="CC731" s="105"/>
      <c r="CD731" s="105"/>
      <c r="CE731" s="105"/>
      <c r="CF731" s="105"/>
      <c r="CG731" s="105"/>
      <c r="CH731" s="105"/>
      <c r="CI731" s="105"/>
      <c r="CJ731" s="105"/>
      <c r="CK731" s="105"/>
      <c r="CL731" s="105"/>
      <c r="CM731" s="105"/>
      <c r="CN731" s="105"/>
      <c r="CO731" s="105"/>
      <c r="CP731" s="105"/>
      <c r="CQ731" s="105"/>
      <c r="CR731" s="105"/>
      <c r="CS731" s="105"/>
      <c r="CT731" s="105"/>
      <c r="CU731" s="105"/>
      <c r="CV731" s="105"/>
      <c r="CW731" s="105"/>
      <c r="CX731" s="105"/>
      <c r="CY731" s="105"/>
      <c r="CZ731" s="105"/>
      <c r="DA731" s="105"/>
    </row>
    <row r="732">
      <c r="B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c r="AA732" s="105"/>
      <c r="AB732" s="105"/>
      <c r="AC732" s="105"/>
      <c r="AD732" s="105"/>
      <c r="AE732" s="105"/>
      <c r="AF732" s="105"/>
      <c r="AG732" s="105"/>
      <c r="AH732" s="105"/>
      <c r="AI732" s="105"/>
      <c r="AJ732" s="105"/>
      <c r="AK732" s="105"/>
      <c r="AL732" s="105"/>
      <c r="AM732" s="105"/>
      <c r="AN732" s="105"/>
      <c r="AO732" s="105"/>
      <c r="AP732" s="105"/>
      <c r="AQ732" s="105"/>
      <c r="AR732" s="105"/>
      <c r="AS732" s="105"/>
      <c r="AT732" s="105"/>
      <c r="AU732" s="105"/>
      <c r="AV732" s="105"/>
      <c r="AW732" s="105"/>
      <c r="AX732" s="105"/>
      <c r="AY732" s="105"/>
      <c r="AZ732" s="105"/>
      <c r="BA732" s="105"/>
      <c r="BB732" s="105"/>
      <c r="BC732" s="105"/>
      <c r="BD732" s="105"/>
      <c r="BE732" s="105"/>
      <c r="BF732" s="105"/>
      <c r="BG732" s="105"/>
      <c r="BH732" s="105"/>
      <c r="BI732" s="105"/>
      <c r="BJ732" s="105"/>
      <c r="BK732" s="105"/>
      <c r="BL732" s="105"/>
      <c r="BM732" s="105"/>
      <c r="BN732" s="105"/>
      <c r="BO732" s="105"/>
      <c r="BP732" s="105"/>
      <c r="BQ732" s="105"/>
      <c r="BR732" s="105"/>
      <c r="BS732" s="105"/>
      <c r="BT732" s="105"/>
      <c r="BU732" s="105"/>
      <c r="BV732" s="105"/>
      <c r="BW732" s="105"/>
      <c r="BX732" s="105"/>
      <c r="BY732" s="105"/>
      <c r="BZ732" s="105"/>
      <c r="CA732" s="105"/>
      <c r="CB732" s="105"/>
      <c r="CC732" s="105"/>
      <c r="CD732" s="105"/>
      <c r="CE732" s="105"/>
      <c r="CF732" s="105"/>
      <c r="CG732" s="105"/>
      <c r="CH732" s="105"/>
      <c r="CI732" s="105"/>
      <c r="CJ732" s="105"/>
      <c r="CK732" s="105"/>
      <c r="CL732" s="105"/>
      <c r="CM732" s="105"/>
      <c r="CN732" s="105"/>
      <c r="CO732" s="105"/>
      <c r="CP732" s="105"/>
      <c r="CQ732" s="105"/>
      <c r="CR732" s="105"/>
      <c r="CS732" s="105"/>
      <c r="CT732" s="105"/>
      <c r="CU732" s="105"/>
      <c r="CV732" s="105"/>
      <c r="CW732" s="105"/>
      <c r="CX732" s="105"/>
      <c r="CY732" s="105"/>
      <c r="CZ732" s="105"/>
      <c r="DA732" s="105"/>
    </row>
    <row r="733">
      <c r="B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c r="AA733" s="105"/>
      <c r="AB733" s="105"/>
      <c r="AC733" s="105"/>
      <c r="AD733" s="105"/>
      <c r="AE733" s="105"/>
      <c r="AF733" s="105"/>
      <c r="AG733" s="105"/>
      <c r="AH733" s="105"/>
      <c r="AI733" s="105"/>
      <c r="AJ733" s="105"/>
      <c r="AK733" s="105"/>
      <c r="AL733" s="105"/>
      <c r="AM733" s="105"/>
      <c r="AN733" s="105"/>
      <c r="AO733" s="105"/>
      <c r="AP733" s="105"/>
      <c r="AQ733" s="105"/>
      <c r="AR733" s="105"/>
      <c r="AS733" s="105"/>
      <c r="AT733" s="105"/>
      <c r="AU733" s="105"/>
      <c r="AV733" s="105"/>
      <c r="AW733" s="105"/>
      <c r="AX733" s="105"/>
      <c r="AY733" s="105"/>
      <c r="AZ733" s="105"/>
      <c r="BA733" s="105"/>
      <c r="BB733" s="105"/>
      <c r="BC733" s="105"/>
      <c r="BD733" s="105"/>
      <c r="BE733" s="105"/>
      <c r="BF733" s="105"/>
      <c r="BG733" s="105"/>
      <c r="BH733" s="105"/>
      <c r="BI733" s="105"/>
      <c r="BJ733" s="105"/>
      <c r="BK733" s="105"/>
      <c r="BL733" s="105"/>
      <c r="BM733" s="105"/>
      <c r="BN733" s="105"/>
      <c r="BO733" s="105"/>
      <c r="BP733" s="105"/>
      <c r="BQ733" s="105"/>
      <c r="BR733" s="105"/>
      <c r="BS733" s="105"/>
      <c r="BT733" s="105"/>
      <c r="BU733" s="105"/>
      <c r="BV733" s="105"/>
      <c r="BW733" s="105"/>
      <c r="BX733" s="105"/>
      <c r="BY733" s="105"/>
      <c r="BZ733" s="105"/>
      <c r="CA733" s="105"/>
      <c r="CB733" s="105"/>
      <c r="CC733" s="105"/>
      <c r="CD733" s="105"/>
      <c r="CE733" s="105"/>
      <c r="CF733" s="105"/>
      <c r="CG733" s="105"/>
      <c r="CH733" s="105"/>
      <c r="CI733" s="105"/>
      <c r="CJ733" s="105"/>
      <c r="CK733" s="105"/>
      <c r="CL733" s="105"/>
      <c r="CM733" s="105"/>
      <c r="CN733" s="105"/>
      <c r="CO733" s="105"/>
      <c r="CP733" s="105"/>
      <c r="CQ733" s="105"/>
      <c r="CR733" s="105"/>
      <c r="CS733" s="105"/>
      <c r="CT733" s="105"/>
      <c r="CU733" s="105"/>
      <c r="CV733" s="105"/>
      <c r="CW733" s="105"/>
      <c r="CX733" s="105"/>
      <c r="CY733" s="105"/>
      <c r="CZ733" s="105"/>
      <c r="DA733" s="105"/>
    </row>
    <row r="734">
      <c r="B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c r="AA734" s="105"/>
      <c r="AB734" s="105"/>
      <c r="AC734" s="105"/>
      <c r="AD734" s="105"/>
      <c r="AE734" s="105"/>
      <c r="AF734" s="105"/>
      <c r="AG734" s="105"/>
      <c r="AH734" s="105"/>
      <c r="AI734" s="105"/>
      <c r="AJ734" s="105"/>
      <c r="AK734" s="105"/>
      <c r="AL734" s="105"/>
      <c r="AM734" s="105"/>
      <c r="AN734" s="105"/>
      <c r="AO734" s="105"/>
      <c r="AP734" s="105"/>
      <c r="AQ734" s="105"/>
      <c r="AR734" s="105"/>
      <c r="AS734" s="105"/>
      <c r="AT734" s="105"/>
      <c r="AU734" s="105"/>
      <c r="AV734" s="105"/>
      <c r="AW734" s="105"/>
      <c r="AX734" s="105"/>
      <c r="AY734" s="105"/>
      <c r="AZ734" s="105"/>
      <c r="BA734" s="105"/>
      <c r="BB734" s="105"/>
      <c r="BC734" s="105"/>
      <c r="BD734" s="105"/>
      <c r="BE734" s="105"/>
      <c r="BF734" s="105"/>
      <c r="BG734" s="105"/>
      <c r="BH734" s="105"/>
      <c r="BI734" s="105"/>
      <c r="BJ734" s="105"/>
      <c r="BK734" s="105"/>
      <c r="BL734" s="105"/>
      <c r="BM734" s="105"/>
      <c r="BN734" s="105"/>
      <c r="BO734" s="105"/>
      <c r="BP734" s="105"/>
      <c r="BQ734" s="105"/>
      <c r="BR734" s="105"/>
      <c r="BS734" s="105"/>
      <c r="BT734" s="105"/>
      <c r="BU734" s="105"/>
      <c r="BV734" s="105"/>
      <c r="BW734" s="105"/>
      <c r="BX734" s="105"/>
      <c r="BY734" s="105"/>
      <c r="BZ734" s="105"/>
      <c r="CA734" s="105"/>
      <c r="CB734" s="105"/>
      <c r="CC734" s="105"/>
      <c r="CD734" s="105"/>
      <c r="CE734" s="105"/>
      <c r="CF734" s="105"/>
      <c r="CG734" s="105"/>
      <c r="CH734" s="105"/>
      <c r="CI734" s="105"/>
      <c r="CJ734" s="105"/>
      <c r="CK734" s="105"/>
      <c r="CL734" s="105"/>
      <c r="CM734" s="105"/>
      <c r="CN734" s="105"/>
      <c r="CO734" s="105"/>
      <c r="CP734" s="105"/>
      <c r="CQ734" s="105"/>
      <c r="CR734" s="105"/>
      <c r="CS734" s="105"/>
      <c r="CT734" s="105"/>
      <c r="CU734" s="105"/>
      <c r="CV734" s="105"/>
      <c r="CW734" s="105"/>
      <c r="CX734" s="105"/>
      <c r="CY734" s="105"/>
      <c r="CZ734" s="105"/>
      <c r="DA734" s="105"/>
    </row>
    <row r="735">
      <c r="B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c r="AA735" s="105"/>
      <c r="AB735" s="105"/>
      <c r="AC735" s="105"/>
      <c r="AD735" s="105"/>
      <c r="AE735" s="105"/>
      <c r="AF735" s="105"/>
      <c r="AG735" s="105"/>
      <c r="AH735" s="105"/>
      <c r="AI735" s="105"/>
      <c r="AJ735" s="105"/>
      <c r="AK735" s="105"/>
      <c r="AL735" s="105"/>
      <c r="AM735" s="105"/>
      <c r="AN735" s="105"/>
      <c r="AO735" s="105"/>
      <c r="AP735" s="105"/>
      <c r="AQ735" s="105"/>
      <c r="AR735" s="105"/>
      <c r="AS735" s="105"/>
      <c r="AT735" s="105"/>
      <c r="AU735" s="105"/>
      <c r="AV735" s="105"/>
      <c r="AW735" s="105"/>
      <c r="AX735" s="105"/>
      <c r="AY735" s="105"/>
      <c r="AZ735" s="105"/>
      <c r="BA735" s="105"/>
      <c r="BB735" s="105"/>
      <c r="BC735" s="105"/>
      <c r="BD735" s="105"/>
      <c r="BE735" s="105"/>
      <c r="BF735" s="105"/>
      <c r="BG735" s="105"/>
      <c r="BH735" s="105"/>
      <c r="BI735" s="105"/>
      <c r="BJ735" s="105"/>
      <c r="BK735" s="105"/>
      <c r="BL735" s="105"/>
      <c r="BM735" s="105"/>
      <c r="BN735" s="105"/>
      <c r="BO735" s="105"/>
      <c r="BP735" s="105"/>
      <c r="BQ735" s="105"/>
      <c r="BR735" s="105"/>
      <c r="BS735" s="105"/>
      <c r="BT735" s="105"/>
      <c r="BU735" s="105"/>
      <c r="BV735" s="105"/>
      <c r="BW735" s="105"/>
      <c r="BX735" s="105"/>
      <c r="BY735" s="105"/>
      <c r="BZ735" s="105"/>
      <c r="CA735" s="105"/>
      <c r="CB735" s="105"/>
      <c r="CC735" s="105"/>
      <c r="CD735" s="105"/>
      <c r="CE735" s="105"/>
      <c r="CF735" s="105"/>
      <c r="CG735" s="105"/>
      <c r="CH735" s="105"/>
      <c r="CI735" s="105"/>
      <c r="CJ735" s="105"/>
      <c r="CK735" s="105"/>
      <c r="CL735" s="105"/>
      <c r="CM735" s="105"/>
      <c r="CN735" s="105"/>
      <c r="CO735" s="105"/>
      <c r="CP735" s="105"/>
      <c r="CQ735" s="105"/>
      <c r="CR735" s="105"/>
      <c r="CS735" s="105"/>
      <c r="CT735" s="105"/>
      <c r="CU735" s="105"/>
      <c r="CV735" s="105"/>
      <c r="CW735" s="105"/>
      <c r="CX735" s="105"/>
      <c r="CY735" s="105"/>
      <c r="CZ735" s="105"/>
      <c r="DA735" s="105"/>
    </row>
    <row r="736">
      <c r="B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c r="AA736" s="105"/>
      <c r="AB736" s="105"/>
      <c r="AC736" s="105"/>
      <c r="AD736" s="105"/>
      <c r="AE736" s="105"/>
      <c r="AF736" s="105"/>
      <c r="AG736" s="105"/>
      <c r="AH736" s="105"/>
      <c r="AI736" s="105"/>
      <c r="AJ736" s="105"/>
      <c r="AK736" s="105"/>
      <c r="AL736" s="105"/>
      <c r="AM736" s="105"/>
      <c r="AN736" s="105"/>
      <c r="AO736" s="105"/>
      <c r="AP736" s="105"/>
      <c r="AQ736" s="105"/>
      <c r="AR736" s="105"/>
      <c r="AS736" s="105"/>
      <c r="AT736" s="105"/>
      <c r="AU736" s="105"/>
      <c r="AV736" s="105"/>
      <c r="AW736" s="105"/>
      <c r="AX736" s="105"/>
      <c r="AY736" s="105"/>
      <c r="AZ736" s="105"/>
      <c r="BA736" s="105"/>
      <c r="BB736" s="105"/>
      <c r="BC736" s="105"/>
      <c r="BD736" s="105"/>
      <c r="BE736" s="105"/>
      <c r="BF736" s="105"/>
      <c r="BG736" s="105"/>
      <c r="BH736" s="105"/>
      <c r="BI736" s="105"/>
      <c r="BJ736" s="105"/>
      <c r="BK736" s="105"/>
      <c r="BL736" s="105"/>
      <c r="BM736" s="105"/>
      <c r="BN736" s="105"/>
      <c r="BO736" s="105"/>
      <c r="BP736" s="105"/>
      <c r="BQ736" s="105"/>
      <c r="BR736" s="105"/>
      <c r="BS736" s="105"/>
      <c r="BT736" s="105"/>
      <c r="BU736" s="105"/>
      <c r="BV736" s="105"/>
      <c r="BW736" s="105"/>
      <c r="BX736" s="105"/>
      <c r="BY736" s="105"/>
      <c r="BZ736" s="105"/>
      <c r="CA736" s="105"/>
      <c r="CB736" s="105"/>
      <c r="CC736" s="105"/>
      <c r="CD736" s="105"/>
      <c r="CE736" s="105"/>
      <c r="CF736" s="105"/>
      <c r="CG736" s="105"/>
      <c r="CH736" s="105"/>
      <c r="CI736" s="105"/>
      <c r="CJ736" s="105"/>
      <c r="CK736" s="105"/>
      <c r="CL736" s="105"/>
      <c r="CM736" s="105"/>
      <c r="CN736" s="105"/>
      <c r="CO736" s="105"/>
      <c r="CP736" s="105"/>
      <c r="CQ736" s="105"/>
      <c r="CR736" s="105"/>
      <c r="CS736" s="105"/>
      <c r="CT736" s="105"/>
      <c r="CU736" s="105"/>
      <c r="CV736" s="105"/>
      <c r="CW736" s="105"/>
      <c r="CX736" s="105"/>
      <c r="CY736" s="105"/>
      <c r="CZ736" s="105"/>
      <c r="DA736" s="105"/>
    </row>
    <row r="737">
      <c r="B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c r="AA737" s="105"/>
      <c r="AB737" s="105"/>
      <c r="AC737" s="105"/>
      <c r="AD737" s="105"/>
      <c r="AE737" s="105"/>
      <c r="AF737" s="105"/>
      <c r="AG737" s="105"/>
      <c r="AH737" s="105"/>
      <c r="AI737" s="105"/>
      <c r="AJ737" s="105"/>
      <c r="AK737" s="105"/>
      <c r="AL737" s="105"/>
      <c r="AM737" s="105"/>
      <c r="AN737" s="105"/>
      <c r="AO737" s="105"/>
      <c r="AP737" s="105"/>
      <c r="AQ737" s="105"/>
      <c r="AR737" s="105"/>
      <c r="AS737" s="105"/>
      <c r="AT737" s="105"/>
      <c r="AU737" s="105"/>
      <c r="AV737" s="105"/>
      <c r="AW737" s="105"/>
      <c r="AX737" s="105"/>
      <c r="AY737" s="105"/>
      <c r="AZ737" s="105"/>
      <c r="BA737" s="105"/>
      <c r="BB737" s="105"/>
      <c r="BC737" s="105"/>
      <c r="BD737" s="105"/>
      <c r="BE737" s="105"/>
      <c r="BF737" s="105"/>
      <c r="BG737" s="105"/>
      <c r="BH737" s="105"/>
      <c r="BI737" s="105"/>
      <c r="BJ737" s="105"/>
      <c r="BK737" s="105"/>
      <c r="BL737" s="105"/>
      <c r="BM737" s="105"/>
      <c r="BN737" s="105"/>
      <c r="BO737" s="105"/>
      <c r="BP737" s="105"/>
      <c r="BQ737" s="105"/>
      <c r="BR737" s="105"/>
      <c r="BS737" s="105"/>
      <c r="BT737" s="105"/>
      <c r="BU737" s="105"/>
      <c r="BV737" s="105"/>
      <c r="BW737" s="105"/>
      <c r="BX737" s="105"/>
      <c r="BY737" s="105"/>
      <c r="BZ737" s="105"/>
      <c r="CA737" s="105"/>
      <c r="CB737" s="105"/>
      <c r="CC737" s="105"/>
      <c r="CD737" s="105"/>
      <c r="CE737" s="105"/>
      <c r="CF737" s="105"/>
      <c r="CG737" s="105"/>
      <c r="CH737" s="105"/>
      <c r="CI737" s="105"/>
      <c r="CJ737" s="105"/>
      <c r="CK737" s="105"/>
      <c r="CL737" s="105"/>
      <c r="CM737" s="105"/>
      <c r="CN737" s="105"/>
      <c r="CO737" s="105"/>
      <c r="CP737" s="105"/>
      <c r="CQ737" s="105"/>
      <c r="CR737" s="105"/>
      <c r="CS737" s="105"/>
      <c r="CT737" s="105"/>
      <c r="CU737" s="105"/>
      <c r="CV737" s="105"/>
      <c r="CW737" s="105"/>
      <c r="CX737" s="105"/>
      <c r="CY737" s="105"/>
      <c r="CZ737" s="105"/>
      <c r="DA737" s="105"/>
    </row>
    <row r="738">
      <c r="B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c r="AA738" s="105"/>
      <c r="AB738" s="105"/>
      <c r="AC738" s="105"/>
      <c r="AD738" s="105"/>
      <c r="AE738" s="105"/>
      <c r="AF738" s="105"/>
      <c r="AG738" s="105"/>
      <c r="AH738" s="105"/>
      <c r="AI738" s="105"/>
      <c r="AJ738" s="105"/>
      <c r="AK738" s="105"/>
      <c r="AL738" s="105"/>
      <c r="AM738" s="105"/>
      <c r="AN738" s="105"/>
      <c r="AO738" s="105"/>
      <c r="AP738" s="105"/>
      <c r="AQ738" s="105"/>
      <c r="AR738" s="105"/>
      <c r="AS738" s="105"/>
      <c r="AT738" s="105"/>
      <c r="AU738" s="105"/>
      <c r="AV738" s="105"/>
      <c r="AW738" s="105"/>
      <c r="AX738" s="105"/>
      <c r="AY738" s="105"/>
      <c r="AZ738" s="105"/>
      <c r="BA738" s="105"/>
      <c r="BB738" s="105"/>
      <c r="BC738" s="105"/>
      <c r="BD738" s="105"/>
      <c r="BE738" s="105"/>
      <c r="BF738" s="105"/>
      <c r="BG738" s="105"/>
      <c r="BH738" s="105"/>
      <c r="BI738" s="105"/>
      <c r="BJ738" s="105"/>
      <c r="BK738" s="105"/>
      <c r="BL738" s="105"/>
      <c r="BM738" s="105"/>
      <c r="BN738" s="105"/>
      <c r="BO738" s="105"/>
      <c r="BP738" s="105"/>
      <c r="BQ738" s="105"/>
      <c r="BR738" s="105"/>
      <c r="BS738" s="105"/>
      <c r="BT738" s="105"/>
      <c r="BU738" s="105"/>
      <c r="BV738" s="105"/>
      <c r="BW738" s="105"/>
      <c r="BX738" s="105"/>
      <c r="BY738" s="105"/>
      <c r="BZ738" s="105"/>
      <c r="CA738" s="105"/>
      <c r="CB738" s="105"/>
      <c r="CC738" s="105"/>
      <c r="CD738" s="105"/>
      <c r="CE738" s="105"/>
      <c r="CF738" s="105"/>
      <c r="CG738" s="105"/>
      <c r="CH738" s="105"/>
      <c r="CI738" s="105"/>
      <c r="CJ738" s="105"/>
      <c r="CK738" s="105"/>
      <c r="CL738" s="105"/>
      <c r="CM738" s="105"/>
      <c r="CN738" s="105"/>
      <c r="CO738" s="105"/>
      <c r="CP738" s="105"/>
      <c r="CQ738" s="105"/>
      <c r="CR738" s="105"/>
      <c r="CS738" s="105"/>
      <c r="CT738" s="105"/>
      <c r="CU738" s="105"/>
      <c r="CV738" s="105"/>
      <c r="CW738" s="105"/>
      <c r="CX738" s="105"/>
      <c r="CY738" s="105"/>
      <c r="CZ738" s="105"/>
      <c r="DA738" s="105"/>
    </row>
    <row r="739">
      <c r="B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c r="AA739" s="105"/>
      <c r="AB739" s="105"/>
      <c r="AC739" s="105"/>
      <c r="AD739" s="105"/>
      <c r="AE739" s="105"/>
      <c r="AF739" s="105"/>
      <c r="AG739" s="105"/>
      <c r="AH739" s="105"/>
      <c r="AI739" s="105"/>
      <c r="AJ739" s="105"/>
      <c r="AK739" s="105"/>
      <c r="AL739" s="105"/>
      <c r="AM739" s="105"/>
      <c r="AN739" s="105"/>
      <c r="AO739" s="105"/>
      <c r="AP739" s="105"/>
      <c r="AQ739" s="105"/>
      <c r="AR739" s="105"/>
      <c r="AS739" s="105"/>
      <c r="AT739" s="105"/>
      <c r="AU739" s="105"/>
      <c r="AV739" s="105"/>
      <c r="AW739" s="105"/>
      <c r="AX739" s="105"/>
      <c r="AY739" s="105"/>
      <c r="AZ739" s="105"/>
      <c r="BA739" s="105"/>
      <c r="BB739" s="105"/>
      <c r="BC739" s="105"/>
      <c r="BD739" s="105"/>
      <c r="BE739" s="105"/>
      <c r="BF739" s="105"/>
      <c r="BG739" s="105"/>
      <c r="BH739" s="105"/>
      <c r="BI739" s="105"/>
      <c r="BJ739" s="105"/>
      <c r="BK739" s="105"/>
      <c r="BL739" s="105"/>
      <c r="BM739" s="105"/>
      <c r="BN739" s="105"/>
      <c r="BO739" s="105"/>
      <c r="BP739" s="105"/>
      <c r="BQ739" s="105"/>
      <c r="BR739" s="105"/>
      <c r="BS739" s="105"/>
      <c r="BT739" s="105"/>
      <c r="BU739" s="105"/>
      <c r="BV739" s="105"/>
      <c r="BW739" s="105"/>
      <c r="BX739" s="105"/>
      <c r="BY739" s="105"/>
      <c r="BZ739" s="105"/>
      <c r="CA739" s="105"/>
      <c r="CB739" s="105"/>
      <c r="CC739" s="105"/>
      <c r="CD739" s="105"/>
      <c r="CE739" s="105"/>
      <c r="CF739" s="105"/>
      <c r="CG739" s="105"/>
      <c r="CH739" s="105"/>
      <c r="CI739" s="105"/>
      <c r="CJ739" s="105"/>
      <c r="CK739" s="105"/>
      <c r="CL739" s="105"/>
      <c r="CM739" s="105"/>
      <c r="CN739" s="105"/>
      <c r="CO739" s="105"/>
      <c r="CP739" s="105"/>
      <c r="CQ739" s="105"/>
      <c r="CR739" s="105"/>
      <c r="CS739" s="105"/>
      <c r="CT739" s="105"/>
      <c r="CU739" s="105"/>
      <c r="CV739" s="105"/>
      <c r="CW739" s="105"/>
      <c r="CX739" s="105"/>
      <c r="CY739" s="105"/>
      <c r="CZ739" s="105"/>
      <c r="DA739" s="105"/>
    </row>
    <row r="740">
      <c r="B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c r="AA740" s="105"/>
      <c r="AB740" s="105"/>
      <c r="AC740" s="105"/>
      <c r="AD740" s="105"/>
      <c r="AE740" s="105"/>
      <c r="AF740" s="105"/>
      <c r="AG740" s="105"/>
      <c r="AH740" s="105"/>
      <c r="AI740" s="105"/>
      <c r="AJ740" s="105"/>
      <c r="AK740" s="105"/>
      <c r="AL740" s="105"/>
      <c r="AM740" s="105"/>
      <c r="AN740" s="105"/>
      <c r="AO740" s="105"/>
      <c r="AP740" s="105"/>
      <c r="AQ740" s="105"/>
      <c r="AR740" s="105"/>
      <c r="AS740" s="105"/>
      <c r="AT740" s="105"/>
      <c r="AU740" s="105"/>
      <c r="AV740" s="105"/>
      <c r="AW740" s="105"/>
      <c r="AX740" s="105"/>
      <c r="AY740" s="105"/>
      <c r="AZ740" s="105"/>
      <c r="BA740" s="105"/>
      <c r="BB740" s="105"/>
      <c r="BC740" s="105"/>
      <c r="BD740" s="105"/>
      <c r="BE740" s="105"/>
      <c r="BF740" s="105"/>
      <c r="BG740" s="105"/>
      <c r="BH740" s="105"/>
      <c r="BI740" s="105"/>
      <c r="BJ740" s="105"/>
      <c r="BK740" s="105"/>
      <c r="BL740" s="105"/>
      <c r="BM740" s="105"/>
      <c r="BN740" s="105"/>
      <c r="BO740" s="105"/>
      <c r="BP740" s="105"/>
      <c r="BQ740" s="105"/>
      <c r="BR740" s="105"/>
      <c r="BS740" s="105"/>
      <c r="BT740" s="105"/>
      <c r="BU740" s="105"/>
      <c r="BV740" s="105"/>
      <c r="BW740" s="105"/>
      <c r="BX740" s="105"/>
      <c r="BY740" s="105"/>
      <c r="BZ740" s="105"/>
      <c r="CA740" s="105"/>
      <c r="CB740" s="105"/>
      <c r="CC740" s="105"/>
      <c r="CD740" s="105"/>
      <c r="CE740" s="105"/>
      <c r="CF740" s="105"/>
      <c r="CG740" s="105"/>
      <c r="CH740" s="105"/>
      <c r="CI740" s="105"/>
      <c r="CJ740" s="105"/>
      <c r="CK740" s="105"/>
      <c r="CL740" s="105"/>
      <c r="CM740" s="105"/>
      <c r="CN740" s="105"/>
      <c r="CO740" s="105"/>
      <c r="CP740" s="105"/>
      <c r="CQ740" s="105"/>
      <c r="CR740" s="105"/>
      <c r="CS740" s="105"/>
      <c r="CT740" s="105"/>
      <c r="CU740" s="105"/>
      <c r="CV740" s="105"/>
      <c r="CW740" s="105"/>
      <c r="CX740" s="105"/>
      <c r="CY740" s="105"/>
      <c r="CZ740" s="105"/>
      <c r="DA740" s="105"/>
    </row>
    <row r="741">
      <c r="B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c r="AA741" s="105"/>
      <c r="AB741" s="105"/>
      <c r="AC741" s="105"/>
      <c r="AD741" s="105"/>
      <c r="AE741" s="105"/>
      <c r="AF741" s="105"/>
      <c r="AG741" s="105"/>
      <c r="AH741" s="105"/>
      <c r="AI741" s="105"/>
      <c r="AJ741" s="105"/>
      <c r="AK741" s="105"/>
      <c r="AL741" s="105"/>
      <c r="AM741" s="105"/>
      <c r="AN741" s="105"/>
      <c r="AO741" s="105"/>
      <c r="AP741" s="105"/>
      <c r="AQ741" s="105"/>
      <c r="AR741" s="105"/>
      <c r="AS741" s="105"/>
      <c r="AT741" s="105"/>
      <c r="AU741" s="105"/>
      <c r="AV741" s="105"/>
      <c r="AW741" s="105"/>
      <c r="AX741" s="105"/>
      <c r="AY741" s="105"/>
      <c r="AZ741" s="105"/>
      <c r="BA741" s="105"/>
      <c r="BB741" s="105"/>
      <c r="BC741" s="105"/>
      <c r="BD741" s="105"/>
      <c r="BE741" s="105"/>
      <c r="BF741" s="105"/>
      <c r="BG741" s="105"/>
      <c r="BH741" s="105"/>
      <c r="BI741" s="105"/>
      <c r="BJ741" s="105"/>
      <c r="BK741" s="105"/>
      <c r="BL741" s="105"/>
      <c r="BM741" s="105"/>
      <c r="BN741" s="105"/>
      <c r="BO741" s="105"/>
      <c r="BP741" s="105"/>
      <c r="BQ741" s="105"/>
      <c r="BR741" s="105"/>
      <c r="BS741" s="105"/>
      <c r="BT741" s="105"/>
      <c r="BU741" s="105"/>
      <c r="BV741" s="105"/>
      <c r="BW741" s="105"/>
      <c r="BX741" s="105"/>
      <c r="BY741" s="105"/>
      <c r="BZ741" s="105"/>
      <c r="CA741" s="105"/>
      <c r="CB741" s="105"/>
      <c r="CC741" s="105"/>
      <c r="CD741" s="105"/>
      <c r="CE741" s="105"/>
      <c r="CF741" s="105"/>
      <c r="CG741" s="105"/>
      <c r="CH741" s="105"/>
      <c r="CI741" s="105"/>
      <c r="CJ741" s="105"/>
      <c r="CK741" s="105"/>
      <c r="CL741" s="105"/>
      <c r="CM741" s="105"/>
      <c r="CN741" s="105"/>
      <c r="CO741" s="105"/>
      <c r="CP741" s="105"/>
      <c r="CQ741" s="105"/>
      <c r="CR741" s="105"/>
      <c r="CS741" s="105"/>
      <c r="CT741" s="105"/>
      <c r="CU741" s="105"/>
      <c r="CV741" s="105"/>
      <c r="CW741" s="105"/>
      <c r="CX741" s="105"/>
      <c r="CY741" s="105"/>
      <c r="CZ741" s="105"/>
      <c r="DA741" s="105"/>
    </row>
    <row r="742">
      <c r="B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c r="AA742" s="105"/>
      <c r="AB742" s="105"/>
      <c r="AC742" s="105"/>
      <c r="AD742" s="105"/>
      <c r="AE742" s="105"/>
      <c r="AF742" s="105"/>
      <c r="AG742" s="105"/>
      <c r="AH742" s="105"/>
      <c r="AI742" s="105"/>
      <c r="AJ742" s="105"/>
      <c r="AK742" s="105"/>
      <c r="AL742" s="105"/>
      <c r="AM742" s="105"/>
      <c r="AN742" s="105"/>
      <c r="AO742" s="105"/>
      <c r="AP742" s="105"/>
      <c r="AQ742" s="105"/>
      <c r="AR742" s="105"/>
      <c r="AS742" s="105"/>
      <c r="AT742" s="105"/>
      <c r="AU742" s="105"/>
      <c r="AV742" s="105"/>
      <c r="AW742" s="105"/>
      <c r="AX742" s="105"/>
      <c r="AY742" s="105"/>
      <c r="AZ742" s="105"/>
      <c r="BA742" s="105"/>
      <c r="BB742" s="105"/>
      <c r="BC742" s="105"/>
      <c r="BD742" s="105"/>
      <c r="BE742" s="105"/>
      <c r="BF742" s="105"/>
      <c r="BG742" s="105"/>
      <c r="BH742" s="105"/>
      <c r="BI742" s="105"/>
      <c r="BJ742" s="105"/>
      <c r="BK742" s="105"/>
      <c r="BL742" s="105"/>
      <c r="BM742" s="105"/>
      <c r="BN742" s="105"/>
      <c r="BO742" s="105"/>
      <c r="BP742" s="105"/>
      <c r="BQ742" s="105"/>
      <c r="BR742" s="105"/>
      <c r="BS742" s="105"/>
      <c r="BT742" s="105"/>
      <c r="BU742" s="105"/>
      <c r="BV742" s="105"/>
      <c r="BW742" s="105"/>
      <c r="BX742" s="105"/>
      <c r="BY742" s="105"/>
      <c r="BZ742" s="105"/>
      <c r="CA742" s="105"/>
      <c r="CB742" s="105"/>
      <c r="CC742" s="105"/>
      <c r="CD742" s="105"/>
      <c r="CE742" s="105"/>
      <c r="CF742" s="105"/>
      <c r="CG742" s="105"/>
      <c r="CH742" s="105"/>
      <c r="CI742" s="105"/>
      <c r="CJ742" s="105"/>
      <c r="CK742" s="105"/>
      <c r="CL742" s="105"/>
      <c r="CM742" s="105"/>
      <c r="CN742" s="105"/>
      <c r="CO742" s="105"/>
      <c r="CP742" s="105"/>
      <c r="CQ742" s="105"/>
      <c r="CR742" s="105"/>
      <c r="CS742" s="105"/>
      <c r="CT742" s="105"/>
      <c r="CU742" s="105"/>
      <c r="CV742" s="105"/>
      <c r="CW742" s="105"/>
      <c r="CX742" s="105"/>
      <c r="CY742" s="105"/>
      <c r="CZ742" s="105"/>
      <c r="DA742" s="105"/>
    </row>
    <row r="743">
      <c r="B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c r="AA743" s="105"/>
      <c r="AB743" s="105"/>
      <c r="AC743" s="105"/>
      <c r="AD743" s="105"/>
      <c r="AE743" s="105"/>
      <c r="AF743" s="105"/>
      <c r="AG743" s="105"/>
      <c r="AH743" s="105"/>
      <c r="AI743" s="105"/>
      <c r="AJ743" s="105"/>
      <c r="AK743" s="105"/>
      <c r="AL743" s="105"/>
      <c r="AM743" s="105"/>
      <c r="AN743" s="105"/>
      <c r="AO743" s="105"/>
      <c r="AP743" s="105"/>
      <c r="AQ743" s="105"/>
      <c r="AR743" s="105"/>
      <c r="AS743" s="105"/>
      <c r="AT743" s="105"/>
      <c r="AU743" s="105"/>
      <c r="AV743" s="105"/>
      <c r="AW743" s="105"/>
      <c r="AX743" s="105"/>
      <c r="AY743" s="105"/>
      <c r="AZ743" s="105"/>
      <c r="BA743" s="105"/>
      <c r="BB743" s="105"/>
      <c r="BC743" s="105"/>
      <c r="BD743" s="105"/>
      <c r="BE743" s="105"/>
      <c r="BF743" s="105"/>
      <c r="BG743" s="105"/>
      <c r="BH743" s="105"/>
      <c r="BI743" s="105"/>
      <c r="BJ743" s="105"/>
      <c r="BK743" s="105"/>
      <c r="BL743" s="105"/>
      <c r="BM743" s="105"/>
      <c r="BN743" s="105"/>
      <c r="BO743" s="105"/>
      <c r="BP743" s="105"/>
      <c r="BQ743" s="105"/>
      <c r="BR743" s="105"/>
      <c r="BS743" s="105"/>
      <c r="BT743" s="105"/>
      <c r="BU743" s="105"/>
      <c r="BV743" s="105"/>
      <c r="BW743" s="105"/>
      <c r="BX743" s="105"/>
      <c r="BY743" s="105"/>
      <c r="BZ743" s="105"/>
      <c r="CA743" s="105"/>
      <c r="CB743" s="105"/>
      <c r="CC743" s="105"/>
      <c r="CD743" s="105"/>
      <c r="CE743" s="105"/>
      <c r="CF743" s="105"/>
      <c r="CG743" s="105"/>
      <c r="CH743" s="105"/>
      <c r="CI743" s="105"/>
      <c r="CJ743" s="105"/>
      <c r="CK743" s="105"/>
      <c r="CL743" s="105"/>
      <c r="CM743" s="105"/>
      <c r="CN743" s="105"/>
      <c r="CO743" s="105"/>
      <c r="CP743" s="105"/>
      <c r="CQ743" s="105"/>
      <c r="CR743" s="105"/>
      <c r="CS743" s="105"/>
      <c r="CT743" s="105"/>
      <c r="CU743" s="105"/>
      <c r="CV743" s="105"/>
      <c r="CW743" s="105"/>
      <c r="CX743" s="105"/>
      <c r="CY743" s="105"/>
      <c r="CZ743" s="105"/>
      <c r="DA743" s="105"/>
    </row>
    <row r="744">
      <c r="B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c r="AA744" s="105"/>
      <c r="AB744" s="105"/>
      <c r="AC744" s="105"/>
      <c r="AD744" s="105"/>
      <c r="AE744" s="105"/>
      <c r="AF744" s="105"/>
      <c r="AG744" s="105"/>
      <c r="AH744" s="105"/>
      <c r="AI744" s="105"/>
      <c r="AJ744" s="105"/>
      <c r="AK744" s="105"/>
      <c r="AL744" s="105"/>
      <c r="AM744" s="105"/>
      <c r="AN744" s="105"/>
      <c r="AO744" s="105"/>
      <c r="AP744" s="105"/>
      <c r="AQ744" s="105"/>
      <c r="AR744" s="105"/>
      <c r="AS744" s="105"/>
      <c r="AT744" s="105"/>
      <c r="AU744" s="105"/>
      <c r="AV744" s="105"/>
      <c r="AW744" s="105"/>
      <c r="AX744" s="105"/>
      <c r="AY744" s="105"/>
      <c r="AZ744" s="105"/>
      <c r="BA744" s="105"/>
      <c r="BB744" s="105"/>
      <c r="BC744" s="105"/>
      <c r="BD744" s="105"/>
      <c r="BE744" s="105"/>
      <c r="BF744" s="105"/>
      <c r="BG744" s="105"/>
      <c r="BH744" s="105"/>
      <c r="BI744" s="105"/>
      <c r="BJ744" s="105"/>
      <c r="BK744" s="105"/>
      <c r="BL744" s="105"/>
      <c r="BM744" s="105"/>
      <c r="BN744" s="105"/>
      <c r="BO744" s="105"/>
      <c r="BP744" s="105"/>
      <c r="BQ744" s="105"/>
      <c r="BR744" s="105"/>
      <c r="BS744" s="105"/>
      <c r="BT744" s="105"/>
      <c r="BU744" s="105"/>
      <c r="BV744" s="105"/>
      <c r="BW744" s="105"/>
      <c r="BX744" s="105"/>
      <c r="BY744" s="105"/>
      <c r="BZ744" s="105"/>
      <c r="CA744" s="105"/>
      <c r="CB744" s="105"/>
      <c r="CC744" s="105"/>
      <c r="CD744" s="105"/>
      <c r="CE744" s="105"/>
      <c r="CF744" s="105"/>
      <c r="CG744" s="105"/>
      <c r="CH744" s="105"/>
      <c r="CI744" s="105"/>
      <c r="CJ744" s="105"/>
      <c r="CK744" s="105"/>
      <c r="CL744" s="105"/>
      <c r="CM744" s="105"/>
      <c r="CN744" s="105"/>
      <c r="CO744" s="105"/>
      <c r="CP744" s="105"/>
      <c r="CQ744" s="105"/>
      <c r="CR744" s="105"/>
      <c r="CS744" s="105"/>
      <c r="CT744" s="105"/>
      <c r="CU744" s="105"/>
      <c r="CV744" s="105"/>
      <c r="CW744" s="105"/>
      <c r="CX744" s="105"/>
      <c r="CY744" s="105"/>
      <c r="CZ744" s="105"/>
      <c r="DA744" s="105"/>
    </row>
    <row r="745">
      <c r="B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c r="AA745" s="105"/>
      <c r="AB745" s="105"/>
      <c r="AC745" s="105"/>
      <c r="AD745" s="105"/>
      <c r="AE745" s="105"/>
      <c r="AF745" s="105"/>
      <c r="AG745" s="105"/>
      <c r="AH745" s="105"/>
      <c r="AI745" s="105"/>
      <c r="AJ745" s="105"/>
      <c r="AK745" s="105"/>
      <c r="AL745" s="105"/>
      <c r="AM745" s="105"/>
      <c r="AN745" s="105"/>
      <c r="AO745" s="105"/>
      <c r="AP745" s="105"/>
      <c r="AQ745" s="105"/>
      <c r="AR745" s="105"/>
      <c r="AS745" s="105"/>
      <c r="AT745" s="105"/>
      <c r="AU745" s="105"/>
      <c r="AV745" s="105"/>
      <c r="AW745" s="105"/>
      <c r="AX745" s="105"/>
      <c r="AY745" s="105"/>
      <c r="AZ745" s="105"/>
      <c r="BA745" s="105"/>
      <c r="BB745" s="105"/>
      <c r="BC745" s="105"/>
      <c r="BD745" s="105"/>
      <c r="BE745" s="105"/>
      <c r="BF745" s="105"/>
      <c r="BG745" s="105"/>
      <c r="BH745" s="105"/>
      <c r="BI745" s="105"/>
      <c r="BJ745" s="105"/>
      <c r="BK745" s="105"/>
      <c r="BL745" s="105"/>
      <c r="BM745" s="105"/>
      <c r="BN745" s="105"/>
      <c r="BO745" s="105"/>
      <c r="BP745" s="105"/>
      <c r="BQ745" s="105"/>
      <c r="BR745" s="105"/>
      <c r="BS745" s="105"/>
      <c r="BT745" s="105"/>
      <c r="BU745" s="105"/>
      <c r="BV745" s="105"/>
      <c r="BW745" s="105"/>
      <c r="BX745" s="105"/>
      <c r="BY745" s="105"/>
      <c r="BZ745" s="105"/>
      <c r="CA745" s="105"/>
      <c r="CB745" s="105"/>
      <c r="CC745" s="105"/>
      <c r="CD745" s="105"/>
      <c r="CE745" s="105"/>
      <c r="CF745" s="105"/>
      <c r="CG745" s="105"/>
      <c r="CH745" s="105"/>
      <c r="CI745" s="105"/>
      <c r="CJ745" s="105"/>
      <c r="CK745" s="105"/>
      <c r="CL745" s="105"/>
      <c r="CM745" s="105"/>
      <c r="CN745" s="105"/>
      <c r="CO745" s="105"/>
      <c r="CP745" s="105"/>
      <c r="CQ745" s="105"/>
      <c r="CR745" s="105"/>
      <c r="CS745" s="105"/>
      <c r="CT745" s="105"/>
      <c r="CU745" s="105"/>
      <c r="CV745" s="105"/>
      <c r="CW745" s="105"/>
      <c r="CX745" s="105"/>
      <c r="CY745" s="105"/>
      <c r="CZ745" s="105"/>
      <c r="DA745" s="105"/>
    </row>
    <row r="746">
      <c r="B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c r="AA746" s="105"/>
      <c r="AB746" s="105"/>
      <c r="AC746" s="105"/>
      <c r="AD746" s="105"/>
      <c r="AE746" s="105"/>
      <c r="AF746" s="105"/>
      <c r="AG746" s="105"/>
      <c r="AH746" s="105"/>
      <c r="AI746" s="105"/>
      <c r="AJ746" s="105"/>
      <c r="AK746" s="105"/>
      <c r="AL746" s="105"/>
      <c r="AM746" s="105"/>
      <c r="AN746" s="105"/>
      <c r="AO746" s="105"/>
      <c r="AP746" s="105"/>
      <c r="AQ746" s="105"/>
      <c r="AR746" s="105"/>
      <c r="AS746" s="105"/>
      <c r="AT746" s="105"/>
      <c r="AU746" s="105"/>
      <c r="AV746" s="105"/>
      <c r="AW746" s="105"/>
      <c r="AX746" s="105"/>
      <c r="AY746" s="105"/>
      <c r="AZ746" s="105"/>
      <c r="BA746" s="105"/>
      <c r="BB746" s="105"/>
      <c r="BC746" s="105"/>
      <c r="BD746" s="105"/>
      <c r="BE746" s="105"/>
      <c r="BF746" s="105"/>
      <c r="BG746" s="105"/>
      <c r="BH746" s="105"/>
      <c r="BI746" s="105"/>
      <c r="BJ746" s="105"/>
      <c r="BK746" s="105"/>
      <c r="BL746" s="105"/>
      <c r="BM746" s="105"/>
      <c r="BN746" s="105"/>
      <c r="BO746" s="105"/>
      <c r="BP746" s="105"/>
      <c r="BQ746" s="105"/>
      <c r="BR746" s="105"/>
      <c r="BS746" s="105"/>
      <c r="BT746" s="105"/>
      <c r="BU746" s="105"/>
      <c r="BV746" s="105"/>
      <c r="BW746" s="105"/>
      <c r="BX746" s="105"/>
      <c r="BY746" s="105"/>
      <c r="BZ746" s="105"/>
      <c r="CA746" s="105"/>
      <c r="CB746" s="105"/>
      <c r="CC746" s="105"/>
      <c r="CD746" s="105"/>
      <c r="CE746" s="105"/>
      <c r="CF746" s="105"/>
      <c r="CG746" s="105"/>
      <c r="CH746" s="105"/>
      <c r="CI746" s="105"/>
      <c r="CJ746" s="105"/>
      <c r="CK746" s="105"/>
      <c r="CL746" s="105"/>
      <c r="CM746" s="105"/>
      <c r="CN746" s="105"/>
      <c r="CO746" s="105"/>
      <c r="CP746" s="105"/>
      <c r="CQ746" s="105"/>
      <c r="CR746" s="105"/>
      <c r="CS746" s="105"/>
      <c r="CT746" s="105"/>
      <c r="CU746" s="105"/>
      <c r="CV746" s="105"/>
      <c r="CW746" s="105"/>
      <c r="CX746" s="105"/>
      <c r="CY746" s="105"/>
      <c r="CZ746" s="105"/>
      <c r="DA746" s="105"/>
    </row>
    <row r="747">
      <c r="B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c r="AA747" s="105"/>
      <c r="AB747" s="105"/>
      <c r="AC747" s="105"/>
      <c r="AD747" s="105"/>
      <c r="AE747" s="105"/>
      <c r="AF747" s="105"/>
      <c r="AG747" s="105"/>
      <c r="AH747" s="105"/>
      <c r="AI747" s="105"/>
      <c r="AJ747" s="105"/>
      <c r="AK747" s="105"/>
      <c r="AL747" s="105"/>
      <c r="AM747" s="105"/>
      <c r="AN747" s="105"/>
      <c r="AO747" s="105"/>
      <c r="AP747" s="105"/>
      <c r="AQ747" s="105"/>
      <c r="AR747" s="105"/>
      <c r="AS747" s="105"/>
      <c r="AT747" s="105"/>
      <c r="AU747" s="105"/>
      <c r="AV747" s="105"/>
      <c r="AW747" s="105"/>
      <c r="AX747" s="105"/>
      <c r="AY747" s="105"/>
      <c r="AZ747" s="105"/>
      <c r="BA747" s="105"/>
      <c r="BB747" s="105"/>
      <c r="BC747" s="105"/>
      <c r="BD747" s="105"/>
      <c r="BE747" s="105"/>
      <c r="BF747" s="105"/>
      <c r="BG747" s="105"/>
      <c r="BH747" s="105"/>
      <c r="BI747" s="105"/>
      <c r="BJ747" s="105"/>
      <c r="BK747" s="105"/>
      <c r="BL747" s="105"/>
      <c r="BM747" s="105"/>
      <c r="BN747" s="105"/>
      <c r="BO747" s="105"/>
      <c r="BP747" s="105"/>
      <c r="BQ747" s="105"/>
      <c r="BR747" s="105"/>
      <c r="BS747" s="105"/>
      <c r="BT747" s="105"/>
      <c r="BU747" s="105"/>
      <c r="BV747" s="105"/>
      <c r="BW747" s="105"/>
      <c r="BX747" s="105"/>
      <c r="BY747" s="105"/>
      <c r="BZ747" s="105"/>
      <c r="CA747" s="105"/>
      <c r="CB747" s="105"/>
      <c r="CC747" s="105"/>
      <c r="CD747" s="105"/>
      <c r="CE747" s="105"/>
      <c r="CF747" s="105"/>
      <c r="CG747" s="105"/>
      <c r="CH747" s="105"/>
      <c r="CI747" s="105"/>
      <c r="CJ747" s="105"/>
      <c r="CK747" s="105"/>
      <c r="CL747" s="105"/>
      <c r="CM747" s="105"/>
      <c r="CN747" s="105"/>
      <c r="CO747" s="105"/>
      <c r="CP747" s="105"/>
      <c r="CQ747" s="105"/>
      <c r="CR747" s="105"/>
      <c r="CS747" s="105"/>
      <c r="CT747" s="105"/>
      <c r="CU747" s="105"/>
      <c r="CV747" s="105"/>
      <c r="CW747" s="105"/>
      <c r="CX747" s="105"/>
      <c r="CY747" s="105"/>
      <c r="CZ747" s="105"/>
      <c r="DA747" s="105"/>
    </row>
    <row r="748">
      <c r="B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c r="AA748" s="105"/>
      <c r="AB748" s="105"/>
      <c r="AC748" s="105"/>
      <c r="AD748" s="105"/>
      <c r="AE748" s="105"/>
      <c r="AF748" s="105"/>
      <c r="AG748" s="105"/>
      <c r="AH748" s="105"/>
      <c r="AI748" s="105"/>
      <c r="AJ748" s="105"/>
      <c r="AK748" s="105"/>
      <c r="AL748" s="105"/>
      <c r="AM748" s="105"/>
      <c r="AN748" s="105"/>
      <c r="AO748" s="105"/>
      <c r="AP748" s="105"/>
      <c r="AQ748" s="105"/>
      <c r="AR748" s="105"/>
      <c r="AS748" s="105"/>
      <c r="AT748" s="105"/>
      <c r="AU748" s="105"/>
      <c r="AV748" s="105"/>
      <c r="AW748" s="105"/>
      <c r="AX748" s="105"/>
      <c r="AY748" s="105"/>
      <c r="AZ748" s="105"/>
      <c r="BA748" s="105"/>
      <c r="BB748" s="105"/>
      <c r="BC748" s="105"/>
      <c r="BD748" s="105"/>
      <c r="BE748" s="105"/>
      <c r="BF748" s="105"/>
      <c r="BG748" s="105"/>
      <c r="BH748" s="105"/>
      <c r="BI748" s="105"/>
      <c r="BJ748" s="105"/>
      <c r="BK748" s="105"/>
      <c r="BL748" s="105"/>
      <c r="BM748" s="105"/>
      <c r="BN748" s="105"/>
      <c r="BO748" s="105"/>
      <c r="BP748" s="105"/>
      <c r="BQ748" s="105"/>
      <c r="BR748" s="105"/>
      <c r="BS748" s="105"/>
      <c r="BT748" s="105"/>
      <c r="BU748" s="105"/>
      <c r="BV748" s="105"/>
      <c r="BW748" s="105"/>
      <c r="BX748" s="105"/>
      <c r="BY748" s="105"/>
      <c r="BZ748" s="105"/>
      <c r="CA748" s="105"/>
      <c r="CB748" s="105"/>
      <c r="CC748" s="105"/>
      <c r="CD748" s="105"/>
      <c r="CE748" s="105"/>
      <c r="CF748" s="105"/>
      <c r="CG748" s="105"/>
      <c r="CH748" s="105"/>
      <c r="CI748" s="105"/>
      <c r="CJ748" s="105"/>
      <c r="CK748" s="105"/>
      <c r="CL748" s="105"/>
      <c r="CM748" s="105"/>
      <c r="CN748" s="105"/>
      <c r="CO748" s="105"/>
      <c r="CP748" s="105"/>
      <c r="CQ748" s="105"/>
      <c r="CR748" s="105"/>
      <c r="CS748" s="105"/>
      <c r="CT748" s="105"/>
      <c r="CU748" s="105"/>
      <c r="CV748" s="105"/>
      <c r="CW748" s="105"/>
      <c r="CX748" s="105"/>
      <c r="CY748" s="105"/>
      <c r="CZ748" s="105"/>
      <c r="DA748" s="105"/>
    </row>
    <row r="749">
      <c r="B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c r="AA749" s="105"/>
      <c r="AB749" s="105"/>
      <c r="AC749" s="105"/>
      <c r="AD749" s="105"/>
      <c r="AE749" s="105"/>
      <c r="AF749" s="105"/>
      <c r="AG749" s="105"/>
      <c r="AH749" s="105"/>
      <c r="AI749" s="105"/>
      <c r="AJ749" s="105"/>
      <c r="AK749" s="105"/>
      <c r="AL749" s="105"/>
      <c r="AM749" s="105"/>
      <c r="AN749" s="105"/>
      <c r="AO749" s="105"/>
      <c r="AP749" s="105"/>
      <c r="AQ749" s="105"/>
      <c r="AR749" s="105"/>
      <c r="AS749" s="105"/>
      <c r="AT749" s="105"/>
      <c r="AU749" s="105"/>
      <c r="AV749" s="105"/>
      <c r="AW749" s="105"/>
      <c r="AX749" s="105"/>
      <c r="AY749" s="105"/>
      <c r="AZ749" s="105"/>
      <c r="BA749" s="105"/>
      <c r="BB749" s="105"/>
      <c r="BC749" s="105"/>
      <c r="BD749" s="105"/>
      <c r="BE749" s="105"/>
      <c r="BF749" s="105"/>
      <c r="BG749" s="105"/>
      <c r="BH749" s="105"/>
      <c r="BI749" s="105"/>
      <c r="BJ749" s="105"/>
      <c r="BK749" s="105"/>
      <c r="BL749" s="105"/>
      <c r="BM749" s="105"/>
      <c r="BN749" s="105"/>
      <c r="BO749" s="105"/>
      <c r="BP749" s="105"/>
      <c r="BQ749" s="105"/>
      <c r="BR749" s="105"/>
      <c r="BS749" s="105"/>
      <c r="BT749" s="105"/>
      <c r="BU749" s="105"/>
      <c r="BV749" s="105"/>
      <c r="BW749" s="105"/>
      <c r="BX749" s="105"/>
      <c r="BY749" s="105"/>
      <c r="BZ749" s="105"/>
      <c r="CA749" s="105"/>
      <c r="CB749" s="105"/>
      <c r="CC749" s="105"/>
      <c r="CD749" s="105"/>
      <c r="CE749" s="105"/>
      <c r="CF749" s="105"/>
      <c r="CG749" s="105"/>
      <c r="CH749" s="105"/>
      <c r="CI749" s="105"/>
      <c r="CJ749" s="105"/>
      <c r="CK749" s="105"/>
      <c r="CL749" s="105"/>
      <c r="CM749" s="105"/>
      <c r="CN749" s="105"/>
      <c r="CO749" s="105"/>
      <c r="CP749" s="105"/>
      <c r="CQ749" s="105"/>
      <c r="CR749" s="105"/>
      <c r="CS749" s="105"/>
      <c r="CT749" s="105"/>
      <c r="CU749" s="105"/>
      <c r="CV749" s="105"/>
      <c r="CW749" s="105"/>
      <c r="CX749" s="105"/>
      <c r="CY749" s="105"/>
      <c r="CZ749" s="105"/>
      <c r="DA749" s="105"/>
    </row>
    <row r="750">
      <c r="B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c r="AA750" s="105"/>
      <c r="AB750" s="105"/>
      <c r="AC750" s="105"/>
      <c r="AD750" s="105"/>
      <c r="AE750" s="105"/>
      <c r="AF750" s="105"/>
      <c r="AG750" s="105"/>
      <c r="AH750" s="105"/>
      <c r="AI750" s="105"/>
      <c r="AJ750" s="105"/>
      <c r="AK750" s="105"/>
      <c r="AL750" s="105"/>
      <c r="AM750" s="105"/>
      <c r="AN750" s="105"/>
      <c r="AO750" s="105"/>
      <c r="AP750" s="105"/>
      <c r="AQ750" s="105"/>
      <c r="AR750" s="105"/>
      <c r="AS750" s="105"/>
      <c r="AT750" s="105"/>
      <c r="AU750" s="105"/>
      <c r="AV750" s="105"/>
      <c r="AW750" s="105"/>
      <c r="AX750" s="105"/>
      <c r="AY750" s="105"/>
      <c r="AZ750" s="105"/>
      <c r="BA750" s="105"/>
      <c r="BB750" s="105"/>
      <c r="BC750" s="105"/>
      <c r="BD750" s="105"/>
      <c r="BE750" s="105"/>
      <c r="BF750" s="105"/>
      <c r="BG750" s="105"/>
      <c r="BH750" s="105"/>
      <c r="BI750" s="105"/>
      <c r="BJ750" s="105"/>
      <c r="BK750" s="105"/>
      <c r="BL750" s="105"/>
      <c r="BM750" s="105"/>
      <c r="BN750" s="105"/>
      <c r="BO750" s="105"/>
      <c r="BP750" s="105"/>
      <c r="BQ750" s="105"/>
      <c r="BR750" s="105"/>
      <c r="BS750" s="105"/>
      <c r="BT750" s="105"/>
      <c r="BU750" s="105"/>
      <c r="BV750" s="105"/>
      <c r="BW750" s="105"/>
      <c r="BX750" s="105"/>
      <c r="BY750" s="105"/>
      <c r="BZ750" s="105"/>
      <c r="CA750" s="105"/>
      <c r="CB750" s="105"/>
      <c r="CC750" s="105"/>
      <c r="CD750" s="105"/>
      <c r="CE750" s="105"/>
      <c r="CF750" s="105"/>
      <c r="CG750" s="105"/>
      <c r="CH750" s="105"/>
      <c r="CI750" s="105"/>
      <c r="CJ750" s="105"/>
      <c r="CK750" s="105"/>
      <c r="CL750" s="105"/>
      <c r="CM750" s="105"/>
      <c r="CN750" s="105"/>
      <c r="CO750" s="105"/>
      <c r="CP750" s="105"/>
      <c r="CQ750" s="105"/>
      <c r="CR750" s="105"/>
      <c r="CS750" s="105"/>
      <c r="CT750" s="105"/>
      <c r="CU750" s="105"/>
      <c r="CV750" s="105"/>
      <c r="CW750" s="105"/>
      <c r="CX750" s="105"/>
      <c r="CY750" s="105"/>
      <c r="CZ750" s="105"/>
      <c r="DA750" s="105"/>
    </row>
    <row r="751">
      <c r="B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c r="AA751" s="105"/>
      <c r="AB751" s="105"/>
      <c r="AC751" s="105"/>
      <c r="AD751" s="105"/>
      <c r="AE751" s="105"/>
      <c r="AF751" s="105"/>
      <c r="AG751" s="105"/>
      <c r="AH751" s="105"/>
      <c r="AI751" s="105"/>
      <c r="AJ751" s="105"/>
      <c r="AK751" s="105"/>
      <c r="AL751" s="105"/>
      <c r="AM751" s="105"/>
      <c r="AN751" s="105"/>
      <c r="AO751" s="105"/>
      <c r="AP751" s="105"/>
      <c r="AQ751" s="105"/>
      <c r="AR751" s="105"/>
      <c r="AS751" s="105"/>
      <c r="AT751" s="105"/>
      <c r="AU751" s="105"/>
      <c r="AV751" s="105"/>
      <c r="AW751" s="105"/>
      <c r="AX751" s="105"/>
      <c r="AY751" s="105"/>
      <c r="AZ751" s="105"/>
      <c r="BA751" s="105"/>
      <c r="BB751" s="105"/>
      <c r="BC751" s="105"/>
      <c r="BD751" s="105"/>
      <c r="BE751" s="105"/>
      <c r="BF751" s="105"/>
      <c r="BG751" s="105"/>
      <c r="BH751" s="105"/>
      <c r="BI751" s="105"/>
      <c r="BJ751" s="105"/>
      <c r="BK751" s="105"/>
      <c r="BL751" s="105"/>
      <c r="BM751" s="105"/>
      <c r="BN751" s="105"/>
      <c r="BO751" s="105"/>
      <c r="BP751" s="105"/>
      <c r="BQ751" s="105"/>
      <c r="BR751" s="105"/>
      <c r="BS751" s="105"/>
      <c r="BT751" s="105"/>
      <c r="BU751" s="105"/>
      <c r="BV751" s="105"/>
      <c r="BW751" s="105"/>
      <c r="BX751" s="105"/>
      <c r="BY751" s="105"/>
      <c r="BZ751" s="105"/>
      <c r="CA751" s="105"/>
      <c r="CB751" s="105"/>
      <c r="CC751" s="105"/>
      <c r="CD751" s="105"/>
      <c r="CE751" s="105"/>
      <c r="CF751" s="105"/>
      <c r="CG751" s="105"/>
      <c r="CH751" s="105"/>
      <c r="CI751" s="105"/>
      <c r="CJ751" s="105"/>
      <c r="CK751" s="105"/>
      <c r="CL751" s="105"/>
      <c r="CM751" s="105"/>
      <c r="CN751" s="105"/>
      <c r="CO751" s="105"/>
      <c r="CP751" s="105"/>
      <c r="CQ751" s="105"/>
      <c r="CR751" s="105"/>
      <c r="CS751" s="105"/>
      <c r="CT751" s="105"/>
      <c r="CU751" s="105"/>
      <c r="CV751" s="105"/>
      <c r="CW751" s="105"/>
      <c r="CX751" s="105"/>
      <c r="CY751" s="105"/>
      <c r="CZ751" s="105"/>
      <c r="DA751" s="105"/>
    </row>
    <row r="752">
      <c r="B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c r="AA752" s="105"/>
      <c r="AB752" s="105"/>
      <c r="AC752" s="105"/>
      <c r="AD752" s="105"/>
      <c r="AE752" s="105"/>
      <c r="AF752" s="105"/>
      <c r="AG752" s="105"/>
      <c r="AH752" s="105"/>
      <c r="AI752" s="105"/>
      <c r="AJ752" s="105"/>
      <c r="AK752" s="105"/>
      <c r="AL752" s="105"/>
      <c r="AM752" s="105"/>
      <c r="AN752" s="105"/>
      <c r="AO752" s="105"/>
      <c r="AP752" s="105"/>
      <c r="AQ752" s="105"/>
      <c r="AR752" s="105"/>
      <c r="AS752" s="105"/>
      <c r="AT752" s="105"/>
      <c r="AU752" s="105"/>
      <c r="AV752" s="105"/>
      <c r="AW752" s="105"/>
      <c r="AX752" s="105"/>
      <c r="AY752" s="105"/>
      <c r="AZ752" s="105"/>
      <c r="BA752" s="105"/>
      <c r="BB752" s="105"/>
      <c r="BC752" s="105"/>
      <c r="BD752" s="105"/>
      <c r="BE752" s="105"/>
      <c r="BF752" s="105"/>
      <c r="BG752" s="105"/>
      <c r="BH752" s="105"/>
      <c r="BI752" s="105"/>
      <c r="BJ752" s="105"/>
      <c r="BK752" s="105"/>
      <c r="BL752" s="105"/>
      <c r="BM752" s="105"/>
      <c r="BN752" s="105"/>
      <c r="BO752" s="105"/>
      <c r="BP752" s="105"/>
      <c r="BQ752" s="105"/>
      <c r="BR752" s="105"/>
      <c r="BS752" s="105"/>
      <c r="BT752" s="105"/>
      <c r="BU752" s="105"/>
      <c r="BV752" s="105"/>
      <c r="BW752" s="105"/>
      <c r="BX752" s="105"/>
      <c r="BY752" s="105"/>
      <c r="BZ752" s="105"/>
      <c r="CA752" s="105"/>
      <c r="CB752" s="105"/>
      <c r="CC752" s="105"/>
      <c r="CD752" s="105"/>
      <c r="CE752" s="105"/>
      <c r="CF752" s="105"/>
      <c r="CG752" s="105"/>
      <c r="CH752" s="105"/>
      <c r="CI752" s="105"/>
      <c r="CJ752" s="105"/>
      <c r="CK752" s="105"/>
      <c r="CL752" s="105"/>
      <c r="CM752" s="105"/>
      <c r="CN752" s="105"/>
      <c r="CO752" s="105"/>
      <c r="CP752" s="105"/>
      <c r="CQ752" s="105"/>
      <c r="CR752" s="105"/>
      <c r="CS752" s="105"/>
      <c r="CT752" s="105"/>
      <c r="CU752" s="105"/>
      <c r="CV752" s="105"/>
      <c r="CW752" s="105"/>
      <c r="CX752" s="105"/>
      <c r="CY752" s="105"/>
      <c r="CZ752" s="105"/>
      <c r="DA752" s="105"/>
    </row>
    <row r="753">
      <c r="B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c r="AA753" s="105"/>
      <c r="AB753" s="105"/>
      <c r="AC753" s="105"/>
      <c r="AD753" s="105"/>
      <c r="AE753" s="105"/>
      <c r="AF753" s="105"/>
      <c r="AG753" s="105"/>
      <c r="AH753" s="105"/>
      <c r="AI753" s="105"/>
      <c r="AJ753" s="105"/>
      <c r="AK753" s="105"/>
      <c r="AL753" s="105"/>
      <c r="AM753" s="105"/>
      <c r="AN753" s="105"/>
      <c r="AO753" s="105"/>
      <c r="AP753" s="105"/>
      <c r="AQ753" s="105"/>
      <c r="AR753" s="105"/>
      <c r="AS753" s="105"/>
      <c r="AT753" s="105"/>
      <c r="AU753" s="105"/>
      <c r="AV753" s="105"/>
      <c r="AW753" s="105"/>
      <c r="AX753" s="105"/>
      <c r="AY753" s="105"/>
      <c r="AZ753" s="105"/>
      <c r="BA753" s="105"/>
      <c r="BB753" s="105"/>
      <c r="BC753" s="105"/>
      <c r="BD753" s="105"/>
      <c r="BE753" s="105"/>
      <c r="BF753" s="105"/>
      <c r="BG753" s="105"/>
      <c r="BH753" s="105"/>
      <c r="BI753" s="105"/>
      <c r="BJ753" s="105"/>
      <c r="BK753" s="105"/>
      <c r="BL753" s="105"/>
      <c r="BM753" s="105"/>
      <c r="BN753" s="105"/>
      <c r="BO753" s="105"/>
      <c r="BP753" s="105"/>
      <c r="BQ753" s="105"/>
      <c r="BR753" s="105"/>
      <c r="BS753" s="105"/>
      <c r="BT753" s="105"/>
      <c r="BU753" s="105"/>
      <c r="BV753" s="105"/>
      <c r="BW753" s="105"/>
      <c r="BX753" s="105"/>
      <c r="BY753" s="105"/>
      <c r="BZ753" s="105"/>
      <c r="CA753" s="105"/>
      <c r="CB753" s="105"/>
      <c r="CC753" s="105"/>
      <c r="CD753" s="105"/>
      <c r="CE753" s="105"/>
      <c r="CF753" s="105"/>
      <c r="CG753" s="105"/>
      <c r="CH753" s="105"/>
      <c r="CI753" s="105"/>
      <c r="CJ753" s="105"/>
      <c r="CK753" s="105"/>
      <c r="CL753" s="105"/>
      <c r="CM753" s="105"/>
      <c r="CN753" s="105"/>
      <c r="CO753" s="105"/>
      <c r="CP753" s="105"/>
      <c r="CQ753" s="105"/>
      <c r="CR753" s="105"/>
      <c r="CS753" s="105"/>
      <c r="CT753" s="105"/>
      <c r="CU753" s="105"/>
      <c r="CV753" s="105"/>
      <c r="CW753" s="105"/>
      <c r="CX753" s="105"/>
      <c r="CY753" s="105"/>
      <c r="CZ753" s="105"/>
      <c r="DA753" s="105"/>
    </row>
    <row r="754">
      <c r="B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c r="AA754" s="105"/>
      <c r="AB754" s="105"/>
      <c r="AC754" s="105"/>
      <c r="AD754" s="105"/>
      <c r="AE754" s="105"/>
      <c r="AF754" s="105"/>
      <c r="AG754" s="105"/>
      <c r="AH754" s="105"/>
      <c r="AI754" s="105"/>
      <c r="AJ754" s="105"/>
      <c r="AK754" s="105"/>
      <c r="AL754" s="105"/>
      <c r="AM754" s="105"/>
      <c r="AN754" s="105"/>
      <c r="AO754" s="105"/>
      <c r="AP754" s="105"/>
      <c r="AQ754" s="105"/>
      <c r="AR754" s="105"/>
      <c r="AS754" s="105"/>
      <c r="AT754" s="105"/>
      <c r="AU754" s="105"/>
      <c r="AV754" s="105"/>
      <c r="AW754" s="105"/>
      <c r="AX754" s="105"/>
      <c r="AY754" s="105"/>
      <c r="AZ754" s="105"/>
      <c r="BA754" s="105"/>
      <c r="BB754" s="105"/>
      <c r="BC754" s="105"/>
      <c r="BD754" s="105"/>
      <c r="BE754" s="105"/>
      <c r="BF754" s="105"/>
      <c r="BG754" s="105"/>
      <c r="BH754" s="105"/>
      <c r="BI754" s="105"/>
      <c r="BJ754" s="105"/>
      <c r="BK754" s="105"/>
      <c r="BL754" s="105"/>
      <c r="BM754" s="105"/>
      <c r="BN754" s="105"/>
      <c r="BO754" s="105"/>
      <c r="BP754" s="105"/>
      <c r="BQ754" s="105"/>
      <c r="BR754" s="105"/>
      <c r="BS754" s="105"/>
      <c r="BT754" s="105"/>
      <c r="BU754" s="105"/>
      <c r="BV754" s="105"/>
      <c r="BW754" s="105"/>
      <c r="BX754" s="105"/>
      <c r="BY754" s="105"/>
      <c r="BZ754" s="105"/>
      <c r="CA754" s="105"/>
      <c r="CB754" s="105"/>
      <c r="CC754" s="105"/>
      <c r="CD754" s="105"/>
      <c r="CE754" s="105"/>
      <c r="CF754" s="105"/>
      <c r="CG754" s="105"/>
      <c r="CH754" s="105"/>
      <c r="CI754" s="105"/>
      <c r="CJ754" s="105"/>
      <c r="CK754" s="105"/>
      <c r="CL754" s="105"/>
      <c r="CM754" s="105"/>
      <c r="CN754" s="105"/>
      <c r="CO754" s="105"/>
      <c r="CP754" s="105"/>
      <c r="CQ754" s="105"/>
      <c r="CR754" s="105"/>
      <c r="CS754" s="105"/>
      <c r="CT754" s="105"/>
      <c r="CU754" s="105"/>
      <c r="CV754" s="105"/>
      <c r="CW754" s="105"/>
      <c r="CX754" s="105"/>
      <c r="CY754" s="105"/>
      <c r="CZ754" s="105"/>
      <c r="DA754" s="105"/>
    </row>
    <row r="755">
      <c r="B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c r="AA755" s="105"/>
      <c r="AB755" s="105"/>
      <c r="AC755" s="105"/>
      <c r="AD755" s="105"/>
      <c r="AE755" s="105"/>
      <c r="AF755" s="105"/>
      <c r="AG755" s="105"/>
      <c r="AH755" s="105"/>
      <c r="AI755" s="105"/>
      <c r="AJ755" s="105"/>
      <c r="AK755" s="105"/>
      <c r="AL755" s="105"/>
      <c r="AM755" s="105"/>
      <c r="AN755" s="105"/>
      <c r="AO755" s="105"/>
      <c r="AP755" s="105"/>
      <c r="AQ755" s="105"/>
      <c r="AR755" s="105"/>
      <c r="AS755" s="105"/>
      <c r="AT755" s="105"/>
      <c r="AU755" s="105"/>
      <c r="AV755" s="105"/>
      <c r="AW755" s="105"/>
      <c r="AX755" s="105"/>
      <c r="AY755" s="105"/>
      <c r="AZ755" s="105"/>
      <c r="BA755" s="105"/>
      <c r="BB755" s="105"/>
      <c r="BC755" s="105"/>
      <c r="BD755" s="105"/>
      <c r="BE755" s="105"/>
      <c r="BF755" s="105"/>
      <c r="BG755" s="105"/>
      <c r="BH755" s="105"/>
      <c r="BI755" s="105"/>
      <c r="BJ755" s="105"/>
      <c r="BK755" s="105"/>
      <c r="BL755" s="105"/>
      <c r="BM755" s="105"/>
      <c r="BN755" s="105"/>
      <c r="BO755" s="105"/>
      <c r="BP755" s="105"/>
      <c r="BQ755" s="105"/>
      <c r="BR755" s="105"/>
      <c r="BS755" s="105"/>
      <c r="BT755" s="105"/>
      <c r="BU755" s="105"/>
      <c r="BV755" s="105"/>
      <c r="BW755" s="105"/>
      <c r="BX755" s="105"/>
      <c r="BY755" s="105"/>
      <c r="BZ755" s="105"/>
      <c r="CA755" s="105"/>
      <c r="CB755" s="105"/>
      <c r="CC755" s="105"/>
      <c r="CD755" s="105"/>
      <c r="CE755" s="105"/>
      <c r="CF755" s="105"/>
      <c r="CG755" s="105"/>
      <c r="CH755" s="105"/>
      <c r="CI755" s="105"/>
      <c r="CJ755" s="105"/>
      <c r="CK755" s="105"/>
      <c r="CL755" s="105"/>
      <c r="CM755" s="105"/>
      <c r="CN755" s="105"/>
      <c r="CO755" s="105"/>
      <c r="CP755" s="105"/>
      <c r="CQ755" s="105"/>
      <c r="CR755" s="105"/>
      <c r="CS755" s="105"/>
      <c r="CT755" s="105"/>
      <c r="CU755" s="105"/>
      <c r="CV755" s="105"/>
      <c r="CW755" s="105"/>
      <c r="CX755" s="105"/>
      <c r="CY755" s="105"/>
      <c r="CZ755" s="105"/>
      <c r="DA755" s="105"/>
    </row>
    <row r="756">
      <c r="B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c r="AA756" s="105"/>
      <c r="AB756" s="105"/>
      <c r="AC756" s="105"/>
      <c r="AD756" s="105"/>
      <c r="AE756" s="105"/>
      <c r="AF756" s="105"/>
      <c r="AG756" s="105"/>
      <c r="AH756" s="105"/>
      <c r="AI756" s="105"/>
      <c r="AJ756" s="105"/>
      <c r="AK756" s="105"/>
      <c r="AL756" s="105"/>
      <c r="AM756" s="105"/>
      <c r="AN756" s="105"/>
      <c r="AO756" s="105"/>
      <c r="AP756" s="105"/>
      <c r="AQ756" s="105"/>
      <c r="AR756" s="105"/>
      <c r="AS756" s="105"/>
      <c r="AT756" s="105"/>
      <c r="AU756" s="105"/>
      <c r="AV756" s="105"/>
      <c r="AW756" s="105"/>
      <c r="AX756" s="105"/>
      <c r="AY756" s="105"/>
      <c r="AZ756" s="105"/>
      <c r="BA756" s="105"/>
      <c r="BB756" s="105"/>
      <c r="BC756" s="105"/>
      <c r="BD756" s="105"/>
      <c r="BE756" s="105"/>
      <c r="BF756" s="105"/>
      <c r="BG756" s="105"/>
      <c r="BH756" s="105"/>
      <c r="BI756" s="105"/>
      <c r="BJ756" s="105"/>
      <c r="BK756" s="105"/>
      <c r="BL756" s="105"/>
      <c r="BM756" s="105"/>
      <c r="BN756" s="105"/>
      <c r="BO756" s="105"/>
      <c r="BP756" s="105"/>
      <c r="BQ756" s="105"/>
      <c r="BR756" s="105"/>
      <c r="BS756" s="105"/>
      <c r="BT756" s="105"/>
      <c r="BU756" s="105"/>
      <c r="BV756" s="105"/>
      <c r="BW756" s="105"/>
      <c r="BX756" s="105"/>
      <c r="BY756" s="105"/>
      <c r="BZ756" s="105"/>
      <c r="CA756" s="105"/>
      <c r="CB756" s="105"/>
      <c r="CC756" s="105"/>
      <c r="CD756" s="105"/>
      <c r="CE756" s="105"/>
      <c r="CF756" s="105"/>
      <c r="CG756" s="105"/>
      <c r="CH756" s="105"/>
      <c r="CI756" s="105"/>
      <c r="CJ756" s="105"/>
      <c r="CK756" s="105"/>
      <c r="CL756" s="105"/>
      <c r="CM756" s="105"/>
      <c r="CN756" s="105"/>
      <c r="CO756" s="105"/>
      <c r="CP756" s="105"/>
      <c r="CQ756" s="105"/>
      <c r="CR756" s="105"/>
      <c r="CS756" s="105"/>
      <c r="CT756" s="105"/>
      <c r="CU756" s="105"/>
      <c r="CV756" s="105"/>
      <c r="CW756" s="105"/>
      <c r="CX756" s="105"/>
      <c r="CY756" s="105"/>
      <c r="CZ756" s="105"/>
      <c r="DA756" s="105"/>
    </row>
    <row r="757">
      <c r="B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c r="AA757" s="105"/>
      <c r="AB757" s="105"/>
      <c r="AC757" s="105"/>
      <c r="AD757" s="105"/>
      <c r="AE757" s="105"/>
      <c r="AF757" s="105"/>
      <c r="AG757" s="105"/>
      <c r="AH757" s="105"/>
      <c r="AI757" s="105"/>
      <c r="AJ757" s="105"/>
      <c r="AK757" s="105"/>
      <c r="AL757" s="105"/>
      <c r="AM757" s="105"/>
      <c r="AN757" s="105"/>
      <c r="AO757" s="105"/>
      <c r="AP757" s="105"/>
      <c r="AQ757" s="105"/>
      <c r="AR757" s="105"/>
      <c r="AS757" s="105"/>
      <c r="AT757" s="105"/>
      <c r="AU757" s="105"/>
      <c r="AV757" s="105"/>
      <c r="AW757" s="105"/>
      <c r="AX757" s="105"/>
      <c r="AY757" s="105"/>
      <c r="AZ757" s="105"/>
      <c r="BA757" s="105"/>
      <c r="BB757" s="105"/>
      <c r="BC757" s="105"/>
      <c r="BD757" s="105"/>
      <c r="BE757" s="105"/>
      <c r="BF757" s="105"/>
      <c r="BG757" s="105"/>
      <c r="BH757" s="105"/>
      <c r="BI757" s="105"/>
      <c r="BJ757" s="105"/>
      <c r="BK757" s="105"/>
      <c r="BL757" s="105"/>
      <c r="BM757" s="105"/>
      <c r="BN757" s="105"/>
      <c r="BO757" s="105"/>
      <c r="BP757" s="105"/>
      <c r="BQ757" s="105"/>
      <c r="BR757" s="105"/>
      <c r="BS757" s="105"/>
      <c r="BT757" s="105"/>
      <c r="BU757" s="105"/>
      <c r="BV757" s="105"/>
      <c r="BW757" s="105"/>
      <c r="BX757" s="105"/>
      <c r="BY757" s="105"/>
      <c r="BZ757" s="105"/>
      <c r="CA757" s="105"/>
      <c r="CB757" s="105"/>
      <c r="CC757" s="105"/>
      <c r="CD757" s="105"/>
      <c r="CE757" s="105"/>
      <c r="CF757" s="105"/>
      <c r="CG757" s="105"/>
      <c r="CH757" s="105"/>
      <c r="CI757" s="105"/>
      <c r="CJ757" s="105"/>
      <c r="CK757" s="105"/>
      <c r="CL757" s="105"/>
      <c r="CM757" s="105"/>
      <c r="CN757" s="105"/>
      <c r="CO757" s="105"/>
      <c r="CP757" s="105"/>
      <c r="CQ757" s="105"/>
      <c r="CR757" s="105"/>
      <c r="CS757" s="105"/>
      <c r="CT757" s="105"/>
      <c r="CU757" s="105"/>
      <c r="CV757" s="105"/>
      <c r="CW757" s="105"/>
      <c r="CX757" s="105"/>
      <c r="CY757" s="105"/>
      <c r="CZ757" s="105"/>
      <c r="DA757" s="105"/>
    </row>
    <row r="758">
      <c r="B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c r="AA758" s="105"/>
      <c r="AB758" s="105"/>
      <c r="AC758" s="105"/>
      <c r="AD758" s="105"/>
      <c r="AE758" s="105"/>
      <c r="AF758" s="105"/>
      <c r="AG758" s="105"/>
      <c r="AH758" s="105"/>
      <c r="AI758" s="105"/>
      <c r="AJ758" s="105"/>
      <c r="AK758" s="105"/>
      <c r="AL758" s="105"/>
      <c r="AM758" s="105"/>
      <c r="AN758" s="105"/>
      <c r="AO758" s="105"/>
      <c r="AP758" s="105"/>
      <c r="AQ758" s="105"/>
      <c r="AR758" s="105"/>
      <c r="AS758" s="105"/>
      <c r="AT758" s="105"/>
      <c r="AU758" s="105"/>
      <c r="AV758" s="105"/>
      <c r="AW758" s="105"/>
      <c r="AX758" s="105"/>
      <c r="AY758" s="105"/>
      <c r="AZ758" s="105"/>
      <c r="BA758" s="105"/>
      <c r="BB758" s="105"/>
      <c r="BC758" s="105"/>
      <c r="BD758" s="105"/>
      <c r="BE758" s="105"/>
      <c r="BF758" s="105"/>
      <c r="BG758" s="105"/>
      <c r="BH758" s="105"/>
      <c r="BI758" s="105"/>
      <c r="BJ758" s="105"/>
      <c r="BK758" s="105"/>
      <c r="BL758" s="105"/>
      <c r="BM758" s="105"/>
      <c r="BN758" s="105"/>
      <c r="BO758" s="105"/>
      <c r="BP758" s="105"/>
      <c r="BQ758" s="105"/>
      <c r="BR758" s="105"/>
      <c r="BS758" s="105"/>
      <c r="BT758" s="105"/>
      <c r="BU758" s="105"/>
      <c r="BV758" s="105"/>
      <c r="BW758" s="105"/>
      <c r="BX758" s="105"/>
      <c r="BY758" s="105"/>
      <c r="BZ758" s="105"/>
      <c r="CA758" s="105"/>
      <c r="CB758" s="105"/>
      <c r="CC758" s="105"/>
      <c r="CD758" s="105"/>
      <c r="CE758" s="105"/>
      <c r="CF758" s="105"/>
      <c r="CG758" s="105"/>
      <c r="CH758" s="105"/>
      <c r="CI758" s="105"/>
      <c r="CJ758" s="105"/>
      <c r="CK758" s="105"/>
      <c r="CL758" s="105"/>
      <c r="CM758" s="105"/>
      <c r="CN758" s="105"/>
      <c r="CO758" s="105"/>
      <c r="CP758" s="105"/>
      <c r="CQ758" s="105"/>
      <c r="CR758" s="105"/>
      <c r="CS758" s="105"/>
      <c r="CT758" s="105"/>
      <c r="CU758" s="105"/>
      <c r="CV758" s="105"/>
      <c r="CW758" s="105"/>
      <c r="CX758" s="105"/>
      <c r="CY758" s="105"/>
      <c r="CZ758" s="105"/>
      <c r="DA758" s="105"/>
    </row>
    <row r="759">
      <c r="B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c r="AA759" s="105"/>
      <c r="AB759" s="105"/>
      <c r="AC759" s="105"/>
      <c r="AD759" s="105"/>
      <c r="AE759" s="105"/>
      <c r="AF759" s="105"/>
      <c r="AG759" s="105"/>
      <c r="AH759" s="105"/>
      <c r="AI759" s="105"/>
      <c r="AJ759" s="105"/>
      <c r="AK759" s="105"/>
      <c r="AL759" s="105"/>
      <c r="AM759" s="105"/>
      <c r="AN759" s="105"/>
      <c r="AO759" s="105"/>
      <c r="AP759" s="105"/>
      <c r="AQ759" s="105"/>
      <c r="AR759" s="105"/>
      <c r="AS759" s="105"/>
      <c r="AT759" s="105"/>
      <c r="AU759" s="105"/>
      <c r="AV759" s="105"/>
      <c r="AW759" s="105"/>
      <c r="AX759" s="105"/>
      <c r="AY759" s="105"/>
      <c r="AZ759" s="105"/>
      <c r="BA759" s="105"/>
      <c r="BB759" s="105"/>
      <c r="BC759" s="105"/>
      <c r="BD759" s="105"/>
      <c r="BE759" s="105"/>
      <c r="BF759" s="105"/>
      <c r="BG759" s="105"/>
      <c r="BH759" s="105"/>
      <c r="BI759" s="105"/>
      <c r="BJ759" s="105"/>
      <c r="BK759" s="105"/>
      <c r="BL759" s="105"/>
      <c r="BM759" s="105"/>
      <c r="BN759" s="105"/>
      <c r="BO759" s="105"/>
      <c r="BP759" s="105"/>
      <c r="BQ759" s="105"/>
      <c r="BR759" s="105"/>
      <c r="BS759" s="105"/>
      <c r="BT759" s="105"/>
      <c r="BU759" s="105"/>
      <c r="BV759" s="105"/>
      <c r="BW759" s="105"/>
      <c r="BX759" s="105"/>
      <c r="BY759" s="105"/>
      <c r="BZ759" s="105"/>
      <c r="CA759" s="105"/>
      <c r="CB759" s="105"/>
      <c r="CC759" s="105"/>
      <c r="CD759" s="105"/>
      <c r="CE759" s="105"/>
      <c r="CF759" s="105"/>
      <c r="CG759" s="105"/>
      <c r="CH759" s="105"/>
      <c r="CI759" s="105"/>
      <c r="CJ759" s="105"/>
      <c r="CK759" s="105"/>
      <c r="CL759" s="105"/>
      <c r="CM759" s="105"/>
      <c r="CN759" s="105"/>
      <c r="CO759" s="105"/>
      <c r="CP759" s="105"/>
      <c r="CQ759" s="105"/>
      <c r="CR759" s="105"/>
      <c r="CS759" s="105"/>
      <c r="CT759" s="105"/>
      <c r="CU759" s="105"/>
      <c r="CV759" s="105"/>
      <c r="CW759" s="105"/>
      <c r="CX759" s="105"/>
      <c r="CY759" s="105"/>
      <c r="CZ759" s="105"/>
      <c r="DA759" s="105"/>
    </row>
    <row r="760">
      <c r="B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c r="AA760" s="105"/>
      <c r="AB760" s="105"/>
      <c r="AC760" s="105"/>
      <c r="AD760" s="105"/>
      <c r="AE760" s="105"/>
      <c r="AF760" s="105"/>
      <c r="AG760" s="105"/>
      <c r="AH760" s="105"/>
      <c r="AI760" s="105"/>
      <c r="AJ760" s="105"/>
      <c r="AK760" s="105"/>
      <c r="AL760" s="105"/>
      <c r="AM760" s="105"/>
      <c r="AN760" s="105"/>
      <c r="AO760" s="105"/>
      <c r="AP760" s="105"/>
      <c r="AQ760" s="105"/>
      <c r="AR760" s="105"/>
      <c r="AS760" s="105"/>
      <c r="AT760" s="105"/>
      <c r="AU760" s="105"/>
      <c r="AV760" s="105"/>
      <c r="AW760" s="105"/>
      <c r="AX760" s="105"/>
      <c r="AY760" s="105"/>
      <c r="AZ760" s="105"/>
      <c r="BA760" s="105"/>
      <c r="BB760" s="105"/>
      <c r="BC760" s="105"/>
      <c r="BD760" s="105"/>
      <c r="BE760" s="105"/>
      <c r="BF760" s="105"/>
      <c r="BG760" s="105"/>
      <c r="BH760" s="105"/>
      <c r="BI760" s="105"/>
      <c r="BJ760" s="105"/>
      <c r="BK760" s="105"/>
      <c r="BL760" s="105"/>
      <c r="BM760" s="105"/>
      <c r="BN760" s="105"/>
      <c r="BO760" s="105"/>
      <c r="BP760" s="105"/>
      <c r="BQ760" s="105"/>
      <c r="BR760" s="105"/>
      <c r="BS760" s="105"/>
      <c r="BT760" s="105"/>
      <c r="BU760" s="105"/>
      <c r="BV760" s="105"/>
      <c r="BW760" s="105"/>
      <c r="BX760" s="105"/>
      <c r="BY760" s="105"/>
      <c r="BZ760" s="105"/>
      <c r="CA760" s="105"/>
      <c r="CB760" s="105"/>
      <c r="CC760" s="105"/>
      <c r="CD760" s="105"/>
      <c r="CE760" s="105"/>
      <c r="CF760" s="105"/>
      <c r="CG760" s="105"/>
      <c r="CH760" s="105"/>
      <c r="CI760" s="105"/>
      <c r="CJ760" s="105"/>
      <c r="CK760" s="105"/>
      <c r="CL760" s="105"/>
      <c r="CM760" s="105"/>
      <c r="CN760" s="105"/>
      <c r="CO760" s="105"/>
      <c r="CP760" s="105"/>
      <c r="CQ760" s="105"/>
      <c r="CR760" s="105"/>
      <c r="CS760" s="105"/>
      <c r="CT760" s="105"/>
      <c r="CU760" s="105"/>
      <c r="CV760" s="105"/>
      <c r="CW760" s="105"/>
      <c r="CX760" s="105"/>
      <c r="CY760" s="105"/>
      <c r="CZ760" s="105"/>
      <c r="DA760" s="105"/>
    </row>
    <row r="761">
      <c r="B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c r="AA761" s="105"/>
      <c r="AB761" s="105"/>
      <c r="AC761" s="105"/>
      <c r="AD761" s="105"/>
      <c r="AE761" s="105"/>
      <c r="AF761" s="105"/>
      <c r="AG761" s="105"/>
      <c r="AH761" s="105"/>
      <c r="AI761" s="105"/>
      <c r="AJ761" s="105"/>
      <c r="AK761" s="105"/>
      <c r="AL761" s="105"/>
      <c r="AM761" s="105"/>
      <c r="AN761" s="105"/>
      <c r="AO761" s="105"/>
      <c r="AP761" s="105"/>
      <c r="AQ761" s="105"/>
      <c r="AR761" s="105"/>
      <c r="AS761" s="105"/>
      <c r="AT761" s="105"/>
      <c r="AU761" s="105"/>
      <c r="AV761" s="105"/>
      <c r="AW761" s="105"/>
      <c r="AX761" s="105"/>
      <c r="AY761" s="105"/>
      <c r="AZ761" s="105"/>
      <c r="BA761" s="105"/>
      <c r="BB761" s="105"/>
      <c r="BC761" s="105"/>
      <c r="BD761" s="105"/>
      <c r="BE761" s="105"/>
      <c r="BF761" s="105"/>
      <c r="BG761" s="105"/>
      <c r="BH761" s="105"/>
      <c r="BI761" s="105"/>
      <c r="BJ761" s="105"/>
      <c r="BK761" s="105"/>
      <c r="BL761" s="105"/>
      <c r="BM761" s="105"/>
      <c r="BN761" s="105"/>
      <c r="BO761" s="105"/>
      <c r="BP761" s="105"/>
      <c r="BQ761" s="105"/>
      <c r="BR761" s="105"/>
      <c r="BS761" s="105"/>
      <c r="BT761" s="105"/>
      <c r="BU761" s="105"/>
      <c r="BV761" s="105"/>
      <c r="BW761" s="105"/>
      <c r="BX761" s="105"/>
      <c r="BY761" s="105"/>
      <c r="BZ761" s="105"/>
      <c r="CA761" s="105"/>
      <c r="CB761" s="105"/>
      <c r="CC761" s="105"/>
      <c r="CD761" s="105"/>
      <c r="CE761" s="105"/>
      <c r="CF761" s="105"/>
      <c r="CG761" s="105"/>
      <c r="CH761" s="105"/>
      <c r="CI761" s="105"/>
      <c r="CJ761" s="105"/>
      <c r="CK761" s="105"/>
      <c r="CL761" s="105"/>
      <c r="CM761" s="105"/>
      <c r="CN761" s="105"/>
      <c r="CO761" s="105"/>
      <c r="CP761" s="105"/>
      <c r="CQ761" s="105"/>
      <c r="CR761" s="105"/>
      <c r="CS761" s="105"/>
      <c r="CT761" s="105"/>
      <c r="CU761" s="105"/>
      <c r="CV761" s="105"/>
      <c r="CW761" s="105"/>
      <c r="CX761" s="105"/>
      <c r="CY761" s="105"/>
      <c r="CZ761" s="105"/>
      <c r="DA761" s="105"/>
    </row>
    <row r="762">
      <c r="B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c r="AA762" s="105"/>
      <c r="AB762" s="105"/>
      <c r="AC762" s="105"/>
      <c r="AD762" s="105"/>
      <c r="AE762" s="105"/>
      <c r="AF762" s="105"/>
      <c r="AG762" s="105"/>
      <c r="AH762" s="105"/>
      <c r="AI762" s="105"/>
      <c r="AJ762" s="105"/>
      <c r="AK762" s="105"/>
      <c r="AL762" s="105"/>
      <c r="AM762" s="105"/>
      <c r="AN762" s="105"/>
      <c r="AO762" s="105"/>
      <c r="AP762" s="105"/>
      <c r="AQ762" s="105"/>
      <c r="AR762" s="105"/>
      <c r="AS762" s="105"/>
      <c r="AT762" s="105"/>
      <c r="AU762" s="105"/>
      <c r="AV762" s="105"/>
      <c r="AW762" s="105"/>
      <c r="AX762" s="105"/>
      <c r="AY762" s="105"/>
      <c r="AZ762" s="105"/>
      <c r="BA762" s="105"/>
      <c r="BB762" s="105"/>
      <c r="BC762" s="105"/>
      <c r="BD762" s="105"/>
      <c r="BE762" s="105"/>
      <c r="BF762" s="105"/>
      <c r="BG762" s="105"/>
      <c r="BH762" s="105"/>
      <c r="BI762" s="105"/>
      <c r="BJ762" s="105"/>
      <c r="BK762" s="105"/>
      <c r="BL762" s="105"/>
      <c r="BM762" s="105"/>
      <c r="BN762" s="105"/>
      <c r="BO762" s="105"/>
      <c r="BP762" s="105"/>
      <c r="BQ762" s="105"/>
      <c r="BR762" s="105"/>
      <c r="BS762" s="105"/>
      <c r="BT762" s="105"/>
      <c r="BU762" s="105"/>
      <c r="BV762" s="105"/>
      <c r="BW762" s="105"/>
      <c r="BX762" s="105"/>
      <c r="BY762" s="105"/>
      <c r="BZ762" s="105"/>
      <c r="CA762" s="105"/>
      <c r="CB762" s="105"/>
      <c r="CC762" s="105"/>
      <c r="CD762" s="105"/>
      <c r="CE762" s="105"/>
      <c r="CF762" s="105"/>
      <c r="CG762" s="105"/>
      <c r="CH762" s="105"/>
      <c r="CI762" s="105"/>
      <c r="CJ762" s="105"/>
      <c r="CK762" s="105"/>
      <c r="CL762" s="105"/>
      <c r="CM762" s="105"/>
      <c r="CN762" s="105"/>
      <c r="CO762" s="105"/>
      <c r="CP762" s="105"/>
      <c r="CQ762" s="105"/>
      <c r="CR762" s="105"/>
      <c r="CS762" s="105"/>
      <c r="CT762" s="105"/>
      <c r="CU762" s="105"/>
      <c r="CV762" s="105"/>
      <c r="CW762" s="105"/>
      <c r="CX762" s="105"/>
      <c r="CY762" s="105"/>
      <c r="CZ762" s="105"/>
      <c r="DA762" s="105"/>
    </row>
    <row r="763">
      <c r="B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c r="AA763" s="105"/>
      <c r="AB763" s="105"/>
      <c r="AC763" s="105"/>
      <c r="AD763" s="105"/>
      <c r="AE763" s="105"/>
      <c r="AF763" s="105"/>
      <c r="AG763" s="105"/>
      <c r="AH763" s="105"/>
      <c r="AI763" s="105"/>
      <c r="AJ763" s="105"/>
      <c r="AK763" s="105"/>
      <c r="AL763" s="105"/>
      <c r="AM763" s="105"/>
      <c r="AN763" s="105"/>
      <c r="AO763" s="105"/>
      <c r="AP763" s="105"/>
      <c r="AQ763" s="105"/>
      <c r="AR763" s="105"/>
      <c r="AS763" s="105"/>
      <c r="AT763" s="105"/>
      <c r="AU763" s="105"/>
      <c r="AV763" s="105"/>
      <c r="AW763" s="105"/>
      <c r="AX763" s="105"/>
      <c r="AY763" s="105"/>
      <c r="AZ763" s="105"/>
      <c r="BA763" s="105"/>
      <c r="BB763" s="105"/>
      <c r="BC763" s="105"/>
      <c r="BD763" s="105"/>
      <c r="BE763" s="105"/>
      <c r="BF763" s="105"/>
      <c r="BG763" s="105"/>
      <c r="BH763" s="105"/>
      <c r="BI763" s="105"/>
      <c r="BJ763" s="105"/>
      <c r="BK763" s="105"/>
      <c r="BL763" s="105"/>
      <c r="BM763" s="105"/>
      <c r="BN763" s="105"/>
      <c r="BO763" s="105"/>
      <c r="BP763" s="105"/>
      <c r="BQ763" s="105"/>
      <c r="BR763" s="105"/>
      <c r="BS763" s="105"/>
      <c r="BT763" s="105"/>
      <c r="BU763" s="105"/>
      <c r="BV763" s="105"/>
      <c r="BW763" s="105"/>
      <c r="BX763" s="105"/>
      <c r="BY763" s="105"/>
      <c r="BZ763" s="105"/>
      <c r="CA763" s="105"/>
      <c r="CB763" s="105"/>
      <c r="CC763" s="105"/>
      <c r="CD763" s="105"/>
      <c r="CE763" s="105"/>
      <c r="CF763" s="105"/>
      <c r="CG763" s="105"/>
      <c r="CH763" s="105"/>
      <c r="CI763" s="105"/>
      <c r="CJ763" s="105"/>
      <c r="CK763" s="105"/>
      <c r="CL763" s="105"/>
      <c r="CM763" s="105"/>
      <c r="CN763" s="105"/>
      <c r="CO763" s="105"/>
      <c r="CP763" s="105"/>
      <c r="CQ763" s="105"/>
      <c r="CR763" s="105"/>
      <c r="CS763" s="105"/>
      <c r="CT763" s="105"/>
      <c r="CU763" s="105"/>
      <c r="CV763" s="105"/>
      <c r="CW763" s="105"/>
      <c r="CX763" s="105"/>
      <c r="CY763" s="105"/>
      <c r="CZ763" s="105"/>
      <c r="DA763" s="105"/>
    </row>
    <row r="764">
      <c r="B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c r="AA764" s="105"/>
      <c r="AB764" s="105"/>
      <c r="AC764" s="105"/>
      <c r="AD764" s="105"/>
      <c r="AE764" s="105"/>
      <c r="AF764" s="105"/>
      <c r="AG764" s="105"/>
      <c r="AH764" s="105"/>
      <c r="AI764" s="105"/>
      <c r="AJ764" s="105"/>
      <c r="AK764" s="105"/>
      <c r="AL764" s="105"/>
      <c r="AM764" s="105"/>
      <c r="AN764" s="105"/>
      <c r="AO764" s="105"/>
      <c r="AP764" s="105"/>
      <c r="AQ764" s="105"/>
      <c r="AR764" s="105"/>
      <c r="AS764" s="105"/>
      <c r="AT764" s="105"/>
      <c r="AU764" s="105"/>
      <c r="AV764" s="105"/>
      <c r="AW764" s="105"/>
      <c r="AX764" s="105"/>
      <c r="AY764" s="105"/>
      <c r="AZ764" s="105"/>
      <c r="BA764" s="105"/>
      <c r="BB764" s="105"/>
      <c r="BC764" s="105"/>
      <c r="BD764" s="105"/>
      <c r="BE764" s="105"/>
      <c r="BF764" s="105"/>
      <c r="BG764" s="105"/>
      <c r="BH764" s="105"/>
      <c r="BI764" s="105"/>
      <c r="BJ764" s="105"/>
      <c r="BK764" s="105"/>
      <c r="BL764" s="105"/>
      <c r="BM764" s="105"/>
      <c r="BN764" s="105"/>
      <c r="BO764" s="105"/>
      <c r="BP764" s="105"/>
      <c r="BQ764" s="105"/>
      <c r="BR764" s="105"/>
      <c r="BS764" s="105"/>
      <c r="BT764" s="105"/>
      <c r="BU764" s="105"/>
      <c r="BV764" s="105"/>
      <c r="BW764" s="105"/>
      <c r="BX764" s="105"/>
      <c r="BY764" s="105"/>
      <c r="BZ764" s="105"/>
      <c r="CA764" s="105"/>
      <c r="CB764" s="105"/>
      <c r="CC764" s="105"/>
      <c r="CD764" s="105"/>
      <c r="CE764" s="105"/>
      <c r="CF764" s="105"/>
      <c r="CG764" s="105"/>
      <c r="CH764" s="105"/>
      <c r="CI764" s="105"/>
      <c r="CJ764" s="105"/>
      <c r="CK764" s="105"/>
      <c r="CL764" s="105"/>
      <c r="CM764" s="105"/>
      <c r="CN764" s="105"/>
      <c r="CO764" s="105"/>
      <c r="CP764" s="105"/>
      <c r="CQ764" s="105"/>
      <c r="CR764" s="105"/>
      <c r="CS764" s="105"/>
      <c r="CT764" s="105"/>
      <c r="CU764" s="105"/>
      <c r="CV764" s="105"/>
      <c r="CW764" s="105"/>
      <c r="CX764" s="105"/>
      <c r="CY764" s="105"/>
      <c r="CZ764" s="105"/>
      <c r="DA764" s="105"/>
    </row>
    <row r="765">
      <c r="B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c r="AA765" s="105"/>
      <c r="AB765" s="105"/>
      <c r="AC765" s="105"/>
      <c r="AD765" s="105"/>
      <c r="AE765" s="105"/>
      <c r="AF765" s="105"/>
      <c r="AG765" s="105"/>
      <c r="AH765" s="105"/>
      <c r="AI765" s="105"/>
      <c r="AJ765" s="105"/>
      <c r="AK765" s="105"/>
      <c r="AL765" s="105"/>
      <c r="AM765" s="105"/>
      <c r="AN765" s="105"/>
      <c r="AO765" s="105"/>
      <c r="AP765" s="105"/>
      <c r="AQ765" s="105"/>
      <c r="AR765" s="105"/>
      <c r="AS765" s="105"/>
      <c r="AT765" s="105"/>
      <c r="AU765" s="105"/>
      <c r="AV765" s="105"/>
      <c r="AW765" s="105"/>
      <c r="AX765" s="105"/>
      <c r="AY765" s="105"/>
      <c r="AZ765" s="105"/>
      <c r="BA765" s="105"/>
      <c r="BB765" s="105"/>
      <c r="BC765" s="105"/>
      <c r="BD765" s="105"/>
      <c r="BE765" s="105"/>
      <c r="BF765" s="105"/>
      <c r="BG765" s="105"/>
      <c r="BH765" s="105"/>
      <c r="BI765" s="105"/>
      <c r="BJ765" s="105"/>
      <c r="BK765" s="105"/>
      <c r="BL765" s="105"/>
      <c r="BM765" s="105"/>
      <c r="BN765" s="105"/>
      <c r="BO765" s="105"/>
      <c r="BP765" s="105"/>
      <c r="BQ765" s="105"/>
      <c r="BR765" s="105"/>
      <c r="BS765" s="105"/>
      <c r="BT765" s="105"/>
      <c r="BU765" s="105"/>
      <c r="BV765" s="105"/>
      <c r="BW765" s="105"/>
      <c r="BX765" s="105"/>
      <c r="BY765" s="105"/>
      <c r="BZ765" s="105"/>
      <c r="CA765" s="105"/>
      <c r="CB765" s="105"/>
      <c r="CC765" s="105"/>
      <c r="CD765" s="105"/>
      <c r="CE765" s="105"/>
      <c r="CF765" s="105"/>
      <c r="CG765" s="105"/>
      <c r="CH765" s="105"/>
      <c r="CI765" s="105"/>
      <c r="CJ765" s="105"/>
      <c r="CK765" s="105"/>
      <c r="CL765" s="105"/>
      <c r="CM765" s="105"/>
      <c r="CN765" s="105"/>
      <c r="CO765" s="105"/>
      <c r="CP765" s="105"/>
      <c r="CQ765" s="105"/>
      <c r="CR765" s="105"/>
      <c r="CS765" s="105"/>
      <c r="CT765" s="105"/>
      <c r="CU765" s="105"/>
      <c r="CV765" s="105"/>
      <c r="CW765" s="105"/>
      <c r="CX765" s="105"/>
      <c r="CY765" s="105"/>
      <c r="CZ765" s="105"/>
      <c r="DA765" s="105"/>
    </row>
    <row r="766">
      <c r="B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c r="AA766" s="105"/>
      <c r="AB766" s="105"/>
      <c r="AC766" s="105"/>
      <c r="AD766" s="105"/>
      <c r="AE766" s="105"/>
      <c r="AF766" s="105"/>
      <c r="AG766" s="105"/>
      <c r="AH766" s="105"/>
      <c r="AI766" s="105"/>
      <c r="AJ766" s="105"/>
      <c r="AK766" s="105"/>
      <c r="AL766" s="105"/>
      <c r="AM766" s="105"/>
      <c r="AN766" s="105"/>
      <c r="AO766" s="105"/>
      <c r="AP766" s="105"/>
      <c r="AQ766" s="105"/>
      <c r="AR766" s="105"/>
      <c r="AS766" s="105"/>
      <c r="AT766" s="105"/>
      <c r="AU766" s="105"/>
      <c r="AV766" s="105"/>
      <c r="AW766" s="105"/>
      <c r="AX766" s="105"/>
      <c r="AY766" s="105"/>
      <c r="AZ766" s="105"/>
      <c r="BA766" s="105"/>
      <c r="BB766" s="105"/>
      <c r="BC766" s="105"/>
      <c r="BD766" s="105"/>
      <c r="BE766" s="105"/>
      <c r="BF766" s="105"/>
      <c r="BG766" s="105"/>
      <c r="BH766" s="105"/>
      <c r="BI766" s="105"/>
      <c r="BJ766" s="105"/>
      <c r="BK766" s="105"/>
      <c r="BL766" s="105"/>
      <c r="BM766" s="105"/>
      <c r="BN766" s="105"/>
      <c r="BO766" s="105"/>
      <c r="BP766" s="105"/>
      <c r="BQ766" s="105"/>
      <c r="BR766" s="105"/>
      <c r="BS766" s="105"/>
      <c r="BT766" s="105"/>
      <c r="BU766" s="105"/>
      <c r="BV766" s="105"/>
      <c r="BW766" s="105"/>
      <c r="BX766" s="105"/>
      <c r="BY766" s="105"/>
      <c r="BZ766" s="105"/>
      <c r="CA766" s="105"/>
      <c r="CB766" s="105"/>
      <c r="CC766" s="105"/>
      <c r="CD766" s="105"/>
      <c r="CE766" s="105"/>
      <c r="CF766" s="105"/>
      <c r="CG766" s="105"/>
      <c r="CH766" s="105"/>
      <c r="CI766" s="105"/>
      <c r="CJ766" s="105"/>
      <c r="CK766" s="105"/>
      <c r="CL766" s="105"/>
      <c r="CM766" s="105"/>
      <c r="CN766" s="105"/>
      <c r="CO766" s="105"/>
      <c r="CP766" s="105"/>
      <c r="CQ766" s="105"/>
      <c r="CR766" s="105"/>
      <c r="CS766" s="105"/>
      <c r="CT766" s="105"/>
      <c r="CU766" s="105"/>
      <c r="CV766" s="105"/>
      <c r="CW766" s="105"/>
      <c r="CX766" s="105"/>
      <c r="CY766" s="105"/>
      <c r="CZ766" s="105"/>
      <c r="DA766" s="105"/>
    </row>
    <row r="767">
      <c r="B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c r="AA767" s="105"/>
      <c r="AB767" s="105"/>
      <c r="AC767" s="105"/>
      <c r="AD767" s="105"/>
      <c r="AE767" s="105"/>
      <c r="AF767" s="105"/>
      <c r="AG767" s="105"/>
      <c r="AH767" s="105"/>
      <c r="AI767" s="105"/>
      <c r="AJ767" s="105"/>
      <c r="AK767" s="105"/>
      <c r="AL767" s="105"/>
      <c r="AM767" s="105"/>
      <c r="AN767" s="105"/>
      <c r="AO767" s="105"/>
      <c r="AP767" s="105"/>
      <c r="AQ767" s="105"/>
      <c r="AR767" s="105"/>
      <c r="AS767" s="105"/>
      <c r="AT767" s="105"/>
      <c r="AU767" s="105"/>
      <c r="AV767" s="105"/>
      <c r="AW767" s="105"/>
      <c r="AX767" s="105"/>
      <c r="AY767" s="105"/>
      <c r="AZ767" s="105"/>
      <c r="BA767" s="105"/>
      <c r="BB767" s="105"/>
      <c r="BC767" s="105"/>
      <c r="BD767" s="105"/>
      <c r="BE767" s="105"/>
      <c r="BF767" s="105"/>
      <c r="BG767" s="105"/>
      <c r="BH767" s="105"/>
      <c r="BI767" s="105"/>
      <c r="BJ767" s="105"/>
      <c r="BK767" s="105"/>
      <c r="BL767" s="105"/>
      <c r="BM767" s="105"/>
      <c r="BN767" s="105"/>
      <c r="BO767" s="105"/>
      <c r="BP767" s="105"/>
      <c r="BQ767" s="105"/>
      <c r="BR767" s="105"/>
      <c r="BS767" s="105"/>
      <c r="BT767" s="105"/>
      <c r="BU767" s="105"/>
      <c r="BV767" s="105"/>
      <c r="BW767" s="105"/>
      <c r="BX767" s="105"/>
      <c r="BY767" s="105"/>
      <c r="BZ767" s="105"/>
      <c r="CA767" s="105"/>
      <c r="CB767" s="105"/>
      <c r="CC767" s="105"/>
      <c r="CD767" s="105"/>
      <c r="CE767" s="105"/>
      <c r="CF767" s="105"/>
      <c r="CG767" s="105"/>
      <c r="CH767" s="105"/>
      <c r="CI767" s="105"/>
      <c r="CJ767" s="105"/>
      <c r="CK767" s="105"/>
      <c r="CL767" s="105"/>
      <c r="CM767" s="105"/>
      <c r="CN767" s="105"/>
      <c r="CO767" s="105"/>
      <c r="CP767" s="105"/>
      <c r="CQ767" s="105"/>
      <c r="CR767" s="105"/>
      <c r="CS767" s="105"/>
      <c r="CT767" s="105"/>
      <c r="CU767" s="105"/>
      <c r="CV767" s="105"/>
      <c r="CW767" s="105"/>
      <c r="CX767" s="105"/>
      <c r="CY767" s="105"/>
      <c r="CZ767" s="105"/>
      <c r="DA767" s="105"/>
    </row>
    <row r="768">
      <c r="B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c r="AA768" s="105"/>
      <c r="AB768" s="105"/>
      <c r="AC768" s="105"/>
      <c r="AD768" s="105"/>
      <c r="AE768" s="105"/>
      <c r="AF768" s="105"/>
      <c r="AG768" s="105"/>
      <c r="AH768" s="105"/>
      <c r="AI768" s="105"/>
      <c r="AJ768" s="105"/>
      <c r="AK768" s="105"/>
      <c r="AL768" s="105"/>
      <c r="AM768" s="105"/>
      <c r="AN768" s="105"/>
      <c r="AO768" s="105"/>
      <c r="AP768" s="105"/>
      <c r="AQ768" s="105"/>
      <c r="AR768" s="105"/>
      <c r="AS768" s="105"/>
      <c r="AT768" s="105"/>
      <c r="AU768" s="105"/>
      <c r="AV768" s="105"/>
      <c r="AW768" s="105"/>
      <c r="AX768" s="105"/>
      <c r="AY768" s="105"/>
      <c r="AZ768" s="105"/>
      <c r="BA768" s="105"/>
      <c r="BB768" s="105"/>
      <c r="BC768" s="105"/>
      <c r="BD768" s="105"/>
      <c r="BE768" s="105"/>
      <c r="BF768" s="105"/>
      <c r="BG768" s="105"/>
      <c r="BH768" s="105"/>
      <c r="BI768" s="105"/>
      <c r="BJ768" s="105"/>
      <c r="BK768" s="105"/>
      <c r="BL768" s="105"/>
      <c r="BM768" s="105"/>
      <c r="BN768" s="105"/>
      <c r="BO768" s="105"/>
      <c r="BP768" s="105"/>
      <c r="BQ768" s="105"/>
      <c r="BR768" s="105"/>
      <c r="BS768" s="105"/>
      <c r="BT768" s="105"/>
      <c r="BU768" s="105"/>
      <c r="BV768" s="105"/>
      <c r="BW768" s="105"/>
      <c r="BX768" s="105"/>
      <c r="BY768" s="105"/>
      <c r="BZ768" s="105"/>
      <c r="CA768" s="105"/>
      <c r="CB768" s="105"/>
      <c r="CC768" s="105"/>
      <c r="CD768" s="105"/>
      <c r="CE768" s="105"/>
      <c r="CF768" s="105"/>
      <c r="CG768" s="105"/>
      <c r="CH768" s="105"/>
      <c r="CI768" s="105"/>
      <c r="CJ768" s="105"/>
      <c r="CK768" s="105"/>
      <c r="CL768" s="105"/>
      <c r="CM768" s="105"/>
      <c r="CN768" s="105"/>
      <c r="CO768" s="105"/>
      <c r="CP768" s="105"/>
      <c r="CQ768" s="105"/>
      <c r="CR768" s="105"/>
      <c r="CS768" s="105"/>
      <c r="CT768" s="105"/>
      <c r="CU768" s="105"/>
      <c r="CV768" s="105"/>
      <c r="CW768" s="105"/>
      <c r="CX768" s="105"/>
      <c r="CY768" s="105"/>
      <c r="CZ768" s="105"/>
      <c r="DA768" s="105"/>
    </row>
    <row r="769">
      <c r="B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c r="AA769" s="105"/>
      <c r="AB769" s="105"/>
      <c r="AC769" s="105"/>
      <c r="AD769" s="105"/>
      <c r="AE769" s="105"/>
      <c r="AF769" s="105"/>
      <c r="AG769" s="105"/>
      <c r="AH769" s="105"/>
      <c r="AI769" s="105"/>
      <c r="AJ769" s="105"/>
      <c r="AK769" s="105"/>
      <c r="AL769" s="105"/>
      <c r="AM769" s="105"/>
      <c r="AN769" s="105"/>
      <c r="AO769" s="105"/>
      <c r="AP769" s="105"/>
      <c r="AQ769" s="105"/>
      <c r="AR769" s="105"/>
      <c r="AS769" s="105"/>
      <c r="AT769" s="105"/>
      <c r="AU769" s="105"/>
      <c r="AV769" s="105"/>
      <c r="AW769" s="105"/>
      <c r="AX769" s="105"/>
      <c r="AY769" s="105"/>
      <c r="AZ769" s="105"/>
      <c r="BA769" s="105"/>
      <c r="BB769" s="105"/>
      <c r="BC769" s="105"/>
      <c r="BD769" s="105"/>
      <c r="BE769" s="105"/>
      <c r="BF769" s="105"/>
      <c r="BG769" s="105"/>
      <c r="BH769" s="105"/>
      <c r="BI769" s="105"/>
      <c r="BJ769" s="105"/>
      <c r="BK769" s="105"/>
      <c r="BL769" s="105"/>
      <c r="BM769" s="105"/>
      <c r="BN769" s="105"/>
      <c r="BO769" s="105"/>
      <c r="BP769" s="105"/>
      <c r="BQ769" s="105"/>
      <c r="BR769" s="105"/>
      <c r="BS769" s="105"/>
      <c r="BT769" s="105"/>
      <c r="BU769" s="105"/>
      <c r="BV769" s="105"/>
      <c r="BW769" s="105"/>
      <c r="BX769" s="105"/>
      <c r="BY769" s="105"/>
      <c r="BZ769" s="105"/>
      <c r="CA769" s="105"/>
      <c r="CB769" s="105"/>
      <c r="CC769" s="105"/>
      <c r="CD769" s="105"/>
      <c r="CE769" s="105"/>
      <c r="CF769" s="105"/>
      <c r="CG769" s="105"/>
      <c r="CH769" s="105"/>
      <c r="CI769" s="105"/>
      <c r="CJ769" s="105"/>
      <c r="CK769" s="105"/>
      <c r="CL769" s="105"/>
      <c r="CM769" s="105"/>
      <c r="CN769" s="105"/>
      <c r="CO769" s="105"/>
      <c r="CP769" s="105"/>
      <c r="CQ769" s="105"/>
      <c r="CR769" s="105"/>
      <c r="CS769" s="105"/>
      <c r="CT769" s="105"/>
      <c r="CU769" s="105"/>
      <c r="CV769" s="105"/>
      <c r="CW769" s="105"/>
      <c r="CX769" s="105"/>
      <c r="CY769" s="105"/>
      <c r="CZ769" s="105"/>
      <c r="DA769" s="105"/>
    </row>
    <row r="770">
      <c r="B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c r="AA770" s="105"/>
      <c r="AB770" s="105"/>
      <c r="AC770" s="105"/>
      <c r="AD770" s="105"/>
      <c r="AE770" s="105"/>
      <c r="AF770" s="105"/>
      <c r="AG770" s="105"/>
      <c r="AH770" s="105"/>
      <c r="AI770" s="105"/>
      <c r="AJ770" s="105"/>
      <c r="AK770" s="105"/>
      <c r="AL770" s="105"/>
      <c r="AM770" s="105"/>
      <c r="AN770" s="105"/>
      <c r="AO770" s="105"/>
      <c r="AP770" s="105"/>
      <c r="AQ770" s="105"/>
      <c r="AR770" s="105"/>
      <c r="AS770" s="105"/>
      <c r="AT770" s="105"/>
      <c r="AU770" s="105"/>
      <c r="AV770" s="105"/>
      <c r="AW770" s="105"/>
      <c r="AX770" s="105"/>
      <c r="AY770" s="105"/>
      <c r="AZ770" s="105"/>
      <c r="BA770" s="105"/>
      <c r="BB770" s="105"/>
      <c r="BC770" s="105"/>
      <c r="BD770" s="105"/>
      <c r="BE770" s="105"/>
      <c r="BF770" s="105"/>
      <c r="BG770" s="105"/>
      <c r="BH770" s="105"/>
      <c r="BI770" s="105"/>
      <c r="BJ770" s="105"/>
      <c r="BK770" s="105"/>
      <c r="BL770" s="105"/>
      <c r="BM770" s="105"/>
      <c r="BN770" s="105"/>
      <c r="BO770" s="105"/>
      <c r="BP770" s="105"/>
      <c r="BQ770" s="105"/>
      <c r="BR770" s="105"/>
      <c r="BS770" s="105"/>
      <c r="BT770" s="105"/>
      <c r="BU770" s="105"/>
      <c r="BV770" s="105"/>
      <c r="BW770" s="105"/>
      <c r="BX770" s="105"/>
      <c r="BY770" s="105"/>
      <c r="BZ770" s="105"/>
      <c r="CA770" s="105"/>
      <c r="CB770" s="105"/>
      <c r="CC770" s="105"/>
      <c r="CD770" s="105"/>
      <c r="CE770" s="105"/>
      <c r="CF770" s="105"/>
      <c r="CG770" s="105"/>
      <c r="CH770" s="105"/>
      <c r="CI770" s="105"/>
      <c r="CJ770" s="105"/>
      <c r="CK770" s="105"/>
      <c r="CL770" s="105"/>
      <c r="CM770" s="105"/>
      <c r="CN770" s="105"/>
      <c r="CO770" s="105"/>
      <c r="CP770" s="105"/>
      <c r="CQ770" s="105"/>
      <c r="CR770" s="105"/>
      <c r="CS770" s="105"/>
      <c r="CT770" s="105"/>
      <c r="CU770" s="105"/>
      <c r="CV770" s="105"/>
      <c r="CW770" s="105"/>
      <c r="CX770" s="105"/>
      <c r="CY770" s="105"/>
      <c r="CZ770" s="105"/>
      <c r="DA770" s="105"/>
    </row>
    <row r="771">
      <c r="B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c r="AA771" s="105"/>
      <c r="AB771" s="105"/>
      <c r="AC771" s="105"/>
      <c r="AD771" s="105"/>
      <c r="AE771" s="105"/>
      <c r="AF771" s="105"/>
      <c r="AG771" s="105"/>
      <c r="AH771" s="105"/>
      <c r="AI771" s="105"/>
      <c r="AJ771" s="105"/>
      <c r="AK771" s="105"/>
      <c r="AL771" s="105"/>
      <c r="AM771" s="105"/>
      <c r="AN771" s="105"/>
      <c r="AO771" s="105"/>
      <c r="AP771" s="105"/>
      <c r="AQ771" s="105"/>
      <c r="AR771" s="105"/>
      <c r="AS771" s="105"/>
      <c r="AT771" s="105"/>
      <c r="AU771" s="105"/>
      <c r="AV771" s="105"/>
      <c r="AW771" s="105"/>
      <c r="AX771" s="105"/>
      <c r="AY771" s="105"/>
      <c r="AZ771" s="105"/>
      <c r="BA771" s="105"/>
      <c r="BB771" s="105"/>
      <c r="BC771" s="105"/>
      <c r="BD771" s="105"/>
      <c r="BE771" s="105"/>
      <c r="BF771" s="105"/>
      <c r="BG771" s="105"/>
      <c r="BH771" s="105"/>
      <c r="BI771" s="105"/>
      <c r="BJ771" s="105"/>
      <c r="BK771" s="105"/>
      <c r="BL771" s="105"/>
      <c r="BM771" s="105"/>
      <c r="BN771" s="105"/>
      <c r="BO771" s="105"/>
      <c r="BP771" s="105"/>
      <c r="BQ771" s="105"/>
      <c r="BR771" s="105"/>
      <c r="BS771" s="105"/>
      <c r="BT771" s="105"/>
      <c r="BU771" s="105"/>
      <c r="BV771" s="105"/>
      <c r="BW771" s="105"/>
      <c r="BX771" s="105"/>
      <c r="BY771" s="105"/>
      <c r="BZ771" s="105"/>
      <c r="CA771" s="105"/>
      <c r="CB771" s="105"/>
      <c r="CC771" s="105"/>
      <c r="CD771" s="105"/>
      <c r="CE771" s="105"/>
      <c r="CF771" s="105"/>
      <c r="CG771" s="105"/>
      <c r="CH771" s="105"/>
      <c r="CI771" s="105"/>
      <c r="CJ771" s="105"/>
      <c r="CK771" s="105"/>
      <c r="CL771" s="105"/>
      <c r="CM771" s="105"/>
      <c r="CN771" s="105"/>
      <c r="CO771" s="105"/>
      <c r="CP771" s="105"/>
      <c r="CQ771" s="105"/>
      <c r="CR771" s="105"/>
      <c r="CS771" s="105"/>
      <c r="CT771" s="105"/>
      <c r="CU771" s="105"/>
      <c r="CV771" s="105"/>
      <c r="CW771" s="105"/>
      <c r="CX771" s="105"/>
      <c r="CY771" s="105"/>
      <c r="CZ771" s="105"/>
      <c r="DA771" s="105"/>
    </row>
    <row r="772">
      <c r="B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c r="AA772" s="105"/>
      <c r="AB772" s="105"/>
      <c r="AC772" s="105"/>
      <c r="AD772" s="105"/>
      <c r="AE772" s="105"/>
      <c r="AF772" s="105"/>
      <c r="AG772" s="105"/>
      <c r="AH772" s="105"/>
      <c r="AI772" s="105"/>
      <c r="AJ772" s="105"/>
      <c r="AK772" s="105"/>
      <c r="AL772" s="105"/>
      <c r="AM772" s="105"/>
      <c r="AN772" s="105"/>
      <c r="AO772" s="105"/>
      <c r="AP772" s="105"/>
      <c r="AQ772" s="105"/>
      <c r="AR772" s="105"/>
      <c r="AS772" s="105"/>
      <c r="AT772" s="105"/>
      <c r="AU772" s="105"/>
      <c r="AV772" s="105"/>
      <c r="AW772" s="105"/>
      <c r="AX772" s="105"/>
      <c r="AY772" s="105"/>
      <c r="AZ772" s="105"/>
      <c r="BA772" s="105"/>
      <c r="BB772" s="105"/>
      <c r="BC772" s="105"/>
      <c r="BD772" s="105"/>
      <c r="BE772" s="105"/>
      <c r="BF772" s="105"/>
      <c r="BG772" s="105"/>
      <c r="BH772" s="105"/>
      <c r="BI772" s="105"/>
      <c r="BJ772" s="105"/>
      <c r="BK772" s="105"/>
      <c r="BL772" s="105"/>
      <c r="BM772" s="105"/>
      <c r="BN772" s="105"/>
      <c r="BO772" s="105"/>
      <c r="BP772" s="105"/>
      <c r="BQ772" s="105"/>
      <c r="BR772" s="105"/>
      <c r="BS772" s="105"/>
      <c r="BT772" s="105"/>
      <c r="BU772" s="105"/>
      <c r="BV772" s="105"/>
      <c r="BW772" s="105"/>
      <c r="BX772" s="105"/>
      <c r="BY772" s="105"/>
      <c r="BZ772" s="105"/>
      <c r="CA772" s="105"/>
      <c r="CB772" s="105"/>
      <c r="CC772" s="105"/>
      <c r="CD772" s="105"/>
      <c r="CE772" s="105"/>
      <c r="CF772" s="105"/>
      <c r="CG772" s="105"/>
      <c r="CH772" s="105"/>
      <c r="CI772" s="105"/>
      <c r="CJ772" s="105"/>
      <c r="CK772" s="105"/>
      <c r="CL772" s="105"/>
      <c r="CM772" s="105"/>
      <c r="CN772" s="105"/>
      <c r="CO772" s="105"/>
      <c r="CP772" s="105"/>
      <c r="CQ772" s="105"/>
      <c r="CR772" s="105"/>
      <c r="CS772" s="105"/>
      <c r="CT772" s="105"/>
      <c r="CU772" s="105"/>
      <c r="CV772" s="105"/>
      <c r="CW772" s="105"/>
      <c r="CX772" s="105"/>
      <c r="CY772" s="105"/>
      <c r="CZ772" s="105"/>
      <c r="DA772" s="105"/>
    </row>
    <row r="773">
      <c r="B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c r="AA773" s="105"/>
      <c r="AB773" s="105"/>
      <c r="AC773" s="105"/>
      <c r="AD773" s="105"/>
      <c r="AE773" s="105"/>
      <c r="AF773" s="105"/>
      <c r="AG773" s="105"/>
      <c r="AH773" s="105"/>
      <c r="AI773" s="105"/>
      <c r="AJ773" s="105"/>
      <c r="AK773" s="105"/>
      <c r="AL773" s="105"/>
      <c r="AM773" s="105"/>
      <c r="AN773" s="105"/>
      <c r="AO773" s="105"/>
      <c r="AP773" s="105"/>
      <c r="AQ773" s="105"/>
      <c r="AR773" s="105"/>
      <c r="AS773" s="105"/>
      <c r="AT773" s="105"/>
      <c r="AU773" s="105"/>
      <c r="AV773" s="105"/>
      <c r="AW773" s="105"/>
      <c r="AX773" s="105"/>
      <c r="AY773" s="105"/>
      <c r="AZ773" s="105"/>
      <c r="BA773" s="105"/>
      <c r="BB773" s="105"/>
      <c r="BC773" s="105"/>
      <c r="BD773" s="105"/>
      <c r="BE773" s="105"/>
      <c r="BF773" s="105"/>
      <c r="BG773" s="105"/>
      <c r="BH773" s="105"/>
      <c r="BI773" s="105"/>
      <c r="BJ773" s="105"/>
      <c r="BK773" s="105"/>
      <c r="BL773" s="105"/>
      <c r="BM773" s="105"/>
      <c r="BN773" s="105"/>
      <c r="BO773" s="105"/>
      <c r="BP773" s="105"/>
      <c r="BQ773" s="105"/>
      <c r="BR773" s="105"/>
      <c r="BS773" s="105"/>
      <c r="BT773" s="105"/>
      <c r="BU773" s="105"/>
      <c r="BV773" s="105"/>
      <c r="BW773" s="105"/>
      <c r="BX773" s="105"/>
      <c r="BY773" s="105"/>
      <c r="BZ773" s="105"/>
      <c r="CA773" s="105"/>
      <c r="CB773" s="105"/>
      <c r="CC773" s="105"/>
      <c r="CD773" s="105"/>
      <c r="CE773" s="105"/>
      <c r="CF773" s="105"/>
      <c r="CG773" s="105"/>
      <c r="CH773" s="105"/>
      <c r="CI773" s="105"/>
      <c r="CJ773" s="105"/>
      <c r="CK773" s="105"/>
      <c r="CL773" s="105"/>
      <c r="CM773" s="105"/>
      <c r="CN773" s="105"/>
      <c r="CO773" s="105"/>
      <c r="CP773" s="105"/>
      <c r="CQ773" s="105"/>
      <c r="CR773" s="105"/>
      <c r="CS773" s="105"/>
      <c r="CT773" s="105"/>
      <c r="CU773" s="105"/>
      <c r="CV773" s="105"/>
      <c r="CW773" s="105"/>
      <c r="CX773" s="105"/>
      <c r="CY773" s="105"/>
      <c r="CZ773" s="105"/>
      <c r="DA773" s="105"/>
    </row>
    <row r="774">
      <c r="B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c r="AA774" s="105"/>
      <c r="AB774" s="105"/>
      <c r="AC774" s="105"/>
      <c r="AD774" s="105"/>
      <c r="AE774" s="105"/>
      <c r="AF774" s="105"/>
      <c r="AG774" s="105"/>
      <c r="AH774" s="105"/>
      <c r="AI774" s="105"/>
      <c r="AJ774" s="105"/>
      <c r="AK774" s="105"/>
      <c r="AL774" s="105"/>
      <c r="AM774" s="105"/>
      <c r="AN774" s="105"/>
      <c r="AO774" s="105"/>
      <c r="AP774" s="105"/>
      <c r="AQ774" s="105"/>
      <c r="AR774" s="105"/>
      <c r="AS774" s="105"/>
      <c r="AT774" s="105"/>
      <c r="AU774" s="105"/>
      <c r="AV774" s="105"/>
      <c r="AW774" s="105"/>
      <c r="AX774" s="105"/>
      <c r="AY774" s="105"/>
      <c r="AZ774" s="105"/>
      <c r="BA774" s="105"/>
      <c r="BB774" s="105"/>
      <c r="BC774" s="105"/>
      <c r="BD774" s="105"/>
      <c r="BE774" s="105"/>
      <c r="BF774" s="105"/>
      <c r="BG774" s="105"/>
      <c r="BH774" s="105"/>
      <c r="BI774" s="105"/>
      <c r="BJ774" s="105"/>
      <c r="BK774" s="105"/>
      <c r="BL774" s="105"/>
      <c r="BM774" s="105"/>
      <c r="BN774" s="105"/>
      <c r="BO774" s="105"/>
      <c r="BP774" s="105"/>
      <c r="BQ774" s="105"/>
      <c r="BR774" s="105"/>
      <c r="BS774" s="105"/>
      <c r="BT774" s="105"/>
      <c r="BU774" s="105"/>
      <c r="BV774" s="105"/>
      <c r="BW774" s="105"/>
      <c r="BX774" s="105"/>
      <c r="BY774" s="105"/>
      <c r="BZ774" s="105"/>
      <c r="CA774" s="105"/>
      <c r="CB774" s="105"/>
      <c r="CC774" s="105"/>
      <c r="CD774" s="105"/>
      <c r="CE774" s="105"/>
      <c r="CF774" s="105"/>
      <c r="CG774" s="105"/>
      <c r="CH774" s="105"/>
      <c r="CI774" s="105"/>
      <c r="CJ774" s="105"/>
      <c r="CK774" s="105"/>
      <c r="CL774" s="105"/>
      <c r="CM774" s="105"/>
      <c r="CN774" s="105"/>
      <c r="CO774" s="105"/>
      <c r="CP774" s="105"/>
      <c r="CQ774" s="105"/>
      <c r="CR774" s="105"/>
      <c r="CS774" s="105"/>
      <c r="CT774" s="105"/>
      <c r="CU774" s="105"/>
      <c r="CV774" s="105"/>
      <c r="CW774" s="105"/>
      <c r="CX774" s="105"/>
      <c r="CY774" s="105"/>
      <c r="CZ774" s="105"/>
      <c r="DA774" s="105"/>
    </row>
    <row r="775">
      <c r="B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c r="AA775" s="105"/>
      <c r="AB775" s="105"/>
      <c r="AC775" s="105"/>
      <c r="AD775" s="105"/>
      <c r="AE775" s="105"/>
      <c r="AF775" s="105"/>
      <c r="AG775" s="105"/>
      <c r="AH775" s="105"/>
      <c r="AI775" s="105"/>
      <c r="AJ775" s="105"/>
      <c r="AK775" s="105"/>
      <c r="AL775" s="105"/>
      <c r="AM775" s="105"/>
      <c r="AN775" s="105"/>
      <c r="AO775" s="105"/>
      <c r="AP775" s="105"/>
      <c r="AQ775" s="105"/>
      <c r="AR775" s="105"/>
      <c r="AS775" s="105"/>
      <c r="AT775" s="105"/>
      <c r="AU775" s="105"/>
      <c r="AV775" s="105"/>
      <c r="AW775" s="105"/>
      <c r="AX775" s="105"/>
      <c r="AY775" s="105"/>
      <c r="AZ775" s="105"/>
      <c r="BA775" s="105"/>
      <c r="BB775" s="105"/>
      <c r="BC775" s="105"/>
      <c r="BD775" s="105"/>
      <c r="BE775" s="105"/>
      <c r="BF775" s="105"/>
      <c r="BG775" s="105"/>
      <c r="BH775" s="105"/>
      <c r="BI775" s="105"/>
      <c r="BJ775" s="105"/>
      <c r="BK775" s="105"/>
      <c r="BL775" s="105"/>
      <c r="BM775" s="105"/>
      <c r="BN775" s="105"/>
      <c r="BO775" s="105"/>
      <c r="BP775" s="105"/>
      <c r="BQ775" s="105"/>
      <c r="BR775" s="105"/>
      <c r="BS775" s="105"/>
      <c r="BT775" s="105"/>
      <c r="BU775" s="105"/>
      <c r="BV775" s="105"/>
      <c r="BW775" s="105"/>
      <c r="BX775" s="105"/>
      <c r="BY775" s="105"/>
      <c r="BZ775" s="105"/>
      <c r="CA775" s="105"/>
      <c r="CB775" s="105"/>
      <c r="CC775" s="105"/>
      <c r="CD775" s="105"/>
      <c r="CE775" s="105"/>
      <c r="CF775" s="105"/>
      <c r="CG775" s="105"/>
      <c r="CH775" s="105"/>
      <c r="CI775" s="105"/>
      <c r="CJ775" s="105"/>
      <c r="CK775" s="105"/>
      <c r="CL775" s="105"/>
      <c r="CM775" s="105"/>
      <c r="CN775" s="105"/>
      <c r="CO775" s="105"/>
      <c r="CP775" s="105"/>
      <c r="CQ775" s="105"/>
      <c r="CR775" s="105"/>
      <c r="CS775" s="105"/>
      <c r="CT775" s="105"/>
      <c r="CU775" s="105"/>
      <c r="CV775" s="105"/>
      <c r="CW775" s="105"/>
      <c r="CX775" s="105"/>
      <c r="CY775" s="105"/>
      <c r="CZ775" s="105"/>
      <c r="DA775" s="105"/>
    </row>
    <row r="776">
      <c r="B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c r="AA776" s="105"/>
      <c r="AB776" s="105"/>
      <c r="AC776" s="105"/>
      <c r="AD776" s="105"/>
      <c r="AE776" s="105"/>
      <c r="AF776" s="105"/>
      <c r="AG776" s="105"/>
      <c r="AH776" s="105"/>
      <c r="AI776" s="105"/>
      <c r="AJ776" s="105"/>
      <c r="AK776" s="105"/>
      <c r="AL776" s="105"/>
      <c r="AM776" s="105"/>
      <c r="AN776" s="105"/>
      <c r="AO776" s="105"/>
      <c r="AP776" s="105"/>
      <c r="AQ776" s="105"/>
      <c r="AR776" s="105"/>
      <c r="AS776" s="105"/>
      <c r="AT776" s="105"/>
      <c r="AU776" s="105"/>
      <c r="AV776" s="105"/>
      <c r="AW776" s="105"/>
      <c r="AX776" s="105"/>
      <c r="AY776" s="105"/>
      <c r="AZ776" s="105"/>
      <c r="BA776" s="105"/>
      <c r="BB776" s="105"/>
      <c r="BC776" s="105"/>
      <c r="BD776" s="105"/>
      <c r="BE776" s="105"/>
      <c r="BF776" s="105"/>
      <c r="BG776" s="105"/>
      <c r="BH776" s="105"/>
      <c r="BI776" s="105"/>
      <c r="BJ776" s="105"/>
      <c r="BK776" s="105"/>
      <c r="BL776" s="105"/>
      <c r="BM776" s="105"/>
      <c r="BN776" s="105"/>
      <c r="BO776" s="105"/>
      <c r="BP776" s="105"/>
      <c r="BQ776" s="105"/>
      <c r="BR776" s="105"/>
      <c r="BS776" s="105"/>
      <c r="BT776" s="105"/>
      <c r="BU776" s="105"/>
      <c r="BV776" s="105"/>
      <c r="BW776" s="105"/>
      <c r="BX776" s="105"/>
      <c r="BY776" s="105"/>
      <c r="BZ776" s="105"/>
      <c r="CA776" s="105"/>
      <c r="CB776" s="105"/>
      <c r="CC776" s="105"/>
      <c r="CD776" s="105"/>
      <c r="CE776" s="105"/>
      <c r="CF776" s="105"/>
      <c r="CG776" s="105"/>
      <c r="CH776" s="105"/>
      <c r="CI776" s="105"/>
      <c r="CJ776" s="105"/>
      <c r="CK776" s="105"/>
      <c r="CL776" s="105"/>
      <c r="CM776" s="105"/>
      <c r="CN776" s="105"/>
      <c r="CO776" s="105"/>
      <c r="CP776" s="105"/>
      <c r="CQ776" s="105"/>
      <c r="CR776" s="105"/>
      <c r="CS776" s="105"/>
      <c r="CT776" s="105"/>
      <c r="CU776" s="105"/>
      <c r="CV776" s="105"/>
      <c r="CW776" s="105"/>
      <c r="CX776" s="105"/>
      <c r="CY776" s="105"/>
      <c r="CZ776" s="105"/>
      <c r="DA776" s="105"/>
    </row>
    <row r="777">
      <c r="B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c r="AA777" s="105"/>
      <c r="AB777" s="105"/>
      <c r="AC777" s="105"/>
      <c r="AD777" s="105"/>
      <c r="AE777" s="105"/>
      <c r="AF777" s="105"/>
      <c r="AG777" s="105"/>
      <c r="AH777" s="105"/>
      <c r="AI777" s="105"/>
      <c r="AJ777" s="105"/>
      <c r="AK777" s="105"/>
      <c r="AL777" s="105"/>
      <c r="AM777" s="105"/>
      <c r="AN777" s="105"/>
      <c r="AO777" s="105"/>
      <c r="AP777" s="105"/>
      <c r="AQ777" s="105"/>
      <c r="AR777" s="105"/>
      <c r="AS777" s="105"/>
      <c r="AT777" s="105"/>
      <c r="AU777" s="105"/>
      <c r="AV777" s="105"/>
      <c r="AW777" s="105"/>
      <c r="AX777" s="105"/>
      <c r="AY777" s="105"/>
      <c r="AZ777" s="105"/>
      <c r="BA777" s="105"/>
      <c r="BB777" s="105"/>
      <c r="BC777" s="105"/>
      <c r="BD777" s="105"/>
      <c r="BE777" s="105"/>
      <c r="BF777" s="105"/>
      <c r="BG777" s="105"/>
      <c r="BH777" s="105"/>
      <c r="BI777" s="105"/>
      <c r="BJ777" s="105"/>
      <c r="BK777" s="105"/>
      <c r="BL777" s="105"/>
      <c r="BM777" s="105"/>
      <c r="BN777" s="105"/>
      <c r="BO777" s="105"/>
      <c r="BP777" s="105"/>
      <c r="BQ777" s="105"/>
      <c r="BR777" s="105"/>
      <c r="BS777" s="105"/>
      <c r="BT777" s="105"/>
      <c r="BU777" s="105"/>
      <c r="BV777" s="105"/>
      <c r="BW777" s="105"/>
      <c r="BX777" s="105"/>
      <c r="BY777" s="105"/>
      <c r="BZ777" s="105"/>
      <c r="CA777" s="105"/>
      <c r="CB777" s="105"/>
      <c r="CC777" s="105"/>
      <c r="CD777" s="105"/>
      <c r="CE777" s="105"/>
      <c r="CF777" s="105"/>
      <c r="CG777" s="105"/>
      <c r="CH777" s="105"/>
      <c r="CI777" s="105"/>
      <c r="CJ777" s="105"/>
      <c r="CK777" s="105"/>
      <c r="CL777" s="105"/>
      <c r="CM777" s="105"/>
      <c r="CN777" s="105"/>
      <c r="CO777" s="105"/>
      <c r="CP777" s="105"/>
      <c r="CQ777" s="105"/>
      <c r="CR777" s="105"/>
      <c r="CS777" s="105"/>
      <c r="CT777" s="105"/>
      <c r="CU777" s="105"/>
      <c r="CV777" s="105"/>
      <c r="CW777" s="105"/>
      <c r="CX777" s="105"/>
      <c r="CY777" s="105"/>
      <c r="CZ777" s="105"/>
      <c r="DA777" s="105"/>
    </row>
    <row r="778">
      <c r="B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c r="AA778" s="105"/>
      <c r="AB778" s="105"/>
      <c r="AC778" s="105"/>
      <c r="AD778" s="105"/>
      <c r="AE778" s="105"/>
      <c r="AF778" s="105"/>
      <c r="AG778" s="105"/>
      <c r="AH778" s="105"/>
      <c r="AI778" s="105"/>
      <c r="AJ778" s="105"/>
      <c r="AK778" s="105"/>
      <c r="AL778" s="105"/>
      <c r="AM778" s="105"/>
      <c r="AN778" s="105"/>
      <c r="AO778" s="105"/>
      <c r="AP778" s="105"/>
      <c r="AQ778" s="105"/>
      <c r="AR778" s="105"/>
      <c r="AS778" s="105"/>
      <c r="AT778" s="105"/>
      <c r="AU778" s="105"/>
      <c r="AV778" s="105"/>
      <c r="AW778" s="105"/>
      <c r="AX778" s="105"/>
      <c r="AY778" s="105"/>
      <c r="AZ778" s="105"/>
      <c r="BA778" s="105"/>
      <c r="BB778" s="105"/>
      <c r="BC778" s="105"/>
      <c r="BD778" s="105"/>
      <c r="BE778" s="105"/>
      <c r="BF778" s="105"/>
      <c r="BG778" s="105"/>
      <c r="BH778" s="105"/>
      <c r="BI778" s="105"/>
      <c r="BJ778" s="105"/>
      <c r="BK778" s="105"/>
      <c r="BL778" s="105"/>
      <c r="BM778" s="105"/>
      <c r="BN778" s="105"/>
      <c r="BO778" s="105"/>
      <c r="BP778" s="105"/>
      <c r="BQ778" s="105"/>
      <c r="BR778" s="105"/>
      <c r="BS778" s="105"/>
      <c r="BT778" s="105"/>
      <c r="BU778" s="105"/>
      <c r="BV778" s="105"/>
      <c r="BW778" s="105"/>
      <c r="BX778" s="105"/>
      <c r="BY778" s="105"/>
      <c r="BZ778" s="105"/>
      <c r="CA778" s="105"/>
      <c r="CB778" s="105"/>
      <c r="CC778" s="105"/>
      <c r="CD778" s="105"/>
      <c r="CE778" s="105"/>
      <c r="CF778" s="105"/>
      <c r="CG778" s="105"/>
      <c r="CH778" s="105"/>
      <c r="CI778" s="105"/>
      <c r="CJ778" s="105"/>
      <c r="CK778" s="105"/>
      <c r="CL778" s="105"/>
      <c r="CM778" s="105"/>
      <c r="CN778" s="105"/>
      <c r="CO778" s="105"/>
      <c r="CP778" s="105"/>
      <c r="CQ778" s="105"/>
      <c r="CR778" s="105"/>
      <c r="CS778" s="105"/>
      <c r="CT778" s="105"/>
      <c r="CU778" s="105"/>
      <c r="CV778" s="105"/>
      <c r="CW778" s="105"/>
      <c r="CX778" s="105"/>
      <c r="CY778" s="105"/>
      <c r="CZ778" s="105"/>
      <c r="DA778" s="105"/>
    </row>
    <row r="779">
      <c r="B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c r="AA779" s="105"/>
      <c r="AB779" s="105"/>
      <c r="AC779" s="105"/>
      <c r="AD779" s="105"/>
      <c r="AE779" s="105"/>
      <c r="AF779" s="105"/>
      <c r="AG779" s="105"/>
      <c r="AH779" s="105"/>
      <c r="AI779" s="105"/>
      <c r="AJ779" s="105"/>
      <c r="AK779" s="105"/>
      <c r="AL779" s="105"/>
      <c r="AM779" s="105"/>
      <c r="AN779" s="105"/>
      <c r="AO779" s="105"/>
      <c r="AP779" s="105"/>
      <c r="AQ779" s="105"/>
      <c r="AR779" s="105"/>
      <c r="AS779" s="105"/>
      <c r="AT779" s="105"/>
      <c r="AU779" s="105"/>
      <c r="AV779" s="105"/>
      <c r="AW779" s="105"/>
      <c r="AX779" s="105"/>
      <c r="AY779" s="105"/>
      <c r="AZ779" s="105"/>
      <c r="BA779" s="105"/>
      <c r="BB779" s="105"/>
      <c r="BC779" s="105"/>
      <c r="BD779" s="105"/>
      <c r="BE779" s="105"/>
      <c r="BF779" s="105"/>
      <c r="BG779" s="105"/>
      <c r="BH779" s="105"/>
      <c r="BI779" s="105"/>
      <c r="BJ779" s="105"/>
      <c r="BK779" s="105"/>
      <c r="BL779" s="105"/>
      <c r="BM779" s="105"/>
      <c r="BN779" s="105"/>
      <c r="BO779" s="105"/>
      <c r="BP779" s="105"/>
      <c r="BQ779" s="105"/>
      <c r="BR779" s="105"/>
      <c r="BS779" s="105"/>
      <c r="BT779" s="105"/>
      <c r="BU779" s="105"/>
      <c r="BV779" s="105"/>
      <c r="BW779" s="105"/>
      <c r="BX779" s="105"/>
      <c r="BY779" s="105"/>
      <c r="BZ779" s="105"/>
      <c r="CA779" s="105"/>
      <c r="CB779" s="105"/>
      <c r="CC779" s="105"/>
      <c r="CD779" s="105"/>
      <c r="CE779" s="105"/>
      <c r="CF779" s="105"/>
      <c r="CG779" s="105"/>
      <c r="CH779" s="105"/>
      <c r="CI779" s="105"/>
      <c r="CJ779" s="105"/>
      <c r="CK779" s="105"/>
      <c r="CL779" s="105"/>
      <c r="CM779" s="105"/>
      <c r="CN779" s="105"/>
      <c r="CO779" s="105"/>
      <c r="CP779" s="105"/>
      <c r="CQ779" s="105"/>
      <c r="CR779" s="105"/>
      <c r="CS779" s="105"/>
      <c r="CT779" s="105"/>
      <c r="CU779" s="105"/>
      <c r="CV779" s="105"/>
      <c r="CW779" s="105"/>
      <c r="CX779" s="105"/>
      <c r="CY779" s="105"/>
      <c r="CZ779" s="105"/>
      <c r="DA779" s="105"/>
    </row>
    <row r="780">
      <c r="B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c r="AA780" s="105"/>
      <c r="AB780" s="105"/>
      <c r="AC780" s="105"/>
      <c r="AD780" s="105"/>
      <c r="AE780" s="105"/>
      <c r="AF780" s="105"/>
      <c r="AG780" s="105"/>
      <c r="AH780" s="105"/>
      <c r="AI780" s="105"/>
      <c r="AJ780" s="105"/>
      <c r="AK780" s="105"/>
      <c r="AL780" s="105"/>
      <c r="AM780" s="105"/>
      <c r="AN780" s="105"/>
      <c r="AO780" s="105"/>
      <c r="AP780" s="105"/>
      <c r="AQ780" s="105"/>
      <c r="AR780" s="105"/>
      <c r="AS780" s="105"/>
      <c r="AT780" s="105"/>
      <c r="AU780" s="105"/>
      <c r="AV780" s="105"/>
      <c r="AW780" s="105"/>
      <c r="AX780" s="105"/>
      <c r="AY780" s="105"/>
      <c r="AZ780" s="105"/>
      <c r="BA780" s="105"/>
      <c r="BB780" s="105"/>
      <c r="BC780" s="105"/>
      <c r="BD780" s="105"/>
      <c r="BE780" s="105"/>
      <c r="BF780" s="105"/>
      <c r="BG780" s="105"/>
      <c r="BH780" s="105"/>
      <c r="BI780" s="105"/>
      <c r="BJ780" s="105"/>
      <c r="BK780" s="105"/>
      <c r="BL780" s="105"/>
      <c r="BM780" s="105"/>
      <c r="BN780" s="105"/>
      <c r="BO780" s="105"/>
      <c r="BP780" s="105"/>
      <c r="BQ780" s="105"/>
      <c r="BR780" s="105"/>
      <c r="BS780" s="105"/>
      <c r="BT780" s="105"/>
      <c r="BU780" s="105"/>
      <c r="BV780" s="105"/>
      <c r="BW780" s="105"/>
      <c r="BX780" s="105"/>
      <c r="BY780" s="105"/>
      <c r="BZ780" s="105"/>
      <c r="CA780" s="105"/>
      <c r="CB780" s="105"/>
      <c r="CC780" s="105"/>
      <c r="CD780" s="105"/>
      <c r="CE780" s="105"/>
      <c r="CF780" s="105"/>
      <c r="CG780" s="105"/>
      <c r="CH780" s="105"/>
      <c r="CI780" s="105"/>
      <c r="CJ780" s="105"/>
      <c r="CK780" s="105"/>
      <c r="CL780" s="105"/>
      <c r="CM780" s="105"/>
      <c r="CN780" s="105"/>
      <c r="CO780" s="105"/>
      <c r="CP780" s="105"/>
      <c r="CQ780" s="105"/>
      <c r="CR780" s="105"/>
      <c r="CS780" s="105"/>
      <c r="CT780" s="105"/>
      <c r="CU780" s="105"/>
      <c r="CV780" s="105"/>
      <c r="CW780" s="105"/>
      <c r="CX780" s="105"/>
      <c r="CY780" s="105"/>
      <c r="CZ780" s="105"/>
      <c r="DA780" s="105"/>
    </row>
    <row r="781">
      <c r="B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c r="AA781" s="105"/>
      <c r="AB781" s="105"/>
      <c r="AC781" s="105"/>
      <c r="AD781" s="105"/>
      <c r="AE781" s="105"/>
      <c r="AF781" s="105"/>
      <c r="AG781" s="105"/>
      <c r="AH781" s="105"/>
      <c r="AI781" s="105"/>
      <c r="AJ781" s="105"/>
      <c r="AK781" s="105"/>
      <c r="AL781" s="105"/>
      <c r="AM781" s="105"/>
      <c r="AN781" s="105"/>
      <c r="AO781" s="105"/>
      <c r="AP781" s="105"/>
      <c r="AQ781" s="105"/>
      <c r="AR781" s="105"/>
      <c r="AS781" s="105"/>
      <c r="AT781" s="105"/>
      <c r="AU781" s="105"/>
      <c r="AV781" s="105"/>
      <c r="AW781" s="105"/>
      <c r="AX781" s="105"/>
      <c r="AY781" s="105"/>
      <c r="AZ781" s="105"/>
      <c r="BA781" s="105"/>
      <c r="BB781" s="105"/>
      <c r="BC781" s="105"/>
      <c r="BD781" s="105"/>
      <c r="BE781" s="105"/>
      <c r="BF781" s="105"/>
      <c r="BG781" s="105"/>
      <c r="BH781" s="105"/>
      <c r="BI781" s="105"/>
      <c r="BJ781" s="105"/>
      <c r="BK781" s="105"/>
      <c r="BL781" s="105"/>
      <c r="BM781" s="105"/>
      <c r="BN781" s="105"/>
      <c r="BO781" s="105"/>
      <c r="BP781" s="105"/>
      <c r="BQ781" s="105"/>
      <c r="BR781" s="105"/>
      <c r="BS781" s="105"/>
      <c r="BT781" s="105"/>
      <c r="BU781" s="105"/>
      <c r="BV781" s="105"/>
      <c r="BW781" s="105"/>
      <c r="BX781" s="105"/>
      <c r="BY781" s="105"/>
      <c r="BZ781" s="105"/>
      <c r="CA781" s="105"/>
      <c r="CB781" s="105"/>
      <c r="CC781" s="105"/>
      <c r="CD781" s="105"/>
      <c r="CE781" s="105"/>
      <c r="CF781" s="105"/>
      <c r="CG781" s="105"/>
      <c r="CH781" s="105"/>
      <c r="CI781" s="105"/>
      <c r="CJ781" s="105"/>
      <c r="CK781" s="105"/>
      <c r="CL781" s="105"/>
      <c r="CM781" s="105"/>
      <c r="CN781" s="105"/>
      <c r="CO781" s="105"/>
      <c r="CP781" s="105"/>
      <c r="CQ781" s="105"/>
      <c r="CR781" s="105"/>
      <c r="CS781" s="105"/>
      <c r="CT781" s="105"/>
      <c r="CU781" s="105"/>
      <c r="CV781" s="105"/>
      <c r="CW781" s="105"/>
      <c r="CX781" s="105"/>
      <c r="CY781" s="105"/>
      <c r="CZ781" s="105"/>
      <c r="DA781" s="105"/>
    </row>
    <row r="782">
      <c r="B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c r="AA782" s="105"/>
      <c r="AB782" s="105"/>
      <c r="AC782" s="105"/>
      <c r="AD782" s="105"/>
      <c r="AE782" s="105"/>
      <c r="AF782" s="105"/>
      <c r="AG782" s="105"/>
      <c r="AH782" s="105"/>
      <c r="AI782" s="105"/>
      <c r="AJ782" s="105"/>
      <c r="AK782" s="105"/>
      <c r="AL782" s="105"/>
      <c r="AM782" s="105"/>
      <c r="AN782" s="105"/>
      <c r="AO782" s="105"/>
      <c r="AP782" s="105"/>
      <c r="AQ782" s="105"/>
      <c r="AR782" s="105"/>
      <c r="AS782" s="105"/>
      <c r="AT782" s="105"/>
      <c r="AU782" s="105"/>
      <c r="AV782" s="105"/>
      <c r="AW782" s="105"/>
      <c r="AX782" s="105"/>
      <c r="AY782" s="105"/>
      <c r="AZ782" s="105"/>
      <c r="BA782" s="105"/>
      <c r="BB782" s="105"/>
      <c r="BC782" s="105"/>
      <c r="BD782" s="105"/>
      <c r="BE782" s="105"/>
      <c r="BF782" s="105"/>
      <c r="BG782" s="105"/>
      <c r="BH782" s="105"/>
      <c r="BI782" s="105"/>
      <c r="BJ782" s="105"/>
      <c r="BK782" s="105"/>
      <c r="BL782" s="105"/>
      <c r="BM782" s="105"/>
      <c r="BN782" s="105"/>
      <c r="BO782" s="105"/>
      <c r="BP782" s="105"/>
      <c r="BQ782" s="105"/>
      <c r="BR782" s="105"/>
      <c r="BS782" s="105"/>
      <c r="BT782" s="105"/>
      <c r="BU782" s="105"/>
      <c r="BV782" s="105"/>
      <c r="BW782" s="105"/>
      <c r="BX782" s="105"/>
      <c r="BY782" s="105"/>
      <c r="BZ782" s="105"/>
      <c r="CA782" s="105"/>
      <c r="CB782" s="105"/>
      <c r="CC782" s="105"/>
      <c r="CD782" s="105"/>
      <c r="CE782" s="105"/>
      <c r="CF782" s="105"/>
      <c r="CG782" s="105"/>
      <c r="CH782" s="105"/>
      <c r="CI782" s="105"/>
      <c r="CJ782" s="105"/>
      <c r="CK782" s="105"/>
      <c r="CL782" s="105"/>
      <c r="CM782" s="105"/>
      <c r="CN782" s="105"/>
      <c r="CO782" s="105"/>
      <c r="CP782" s="105"/>
      <c r="CQ782" s="105"/>
      <c r="CR782" s="105"/>
      <c r="CS782" s="105"/>
      <c r="CT782" s="105"/>
      <c r="CU782" s="105"/>
      <c r="CV782" s="105"/>
      <c r="CW782" s="105"/>
      <c r="CX782" s="105"/>
      <c r="CY782" s="105"/>
      <c r="CZ782" s="105"/>
      <c r="DA782" s="105"/>
    </row>
    <row r="783">
      <c r="B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c r="AA783" s="105"/>
      <c r="AB783" s="105"/>
      <c r="AC783" s="105"/>
      <c r="AD783" s="105"/>
      <c r="AE783" s="105"/>
      <c r="AF783" s="105"/>
      <c r="AG783" s="105"/>
      <c r="AH783" s="105"/>
      <c r="AI783" s="105"/>
      <c r="AJ783" s="105"/>
      <c r="AK783" s="105"/>
      <c r="AL783" s="105"/>
      <c r="AM783" s="105"/>
      <c r="AN783" s="105"/>
      <c r="AO783" s="105"/>
      <c r="AP783" s="105"/>
      <c r="AQ783" s="105"/>
      <c r="AR783" s="105"/>
      <c r="AS783" s="105"/>
      <c r="AT783" s="105"/>
      <c r="AU783" s="105"/>
      <c r="AV783" s="105"/>
      <c r="AW783" s="105"/>
      <c r="AX783" s="105"/>
      <c r="AY783" s="105"/>
      <c r="AZ783" s="105"/>
      <c r="BA783" s="105"/>
      <c r="BB783" s="105"/>
      <c r="BC783" s="105"/>
      <c r="BD783" s="105"/>
      <c r="BE783" s="105"/>
      <c r="BF783" s="105"/>
      <c r="BG783" s="105"/>
      <c r="BH783" s="105"/>
      <c r="BI783" s="105"/>
      <c r="BJ783" s="105"/>
      <c r="BK783" s="105"/>
      <c r="BL783" s="105"/>
      <c r="BM783" s="105"/>
      <c r="BN783" s="105"/>
      <c r="BO783" s="105"/>
      <c r="BP783" s="105"/>
      <c r="BQ783" s="105"/>
      <c r="BR783" s="105"/>
      <c r="BS783" s="105"/>
      <c r="BT783" s="105"/>
      <c r="BU783" s="105"/>
      <c r="BV783" s="105"/>
      <c r="BW783" s="105"/>
      <c r="BX783" s="105"/>
      <c r="BY783" s="105"/>
      <c r="BZ783" s="105"/>
      <c r="CA783" s="105"/>
      <c r="CB783" s="105"/>
      <c r="CC783" s="105"/>
      <c r="CD783" s="105"/>
      <c r="CE783" s="105"/>
      <c r="CF783" s="105"/>
      <c r="CG783" s="105"/>
      <c r="CH783" s="105"/>
      <c r="CI783" s="105"/>
      <c r="CJ783" s="105"/>
      <c r="CK783" s="105"/>
      <c r="CL783" s="105"/>
      <c r="CM783" s="105"/>
      <c r="CN783" s="105"/>
      <c r="CO783" s="105"/>
      <c r="CP783" s="105"/>
      <c r="CQ783" s="105"/>
      <c r="CR783" s="105"/>
      <c r="CS783" s="105"/>
      <c r="CT783" s="105"/>
      <c r="CU783" s="105"/>
      <c r="CV783" s="105"/>
      <c r="CW783" s="105"/>
      <c r="CX783" s="105"/>
      <c r="CY783" s="105"/>
      <c r="CZ783" s="105"/>
      <c r="DA783" s="105"/>
    </row>
    <row r="784">
      <c r="B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c r="AA784" s="105"/>
      <c r="AB784" s="105"/>
      <c r="AC784" s="105"/>
      <c r="AD784" s="105"/>
      <c r="AE784" s="105"/>
      <c r="AF784" s="105"/>
      <c r="AG784" s="105"/>
      <c r="AH784" s="105"/>
      <c r="AI784" s="105"/>
      <c r="AJ784" s="105"/>
      <c r="AK784" s="105"/>
      <c r="AL784" s="105"/>
      <c r="AM784" s="105"/>
      <c r="AN784" s="105"/>
      <c r="AO784" s="105"/>
      <c r="AP784" s="105"/>
      <c r="AQ784" s="105"/>
      <c r="AR784" s="105"/>
      <c r="AS784" s="105"/>
      <c r="AT784" s="105"/>
      <c r="AU784" s="105"/>
      <c r="AV784" s="105"/>
      <c r="AW784" s="105"/>
      <c r="AX784" s="105"/>
      <c r="AY784" s="105"/>
      <c r="AZ784" s="105"/>
      <c r="BA784" s="105"/>
      <c r="BB784" s="105"/>
      <c r="BC784" s="105"/>
      <c r="BD784" s="105"/>
      <c r="BE784" s="105"/>
      <c r="BF784" s="105"/>
      <c r="BG784" s="105"/>
      <c r="BH784" s="105"/>
      <c r="BI784" s="105"/>
      <c r="BJ784" s="105"/>
      <c r="BK784" s="105"/>
      <c r="BL784" s="105"/>
      <c r="BM784" s="105"/>
      <c r="BN784" s="105"/>
      <c r="BO784" s="105"/>
      <c r="BP784" s="105"/>
      <c r="BQ784" s="105"/>
      <c r="BR784" s="105"/>
      <c r="BS784" s="105"/>
      <c r="BT784" s="105"/>
      <c r="BU784" s="105"/>
      <c r="BV784" s="105"/>
      <c r="BW784" s="105"/>
      <c r="BX784" s="105"/>
      <c r="BY784" s="105"/>
      <c r="BZ784" s="105"/>
      <c r="CA784" s="105"/>
      <c r="CB784" s="105"/>
      <c r="CC784" s="105"/>
      <c r="CD784" s="105"/>
      <c r="CE784" s="105"/>
      <c r="CF784" s="105"/>
      <c r="CG784" s="105"/>
      <c r="CH784" s="105"/>
      <c r="CI784" s="105"/>
      <c r="CJ784" s="105"/>
      <c r="CK784" s="105"/>
      <c r="CL784" s="105"/>
      <c r="CM784" s="105"/>
      <c r="CN784" s="105"/>
      <c r="CO784" s="105"/>
      <c r="CP784" s="105"/>
      <c r="CQ784" s="105"/>
      <c r="CR784" s="105"/>
      <c r="CS784" s="105"/>
      <c r="CT784" s="105"/>
      <c r="CU784" s="105"/>
      <c r="CV784" s="105"/>
      <c r="CW784" s="105"/>
      <c r="CX784" s="105"/>
      <c r="CY784" s="105"/>
      <c r="CZ784" s="105"/>
      <c r="DA784" s="105"/>
    </row>
    <row r="785">
      <c r="B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c r="AA785" s="105"/>
      <c r="AB785" s="105"/>
      <c r="AC785" s="105"/>
      <c r="AD785" s="105"/>
      <c r="AE785" s="105"/>
      <c r="AF785" s="105"/>
      <c r="AG785" s="105"/>
      <c r="AH785" s="105"/>
      <c r="AI785" s="105"/>
      <c r="AJ785" s="105"/>
      <c r="AK785" s="105"/>
      <c r="AL785" s="105"/>
      <c r="AM785" s="105"/>
      <c r="AN785" s="105"/>
      <c r="AO785" s="105"/>
      <c r="AP785" s="105"/>
      <c r="AQ785" s="105"/>
      <c r="AR785" s="105"/>
      <c r="AS785" s="105"/>
      <c r="AT785" s="105"/>
      <c r="AU785" s="105"/>
      <c r="AV785" s="105"/>
      <c r="AW785" s="105"/>
      <c r="AX785" s="105"/>
      <c r="AY785" s="105"/>
      <c r="AZ785" s="105"/>
      <c r="BA785" s="105"/>
      <c r="BB785" s="105"/>
      <c r="BC785" s="105"/>
      <c r="BD785" s="105"/>
      <c r="BE785" s="105"/>
      <c r="BF785" s="105"/>
      <c r="BG785" s="105"/>
      <c r="BH785" s="105"/>
      <c r="BI785" s="105"/>
      <c r="BJ785" s="105"/>
      <c r="BK785" s="105"/>
      <c r="BL785" s="105"/>
      <c r="BM785" s="105"/>
      <c r="BN785" s="105"/>
      <c r="BO785" s="105"/>
      <c r="BP785" s="105"/>
      <c r="BQ785" s="105"/>
      <c r="BR785" s="105"/>
      <c r="BS785" s="105"/>
      <c r="BT785" s="105"/>
      <c r="BU785" s="105"/>
      <c r="BV785" s="105"/>
      <c r="BW785" s="105"/>
      <c r="BX785" s="105"/>
      <c r="BY785" s="105"/>
      <c r="BZ785" s="105"/>
      <c r="CA785" s="105"/>
      <c r="CB785" s="105"/>
      <c r="CC785" s="105"/>
      <c r="CD785" s="105"/>
      <c r="CE785" s="105"/>
      <c r="CF785" s="105"/>
      <c r="CG785" s="105"/>
      <c r="CH785" s="105"/>
      <c r="CI785" s="105"/>
      <c r="CJ785" s="105"/>
      <c r="CK785" s="105"/>
      <c r="CL785" s="105"/>
      <c r="CM785" s="105"/>
      <c r="CN785" s="105"/>
      <c r="CO785" s="105"/>
      <c r="CP785" s="105"/>
      <c r="CQ785" s="105"/>
      <c r="CR785" s="105"/>
      <c r="CS785" s="105"/>
      <c r="CT785" s="105"/>
      <c r="CU785" s="105"/>
      <c r="CV785" s="105"/>
      <c r="CW785" s="105"/>
      <c r="CX785" s="105"/>
      <c r="CY785" s="105"/>
      <c r="CZ785" s="105"/>
      <c r="DA785" s="105"/>
    </row>
    <row r="786">
      <c r="B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c r="AA786" s="105"/>
      <c r="AB786" s="105"/>
      <c r="AC786" s="105"/>
      <c r="AD786" s="105"/>
      <c r="AE786" s="105"/>
      <c r="AF786" s="105"/>
      <c r="AG786" s="105"/>
      <c r="AH786" s="105"/>
      <c r="AI786" s="105"/>
      <c r="AJ786" s="105"/>
      <c r="AK786" s="105"/>
      <c r="AL786" s="105"/>
      <c r="AM786" s="105"/>
      <c r="AN786" s="105"/>
      <c r="AO786" s="105"/>
      <c r="AP786" s="105"/>
      <c r="AQ786" s="105"/>
      <c r="AR786" s="105"/>
      <c r="AS786" s="105"/>
      <c r="AT786" s="105"/>
      <c r="AU786" s="105"/>
      <c r="AV786" s="105"/>
      <c r="AW786" s="105"/>
      <c r="AX786" s="105"/>
      <c r="AY786" s="105"/>
      <c r="AZ786" s="105"/>
      <c r="BA786" s="105"/>
      <c r="BB786" s="105"/>
      <c r="BC786" s="105"/>
      <c r="BD786" s="105"/>
      <c r="BE786" s="105"/>
      <c r="BF786" s="105"/>
      <c r="BG786" s="105"/>
      <c r="BH786" s="105"/>
      <c r="BI786" s="105"/>
      <c r="BJ786" s="105"/>
      <c r="BK786" s="105"/>
      <c r="BL786" s="105"/>
      <c r="BM786" s="105"/>
      <c r="BN786" s="105"/>
      <c r="BO786" s="105"/>
      <c r="BP786" s="105"/>
      <c r="BQ786" s="105"/>
      <c r="BR786" s="105"/>
      <c r="BS786" s="105"/>
      <c r="BT786" s="105"/>
      <c r="BU786" s="105"/>
      <c r="BV786" s="105"/>
      <c r="BW786" s="105"/>
      <c r="BX786" s="105"/>
      <c r="BY786" s="105"/>
      <c r="BZ786" s="105"/>
      <c r="CA786" s="105"/>
      <c r="CB786" s="105"/>
      <c r="CC786" s="105"/>
      <c r="CD786" s="105"/>
      <c r="CE786" s="105"/>
      <c r="CF786" s="105"/>
      <c r="CG786" s="105"/>
      <c r="CH786" s="105"/>
      <c r="CI786" s="105"/>
      <c r="CJ786" s="105"/>
      <c r="CK786" s="105"/>
      <c r="CL786" s="105"/>
      <c r="CM786" s="105"/>
      <c r="CN786" s="105"/>
      <c r="CO786" s="105"/>
      <c r="CP786" s="105"/>
      <c r="CQ786" s="105"/>
      <c r="CR786" s="105"/>
      <c r="CS786" s="105"/>
      <c r="CT786" s="105"/>
      <c r="CU786" s="105"/>
      <c r="CV786" s="105"/>
      <c r="CW786" s="105"/>
      <c r="CX786" s="105"/>
      <c r="CY786" s="105"/>
      <c r="CZ786" s="105"/>
      <c r="DA786" s="105"/>
    </row>
    <row r="787">
      <c r="B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c r="AA787" s="105"/>
      <c r="AB787" s="105"/>
      <c r="AC787" s="105"/>
      <c r="AD787" s="105"/>
      <c r="AE787" s="105"/>
      <c r="AF787" s="105"/>
      <c r="AG787" s="105"/>
      <c r="AH787" s="105"/>
      <c r="AI787" s="105"/>
      <c r="AJ787" s="105"/>
      <c r="AK787" s="105"/>
      <c r="AL787" s="105"/>
      <c r="AM787" s="105"/>
      <c r="AN787" s="105"/>
      <c r="AO787" s="105"/>
      <c r="AP787" s="105"/>
      <c r="AQ787" s="105"/>
      <c r="AR787" s="105"/>
      <c r="AS787" s="105"/>
      <c r="AT787" s="105"/>
      <c r="AU787" s="105"/>
      <c r="AV787" s="105"/>
      <c r="AW787" s="105"/>
      <c r="AX787" s="105"/>
      <c r="AY787" s="105"/>
      <c r="AZ787" s="105"/>
      <c r="BA787" s="105"/>
      <c r="BB787" s="105"/>
      <c r="BC787" s="105"/>
      <c r="BD787" s="105"/>
      <c r="BE787" s="105"/>
      <c r="BF787" s="105"/>
      <c r="BG787" s="105"/>
      <c r="BH787" s="105"/>
      <c r="BI787" s="105"/>
      <c r="BJ787" s="105"/>
      <c r="BK787" s="105"/>
      <c r="BL787" s="105"/>
      <c r="BM787" s="105"/>
      <c r="BN787" s="105"/>
      <c r="BO787" s="105"/>
      <c r="BP787" s="105"/>
      <c r="BQ787" s="105"/>
      <c r="BR787" s="105"/>
      <c r="BS787" s="105"/>
      <c r="BT787" s="105"/>
      <c r="BU787" s="105"/>
      <c r="BV787" s="105"/>
      <c r="BW787" s="105"/>
      <c r="BX787" s="105"/>
      <c r="BY787" s="105"/>
      <c r="BZ787" s="105"/>
      <c r="CA787" s="105"/>
      <c r="CB787" s="105"/>
      <c r="CC787" s="105"/>
      <c r="CD787" s="105"/>
      <c r="CE787" s="105"/>
      <c r="CF787" s="105"/>
      <c r="CG787" s="105"/>
      <c r="CH787" s="105"/>
      <c r="CI787" s="105"/>
      <c r="CJ787" s="105"/>
      <c r="CK787" s="105"/>
      <c r="CL787" s="105"/>
      <c r="CM787" s="105"/>
      <c r="CN787" s="105"/>
      <c r="CO787" s="105"/>
      <c r="CP787" s="105"/>
      <c r="CQ787" s="105"/>
      <c r="CR787" s="105"/>
      <c r="CS787" s="105"/>
      <c r="CT787" s="105"/>
      <c r="CU787" s="105"/>
      <c r="CV787" s="105"/>
      <c r="CW787" s="105"/>
      <c r="CX787" s="105"/>
      <c r="CY787" s="105"/>
      <c r="CZ787" s="105"/>
      <c r="DA787" s="105"/>
    </row>
    <row r="788">
      <c r="B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c r="AA788" s="105"/>
      <c r="AB788" s="105"/>
      <c r="AC788" s="105"/>
      <c r="AD788" s="105"/>
      <c r="AE788" s="105"/>
      <c r="AF788" s="105"/>
      <c r="AG788" s="105"/>
      <c r="AH788" s="105"/>
      <c r="AI788" s="105"/>
      <c r="AJ788" s="105"/>
      <c r="AK788" s="105"/>
      <c r="AL788" s="105"/>
      <c r="AM788" s="105"/>
      <c r="AN788" s="105"/>
      <c r="AO788" s="105"/>
      <c r="AP788" s="105"/>
      <c r="AQ788" s="105"/>
      <c r="AR788" s="105"/>
      <c r="AS788" s="105"/>
      <c r="AT788" s="105"/>
      <c r="AU788" s="105"/>
      <c r="AV788" s="105"/>
      <c r="AW788" s="105"/>
      <c r="AX788" s="105"/>
      <c r="AY788" s="105"/>
      <c r="AZ788" s="105"/>
      <c r="BA788" s="105"/>
      <c r="BB788" s="105"/>
      <c r="BC788" s="105"/>
      <c r="BD788" s="105"/>
      <c r="BE788" s="105"/>
      <c r="BF788" s="105"/>
      <c r="BG788" s="105"/>
      <c r="BH788" s="105"/>
      <c r="BI788" s="105"/>
      <c r="BJ788" s="105"/>
      <c r="BK788" s="105"/>
      <c r="BL788" s="105"/>
      <c r="BM788" s="105"/>
      <c r="BN788" s="105"/>
      <c r="BO788" s="105"/>
      <c r="BP788" s="105"/>
      <c r="BQ788" s="105"/>
      <c r="BR788" s="105"/>
      <c r="BS788" s="105"/>
      <c r="BT788" s="105"/>
      <c r="BU788" s="105"/>
      <c r="BV788" s="105"/>
      <c r="BW788" s="105"/>
      <c r="BX788" s="105"/>
      <c r="BY788" s="105"/>
      <c r="BZ788" s="105"/>
      <c r="CA788" s="105"/>
      <c r="CB788" s="105"/>
      <c r="CC788" s="105"/>
      <c r="CD788" s="105"/>
      <c r="CE788" s="105"/>
      <c r="CF788" s="105"/>
      <c r="CG788" s="105"/>
      <c r="CH788" s="105"/>
      <c r="CI788" s="105"/>
      <c r="CJ788" s="105"/>
      <c r="CK788" s="105"/>
      <c r="CL788" s="105"/>
      <c r="CM788" s="105"/>
      <c r="CN788" s="105"/>
      <c r="CO788" s="105"/>
      <c r="CP788" s="105"/>
      <c r="CQ788" s="105"/>
      <c r="CR788" s="105"/>
      <c r="CS788" s="105"/>
      <c r="CT788" s="105"/>
      <c r="CU788" s="105"/>
      <c r="CV788" s="105"/>
      <c r="CW788" s="105"/>
      <c r="CX788" s="105"/>
      <c r="CY788" s="105"/>
      <c r="CZ788" s="105"/>
      <c r="DA788" s="105"/>
    </row>
    <row r="789">
      <c r="B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c r="AA789" s="105"/>
      <c r="AB789" s="105"/>
      <c r="AC789" s="105"/>
      <c r="AD789" s="105"/>
      <c r="AE789" s="105"/>
      <c r="AF789" s="105"/>
      <c r="AG789" s="105"/>
      <c r="AH789" s="105"/>
      <c r="AI789" s="105"/>
      <c r="AJ789" s="105"/>
      <c r="AK789" s="105"/>
      <c r="AL789" s="105"/>
      <c r="AM789" s="105"/>
      <c r="AN789" s="105"/>
      <c r="AO789" s="105"/>
      <c r="AP789" s="105"/>
      <c r="AQ789" s="105"/>
      <c r="AR789" s="105"/>
      <c r="AS789" s="105"/>
      <c r="AT789" s="105"/>
      <c r="AU789" s="105"/>
      <c r="AV789" s="105"/>
      <c r="AW789" s="105"/>
      <c r="AX789" s="105"/>
      <c r="AY789" s="105"/>
      <c r="AZ789" s="105"/>
      <c r="BA789" s="105"/>
      <c r="BB789" s="105"/>
      <c r="BC789" s="105"/>
      <c r="BD789" s="105"/>
      <c r="BE789" s="105"/>
      <c r="BF789" s="105"/>
      <c r="BG789" s="105"/>
      <c r="BH789" s="105"/>
      <c r="BI789" s="105"/>
      <c r="BJ789" s="105"/>
      <c r="BK789" s="105"/>
      <c r="BL789" s="105"/>
      <c r="BM789" s="105"/>
      <c r="BN789" s="105"/>
      <c r="BO789" s="105"/>
      <c r="BP789" s="105"/>
      <c r="BQ789" s="105"/>
      <c r="BR789" s="105"/>
      <c r="BS789" s="105"/>
      <c r="BT789" s="105"/>
      <c r="BU789" s="105"/>
      <c r="BV789" s="105"/>
      <c r="BW789" s="105"/>
      <c r="BX789" s="105"/>
      <c r="BY789" s="105"/>
      <c r="BZ789" s="105"/>
      <c r="CA789" s="105"/>
      <c r="CB789" s="105"/>
      <c r="CC789" s="105"/>
      <c r="CD789" s="105"/>
      <c r="CE789" s="105"/>
      <c r="CF789" s="105"/>
      <c r="CG789" s="105"/>
      <c r="CH789" s="105"/>
      <c r="CI789" s="105"/>
      <c r="CJ789" s="105"/>
      <c r="CK789" s="105"/>
      <c r="CL789" s="105"/>
      <c r="CM789" s="105"/>
      <c r="CN789" s="105"/>
      <c r="CO789" s="105"/>
      <c r="CP789" s="105"/>
      <c r="CQ789" s="105"/>
      <c r="CR789" s="105"/>
      <c r="CS789" s="105"/>
      <c r="CT789" s="105"/>
      <c r="CU789" s="105"/>
      <c r="CV789" s="105"/>
      <c r="CW789" s="105"/>
      <c r="CX789" s="105"/>
      <c r="CY789" s="105"/>
      <c r="CZ789" s="105"/>
      <c r="DA789" s="105"/>
    </row>
    <row r="790">
      <c r="B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c r="AA790" s="105"/>
      <c r="AB790" s="105"/>
      <c r="AC790" s="105"/>
      <c r="AD790" s="105"/>
      <c r="AE790" s="105"/>
      <c r="AF790" s="105"/>
      <c r="AG790" s="105"/>
      <c r="AH790" s="105"/>
      <c r="AI790" s="105"/>
      <c r="AJ790" s="105"/>
      <c r="AK790" s="105"/>
      <c r="AL790" s="105"/>
      <c r="AM790" s="105"/>
      <c r="AN790" s="105"/>
      <c r="AO790" s="105"/>
      <c r="AP790" s="105"/>
      <c r="AQ790" s="105"/>
      <c r="AR790" s="105"/>
      <c r="AS790" s="105"/>
      <c r="AT790" s="105"/>
      <c r="AU790" s="105"/>
      <c r="AV790" s="105"/>
      <c r="AW790" s="105"/>
      <c r="AX790" s="105"/>
      <c r="AY790" s="105"/>
      <c r="AZ790" s="105"/>
      <c r="BA790" s="105"/>
      <c r="BB790" s="105"/>
      <c r="BC790" s="105"/>
      <c r="BD790" s="105"/>
      <c r="BE790" s="105"/>
      <c r="BF790" s="105"/>
      <c r="BG790" s="105"/>
      <c r="BH790" s="105"/>
      <c r="BI790" s="105"/>
      <c r="BJ790" s="105"/>
      <c r="BK790" s="105"/>
      <c r="BL790" s="105"/>
      <c r="BM790" s="105"/>
      <c r="BN790" s="105"/>
      <c r="BO790" s="105"/>
      <c r="BP790" s="105"/>
      <c r="BQ790" s="105"/>
      <c r="BR790" s="105"/>
      <c r="BS790" s="105"/>
      <c r="BT790" s="105"/>
      <c r="BU790" s="105"/>
      <c r="BV790" s="105"/>
      <c r="BW790" s="105"/>
      <c r="BX790" s="105"/>
      <c r="BY790" s="105"/>
      <c r="BZ790" s="105"/>
      <c r="CA790" s="105"/>
      <c r="CB790" s="105"/>
      <c r="CC790" s="105"/>
      <c r="CD790" s="105"/>
      <c r="CE790" s="105"/>
      <c r="CF790" s="105"/>
      <c r="CG790" s="105"/>
      <c r="CH790" s="105"/>
      <c r="CI790" s="105"/>
      <c r="CJ790" s="105"/>
      <c r="CK790" s="105"/>
      <c r="CL790" s="105"/>
      <c r="CM790" s="105"/>
      <c r="CN790" s="105"/>
      <c r="CO790" s="105"/>
      <c r="CP790" s="105"/>
      <c r="CQ790" s="105"/>
      <c r="CR790" s="105"/>
      <c r="CS790" s="105"/>
      <c r="CT790" s="105"/>
      <c r="CU790" s="105"/>
      <c r="CV790" s="105"/>
      <c r="CW790" s="105"/>
      <c r="CX790" s="105"/>
      <c r="CY790" s="105"/>
      <c r="CZ790" s="105"/>
      <c r="DA790" s="105"/>
    </row>
    <row r="791">
      <c r="B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c r="AA791" s="105"/>
      <c r="AB791" s="105"/>
      <c r="AC791" s="105"/>
      <c r="AD791" s="105"/>
      <c r="AE791" s="105"/>
      <c r="AF791" s="105"/>
      <c r="AG791" s="105"/>
      <c r="AH791" s="105"/>
      <c r="AI791" s="105"/>
      <c r="AJ791" s="105"/>
      <c r="AK791" s="105"/>
      <c r="AL791" s="105"/>
      <c r="AM791" s="105"/>
      <c r="AN791" s="105"/>
      <c r="AO791" s="105"/>
      <c r="AP791" s="105"/>
      <c r="AQ791" s="105"/>
      <c r="AR791" s="105"/>
      <c r="AS791" s="105"/>
      <c r="AT791" s="105"/>
      <c r="AU791" s="105"/>
      <c r="AV791" s="105"/>
      <c r="AW791" s="105"/>
      <c r="AX791" s="105"/>
      <c r="AY791" s="105"/>
      <c r="AZ791" s="105"/>
      <c r="BA791" s="105"/>
      <c r="BB791" s="105"/>
      <c r="BC791" s="105"/>
      <c r="BD791" s="105"/>
      <c r="BE791" s="105"/>
      <c r="BF791" s="105"/>
      <c r="BG791" s="105"/>
      <c r="BH791" s="105"/>
      <c r="BI791" s="105"/>
      <c r="BJ791" s="105"/>
      <c r="BK791" s="105"/>
      <c r="BL791" s="105"/>
      <c r="BM791" s="105"/>
      <c r="BN791" s="105"/>
      <c r="BO791" s="105"/>
      <c r="BP791" s="105"/>
      <c r="BQ791" s="105"/>
      <c r="BR791" s="105"/>
      <c r="BS791" s="105"/>
      <c r="BT791" s="105"/>
      <c r="BU791" s="105"/>
      <c r="BV791" s="105"/>
      <c r="BW791" s="105"/>
      <c r="BX791" s="105"/>
      <c r="BY791" s="105"/>
      <c r="BZ791" s="105"/>
      <c r="CA791" s="105"/>
      <c r="CB791" s="105"/>
      <c r="CC791" s="105"/>
      <c r="CD791" s="105"/>
      <c r="CE791" s="105"/>
      <c r="CF791" s="105"/>
      <c r="CG791" s="105"/>
      <c r="CH791" s="105"/>
      <c r="CI791" s="105"/>
      <c r="CJ791" s="105"/>
      <c r="CK791" s="105"/>
      <c r="CL791" s="105"/>
      <c r="CM791" s="105"/>
      <c r="CN791" s="105"/>
      <c r="CO791" s="105"/>
      <c r="CP791" s="105"/>
      <c r="CQ791" s="105"/>
      <c r="CR791" s="105"/>
      <c r="CS791" s="105"/>
      <c r="CT791" s="105"/>
      <c r="CU791" s="105"/>
      <c r="CV791" s="105"/>
      <c r="CW791" s="105"/>
      <c r="CX791" s="105"/>
      <c r="CY791" s="105"/>
      <c r="CZ791" s="105"/>
      <c r="DA791" s="105"/>
    </row>
    <row r="792">
      <c r="B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c r="AA792" s="105"/>
      <c r="AB792" s="105"/>
      <c r="AC792" s="105"/>
      <c r="AD792" s="105"/>
      <c r="AE792" s="105"/>
      <c r="AF792" s="105"/>
      <c r="AG792" s="105"/>
      <c r="AH792" s="105"/>
      <c r="AI792" s="105"/>
      <c r="AJ792" s="105"/>
      <c r="AK792" s="105"/>
      <c r="AL792" s="105"/>
      <c r="AM792" s="105"/>
      <c r="AN792" s="105"/>
      <c r="AO792" s="105"/>
      <c r="AP792" s="105"/>
      <c r="AQ792" s="105"/>
      <c r="AR792" s="105"/>
      <c r="AS792" s="105"/>
      <c r="AT792" s="105"/>
      <c r="AU792" s="105"/>
      <c r="AV792" s="105"/>
      <c r="AW792" s="105"/>
      <c r="AX792" s="105"/>
      <c r="AY792" s="105"/>
      <c r="AZ792" s="105"/>
      <c r="BA792" s="105"/>
      <c r="BB792" s="105"/>
      <c r="BC792" s="105"/>
      <c r="BD792" s="105"/>
      <c r="BE792" s="105"/>
      <c r="BF792" s="105"/>
      <c r="BG792" s="105"/>
      <c r="BH792" s="105"/>
      <c r="BI792" s="105"/>
      <c r="BJ792" s="105"/>
      <c r="BK792" s="105"/>
      <c r="BL792" s="105"/>
      <c r="BM792" s="105"/>
      <c r="BN792" s="105"/>
      <c r="BO792" s="105"/>
      <c r="BP792" s="105"/>
      <c r="BQ792" s="105"/>
      <c r="BR792" s="105"/>
      <c r="BS792" s="105"/>
      <c r="BT792" s="105"/>
      <c r="BU792" s="105"/>
      <c r="BV792" s="105"/>
      <c r="BW792" s="105"/>
      <c r="BX792" s="105"/>
      <c r="BY792" s="105"/>
      <c r="BZ792" s="105"/>
      <c r="CA792" s="105"/>
      <c r="CB792" s="105"/>
      <c r="CC792" s="105"/>
      <c r="CD792" s="105"/>
      <c r="CE792" s="105"/>
      <c r="CF792" s="105"/>
      <c r="CG792" s="105"/>
      <c r="CH792" s="105"/>
      <c r="CI792" s="105"/>
      <c r="CJ792" s="105"/>
      <c r="CK792" s="105"/>
      <c r="CL792" s="105"/>
      <c r="CM792" s="105"/>
      <c r="CN792" s="105"/>
      <c r="CO792" s="105"/>
      <c r="CP792" s="105"/>
      <c r="CQ792" s="105"/>
      <c r="CR792" s="105"/>
      <c r="CS792" s="105"/>
      <c r="CT792" s="105"/>
      <c r="CU792" s="105"/>
      <c r="CV792" s="105"/>
      <c r="CW792" s="105"/>
      <c r="CX792" s="105"/>
      <c r="CY792" s="105"/>
      <c r="CZ792" s="105"/>
      <c r="DA792" s="105"/>
    </row>
    <row r="793">
      <c r="B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c r="AA793" s="105"/>
      <c r="AB793" s="105"/>
      <c r="AC793" s="105"/>
      <c r="AD793" s="105"/>
      <c r="AE793" s="105"/>
      <c r="AF793" s="105"/>
      <c r="AG793" s="105"/>
      <c r="AH793" s="105"/>
      <c r="AI793" s="105"/>
      <c r="AJ793" s="105"/>
      <c r="AK793" s="105"/>
      <c r="AL793" s="105"/>
      <c r="AM793" s="105"/>
      <c r="AN793" s="105"/>
      <c r="AO793" s="105"/>
      <c r="AP793" s="105"/>
      <c r="AQ793" s="105"/>
      <c r="AR793" s="105"/>
      <c r="AS793" s="105"/>
      <c r="AT793" s="105"/>
      <c r="AU793" s="105"/>
      <c r="AV793" s="105"/>
      <c r="AW793" s="105"/>
      <c r="AX793" s="105"/>
      <c r="AY793" s="105"/>
      <c r="AZ793" s="105"/>
      <c r="BA793" s="105"/>
      <c r="BB793" s="105"/>
      <c r="BC793" s="105"/>
      <c r="BD793" s="105"/>
      <c r="BE793" s="105"/>
      <c r="BF793" s="105"/>
      <c r="BG793" s="105"/>
      <c r="BH793" s="105"/>
      <c r="BI793" s="105"/>
      <c r="BJ793" s="105"/>
      <c r="BK793" s="105"/>
      <c r="BL793" s="105"/>
      <c r="BM793" s="105"/>
      <c r="BN793" s="105"/>
      <c r="BO793" s="105"/>
      <c r="BP793" s="105"/>
      <c r="BQ793" s="105"/>
      <c r="BR793" s="105"/>
      <c r="BS793" s="105"/>
      <c r="BT793" s="105"/>
      <c r="BU793" s="105"/>
      <c r="BV793" s="105"/>
      <c r="BW793" s="105"/>
      <c r="BX793" s="105"/>
      <c r="BY793" s="105"/>
      <c r="BZ793" s="105"/>
      <c r="CA793" s="105"/>
      <c r="CB793" s="105"/>
      <c r="CC793" s="105"/>
      <c r="CD793" s="105"/>
      <c r="CE793" s="105"/>
      <c r="CF793" s="105"/>
      <c r="CG793" s="105"/>
      <c r="CH793" s="105"/>
      <c r="CI793" s="105"/>
      <c r="CJ793" s="105"/>
      <c r="CK793" s="105"/>
      <c r="CL793" s="105"/>
      <c r="CM793" s="105"/>
      <c r="CN793" s="105"/>
      <c r="CO793" s="105"/>
      <c r="CP793" s="105"/>
      <c r="CQ793" s="105"/>
      <c r="CR793" s="105"/>
      <c r="CS793" s="105"/>
      <c r="CT793" s="105"/>
      <c r="CU793" s="105"/>
      <c r="CV793" s="105"/>
      <c r="CW793" s="105"/>
      <c r="CX793" s="105"/>
      <c r="CY793" s="105"/>
      <c r="CZ793" s="105"/>
      <c r="DA793" s="105"/>
    </row>
    <row r="794">
      <c r="B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c r="AA794" s="105"/>
      <c r="AB794" s="105"/>
      <c r="AC794" s="105"/>
      <c r="AD794" s="105"/>
      <c r="AE794" s="105"/>
      <c r="AF794" s="105"/>
      <c r="AG794" s="105"/>
      <c r="AH794" s="105"/>
      <c r="AI794" s="105"/>
      <c r="AJ794" s="105"/>
      <c r="AK794" s="105"/>
      <c r="AL794" s="105"/>
      <c r="AM794" s="105"/>
      <c r="AN794" s="105"/>
      <c r="AO794" s="105"/>
      <c r="AP794" s="105"/>
      <c r="AQ794" s="105"/>
      <c r="AR794" s="105"/>
      <c r="AS794" s="105"/>
      <c r="AT794" s="105"/>
      <c r="AU794" s="105"/>
      <c r="AV794" s="105"/>
      <c r="AW794" s="105"/>
      <c r="AX794" s="105"/>
      <c r="AY794" s="105"/>
      <c r="AZ794" s="105"/>
      <c r="BA794" s="105"/>
      <c r="BB794" s="105"/>
      <c r="BC794" s="105"/>
      <c r="BD794" s="105"/>
      <c r="BE794" s="105"/>
      <c r="BF794" s="105"/>
      <c r="BG794" s="105"/>
      <c r="BH794" s="105"/>
      <c r="BI794" s="105"/>
      <c r="BJ794" s="105"/>
      <c r="BK794" s="105"/>
      <c r="BL794" s="105"/>
      <c r="BM794" s="105"/>
      <c r="BN794" s="105"/>
      <c r="BO794" s="105"/>
      <c r="BP794" s="105"/>
      <c r="BQ794" s="105"/>
      <c r="BR794" s="105"/>
      <c r="BS794" s="105"/>
      <c r="BT794" s="105"/>
      <c r="BU794" s="105"/>
      <c r="BV794" s="105"/>
      <c r="BW794" s="105"/>
      <c r="BX794" s="105"/>
      <c r="BY794" s="105"/>
      <c r="BZ794" s="105"/>
      <c r="CA794" s="105"/>
      <c r="CB794" s="105"/>
      <c r="CC794" s="105"/>
      <c r="CD794" s="105"/>
      <c r="CE794" s="105"/>
      <c r="CF794" s="105"/>
      <c r="CG794" s="105"/>
      <c r="CH794" s="105"/>
      <c r="CI794" s="105"/>
      <c r="CJ794" s="105"/>
      <c r="CK794" s="105"/>
      <c r="CL794" s="105"/>
      <c r="CM794" s="105"/>
      <c r="CN794" s="105"/>
      <c r="CO794" s="105"/>
      <c r="CP794" s="105"/>
      <c r="CQ794" s="105"/>
      <c r="CR794" s="105"/>
      <c r="CS794" s="105"/>
      <c r="CT794" s="105"/>
      <c r="CU794" s="105"/>
      <c r="CV794" s="105"/>
      <c r="CW794" s="105"/>
      <c r="CX794" s="105"/>
      <c r="CY794" s="105"/>
      <c r="CZ794" s="105"/>
      <c r="DA794" s="105"/>
    </row>
    <row r="795">
      <c r="B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c r="AA795" s="105"/>
      <c r="AB795" s="105"/>
      <c r="AC795" s="105"/>
      <c r="AD795" s="105"/>
      <c r="AE795" s="105"/>
      <c r="AF795" s="105"/>
      <c r="AG795" s="105"/>
      <c r="AH795" s="105"/>
      <c r="AI795" s="105"/>
      <c r="AJ795" s="105"/>
      <c r="AK795" s="105"/>
      <c r="AL795" s="105"/>
      <c r="AM795" s="105"/>
      <c r="AN795" s="105"/>
      <c r="AO795" s="105"/>
      <c r="AP795" s="105"/>
      <c r="AQ795" s="105"/>
      <c r="AR795" s="105"/>
      <c r="AS795" s="105"/>
      <c r="AT795" s="105"/>
      <c r="AU795" s="105"/>
      <c r="AV795" s="105"/>
      <c r="AW795" s="105"/>
      <c r="AX795" s="105"/>
      <c r="AY795" s="105"/>
      <c r="AZ795" s="105"/>
      <c r="BA795" s="105"/>
      <c r="BB795" s="105"/>
      <c r="BC795" s="105"/>
      <c r="BD795" s="105"/>
      <c r="BE795" s="105"/>
      <c r="BF795" s="105"/>
      <c r="BG795" s="105"/>
      <c r="BH795" s="105"/>
      <c r="BI795" s="105"/>
      <c r="BJ795" s="105"/>
      <c r="BK795" s="105"/>
      <c r="BL795" s="105"/>
      <c r="BM795" s="105"/>
      <c r="BN795" s="105"/>
      <c r="BO795" s="105"/>
      <c r="BP795" s="105"/>
      <c r="BQ795" s="105"/>
      <c r="BR795" s="105"/>
      <c r="BS795" s="105"/>
      <c r="BT795" s="105"/>
      <c r="BU795" s="105"/>
      <c r="BV795" s="105"/>
      <c r="BW795" s="105"/>
      <c r="BX795" s="105"/>
      <c r="BY795" s="105"/>
      <c r="BZ795" s="105"/>
      <c r="CA795" s="105"/>
      <c r="CB795" s="105"/>
      <c r="CC795" s="105"/>
      <c r="CD795" s="105"/>
      <c r="CE795" s="105"/>
      <c r="CF795" s="105"/>
      <c r="CG795" s="105"/>
      <c r="CH795" s="105"/>
      <c r="CI795" s="105"/>
      <c r="CJ795" s="105"/>
      <c r="CK795" s="105"/>
      <c r="CL795" s="105"/>
      <c r="CM795" s="105"/>
      <c r="CN795" s="105"/>
      <c r="CO795" s="105"/>
      <c r="CP795" s="105"/>
      <c r="CQ795" s="105"/>
      <c r="CR795" s="105"/>
      <c r="CS795" s="105"/>
      <c r="CT795" s="105"/>
      <c r="CU795" s="105"/>
      <c r="CV795" s="105"/>
      <c r="CW795" s="105"/>
      <c r="CX795" s="105"/>
      <c r="CY795" s="105"/>
      <c r="CZ795" s="105"/>
      <c r="DA795" s="105"/>
    </row>
    <row r="796">
      <c r="B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c r="AA796" s="105"/>
      <c r="AB796" s="105"/>
      <c r="AC796" s="105"/>
      <c r="AD796" s="105"/>
      <c r="AE796" s="105"/>
      <c r="AF796" s="105"/>
      <c r="AG796" s="105"/>
      <c r="AH796" s="105"/>
      <c r="AI796" s="105"/>
      <c r="AJ796" s="105"/>
      <c r="AK796" s="105"/>
      <c r="AL796" s="105"/>
      <c r="AM796" s="105"/>
      <c r="AN796" s="105"/>
      <c r="AO796" s="105"/>
      <c r="AP796" s="105"/>
      <c r="AQ796" s="105"/>
      <c r="AR796" s="105"/>
      <c r="AS796" s="105"/>
      <c r="AT796" s="105"/>
      <c r="AU796" s="105"/>
      <c r="AV796" s="105"/>
      <c r="AW796" s="105"/>
      <c r="AX796" s="105"/>
      <c r="AY796" s="105"/>
      <c r="AZ796" s="105"/>
      <c r="BA796" s="105"/>
      <c r="BB796" s="105"/>
      <c r="BC796" s="105"/>
      <c r="BD796" s="105"/>
      <c r="BE796" s="105"/>
      <c r="BF796" s="105"/>
      <c r="BG796" s="105"/>
      <c r="BH796" s="105"/>
      <c r="BI796" s="105"/>
      <c r="BJ796" s="105"/>
      <c r="BK796" s="105"/>
      <c r="BL796" s="105"/>
      <c r="BM796" s="105"/>
      <c r="BN796" s="105"/>
      <c r="BO796" s="105"/>
      <c r="BP796" s="105"/>
      <c r="BQ796" s="105"/>
      <c r="BR796" s="105"/>
      <c r="BS796" s="105"/>
      <c r="BT796" s="105"/>
      <c r="BU796" s="105"/>
      <c r="BV796" s="105"/>
      <c r="BW796" s="105"/>
      <c r="BX796" s="105"/>
      <c r="BY796" s="105"/>
      <c r="BZ796" s="105"/>
      <c r="CA796" s="105"/>
      <c r="CB796" s="105"/>
      <c r="CC796" s="105"/>
      <c r="CD796" s="105"/>
      <c r="CE796" s="105"/>
      <c r="CF796" s="105"/>
      <c r="CG796" s="105"/>
      <c r="CH796" s="105"/>
      <c r="CI796" s="105"/>
      <c r="CJ796" s="105"/>
      <c r="CK796" s="105"/>
      <c r="CL796" s="105"/>
      <c r="CM796" s="105"/>
      <c r="CN796" s="105"/>
      <c r="CO796" s="105"/>
      <c r="CP796" s="105"/>
      <c r="CQ796" s="105"/>
      <c r="CR796" s="105"/>
      <c r="CS796" s="105"/>
      <c r="CT796" s="105"/>
      <c r="CU796" s="105"/>
      <c r="CV796" s="105"/>
      <c r="CW796" s="105"/>
      <c r="CX796" s="105"/>
      <c r="CY796" s="105"/>
      <c r="CZ796" s="105"/>
      <c r="DA796" s="105"/>
    </row>
    <row r="797">
      <c r="B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c r="AA797" s="105"/>
      <c r="AB797" s="105"/>
      <c r="AC797" s="105"/>
      <c r="AD797" s="105"/>
      <c r="AE797" s="105"/>
      <c r="AF797" s="105"/>
      <c r="AG797" s="105"/>
      <c r="AH797" s="105"/>
      <c r="AI797" s="105"/>
      <c r="AJ797" s="105"/>
      <c r="AK797" s="105"/>
      <c r="AL797" s="105"/>
      <c r="AM797" s="105"/>
      <c r="AN797" s="105"/>
      <c r="AO797" s="105"/>
      <c r="AP797" s="105"/>
      <c r="AQ797" s="105"/>
      <c r="AR797" s="105"/>
      <c r="AS797" s="105"/>
      <c r="AT797" s="105"/>
      <c r="AU797" s="105"/>
      <c r="AV797" s="105"/>
      <c r="AW797" s="105"/>
      <c r="AX797" s="105"/>
      <c r="AY797" s="105"/>
      <c r="AZ797" s="105"/>
      <c r="BA797" s="105"/>
      <c r="BB797" s="105"/>
      <c r="BC797" s="105"/>
      <c r="BD797" s="105"/>
      <c r="BE797" s="105"/>
      <c r="BF797" s="105"/>
      <c r="BG797" s="105"/>
      <c r="BH797" s="105"/>
      <c r="BI797" s="105"/>
      <c r="BJ797" s="105"/>
      <c r="BK797" s="105"/>
      <c r="BL797" s="105"/>
      <c r="BM797" s="105"/>
      <c r="BN797" s="105"/>
      <c r="BO797" s="105"/>
      <c r="BP797" s="105"/>
      <c r="BQ797" s="105"/>
      <c r="BR797" s="105"/>
      <c r="BS797" s="105"/>
      <c r="BT797" s="105"/>
      <c r="BU797" s="105"/>
      <c r="BV797" s="105"/>
      <c r="BW797" s="105"/>
      <c r="BX797" s="105"/>
      <c r="BY797" s="105"/>
      <c r="BZ797" s="105"/>
      <c r="CA797" s="105"/>
      <c r="CB797" s="105"/>
      <c r="CC797" s="105"/>
      <c r="CD797" s="105"/>
      <c r="CE797" s="105"/>
      <c r="CF797" s="105"/>
      <c r="CG797" s="105"/>
      <c r="CH797" s="105"/>
      <c r="CI797" s="105"/>
      <c r="CJ797" s="105"/>
      <c r="CK797" s="105"/>
      <c r="CL797" s="105"/>
      <c r="CM797" s="105"/>
      <c r="CN797" s="105"/>
      <c r="CO797" s="105"/>
      <c r="CP797" s="105"/>
      <c r="CQ797" s="105"/>
      <c r="CR797" s="105"/>
      <c r="CS797" s="105"/>
      <c r="CT797" s="105"/>
      <c r="CU797" s="105"/>
      <c r="CV797" s="105"/>
      <c r="CW797" s="105"/>
      <c r="CX797" s="105"/>
      <c r="CY797" s="105"/>
      <c r="CZ797" s="105"/>
      <c r="DA797" s="105"/>
    </row>
    <row r="798">
      <c r="B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c r="AA798" s="105"/>
      <c r="AB798" s="105"/>
      <c r="AC798" s="105"/>
      <c r="AD798" s="105"/>
      <c r="AE798" s="105"/>
      <c r="AF798" s="105"/>
      <c r="AG798" s="105"/>
      <c r="AH798" s="105"/>
      <c r="AI798" s="105"/>
      <c r="AJ798" s="105"/>
      <c r="AK798" s="105"/>
      <c r="AL798" s="105"/>
      <c r="AM798" s="105"/>
      <c r="AN798" s="105"/>
      <c r="AO798" s="105"/>
      <c r="AP798" s="105"/>
      <c r="AQ798" s="105"/>
      <c r="AR798" s="105"/>
      <c r="AS798" s="105"/>
      <c r="AT798" s="105"/>
      <c r="AU798" s="105"/>
      <c r="AV798" s="105"/>
      <c r="AW798" s="105"/>
      <c r="AX798" s="105"/>
      <c r="AY798" s="105"/>
      <c r="AZ798" s="105"/>
      <c r="BA798" s="105"/>
      <c r="BB798" s="105"/>
      <c r="BC798" s="105"/>
      <c r="BD798" s="105"/>
      <c r="BE798" s="105"/>
      <c r="BF798" s="105"/>
      <c r="BG798" s="105"/>
      <c r="BH798" s="105"/>
      <c r="BI798" s="105"/>
      <c r="BJ798" s="105"/>
      <c r="BK798" s="105"/>
      <c r="BL798" s="105"/>
      <c r="BM798" s="105"/>
      <c r="BN798" s="105"/>
      <c r="BO798" s="105"/>
      <c r="BP798" s="105"/>
      <c r="BQ798" s="105"/>
      <c r="BR798" s="105"/>
      <c r="BS798" s="105"/>
      <c r="BT798" s="105"/>
      <c r="BU798" s="105"/>
      <c r="BV798" s="105"/>
      <c r="BW798" s="105"/>
      <c r="BX798" s="105"/>
      <c r="BY798" s="105"/>
      <c r="BZ798" s="105"/>
      <c r="CA798" s="105"/>
      <c r="CB798" s="105"/>
      <c r="CC798" s="105"/>
      <c r="CD798" s="105"/>
      <c r="CE798" s="105"/>
      <c r="CF798" s="105"/>
      <c r="CG798" s="105"/>
      <c r="CH798" s="105"/>
      <c r="CI798" s="105"/>
      <c r="CJ798" s="105"/>
      <c r="CK798" s="105"/>
      <c r="CL798" s="105"/>
      <c r="CM798" s="105"/>
      <c r="CN798" s="105"/>
      <c r="CO798" s="105"/>
      <c r="CP798" s="105"/>
      <c r="CQ798" s="105"/>
      <c r="CR798" s="105"/>
      <c r="CS798" s="105"/>
      <c r="CT798" s="105"/>
      <c r="CU798" s="105"/>
      <c r="CV798" s="105"/>
      <c r="CW798" s="105"/>
      <c r="CX798" s="105"/>
      <c r="CY798" s="105"/>
      <c r="CZ798" s="105"/>
      <c r="DA798" s="105"/>
    </row>
    <row r="799">
      <c r="B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c r="AA799" s="105"/>
      <c r="AB799" s="105"/>
      <c r="AC799" s="105"/>
      <c r="AD799" s="105"/>
      <c r="AE799" s="105"/>
      <c r="AF799" s="105"/>
      <c r="AG799" s="105"/>
      <c r="AH799" s="105"/>
      <c r="AI799" s="105"/>
      <c r="AJ799" s="105"/>
      <c r="AK799" s="105"/>
      <c r="AL799" s="105"/>
      <c r="AM799" s="105"/>
      <c r="AN799" s="105"/>
      <c r="AO799" s="105"/>
      <c r="AP799" s="105"/>
      <c r="AQ799" s="105"/>
      <c r="AR799" s="105"/>
      <c r="AS799" s="105"/>
      <c r="AT799" s="105"/>
      <c r="AU799" s="105"/>
      <c r="AV799" s="105"/>
      <c r="AW799" s="105"/>
      <c r="AX799" s="105"/>
      <c r="AY799" s="105"/>
      <c r="AZ799" s="105"/>
      <c r="BA799" s="105"/>
      <c r="BB799" s="105"/>
      <c r="BC799" s="105"/>
      <c r="BD799" s="105"/>
      <c r="BE799" s="105"/>
      <c r="BF799" s="105"/>
      <c r="BG799" s="105"/>
      <c r="BH799" s="105"/>
      <c r="BI799" s="105"/>
      <c r="BJ799" s="105"/>
      <c r="BK799" s="105"/>
      <c r="BL799" s="105"/>
      <c r="BM799" s="105"/>
      <c r="BN799" s="105"/>
      <c r="BO799" s="105"/>
      <c r="BP799" s="105"/>
      <c r="BQ799" s="105"/>
      <c r="BR799" s="105"/>
      <c r="BS799" s="105"/>
      <c r="BT799" s="105"/>
      <c r="BU799" s="105"/>
      <c r="BV799" s="105"/>
      <c r="BW799" s="105"/>
      <c r="BX799" s="105"/>
      <c r="BY799" s="105"/>
      <c r="BZ799" s="105"/>
      <c r="CA799" s="105"/>
      <c r="CB799" s="105"/>
      <c r="CC799" s="105"/>
      <c r="CD799" s="105"/>
      <c r="CE799" s="105"/>
      <c r="CF799" s="105"/>
      <c r="CG799" s="105"/>
      <c r="CH799" s="105"/>
      <c r="CI799" s="105"/>
      <c r="CJ799" s="105"/>
      <c r="CK799" s="105"/>
      <c r="CL799" s="105"/>
      <c r="CM799" s="105"/>
      <c r="CN799" s="105"/>
      <c r="CO799" s="105"/>
      <c r="CP799" s="105"/>
      <c r="CQ799" s="105"/>
      <c r="CR799" s="105"/>
      <c r="CS799" s="105"/>
      <c r="CT799" s="105"/>
      <c r="CU799" s="105"/>
      <c r="CV799" s="105"/>
      <c r="CW799" s="105"/>
      <c r="CX799" s="105"/>
      <c r="CY799" s="105"/>
      <c r="CZ799" s="105"/>
      <c r="DA799" s="105"/>
    </row>
    <row r="800">
      <c r="B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c r="AA800" s="105"/>
      <c r="AB800" s="105"/>
      <c r="AC800" s="105"/>
      <c r="AD800" s="105"/>
      <c r="AE800" s="105"/>
      <c r="AF800" s="105"/>
      <c r="AG800" s="105"/>
      <c r="AH800" s="105"/>
      <c r="AI800" s="105"/>
      <c r="AJ800" s="105"/>
      <c r="AK800" s="105"/>
      <c r="AL800" s="105"/>
      <c r="AM800" s="105"/>
      <c r="AN800" s="105"/>
      <c r="AO800" s="105"/>
      <c r="AP800" s="105"/>
      <c r="AQ800" s="105"/>
      <c r="AR800" s="105"/>
      <c r="AS800" s="105"/>
      <c r="AT800" s="105"/>
      <c r="AU800" s="105"/>
      <c r="AV800" s="105"/>
      <c r="AW800" s="105"/>
      <c r="AX800" s="105"/>
      <c r="AY800" s="105"/>
      <c r="AZ800" s="105"/>
      <c r="BA800" s="105"/>
      <c r="BB800" s="105"/>
      <c r="BC800" s="105"/>
      <c r="BD800" s="105"/>
      <c r="BE800" s="105"/>
      <c r="BF800" s="105"/>
      <c r="BG800" s="105"/>
      <c r="BH800" s="105"/>
      <c r="BI800" s="105"/>
      <c r="BJ800" s="105"/>
      <c r="BK800" s="105"/>
      <c r="BL800" s="105"/>
      <c r="BM800" s="105"/>
      <c r="BN800" s="105"/>
      <c r="BO800" s="105"/>
      <c r="BP800" s="105"/>
      <c r="BQ800" s="105"/>
      <c r="BR800" s="105"/>
      <c r="BS800" s="105"/>
      <c r="BT800" s="105"/>
      <c r="BU800" s="105"/>
      <c r="BV800" s="105"/>
      <c r="BW800" s="105"/>
      <c r="BX800" s="105"/>
      <c r="BY800" s="105"/>
      <c r="BZ800" s="105"/>
      <c r="CA800" s="105"/>
      <c r="CB800" s="105"/>
      <c r="CC800" s="105"/>
      <c r="CD800" s="105"/>
      <c r="CE800" s="105"/>
      <c r="CF800" s="105"/>
      <c r="CG800" s="105"/>
      <c r="CH800" s="105"/>
      <c r="CI800" s="105"/>
      <c r="CJ800" s="105"/>
      <c r="CK800" s="105"/>
      <c r="CL800" s="105"/>
      <c r="CM800" s="105"/>
      <c r="CN800" s="105"/>
      <c r="CO800" s="105"/>
      <c r="CP800" s="105"/>
      <c r="CQ800" s="105"/>
      <c r="CR800" s="105"/>
      <c r="CS800" s="105"/>
      <c r="CT800" s="105"/>
      <c r="CU800" s="105"/>
      <c r="CV800" s="105"/>
      <c r="CW800" s="105"/>
      <c r="CX800" s="105"/>
      <c r="CY800" s="105"/>
      <c r="CZ800" s="105"/>
      <c r="DA800" s="105"/>
    </row>
    <row r="801">
      <c r="B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c r="AA801" s="105"/>
      <c r="AB801" s="105"/>
      <c r="AC801" s="105"/>
      <c r="AD801" s="105"/>
      <c r="AE801" s="105"/>
      <c r="AF801" s="105"/>
      <c r="AG801" s="105"/>
      <c r="AH801" s="105"/>
      <c r="AI801" s="105"/>
      <c r="AJ801" s="105"/>
      <c r="AK801" s="105"/>
      <c r="AL801" s="105"/>
      <c r="AM801" s="105"/>
      <c r="AN801" s="105"/>
      <c r="AO801" s="105"/>
      <c r="AP801" s="105"/>
      <c r="AQ801" s="105"/>
      <c r="AR801" s="105"/>
      <c r="AS801" s="105"/>
      <c r="AT801" s="105"/>
      <c r="AU801" s="105"/>
      <c r="AV801" s="105"/>
      <c r="AW801" s="105"/>
      <c r="AX801" s="105"/>
      <c r="AY801" s="105"/>
      <c r="AZ801" s="105"/>
      <c r="BA801" s="105"/>
      <c r="BB801" s="105"/>
      <c r="BC801" s="105"/>
      <c r="BD801" s="105"/>
      <c r="BE801" s="105"/>
      <c r="BF801" s="105"/>
      <c r="BG801" s="105"/>
      <c r="BH801" s="105"/>
      <c r="BI801" s="105"/>
      <c r="BJ801" s="105"/>
      <c r="BK801" s="105"/>
      <c r="BL801" s="105"/>
      <c r="BM801" s="105"/>
      <c r="BN801" s="105"/>
      <c r="BO801" s="105"/>
      <c r="BP801" s="105"/>
      <c r="BQ801" s="105"/>
      <c r="BR801" s="105"/>
      <c r="BS801" s="105"/>
      <c r="BT801" s="105"/>
      <c r="BU801" s="105"/>
      <c r="BV801" s="105"/>
      <c r="BW801" s="105"/>
      <c r="BX801" s="105"/>
      <c r="BY801" s="105"/>
      <c r="BZ801" s="105"/>
      <c r="CA801" s="105"/>
      <c r="CB801" s="105"/>
      <c r="CC801" s="105"/>
      <c r="CD801" s="105"/>
      <c r="CE801" s="105"/>
      <c r="CF801" s="105"/>
      <c r="CG801" s="105"/>
      <c r="CH801" s="105"/>
      <c r="CI801" s="105"/>
      <c r="CJ801" s="105"/>
      <c r="CK801" s="105"/>
      <c r="CL801" s="105"/>
      <c r="CM801" s="105"/>
      <c r="CN801" s="105"/>
      <c r="CO801" s="105"/>
      <c r="CP801" s="105"/>
      <c r="CQ801" s="105"/>
      <c r="CR801" s="105"/>
      <c r="CS801" s="105"/>
      <c r="CT801" s="105"/>
      <c r="CU801" s="105"/>
      <c r="CV801" s="105"/>
      <c r="CW801" s="105"/>
      <c r="CX801" s="105"/>
      <c r="CY801" s="105"/>
      <c r="CZ801" s="105"/>
      <c r="DA801" s="105"/>
    </row>
    <row r="802">
      <c r="B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c r="AA802" s="105"/>
      <c r="AB802" s="105"/>
      <c r="AC802" s="105"/>
      <c r="AD802" s="105"/>
      <c r="AE802" s="105"/>
      <c r="AF802" s="105"/>
      <c r="AG802" s="105"/>
      <c r="AH802" s="105"/>
      <c r="AI802" s="105"/>
      <c r="AJ802" s="105"/>
      <c r="AK802" s="105"/>
      <c r="AL802" s="105"/>
      <c r="AM802" s="105"/>
      <c r="AN802" s="105"/>
      <c r="AO802" s="105"/>
      <c r="AP802" s="105"/>
      <c r="AQ802" s="105"/>
      <c r="AR802" s="105"/>
      <c r="AS802" s="105"/>
      <c r="AT802" s="105"/>
      <c r="AU802" s="105"/>
      <c r="AV802" s="105"/>
      <c r="AW802" s="105"/>
      <c r="AX802" s="105"/>
      <c r="AY802" s="105"/>
      <c r="AZ802" s="105"/>
      <c r="BA802" s="105"/>
      <c r="BB802" s="105"/>
      <c r="BC802" s="105"/>
      <c r="BD802" s="105"/>
      <c r="BE802" s="105"/>
      <c r="BF802" s="105"/>
      <c r="BG802" s="105"/>
      <c r="BH802" s="105"/>
      <c r="BI802" s="105"/>
      <c r="BJ802" s="105"/>
      <c r="BK802" s="105"/>
      <c r="BL802" s="105"/>
      <c r="BM802" s="105"/>
      <c r="BN802" s="105"/>
      <c r="BO802" s="105"/>
      <c r="BP802" s="105"/>
      <c r="BQ802" s="105"/>
      <c r="BR802" s="105"/>
      <c r="BS802" s="105"/>
      <c r="BT802" s="105"/>
      <c r="BU802" s="105"/>
      <c r="BV802" s="105"/>
      <c r="BW802" s="105"/>
      <c r="BX802" s="105"/>
      <c r="BY802" s="105"/>
      <c r="BZ802" s="105"/>
      <c r="CA802" s="105"/>
      <c r="CB802" s="105"/>
      <c r="CC802" s="105"/>
      <c r="CD802" s="105"/>
      <c r="CE802" s="105"/>
      <c r="CF802" s="105"/>
      <c r="CG802" s="105"/>
      <c r="CH802" s="105"/>
      <c r="CI802" s="105"/>
      <c r="CJ802" s="105"/>
      <c r="CK802" s="105"/>
      <c r="CL802" s="105"/>
      <c r="CM802" s="105"/>
      <c r="CN802" s="105"/>
      <c r="CO802" s="105"/>
      <c r="CP802" s="105"/>
      <c r="CQ802" s="105"/>
      <c r="CR802" s="105"/>
      <c r="CS802" s="105"/>
      <c r="CT802" s="105"/>
      <c r="CU802" s="105"/>
      <c r="CV802" s="105"/>
      <c r="CW802" s="105"/>
      <c r="CX802" s="105"/>
      <c r="CY802" s="105"/>
      <c r="CZ802" s="105"/>
      <c r="DA802" s="105"/>
    </row>
    <row r="803">
      <c r="B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c r="AA803" s="105"/>
      <c r="AB803" s="105"/>
      <c r="AC803" s="105"/>
      <c r="AD803" s="105"/>
      <c r="AE803" s="105"/>
      <c r="AF803" s="105"/>
      <c r="AG803" s="105"/>
      <c r="AH803" s="105"/>
      <c r="AI803" s="105"/>
      <c r="AJ803" s="105"/>
      <c r="AK803" s="105"/>
      <c r="AL803" s="105"/>
      <c r="AM803" s="105"/>
      <c r="AN803" s="105"/>
      <c r="AO803" s="105"/>
      <c r="AP803" s="105"/>
      <c r="AQ803" s="105"/>
      <c r="AR803" s="105"/>
      <c r="AS803" s="105"/>
      <c r="AT803" s="105"/>
      <c r="AU803" s="105"/>
      <c r="AV803" s="105"/>
      <c r="AW803" s="105"/>
      <c r="AX803" s="105"/>
      <c r="AY803" s="105"/>
      <c r="AZ803" s="105"/>
      <c r="BA803" s="105"/>
      <c r="BB803" s="105"/>
      <c r="BC803" s="105"/>
      <c r="BD803" s="105"/>
      <c r="BE803" s="105"/>
      <c r="BF803" s="105"/>
      <c r="BG803" s="105"/>
      <c r="BH803" s="105"/>
      <c r="BI803" s="105"/>
      <c r="BJ803" s="105"/>
      <c r="BK803" s="105"/>
      <c r="BL803" s="105"/>
      <c r="BM803" s="105"/>
      <c r="BN803" s="105"/>
      <c r="BO803" s="105"/>
      <c r="BP803" s="105"/>
      <c r="BQ803" s="105"/>
      <c r="BR803" s="105"/>
      <c r="BS803" s="105"/>
      <c r="BT803" s="105"/>
      <c r="BU803" s="105"/>
      <c r="BV803" s="105"/>
      <c r="BW803" s="105"/>
      <c r="BX803" s="105"/>
      <c r="BY803" s="105"/>
      <c r="BZ803" s="105"/>
      <c r="CA803" s="105"/>
      <c r="CB803" s="105"/>
      <c r="CC803" s="105"/>
      <c r="CD803" s="105"/>
      <c r="CE803" s="105"/>
      <c r="CF803" s="105"/>
      <c r="CG803" s="105"/>
      <c r="CH803" s="105"/>
      <c r="CI803" s="105"/>
      <c r="CJ803" s="105"/>
      <c r="CK803" s="105"/>
      <c r="CL803" s="105"/>
      <c r="CM803" s="105"/>
      <c r="CN803" s="105"/>
      <c r="CO803" s="105"/>
      <c r="CP803" s="105"/>
      <c r="CQ803" s="105"/>
      <c r="CR803" s="105"/>
      <c r="CS803" s="105"/>
      <c r="CT803" s="105"/>
      <c r="CU803" s="105"/>
      <c r="CV803" s="105"/>
      <c r="CW803" s="105"/>
      <c r="CX803" s="105"/>
      <c r="CY803" s="105"/>
      <c r="CZ803" s="105"/>
      <c r="DA803" s="105"/>
    </row>
    <row r="804">
      <c r="B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c r="AA804" s="105"/>
      <c r="AB804" s="105"/>
      <c r="AC804" s="105"/>
      <c r="AD804" s="105"/>
      <c r="AE804" s="105"/>
      <c r="AF804" s="105"/>
      <c r="AG804" s="105"/>
      <c r="AH804" s="105"/>
      <c r="AI804" s="105"/>
      <c r="AJ804" s="105"/>
      <c r="AK804" s="105"/>
      <c r="AL804" s="105"/>
      <c r="AM804" s="105"/>
      <c r="AN804" s="105"/>
      <c r="AO804" s="105"/>
      <c r="AP804" s="105"/>
      <c r="AQ804" s="105"/>
      <c r="AR804" s="105"/>
      <c r="AS804" s="105"/>
      <c r="AT804" s="105"/>
      <c r="AU804" s="105"/>
      <c r="AV804" s="105"/>
      <c r="AW804" s="105"/>
      <c r="AX804" s="105"/>
      <c r="AY804" s="105"/>
      <c r="AZ804" s="105"/>
      <c r="BA804" s="105"/>
      <c r="BB804" s="105"/>
      <c r="BC804" s="105"/>
      <c r="BD804" s="105"/>
      <c r="BE804" s="105"/>
      <c r="BF804" s="105"/>
      <c r="BG804" s="105"/>
      <c r="BH804" s="105"/>
      <c r="BI804" s="105"/>
      <c r="BJ804" s="105"/>
      <c r="BK804" s="105"/>
      <c r="BL804" s="105"/>
      <c r="BM804" s="105"/>
      <c r="BN804" s="105"/>
      <c r="BO804" s="105"/>
      <c r="BP804" s="105"/>
      <c r="BQ804" s="105"/>
      <c r="BR804" s="105"/>
      <c r="BS804" s="105"/>
      <c r="BT804" s="105"/>
      <c r="BU804" s="105"/>
      <c r="BV804" s="105"/>
      <c r="BW804" s="105"/>
      <c r="BX804" s="105"/>
      <c r="BY804" s="105"/>
      <c r="BZ804" s="105"/>
      <c r="CA804" s="105"/>
      <c r="CB804" s="105"/>
      <c r="CC804" s="105"/>
      <c r="CD804" s="105"/>
      <c r="CE804" s="105"/>
      <c r="CF804" s="105"/>
      <c r="CG804" s="105"/>
      <c r="CH804" s="105"/>
      <c r="CI804" s="105"/>
      <c r="CJ804" s="105"/>
      <c r="CK804" s="105"/>
      <c r="CL804" s="105"/>
      <c r="CM804" s="105"/>
      <c r="CN804" s="105"/>
      <c r="CO804" s="105"/>
      <c r="CP804" s="105"/>
      <c r="CQ804" s="105"/>
      <c r="CR804" s="105"/>
      <c r="CS804" s="105"/>
      <c r="CT804" s="105"/>
      <c r="CU804" s="105"/>
      <c r="CV804" s="105"/>
      <c r="CW804" s="105"/>
      <c r="CX804" s="105"/>
      <c r="CY804" s="105"/>
      <c r="CZ804" s="105"/>
      <c r="DA804" s="105"/>
    </row>
    <row r="805">
      <c r="B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c r="AA805" s="105"/>
      <c r="AB805" s="105"/>
      <c r="AC805" s="105"/>
      <c r="AD805" s="105"/>
      <c r="AE805" s="105"/>
      <c r="AF805" s="105"/>
      <c r="AG805" s="105"/>
      <c r="AH805" s="105"/>
      <c r="AI805" s="105"/>
      <c r="AJ805" s="105"/>
      <c r="AK805" s="105"/>
      <c r="AL805" s="105"/>
      <c r="AM805" s="105"/>
      <c r="AN805" s="105"/>
      <c r="AO805" s="105"/>
      <c r="AP805" s="105"/>
      <c r="AQ805" s="105"/>
      <c r="AR805" s="105"/>
      <c r="AS805" s="105"/>
      <c r="AT805" s="105"/>
      <c r="AU805" s="105"/>
      <c r="AV805" s="105"/>
      <c r="AW805" s="105"/>
      <c r="AX805" s="105"/>
      <c r="AY805" s="105"/>
      <c r="AZ805" s="105"/>
      <c r="BA805" s="105"/>
      <c r="BB805" s="105"/>
      <c r="BC805" s="105"/>
      <c r="BD805" s="105"/>
      <c r="BE805" s="105"/>
      <c r="BF805" s="105"/>
      <c r="BG805" s="105"/>
      <c r="BH805" s="105"/>
      <c r="BI805" s="105"/>
      <c r="BJ805" s="105"/>
      <c r="BK805" s="105"/>
      <c r="BL805" s="105"/>
      <c r="BM805" s="105"/>
      <c r="BN805" s="105"/>
      <c r="BO805" s="105"/>
      <c r="BP805" s="105"/>
      <c r="BQ805" s="105"/>
      <c r="BR805" s="105"/>
      <c r="BS805" s="105"/>
      <c r="BT805" s="105"/>
      <c r="BU805" s="105"/>
      <c r="BV805" s="105"/>
      <c r="BW805" s="105"/>
      <c r="BX805" s="105"/>
      <c r="BY805" s="105"/>
      <c r="BZ805" s="105"/>
      <c r="CA805" s="105"/>
      <c r="CB805" s="105"/>
      <c r="CC805" s="105"/>
      <c r="CD805" s="105"/>
      <c r="CE805" s="105"/>
      <c r="CF805" s="105"/>
      <c r="CG805" s="105"/>
      <c r="CH805" s="105"/>
      <c r="CI805" s="105"/>
      <c r="CJ805" s="105"/>
      <c r="CK805" s="105"/>
      <c r="CL805" s="105"/>
      <c r="CM805" s="105"/>
      <c r="CN805" s="105"/>
      <c r="CO805" s="105"/>
      <c r="CP805" s="105"/>
      <c r="CQ805" s="105"/>
      <c r="CR805" s="105"/>
      <c r="CS805" s="105"/>
      <c r="CT805" s="105"/>
      <c r="CU805" s="105"/>
      <c r="CV805" s="105"/>
      <c r="CW805" s="105"/>
      <c r="CX805" s="105"/>
      <c r="CY805" s="105"/>
      <c r="CZ805" s="105"/>
      <c r="DA805" s="105"/>
    </row>
    <row r="806">
      <c r="B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c r="AA806" s="105"/>
      <c r="AB806" s="105"/>
      <c r="AC806" s="105"/>
      <c r="AD806" s="105"/>
      <c r="AE806" s="105"/>
      <c r="AF806" s="105"/>
      <c r="AG806" s="105"/>
      <c r="AH806" s="105"/>
      <c r="AI806" s="105"/>
      <c r="AJ806" s="105"/>
      <c r="AK806" s="105"/>
      <c r="AL806" s="105"/>
      <c r="AM806" s="105"/>
      <c r="AN806" s="105"/>
      <c r="AO806" s="105"/>
      <c r="AP806" s="105"/>
      <c r="AQ806" s="105"/>
      <c r="AR806" s="105"/>
      <c r="AS806" s="105"/>
      <c r="AT806" s="105"/>
      <c r="AU806" s="105"/>
      <c r="AV806" s="105"/>
      <c r="AW806" s="105"/>
      <c r="AX806" s="105"/>
      <c r="AY806" s="105"/>
      <c r="AZ806" s="105"/>
      <c r="BA806" s="105"/>
      <c r="BB806" s="105"/>
      <c r="BC806" s="105"/>
      <c r="BD806" s="105"/>
      <c r="BE806" s="105"/>
      <c r="BF806" s="105"/>
      <c r="BG806" s="105"/>
      <c r="BH806" s="105"/>
      <c r="BI806" s="105"/>
      <c r="BJ806" s="105"/>
      <c r="BK806" s="105"/>
      <c r="BL806" s="105"/>
      <c r="BM806" s="105"/>
      <c r="BN806" s="105"/>
      <c r="BO806" s="105"/>
      <c r="BP806" s="105"/>
      <c r="BQ806" s="105"/>
      <c r="BR806" s="105"/>
      <c r="BS806" s="105"/>
      <c r="BT806" s="105"/>
      <c r="BU806" s="105"/>
      <c r="BV806" s="105"/>
      <c r="BW806" s="105"/>
      <c r="BX806" s="105"/>
      <c r="BY806" s="105"/>
      <c r="BZ806" s="105"/>
      <c r="CA806" s="105"/>
      <c r="CB806" s="105"/>
      <c r="CC806" s="105"/>
      <c r="CD806" s="105"/>
      <c r="CE806" s="105"/>
      <c r="CF806" s="105"/>
      <c r="CG806" s="105"/>
      <c r="CH806" s="105"/>
      <c r="CI806" s="105"/>
      <c r="CJ806" s="105"/>
      <c r="CK806" s="105"/>
      <c r="CL806" s="105"/>
      <c r="CM806" s="105"/>
      <c r="CN806" s="105"/>
      <c r="CO806" s="105"/>
      <c r="CP806" s="105"/>
      <c r="CQ806" s="105"/>
      <c r="CR806" s="105"/>
      <c r="CS806" s="105"/>
      <c r="CT806" s="105"/>
      <c r="CU806" s="105"/>
      <c r="CV806" s="105"/>
      <c r="CW806" s="105"/>
      <c r="CX806" s="105"/>
      <c r="CY806" s="105"/>
      <c r="CZ806" s="105"/>
      <c r="DA806" s="105"/>
    </row>
    <row r="807">
      <c r="B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c r="AA807" s="105"/>
      <c r="AB807" s="105"/>
      <c r="AC807" s="105"/>
      <c r="AD807" s="105"/>
      <c r="AE807" s="105"/>
      <c r="AF807" s="105"/>
      <c r="AG807" s="105"/>
      <c r="AH807" s="105"/>
      <c r="AI807" s="105"/>
      <c r="AJ807" s="105"/>
      <c r="AK807" s="105"/>
      <c r="AL807" s="105"/>
      <c r="AM807" s="105"/>
      <c r="AN807" s="105"/>
      <c r="AO807" s="105"/>
      <c r="AP807" s="105"/>
      <c r="AQ807" s="105"/>
      <c r="AR807" s="105"/>
      <c r="AS807" s="105"/>
      <c r="AT807" s="105"/>
      <c r="AU807" s="105"/>
      <c r="AV807" s="105"/>
      <c r="AW807" s="105"/>
      <c r="AX807" s="105"/>
      <c r="AY807" s="105"/>
      <c r="AZ807" s="105"/>
      <c r="BA807" s="105"/>
      <c r="BB807" s="105"/>
      <c r="BC807" s="105"/>
      <c r="BD807" s="105"/>
      <c r="BE807" s="105"/>
      <c r="BF807" s="105"/>
      <c r="BG807" s="105"/>
      <c r="BH807" s="105"/>
      <c r="BI807" s="105"/>
      <c r="BJ807" s="105"/>
      <c r="BK807" s="105"/>
      <c r="BL807" s="105"/>
      <c r="BM807" s="105"/>
      <c r="BN807" s="105"/>
      <c r="BO807" s="105"/>
      <c r="BP807" s="105"/>
      <c r="BQ807" s="105"/>
      <c r="BR807" s="105"/>
      <c r="BS807" s="105"/>
      <c r="BT807" s="105"/>
      <c r="BU807" s="105"/>
      <c r="BV807" s="105"/>
      <c r="BW807" s="105"/>
      <c r="BX807" s="105"/>
      <c r="BY807" s="105"/>
      <c r="BZ807" s="105"/>
      <c r="CA807" s="105"/>
      <c r="CB807" s="105"/>
      <c r="CC807" s="105"/>
      <c r="CD807" s="105"/>
      <c r="CE807" s="105"/>
      <c r="CF807" s="105"/>
      <c r="CG807" s="105"/>
      <c r="CH807" s="105"/>
      <c r="CI807" s="105"/>
      <c r="CJ807" s="105"/>
      <c r="CK807" s="105"/>
      <c r="CL807" s="105"/>
      <c r="CM807" s="105"/>
      <c r="CN807" s="105"/>
      <c r="CO807" s="105"/>
      <c r="CP807" s="105"/>
      <c r="CQ807" s="105"/>
      <c r="CR807" s="105"/>
      <c r="CS807" s="105"/>
      <c r="CT807" s="105"/>
      <c r="CU807" s="105"/>
      <c r="CV807" s="105"/>
      <c r="CW807" s="105"/>
      <c r="CX807" s="105"/>
      <c r="CY807" s="105"/>
      <c r="CZ807" s="105"/>
      <c r="DA807" s="105"/>
    </row>
    <row r="808">
      <c r="B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c r="AA808" s="105"/>
      <c r="AB808" s="105"/>
      <c r="AC808" s="105"/>
      <c r="AD808" s="105"/>
      <c r="AE808" s="105"/>
      <c r="AF808" s="105"/>
      <c r="AG808" s="105"/>
      <c r="AH808" s="105"/>
      <c r="AI808" s="105"/>
      <c r="AJ808" s="105"/>
      <c r="AK808" s="105"/>
      <c r="AL808" s="105"/>
      <c r="AM808" s="105"/>
      <c r="AN808" s="105"/>
      <c r="AO808" s="105"/>
      <c r="AP808" s="105"/>
      <c r="AQ808" s="105"/>
      <c r="AR808" s="105"/>
      <c r="AS808" s="105"/>
      <c r="AT808" s="105"/>
      <c r="AU808" s="105"/>
      <c r="AV808" s="105"/>
      <c r="AW808" s="105"/>
      <c r="AX808" s="105"/>
      <c r="AY808" s="105"/>
      <c r="AZ808" s="105"/>
      <c r="BA808" s="105"/>
      <c r="BB808" s="105"/>
      <c r="BC808" s="105"/>
      <c r="BD808" s="105"/>
      <c r="BE808" s="105"/>
      <c r="BF808" s="105"/>
      <c r="BG808" s="105"/>
      <c r="BH808" s="105"/>
      <c r="BI808" s="105"/>
      <c r="BJ808" s="105"/>
      <c r="BK808" s="105"/>
      <c r="BL808" s="105"/>
      <c r="BM808" s="105"/>
      <c r="BN808" s="105"/>
      <c r="BO808" s="105"/>
      <c r="BP808" s="105"/>
      <c r="BQ808" s="105"/>
      <c r="BR808" s="105"/>
      <c r="BS808" s="105"/>
      <c r="BT808" s="105"/>
      <c r="BU808" s="105"/>
      <c r="BV808" s="105"/>
      <c r="BW808" s="105"/>
      <c r="BX808" s="105"/>
      <c r="BY808" s="105"/>
      <c r="BZ808" s="105"/>
      <c r="CA808" s="105"/>
      <c r="CB808" s="105"/>
      <c r="CC808" s="105"/>
      <c r="CD808" s="105"/>
      <c r="CE808" s="105"/>
      <c r="CF808" s="105"/>
      <c r="CG808" s="105"/>
      <c r="CH808" s="105"/>
      <c r="CI808" s="105"/>
      <c r="CJ808" s="105"/>
      <c r="CK808" s="105"/>
      <c r="CL808" s="105"/>
      <c r="CM808" s="105"/>
      <c r="CN808" s="105"/>
      <c r="CO808" s="105"/>
      <c r="CP808" s="105"/>
      <c r="CQ808" s="105"/>
      <c r="CR808" s="105"/>
      <c r="CS808" s="105"/>
      <c r="CT808" s="105"/>
      <c r="CU808" s="105"/>
      <c r="CV808" s="105"/>
      <c r="CW808" s="105"/>
      <c r="CX808" s="105"/>
      <c r="CY808" s="105"/>
      <c r="CZ808" s="105"/>
      <c r="DA808" s="105"/>
    </row>
    <row r="809">
      <c r="B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c r="AA809" s="105"/>
      <c r="AB809" s="105"/>
      <c r="AC809" s="105"/>
      <c r="AD809" s="105"/>
      <c r="AE809" s="105"/>
      <c r="AF809" s="105"/>
      <c r="AG809" s="105"/>
      <c r="AH809" s="105"/>
      <c r="AI809" s="105"/>
      <c r="AJ809" s="105"/>
      <c r="AK809" s="105"/>
      <c r="AL809" s="105"/>
      <c r="AM809" s="105"/>
      <c r="AN809" s="105"/>
      <c r="AO809" s="105"/>
      <c r="AP809" s="105"/>
      <c r="AQ809" s="105"/>
      <c r="AR809" s="105"/>
      <c r="AS809" s="105"/>
      <c r="AT809" s="105"/>
      <c r="AU809" s="105"/>
      <c r="AV809" s="105"/>
      <c r="AW809" s="105"/>
      <c r="AX809" s="105"/>
      <c r="AY809" s="105"/>
      <c r="AZ809" s="105"/>
      <c r="BA809" s="105"/>
      <c r="BB809" s="105"/>
      <c r="BC809" s="105"/>
      <c r="BD809" s="105"/>
      <c r="BE809" s="105"/>
      <c r="BF809" s="105"/>
      <c r="BG809" s="105"/>
      <c r="BH809" s="105"/>
      <c r="BI809" s="105"/>
      <c r="BJ809" s="105"/>
      <c r="BK809" s="105"/>
      <c r="BL809" s="105"/>
      <c r="BM809" s="105"/>
      <c r="BN809" s="105"/>
      <c r="BO809" s="105"/>
      <c r="BP809" s="105"/>
      <c r="BQ809" s="105"/>
      <c r="BR809" s="105"/>
      <c r="BS809" s="105"/>
      <c r="BT809" s="105"/>
      <c r="BU809" s="105"/>
      <c r="BV809" s="105"/>
      <c r="BW809" s="105"/>
      <c r="BX809" s="105"/>
      <c r="BY809" s="105"/>
      <c r="BZ809" s="105"/>
      <c r="CA809" s="105"/>
      <c r="CB809" s="105"/>
      <c r="CC809" s="105"/>
      <c r="CD809" s="105"/>
      <c r="CE809" s="105"/>
      <c r="CF809" s="105"/>
      <c r="CG809" s="105"/>
      <c r="CH809" s="105"/>
      <c r="CI809" s="105"/>
      <c r="CJ809" s="105"/>
      <c r="CK809" s="105"/>
      <c r="CL809" s="105"/>
      <c r="CM809" s="105"/>
      <c r="CN809" s="105"/>
      <c r="CO809" s="105"/>
      <c r="CP809" s="105"/>
      <c r="CQ809" s="105"/>
      <c r="CR809" s="105"/>
      <c r="CS809" s="105"/>
      <c r="CT809" s="105"/>
      <c r="CU809" s="105"/>
      <c r="CV809" s="105"/>
      <c r="CW809" s="105"/>
      <c r="CX809" s="105"/>
      <c r="CY809" s="105"/>
      <c r="CZ809" s="105"/>
      <c r="DA809" s="105"/>
    </row>
    <row r="810">
      <c r="B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c r="AA810" s="105"/>
      <c r="AB810" s="105"/>
      <c r="AC810" s="105"/>
      <c r="AD810" s="105"/>
      <c r="AE810" s="105"/>
      <c r="AF810" s="105"/>
      <c r="AG810" s="105"/>
      <c r="AH810" s="105"/>
      <c r="AI810" s="105"/>
      <c r="AJ810" s="105"/>
      <c r="AK810" s="105"/>
      <c r="AL810" s="105"/>
      <c r="AM810" s="105"/>
      <c r="AN810" s="105"/>
      <c r="AO810" s="105"/>
      <c r="AP810" s="105"/>
      <c r="AQ810" s="105"/>
      <c r="AR810" s="105"/>
      <c r="AS810" s="105"/>
      <c r="AT810" s="105"/>
      <c r="AU810" s="105"/>
      <c r="AV810" s="105"/>
      <c r="AW810" s="105"/>
      <c r="AX810" s="105"/>
      <c r="AY810" s="105"/>
      <c r="AZ810" s="105"/>
      <c r="BA810" s="105"/>
      <c r="BB810" s="105"/>
      <c r="BC810" s="105"/>
      <c r="BD810" s="105"/>
      <c r="BE810" s="105"/>
      <c r="BF810" s="105"/>
      <c r="BG810" s="105"/>
      <c r="BH810" s="105"/>
      <c r="BI810" s="105"/>
      <c r="BJ810" s="105"/>
      <c r="BK810" s="105"/>
      <c r="BL810" s="105"/>
      <c r="BM810" s="105"/>
      <c r="BN810" s="105"/>
      <c r="BO810" s="105"/>
      <c r="BP810" s="105"/>
      <c r="BQ810" s="105"/>
      <c r="BR810" s="105"/>
      <c r="BS810" s="105"/>
      <c r="BT810" s="105"/>
      <c r="BU810" s="105"/>
      <c r="BV810" s="105"/>
      <c r="BW810" s="105"/>
      <c r="BX810" s="105"/>
      <c r="BY810" s="105"/>
      <c r="BZ810" s="105"/>
      <c r="CA810" s="105"/>
      <c r="CB810" s="105"/>
      <c r="CC810" s="105"/>
      <c r="CD810" s="105"/>
      <c r="CE810" s="105"/>
      <c r="CF810" s="105"/>
      <c r="CG810" s="105"/>
      <c r="CH810" s="105"/>
      <c r="CI810" s="105"/>
      <c r="CJ810" s="105"/>
      <c r="CK810" s="105"/>
      <c r="CL810" s="105"/>
      <c r="CM810" s="105"/>
      <c r="CN810" s="105"/>
      <c r="CO810" s="105"/>
      <c r="CP810" s="105"/>
      <c r="CQ810" s="105"/>
      <c r="CR810" s="105"/>
      <c r="CS810" s="105"/>
      <c r="CT810" s="105"/>
      <c r="CU810" s="105"/>
      <c r="CV810" s="105"/>
      <c r="CW810" s="105"/>
      <c r="CX810" s="105"/>
      <c r="CY810" s="105"/>
      <c r="CZ810" s="105"/>
      <c r="DA810" s="105"/>
    </row>
    <row r="811">
      <c r="B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c r="AA811" s="105"/>
      <c r="AB811" s="105"/>
      <c r="AC811" s="105"/>
      <c r="AD811" s="105"/>
      <c r="AE811" s="105"/>
      <c r="AF811" s="105"/>
      <c r="AG811" s="105"/>
      <c r="AH811" s="105"/>
      <c r="AI811" s="105"/>
      <c r="AJ811" s="105"/>
      <c r="AK811" s="105"/>
      <c r="AL811" s="105"/>
      <c r="AM811" s="105"/>
      <c r="AN811" s="105"/>
      <c r="AO811" s="105"/>
      <c r="AP811" s="105"/>
      <c r="AQ811" s="105"/>
      <c r="AR811" s="105"/>
      <c r="AS811" s="105"/>
      <c r="AT811" s="105"/>
      <c r="AU811" s="105"/>
      <c r="AV811" s="105"/>
      <c r="AW811" s="105"/>
      <c r="AX811" s="105"/>
      <c r="AY811" s="105"/>
      <c r="AZ811" s="105"/>
      <c r="BA811" s="105"/>
      <c r="BB811" s="105"/>
      <c r="BC811" s="105"/>
      <c r="BD811" s="105"/>
      <c r="BE811" s="105"/>
      <c r="BF811" s="105"/>
      <c r="BG811" s="105"/>
      <c r="BH811" s="105"/>
      <c r="BI811" s="105"/>
      <c r="BJ811" s="105"/>
      <c r="BK811" s="105"/>
      <c r="BL811" s="105"/>
      <c r="BM811" s="105"/>
      <c r="BN811" s="105"/>
      <c r="BO811" s="105"/>
      <c r="BP811" s="105"/>
      <c r="BQ811" s="105"/>
      <c r="BR811" s="105"/>
      <c r="BS811" s="105"/>
      <c r="BT811" s="105"/>
      <c r="BU811" s="105"/>
      <c r="BV811" s="105"/>
      <c r="BW811" s="105"/>
      <c r="BX811" s="105"/>
      <c r="BY811" s="105"/>
      <c r="BZ811" s="105"/>
      <c r="CA811" s="105"/>
      <c r="CB811" s="105"/>
      <c r="CC811" s="105"/>
      <c r="CD811" s="105"/>
      <c r="CE811" s="105"/>
      <c r="CF811" s="105"/>
      <c r="CG811" s="105"/>
      <c r="CH811" s="105"/>
      <c r="CI811" s="105"/>
      <c r="CJ811" s="105"/>
      <c r="CK811" s="105"/>
      <c r="CL811" s="105"/>
      <c r="CM811" s="105"/>
      <c r="CN811" s="105"/>
      <c r="CO811" s="105"/>
      <c r="CP811" s="105"/>
      <c r="CQ811" s="105"/>
      <c r="CR811" s="105"/>
      <c r="CS811" s="105"/>
      <c r="CT811" s="105"/>
      <c r="CU811" s="105"/>
      <c r="CV811" s="105"/>
      <c r="CW811" s="105"/>
      <c r="CX811" s="105"/>
      <c r="CY811" s="105"/>
      <c r="CZ811" s="105"/>
      <c r="DA811" s="105"/>
    </row>
    <row r="812">
      <c r="B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c r="AA812" s="105"/>
      <c r="AB812" s="105"/>
      <c r="AC812" s="105"/>
      <c r="AD812" s="105"/>
      <c r="AE812" s="105"/>
      <c r="AF812" s="105"/>
      <c r="AG812" s="105"/>
      <c r="AH812" s="105"/>
      <c r="AI812" s="105"/>
      <c r="AJ812" s="105"/>
      <c r="AK812" s="105"/>
      <c r="AL812" s="105"/>
      <c r="AM812" s="105"/>
      <c r="AN812" s="105"/>
      <c r="AO812" s="105"/>
      <c r="AP812" s="105"/>
      <c r="AQ812" s="105"/>
      <c r="AR812" s="105"/>
      <c r="AS812" s="105"/>
      <c r="AT812" s="105"/>
      <c r="AU812" s="105"/>
      <c r="AV812" s="105"/>
      <c r="AW812" s="105"/>
      <c r="AX812" s="105"/>
      <c r="AY812" s="105"/>
      <c r="AZ812" s="105"/>
      <c r="BA812" s="105"/>
      <c r="BB812" s="105"/>
      <c r="BC812" s="105"/>
      <c r="BD812" s="105"/>
      <c r="BE812" s="105"/>
      <c r="BF812" s="105"/>
      <c r="BG812" s="105"/>
      <c r="BH812" s="105"/>
      <c r="BI812" s="105"/>
      <c r="BJ812" s="105"/>
      <c r="BK812" s="105"/>
      <c r="BL812" s="105"/>
      <c r="BM812" s="105"/>
      <c r="BN812" s="105"/>
      <c r="BO812" s="105"/>
      <c r="BP812" s="105"/>
      <c r="BQ812" s="105"/>
      <c r="BR812" s="105"/>
      <c r="BS812" s="105"/>
      <c r="BT812" s="105"/>
      <c r="BU812" s="105"/>
      <c r="BV812" s="105"/>
      <c r="BW812" s="105"/>
      <c r="BX812" s="105"/>
      <c r="BY812" s="105"/>
      <c r="BZ812" s="105"/>
      <c r="CA812" s="105"/>
      <c r="CB812" s="105"/>
      <c r="CC812" s="105"/>
      <c r="CD812" s="105"/>
      <c r="CE812" s="105"/>
      <c r="CF812" s="105"/>
      <c r="CG812" s="105"/>
      <c r="CH812" s="105"/>
      <c r="CI812" s="105"/>
      <c r="CJ812" s="105"/>
      <c r="CK812" s="105"/>
      <c r="CL812" s="105"/>
      <c r="CM812" s="105"/>
      <c r="CN812" s="105"/>
      <c r="CO812" s="105"/>
      <c r="CP812" s="105"/>
      <c r="CQ812" s="105"/>
      <c r="CR812" s="105"/>
      <c r="CS812" s="105"/>
      <c r="CT812" s="105"/>
      <c r="CU812" s="105"/>
      <c r="CV812" s="105"/>
      <c r="CW812" s="105"/>
      <c r="CX812" s="105"/>
      <c r="CY812" s="105"/>
      <c r="CZ812" s="105"/>
      <c r="DA812" s="105"/>
    </row>
    <row r="813">
      <c r="B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c r="AA813" s="105"/>
      <c r="AB813" s="105"/>
      <c r="AC813" s="105"/>
      <c r="AD813" s="105"/>
      <c r="AE813" s="105"/>
      <c r="AF813" s="105"/>
      <c r="AG813" s="105"/>
      <c r="AH813" s="105"/>
      <c r="AI813" s="105"/>
      <c r="AJ813" s="105"/>
      <c r="AK813" s="105"/>
      <c r="AL813" s="105"/>
      <c r="AM813" s="105"/>
      <c r="AN813" s="105"/>
      <c r="AO813" s="105"/>
      <c r="AP813" s="105"/>
      <c r="AQ813" s="105"/>
      <c r="AR813" s="105"/>
      <c r="AS813" s="105"/>
      <c r="AT813" s="105"/>
      <c r="AU813" s="105"/>
      <c r="AV813" s="105"/>
      <c r="AW813" s="105"/>
      <c r="AX813" s="105"/>
      <c r="AY813" s="105"/>
      <c r="AZ813" s="105"/>
      <c r="BA813" s="105"/>
      <c r="BB813" s="105"/>
      <c r="BC813" s="105"/>
      <c r="BD813" s="105"/>
      <c r="BE813" s="105"/>
      <c r="BF813" s="105"/>
      <c r="BG813" s="105"/>
      <c r="BH813" s="105"/>
      <c r="BI813" s="105"/>
      <c r="BJ813" s="105"/>
      <c r="BK813" s="105"/>
      <c r="BL813" s="105"/>
      <c r="BM813" s="105"/>
      <c r="BN813" s="105"/>
      <c r="BO813" s="105"/>
      <c r="BP813" s="105"/>
      <c r="BQ813" s="105"/>
      <c r="BR813" s="105"/>
      <c r="BS813" s="105"/>
      <c r="BT813" s="105"/>
      <c r="BU813" s="105"/>
      <c r="BV813" s="105"/>
      <c r="BW813" s="105"/>
      <c r="BX813" s="105"/>
      <c r="BY813" s="105"/>
      <c r="BZ813" s="105"/>
      <c r="CA813" s="105"/>
      <c r="CB813" s="105"/>
      <c r="CC813" s="105"/>
      <c r="CD813" s="105"/>
      <c r="CE813" s="105"/>
      <c r="CF813" s="105"/>
      <c r="CG813" s="105"/>
      <c r="CH813" s="105"/>
      <c r="CI813" s="105"/>
      <c r="CJ813" s="105"/>
      <c r="CK813" s="105"/>
      <c r="CL813" s="105"/>
      <c r="CM813" s="105"/>
      <c r="CN813" s="105"/>
      <c r="CO813" s="105"/>
      <c r="CP813" s="105"/>
      <c r="CQ813" s="105"/>
      <c r="CR813" s="105"/>
      <c r="CS813" s="105"/>
      <c r="CT813" s="105"/>
      <c r="CU813" s="105"/>
      <c r="CV813" s="105"/>
      <c r="CW813" s="105"/>
      <c r="CX813" s="105"/>
      <c r="CY813" s="105"/>
      <c r="CZ813" s="105"/>
      <c r="DA813" s="105"/>
    </row>
    <row r="814">
      <c r="B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c r="AA814" s="105"/>
      <c r="AB814" s="105"/>
      <c r="AC814" s="105"/>
      <c r="AD814" s="105"/>
      <c r="AE814" s="105"/>
      <c r="AF814" s="105"/>
      <c r="AG814" s="105"/>
      <c r="AH814" s="105"/>
      <c r="AI814" s="105"/>
      <c r="AJ814" s="105"/>
      <c r="AK814" s="105"/>
      <c r="AL814" s="105"/>
      <c r="AM814" s="105"/>
      <c r="AN814" s="105"/>
      <c r="AO814" s="105"/>
      <c r="AP814" s="105"/>
      <c r="AQ814" s="105"/>
      <c r="AR814" s="105"/>
      <c r="AS814" s="105"/>
      <c r="AT814" s="105"/>
      <c r="AU814" s="105"/>
      <c r="AV814" s="105"/>
      <c r="AW814" s="105"/>
      <c r="AX814" s="105"/>
      <c r="AY814" s="105"/>
      <c r="AZ814" s="105"/>
      <c r="BA814" s="105"/>
      <c r="BB814" s="105"/>
      <c r="BC814" s="105"/>
      <c r="BD814" s="105"/>
      <c r="BE814" s="105"/>
      <c r="BF814" s="105"/>
      <c r="BG814" s="105"/>
      <c r="BH814" s="105"/>
      <c r="BI814" s="105"/>
      <c r="BJ814" s="105"/>
      <c r="BK814" s="105"/>
      <c r="BL814" s="105"/>
      <c r="BM814" s="105"/>
      <c r="BN814" s="105"/>
      <c r="BO814" s="105"/>
      <c r="BP814" s="105"/>
      <c r="BQ814" s="105"/>
      <c r="BR814" s="105"/>
      <c r="BS814" s="105"/>
      <c r="BT814" s="105"/>
      <c r="BU814" s="105"/>
      <c r="BV814" s="105"/>
      <c r="BW814" s="105"/>
      <c r="BX814" s="105"/>
      <c r="BY814" s="105"/>
      <c r="BZ814" s="105"/>
      <c r="CA814" s="105"/>
      <c r="CB814" s="105"/>
      <c r="CC814" s="105"/>
      <c r="CD814" s="105"/>
      <c r="CE814" s="105"/>
      <c r="CF814" s="105"/>
      <c r="CG814" s="105"/>
      <c r="CH814" s="105"/>
      <c r="CI814" s="105"/>
      <c r="CJ814" s="105"/>
      <c r="CK814" s="105"/>
      <c r="CL814" s="105"/>
      <c r="CM814" s="105"/>
      <c r="CN814" s="105"/>
      <c r="CO814" s="105"/>
      <c r="CP814" s="105"/>
      <c r="CQ814" s="105"/>
      <c r="CR814" s="105"/>
      <c r="CS814" s="105"/>
      <c r="CT814" s="105"/>
      <c r="CU814" s="105"/>
      <c r="CV814" s="105"/>
      <c r="CW814" s="105"/>
      <c r="CX814" s="105"/>
      <c r="CY814" s="105"/>
      <c r="CZ814" s="105"/>
      <c r="DA814" s="105"/>
    </row>
    <row r="815">
      <c r="B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c r="AA815" s="105"/>
      <c r="AB815" s="105"/>
      <c r="AC815" s="105"/>
      <c r="AD815" s="105"/>
      <c r="AE815" s="105"/>
      <c r="AF815" s="105"/>
      <c r="AG815" s="105"/>
      <c r="AH815" s="105"/>
      <c r="AI815" s="105"/>
      <c r="AJ815" s="105"/>
      <c r="AK815" s="105"/>
      <c r="AL815" s="105"/>
      <c r="AM815" s="105"/>
      <c r="AN815" s="105"/>
      <c r="AO815" s="105"/>
      <c r="AP815" s="105"/>
      <c r="AQ815" s="105"/>
      <c r="AR815" s="105"/>
      <c r="AS815" s="105"/>
      <c r="AT815" s="105"/>
      <c r="AU815" s="105"/>
      <c r="AV815" s="105"/>
      <c r="AW815" s="105"/>
      <c r="AX815" s="105"/>
      <c r="AY815" s="105"/>
      <c r="AZ815" s="105"/>
      <c r="BA815" s="105"/>
      <c r="BB815" s="105"/>
      <c r="BC815" s="105"/>
      <c r="BD815" s="105"/>
      <c r="BE815" s="105"/>
      <c r="BF815" s="105"/>
      <c r="BG815" s="105"/>
      <c r="BH815" s="105"/>
      <c r="BI815" s="105"/>
      <c r="BJ815" s="105"/>
      <c r="BK815" s="105"/>
      <c r="BL815" s="105"/>
      <c r="BM815" s="105"/>
      <c r="BN815" s="105"/>
      <c r="BO815" s="105"/>
      <c r="BP815" s="105"/>
      <c r="BQ815" s="105"/>
      <c r="BR815" s="105"/>
      <c r="BS815" s="105"/>
      <c r="BT815" s="105"/>
      <c r="BU815" s="105"/>
      <c r="BV815" s="105"/>
      <c r="BW815" s="105"/>
      <c r="BX815" s="105"/>
      <c r="BY815" s="105"/>
      <c r="BZ815" s="105"/>
      <c r="CA815" s="105"/>
      <c r="CB815" s="105"/>
      <c r="CC815" s="105"/>
      <c r="CD815" s="105"/>
      <c r="CE815" s="105"/>
      <c r="CF815" s="105"/>
      <c r="CG815" s="105"/>
      <c r="CH815" s="105"/>
      <c r="CI815" s="105"/>
      <c r="CJ815" s="105"/>
      <c r="CK815" s="105"/>
      <c r="CL815" s="105"/>
      <c r="CM815" s="105"/>
      <c r="CN815" s="105"/>
      <c r="CO815" s="105"/>
      <c r="CP815" s="105"/>
      <c r="CQ815" s="105"/>
      <c r="CR815" s="105"/>
      <c r="CS815" s="105"/>
      <c r="CT815" s="105"/>
      <c r="CU815" s="105"/>
      <c r="CV815" s="105"/>
      <c r="CW815" s="105"/>
      <c r="CX815" s="105"/>
      <c r="CY815" s="105"/>
      <c r="CZ815" s="105"/>
      <c r="DA815" s="105"/>
    </row>
    <row r="816">
      <c r="B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c r="AA816" s="105"/>
      <c r="AB816" s="105"/>
      <c r="AC816" s="105"/>
      <c r="AD816" s="105"/>
      <c r="AE816" s="105"/>
      <c r="AF816" s="105"/>
      <c r="AG816" s="105"/>
      <c r="AH816" s="105"/>
      <c r="AI816" s="105"/>
      <c r="AJ816" s="105"/>
      <c r="AK816" s="105"/>
      <c r="AL816" s="105"/>
      <c r="AM816" s="105"/>
      <c r="AN816" s="105"/>
      <c r="AO816" s="105"/>
      <c r="AP816" s="105"/>
      <c r="AQ816" s="105"/>
      <c r="AR816" s="105"/>
      <c r="AS816" s="105"/>
      <c r="AT816" s="105"/>
      <c r="AU816" s="105"/>
      <c r="AV816" s="105"/>
      <c r="AW816" s="105"/>
      <c r="AX816" s="105"/>
      <c r="AY816" s="105"/>
      <c r="AZ816" s="105"/>
      <c r="BA816" s="105"/>
      <c r="BB816" s="105"/>
      <c r="BC816" s="105"/>
      <c r="BD816" s="105"/>
      <c r="BE816" s="105"/>
      <c r="BF816" s="105"/>
      <c r="BG816" s="105"/>
      <c r="BH816" s="105"/>
      <c r="BI816" s="105"/>
      <c r="BJ816" s="105"/>
      <c r="BK816" s="105"/>
      <c r="BL816" s="105"/>
      <c r="BM816" s="105"/>
      <c r="BN816" s="105"/>
      <c r="BO816" s="105"/>
      <c r="BP816" s="105"/>
      <c r="BQ816" s="105"/>
      <c r="BR816" s="105"/>
      <c r="BS816" s="105"/>
      <c r="BT816" s="105"/>
      <c r="BU816" s="105"/>
      <c r="BV816" s="105"/>
      <c r="BW816" s="105"/>
      <c r="BX816" s="105"/>
      <c r="BY816" s="105"/>
      <c r="BZ816" s="105"/>
      <c r="CA816" s="105"/>
      <c r="CB816" s="105"/>
      <c r="CC816" s="105"/>
      <c r="CD816" s="105"/>
      <c r="CE816" s="105"/>
      <c r="CF816" s="105"/>
      <c r="CG816" s="105"/>
      <c r="CH816" s="105"/>
      <c r="CI816" s="105"/>
      <c r="CJ816" s="105"/>
      <c r="CK816" s="105"/>
      <c r="CL816" s="105"/>
      <c r="CM816" s="105"/>
      <c r="CN816" s="105"/>
      <c r="CO816" s="105"/>
      <c r="CP816" s="105"/>
      <c r="CQ816" s="105"/>
      <c r="CR816" s="105"/>
      <c r="CS816" s="105"/>
      <c r="CT816" s="105"/>
      <c r="CU816" s="105"/>
      <c r="CV816" s="105"/>
      <c r="CW816" s="105"/>
      <c r="CX816" s="105"/>
      <c r="CY816" s="105"/>
      <c r="CZ816" s="105"/>
      <c r="DA816" s="105"/>
    </row>
    <row r="817">
      <c r="B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c r="AA817" s="105"/>
      <c r="AB817" s="105"/>
      <c r="AC817" s="105"/>
      <c r="AD817" s="105"/>
      <c r="AE817" s="105"/>
      <c r="AF817" s="105"/>
      <c r="AG817" s="105"/>
      <c r="AH817" s="105"/>
      <c r="AI817" s="105"/>
      <c r="AJ817" s="105"/>
      <c r="AK817" s="105"/>
      <c r="AL817" s="105"/>
      <c r="AM817" s="105"/>
      <c r="AN817" s="105"/>
      <c r="AO817" s="105"/>
      <c r="AP817" s="105"/>
      <c r="AQ817" s="105"/>
      <c r="AR817" s="105"/>
      <c r="AS817" s="105"/>
      <c r="AT817" s="105"/>
      <c r="AU817" s="105"/>
      <c r="AV817" s="105"/>
      <c r="AW817" s="105"/>
      <c r="AX817" s="105"/>
      <c r="AY817" s="105"/>
      <c r="AZ817" s="105"/>
      <c r="BA817" s="105"/>
      <c r="BB817" s="105"/>
      <c r="BC817" s="105"/>
      <c r="BD817" s="105"/>
      <c r="BE817" s="105"/>
      <c r="BF817" s="105"/>
      <c r="BG817" s="105"/>
      <c r="BH817" s="105"/>
      <c r="BI817" s="105"/>
      <c r="BJ817" s="105"/>
      <c r="BK817" s="105"/>
      <c r="BL817" s="105"/>
      <c r="BM817" s="105"/>
      <c r="BN817" s="105"/>
      <c r="BO817" s="105"/>
      <c r="BP817" s="105"/>
      <c r="BQ817" s="105"/>
      <c r="BR817" s="105"/>
      <c r="BS817" s="105"/>
      <c r="BT817" s="105"/>
      <c r="BU817" s="105"/>
      <c r="BV817" s="105"/>
      <c r="BW817" s="105"/>
      <c r="BX817" s="105"/>
      <c r="BY817" s="105"/>
      <c r="BZ817" s="105"/>
      <c r="CA817" s="105"/>
      <c r="CB817" s="105"/>
      <c r="CC817" s="105"/>
      <c r="CD817" s="105"/>
      <c r="CE817" s="105"/>
      <c r="CF817" s="105"/>
      <c r="CG817" s="105"/>
      <c r="CH817" s="105"/>
      <c r="CI817" s="105"/>
      <c r="CJ817" s="105"/>
      <c r="CK817" s="105"/>
      <c r="CL817" s="105"/>
      <c r="CM817" s="105"/>
      <c r="CN817" s="105"/>
      <c r="CO817" s="105"/>
      <c r="CP817" s="105"/>
      <c r="CQ817" s="105"/>
      <c r="CR817" s="105"/>
      <c r="CS817" s="105"/>
      <c r="CT817" s="105"/>
      <c r="CU817" s="105"/>
      <c r="CV817" s="105"/>
      <c r="CW817" s="105"/>
      <c r="CX817" s="105"/>
      <c r="CY817" s="105"/>
      <c r="CZ817" s="105"/>
      <c r="DA817" s="105"/>
    </row>
    <row r="818">
      <c r="B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c r="AA818" s="105"/>
      <c r="AB818" s="105"/>
      <c r="AC818" s="105"/>
      <c r="AD818" s="105"/>
      <c r="AE818" s="105"/>
      <c r="AF818" s="105"/>
      <c r="AG818" s="105"/>
      <c r="AH818" s="105"/>
      <c r="AI818" s="105"/>
      <c r="AJ818" s="105"/>
      <c r="AK818" s="105"/>
      <c r="AL818" s="105"/>
      <c r="AM818" s="105"/>
      <c r="AN818" s="105"/>
      <c r="AO818" s="105"/>
      <c r="AP818" s="105"/>
      <c r="AQ818" s="105"/>
      <c r="AR818" s="105"/>
      <c r="AS818" s="105"/>
      <c r="AT818" s="105"/>
      <c r="AU818" s="105"/>
      <c r="AV818" s="105"/>
      <c r="AW818" s="105"/>
      <c r="AX818" s="105"/>
      <c r="AY818" s="105"/>
      <c r="AZ818" s="105"/>
      <c r="BA818" s="105"/>
      <c r="BB818" s="105"/>
      <c r="BC818" s="105"/>
      <c r="BD818" s="105"/>
      <c r="BE818" s="105"/>
      <c r="BF818" s="105"/>
      <c r="BG818" s="105"/>
      <c r="BH818" s="105"/>
      <c r="BI818" s="105"/>
      <c r="BJ818" s="105"/>
      <c r="BK818" s="105"/>
      <c r="BL818" s="105"/>
      <c r="BM818" s="105"/>
      <c r="BN818" s="105"/>
      <c r="BO818" s="105"/>
      <c r="BP818" s="105"/>
      <c r="BQ818" s="105"/>
      <c r="BR818" s="105"/>
      <c r="BS818" s="105"/>
      <c r="BT818" s="105"/>
      <c r="BU818" s="105"/>
      <c r="BV818" s="105"/>
      <c r="BW818" s="105"/>
      <c r="BX818" s="105"/>
      <c r="BY818" s="105"/>
      <c r="BZ818" s="105"/>
      <c r="CA818" s="105"/>
      <c r="CB818" s="105"/>
      <c r="CC818" s="105"/>
      <c r="CD818" s="105"/>
      <c r="CE818" s="105"/>
      <c r="CF818" s="105"/>
      <c r="CG818" s="105"/>
      <c r="CH818" s="105"/>
      <c r="CI818" s="105"/>
      <c r="CJ818" s="105"/>
      <c r="CK818" s="105"/>
      <c r="CL818" s="105"/>
      <c r="CM818" s="105"/>
      <c r="CN818" s="105"/>
      <c r="CO818" s="105"/>
      <c r="CP818" s="105"/>
      <c r="CQ818" s="105"/>
      <c r="CR818" s="105"/>
      <c r="CS818" s="105"/>
      <c r="CT818" s="105"/>
      <c r="CU818" s="105"/>
      <c r="CV818" s="105"/>
      <c r="CW818" s="105"/>
      <c r="CX818" s="105"/>
      <c r="CY818" s="105"/>
      <c r="CZ818" s="105"/>
      <c r="DA818" s="105"/>
    </row>
    <row r="819">
      <c r="B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c r="AA819" s="105"/>
      <c r="AB819" s="105"/>
      <c r="AC819" s="105"/>
      <c r="AD819" s="105"/>
      <c r="AE819" s="105"/>
      <c r="AF819" s="105"/>
      <c r="AG819" s="105"/>
      <c r="AH819" s="105"/>
      <c r="AI819" s="105"/>
      <c r="AJ819" s="105"/>
      <c r="AK819" s="105"/>
      <c r="AL819" s="105"/>
      <c r="AM819" s="105"/>
      <c r="AN819" s="105"/>
      <c r="AO819" s="105"/>
      <c r="AP819" s="105"/>
      <c r="AQ819" s="105"/>
      <c r="AR819" s="105"/>
      <c r="AS819" s="105"/>
      <c r="AT819" s="105"/>
      <c r="AU819" s="105"/>
      <c r="AV819" s="105"/>
      <c r="AW819" s="105"/>
      <c r="AX819" s="105"/>
      <c r="AY819" s="105"/>
      <c r="AZ819" s="105"/>
      <c r="BA819" s="105"/>
      <c r="BB819" s="105"/>
      <c r="BC819" s="105"/>
      <c r="BD819" s="105"/>
      <c r="BE819" s="105"/>
      <c r="BF819" s="105"/>
      <c r="BG819" s="105"/>
      <c r="BH819" s="105"/>
      <c r="BI819" s="105"/>
      <c r="BJ819" s="105"/>
      <c r="BK819" s="105"/>
      <c r="BL819" s="105"/>
      <c r="BM819" s="105"/>
      <c r="BN819" s="105"/>
      <c r="BO819" s="105"/>
      <c r="BP819" s="105"/>
      <c r="BQ819" s="105"/>
      <c r="BR819" s="105"/>
      <c r="BS819" s="105"/>
      <c r="BT819" s="105"/>
      <c r="BU819" s="105"/>
      <c r="BV819" s="105"/>
      <c r="BW819" s="105"/>
      <c r="BX819" s="105"/>
      <c r="BY819" s="105"/>
      <c r="BZ819" s="105"/>
      <c r="CA819" s="105"/>
      <c r="CB819" s="105"/>
      <c r="CC819" s="105"/>
      <c r="CD819" s="105"/>
      <c r="CE819" s="105"/>
      <c r="CF819" s="105"/>
      <c r="CG819" s="105"/>
      <c r="CH819" s="105"/>
      <c r="CI819" s="105"/>
      <c r="CJ819" s="105"/>
      <c r="CK819" s="105"/>
      <c r="CL819" s="105"/>
      <c r="CM819" s="105"/>
      <c r="CN819" s="105"/>
      <c r="CO819" s="105"/>
      <c r="CP819" s="105"/>
      <c r="CQ819" s="105"/>
      <c r="CR819" s="105"/>
      <c r="CS819" s="105"/>
      <c r="CT819" s="105"/>
      <c r="CU819" s="105"/>
      <c r="CV819" s="105"/>
      <c r="CW819" s="105"/>
      <c r="CX819" s="105"/>
      <c r="CY819" s="105"/>
      <c r="CZ819" s="105"/>
      <c r="DA819" s="105"/>
    </row>
    <row r="820">
      <c r="B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c r="AA820" s="105"/>
      <c r="AB820" s="105"/>
      <c r="AC820" s="105"/>
      <c r="AD820" s="105"/>
      <c r="AE820" s="105"/>
      <c r="AF820" s="105"/>
      <c r="AG820" s="105"/>
      <c r="AH820" s="105"/>
      <c r="AI820" s="105"/>
      <c r="AJ820" s="105"/>
      <c r="AK820" s="105"/>
      <c r="AL820" s="105"/>
      <c r="AM820" s="105"/>
      <c r="AN820" s="105"/>
      <c r="AO820" s="105"/>
      <c r="AP820" s="105"/>
      <c r="AQ820" s="105"/>
      <c r="AR820" s="105"/>
      <c r="AS820" s="105"/>
      <c r="AT820" s="105"/>
      <c r="AU820" s="105"/>
      <c r="AV820" s="105"/>
      <c r="AW820" s="105"/>
      <c r="AX820" s="105"/>
      <c r="AY820" s="105"/>
      <c r="AZ820" s="105"/>
      <c r="BA820" s="105"/>
      <c r="BB820" s="105"/>
      <c r="BC820" s="105"/>
      <c r="BD820" s="105"/>
      <c r="BE820" s="105"/>
      <c r="BF820" s="105"/>
      <c r="BG820" s="105"/>
      <c r="BH820" s="105"/>
      <c r="BI820" s="105"/>
      <c r="BJ820" s="105"/>
      <c r="BK820" s="105"/>
      <c r="BL820" s="105"/>
      <c r="BM820" s="105"/>
      <c r="BN820" s="105"/>
      <c r="BO820" s="105"/>
      <c r="BP820" s="105"/>
      <c r="BQ820" s="105"/>
      <c r="BR820" s="105"/>
      <c r="BS820" s="105"/>
      <c r="BT820" s="105"/>
      <c r="BU820" s="105"/>
      <c r="BV820" s="105"/>
      <c r="BW820" s="105"/>
      <c r="BX820" s="105"/>
      <c r="BY820" s="105"/>
      <c r="BZ820" s="105"/>
      <c r="CA820" s="105"/>
      <c r="CB820" s="105"/>
      <c r="CC820" s="105"/>
      <c r="CD820" s="105"/>
      <c r="CE820" s="105"/>
      <c r="CF820" s="105"/>
      <c r="CG820" s="105"/>
      <c r="CH820" s="105"/>
      <c r="CI820" s="105"/>
      <c r="CJ820" s="105"/>
      <c r="CK820" s="105"/>
      <c r="CL820" s="105"/>
      <c r="CM820" s="105"/>
      <c r="CN820" s="105"/>
      <c r="CO820" s="105"/>
      <c r="CP820" s="105"/>
      <c r="CQ820" s="105"/>
      <c r="CR820" s="105"/>
      <c r="CS820" s="105"/>
      <c r="CT820" s="105"/>
      <c r="CU820" s="105"/>
      <c r="CV820" s="105"/>
      <c r="CW820" s="105"/>
      <c r="CX820" s="105"/>
      <c r="CY820" s="105"/>
      <c r="CZ820" s="105"/>
      <c r="DA820" s="105"/>
    </row>
    <row r="821">
      <c r="B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c r="AA821" s="105"/>
      <c r="AB821" s="105"/>
      <c r="AC821" s="105"/>
      <c r="AD821" s="105"/>
      <c r="AE821" s="105"/>
      <c r="AF821" s="105"/>
      <c r="AG821" s="105"/>
      <c r="AH821" s="105"/>
      <c r="AI821" s="105"/>
      <c r="AJ821" s="105"/>
      <c r="AK821" s="105"/>
      <c r="AL821" s="105"/>
      <c r="AM821" s="105"/>
      <c r="AN821" s="105"/>
      <c r="AO821" s="105"/>
      <c r="AP821" s="105"/>
      <c r="AQ821" s="105"/>
      <c r="AR821" s="105"/>
      <c r="AS821" s="105"/>
      <c r="AT821" s="105"/>
      <c r="AU821" s="105"/>
      <c r="AV821" s="105"/>
      <c r="AW821" s="105"/>
      <c r="AX821" s="105"/>
      <c r="AY821" s="105"/>
      <c r="AZ821" s="105"/>
      <c r="BA821" s="105"/>
      <c r="BB821" s="105"/>
      <c r="BC821" s="105"/>
      <c r="BD821" s="105"/>
      <c r="BE821" s="105"/>
      <c r="BF821" s="105"/>
      <c r="BG821" s="105"/>
      <c r="BH821" s="105"/>
      <c r="BI821" s="105"/>
      <c r="BJ821" s="105"/>
      <c r="BK821" s="105"/>
      <c r="BL821" s="105"/>
      <c r="BM821" s="105"/>
      <c r="BN821" s="105"/>
      <c r="BO821" s="105"/>
      <c r="BP821" s="105"/>
      <c r="BQ821" s="105"/>
      <c r="BR821" s="105"/>
      <c r="BS821" s="105"/>
      <c r="BT821" s="105"/>
      <c r="BU821" s="105"/>
      <c r="BV821" s="105"/>
      <c r="BW821" s="105"/>
      <c r="BX821" s="105"/>
      <c r="BY821" s="105"/>
      <c r="BZ821" s="105"/>
      <c r="CA821" s="105"/>
      <c r="CB821" s="105"/>
      <c r="CC821" s="105"/>
      <c r="CD821" s="105"/>
      <c r="CE821" s="105"/>
      <c r="CF821" s="105"/>
      <c r="CG821" s="105"/>
      <c r="CH821" s="105"/>
      <c r="CI821" s="105"/>
      <c r="CJ821" s="105"/>
      <c r="CK821" s="105"/>
      <c r="CL821" s="105"/>
      <c r="CM821" s="105"/>
      <c r="CN821" s="105"/>
      <c r="CO821" s="105"/>
      <c r="CP821" s="105"/>
      <c r="CQ821" s="105"/>
      <c r="CR821" s="105"/>
      <c r="CS821" s="105"/>
      <c r="CT821" s="105"/>
      <c r="CU821" s="105"/>
      <c r="CV821" s="105"/>
      <c r="CW821" s="105"/>
      <c r="CX821" s="105"/>
      <c r="CY821" s="105"/>
      <c r="CZ821" s="105"/>
      <c r="DA821" s="105"/>
    </row>
    <row r="822">
      <c r="B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c r="AA822" s="105"/>
      <c r="AB822" s="105"/>
      <c r="AC822" s="105"/>
      <c r="AD822" s="105"/>
      <c r="AE822" s="105"/>
      <c r="AF822" s="105"/>
      <c r="AG822" s="105"/>
      <c r="AH822" s="105"/>
      <c r="AI822" s="105"/>
      <c r="AJ822" s="105"/>
      <c r="AK822" s="105"/>
      <c r="AL822" s="105"/>
      <c r="AM822" s="105"/>
      <c r="AN822" s="105"/>
      <c r="AO822" s="105"/>
      <c r="AP822" s="105"/>
      <c r="AQ822" s="105"/>
      <c r="AR822" s="105"/>
      <c r="AS822" s="105"/>
      <c r="AT822" s="105"/>
      <c r="AU822" s="105"/>
      <c r="AV822" s="105"/>
      <c r="AW822" s="105"/>
      <c r="AX822" s="105"/>
      <c r="AY822" s="105"/>
      <c r="AZ822" s="105"/>
      <c r="BA822" s="105"/>
      <c r="BB822" s="105"/>
      <c r="BC822" s="105"/>
      <c r="BD822" s="105"/>
      <c r="BE822" s="105"/>
      <c r="BF822" s="105"/>
      <c r="BG822" s="105"/>
      <c r="BH822" s="105"/>
      <c r="BI822" s="105"/>
      <c r="BJ822" s="105"/>
      <c r="BK822" s="105"/>
      <c r="BL822" s="105"/>
      <c r="BM822" s="105"/>
      <c r="BN822" s="105"/>
      <c r="BO822" s="105"/>
      <c r="BP822" s="105"/>
      <c r="BQ822" s="105"/>
      <c r="BR822" s="105"/>
      <c r="BS822" s="105"/>
      <c r="BT822" s="105"/>
      <c r="BU822" s="105"/>
      <c r="BV822" s="105"/>
      <c r="BW822" s="105"/>
      <c r="BX822" s="105"/>
      <c r="BY822" s="105"/>
      <c r="BZ822" s="105"/>
      <c r="CA822" s="105"/>
      <c r="CB822" s="105"/>
      <c r="CC822" s="105"/>
      <c r="CD822" s="105"/>
      <c r="CE822" s="105"/>
      <c r="CF822" s="105"/>
      <c r="CG822" s="105"/>
      <c r="CH822" s="105"/>
      <c r="CI822" s="105"/>
      <c r="CJ822" s="105"/>
      <c r="CK822" s="105"/>
      <c r="CL822" s="105"/>
      <c r="CM822" s="105"/>
      <c r="CN822" s="105"/>
      <c r="CO822" s="105"/>
      <c r="CP822" s="105"/>
      <c r="CQ822" s="105"/>
      <c r="CR822" s="105"/>
      <c r="CS822" s="105"/>
      <c r="CT822" s="105"/>
      <c r="CU822" s="105"/>
      <c r="CV822" s="105"/>
      <c r="CW822" s="105"/>
      <c r="CX822" s="105"/>
      <c r="CY822" s="105"/>
      <c r="CZ822" s="105"/>
      <c r="DA822" s="105"/>
    </row>
    <row r="823">
      <c r="B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c r="AA823" s="105"/>
      <c r="AB823" s="105"/>
      <c r="AC823" s="105"/>
      <c r="AD823" s="105"/>
      <c r="AE823" s="105"/>
      <c r="AF823" s="105"/>
      <c r="AG823" s="105"/>
      <c r="AH823" s="105"/>
      <c r="AI823" s="105"/>
      <c r="AJ823" s="105"/>
      <c r="AK823" s="105"/>
      <c r="AL823" s="105"/>
      <c r="AM823" s="105"/>
      <c r="AN823" s="105"/>
      <c r="AO823" s="105"/>
      <c r="AP823" s="105"/>
      <c r="AQ823" s="105"/>
      <c r="AR823" s="105"/>
      <c r="AS823" s="105"/>
      <c r="AT823" s="105"/>
      <c r="AU823" s="105"/>
      <c r="AV823" s="105"/>
      <c r="AW823" s="105"/>
      <c r="AX823" s="105"/>
      <c r="AY823" s="105"/>
      <c r="AZ823" s="105"/>
      <c r="BA823" s="105"/>
      <c r="BB823" s="105"/>
      <c r="BC823" s="105"/>
      <c r="BD823" s="105"/>
      <c r="BE823" s="105"/>
      <c r="BF823" s="105"/>
      <c r="BG823" s="105"/>
      <c r="BH823" s="105"/>
      <c r="BI823" s="105"/>
      <c r="BJ823" s="105"/>
      <c r="BK823" s="105"/>
      <c r="BL823" s="105"/>
      <c r="BM823" s="105"/>
      <c r="BN823" s="105"/>
      <c r="BO823" s="105"/>
      <c r="BP823" s="105"/>
      <c r="BQ823" s="105"/>
      <c r="BR823" s="105"/>
      <c r="BS823" s="105"/>
      <c r="BT823" s="105"/>
      <c r="BU823" s="105"/>
      <c r="BV823" s="105"/>
      <c r="BW823" s="105"/>
      <c r="BX823" s="105"/>
      <c r="BY823" s="105"/>
      <c r="BZ823" s="105"/>
      <c r="CA823" s="105"/>
      <c r="CB823" s="105"/>
      <c r="CC823" s="105"/>
      <c r="CD823" s="105"/>
      <c r="CE823" s="105"/>
      <c r="CF823" s="105"/>
      <c r="CG823" s="105"/>
      <c r="CH823" s="105"/>
      <c r="CI823" s="105"/>
      <c r="CJ823" s="105"/>
      <c r="CK823" s="105"/>
      <c r="CL823" s="105"/>
      <c r="CM823" s="105"/>
      <c r="CN823" s="105"/>
      <c r="CO823" s="105"/>
      <c r="CP823" s="105"/>
      <c r="CQ823" s="105"/>
      <c r="CR823" s="105"/>
      <c r="CS823" s="105"/>
      <c r="CT823" s="105"/>
      <c r="CU823" s="105"/>
      <c r="CV823" s="105"/>
      <c r="CW823" s="105"/>
      <c r="CX823" s="105"/>
      <c r="CY823" s="105"/>
      <c r="CZ823" s="105"/>
      <c r="DA823" s="105"/>
    </row>
    <row r="824">
      <c r="B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c r="AA824" s="105"/>
      <c r="AB824" s="105"/>
      <c r="AC824" s="105"/>
      <c r="AD824" s="105"/>
      <c r="AE824" s="105"/>
      <c r="AF824" s="105"/>
      <c r="AG824" s="105"/>
      <c r="AH824" s="105"/>
      <c r="AI824" s="105"/>
      <c r="AJ824" s="105"/>
      <c r="AK824" s="105"/>
      <c r="AL824" s="105"/>
      <c r="AM824" s="105"/>
      <c r="AN824" s="105"/>
      <c r="AO824" s="105"/>
      <c r="AP824" s="105"/>
      <c r="AQ824" s="105"/>
      <c r="AR824" s="105"/>
      <c r="AS824" s="105"/>
      <c r="AT824" s="105"/>
      <c r="AU824" s="105"/>
      <c r="AV824" s="105"/>
      <c r="AW824" s="105"/>
      <c r="AX824" s="105"/>
      <c r="AY824" s="105"/>
      <c r="AZ824" s="105"/>
      <c r="BA824" s="105"/>
      <c r="BB824" s="105"/>
      <c r="BC824" s="105"/>
      <c r="BD824" s="105"/>
      <c r="BE824" s="105"/>
      <c r="BF824" s="105"/>
      <c r="BG824" s="105"/>
      <c r="BH824" s="105"/>
      <c r="BI824" s="105"/>
      <c r="BJ824" s="105"/>
      <c r="BK824" s="105"/>
      <c r="BL824" s="105"/>
      <c r="BM824" s="105"/>
      <c r="BN824" s="105"/>
      <c r="BO824" s="105"/>
      <c r="BP824" s="105"/>
      <c r="BQ824" s="105"/>
      <c r="BR824" s="105"/>
      <c r="BS824" s="105"/>
      <c r="BT824" s="105"/>
      <c r="BU824" s="105"/>
      <c r="BV824" s="105"/>
      <c r="BW824" s="105"/>
      <c r="BX824" s="105"/>
      <c r="BY824" s="105"/>
      <c r="BZ824" s="105"/>
      <c r="CA824" s="105"/>
      <c r="CB824" s="105"/>
      <c r="CC824" s="105"/>
      <c r="CD824" s="105"/>
      <c r="CE824" s="105"/>
      <c r="CF824" s="105"/>
      <c r="CG824" s="105"/>
      <c r="CH824" s="105"/>
      <c r="CI824" s="105"/>
      <c r="CJ824" s="105"/>
      <c r="CK824" s="105"/>
      <c r="CL824" s="105"/>
      <c r="CM824" s="105"/>
      <c r="CN824" s="105"/>
      <c r="CO824" s="105"/>
      <c r="CP824" s="105"/>
      <c r="CQ824" s="105"/>
      <c r="CR824" s="105"/>
      <c r="CS824" s="105"/>
      <c r="CT824" s="105"/>
      <c r="CU824" s="105"/>
      <c r="CV824" s="105"/>
      <c r="CW824" s="105"/>
      <c r="CX824" s="105"/>
      <c r="CY824" s="105"/>
      <c r="CZ824" s="105"/>
      <c r="DA824" s="105"/>
    </row>
    <row r="825">
      <c r="B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c r="AA825" s="105"/>
      <c r="AB825" s="105"/>
      <c r="AC825" s="105"/>
      <c r="AD825" s="105"/>
      <c r="AE825" s="105"/>
      <c r="AF825" s="105"/>
      <c r="AG825" s="105"/>
      <c r="AH825" s="105"/>
      <c r="AI825" s="105"/>
      <c r="AJ825" s="105"/>
      <c r="AK825" s="105"/>
      <c r="AL825" s="105"/>
      <c r="AM825" s="105"/>
      <c r="AN825" s="105"/>
      <c r="AO825" s="105"/>
      <c r="AP825" s="105"/>
      <c r="AQ825" s="105"/>
      <c r="AR825" s="105"/>
      <c r="AS825" s="105"/>
      <c r="AT825" s="105"/>
      <c r="AU825" s="105"/>
      <c r="AV825" s="105"/>
      <c r="AW825" s="105"/>
      <c r="AX825" s="105"/>
      <c r="AY825" s="105"/>
      <c r="AZ825" s="105"/>
      <c r="BA825" s="105"/>
      <c r="BB825" s="105"/>
      <c r="BC825" s="105"/>
      <c r="BD825" s="105"/>
      <c r="BE825" s="105"/>
      <c r="BF825" s="105"/>
      <c r="BG825" s="105"/>
      <c r="BH825" s="105"/>
      <c r="BI825" s="105"/>
      <c r="BJ825" s="105"/>
      <c r="BK825" s="105"/>
      <c r="BL825" s="105"/>
      <c r="BM825" s="105"/>
      <c r="BN825" s="105"/>
      <c r="BO825" s="105"/>
      <c r="BP825" s="105"/>
      <c r="BQ825" s="105"/>
      <c r="BR825" s="105"/>
      <c r="BS825" s="105"/>
      <c r="BT825" s="105"/>
      <c r="BU825" s="105"/>
      <c r="BV825" s="105"/>
      <c r="BW825" s="105"/>
      <c r="BX825" s="105"/>
      <c r="BY825" s="105"/>
      <c r="BZ825" s="105"/>
      <c r="CA825" s="105"/>
      <c r="CB825" s="105"/>
      <c r="CC825" s="105"/>
      <c r="CD825" s="105"/>
      <c r="CE825" s="105"/>
      <c r="CF825" s="105"/>
      <c r="CG825" s="105"/>
      <c r="CH825" s="105"/>
      <c r="CI825" s="105"/>
      <c r="CJ825" s="105"/>
      <c r="CK825" s="105"/>
      <c r="CL825" s="105"/>
      <c r="CM825" s="105"/>
      <c r="CN825" s="105"/>
      <c r="CO825" s="105"/>
      <c r="CP825" s="105"/>
      <c r="CQ825" s="105"/>
      <c r="CR825" s="105"/>
      <c r="CS825" s="105"/>
      <c r="CT825" s="105"/>
      <c r="CU825" s="105"/>
      <c r="CV825" s="105"/>
      <c r="CW825" s="105"/>
      <c r="CX825" s="105"/>
      <c r="CY825" s="105"/>
      <c r="CZ825" s="105"/>
      <c r="DA825" s="105"/>
    </row>
    <row r="826">
      <c r="B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c r="AA826" s="105"/>
      <c r="AB826" s="105"/>
      <c r="AC826" s="105"/>
      <c r="AD826" s="105"/>
      <c r="AE826" s="105"/>
      <c r="AF826" s="105"/>
      <c r="AG826" s="105"/>
      <c r="AH826" s="105"/>
      <c r="AI826" s="105"/>
      <c r="AJ826" s="105"/>
      <c r="AK826" s="105"/>
      <c r="AL826" s="105"/>
      <c r="AM826" s="105"/>
      <c r="AN826" s="105"/>
      <c r="AO826" s="105"/>
      <c r="AP826" s="105"/>
      <c r="AQ826" s="105"/>
      <c r="AR826" s="105"/>
      <c r="AS826" s="105"/>
      <c r="AT826" s="105"/>
      <c r="AU826" s="105"/>
      <c r="AV826" s="105"/>
      <c r="AW826" s="105"/>
      <c r="AX826" s="105"/>
      <c r="AY826" s="105"/>
      <c r="AZ826" s="105"/>
      <c r="BA826" s="105"/>
      <c r="BB826" s="105"/>
      <c r="BC826" s="105"/>
      <c r="BD826" s="105"/>
      <c r="BE826" s="105"/>
      <c r="BF826" s="105"/>
      <c r="BG826" s="105"/>
      <c r="BH826" s="105"/>
      <c r="BI826" s="105"/>
      <c r="BJ826" s="105"/>
      <c r="BK826" s="105"/>
      <c r="BL826" s="105"/>
      <c r="BM826" s="105"/>
      <c r="BN826" s="105"/>
      <c r="BO826" s="105"/>
      <c r="BP826" s="105"/>
      <c r="BQ826" s="105"/>
      <c r="BR826" s="105"/>
      <c r="BS826" s="105"/>
      <c r="BT826" s="105"/>
      <c r="BU826" s="105"/>
      <c r="BV826" s="105"/>
      <c r="BW826" s="105"/>
      <c r="BX826" s="105"/>
      <c r="BY826" s="105"/>
      <c r="BZ826" s="105"/>
      <c r="CA826" s="105"/>
      <c r="CB826" s="105"/>
      <c r="CC826" s="105"/>
      <c r="CD826" s="105"/>
      <c r="CE826" s="105"/>
      <c r="CF826" s="105"/>
      <c r="CG826" s="105"/>
      <c r="CH826" s="105"/>
      <c r="CI826" s="105"/>
      <c r="CJ826" s="105"/>
      <c r="CK826" s="105"/>
      <c r="CL826" s="105"/>
      <c r="CM826" s="105"/>
      <c r="CN826" s="105"/>
      <c r="CO826" s="105"/>
      <c r="CP826" s="105"/>
      <c r="CQ826" s="105"/>
      <c r="CR826" s="105"/>
      <c r="CS826" s="105"/>
      <c r="CT826" s="105"/>
      <c r="CU826" s="105"/>
      <c r="CV826" s="105"/>
      <c r="CW826" s="105"/>
      <c r="CX826" s="105"/>
      <c r="CY826" s="105"/>
      <c r="CZ826" s="105"/>
      <c r="DA826" s="105"/>
    </row>
    <row r="827">
      <c r="B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c r="AA827" s="105"/>
      <c r="AB827" s="105"/>
      <c r="AC827" s="105"/>
      <c r="AD827" s="105"/>
      <c r="AE827" s="105"/>
      <c r="AF827" s="105"/>
      <c r="AG827" s="105"/>
      <c r="AH827" s="105"/>
      <c r="AI827" s="105"/>
      <c r="AJ827" s="105"/>
      <c r="AK827" s="105"/>
      <c r="AL827" s="105"/>
      <c r="AM827" s="105"/>
      <c r="AN827" s="105"/>
      <c r="AO827" s="105"/>
      <c r="AP827" s="105"/>
      <c r="AQ827" s="105"/>
      <c r="AR827" s="105"/>
      <c r="AS827" s="105"/>
      <c r="AT827" s="105"/>
      <c r="AU827" s="105"/>
      <c r="AV827" s="105"/>
      <c r="AW827" s="105"/>
      <c r="AX827" s="105"/>
      <c r="AY827" s="105"/>
      <c r="AZ827" s="105"/>
      <c r="BA827" s="105"/>
      <c r="BB827" s="105"/>
      <c r="BC827" s="105"/>
      <c r="BD827" s="105"/>
      <c r="BE827" s="105"/>
      <c r="BF827" s="105"/>
      <c r="BG827" s="105"/>
      <c r="BH827" s="105"/>
      <c r="BI827" s="105"/>
      <c r="BJ827" s="105"/>
      <c r="BK827" s="105"/>
      <c r="BL827" s="105"/>
      <c r="BM827" s="105"/>
      <c r="BN827" s="105"/>
      <c r="BO827" s="105"/>
      <c r="BP827" s="105"/>
      <c r="BQ827" s="105"/>
      <c r="BR827" s="105"/>
      <c r="BS827" s="105"/>
      <c r="BT827" s="105"/>
      <c r="BU827" s="105"/>
      <c r="BV827" s="105"/>
      <c r="BW827" s="105"/>
      <c r="BX827" s="105"/>
      <c r="BY827" s="105"/>
      <c r="BZ827" s="105"/>
      <c r="CA827" s="105"/>
      <c r="CB827" s="105"/>
      <c r="CC827" s="105"/>
      <c r="CD827" s="105"/>
      <c r="CE827" s="105"/>
      <c r="CF827" s="105"/>
      <c r="CG827" s="105"/>
      <c r="CH827" s="105"/>
      <c r="CI827" s="105"/>
      <c r="CJ827" s="105"/>
      <c r="CK827" s="105"/>
      <c r="CL827" s="105"/>
      <c r="CM827" s="105"/>
      <c r="CN827" s="105"/>
      <c r="CO827" s="105"/>
      <c r="CP827" s="105"/>
      <c r="CQ827" s="105"/>
      <c r="CR827" s="105"/>
      <c r="CS827" s="105"/>
      <c r="CT827" s="105"/>
      <c r="CU827" s="105"/>
      <c r="CV827" s="105"/>
      <c r="CW827" s="105"/>
      <c r="CX827" s="105"/>
      <c r="CY827" s="105"/>
      <c r="CZ827" s="105"/>
      <c r="DA827" s="105"/>
    </row>
    <row r="828">
      <c r="B828" s="105"/>
      <c r="F828" s="105"/>
      <c r="G828" s="105"/>
      <c r="H828" s="105"/>
      <c r="I828" s="105"/>
      <c r="J828" s="105"/>
      <c r="K828" s="105"/>
      <c r="L828" s="105"/>
      <c r="M828" s="105"/>
      <c r="N828" s="105"/>
      <c r="O828" s="105"/>
      <c r="P828" s="105"/>
      <c r="Q828" s="105"/>
      <c r="R828" s="105"/>
      <c r="S828" s="105"/>
      <c r="T828" s="105"/>
      <c r="U828" s="105"/>
      <c r="V828" s="105"/>
      <c r="W828" s="105"/>
      <c r="X828" s="105"/>
      <c r="Y828" s="105"/>
      <c r="Z828" s="105"/>
      <c r="AA828" s="105"/>
      <c r="AB828" s="105"/>
      <c r="AC828" s="105"/>
      <c r="AD828" s="105"/>
      <c r="AE828" s="105"/>
      <c r="AF828" s="105"/>
      <c r="AG828" s="105"/>
      <c r="AH828" s="105"/>
      <c r="AI828" s="105"/>
      <c r="AJ828" s="105"/>
      <c r="AK828" s="105"/>
      <c r="AL828" s="105"/>
      <c r="AM828" s="105"/>
      <c r="AN828" s="105"/>
      <c r="AO828" s="105"/>
      <c r="AP828" s="105"/>
      <c r="AQ828" s="105"/>
      <c r="AR828" s="105"/>
      <c r="AS828" s="105"/>
      <c r="AT828" s="105"/>
      <c r="AU828" s="105"/>
      <c r="AV828" s="105"/>
      <c r="AW828" s="105"/>
      <c r="AX828" s="105"/>
      <c r="AY828" s="105"/>
      <c r="AZ828" s="105"/>
      <c r="BA828" s="105"/>
      <c r="BB828" s="105"/>
      <c r="BC828" s="105"/>
      <c r="BD828" s="105"/>
      <c r="BE828" s="105"/>
      <c r="BF828" s="105"/>
      <c r="BG828" s="105"/>
      <c r="BH828" s="105"/>
      <c r="BI828" s="105"/>
      <c r="BJ828" s="105"/>
      <c r="BK828" s="105"/>
      <c r="BL828" s="105"/>
      <c r="BM828" s="105"/>
      <c r="BN828" s="105"/>
      <c r="BO828" s="105"/>
      <c r="BP828" s="105"/>
      <c r="BQ828" s="105"/>
      <c r="BR828" s="105"/>
      <c r="BS828" s="105"/>
      <c r="BT828" s="105"/>
      <c r="BU828" s="105"/>
      <c r="BV828" s="105"/>
      <c r="BW828" s="105"/>
      <c r="BX828" s="105"/>
      <c r="BY828" s="105"/>
      <c r="BZ828" s="105"/>
      <c r="CA828" s="105"/>
      <c r="CB828" s="105"/>
      <c r="CC828" s="105"/>
      <c r="CD828" s="105"/>
      <c r="CE828" s="105"/>
      <c r="CF828" s="105"/>
      <c r="CG828" s="105"/>
      <c r="CH828" s="105"/>
      <c r="CI828" s="105"/>
      <c r="CJ828" s="105"/>
      <c r="CK828" s="105"/>
      <c r="CL828" s="105"/>
      <c r="CM828" s="105"/>
      <c r="CN828" s="105"/>
      <c r="CO828" s="105"/>
      <c r="CP828" s="105"/>
      <c r="CQ828" s="105"/>
      <c r="CR828" s="105"/>
      <c r="CS828" s="105"/>
      <c r="CT828" s="105"/>
      <c r="CU828" s="105"/>
      <c r="CV828" s="105"/>
      <c r="CW828" s="105"/>
      <c r="CX828" s="105"/>
      <c r="CY828" s="105"/>
      <c r="CZ828" s="105"/>
      <c r="DA828" s="105"/>
    </row>
    <row r="829">
      <c r="B829" s="105"/>
      <c r="F829" s="105"/>
      <c r="G829" s="105"/>
      <c r="H829" s="105"/>
      <c r="I829" s="105"/>
      <c r="J829" s="105"/>
      <c r="K829" s="105"/>
      <c r="L829" s="105"/>
      <c r="M829" s="105"/>
      <c r="N829" s="105"/>
      <c r="O829" s="105"/>
      <c r="P829" s="105"/>
      <c r="Q829" s="105"/>
      <c r="R829" s="105"/>
      <c r="S829" s="105"/>
      <c r="T829" s="105"/>
      <c r="U829" s="105"/>
      <c r="V829" s="105"/>
      <c r="W829" s="105"/>
      <c r="X829" s="105"/>
      <c r="Y829" s="105"/>
      <c r="Z829" s="105"/>
      <c r="AA829" s="105"/>
      <c r="AB829" s="105"/>
      <c r="AC829" s="105"/>
      <c r="AD829" s="105"/>
      <c r="AE829" s="105"/>
      <c r="AF829" s="105"/>
      <c r="AG829" s="105"/>
      <c r="AH829" s="105"/>
      <c r="AI829" s="105"/>
      <c r="AJ829" s="105"/>
      <c r="AK829" s="105"/>
      <c r="AL829" s="105"/>
      <c r="AM829" s="105"/>
      <c r="AN829" s="105"/>
      <c r="AO829" s="105"/>
      <c r="AP829" s="105"/>
      <c r="AQ829" s="105"/>
      <c r="AR829" s="105"/>
      <c r="AS829" s="105"/>
      <c r="AT829" s="105"/>
      <c r="AU829" s="105"/>
      <c r="AV829" s="105"/>
      <c r="AW829" s="105"/>
      <c r="AX829" s="105"/>
      <c r="AY829" s="105"/>
      <c r="AZ829" s="105"/>
      <c r="BA829" s="105"/>
      <c r="BB829" s="105"/>
      <c r="BC829" s="105"/>
      <c r="BD829" s="105"/>
      <c r="BE829" s="105"/>
      <c r="BF829" s="105"/>
      <c r="BG829" s="105"/>
      <c r="BH829" s="105"/>
      <c r="BI829" s="105"/>
      <c r="BJ829" s="105"/>
      <c r="BK829" s="105"/>
      <c r="BL829" s="105"/>
      <c r="BM829" s="105"/>
      <c r="BN829" s="105"/>
      <c r="BO829" s="105"/>
      <c r="BP829" s="105"/>
      <c r="BQ829" s="105"/>
      <c r="BR829" s="105"/>
      <c r="BS829" s="105"/>
      <c r="BT829" s="105"/>
      <c r="BU829" s="105"/>
      <c r="BV829" s="105"/>
      <c r="BW829" s="105"/>
      <c r="BX829" s="105"/>
      <c r="BY829" s="105"/>
      <c r="BZ829" s="105"/>
      <c r="CA829" s="105"/>
      <c r="CB829" s="105"/>
      <c r="CC829" s="105"/>
      <c r="CD829" s="105"/>
      <c r="CE829" s="105"/>
      <c r="CF829" s="105"/>
      <c r="CG829" s="105"/>
      <c r="CH829" s="105"/>
      <c r="CI829" s="105"/>
      <c r="CJ829" s="105"/>
      <c r="CK829" s="105"/>
      <c r="CL829" s="105"/>
      <c r="CM829" s="105"/>
      <c r="CN829" s="105"/>
      <c r="CO829" s="105"/>
      <c r="CP829" s="105"/>
      <c r="CQ829" s="105"/>
      <c r="CR829" s="105"/>
      <c r="CS829" s="105"/>
      <c r="CT829" s="105"/>
      <c r="CU829" s="105"/>
      <c r="CV829" s="105"/>
      <c r="CW829" s="105"/>
      <c r="CX829" s="105"/>
      <c r="CY829" s="105"/>
      <c r="CZ829" s="105"/>
      <c r="DA829" s="105"/>
    </row>
    <row r="830">
      <c r="B830" s="105"/>
      <c r="F830" s="105"/>
      <c r="G830" s="105"/>
      <c r="H830" s="105"/>
      <c r="I830" s="105"/>
      <c r="J830" s="105"/>
      <c r="K830" s="105"/>
      <c r="L830" s="105"/>
      <c r="M830" s="105"/>
      <c r="N830" s="105"/>
      <c r="O830" s="105"/>
      <c r="P830" s="105"/>
      <c r="Q830" s="105"/>
      <c r="R830" s="105"/>
      <c r="S830" s="105"/>
      <c r="T830" s="105"/>
      <c r="U830" s="105"/>
      <c r="V830" s="105"/>
      <c r="W830" s="105"/>
      <c r="X830" s="105"/>
      <c r="Y830" s="105"/>
      <c r="Z830" s="105"/>
      <c r="AA830" s="105"/>
      <c r="AB830" s="105"/>
      <c r="AC830" s="105"/>
      <c r="AD830" s="105"/>
      <c r="AE830" s="105"/>
      <c r="AF830" s="105"/>
      <c r="AG830" s="105"/>
      <c r="AH830" s="105"/>
      <c r="AI830" s="105"/>
      <c r="AJ830" s="105"/>
      <c r="AK830" s="105"/>
      <c r="AL830" s="105"/>
      <c r="AM830" s="105"/>
      <c r="AN830" s="105"/>
      <c r="AO830" s="105"/>
      <c r="AP830" s="105"/>
      <c r="AQ830" s="105"/>
      <c r="AR830" s="105"/>
      <c r="AS830" s="105"/>
      <c r="AT830" s="105"/>
      <c r="AU830" s="105"/>
      <c r="AV830" s="105"/>
      <c r="AW830" s="105"/>
      <c r="AX830" s="105"/>
      <c r="AY830" s="105"/>
      <c r="AZ830" s="105"/>
      <c r="BA830" s="105"/>
      <c r="BB830" s="105"/>
      <c r="BC830" s="105"/>
      <c r="BD830" s="105"/>
      <c r="BE830" s="105"/>
      <c r="BF830" s="105"/>
      <c r="BG830" s="105"/>
      <c r="BH830" s="105"/>
      <c r="BI830" s="105"/>
      <c r="BJ830" s="105"/>
      <c r="BK830" s="105"/>
      <c r="BL830" s="105"/>
      <c r="BM830" s="105"/>
      <c r="BN830" s="105"/>
      <c r="BO830" s="105"/>
      <c r="BP830" s="105"/>
      <c r="BQ830" s="105"/>
      <c r="BR830" s="105"/>
      <c r="BS830" s="105"/>
      <c r="BT830" s="105"/>
      <c r="BU830" s="105"/>
      <c r="BV830" s="105"/>
      <c r="BW830" s="105"/>
      <c r="BX830" s="105"/>
      <c r="BY830" s="105"/>
      <c r="BZ830" s="105"/>
      <c r="CA830" s="105"/>
      <c r="CB830" s="105"/>
      <c r="CC830" s="105"/>
      <c r="CD830" s="105"/>
      <c r="CE830" s="105"/>
      <c r="CF830" s="105"/>
      <c r="CG830" s="105"/>
      <c r="CH830" s="105"/>
      <c r="CI830" s="105"/>
      <c r="CJ830" s="105"/>
      <c r="CK830" s="105"/>
      <c r="CL830" s="105"/>
      <c r="CM830" s="105"/>
      <c r="CN830" s="105"/>
      <c r="CO830" s="105"/>
      <c r="CP830" s="105"/>
      <c r="CQ830" s="105"/>
      <c r="CR830" s="105"/>
      <c r="CS830" s="105"/>
      <c r="CT830" s="105"/>
      <c r="CU830" s="105"/>
      <c r="CV830" s="105"/>
      <c r="CW830" s="105"/>
      <c r="CX830" s="105"/>
      <c r="CY830" s="105"/>
      <c r="CZ830" s="105"/>
      <c r="DA830" s="105"/>
    </row>
    <row r="831">
      <c r="B831" s="105"/>
      <c r="F831" s="105"/>
      <c r="G831" s="105"/>
      <c r="H831" s="105"/>
      <c r="I831" s="105"/>
      <c r="J831" s="105"/>
      <c r="K831" s="105"/>
      <c r="L831" s="105"/>
      <c r="M831" s="105"/>
      <c r="N831" s="105"/>
      <c r="O831" s="105"/>
      <c r="P831" s="105"/>
      <c r="Q831" s="105"/>
      <c r="R831" s="105"/>
      <c r="S831" s="105"/>
      <c r="T831" s="105"/>
      <c r="U831" s="105"/>
      <c r="V831" s="105"/>
      <c r="W831" s="105"/>
      <c r="X831" s="105"/>
      <c r="Y831" s="105"/>
      <c r="Z831" s="105"/>
      <c r="AA831" s="105"/>
      <c r="AB831" s="105"/>
      <c r="AC831" s="105"/>
      <c r="AD831" s="105"/>
      <c r="AE831" s="105"/>
      <c r="AF831" s="105"/>
      <c r="AG831" s="105"/>
      <c r="AH831" s="105"/>
      <c r="AI831" s="105"/>
      <c r="AJ831" s="105"/>
      <c r="AK831" s="105"/>
      <c r="AL831" s="105"/>
      <c r="AM831" s="105"/>
      <c r="AN831" s="105"/>
      <c r="AO831" s="105"/>
      <c r="AP831" s="105"/>
      <c r="AQ831" s="105"/>
      <c r="AR831" s="105"/>
      <c r="AS831" s="105"/>
      <c r="AT831" s="105"/>
      <c r="AU831" s="105"/>
      <c r="AV831" s="105"/>
      <c r="AW831" s="105"/>
      <c r="AX831" s="105"/>
      <c r="AY831" s="105"/>
      <c r="AZ831" s="105"/>
      <c r="BA831" s="105"/>
      <c r="BB831" s="105"/>
      <c r="BC831" s="105"/>
      <c r="BD831" s="105"/>
      <c r="BE831" s="105"/>
      <c r="BF831" s="105"/>
      <c r="BG831" s="105"/>
      <c r="BH831" s="105"/>
      <c r="BI831" s="105"/>
      <c r="BJ831" s="105"/>
      <c r="BK831" s="105"/>
      <c r="BL831" s="105"/>
      <c r="BM831" s="105"/>
      <c r="BN831" s="105"/>
      <c r="BO831" s="105"/>
      <c r="BP831" s="105"/>
      <c r="BQ831" s="105"/>
      <c r="BR831" s="105"/>
      <c r="BS831" s="105"/>
      <c r="BT831" s="105"/>
      <c r="BU831" s="105"/>
      <c r="BV831" s="105"/>
      <c r="BW831" s="105"/>
      <c r="BX831" s="105"/>
      <c r="BY831" s="105"/>
      <c r="BZ831" s="105"/>
      <c r="CA831" s="105"/>
      <c r="CB831" s="105"/>
      <c r="CC831" s="105"/>
      <c r="CD831" s="105"/>
      <c r="CE831" s="105"/>
      <c r="CF831" s="105"/>
      <c r="CG831" s="105"/>
      <c r="CH831" s="105"/>
      <c r="CI831" s="105"/>
      <c r="CJ831" s="105"/>
      <c r="CK831" s="105"/>
      <c r="CL831" s="105"/>
      <c r="CM831" s="105"/>
      <c r="CN831" s="105"/>
      <c r="CO831" s="105"/>
      <c r="CP831" s="105"/>
      <c r="CQ831" s="105"/>
      <c r="CR831" s="105"/>
      <c r="CS831" s="105"/>
      <c r="CT831" s="105"/>
      <c r="CU831" s="105"/>
      <c r="CV831" s="105"/>
      <c r="CW831" s="105"/>
      <c r="CX831" s="105"/>
      <c r="CY831" s="105"/>
      <c r="CZ831" s="105"/>
      <c r="DA831" s="105"/>
    </row>
    <row r="832">
      <c r="B832" s="105"/>
      <c r="F832" s="105"/>
      <c r="G832" s="105"/>
      <c r="H832" s="105"/>
      <c r="I832" s="105"/>
      <c r="J832" s="105"/>
      <c r="K832" s="105"/>
      <c r="L832" s="105"/>
      <c r="M832" s="105"/>
      <c r="N832" s="105"/>
      <c r="O832" s="105"/>
      <c r="P832" s="105"/>
      <c r="Q832" s="105"/>
      <c r="R832" s="105"/>
      <c r="S832" s="105"/>
      <c r="T832" s="105"/>
      <c r="U832" s="105"/>
      <c r="V832" s="105"/>
      <c r="W832" s="105"/>
      <c r="X832" s="105"/>
      <c r="Y832" s="105"/>
      <c r="Z832" s="105"/>
      <c r="AA832" s="105"/>
      <c r="AB832" s="105"/>
      <c r="AC832" s="105"/>
      <c r="AD832" s="105"/>
      <c r="AE832" s="105"/>
      <c r="AF832" s="105"/>
      <c r="AG832" s="105"/>
      <c r="AH832" s="105"/>
      <c r="AI832" s="105"/>
      <c r="AJ832" s="105"/>
      <c r="AK832" s="105"/>
      <c r="AL832" s="105"/>
      <c r="AM832" s="105"/>
      <c r="AN832" s="105"/>
      <c r="AO832" s="105"/>
      <c r="AP832" s="105"/>
      <c r="AQ832" s="105"/>
      <c r="AR832" s="105"/>
      <c r="AS832" s="105"/>
      <c r="AT832" s="105"/>
      <c r="AU832" s="105"/>
      <c r="AV832" s="105"/>
      <c r="AW832" s="105"/>
      <c r="AX832" s="105"/>
      <c r="AY832" s="105"/>
      <c r="AZ832" s="105"/>
      <c r="BA832" s="105"/>
      <c r="BB832" s="105"/>
      <c r="BC832" s="105"/>
      <c r="BD832" s="105"/>
      <c r="BE832" s="105"/>
      <c r="BF832" s="105"/>
      <c r="BG832" s="105"/>
      <c r="BH832" s="105"/>
      <c r="BI832" s="105"/>
      <c r="BJ832" s="105"/>
      <c r="BK832" s="105"/>
      <c r="BL832" s="105"/>
      <c r="BM832" s="105"/>
      <c r="BN832" s="105"/>
      <c r="BO832" s="105"/>
      <c r="BP832" s="105"/>
      <c r="BQ832" s="105"/>
      <c r="BR832" s="105"/>
      <c r="BS832" s="105"/>
      <c r="BT832" s="105"/>
      <c r="BU832" s="105"/>
      <c r="BV832" s="105"/>
      <c r="BW832" s="105"/>
      <c r="BX832" s="105"/>
      <c r="BY832" s="105"/>
      <c r="BZ832" s="105"/>
      <c r="CA832" s="105"/>
      <c r="CB832" s="105"/>
      <c r="CC832" s="105"/>
      <c r="CD832" s="105"/>
      <c r="CE832" s="105"/>
      <c r="CF832" s="105"/>
      <c r="CG832" s="105"/>
      <c r="CH832" s="105"/>
      <c r="CI832" s="105"/>
      <c r="CJ832" s="105"/>
      <c r="CK832" s="105"/>
      <c r="CL832" s="105"/>
      <c r="CM832" s="105"/>
      <c r="CN832" s="105"/>
      <c r="CO832" s="105"/>
      <c r="CP832" s="105"/>
      <c r="CQ832" s="105"/>
      <c r="CR832" s="105"/>
      <c r="CS832" s="105"/>
      <c r="CT832" s="105"/>
      <c r="CU832" s="105"/>
      <c r="CV832" s="105"/>
      <c r="CW832" s="105"/>
      <c r="CX832" s="105"/>
      <c r="CY832" s="105"/>
      <c r="CZ832" s="105"/>
      <c r="DA832" s="105"/>
    </row>
    <row r="833">
      <c r="B833" s="105"/>
      <c r="F833" s="105"/>
      <c r="G833" s="105"/>
      <c r="H833" s="105"/>
      <c r="I833" s="105"/>
      <c r="J833" s="105"/>
      <c r="K833" s="105"/>
      <c r="L833" s="105"/>
      <c r="M833" s="105"/>
      <c r="N833" s="105"/>
      <c r="O833" s="105"/>
      <c r="P833" s="105"/>
      <c r="Q833" s="105"/>
      <c r="R833" s="105"/>
      <c r="S833" s="105"/>
      <c r="T833" s="105"/>
      <c r="U833" s="105"/>
      <c r="V833" s="105"/>
      <c r="W833" s="105"/>
      <c r="X833" s="105"/>
      <c r="Y833" s="105"/>
      <c r="Z833" s="105"/>
      <c r="AA833" s="105"/>
      <c r="AB833" s="105"/>
      <c r="AC833" s="105"/>
      <c r="AD833" s="105"/>
      <c r="AE833" s="105"/>
      <c r="AF833" s="105"/>
      <c r="AG833" s="105"/>
      <c r="AH833" s="105"/>
      <c r="AI833" s="105"/>
      <c r="AJ833" s="105"/>
      <c r="AK833" s="105"/>
      <c r="AL833" s="105"/>
      <c r="AM833" s="105"/>
      <c r="AN833" s="105"/>
      <c r="AO833" s="105"/>
      <c r="AP833" s="105"/>
      <c r="AQ833" s="105"/>
      <c r="AR833" s="105"/>
      <c r="AS833" s="105"/>
      <c r="AT833" s="105"/>
      <c r="AU833" s="105"/>
      <c r="AV833" s="105"/>
      <c r="AW833" s="105"/>
      <c r="AX833" s="105"/>
      <c r="AY833" s="105"/>
      <c r="AZ833" s="105"/>
      <c r="BA833" s="105"/>
      <c r="BB833" s="105"/>
      <c r="BC833" s="105"/>
      <c r="BD833" s="105"/>
      <c r="BE833" s="105"/>
      <c r="BF833" s="105"/>
      <c r="BG833" s="105"/>
      <c r="BH833" s="105"/>
      <c r="BI833" s="105"/>
      <c r="BJ833" s="105"/>
      <c r="BK833" s="105"/>
      <c r="BL833" s="105"/>
      <c r="BM833" s="105"/>
      <c r="BN833" s="105"/>
      <c r="BO833" s="105"/>
      <c r="BP833" s="105"/>
      <c r="BQ833" s="105"/>
      <c r="BR833" s="105"/>
      <c r="BS833" s="105"/>
      <c r="BT833" s="105"/>
      <c r="BU833" s="105"/>
      <c r="BV833" s="105"/>
      <c r="BW833" s="105"/>
      <c r="BX833" s="105"/>
      <c r="BY833" s="105"/>
      <c r="BZ833" s="105"/>
      <c r="CA833" s="105"/>
      <c r="CB833" s="105"/>
      <c r="CC833" s="105"/>
      <c r="CD833" s="105"/>
      <c r="CE833" s="105"/>
      <c r="CF833" s="105"/>
      <c r="CG833" s="105"/>
      <c r="CH833" s="105"/>
      <c r="CI833" s="105"/>
      <c r="CJ833" s="105"/>
      <c r="CK833" s="105"/>
      <c r="CL833" s="105"/>
      <c r="CM833" s="105"/>
      <c r="CN833" s="105"/>
      <c r="CO833" s="105"/>
      <c r="CP833" s="105"/>
      <c r="CQ833" s="105"/>
      <c r="CR833" s="105"/>
      <c r="CS833" s="105"/>
      <c r="CT833" s="105"/>
      <c r="CU833" s="105"/>
      <c r="CV833" s="105"/>
      <c r="CW833" s="105"/>
      <c r="CX833" s="105"/>
      <c r="CY833" s="105"/>
      <c r="CZ833" s="105"/>
      <c r="DA833" s="105"/>
    </row>
    <row r="834">
      <c r="B834" s="105"/>
      <c r="F834" s="105"/>
      <c r="G834" s="105"/>
      <c r="H834" s="105"/>
      <c r="I834" s="105"/>
      <c r="J834" s="105"/>
      <c r="K834" s="105"/>
      <c r="L834" s="105"/>
      <c r="M834" s="105"/>
      <c r="N834" s="105"/>
      <c r="O834" s="105"/>
      <c r="P834" s="105"/>
      <c r="Q834" s="105"/>
      <c r="R834" s="105"/>
      <c r="S834" s="105"/>
      <c r="T834" s="105"/>
      <c r="U834" s="105"/>
      <c r="V834" s="105"/>
      <c r="W834" s="105"/>
      <c r="X834" s="105"/>
      <c r="Y834" s="105"/>
      <c r="Z834" s="105"/>
      <c r="AA834" s="105"/>
      <c r="AB834" s="105"/>
      <c r="AC834" s="105"/>
      <c r="AD834" s="105"/>
      <c r="AE834" s="105"/>
      <c r="AF834" s="105"/>
      <c r="AG834" s="105"/>
      <c r="AH834" s="105"/>
      <c r="AI834" s="105"/>
      <c r="AJ834" s="105"/>
      <c r="AK834" s="105"/>
      <c r="AL834" s="105"/>
      <c r="AM834" s="105"/>
      <c r="AN834" s="105"/>
      <c r="AO834" s="105"/>
      <c r="AP834" s="105"/>
      <c r="AQ834" s="105"/>
      <c r="AR834" s="105"/>
      <c r="AS834" s="105"/>
      <c r="AT834" s="105"/>
      <c r="AU834" s="105"/>
      <c r="AV834" s="105"/>
      <c r="AW834" s="105"/>
      <c r="AX834" s="105"/>
      <c r="AY834" s="105"/>
      <c r="AZ834" s="105"/>
      <c r="BA834" s="105"/>
      <c r="BB834" s="105"/>
      <c r="BC834" s="105"/>
      <c r="BD834" s="105"/>
      <c r="BE834" s="105"/>
      <c r="BF834" s="105"/>
      <c r="BG834" s="105"/>
      <c r="BH834" s="105"/>
      <c r="BI834" s="105"/>
      <c r="BJ834" s="105"/>
      <c r="BK834" s="105"/>
      <c r="BL834" s="105"/>
      <c r="BM834" s="105"/>
      <c r="BN834" s="105"/>
      <c r="BO834" s="105"/>
      <c r="BP834" s="105"/>
      <c r="BQ834" s="105"/>
      <c r="BR834" s="105"/>
      <c r="BS834" s="105"/>
      <c r="BT834" s="105"/>
      <c r="BU834" s="105"/>
      <c r="BV834" s="105"/>
      <c r="BW834" s="105"/>
      <c r="BX834" s="105"/>
      <c r="BY834" s="105"/>
      <c r="BZ834" s="105"/>
      <c r="CA834" s="105"/>
      <c r="CB834" s="105"/>
      <c r="CC834" s="105"/>
      <c r="CD834" s="105"/>
      <c r="CE834" s="105"/>
      <c r="CF834" s="105"/>
      <c r="CG834" s="105"/>
      <c r="CH834" s="105"/>
      <c r="CI834" s="105"/>
      <c r="CJ834" s="105"/>
      <c r="CK834" s="105"/>
      <c r="CL834" s="105"/>
      <c r="CM834" s="105"/>
      <c r="CN834" s="105"/>
      <c r="CO834" s="105"/>
      <c r="CP834" s="105"/>
      <c r="CQ834" s="105"/>
      <c r="CR834" s="105"/>
      <c r="CS834" s="105"/>
      <c r="CT834" s="105"/>
      <c r="CU834" s="105"/>
      <c r="CV834" s="105"/>
      <c r="CW834" s="105"/>
      <c r="CX834" s="105"/>
      <c r="CY834" s="105"/>
      <c r="CZ834" s="105"/>
      <c r="DA834" s="105"/>
    </row>
    <row r="835">
      <c r="B835" s="105"/>
      <c r="F835" s="105"/>
      <c r="G835" s="105"/>
      <c r="H835" s="105"/>
      <c r="I835" s="105"/>
      <c r="J835" s="105"/>
      <c r="K835" s="105"/>
      <c r="L835" s="105"/>
      <c r="M835" s="105"/>
      <c r="N835" s="105"/>
      <c r="O835" s="105"/>
      <c r="P835" s="105"/>
      <c r="Q835" s="105"/>
      <c r="R835" s="105"/>
      <c r="S835" s="105"/>
      <c r="T835" s="105"/>
      <c r="U835" s="105"/>
      <c r="V835" s="105"/>
      <c r="W835" s="105"/>
      <c r="X835" s="105"/>
      <c r="Y835" s="105"/>
      <c r="Z835" s="105"/>
      <c r="AA835" s="105"/>
      <c r="AB835" s="105"/>
      <c r="AC835" s="105"/>
      <c r="AD835" s="105"/>
      <c r="AE835" s="105"/>
      <c r="AF835" s="105"/>
      <c r="AG835" s="105"/>
      <c r="AH835" s="105"/>
      <c r="AI835" s="105"/>
      <c r="AJ835" s="105"/>
      <c r="AK835" s="105"/>
      <c r="AL835" s="105"/>
      <c r="AM835" s="105"/>
      <c r="AN835" s="105"/>
      <c r="AO835" s="105"/>
      <c r="AP835" s="105"/>
      <c r="AQ835" s="105"/>
      <c r="AR835" s="105"/>
      <c r="AS835" s="105"/>
      <c r="AT835" s="105"/>
      <c r="AU835" s="105"/>
      <c r="AV835" s="105"/>
      <c r="AW835" s="105"/>
      <c r="AX835" s="105"/>
      <c r="AY835" s="105"/>
      <c r="AZ835" s="105"/>
      <c r="BA835" s="105"/>
      <c r="BB835" s="105"/>
      <c r="BC835" s="105"/>
      <c r="BD835" s="105"/>
      <c r="BE835" s="105"/>
      <c r="BF835" s="105"/>
      <c r="BG835" s="105"/>
      <c r="BH835" s="105"/>
      <c r="BI835" s="105"/>
      <c r="BJ835" s="105"/>
      <c r="BK835" s="105"/>
      <c r="BL835" s="105"/>
      <c r="BM835" s="105"/>
      <c r="BN835" s="105"/>
      <c r="BO835" s="105"/>
      <c r="BP835" s="105"/>
      <c r="BQ835" s="105"/>
      <c r="BR835" s="105"/>
      <c r="BS835" s="105"/>
      <c r="BT835" s="105"/>
      <c r="BU835" s="105"/>
      <c r="BV835" s="105"/>
      <c r="BW835" s="105"/>
      <c r="BX835" s="105"/>
      <c r="BY835" s="105"/>
      <c r="BZ835" s="105"/>
      <c r="CA835" s="105"/>
      <c r="CB835" s="105"/>
      <c r="CC835" s="105"/>
      <c r="CD835" s="105"/>
      <c r="CE835" s="105"/>
      <c r="CF835" s="105"/>
      <c r="CG835" s="105"/>
      <c r="CH835" s="105"/>
      <c r="CI835" s="105"/>
      <c r="CJ835" s="105"/>
      <c r="CK835" s="105"/>
      <c r="CL835" s="105"/>
      <c r="CM835" s="105"/>
      <c r="CN835" s="105"/>
      <c r="CO835" s="105"/>
      <c r="CP835" s="105"/>
      <c r="CQ835" s="105"/>
      <c r="CR835" s="105"/>
      <c r="CS835" s="105"/>
      <c r="CT835" s="105"/>
      <c r="CU835" s="105"/>
      <c r="CV835" s="105"/>
      <c r="CW835" s="105"/>
      <c r="CX835" s="105"/>
      <c r="CY835" s="105"/>
      <c r="CZ835" s="105"/>
      <c r="DA835" s="105"/>
    </row>
    <row r="836">
      <c r="B836" s="105"/>
      <c r="F836" s="105"/>
      <c r="G836" s="105"/>
      <c r="H836" s="105"/>
      <c r="I836" s="105"/>
      <c r="J836" s="105"/>
      <c r="K836" s="105"/>
      <c r="L836" s="105"/>
      <c r="M836" s="105"/>
      <c r="N836" s="105"/>
      <c r="O836" s="105"/>
      <c r="P836" s="105"/>
      <c r="Q836" s="105"/>
      <c r="R836" s="105"/>
      <c r="S836" s="105"/>
      <c r="T836" s="105"/>
      <c r="U836" s="105"/>
      <c r="V836" s="105"/>
      <c r="W836" s="105"/>
      <c r="X836" s="105"/>
      <c r="Y836" s="105"/>
      <c r="Z836" s="105"/>
      <c r="AA836" s="105"/>
      <c r="AB836" s="105"/>
      <c r="AC836" s="105"/>
      <c r="AD836" s="105"/>
      <c r="AE836" s="105"/>
      <c r="AF836" s="105"/>
      <c r="AG836" s="105"/>
      <c r="AH836" s="105"/>
      <c r="AI836" s="105"/>
      <c r="AJ836" s="105"/>
      <c r="AK836" s="105"/>
      <c r="AL836" s="105"/>
      <c r="AM836" s="105"/>
      <c r="AN836" s="105"/>
      <c r="AO836" s="105"/>
      <c r="AP836" s="105"/>
      <c r="AQ836" s="105"/>
      <c r="AR836" s="105"/>
      <c r="AS836" s="105"/>
      <c r="AT836" s="105"/>
      <c r="AU836" s="105"/>
      <c r="AV836" s="105"/>
      <c r="AW836" s="105"/>
      <c r="AX836" s="105"/>
      <c r="AY836" s="105"/>
      <c r="AZ836" s="105"/>
      <c r="BA836" s="105"/>
      <c r="BB836" s="105"/>
      <c r="BC836" s="105"/>
      <c r="BD836" s="105"/>
      <c r="BE836" s="105"/>
      <c r="BF836" s="105"/>
      <c r="BG836" s="105"/>
      <c r="BH836" s="105"/>
      <c r="BI836" s="105"/>
      <c r="BJ836" s="105"/>
      <c r="BK836" s="105"/>
      <c r="BL836" s="105"/>
      <c r="BM836" s="105"/>
      <c r="BN836" s="105"/>
      <c r="BO836" s="105"/>
      <c r="BP836" s="105"/>
      <c r="BQ836" s="105"/>
      <c r="BR836" s="105"/>
      <c r="BS836" s="105"/>
      <c r="BT836" s="105"/>
      <c r="BU836" s="105"/>
      <c r="BV836" s="105"/>
      <c r="BW836" s="105"/>
      <c r="BX836" s="105"/>
      <c r="BY836" s="105"/>
      <c r="BZ836" s="105"/>
      <c r="CA836" s="105"/>
      <c r="CB836" s="105"/>
      <c r="CC836" s="105"/>
      <c r="CD836" s="105"/>
      <c r="CE836" s="105"/>
      <c r="CF836" s="105"/>
      <c r="CG836" s="105"/>
      <c r="CH836" s="105"/>
      <c r="CI836" s="105"/>
      <c r="CJ836" s="105"/>
      <c r="CK836" s="105"/>
      <c r="CL836" s="105"/>
      <c r="CM836" s="105"/>
      <c r="CN836" s="105"/>
      <c r="CO836" s="105"/>
      <c r="CP836" s="105"/>
      <c r="CQ836" s="105"/>
      <c r="CR836" s="105"/>
      <c r="CS836" s="105"/>
      <c r="CT836" s="105"/>
      <c r="CU836" s="105"/>
      <c r="CV836" s="105"/>
      <c r="CW836" s="105"/>
      <c r="CX836" s="105"/>
      <c r="CY836" s="105"/>
      <c r="CZ836" s="105"/>
      <c r="DA836" s="105"/>
    </row>
    <row r="837">
      <c r="B837" s="105"/>
      <c r="F837" s="105"/>
      <c r="G837" s="105"/>
      <c r="H837" s="105"/>
      <c r="I837" s="105"/>
      <c r="J837" s="105"/>
      <c r="K837" s="105"/>
      <c r="L837" s="105"/>
      <c r="M837" s="105"/>
      <c r="N837" s="105"/>
      <c r="O837" s="105"/>
      <c r="P837" s="105"/>
      <c r="Q837" s="105"/>
      <c r="R837" s="105"/>
      <c r="S837" s="105"/>
      <c r="T837" s="105"/>
      <c r="U837" s="105"/>
      <c r="V837" s="105"/>
      <c r="W837" s="105"/>
      <c r="X837" s="105"/>
      <c r="Y837" s="105"/>
      <c r="Z837" s="105"/>
      <c r="AA837" s="105"/>
      <c r="AB837" s="105"/>
      <c r="AC837" s="105"/>
      <c r="AD837" s="105"/>
      <c r="AE837" s="105"/>
      <c r="AF837" s="105"/>
      <c r="AG837" s="105"/>
      <c r="AH837" s="105"/>
      <c r="AI837" s="105"/>
      <c r="AJ837" s="105"/>
      <c r="AK837" s="105"/>
      <c r="AL837" s="105"/>
      <c r="AM837" s="105"/>
      <c r="AN837" s="105"/>
      <c r="AO837" s="105"/>
      <c r="AP837" s="105"/>
      <c r="AQ837" s="105"/>
      <c r="AR837" s="105"/>
      <c r="AS837" s="105"/>
      <c r="AT837" s="105"/>
      <c r="AU837" s="105"/>
      <c r="AV837" s="105"/>
      <c r="AW837" s="105"/>
      <c r="AX837" s="105"/>
      <c r="AY837" s="105"/>
      <c r="AZ837" s="105"/>
      <c r="BA837" s="105"/>
      <c r="BB837" s="105"/>
      <c r="BC837" s="105"/>
      <c r="BD837" s="105"/>
      <c r="BE837" s="105"/>
      <c r="BF837" s="105"/>
      <c r="BG837" s="105"/>
      <c r="BH837" s="105"/>
      <c r="BI837" s="105"/>
      <c r="BJ837" s="105"/>
      <c r="BK837" s="105"/>
      <c r="BL837" s="105"/>
      <c r="BM837" s="105"/>
      <c r="BN837" s="105"/>
      <c r="BO837" s="105"/>
      <c r="BP837" s="105"/>
      <c r="BQ837" s="105"/>
      <c r="BR837" s="105"/>
      <c r="BS837" s="105"/>
      <c r="BT837" s="105"/>
      <c r="BU837" s="105"/>
      <c r="BV837" s="105"/>
      <c r="BW837" s="105"/>
      <c r="BX837" s="105"/>
      <c r="BY837" s="105"/>
      <c r="BZ837" s="105"/>
      <c r="CA837" s="105"/>
      <c r="CB837" s="105"/>
      <c r="CC837" s="105"/>
      <c r="CD837" s="105"/>
      <c r="CE837" s="105"/>
      <c r="CF837" s="105"/>
      <c r="CG837" s="105"/>
      <c r="CH837" s="105"/>
      <c r="CI837" s="105"/>
      <c r="CJ837" s="105"/>
      <c r="CK837" s="105"/>
      <c r="CL837" s="105"/>
      <c r="CM837" s="105"/>
      <c r="CN837" s="105"/>
      <c r="CO837" s="105"/>
      <c r="CP837" s="105"/>
      <c r="CQ837" s="105"/>
      <c r="CR837" s="105"/>
      <c r="CS837" s="105"/>
      <c r="CT837" s="105"/>
      <c r="CU837" s="105"/>
      <c r="CV837" s="105"/>
      <c r="CW837" s="105"/>
      <c r="CX837" s="105"/>
      <c r="CY837" s="105"/>
      <c r="CZ837" s="105"/>
      <c r="DA837" s="105"/>
    </row>
    <row r="838">
      <c r="B838" s="105"/>
      <c r="F838" s="105"/>
      <c r="G838" s="105"/>
      <c r="H838" s="105"/>
      <c r="I838" s="105"/>
      <c r="J838" s="105"/>
      <c r="K838" s="105"/>
      <c r="L838" s="105"/>
      <c r="M838" s="105"/>
      <c r="N838" s="105"/>
      <c r="O838" s="105"/>
      <c r="P838" s="105"/>
      <c r="Q838" s="105"/>
      <c r="R838" s="105"/>
      <c r="S838" s="105"/>
      <c r="T838" s="105"/>
      <c r="U838" s="105"/>
      <c r="V838" s="105"/>
      <c r="W838" s="105"/>
      <c r="X838" s="105"/>
      <c r="Y838" s="105"/>
      <c r="Z838" s="105"/>
      <c r="AA838" s="105"/>
      <c r="AB838" s="105"/>
      <c r="AC838" s="105"/>
      <c r="AD838" s="105"/>
      <c r="AE838" s="105"/>
      <c r="AF838" s="105"/>
      <c r="AG838" s="105"/>
      <c r="AH838" s="105"/>
      <c r="AI838" s="105"/>
      <c r="AJ838" s="105"/>
      <c r="AK838" s="105"/>
      <c r="AL838" s="105"/>
      <c r="AM838" s="105"/>
      <c r="AN838" s="105"/>
      <c r="AO838" s="105"/>
      <c r="AP838" s="105"/>
      <c r="AQ838" s="105"/>
      <c r="AR838" s="105"/>
      <c r="AS838" s="105"/>
      <c r="AT838" s="105"/>
      <c r="AU838" s="105"/>
      <c r="AV838" s="105"/>
      <c r="AW838" s="105"/>
      <c r="AX838" s="105"/>
      <c r="AY838" s="105"/>
      <c r="AZ838" s="105"/>
      <c r="BA838" s="105"/>
      <c r="BB838" s="105"/>
      <c r="BC838" s="105"/>
      <c r="BD838" s="105"/>
      <c r="BE838" s="105"/>
      <c r="BF838" s="105"/>
      <c r="BG838" s="105"/>
      <c r="BH838" s="105"/>
      <c r="BI838" s="105"/>
      <c r="BJ838" s="105"/>
      <c r="BK838" s="105"/>
      <c r="BL838" s="105"/>
      <c r="BM838" s="105"/>
      <c r="BN838" s="105"/>
      <c r="BO838" s="105"/>
      <c r="BP838" s="105"/>
      <c r="BQ838" s="105"/>
      <c r="BR838" s="105"/>
      <c r="BS838" s="105"/>
      <c r="BT838" s="105"/>
      <c r="BU838" s="105"/>
      <c r="BV838" s="105"/>
      <c r="BW838" s="105"/>
      <c r="BX838" s="105"/>
      <c r="BY838" s="105"/>
      <c r="BZ838" s="105"/>
      <c r="CA838" s="105"/>
      <c r="CB838" s="105"/>
      <c r="CC838" s="105"/>
      <c r="CD838" s="105"/>
      <c r="CE838" s="105"/>
      <c r="CF838" s="105"/>
      <c r="CG838" s="105"/>
      <c r="CH838" s="105"/>
      <c r="CI838" s="105"/>
      <c r="CJ838" s="105"/>
      <c r="CK838" s="105"/>
      <c r="CL838" s="105"/>
      <c r="CM838" s="105"/>
      <c r="CN838" s="105"/>
      <c r="CO838" s="105"/>
      <c r="CP838" s="105"/>
      <c r="CQ838" s="105"/>
      <c r="CR838" s="105"/>
      <c r="CS838" s="105"/>
      <c r="CT838" s="105"/>
      <c r="CU838" s="105"/>
      <c r="CV838" s="105"/>
      <c r="CW838" s="105"/>
      <c r="CX838" s="105"/>
      <c r="CY838" s="105"/>
      <c r="CZ838" s="105"/>
      <c r="DA838" s="105"/>
    </row>
    <row r="839">
      <c r="B839" s="105"/>
      <c r="F839" s="105"/>
      <c r="G839" s="105"/>
      <c r="H839" s="105"/>
      <c r="I839" s="105"/>
      <c r="J839" s="105"/>
      <c r="K839" s="105"/>
      <c r="L839" s="105"/>
      <c r="M839" s="105"/>
      <c r="N839" s="105"/>
      <c r="O839" s="105"/>
      <c r="P839" s="105"/>
      <c r="Q839" s="105"/>
      <c r="R839" s="105"/>
      <c r="S839" s="105"/>
      <c r="T839" s="105"/>
      <c r="U839" s="105"/>
      <c r="V839" s="105"/>
      <c r="W839" s="105"/>
      <c r="X839" s="105"/>
      <c r="Y839" s="105"/>
      <c r="Z839" s="105"/>
      <c r="AA839" s="105"/>
      <c r="AB839" s="105"/>
      <c r="AC839" s="105"/>
      <c r="AD839" s="105"/>
      <c r="AE839" s="105"/>
      <c r="AF839" s="105"/>
      <c r="AG839" s="105"/>
      <c r="AH839" s="105"/>
      <c r="AI839" s="105"/>
      <c r="AJ839" s="105"/>
      <c r="AK839" s="105"/>
      <c r="AL839" s="105"/>
      <c r="AM839" s="105"/>
      <c r="AN839" s="105"/>
      <c r="AO839" s="105"/>
      <c r="AP839" s="105"/>
      <c r="AQ839" s="105"/>
      <c r="AR839" s="105"/>
      <c r="AS839" s="105"/>
      <c r="AT839" s="105"/>
      <c r="AU839" s="105"/>
      <c r="AV839" s="105"/>
      <c r="AW839" s="105"/>
      <c r="AX839" s="105"/>
      <c r="AY839" s="105"/>
      <c r="AZ839" s="105"/>
      <c r="BA839" s="105"/>
      <c r="BB839" s="105"/>
      <c r="BC839" s="105"/>
      <c r="BD839" s="105"/>
      <c r="BE839" s="105"/>
      <c r="BF839" s="105"/>
      <c r="BG839" s="105"/>
      <c r="BH839" s="105"/>
      <c r="BI839" s="105"/>
      <c r="BJ839" s="105"/>
      <c r="BK839" s="105"/>
      <c r="BL839" s="105"/>
      <c r="BM839" s="105"/>
      <c r="BN839" s="105"/>
      <c r="BO839" s="105"/>
      <c r="BP839" s="105"/>
      <c r="BQ839" s="105"/>
      <c r="BR839" s="105"/>
      <c r="BS839" s="105"/>
      <c r="BT839" s="105"/>
      <c r="BU839" s="105"/>
      <c r="BV839" s="105"/>
      <c r="BW839" s="105"/>
      <c r="BX839" s="105"/>
      <c r="BY839" s="105"/>
      <c r="BZ839" s="105"/>
      <c r="CA839" s="105"/>
      <c r="CB839" s="105"/>
      <c r="CC839" s="105"/>
      <c r="CD839" s="105"/>
      <c r="CE839" s="105"/>
      <c r="CF839" s="105"/>
      <c r="CG839" s="105"/>
      <c r="CH839" s="105"/>
      <c r="CI839" s="105"/>
      <c r="CJ839" s="105"/>
      <c r="CK839" s="105"/>
      <c r="CL839" s="105"/>
      <c r="CM839" s="105"/>
      <c r="CN839" s="105"/>
      <c r="CO839" s="105"/>
      <c r="CP839" s="105"/>
      <c r="CQ839" s="105"/>
      <c r="CR839" s="105"/>
      <c r="CS839" s="105"/>
      <c r="CT839" s="105"/>
      <c r="CU839" s="105"/>
      <c r="CV839" s="105"/>
      <c r="CW839" s="105"/>
      <c r="CX839" s="105"/>
      <c r="CY839" s="105"/>
      <c r="CZ839" s="105"/>
      <c r="DA839" s="105"/>
    </row>
    <row r="840">
      <c r="B840" s="105"/>
      <c r="F840" s="105"/>
      <c r="G840" s="105"/>
      <c r="H840" s="105"/>
      <c r="I840" s="105"/>
      <c r="J840" s="105"/>
      <c r="K840" s="105"/>
      <c r="L840" s="105"/>
      <c r="M840" s="105"/>
      <c r="N840" s="105"/>
      <c r="O840" s="105"/>
      <c r="P840" s="105"/>
      <c r="Q840" s="105"/>
      <c r="R840" s="105"/>
      <c r="S840" s="105"/>
      <c r="T840" s="105"/>
      <c r="U840" s="105"/>
      <c r="V840" s="105"/>
      <c r="W840" s="105"/>
      <c r="X840" s="105"/>
      <c r="Y840" s="105"/>
      <c r="Z840" s="105"/>
      <c r="AA840" s="105"/>
      <c r="AB840" s="105"/>
      <c r="AC840" s="105"/>
      <c r="AD840" s="105"/>
      <c r="AE840" s="105"/>
      <c r="AF840" s="105"/>
      <c r="AG840" s="105"/>
      <c r="AH840" s="105"/>
      <c r="AI840" s="105"/>
      <c r="AJ840" s="105"/>
      <c r="AK840" s="105"/>
      <c r="AL840" s="105"/>
      <c r="AM840" s="105"/>
      <c r="AN840" s="105"/>
      <c r="AO840" s="105"/>
      <c r="AP840" s="105"/>
      <c r="AQ840" s="105"/>
      <c r="AR840" s="105"/>
      <c r="AS840" s="105"/>
      <c r="AT840" s="105"/>
      <c r="AU840" s="105"/>
      <c r="AV840" s="105"/>
      <c r="AW840" s="105"/>
      <c r="AX840" s="105"/>
      <c r="AY840" s="105"/>
      <c r="AZ840" s="105"/>
      <c r="BA840" s="105"/>
      <c r="BB840" s="105"/>
      <c r="BC840" s="105"/>
      <c r="BD840" s="105"/>
      <c r="BE840" s="105"/>
      <c r="BF840" s="105"/>
      <c r="BG840" s="105"/>
      <c r="BH840" s="105"/>
      <c r="BI840" s="105"/>
      <c r="BJ840" s="105"/>
      <c r="BK840" s="105"/>
      <c r="BL840" s="105"/>
      <c r="BM840" s="105"/>
      <c r="BN840" s="105"/>
      <c r="BO840" s="105"/>
      <c r="BP840" s="105"/>
      <c r="BQ840" s="105"/>
      <c r="BR840" s="105"/>
      <c r="BS840" s="105"/>
      <c r="BT840" s="105"/>
      <c r="BU840" s="105"/>
      <c r="BV840" s="105"/>
      <c r="BW840" s="105"/>
      <c r="BX840" s="105"/>
      <c r="BY840" s="105"/>
      <c r="BZ840" s="105"/>
      <c r="CA840" s="105"/>
      <c r="CB840" s="105"/>
      <c r="CC840" s="105"/>
      <c r="CD840" s="105"/>
      <c r="CE840" s="105"/>
      <c r="CF840" s="105"/>
      <c r="CG840" s="105"/>
      <c r="CH840" s="105"/>
      <c r="CI840" s="105"/>
      <c r="CJ840" s="105"/>
      <c r="CK840" s="105"/>
      <c r="CL840" s="105"/>
      <c r="CM840" s="105"/>
      <c r="CN840" s="105"/>
      <c r="CO840" s="105"/>
      <c r="CP840" s="105"/>
      <c r="CQ840" s="105"/>
      <c r="CR840" s="105"/>
      <c r="CS840" s="105"/>
      <c r="CT840" s="105"/>
      <c r="CU840" s="105"/>
      <c r="CV840" s="105"/>
      <c r="CW840" s="105"/>
      <c r="CX840" s="105"/>
      <c r="CY840" s="105"/>
      <c r="CZ840" s="105"/>
      <c r="DA840" s="105"/>
    </row>
    <row r="841">
      <c r="B841" s="105"/>
      <c r="F841" s="105"/>
      <c r="G841" s="105"/>
      <c r="H841" s="105"/>
      <c r="I841" s="105"/>
      <c r="J841" s="105"/>
      <c r="K841" s="105"/>
      <c r="L841" s="105"/>
      <c r="M841" s="105"/>
      <c r="N841" s="105"/>
      <c r="O841" s="105"/>
      <c r="P841" s="105"/>
      <c r="Q841" s="105"/>
      <c r="R841" s="105"/>
      <c r="S841" s="105"/>
      <c r="T841" s="105"/>
      <c r="U841" s="105"/>
      <c r="V841" s="105"/>
      <c r="W841" s="105"/>
      <c r="X841" s="105"/>
      <c r="Y841" s="105"/>
      <c r="Z841" s="105"/>
      <c r="AA841" s="105"/>
      <c r="AB841" s="105"/>
      <c r="AC841" s="105"/>
      <c r="AD841" s="105"/>
      <c r="AE841" s="105"/>
      <c r="AF841" s="105"/>
      <c r="AG841" s="105"/>
      <c r="AH841" s="105"/>
      <c r="AI841" s="105"/>
      <c r="AJ841" s="105"/>
      <c r="AK841" s="105"/>
      <c r="AL841" s="105"/>
      <c r="AM841" s="105"/>
      <c r="AN841" s="105"/>
      <c r="AO841" s="105"/>
      <c r="AP841" s="105"/>
      <c r="AQ841" s="105"/>
      <c r="AR841" s="105"/>
      <c r="AS841" s="105"/>
      <c r="AT841" s="105"/>
      <c r="AU841" s="105"/>
      <c r="AV841" s="105"/>
      <c r="AW841" s="105"/>
      <c r="AX841" s="105"/>
      <c r="AY841" s="105"/>
      <c r="AZ841" s="105"/>
      <c r="BA841" s="105"/>
      <c r="BB841" s="105"/>
      <c r="BC841" s="105"/>
      <c r="BD841" s="105"/>
      <c r="BE841" s="105"/>
      <c r="BF841" s="105"/>
      <c r="BG841" s="105"/>
      <c r="BH841" s="105"/>
      <c r="BI841" s="105"/>
      <c r="BJ841" s="105"/>
      <c r="BK841" s="105"/>
      <c r="BL841" s="105"/>
      <c r="BM841" s="105"/>
      <c r="BN841" s="105"/>
      <c r="BO841" s="105"/>
      <c r="BP841" s="105"/>
      <c r="BQ841" s="105"/>
      <c r="BR841" s="105"/>
      <c r="BS841" s="105"/>
      <c r="BT841" s="105"/>
      <c r="BU841" s="105"/>
      <c r="BV841" s="105"/>
      <c r="BW841" s="105"/>
      <c r="BX841" s="105"/>
      <c r="BY841" s="105"/>
      <c r="BZ841" s="105"/>
      <c r="CA841" s="105"/>
      <c r="CB841" s="105"/>
      <c r="CC841" s="105"/>
      <c r="CD841" s="105"/>
      <c r="CE841" s="105"/>
      <c r="CF841" s="105"/>
      <c r="CG841" s="105"/>
      <c r="CH841" s="105"/>
      <c r="CI841" s="105"/>
      <c r="CJ841" s="105"/>
      <c r="CK841" s="105"/>
      <c r="CL841" s="105"/>
      <c r="CM841" s="105"/>
      <c r="CN841" s="105"/>
      <c r="CO841" s="105"/>
      <c r="CP841" s="105"/>
      <c r="CQ841" s="105"/>
      <c r="CR841" s="105"/>
      <c r="CS841" s="105"/>
      <c r="CT841" s="105"/>
      <c r="CU841" s="105"/>
      <c r="CV841" s="105"/>
      <c r="CW841" s="105"/>
      <c r="CX841" s="105"/>
      <c r="CY841" s="105"/>
      <c r="CZ841" s="105"/>
      <c r="DA841" s="105"/>
    </row>
    <row r="842">
      <c r="B842" s="105"/>
      <c r="F842" s="105"/>
      <c r="G842" s="105"/>
      <c r="H842" s="105"/>
      <c r="I842" s="105"/>
      <c r="J842" s="105"/>
      <c r="K842" s="105"/>
      <c r="L842" s="105"/>
      <c r="M842" s="105"/>
      <c r="N842" s="105"/>
      <c r="O842" s="105"/>
      <c r="P842" s="105"/>
      <c r="Q842" s="105"/>
      <c r="R842" s="105"/>
      <c r="S842" s="105"/>
      <c r="T842" s="105"/>
      <c r="U842" s="105"/>
      <c r="V842" s="105"/>
      <c r="W842" s="105"/>
      <c r="X842" s="105"/>
      <c r="Y842" s="105"/>
      <c r="Z842" s="105"/>
      <c r="AA842" s="105"/>
      <c r="AB842" s="105"/>
      <c r="AC842" s="105"/>
      <c r="AD842" s="105"/>
      <c r="AE842" s="105"/>
      <c r="AF842" s="105"/>
      <c r="AG842" s="105"/>
      <c r="AH842" s="105"/>
      <c r="AI842" s="105"/>
      <c r="AJ842" s="105"/>
      <c r="AK842" s="105"/>
      <c r="AL842" s="105"/>
      <c r="AM842" s="105"/>
      <c r="AN842" s="105"/>
      <c r="AO842" s="105"/>
      <c r="AP842" s="105"/>
      <c r="AQ842" s="105"/>
      <c r="AR842" s="105"/>
      <c r="AS842" s="105"/>
      <c r="AT842" s="105"/>
      <c r="AU842" s="105"/>
      <c r="AV842" s="105"/>
      <c r="AW842" s="105"/>
      <c r="AX842" s="105"/>
      <c r="AY842" s="105"/>
      <c r="AZ842" s="105"/>
      <c r="BA842" s="105"/>
      <c r="BB842" s="105"/>
      <c r="BC842" s="105"/>
      <c r="BD842" s="105"/>
      <c r="BE842" s="105"/>
      <c r="BF842" s="105"/>
      <c r="BG842" s="105"/>
      <c r="BH842" s="105"/>
      <c r="BI842" s="105"/>
      <c r="BJ842" s="105"/>
      <c r="BK842" s="105"/>
      <c r="BL842" s="105"/>
      <c r="BM842" s="105"/>
      <c r="BN842" s="105"/>
      <c r="BO842" s="105"/>
      <c r="BP842" s="105"/>
      <c r="BQ842" s="105"/>
      <c r="BR842" s="105"/>
      <c r="BS842" s="105"/>
      <c r="BT842" s="105"/>
      <c r="BU842" s="105"/>
      <c r="BV842" s="105"/>
      <c r="BW842" s="105"/>
      <c r="BX842" s="105"/>
      <c r="BY842" s="105"/>
      <c r="BZ842" s="105"/>
      <c r="CA842" s="105"/>
      <c r="CB842" s="105"/>
      <c r="CC842" s="105"/>
      <c r="CD842" s="105"/>
      <c r="CE842" s="105"/>
      <c r="CF842" s="105"/>
      <c r="CG842" s="105"/>
      <c r="CH842" s="105"/>
      <c r="CI842" s="105"/>
      <c r="CJ842" s="105"/>
      <c r="CK842" s="105"/>
      <c r="CL842" s="105"/>
      <c r="CM842" s="105"/>
      <c r="CN842" s="105"/>
      <c r="CO842" s="105"/>
      <c r="CP842" s="105"/>
      <c r="CQ842" s="105"/>
      <c r="CR842" s="105"/>
      <c r="CS842" s="105"/>
      <c r="CT842" s="105"/>
      <c r="CU842" s="105"/>
      <c r="CV842" s="105"/>
      <c r="CW842" s="105"/>
      <c r="CX842" s="105"/>
      <c r="CY842" s="105"/>
      <c r="CZ842" s="105"/>
      <c r="DA842" s="105"/>
    </row>
    <row r="843">
      <c r="B843" s="105"/>
      <c r="F843" s="105"/>
      <c r="G843" s="105"/>
      <c r="H843" s="105"/>
      <c r="I843" s="105"/>
      <c r="J843" s="105"/>
      <c r="K843" s="105"/>
      <c r="L843" s="105"/>
      <c r="M843" s="105"/>
      <c r="N843" s="105"/>
      <c r="O843" s="105"/>
      <c r="P843" s="105"/>
      <c r="Q843" s="105"/>
      <c r="R843" s="105"/>
      <c r="S843" s="105"/>
      <c r="T843" s="105"/>
      <c r="U843" s="105"/>
      <c r="V843" s="105"/>
      <c r="W843" s="105"/>
      <c r="X843" s="105"/>
      <c r="Y843" s="105"/>
      <c r="Z843" s="105"/>
      <c r="AA843" s="105"/>
      <c r="AB843" s="105"/>
      <c r="AC843" s="105"/>
      <c r="AD843" s="105"/>
      <c r="AE843" s="105"/>
      <c r="AF843" s="105"/>
      <c r="AG843" s="105"/>
      <c r="AH843" s="105"/>
      <c r="AI843" s="105"/>
      <c r="AJ843" s="105"/>
      <c r="AK843" s="105"/>
      <c r="AL843" s="105"/>
      <c r="AM843" s="105"/>
      <c r="AN843" s="105"/>
      <c r="AO843" s="105"/>
      <c r="AP843" s="105"/>
      <c r="AQ843" s="105"/>
      <c r="AR843" s="105"/>
      <c r="AS843" s="105"/>
      <c r="AT843" s="105"/>
      <c r="AU843" s="105"/>
      <c r="AV843" s="105"/>
      <c r="AW843" s="105"/>
      <c r="AX843" s="105"/>
      <c r="AY843" s="105"/>
      <c r="AZ843" s="105"/>
      <c r="BA843" s="105"/>
      <c r="BB843" s="105"/>
      <c r="BC843" s="105"/>
      <c r="BD843" s="105"/>
      <c r="BE843" s="105"/>
      <c r="BF843" s="105"/>
      <c r="BG843" s="105"/>
      <c r="BH843" s="105"/>
      <c r="BI843" s="105"/>
      <c r="BJ843" s="105"/>
      <c r="BK843" s="105"/>
      <c r="BL843" s="105"/>
      <c r="BM843" s="105"/>
      <c r="BN843" s="105"/>
      <c r="BO843" s="105"/>
      <c r="BP843" s="105"/>
      <c r="BQ843" s="105"/>
      <c r="BR843" s="105"/>
      <c r="BS843" s="105"/>
      <c r="BT843" s="105"/>
      <c r="BU843" s="105"/>
      <c r="BV843" s="105"/>
      <c r="BW843" s="105"/>
      <c r="BX843" s="105"/>
      <c r="BY843" s="105"/>
      <c r="BZ843" s="105"/>
      <c r="CA843" s="105"/>
      <c r="CB843" s="105"/>
      <c r="CC843" s="105"/>
      <c r="CD843" s="105"/>
      <c r="CE843" s="105"/>
      <c r="CF843" s="105"/>
      <c r="CG843" s="105"/>
      <c r="CH843" s="105"/>
      <c r="CI843" s="105"/>
      <c r="CJ843" s="105"/>
      <c r="CK843" s="105"/>
      <c r="CL843" s="105"/>
      <c r="CM843" s="105"/>
      <c r="CN843" s="105"/>
      <c r="CO843" s="105"/>
      <c r="CP843" s="105"/>
      <c r="CQ843" s="105"/>
      <c r="CR843" s="105"/>
      <c r="CS843" s="105"/>
      <c r="CT843" s="105"/>
      <c r="CU843" s="105"/>
      <c r="CV843" s="105"/>
      <c r="CW843" s="105"/>
      <c r="CX843" s="105"/>
      <c r="CY843" s="105"/>
      <c r="CZ843" s="105"/>
      <c r="DA843" s="105"/>
    </row>
    <row r="844">
      <c r="B844" s="105"/>
      <c r="F844" s="105"/>
      <c r="G844" s="105"/>
      <c r="H844" s="105"/>
      <c r="I844" s="105"/>
      <c r="J844" s="105"/>
      <c r="K844" s="105"/>
      <c r="L844" s="105"/>
      <c r="M844" s="105"/>
      <c r="N844" s="105"/>
      <c r="O844" s="105"/>
      <c r="P844" s="105"/>
      <c r="Q844" s="105"/>
      <c r="R844" s="105"/>
      <c r="S844" s="105"/>
      <c r="T844" s="105"/>
      <c r="U844" s="105"/>
      <c r="V844" s="105"/>
      <c r="W844" s="105"/>
      <c r="X844" s="105"/>
      <c r="Y844" s="105"/>
      <c r="Z844" s="105"/>
      <c r="AA844" s="105"/>
      <c r="AB844" s="105"/>
      <c r="AC844" s="105"/>
      <c r="AD844" s="105"/>
      <c r="AE844" s="105"/>
      <c r="AF844" s="105"/>
      <c r="AG844" s="105"/>
      <c r="AH844" s="105"/>
      <c r="AI844" s="105"/>
      <c r="AJ844" s="105"/>
      <c r="AK844" s="105"/>
      <c r="AL844" s="105"/>
      <c r="AM844" s="105"/>
      <c r="AN844" s="105"/>
      <c r="AO844" s="105"/>
      <c r="AP844" s="105"/>
      <c r="AQ844" s="105"/>
      <c r="AR844" s="105"/>
      <c r="AS844" s="105"/>
      <c r="AT844" s="105"/>
      <c r="AU844" s="105"/>
      <c r="AV844" s="105"/>
      <c r="AW844" s="105"/>
      <c r="AX844" s="105"/>
      <c r="AY844" s="105"/>
      <c r="AZ844" s="105"/>
      <c r="BA844" s="105"/>
      <c r="BB844" s="105"/>
      <c r="BC844" s="105"/>
      <c r="BD844" s="105"/>
      <c r="BE844" s="105"/>
      <c r="BF844" s="105"/>
      <c r="BG844" s="105"/>
      <c r="BH844" s="105"/>
      <c r="BI844" s="105"/>
      <c r="BJ844" s="105"/>
      <c r="BK844" s="105"/>
      <c r="BL844" s="105"/>
      <c r="BM844" s="105"/>
      <c r="BN844" s="105"/>
      <c r="BO844" s="105"/>
      <c r="BP844" s="105"/>
      <c r="BQ844" s="105"/>
      <c r="BR844" s="105"/>
      <c r="BS844" s="105"/>
      <c r="BT844" s="105"/>
      <c r="BU844" s="105"/>
      <c r="BV844" s="105"/>
      <c r="BW844" s="105"/>
      <c r="BX844" s="105"/>
      <c r="BY844" s="105"/>
      <c r="BZ844" s="105"/>
      <c r="CA844" s="105"/>
      <c r="CB844" s="105"/>
      <c r="CC844" s="105"/>
      <c r="CD844" s="105"/>
      <c r="CE844" s="105"/>
      <c r="CF844" s="105"/>
      <c r="CG844" s="105"/>
      <c r="CH844" s="105"/>
      <c r="CI844" s="105"/>
      <c r="CJ844" s="105"/>
      <c r="CK844" s="105"/>
      <c r="CL844" s="105"/>
      <c r="CM844" s="105"/>
      <c r="CN844" s="105"/>
      <c r="CO844" s="105"/>
      <c r="CP844" s="105"/>
      <c r="CQ844" s="105"/>
      <c r="CR844" s="105"/>
      <c r="CS844" s="105"/>
      <c r="CT844" s="105"/>
      <c r="CU844" s="105"/>
      <c r="CV844" s="105"/>
      <c r="CW844" s="105"/>
      <c r="CX844" s="105"/>
      <c r="CY844" s="105"/>
      <c r="CZ844" s="105"/>
      <c r="DA844" s="105"/>
    </row>
    <row r="845">
      <c r="B845" s="105"/>
      <c r="F845" s="105"/>
      <c r="G845" s="105"/>
      <c r="H845" s="105"/>
      <c r="I845" s="105"/>
      <c r="J845" s="105"/>
      <c r="K845" s="105"/>
      <c r="L845" s="105"/>
      <c r="M845" s="105"/>
      <c r="N845" s="105"/>
      <c r="O845" s="105"/>
      <c r="P845" s="105"/>
      <c r="Q845" s="105"/>
      <c r="R845" s="105"/>
      <c r="S845" s="105"/>
      <c r="T845" s="105"/>
      <c r="U845" s="105"/>
      <c r="V845" s="105"/>
      <c r="W845" s="105"/>
      <c r="X845" s="105"/>
      <c r="Y845" s="105"/>
      <c r="Z845" s="105"/>
      <c r="AA845" s="105"/>
      <c r="AB845" s="105"/>
      <c r="AC845" s="105"/>
      <c r="AD845" s="105"/>
      <c r="AE845" s="105"/>
      <c r="AF845" s="105"/>
      <c r="AG845" s="105"/>
      <c r="AH845" s="105"/>
      <c r="AI845" s="105"/>
      <c r="AJ845" s="105"/>
      <c r="AK845" s="105"/>
      <c r="AL845" s="105"/>
      <c r="AM845" s="105"/>
      <c r="AN845" s="105"/>
      <c r="AO845" s="105"/>
      <c r="AP845" s="105"/>
      <c r="AQ845" s="105"/>
      <c r="AR845" s="105"/>
      <c r="AS845" s="105"/>
      <c r="AT845" s="105"/>
      <c r="AU845" s="105"/>
      <c r="AV845" s="105"/>
      <c r="AW845" s="105"/>
      <c r="AX845" s="105"/>
      <c r="AY845" s="105"/>
      <c r="AZ845" s="105"/>
      <c r="BA845" s="105"/>
      <c r="BB845" s="105"/>
      <c r="BC845" s="105"/>
      <c r="BD845" s="105"/>
      <c r="BE845" s="105"/>
      <c r="BF845" s="105"/>
      <c r="BG845" s="105"/>
      <c r="BH845" s="105"/>
      <c r="BI845" s="105"/>
      <c r="BJ845" s="105"/>
      <c r="BK845" s="105"/>
      <c r="BL845" s="105"/>
      <c r="BM845" s="105"/>
      <c r="BN845" s="105"/>
      <c r="BO845" s="105"/>
      <c r="BP845" s="105"/>
      <c r="BQ845" s="105"/>
      <c r="BR845" s="105"/>
      <c r="BS845" s="105"/>
      <c r="BT845" s="105"/>
      <c r="BU845" s="105"/>
      <c r="BV845" s="105"/>
      <c r="BW845" s="105"/>
      <c r="BX845" s="105"/>
      <c r="BY845" s="105"/>
      <c r="BZ845" s="105"/>
      <c r="CA845" s="105"/>
      <c r="CB845" s="105"/>
      <c r="CC845" s="105"/>
      <c r="CD845" s="105"/>
      <c r="CE845" s="105"/>
      <c r="CF845" s="105"/>
      <c r="CG845" s="105"/>
      <c r="CH845" s="105"/>
      <c r="CI845" s="105"/>
      <c r="CJ845" s="105"/>
      <c r="CK845" s="105"/>
      <c r="CL845" s="105"/>
      <c r="CM845" s="105"/>
      <c r="CN845" s="105"/>
      <c r="CO845" s="105"/>
      <c r="CP845" s="105"/>
      <c r="CQ845" s="105"/>
      <c r="CR845" s="105"/>
      <c r="CS845" s="105"/>
      <c r="CT845" s="105"/>
      <c r="CU845" s="105"/>
      <c r="CV845" s="105"/>
      <c r="CW845" s="105"/>
      <c r="CX845" s="105"/>
      <c r="CY845" s="105"/>
      <c r="CZ845" s="105"/>
      <c r="DA845" s="105"/>
    </row>
    <row r="846">
      <c r="B846" s="105"/>
      <c r="F846" s="105"/>
      <c r="G846" s="105"/>
      <c r="H846" s="105"/>
      <c r="I846" s="105"/>
      <c r="J846" s="105"/>
      <c r="K846" s="105"/>
      <c r="L846" s="105"/>
      <c r="M846" s="105"/>
      <c r="N846" s="105"/>
      <c r="O846" s="105"/>
      <c r="P846" s="105"/>
      <c r="Q846" s="105"/>
      <c r="R846" s="105"/>
      <c r="S846" s="105"/>
      <c r="T846" s="105"/>
      <c r="U846" s="105"/>
      <c r="V846" s="105"/>
      <c r="W846" s="105"/>
      <c r="X846" s="105"/>
      <c r="Y846" s="105"/>
      <c r="Z846" s="105"/>
      <c r="AA846" s="105"/>
      <c r="AB846" s="105"/>
      <c r="AC846" s="105"/>
      <c r="AD846" s="105"/>
      <c r="AE846" s="105"/>
      <c r="AF846" s="105"/>
      <c r="AG846" s="105"/>
      <c r="AH846" s="105"/>
      <c r="AI846" s="105"/>
      <c r="AJ846" s="105"/>
      <c r="AK846" s="105"/>
      <c r="AL846" s="105"/>
      <c r="AM846" s="105"/>
      <c r="AN846" s="105"/>
      <c r="AO846" s="105"/>
      <c r="AP846" s="105"/>
      <c r="AQ846" s="105"/>
      <c r="AR846" s="105"/>
      <c r="AS846" s="105"/>
      <c r="AT846" s="105"/>
      <c r="AU846" s="105"/>
      <c r="AV846" s="105"/>
      <c r="AW846" s="105"/>
      <c r="AX846" s="105"/>
      <c r="AY846" s="105"/>
      <c r="AZ846" s="105"/>
      <c r="BA846" s="105"/>
      <c r="BB846" s="105"/>
      <c r="BC846" s="105"/>
      <c r="BD846" s="105"/>
      <c r="BE846" s="105"/>
      <c r="BF846" s="105"/>
      <c r="BG846" s="105"/>
      <c r="BH846" s="105"/>
      <c r="BI846" s="105"/>
      <c r="BJ846" s="105"/>
      <c r="BK846" s="105"/>
      <c r="BL846" s="105"/>
      <c r="BM846" s="105"/>
      <c r="BN846" s="105"/>
      <c r="BO846" s="105"/>
      <c r="BP846" s="105"/>
      <c r="BQ846" s="105"/>
      <c r="BR846" s="105"/>
      <c r="BS846" s="105"/>
      <c r="BT846" s="105"/>
      <c r="BU846" s="105"/>
      <c r="BV846" s="105"/>
      <c r="BW846" s="105"/>
      <c r="BX846" s="105"/>
      <c r="BY846" s="105"/>
      <c r="BZ846" s="105"/>
      <c r="CA846" s="105"/>
      <c r="CB846" s="105"/>
      <c r="CC846" s="105"/>
      <c r="CD846" s="105"/>
      <c r="CE846" s="105"/>
      <c r="CF846" s="105"/>
      <c r="CG846" s="105"/>
      <c r="CH846" s="105"/>
      <c r="CI846" s="105"/>
      <c r="CJ846" s="105"/>
      <c r="CK846" s="105"/>
      <c r="CL846" s="105"/>
      <c r="CM846" s="105"/>
      <c r="CN846" s="105"/>
      <c r="CO846" s="105"/>
      <c r="CP846" s="105"/>
      <c r="CQ846" s="105"/>
      <c r="CR846" s="105"/>
      <c r="CS846" s="105"/>
      <c r="CT846" s="105"/>
      <c r="CU846" s="105"/>
      <c r="CV846" s="105"/>
      <c r="CW846" s="105"/>
      <c r="CX846" s="105"/>
      <c r="CY846" s="105"/>
      <c r="CZ846" s="105"/>
      <c r="DA846" s="105"/>
    </row>
    <row r="847">
      <c r="B847" s="105"/>
      <c r="F847" s="105"/>
      <c r="G847" s="105"/>
      <c r="H847" s="105"/>
      <c r="I847" s="105"/>
      <c r="J847" s="105"/>
      <c r="K847" s="105"/>
      <c r="L847" s="105"/>
      <c r="M847" s="105"/>
      <c r="N847" s="105"/>
      <c r="O847" s="105"/>
      <c r="P847" s="105"/>
      <c r="Q847" s="105"/>
      <c r="R847" s="105"/>
      <c r="S847" s="105"/>
      <c r="T847" s="105"/>
      <c r="U847" s="105"/>
      <c r="V847" s="105"/>
      <c r="W847" s="105"/>
      <c r="X847" s="105"/>
      <c r="Y847" s="105"/>
      <c r="Z847" s="105"/>
      <c r="AA847" s="105"/>
      <c r="AB847" s="105"/>
      <c r="AC847" s="105"/>
      <c r="AD847" s="105"/>
      <c r="AE847" s="105"/>
      <c r="AF847" s="105"/>
      <c r="AG847" s="105"/>
      <c r="AH847" s="105"/>
      <c r="AI847" s="105"/>
      <c r="AJ847" s="105"/>
      <c r="AK847" s="105"/>
      <c r="AL847" s="105"/>
      <c r="AM847" s="105"/>
      <c r="AN847" s="105"/>
      <c r="AO847" s="105"/>
      <c r="AP847" s="105"/>
      <c r="AQ847" s="105"/>
      <c r="AR847" s="105"/>
      <c r="AS847" s="105"/>
      <c r="AT847" s="105"/>
      <c r="AU847" s="105"/>
      <c r="AV847" s="105"/>
      <c r="AW847" s="105"/>
      <c r="AX847" s="105"/>
      <c r="AY847" s="105"/>
      <c r="AZ847" s="105"/>
      <c r="BA847" s="105"/>
      <c r="BB847" s="105"/>
      <c r="BC847" s="105"/>
      <c r="BD847" s="105"/>
      <c r="BE847" s="105"/>
      <c r="BF847" s="105"/>
      <c r="BG847" s="105"/>
      <c r="BH847" s="105"/>
      <c r="BI847" s="105"/>
      <c r="BJ847" s="105"/>
      <c r="BK847" s="105"/>
      <c r="BL847" s="105"/>
      <c r="BM847" s="105"/>
      <c r="BN847" s="105"/>
      <c r="BO847" s="105"/>
      <c r="BP847" s="105"/>
      <c r="BQ847" s="105"/>
      <c r="BR847" s="105"/>
      <c r="BS847" s="105"/>
      <c r="BT847" s="105"/>
      <c r="BU847" s="105"/>
      <c r="BV847" s="105"/>
      <c r="BW847" s="105"/>
      <c r="BX847" s="105"/>
      <c r="BY847" s="105"/>
      <c r="BZ847" s="105"/>
      <c r="CA847" s="105"/>
      <c r="CB847" s="105"/>
      <c r="CC847" s="105"/>
      <c r="CD847" s="105"/>
      <c r="CE847" s="105"/>
      <c r="CF847" s="105"/>
      <c r="CG847" s="105"/>
      <c r="CH847" s="105"/>
      <c r="CI847" s="105"/>
      <c r="CJ847" s="105"/>
      <c r="CK847" s="105"/>
      <c r="CL847" s="105"/>
      <c r="CM847" s="105"/>
      <c r="CN847" s="105"/>
      <c r="CO847" s="105"/>
      <c r="CP847" s="105"/>
      <c r="CQ847" s="105"/>
      <c r="CR847" s="105"/>
      <c r="CS847" s="105"/>
      <c r="CT847" s="105"/>
      <c r="CU847" s="105"/>
      <c r="CV847" s="105"/>
      <c r="CW847" s="105"/>
      <c r="CX847" s="105"/>
      <c r="CY847" s="105"/>
      <c r="CZ847" s="105"/>
      <c r="DA847" s="105"/>
    </row>
    <row r="848">
      <c r="B848" s="105"/>
      <c r="F848" s="105"/>
      <c r="G848" s="105"/>
      <c r="H848" s="105"/>
      <c r="I848" s="105"/>
      <c r="J848" s="105"/>
      <c r="K848" s="105"/>
      <c r="L848" s="105"/>
      <c r="M848" s="105"/>
      <c r="N848" s="105"/>
      <c r="O848" s="105"/>
      <c r="P848" s="105"/>
      <c r="Q848" s="105"/>
      <c r="R848" s="105"/>
      <c r="S848" s="105"/>
      <c r="T848" s="105"/>
      <c r="U848" s="105"/>
      <c r="V848" s="105"/>
      <c r="W848" s="105"/>
      <c r="X848" s="105"/>
      <c r="Y848" s="105"/>
      <c r="Z848" s="105"/>
      <c r="AA848" s="105"/>
      <c r="AB848" s="105"/>
      <c r="AC848" s="105"/>
      <c r="AD848" s="105"/>
      <c r="AE848" s="105"/>
      <c r="AF848" s="105"/>
      <c r="AG848" s="105"/>
      <c r="AH848" s="105"/>
      <c r="AI848" s="105"/>
      <c r="AJ848" s="105"/>
      <c r="AK848" s="105"/>
      <c r="AL848" s="105"/>
      <c r="AM848" s="105"/>
      <c r="AN848" s="105"/>
      <c r="AO848" s="105"/>
      <c r="AP848" s="105"/>
      <c r="AQ848" s="105"/>
      <c r="AR848" s="105"/>
      <c r="AS848" s="105"/>
      <c r="AT848" s="105"/>
      <c r="AU848" s="105"/>
      <c r="AV848" s="105"/>
      <c r="AW848" s="105"/>
      <c r="AX848" s="105"/>
      <c r="AY848" s="105"/>
      <c r="AZ848" s="105"/>
      <c r="BA848" s="105"/>
      <c r="BB848" s="105"/>
      <c r="BC848" s="105"/>
      <c r="BD848" s="105"/>
      <c r="BE848" s="105"/>
      <c r="BF848" s="105"/>
      <c r="BG848" s="105"/>
      <c r="BH848" s="105"/>
      <c r="BI848" s="105"/>
      <c r="BJ848" s="105"/>
      <c r="BK848" s="105"/>
      <c r="BL848" s="105"/>
      <c r="BM848" s="105"/>
      <c r="BN848" s="105"/>
      <c r="BO848" s="105"/>
      <c r="BP848" s="105"/>
      <c r="BQ848" s="105"/>
      <c r="BR848" s="105"/>
      <c r="BS848" s="105"/>
      <c r="BT848" s="105"/>
      <c r="BU848" s="105"/>
      <c r="BV848" s="105"/>
      <c r="BW848" s="105"/>
      <c r="BX848" s="105"/>
      <c r="BY848" s="105"/>
      <c r="BZ848" s="105"/>
      <c r="CA848" s="105"/>
      <c r="CB848" s="105"/>
      <c r="CC848" s="105"/>
      <c r="CD848" s="105"/>
      <c r="CE848" s="105"/>
      <c r="CF848" s="105"/>
      <c r="CG848" s="105"/>
      <c r="CH848" s="105"/>
      <c r="CI848" s="105"/>
      <c r="CJ848" s="105"/>
      <c r="CK848" s="105"/>
      <c r="CL848" s="105"/>
      <c r="CM848" s="105"/>
      <c r="CN848" s="105"/>
      <c r="CO848" s="105"/>
      <c r="CP848" s="105"/>
      <c r="CQ848" s="105"/>
      <c r="CR848" s="105"/>
      <c r="CS848" s="105"/>
      <c r="CT848" s="105"/>
      <c r="CU848" s="105"/>
      <c r="CV848" s="105"/>
      <c r="CW848" s="105"/>
      <c r="CX848" s="105"/>
      <c r="CY848" s="105"/>
      <c r="CZ848" s="105"/>
      <c r="DA848" s="105"/>
    </row>
    <row r="849">
      <c r="B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c r="AA849" s="105"/>
      <c r="AB849" s="105"/>
      <c r="AC849" s="105"/>
      <c r="AD849" s="105"/>
      <c r="AE849" s="105"/>
      <c r="AF849" s="105"/>
      <c r="AG849" s="105"/>
      <c r="AH849" s="105"/>
      <c r="AI849" s="105"/>
      <c r="AJ849" s="105"/>
      <c r="AK849" s="105"/>
      <c r="AL849" s="105"/>
      <c r="AM849" s="105"/>
      <c r="AN849" s="105"/>
      <c r="AO849" s="105"/>
      <c r="AP849" s="105"/>
      <c r="AQ849" s="105"/>
      <c r="AR849" s="105"/>
      <c r="AS849" s="105"/>
      <c r="AT849" s="105"/>
      <c r="AU849" s="105"/>
      <c r="AV849" s="105"/>
      <c r="AW849" s="105"/>
      <c r="AX849" s="105"/>
      <c r="AY849" s="105"/>
      <c r="AZ849" s="105"/>
      <c r="BA849" s="105"/>
      <c r="BB849" s="105"/>
      <c r="BC849" s="105"/>
      <c r="BD849" s="105"/>
      <c r="BE849" s="105"/>
      <c r="BF849" s="105"/>
      <c r="BG849" s="105"/>
      <c r="BH849" s="105"/>
      <c r="BI849" s="105"/>
      <c r="BJ849" s="105"/>
      <c r="BK849" s="105"/>
      <c r="BL849" s="105"/>
      <c r="BM849" s="105"/>
      <c r="BN849" s="105"/>
      <c r="BO849" s="105"/>
      <c r="BP849" s="105"/>
      <c r="BQ849" s="105"/>
      <c r="BR849" s="105"/>
      <c r="BS849" s="105"/>
      <c r="BT849" s="105"/>
      <c r="BU849" s="105"/>
      <c r="BV849" s="105"/>
      <c r="BW849" s="105"/>
      <c r="BX849" s="105"/>
      <c r="BY849" s="105"/>
      <c r="BZ849" s="105"/>
      <c r="CA849" s="105"/>
      <c r="CB849" s="105"/>
      <c r="CC849" s="105"/>
      <c r="CD849" s="105"/>
      <c r="CE849" s="105"/>
      <c r="CF849" s="105"/>
      <c r="CG849" s="105"/>
      <c r="CH849" s="105"/>
      <c r="CI849" s="105"/>
      <c r="CJ849" s="105"/>
      <c r="CK849" s="105"/>
      <c r="CL849" s="105"/>
      <c r="CM849" s="105"/>
      <c r="CN849" s="105"/>
      <c r="CO849" s="105"/>
      <c r="CP849" s="105"/>
      <c r="CQ849" s="105"/>
      <c r="CR849" s="105"/>
      <c r="CS849" s="105"/>
      <c r="CT849" s="105"/>
      <c r="CU849" s="105"/>
      <c r="CV849" s="105"/>
      <c r="CW849" s="105"/>
      <c r="CX849" s="105"/>
      <c r="CY849" s="105"/>
      <c r="CZ849" s="105"/>
      <c r="DA849" s="105"/>
    </row>
    <row r="850">
      <c r="B850" s="105"/>
      <c r="F850" s="105"/>
      <c r="G850" s="105"/>
      <c r="H850" s="105"/>
      <c r="I850" s="105"/>
      <c r="J850" s="105"/>
      <c r="K850" s="105"/>
      <c r="L850" s="105"/>
      <c r="M850" s="105"/>
      <c r="N850" s="105"/>
      <c r="O850" s="105"/>
      <c r="P850" s="105"/>
      <c r="Q850" s="105"/>
      <c r="R850" s="105"/>
      <c r="S850" s="105"/>
      <c r="T850" s="105"/>
      <c r="U850" s="105"/>
      <c r="V850" s="105"/>
      <c r="W850" s="105"/>
      <c r="X850" s="105"/>
      <c r="Y850" s="105"/>
      <c r="Z850" s="105"/>
      <c r="AA850" s="105"/>
      <c r="AB850" s="105"/>
      <c r="AC850" s="105"/>
      <c r="AD850" s="105"/>
      <c r="AE850" s="105"/>
      <c r="AF850" s="105"/>
      <c r="AG850" s="105"/>
      <c r="AH850" s="105"/>
      <c r="AI850" s="105"/>
      <c r="AJ850" s="105"/>
      <c r="AK850" s="105"/>
      <c r="AL850" s="105"/>
      <c r="AM850" s="105"/>
      <c r="AN850" s="105"/>
      <c r="AO850" s="105"/>
      <c r="AP850" s="105"/>
      <c r="AQ850" s="105"/>
      <c r="AR850" s="105"/>
      <c r="AS850" s="105"/>
      <c r="AT850" s="105"/>
      <c r="AU850" s="105"/>
      <c r="AV850" s="105"/>
      <c r="AW850" s="105"/>
      <c r="AX850" s="105"/>
      <c r="AY850" s="105"/>
      <c r="AZ850" s="105"/>
      <c r="BA850" s="105"/>
      <c r="BB850" s="105"/>
      <c r="BC850" s="105"/>
      <c r="BD850" s="105"/>
      <c r="BE850" s="105"/>
      <c r="BF850" s="105"/>
      <c r="BG850" s="105"/>
      <c r="BH850" s="105"/>
      <c r="BI850" s="105"/>
      <c r="BJ850" s="105"/>
      <c r="BK850" s="105"/>
      <c r="BL850" s="105"/>
      <c r="BM850" s="105"/>
      <c r="BN850" s="105"/>
      <c r="BO850" s="105"/>
      <c r="BP850" s="105"/>
      <c r="BQ850" s="105"/>
      <c r="BR850" s="105"/>
      <c r="BS850" s="105"/>
      <c r="BT850" s="105"/>
      <c r="BU850" s="105"/>
      <c r="BV850" s="105"/>
      <c r="BW850" s="105"/>
      <c r="BX850" s="105"/>
      <c r="BY850" s="105"/>
      <c r="BZ850" s="105"/>
      <c r="CA850" s="105"/>
      <c r="CB850" s="105"/>
      <c r="CC850" s="105"/>
      <c r="CD850" s="105"/>
      <c r="CE850" s="105"/>
      <c r="CF850" s="105"/>
      <c r="CG850" s="105"/>
      <c r="CH850" s="105"/>
      <c r="CI850" s="105"/>
      <c r="CJ850" s="105"/>
      <c r="CK850" s="105"/>
      <c r="CL850" s="105"/>
      <c r="CM850" s="105"/>
      <c r="CN850" s="105"/>
      <c r="CO850" s="105"/>
      <c r="CP850" s="105"/>
      <c r="CQ850" s="105"/>
      <c r="CR850" s="105"/>
      <c r="CS850" s="105"/>
      <c r="CT850" s="105"/>
      <c r="CU850" s="105"/>
      <c r="CV850" s="105"/>
      <c r="CW850" s="105"/>
      <c r="CX850" s="105"/>
      <c r="CY850" s="105"/>
      <c r="CZ850" s="105"/>
      <c r="DA850" s="105"/>
    </row>
    <row r="851">
      <c r="B851" s="105"/>
      <c r="F851" s="105"/>
      <c r="G851" s="105"/>
      <c r="H851" s="105"/>
      <c r="I851" s="105"/>
      <c r="J851" s="105"/>
      <c r="K851" s="105"/>
      <c r="L851" s="105"/>
      <c r="M851" s="105"/>
      <c r="N851" s="105"/>
      <c r="O851" s="105"/>
      <c r="P851" s="105"/>
      <c r="Q851" s="105"/>
      <c r="R851" s="105"/>
      <c r="S851" s="105"/>
      <c r="T851" s="105"/>
      <c r="U851" s="105"/>
      <c r="V851" s="105"/>
      <c r="W851" s="105"/>
      <c r="X851" s="105"/>
      <c r="Y851" s="105"/>
      <c r="Z851" s="105"/>
      <c r="AA851" s="105"/>
      <c r="AB851" s="105"/>
      <c r="AC851" s="105"/>
      <c r="AD851" s="105"/>
      <c r="AE851" s="105"/>
      <c r="AF851" s="105"/>
      <c r="AG851" s="105"/>
      <c r="AH851" s="105"/>
      <c r="AI851" s="105"/>
      <c r="AJ851" s="105"/>
      <c r="AK851" s="105"/>
      <c r="AL851" s="105"/>
      <c r="AM851" s="105"/>
      <c r="AN851" s="105"/>
      <c r="AO851" s="105"/>
      <c r="AP851" s="105"/>
      <c r="AQ851" s="105"/>
      <c r="AR851" s="105"/>
      <c r="AS851" s="105"/>
      <c r="AT851" s="105"/>
      <c r="AU851" s="105"/>
      <c r="AV851" s="105"/>
      <c r="AW851" s="105"/>
      <c r="AX851" s="105"/>
      <c r="AY851" s="105"/>
      <c r="AZ851" s="105"/>
      <c r="BA851" s="105"/>
      <c r="BB851" s="105"/>
      <c r="BC851" s="105"/>
      <c r="BD851" s="105"/>
      <c r="BE851" s="105"/>
      <c r="BF851" s="105"/>
      <c r="BG851" s="105"/>
      <c r="BH851" s="105"/>
      <c r="BI851" s="105"/>
      <c r="BJ851" s="105"/>
      <c r="BK851" s="105"/>
      <c r="BL851" s="105"/>
      <c r="BM851" s="105"/>
      <c r="BN851" s="105"/>
      <c r="BO851" s="105"/>
      <c r="BP851" s="105"/>
      <c r="BQ851" s="105"/>
      <c r="BR851" s="105"/>
      <c r="BS851" s="105"/>
      <c r="BT851" s="105"/>
      <c r="BU851" s="105"/>
      <c r="BV851" s="105"/>
      <c r="BW851" s="105"/>
      <c r="BX851" s="105"/>
      <c r="BY851" s="105"/>
      <c r="BZ851" s="105"/>
      <c r="CA851" s="105"/>
      <c r="CB851" s="105"/>
      <c r="CC851" s="105"/>
      <c r="CD851" s="105"/>
      <c r="CE851" s="105"/>
      <c r="CF851" s="105"/>
      <c r="CG851" s="105"/>
      <c r="CH851" s="105"/>
      <c r="CI851" s="105"/>
      <c r="CJ851" s="105"/>
      <c r="CK851" s="105"/>
      <c r="CL851" s="105"/>
      <c r="CM851" s="105"/>
      <c r="CN851" s="105"/>
      <c r="CO851" s="105"/>
      <c r="CP851" s="105"/>
      <c r="CQ851" s="105"/>
      <c r="CR851" s="105"/>
      <c r="CS851" s="105"/>
      <c r="CT851" s="105"/>
      <c r="CU851" s="105"/>
      <c r="CV851" s="105"/>
      <c r="CW851" s="105"/>
      <c r="CX851" s="105"/>
      <c r="CY851" s="105"/>
      <c r="CZ851" s="105"/>
      <c r="DA851" s="105"/>
    </row>
    <row r="852">
      <c r="B852" s="105"/>
      <c r="F852" s="105"/>
      <c r="G852" s="105"/>
      <c r="H852" s="105"/>
      <c r="I852" s="105"/>
      <c r="J852" s="105"/>
      <c r="K852" s="105"/>
      <c r="L852" s="105"/>
      <c r="M852" s="105"/>
      <c r="N852" s="105"/>
      <c r="O852" s="105"/>
      <c r="P852" s="105"/>
      <c r="Q852" s="105"/>
      <c r="R852" s="105"/>
      <c r="S852" s="105"/>
      <c r="T852" s="105"/>
      <c r="U852" s="105"/>
      <c r="V852" s="105"/>
      <c r="W852" s="105"/>
      <c r="X852" s="105"/>
      <c r="Y852" s="105"/>
      <c r="Z852" s="105"/>
      <c r="AA852" s="105"/>
      <c r="AB852" s="105"/>
      <c r="AC852" s="105"/>
      <c r="AD852" s="105"/>
      <c r="AE852" s="105"/>
      <c r="AF852" s="105"/>
      <c r="AG852" s="105"/>
      <c r="AH852" s="105"/>
      <c r="AI852" s="105"/>
      <c r="AJ852" s="105"/>
      <c r="AK852" s="105"/>
      <c r="AL852" s="105"/>
      <c r="AM852" s="105"/>
      <c r="AN852" s="105"/>
      <c r="AO852" s="105"/>
      <c r="AP852" s="105"/>
      <c r="AQ852" s="105"/>
      <c r="AR852" s="105"/>
      <c r="AS852" s="105"/>
      <c r="AT852" s="105"/>
      <c r="AU852" s="105"/>
      <c r="AV852" s="105"/>
      <c r="AW852" s="105"/>
      <c r="AX852" s="105"/>
      <c r="AY852" s="105"/>
      <c r="AZ852" s="105"/>
      <c r="BA852" s="105"/>
      <c r="BB852" s="105"/>
      <c r="BC852" s="105"/>
      <c r="BD852" s="105"/>
      <c r="BE852" s="105"/>
      <c r="BF852" s="105"/>
      <c r="BG852" s="105"/>
      <c r="BH852" s="105"/>
      <c r="BI852" s="105"/>
      <c r="BJ852" s="105"/>
      <c r="BK852" s="105"/>
      <c r="BL852" s="105"/>
      <c r="BM852" s="105"/>
      <c r="BN852" s="105"/>
      <c r="BO852" s="105"/>
      <c r="BP852" s="105"/>
      <c r="BQ852" s="105"/>
      <c r="BR852" s="105"/>
      <c r="BS852" s="105"/>
      <c r="BT852" s="105"/>
      <c r="BU852" s="105"/>
      <c r="BV852" s="105"/>
      <c r="BW852" s="105"/>
      <c r="BX852" s="105"/>
      <c r="BY852" s="105"/>
      <c r="BZ852" s="105"/>
      <c r="CA852" s="105"/>
      <c r="CB852" s="105"/>
      <c r="CC852" s="105"/>
      <c r="CD852" s="105"/>
      <c r="CE852" s="105"/>
      <c r="CF852" s="105"/>
      <c r="CG852" s="105"/>
      <c r="CH852" s="105"/>
      <c r="CI852" s="105"/>
      <c r="CJ852" s="105"/>
      <c r="CK852" s="105"/>
      <c r="CL852" s="105"/>
      <c r="CM852" s="105"/>
      <c r="CN852" s="105"/>
      <c r="CO852" s="105"/>
      <c r="CP852" s="105"/>
      <c r="CQ852" s="105"/>
      <c r="CR852" s="105"/>
      <c r="CS852" s="105"/>
      <c r="CT852" s="105"/>
      <c r="CU852" s="105"/>
      <c r="CV852" s="105"/>
      <c r="CW852" s="105"/>
      <c r="CX852" s="105"/>
      <c r="CY852" s="105"/>
      <c r="CZ852" s="105"/>
      <c r="DA852" s="105"/>
    </row>
    <row r="853">
      <c r="B853" s="105"/>
      <c r="F853" s="105"/>
      <c r="G853" s="105"/>
      <c r="H853" s="105"/>
      <c r="I853" s="105"/>
      <c r="J853" s="105"/>
      <c r="K853" s="105"/>
      <c r="L853" s="105"/>
      <c r="M853" s="105"/>
      <c r="N853" s="105"/>
      <c r="O853" s="105"/>
      <c r="P853" s="105"/>
      <c r="Q853" s="105"/>
      <c r="R853" s="105"/>
      <c r="S853" s="105"/>
      <c r="T853" s="105"/>
      <c r="U853" s="105"/>
      <c r="V853" s="105"/>
      <c r="W853" s="105"/>
      <c r="X853" s="105"/>
      <c r="Y853" s="105"/>
      <c r="Z853" s="105"/>
      <c r="AA853" s="105"/>
      <c r="AB853" s="105"/>
      <c r="AC853" s="105"/>
      <c r="AD853" s="105"/>
      <c r="AE853" s="105"/>
      <c r="AF853" s="105"/>
      <c r="AG853" s="105"/>
      <c r="AH853" s="105"/>
      <c r="AI853" s="105"/>
      <c r="AJ853" s="105"/>
      <c r="AK853" s="105"/>
      <c r="AL853" s="105"/>
      <c r="AM853" s="105"/>
      <c r="AN853" s="105"/>
      <c r="AO853" s="105"/>
      <c r="AP853" s="105"/>
      <c r="AQ853" s="105"/>
      <c r="AR853" s="105"/>
      <c r="AS853" s="105"/>
      <c r="AT853" s="105"/>
      <c r="AU853" s="105"/>
      <c r="AV853" s="105"/>
      <c r="AW853" s="105"/>
      <c r="AX853" s="105"/>
      <c r="AY853" s="105"/>
      <c r="AZ853" s="105"/>
      <c r="BA853" s="105"/>
      <c r="BB853" s="105"/>
      <c r="BC853" s="105"/>
      <c r="BD853" s="105"/>
      <c r="BE853" s="105"/>
      <c r="BF853" s="105"/>
      <c r="BG853" s="105"/>
      <c r="BH853" s="105"/>
      <c r="BI853" s="105"/>
      <c r="BJ853" s="105"/>
      <c r="BK853" s="105"/>
      <c r="BL853" s="105"/>
      <c r="BM853" s="105"/>
      <c r="BN853" s="105"/>
      <c r="BO853" s="105"/>
      <c r="BP853" s="105"/>
      <c r="BQ853" s="105"/>
      <c r="BR853" s="105"/>
      <c r="BS853" s="105"/>
      <c r="BT853" s="105"/>
      <c r="BU853" s="105"/>
      <c r="BV853" s="105"/>
      <c r="BW853" s="105"/>
      <c r="BX853" s="105"/>
      <c r="BY853" s="105"/>
      <c r="BZ853" s="105"/>
      <c r="CA853" s="105"/>
      <c r="CB853" s="105"/>
      <c r="CC853" s="105"/>
      <c r="CD853" s="105"/>
      <c r="CE853" s="105"/>
      <c r="CF853" s="105"/>
      <c r="CG853" s="105"/>
      <c r="CH853" s="105"/>
      <c r="CI853" s="105"/>
      <c r="CJ853" s="105"/>
      <c r="CK853" s="105"/>
      <c r="CL853" s="105"/>
      <c r="CM853" s="105"/>
      <c r="CN853" s="105"/>
      <c r="CO853" s="105"/>
      <c r="CP853" s="105"/>
      <c r="CQ853" s="105"/>
      <c r="CR853" s="105"/>
      <c r="CS853" s="105"/>
      <c r="CT853" s="105"/>
      <c r="CU853" s="105"/>
      <c r="CV853" s="105"/>
      <c r="CW853" s="105"/>
      <c r="CX853" s="105"/>
      <c r="CY853" s="105"/>
      <c r="CZ853" s="105"/>
      <c r="DA853" s="105"/>
    </row>
    <row r="854">
      <c r="B854" s="105"/>
      <c r="F854" s="105"/>
      <c r="G854" s="105"/>
      <c r="H854" s="105"/>
      <c r="I854" s="105"/>
      <c r="J854" s="105"/>
      <c r="K854" s="105"/>
      <c r="L854" s="105"/>
      <c r="M854" s="105"/>
      <c r="N854" s="105"/>
      <c r="O854" s="105"/>
      <c r="P854" s="105"/>
      <c r="Q854" s="105"/>
      <c r="R854" s="105"/>
      <c r="S854" s="105"/>
      <c r="T854" s="105"/>
      <c r="U854" s="105"/>
      <c r="V854" s="105"/>
      <c r="W854" s="105"/>
      <c r="X854" s="105"/>
      <c r="Y854" s="105"/>
      <c r="Z854" s="105"/>
      <c r="AA854" s="105"/>
      <c r="AB854" s="105"/>
      <c r="AC854" s="105"/>
      <c r="AD854" s="105"/>
      <c r="AE854" s="105"/>
      <c r="AF854" s="105"/>
      <c r="AG854" s="105"/>
      <c r="AH854" s="105"/>
      <c r="AI854" s="105"/>
      <c r="AJ854" s="105"/>
      <c r="AK854" s="105"/>
      <c r="AL854" s="105"/>
      <c r="AM854" s="105"/>
      <c r="AN854" s="105"/>
      <c r="AO854" s="105"/>
      <c r="AP854" s="105"/>
      <c r="AQ854" s="105"/>
      <c r="AR854" s="105"/>
      <c r="AS854" s="105"/>
      <c r="AT854" s="105"/>
      <c r="AU854" s="105"/>
      <c r="AV854" s="105"/>
      <c r="AW854" s="105"/>
      <c r="AX854" s="105"/>
      <c r="AY854" s="105"/>
      <c r="AZ854" s="105"/>
      <c r="BA854" s="105"/>
      <c r="BB854" s="105"/>
      <c r="BC854" s="105"/>
      <c r="BD854" s="105"/>
      <c r="BE854" s="105"/>
      <c r="BF854" s="105"/>
      <c r="BG854" s="105"/>
      <c r="BH854" s="105"/>
      <c r="BI854" s="105"/>
      <c r="BJ854" s="105"/>
      <c r="BK854" s="105"/>
      <c r="BL854" s="105"/>
      <c r="BM854" s="105"/>
      <c r="BN854" s="105"/>
      <c r="BO854" s="105"/>
      <c r="BP854" s="105"/>
      <c r="BQ854" s="105"/>
      <c r="BR854" s="105"/>
      <c r="BS854" s="105"/>
      <c r="BT854" s="105"/>
      <c r="BU854" s="105"/>
      <c r="BV854" s="105"/>
      <c r="BW854" s="105"/>
      <c r="BX854" s="105"/>
      <c r="BY854" s="105"/>
      <c r="BZ854" s="105"/>
      <c r="CA854" s="105"/>
      <c r="CB854" s="105"/>
      <c r="CC854" s="105"/>
      <c r="CD854" s="105"/>
      <c r="CE854" s="105"/>
      <c r="CF854" s="105"/>
      <c r="CG854" s="105"/>
      <c r="CH854" s="105"/>
      <c r="CI854" s="105"/>
      <c r="CJ854" s="105"/>
      <c r="CK854" s="105"/>
      <c r="CL854" s="105"/>
      <c r="CM854" s="105"/>
      <c r="CN854" s="105"/>
      <c r="CO854" s="105"/>
      <c r="CP854" s="105"/>
      <c r="CQ854" s="105"/>
      <c r="CR854" s="105"/>
      <c r="CS854" s="105"/>
      <c r="CT854" s="105"/>
      <c r="CU854" s="105"/>
      <c r="CV854" s="105"/>
      <c r="CW854" s="105"/>
      <c r="CX854" s="105"/>
      <c r="CY854" s="105"/>
      <c r="CZ854" s="105"/>
      <c r="DA854" s="105"/>
    </row>
    <row r="855">
      <c r="B855" s="105"/>
      <c r="F855" s="105"/>
      <c r="G855" s="105"/>
      <c r="H855" s="105"/>
      <c r="I855" s="105"/>
      <c r="J855" s="105"/>
      <c r="K855" s="105"/>
      <c r="L855" s="105"/>
      <c r="M855" s="105"/>
      <c r="N855" s="105"/>
      <c r="O855" s="105"/>
      <c r="P855" s="105"/>
      <c r="Q855" s="105"/>
      <c r="R855" s="105"/>
      <c r="S855" s="105"/>
      <c r="T855" s="105"/>
      <c r="U855" s="105"/>
      <c r="V855" s="105"/>
      <c r="W855" s="105"/>
      <c r="X855" s="105"/>
      <c r="Y855" s="105"/>
      <c r="Z855" s="105"/>
      <c r="AA855" s="105"/>
      <c r="AB855" s="105"/>
      <c r="AC855" s="105"/>
      <c r="AD855" s="105"/>
      <c r="AE855" s="105"/>
      <c r="AF855" s="105"/>
      <c r="AG855" s="105"/>
      <c r="AH855" s="105"/>
      <c r="AI855" s="105"/>
      <c r="AJ855" s="105"/>
      <c r="AK855" s="105"/>
      <c r="AL855" s="105"/>
      <c r="AM855" s="105"/>
      <c r="AN855" s="105"/>
      <c r="AO855" s="105"/>
      <c r="AP855" s="105"/>
      <c r="AQ855" s="105"/>
      <c r="AR855" s="105"/>
      <c r="AS855" s="105"/>
      <c r="AT855" s="105"/>
      <c r="AU855" s="105"/>
      <c r="AV855" s="105"/>
      <c r="AW855" s="105"/>
      <c r="AX855" s="105"/>
      <c r="AY855" s="105"/>
      <c r="AZ855" s="105"/>
      <c r="BA855" s="105"/>
      <c r="BB855" s="105"/>
      <c r="BC855" s="105"/>
      <c r="BD855" s="105"/>
      <c r="BE855" s="105"/>
      <c r="BF855" s="105"/>
      <c r="BG855" s="105"/>
      <c r="BH855" s="105"/>
      <c r="BI855" s="105"/>
      <c r="BJ855" s="105"/>
      <c r="BK855" s="105"/>
      <c r="BL855" s="105"/>
      <c r="BM855" s="105"/>
      <c r="BN855" s="105"/>
      <c r="BO855" s="105"/>
      <c r="BP855" s="105"/>
      <c r="BQ855" s="105"/>
      <c r="BR855" s="105"/>
      <c r="BS855" s="105"/>
      <c r="BT855" s="105"/>
      <c r="BU855" s="105"/>
      <c r="BV855" s="105"/>
      <c r="BW855" s="105"/>
      <c r="BX855" s="105"/>
      <c r="BY855" s="105"/>
      <c r="BZ855" s="105"/>
      <c r="CA855" s="105"/>
      <c r="CB855" s="105"/>
      <c r="CC855" s="105"/>
      <c r="CD855" s="105"/>
      <c r="CE855" s="105"/>
      <c r="CF855" s="105"/>
      <c r="CG855" s="105"/>
      <c r="CH855" s="105"/>
      <c r="CI855" s="105"/>
      <c r="CJ855" s="105"/>
      <c r="CK855" s="105"/>
      <c r="CL855" s="105"/>
      <c r="CM855" s="105"/>
      <c r="CN855" s="105"/>
      <c r="CO855" s="105"/>
      <c r="CP855" s="105"/>
      <c r="CQ855" s="105"/>
      <c r="CR855" s="105"/>
      <c r="CS855" s="105"/>
      <c r="CT855" s="105"/>
      <c r="CU855" s="105"/>
      <c r="CV855" s="105"/>
      <c r="CW855" s="105"/>
      <c r="CX855" s="105"/>
      <c r="CY855" s="105"/>
      <c r="CZ855" s="105"/>
      <c r="DA855" s="105"/>
    </row>
    <row r="856">
      <c r="B856" s="105"/>
      <c r="F856" s="105"/>
      <c r="G856" s="105"/>
      <c r="H856" s="105"/>
      <c r="I856" s="105"/>
      <c r="J856" s="105"/>
      <c r="K856" s="105"/>
      <c r="L856" s="105"/>
      <c r="M856" s="105"/>
      <c r="N856" s="105"/>
      <c r="O856" s="105"/>
      <c r="P856" s="105"/>
      <c r="Q856" s="105"/>
      <c r="R856" s="105"/>
      <c r="S856" s="105"/>
      <c r="T856" s="105"/>
      <c r="U856" s="105"/>
      <c r="V856" s="105"/>
      <c r="W856" s="105"/>
      <c r="X856" s="105"/>
      <c r="Y856" s="105"/>
      <c r="Z856" s="105"/>
      <c r="AA856" s="105"/>
      <c r="AB856" s="105"/>
      <c r="AC856" s="105"/>
      <c r="AD856" s="105"/>
      <c r="AE856" s="105"/>
      <c r="AF856" s="105"/>
      <c r="AG856" s="105"/>
      <c r="AH856" s="105"/>
      <c r="AI856" s="105"/>
      <c r="AJ856" s="105"/>
      <c r="AK856" s="105"/>
      <c r="AL856" s="105"/>
      <c r="AM856" s="105"/>
      <c r="AN856" s="105"/>
      <c r="AO856" s="105"/>
      <c r="AP856" s="105"/>
      <c r="AQ856" s="105"/>
      <c r="AR856" s="105"/>
      <c r="AS856" s="105"/>
      <c r="AT856" s="105"/>
      <c r="AU856" s="105"/>
      <c r="AV856" s="105"/>
      <c r="AW856" s="105"/>
      <c r="AX856" s="105"/>
      <c r="AY856" s="105"/>
      <c r="AZ856" s="105"/>
      <c r="BA856" s="105"/>
      <c r="BB856" s="105"/>
      <c r="BC856" s="105"/>
      <c r="BD856" s="105"/>
      <c r="BE856" s="105"/>
      <c r="BF856" s="105"/>
      <c r="BG856" s="105"/>
      <c r="BH856" s="105"/>
      <c r="BI856" s="105"/>
      <c r="BJ856" s="105"/>
      <c r="BK856" s="105"/>
      <c r="BL856" s="105"/>
      <c r="BM856" s="105"/>
      <c r="BN856" s="105"/>
      <c r="BO856" s="105"/>
      <c r="BP856" s="105"/>
      <c r="BQ856" s="105"/>
      <c r="BR856" s="105"/>
      <c r="BS856" s="105"/>
      <c r="BT856" s="105"/>
      <c r="BU856" s="105"/>
      <c r="BV856" s="105"/>
      <c r="BW856" s="105"/>
      <c r="BX856" s="105"/>
      <c r="BY856" s="105"/>
      <c r="BZ856" s="105"/>
      <c r="CA856" s="105"/>
      <c r="CB856" s="105"/>
      <c r="CC856" s="105"/>
      <c r="CD856" s="105"/>
      <c r="CE856" s="105"/>
      <c r="CF856" s="105"/>
      <c r="CG856" s="105"/>
      <c r="CH856" s="105"/>
      <c r="CI856" s="105"/>
      <c r="CJ856" s="105"/>
      <c r="CK856" s="105"/>
      <c r="CL856" s="105"/>
      <c r="CM856" s="105"/>
      <c r="CN856" s="105"/>
      <c r="CO856" s="105"/>
      <c r="CP856" s="105"/>
      <c r="CQ856" s="105"/>
      <c r="CR856" s="105"/>
      <c r="CS856" s="105"/>
      <c r="CT856" s="105"/>
      <c r="CU856" s="105"/>
      <c r="CV856" s="105"/>
      <c r="CW856" s="105"/>
      <c r="CX856" s="105"/>
      <c r="CY856" s="105"/>
      <c r="CZ856" s="105"/>
      <c r="DA856" s="105"/>
    </row>
    <row r="857">
      <c r="B857" s="105"/>
      <c r="F857" s="105"/>
      <c r="G857" s="105"/>
      <c r="H857" s="105"/>
      <c r="I857" s="105"/>
      <c r="J857" s="105"/>
      <c r="K857" s="105"/>
      <c r="L857" s="105"/>
      <c r="M857" s="105"/>
      <c r="N857" s="105"/>
      <c r="O857" s="105"/>
      <c r="P857" s="105"/>
      <c r="Q857" s="105"/>
      <c r="R857" s="105"/>
      <c r="S857" s="105"/>
      <c r="T857" s="105"/>
      <c r="U857" s="105"/>
      <c r="V857" s="105"/>
      <c r="W857" s="105"/>
      <c r="X857" s="105"/>
      <c r="Y857" s="105"/>
      <c r="Z857" s="105"/>
      <c r="AA857" s="105"/>
      <c r="AB857" s="105"/>
      <c r="AC857" s="105"/>
      <c r="AD857" s="105"/>
      <c r="AE857" s="105"/>
      <c r="AF857" s="105"/>
      <c r="AG857" s="105"/>
      <c r="AH857" s="105"/>
      <c r="AI857" s="105"/>
      <c r="AJ857" s="105"/>
      <c r="AK857" s="105"/>
      <c r="AL857" s="105"/>
      <c r="AM857" s="105"/>
      <c r="AN857" s="105"/>
      <c r="AO857" s="105"/>
      <c r="AP857" s="105"/>
      <c r="AQ857" s="105"/>
      <c r="AR857" s="105"/>
      <c r="AS857" s="105"/>
      <c r="AT857" s="105"/>
      <c r="AU857" s="105"/>
      <c r="AV857" s="105"/>
      <c r="AW857" s="105"/>
      <c r="AX857" s="105"/>
      <c r="AY857" s="105"/>
      <c r="AZ857" s="105"/>
      <c r="BA857" s="105"/>
      <c r="BB857" s="105"/>
      <c r="BC857" s="105"/>
      <c r="BD857" s="105"/>
      <c r="BE857" s="105"/>
      <c r="BF857" s="105"/>
      <c r="BG857" s="105"/>
      <c r="BH857" s="105"/>
      <c r="BI857" s="105"/>
      <c r="BJ857" s="105"/>
      <c r="BK857" s="105"/>
      <c r="BL857" s="105"/>
      <c r="BM857" s="105"/>
      <c r="BN857" s="105"/>
      <c r="BO857" s="105"/>
      <c r="BP857" s="105"/>
      <c r="BQ857" s="105"/>
      <c r="BR857" s="105"/>
      <c r="BS857" s="105"/>
      <c r="BT857" s="105"/>
      <c r="BU857" s="105"/>
      <c r="BV857" s="105"/>
      <c r="BW857" s="105"/>
      <c r="BX857" s="105"/>
      <c r="BY857" s="105"/>
      <c r="BZ857" s="105"/>
      <c r="CA857" s="105"/>
      <c r="CB857" s="105"/>
      <c r="CC857" s="105"/>
      <c r="CD857" s="105"/>
      <c r="CE857" s="105"/>
      <c r="CF857" s="105"/>
      <c r="CG857" s="105"/>
      <c r="CH857" s="105"/>
      <c r="CI857" s="105"/>
      <c r="CJ857" s="105"/>
      <c r="CK857" s="105"/>
      <c r="CL857" s="105"/>
      <c r="CM857" s="105"/>
      <c r="CN857" s="105"/>
      <c r="CO857" s="105"/>
      <c r="CP857" s="105"/>
      <c r="CQ857" s="105"/>
      <c r="CR857" s="105"/>
      <c r="CS857" s="105"/>
      <c r="CT857" s="105"/>
      <c r="CU857" s="105"/>
      <c r="CV857" s="105"/>
      <c r="CW857" s="105"/>
      <c r="CX857" s="105"/>
      <c r="CY857" s="105"/>
      <c r="CZ857" s="105"/>
      <c r="DA857" s="105"/>
    </row>
    <row r="858">
      <c r="B858" s="105"/>
      <c r="F858" s="105"/>
      <c r="G858" s="105"/>
      <c r="H858" s="105"/>
      <c r="I858" s="105"/>
      <c r="J858" s="105"/>
      <c r="K858" s="105"/>
      <c r="L858" s="105"/>
      <c r="M858" s="105"/>
      <c r="N858" s="105"/>
      <c r="O858" s="105"/>
      <c r="P858" s="105"/>
      <c r="Q858" s="105"/>
      <c r="R858" s="105"/>
      <c r="S858" s="105"/>
      <c r="T858" s="105"/>
      <c r="U858" s="105"/>
      <c r="V858" s="105"/>
      <c r="W858" s="105"/>
      <c r="X858" s="105"/>
      <c r="Y858" s="105"/>
      <c r="Z858" s="105"/>
      <c r="AA858" s="105"/>
      <c r="AB858" s="105"/>
      <c r="AC858" s="105"/>
      <c r="AD858" s="105"/>
      <c r="AE858" s="105"/>
      <c r="AF858" s="105"/>
      <c r="AG858" s="105"/>
      <c r="AH858" s="105"/>
      <c r="AI858" s="105"/>
      <c r="AJ858" s="105"/>
      <c r="AK858" s="105"/>
      <c r="AL858" s="105"/>
      <c r="AM858" s="105"/>
      <c r="AN858" s="105"/>
      <c r="AO858" s="105"/>
      <c r="AP858" s="105"/>
      <c r="AQ858" s="105"/>
      <c r="AR858" s="105"/>
      <c r="AS858" s="105"/>
      <c r="AT858" s="105"/>
      <c r="AU858" s="105"/>
      <c r="AV858" s="105"/>
      <c r="AW858" s="105"/>
      <c r="AX858" s="105"/>
      <c r="AY858" s="105"/>
      <c r="AZ858" s="105"/>
      <c r="BA858" s="105"/>
      <c r="BB858" s="105"/>
      <c r="BC858" s="105"/>
      <c r="BD858" s="105"/>
      <c r="BE858" s="105"/>
      <c r="BF858" s="105"/>
      <c r="BG858" s="105"/>
      <c r="BH858" s="105"/>
      <c r="BI858" s="105"/>
      <c r="BJ858" s="105"/>
      <c r="BK858" s="105"/>
      <c r="BL858" s="105"/>
      <c r="BM858" s="105"/>
      <c r="BN858" s="105"/>
      <c r="BO858" s="105"/>
      <c r="BP858" s="105"/>
      <c r="BQ858" s="105"/>
      <c r="BR858" s="105"/>
      <c r="BS858" s="105"/>
      <c r="BT858" s="105"/>
      <c r="BU858" s="105"/>
      <c r="BV858" s="105"/>
      <c r="BW858" s="105"/>
      <c r="BX858" s="105"/>
      <c r="BY858" s="105"/>
      <c r="BZ858" s="105"/>
      <c r="CA858" s="105"/>
      <c r="CB858" s="105"/>
      <c r="CC858" s="105"/>
      <c r="CD858" s="105"/>
      <c r="CE858" s="105"/>
      <c r="CF858" s="105"/>
      <c r="CG858" s="105"/>
      <c r="CH858" s="105"/>
      <c r="CI858" s="105"/>
      <c r="CJ858" s="105"/>
      <c r="CK858" s="105"/>
      <c r="CL858" s="105"/>
      <c r="CM858" s="105"/>
      <c r="CN858" s="105"/>
      <c r="CO858" s="105"/>
      <c r="CP858" s="105"/>
      <c r="CQ858" s="105"/>
      <c r="CR858" s="105"/>
      <c r="CS858" s="105"/>
      <c r="CT858" s="105"/>
      <c r="CU858" s="105"/>
      <c r="CV858" s="105"/>
      <c r="CW858" s="105"/>
      <c r="CX858" s="105"/>
      <c r="CY858" s="105"/>
      <c r="CZ858" s="105"/>
      <c r="DA858" s="105"/>
    </row>
    <row r="859">
      <c r="B859" s="105"/>
      <c r="F859" s="105"/>
      <c r="G859" s="105"/>
      <c r="H859" s="105"/>
      <c r="I859" s="105"/>
      <c r="J859" s="105"/>
      <c r="K859" s="105"/>
      <c r="L859" s="105"/>
      <c r="M859" s="105"/>
      <c r="N859" s="105"/>
      <c r="O859" s="105"/>
      <c r="P859" s="105"/>
      <c r="Q859" s="105"/>
      <c r="R859" s="105"/>
      <c r="S859" s="105"/>
      <c r="T859" s="105"/>
      <c r="U859" s="105"/>
      <c r="V859" s="105"/>
      <c r="W859" s="105"/>
      <c r="X859" s="105"/>
      <c r="Y859" s="105"/>
      <c r="Z859" s="105"/>
      <c r="AA859" s="105"/>
      <c r="AB859" s="105"/>
      <c r="AC859" s="105"/>
      <c r="AD859" s="105"/>
      <c r="AE859" s="105"/>
      <c r="AF859" s="105"/>
      <c r="AG859" s="105"/>
      <c r="AH859" s="105"/>
      <c r="AI859" s="105"/>
      <c r="AJ859" s="105"/>
      <c r="AK859" s="105"/>
      <c r="AL859" s="105"/>
      <c r="AM859" s="105"/>
      <c r="AN859" s="105"/>
      <c r="AO859" s="105"/>
      <c r="AP859" s="105"/>
      <c r="AQ859" s="105"/>
      <c r="AR859" s="105"/>
      <c r="AS859" s="105"/>
      <c r="AT859" s="105"/>
      <c r="AU859" s="105"/>
      <c r="AV859" s="105"/>
      <c r="AW859" s="105"/>
      <c r="AX859" s="105"/>
      <c r="AY859" s="105"/>
      <c r="AZ859" s="105"/>
      <c r="BA859" s="105"/>
      <c r="BB859" s="105"/>
      <c r="BC859" s="105"/>
      <c r="BD859" s="105"/>
      <c r="BE859" s="105"/>
      <c r="BF859" s="105"/>
      <c r="BG859" s="105"/>
      <c r="BH859" s="105"/>
      <c r="BI859" s="105"/>
      <c r="BJ859" s="105"/>
      <c r="BK859" s="105"/>
      <c r="BL859" s="105"/>
      <c r="BM859" s="105"/>
      <c r="BN859" s="105"/>
      <c r="BO859" s="105"/>
      <c r="BP859" s="105"/>
      <c r="BQ859" s="105"/>
      <c r="BR859" s="105"/>
      <c r="BS859" s="105"/>
      <c r="BT859" s="105"/>
      <c r="BU859" s="105"/>
      <c r="BV859" s="105"/>
      <c r="BW859" s="105"/>
      <c r="BX859" s="105"/>
      <c r="BY859" s="105"/>
      <c r="BZ859" s="105"/>
      <c r="CA859" s="105"/>
      <c r="CB859" s="105"/>
      <c r="CC859" s="105"/>
      <c r="CD859" s="105"/>
      <c r="CE859" s="105"/>
      <c r="CF859" s="105"/>
      <c r="CG859" s="105"/>
      <c r="CH859" s="105"/>
      <c r="CI859" s="105"/>
      <c r="CJ859" s="105"/>
      <c r="CK859" s="105"/>
      <c r="CL859" s="105"/>
      <c r="CM859" s="105"/>
      <c r="CN859" s="105"/>
      <c r="CO859" s="105"/>
      <c r="CP859" s="105"/>
      <c r="CQ859" s="105"/>
      <c r="CR859" s="105"/>
      <c r="CS859" s="105"/>
      <c r="CT859" s="105"/>
      <c r="CU859" s="105"/>
      <c r="CV859" s="105"/>
      <c r="CW859" s="105"/>
      <c r="CX859" s="105"/>
      <c r="CY859" s="105"/>
      <c r="CZ859" s="105"/>
      <c r="DA859" s="105"/>
    </row>
    <row r="860">
      <c r="B860" s="105"/>
      <c r="F860" s="105"/>
      <c r="G860" s="105"/>
      <c r="H860" s="105"/>
      <c r="I860" s="105"/>
      <c r="J860" s="105"/>
      <c r="K860" s="105"/>
      <c r="L860" s="105"/>
      <c r="M860" s="105"/>
      <c r="N860" s="105"/>
      <c r="O860" s="105"/>
      <c r="P860" s="105"/>
      <c r="Q860" s="105"/>
      <c r="R860" s="105"/>
      <c r="S860" s="105"/>
      <c r="T860" s="105"/>
      <c r="U860" s="105"/>
      <c r="V860" s="105"/>
      <c r="W860" s="105"/>
      <c r="X860" s="105"/>
      <c r="Y860" s="105"/>
      <c r="Z860" s="105"/>
      <c r="AA860" s="105"/>
      <c r="AB860" s="105"/>
      <c r="AC860" s="105"/>
      <c r="AD860" s="105"/>
      <c r="AE860" s="105"/>
      <c r="AF860" s="105"/>
      <c r="AG860" s="105"/>
      <c r="AH860" s="105"/>
      <c r="AI860" s="105"/>
      <c r="AJ860" s="105"/>
      <c r="AK860" s="105"/>
      <c r="AL860" s="105"/>
      <c r="AM860" s="105"/>
      <c r="AN860" s="105"/>
      <c r="AO860" s="105"/>
      <c r="AP860" s="105"/>
      <c r="AQ860" s="105"/>
      <c r="AR860" s="105"/>
      <c r="AS860" s="105"/>
      <c r="AT860" s="105"/>
      <c r="AU860" s="105"/>
      <c r="AV860" s="105"/>
      <c r="AW860" s="105"/>
      <c r="AX860" s="105"/>
      <c r="AY860" s="105"/>
      <c r="AZ860" s="105"/>
      <c r="BA860" s="105"/>
      <c r="BB860" s="105"/>
      <c r="BC860" s="105"/>
      <c r="BD860" s="105"/>
      <c r="BE860" s="105"/>
      <c r="BF860" s="105"/>
      <c r="BG860" s="105"/>
      <c r="BH860" s="105"/>
      <c r="BI860" s="105"/>
      <c r="BJ860" s="105"/>
      <c r="BK860" s="105"/>
      <c r="BL860" s="105"/>
      <c r="BM860" s="105"/>
      <c r="BN860" s="105"/>
      <c r="BO860" s="105"/>
      <c r="BP860" s="105"/>
      <c r="BQ860" s="105"/>
      <c r="BR860" s="105"/>
      <c r="BS860" s="105"/>
      <c r="BT860" s="105"/>
      <c r="BU860" s="105"/>
      <c r="BV860" s="105"/>
      <c r="BW860" s="105"/>
      <c r="BX860" s="105"/>
      <c r="BY860" s="105"/>
      <c r="BZ860" s="105"/>
      <c r="CA860" s="105"/>
      <c r="CB860" s="105"/>
      <c r="CC860" s="105"/>
      <c r="CD860" s="105"/>
      <c r="CE860" s="105"/>
      <c r="CF860" s="105"/>
      <c r="CG860" s="105"/>
      <c r="CH860" s="105"/>
      <c r="CI860" s="105"/>
      <c r="CJ860" s="105"/>
      <c r="CK860" s="105"/>
      <c r="CL860" s="105"/>
      <c r="CM860" s="105"/>
      <c r="CN860" s="105"/>
      <c r="CO860" s="105"/>
      <c r="CP860" s="105"/>
      <c r="CQ860" s="105"/>
      <c r="CR860" s="105"/>
      <c r="CS860" s="105"/>
      <c r="CT860" s="105"/>
      <c r="CU860" s="105"/>
      <c r="CV860" s="105"/>
      <c r="CW860" s="105"/>
      <c r="CX860" s="105"/>
      <c r="CY860" s="105"/>
      <c r="CZ860" s="105"/>
      <c r="DA860" s="105"/>
    </row>
    <row r="861">
      <c r="B861" s="105"/>
      <c r="F861" s="105"/>
      <c r="G861" s="105"/>
      <c r="H861" s="105"/>
      <c r="I861" s="105"/>
      <c r="J861" s="105"/>
      <c r="K861" s="105"/>
      <c r="L861" s="105"/>
      <c r="M861" s="105"/>
      <c r="N861" s="105"/>
      <c r="O861" s="105"/>
      <c r="P861" s="105"/>
      <c r="Q861" s="105"/>
      <c r="R861" s="105"/>
      <c r="S861" s="105"/>
      <c r="T861" s="105"/>
      <c r="U861" s="105"/>
      <c r="V861" s="105"/>
      <c r="W861" s="105"/>
      <c r="X861" s="105"/>
      <c r="Y861" s="105"/>
      <c r="Z861" s="105"/>
      <c r="AA861" s="105"/>
      <c r="AB861" s="105"/>
      <c r="AC861" s="105"/>
      <c r="AD861" s="105"/>
      <c r="AE861" s="105"/>
      <c r="AF861" s="105"/>
      <c r="AG861" s="105"/>
      <c r="AH861" s="105"/>
      <c r="AI861" s="105"/>
      <c r="AJ861" s="105"/>
      <c r="AK861" s="105"/>
      <c r="AL861" s="105"/>
      <c r="AM861" s="105"/>
      <c r="AN861" s="105"/>
      <c r="AO861" s="105"/>
      <c r="AP861" s="105"/>
      <c r="AQ861" s="105"/>
      <c r="AR861" s="105"/>
      <c r="AS861" s="105"/>
      <c r="AT861" s="105"/>
      <c r="AU861" s="105"/>
      <c r="AV861" s="105"/>
      <c r="AW861" s="105"/>
      <c r="AX861" s="105"/>
      <c r="AY861" s="105"/>
      <c r="AZ861" s="105"/>
      <c r="BA861" s="105"/>
      <c r="BB861" s="105"/>
      <c r="BC861" s="105"/>
      <c r="BD861" s="105"/>
      <c r="BE861" s="105"/>
      <c r="BF861" s="105"/>
      <c r="BG861" s="105"/>
      <c r="BH861" s="105"/>
      <c r="BI861" s="105"/>
      <c r="BJ861" s="105"/>
      <c r="BK861" s="105"/>
      <c r="BL861" s="105"/>
      <c r="BM861" s="105"/>
      <c r="BN861" s="105"/>
      <c r="BO861" s="105"/>
      <c r="BP861" s="105"/>
      <c r="BQ861" s="105"/>
      <c r="BR861" s="105"/>
      <c r="BS861" s="105"/>
      <c r="BT861" s="105"/>
      <c r="BU861" s="105"/>
      <c r="BV861" s="105"/>
      <c r="BW861" s="105"/>
      <c r="BX861" s="105"/>
      <c r="BY861" s="105"/>
      <c r="BZ861" s="105"/>
      <c r="CA861" s="105"/>
      <c r="CB861" s="105"/>
      <c r="CC861" s="105"/>
      <c r="CD861" s="105"/>
      <c r="CE861" s="105"/>
      <c r="CF861" s="105"/>
      <c r="CG861" s="105"/>
      <c r="CH861" s="105"/>
      <c r="CI861" s="105"/>
      <c r="CJ861" s="105"/>
      <c r="CK861" s="105"/>
      <c r="CL861" s="105"/>
      <c r="CM861" s="105"/>
      <c r="CN861" s="105"/>
      <c r="CO861" s="105"/>
      <c r="CP861" s="105"/>
      <c r="CQ861" s="105"/>
      <c r="CR861" s="105"/>
      <c r="CS861" s="105"/>
      <c r="CT861" s="105"/>
      <c r="CU861" s="105"/>
      <c r="CV861" s="105"/>
      <c r="CW861" s="105"/>
      <c r="CX861" s="105"/>
      <c r="CY861" s="105"/>
      <c r="CZ861" s="105"/>
      <c r="DA861" s="105"/>
    </row>
    <row r="862">
      <c r="B862" s="105"/>
      <c r="F862" s="105"/>
      <c r="G862" s="105"/>
      <c r="H862" s="105"/>
      <c r="I862" s="105"/>
      <c r="J862" s="105"/>
      <c r="K862" s="105"/>
      <c r="L862" s="105"/>
      <c r="M862" s="105"/>
      <c r="N862" s="105"/>
      <c r="O862" s="105"/>
      <c r="P862" s="105"/>
      <c r="Q862" s="105"/>
      <c r="R862" s="105"/>
      <c r="S862" s="105"/>
      <c r="T862" s="105"/>
      <c r="U862" s="105"/>
      <c r="V862" s="105"/>
      <c r="W862" s="105"/>
      <c r="X862" s="105"/>
      <c r="Y862" s="105"/>
      <c r="Z862" s="105"/>
      <c r="AA862" s="105"/>
      <c r="AB862" s="105"/>
      <c r="AC862" s="105"/>
      <c r="AD862" s="105"/>
      <c r="AE862" s="105"/>
      <c r="AF862" s="105"/>
      <c r="AG862" s="105"/>
      <c r="AH862" s="105"/>
      <c r="AI862" s="105"/>
      <c r="AJ862" s="105"/>
      <c r="AK862" s="105"/>
      <c r="AL862" s="105"/>
      <c r="AM862" s="105"/>
      <c r="AN862" s="105"/>
      <c r="AO862" s="105"/>
      <c r="AP862" s="105"/>
      <c r="AQ862" s="105"/>
      <c r="AR862" s="105"/>
      <c r="AS862" s="105"/>
      <c r="AT862" s="105"/>
      <c r="AU862" s="105"/>
      <c r="AV862" s="105"/>
      <c r="AW862" s="105"/>
      <c r="AX862" s="105"/>
      <c r="AY862" s="105"/>
      <c r="AZ862" s="105"/>
      <c r="BA862" s="105"/>
      <c r="BB862" s="105"/>
      <c r="BC862" s="105"/>
      <c r="BD862" s="105"/>
      <c r="BE862" s="105"/>
      <c r="BF862" s="105"/>
      <c r="BG862" s="105"/>
      <c r="BH862" s="105"/>
      <c r="BI862" s="105"/>
      <c r="BJ862" s="105"/>
      <c r="BK862" s="105"/>
      <c r="BL862" s="105"/>
      <c r="BM862" s="105"/>
      <c r="BN862" s="105"/>
      <c r="BO862" s="105"/>
      <c r="BP862" s="105"/>
      <c r="BQ862" s="105"/>
      <c r="BR862" s="105"/>
      <c r="BS862" s="105"/>
      <c r="BT862" s="105"/>
      <c r="BU862" s="105"/>
      <c r="BV862" s="105"/>
      <c r="BW862" s="105"/>
      <c r="BX862" s="105"/>
      <c r="BY862" s="105"/>
      <c r="BZ862" s="105"/>
      <c r="CA862" s="105"/>
      <c r="CB862" s="105"/>
      <c r="CC862" s="105"/>
      <c r="CD862" s="105"/>
      <c r="CE862" s="105"/>
      <c r="CF862" s="105"/>
      <c r="CG862" s="105"/>
      <c r="CH862" s="105"/>
      <c r="CI862" s="105"/>
      <c r="CJ862" s="105"/>
      <c r="CK862" s="105"/>
      <c r="CL862" s="105"/>
      <c r="CM862" s="105"/>
      <c r="CN862" s="105"/>
      <c r="CO862" s="105"/>
      <c r="CP862" s="105"/>
      <c r="CQ862" s="105"/>
      <c r="CR862" s="105"/>
      <c r="CS862" s="105"/>
      <c r="CT862" s="105"/>
      <c r="CU862" s="105"/>
      <c r="CV862" s="105"/>
      <c r="CW862" s="105"/>
      <c r="CX862" s="105"/>
      <c r="CY862" s="105"/>
      <c r="CZ862" s="105"/>
      <c r="DA862" s="105"/>
    </row>
    <row r="863">
      <c r="B863" s="105"/>
      <c r="F863" s="105"/>
      <c r="G863" s="105"/>
      <c r="H863" s="105"/>
      <c r="I863" s="105"/>
      <c r="J863" s="105"/>
      <c r="K863" s="105"/>
      <c r="L863" s="105"/>
      <c r="M863" s="105"/>
      <c r="N863" s="105"/>
      <c r="O863" s="105"/>
      <c r="P863" s="105"/>
      <c r="Q863" s="105"/>
      <c r="R863" s="105"/>
      <c r="S863" s="105"/>
      <c r="T863" s="105"/>
      <c r="U863" s="105"/>
      <c r="V863" s="105"/>
      <c r="W863" s="105"/>
      <c r="X863" s="105"/>
      <c r="Y863" s="105"/>
      <c r="Z863" s="105"/>
      <c r="AA863" s="105"/>
      <c r="AB863" s="105"/>
      <c r="AC863" s="105"/>
      <c r="AD863" s="105"/>
      <c r="AE863" s="105"/>
      <c r="AF863" s="105"/>
      <c r="AG863" s="105"/>
      <c r="AH863" s="105"/>
      <c r="AI863" s="105"/>
      <c r="AJ863" s="105"/>
      <c r="AK863" s="105"/>
      <c r="AL863" s="105"/>
      <c r="AM863" s="105"/>
      <c r="AN863" s="105"/>
      <c r="AO863" s="105"/>
      <c r="AP863" s="105"/>
      <c r="AQ863" s="105"/>
      <c r="AR863" s="105"/>
      <c r="AS863" s="105"/>
      <c r="AT863" s="105"/>
      <c r="AU863" s="105"/>
      <c r="AV863" s="105"/>
      <c r="AW863" s="105"/>
      <c r="AX863" s="105"/>
      <c r="AY863" s="105"/>
      <c r="AZ863" s="105"/>
      <c r="BA863" s="105"/>
      <c r="BB863" s="105"/>
      <c r="BC863" s="105"/>
      <c r="BD863" s="105"/>
      <c r="BE863" s="105"/>
      <c r="BF863" s="105"/>
      <c r="BG863" s="105"/>
      <c r="BH863" s="105"/>
      <c r="BI863" s="105"/>
      <c r="BJ863" s="105"/>
      <c r="BK863" s="105"/>
      <c r="BL863" s="105"/>
      <c r="BM863" s="105"/>
      <c r="BN863" s="105"/>
      <c r="BO863" s="105"/>
      <c r="BP863" s="105"/>
      <c r="BQ863" s="105"/>
      <c r="BR863" s="105"/>
      <c r="BS863" s="105"/>
      <c r="BT863" s="105"/>
      <c r="BU863" s="105"/>
      <c r="BV863" s="105"/>
      <c r="BW863" s="105"/>
      <c r="BX863" s="105"/>
      <c r="BY863" s="105"/>
      <c r="BZ863" s="105"/>
      <c r="CA863" s="105"/>
      <c r="CB863" s="105"/>
      <c r="CC863" s="105"/>
      <c r="CD863" s="105"/>
      <c r="CE863" s="105"/>
      <c r="CF863" s="105"/>
      <c r="CG863" s="105"/>
      <c r="CH863" s="105"/>
      <c r="CI863" s="105"/>
      <c r="CJ863" s="105"/>
      <c r="CK863" s="105"/>
      <c r="CL863" s="105"/>
      <c r="CM863" s="105"/>
      <c r="CN863" s="105"/>
      <c r="CO863" s="105"/>
      <c r="CP863" s="105"/>
      <c r="CQ863" s="105"/>
      <c r="CR863" s="105"/>
      <c r="CS863" s="105"/>
      <c r="CT863" s="105"/>
      <c r="CU863" s="105"/>
      <c r="CV863" s="105"/>
      <c r="CW863" s="105"/>
      <c r="CX863" s="105"/>
      <c r="CY863" s="105"/>
      <c r="CZ863" s="105"/>
      <c r="DA863" s="105"/>
    </row>
    <row r="864">
      <c r="B864" s="105"/>
      <c r="F864" s="105"/>
      <c r="G864" s="105"/>
      <c r="H864" s="105"/>
      <c r="I864" s="105"/>
      <c r="J864" s="105"/>
      <c r="K864" s="105"/>
      <c r="L864" s="105"/>
      <c r="M864" s="105"/>
      <c r="N864" s="105"/>
      <c r="O864" s="105"/>
      <c r="P864" s="105"/>
      <c r="Q864" s="105"/>
      <c r="R864" s="105"/>
      <c r="S864" s="105"/>
      <c r="T864" s="105"/>
      <c r="U864" s="105"/>
      <c r="V864" s="105"/>
      <c r="W864" s="105"/>
      <c r="X864" s="105"/>
      <c r="Y864" s="105"/>
      <c r="Z864" s="105"/>
      <c r="AA864" s="105"/>
      <c r="AB864" s="105"/>
      <c r="AC864" s="105"/>
      <c r="AD864" s="105"/>
      <c r="AE864" s="105"/>
      <c r="AF864" s="105"/>
      <c r="AG864" s="105"/>
      <c r="AH864" s="105"/>
      <c r="AI864" s="105"/>
      <c r="AJ864" s="105"/>
      <c r="AK864" s="105"/>
      <c r="AL864" s="105"/>
      <c r="AM864" s="105"/>
      <c r="AN864" s="105"/>
      <c r="AO864" s="105"/>
      <c r="AP864" s="105"/>
      <c r="AQ864" s="105"/>
      <c r="AR864" s="105"/>
      <c r="AS864" s="105"/>
      <c r="AT864" s="105"/>
      <c r="AU864" s="105"/>
      <c r="AV864" s="105"/>
      <c r="AW864" s="105"/>
      <c r="AX864" s="105"/>
      <c r="AY864" s="105"/>
      <c r="AZ864" s="105"/>
      <c r="BA864" s="105"/>
      <c r="BB864" s="105"/>
      <c r="BC864" s="105"/>
      <c r="BD864" s="105"/>
      <c r="BE864" s="105"/>
      <c r="BF864" s="105"/>
      <c r="BG864" s="105"/>
      <c r="BH864" s="105"/>
      <c r="BI864" s="105"/>
      <c r="BJ864" s="105"/>
      <c r="BK864" s="105"/>
      <c r="BL864" s="105"/>
      <c r="BM864" s="105"/>
      <c r="BN864" s="105"/>
      <c r="BO864" s="105"/>
      <c r="BP864" s="105"/>
      <c r="BQ864" s="105"/>
      <c r="BR864" s="105"/>
      <c r="BS864" s="105"/>
      <c r="BT864" s="105"/>
      <c r="BU864" s="105"/>
      <c r="BV864" s="105"/>
      <c r="BW864" s="105"/>
      <c r="BX864" s="105"/>
      <c r="BY864" s="105"/>
      <c r="BZ864" s="105"/>
      <c r="CA864" s="105"/>
      <c r="CB864" s="105"/>
      <c r="CC864" s="105"/>
      <c r="CD864" s="105"/>
      <c r="CE864" s="105"/>
      <c r="CF864" s="105"/>
      <c r="CG864" s="105"/>
      <c r="CH864" s="105"/>
      <c r="CI864" s="105"/>
      <c r="CJ864" s="105"/>
      <c r="CK864" s="105"/>
      <c r="CL864" s="105"/>
      <c r="CM864" s="105"/>
      <c r="CN864" s="105"/>
      <c r="CO864" s="105"/>
      <c r="CP864" s="105"/>
      <c r="CQ864" s="105"/>
      <c r="CR864" s="105"/>
      <c r="CS864" s="105"/>
      <c r="CT864" s="105"/>
      <c r="CU864" s="105"/>
      <c r="CV864" s="105"/>
      <c r="CW864" s="105"/>
      <c r="CX864" s="105"/>
      <c r="CY864" s="105"/>
      <c r="CZ864" s="105"/>
      <c r="DA864" s="105"/>
    </row>
    <row r="865">
      <c r="B865" s="105"/>
      <c r="F865" s="105"/>
      <c r="G865" s="105"/>
      <c r="H865" s="105"/>
      <c r="I865" s="105"/>
      <c r="J865" s="105"/>
      <c r="K865" s="105"/>
      <c r="L865" s="105"/>
      <c r="M865" s="105"/>
      <c r="N865" s="105"/>
      <c r="O865" s="105"/>
      <c r="P865" s="105"/>
      <c r="Q865" s="105"/>
      <c r="R865" s="105"/>
      <c r="S865" s="105"/>
      <c r="T865" s="105"/>
      <c r="U865" s="105"/>
      <c r="V865" s="105"/>
      <c r="W865" s="105"/>
      <c r="X865" s="105"/>
      <c r="Y865" s="105"/>
      <c r="Z865" s="105"/>
      <c r="AA865" s="105"/>
      <c r="AB865" s="105"/>
      <c r="AC865" s="105"/>
      <c r="AD865" s="105"/>
      <c r="AE865" s="105"/>
      <c r="AF865" s="105"/>
      <c r="AG865" s="105"/>
      <c r="AH865" s="105"/>
      <c r="AI865" s="105"/>
      <c r="AJ865" s="105"/>
      <c r="AK865" s="105"/>
      <c r="AL865" s="105"/>
      <c r="AM865" s="105"/>
      <c r="AN865" s="105"/>
      <c r="AO865" s="105"/>
      <c r="AP865" s="105"/>
      <c r="AQ865" s="105"/>
      <c r="AR865" s="105"/>
      <c r="AS865" s="105"/>
      <c r="AT865" s="105"/>
      <c r="AU865" s="105"/>
      <c r="AV865" s="105"/>
      <c r="AW865" s="105"/>
      <c r="AX865" s="105"/>
      <c r="AY865" s="105"/>
      <c r="AZ865" s="105"/>
      <c r="BA865" s="105"/>
      <c r="BB865" s="105"/>
      <c r="BC865" s="105"/>
      <c r="BD865" s="105"/>
      <c r="BE865" s="105"/>
      <c r="BF865" s="105"/>
      <c r="BG865" s="105"/>
      <c r="BH865" s="105"/>
      <c r="BI865" s="105"/>
      <c r="BJ865" s="105"/>
      <c r="BK865" s="105"/>
      <c r="BL865" s="105"/>
      <c r="BM865" s="105"/>
      <c r="BN865" s="105"/>
      <c r="BO865" s="105"/>
      <c r="BP865" s="105"/>
      <c r="BQ865" s="105"/>
      <c r="BR865" s="105"/>
      <c r="BS865" s="105"/>
      <c r="BT865" s="105"/>
      <c r="BU865" s="105"/>
      <c r="BV865" s="105"/>
      <c r="BW865" s="105"/>
      <c r="BX865" s="105"/>
      <c r="BY865" s="105"/>
      <c r="BZ865" s="105"/>
      <c r="CA865" s="105"/>
      <c r="CB865" s="105"/>
      <c r="CC865" s="105"/>
      <c r="CD865" s="105"/>
      <c r="CE865" s="105"/>
      <c r="CF865" s="105"/>
      <c r="CG865" s="105"/>
      <c r="CH865" s="105"/>
      <c r="CI865" s="105"/>
      <c r="CJ865" s="105"/>
      <c r="CK865" s="105"/>
      <c r="CL865" s="105"/>
      <c r="CM865" s="105"/>
      <c r="CN865" s="105"/>
      <c r="CO865" s="105"/>
      <c r="CP865" s="105"/>
      <c r="CQ865" s="105"/>
      <c r="CR865" s="105"/>
      <c r="CS865" s="105"/>
      <c r="CT865" s="105"/>
      <c r="CU865" s="105"/>
      <c r="CV865" s="105"/>
      <c r="CW865" s="105"/>
      <c r="CX865" s="105"/>
      <c r="CY865" s="105"/>
      <c r="CZ865" s="105"/>
      <c r="DA865" s="105"/>
    </row>
    <row r="866">
      <c r="B866" s="105"/>
      <c r="F866" s="105"/>
      <c r="G866" s="105"/>
      <c r="H866" s="105"/>
      <c r="I866" s="105"/>
      <c r="J866" s="105"/>
      <c r="K866" s="105"/>
      <c r="L866" s="105"/>
      <c r="M866" s="105"/>
      <c r="N866" s="105"/>
      <c r="O866" s="105"/>
      <c r="P866" s="105"/>
      <c r="Q866" s="105"/>
      <c r="R866" s="105"/>
      <c r="S866" s="105"/>
      <c r="T866" s="105"/>
      <c r="U866" s="105"/>
      <c r="V866" s="105"/>
      <c r="W866" s="105"/>
      <c r="X866" s="105"/>
      <c r="Y866" s="105"/>
      <c r="Z866" s="105"/>
      <c r="AA866" s="105"/>
      <c r="AB866" s="105"/>
      <c r="AC866" s="105"/>
      <c r="AD866" s="105"/>
      <c r="AE866" s="105"/>
      <c r="AF866" s="105"/>
      <c r="AG866" s="105"/>
      <c r="AH866" s="105"/>
      <c r="AI866" s="105"/>
      <c r="AJ866" s="105"/>
      <c r="AK866" s="105"/>
      <c r="AL866" s="105"/>
      <c r="AM866" s="105"/>
      <c r="AN866" s="105"/>
      <c r="AO866" s="105"/>
      <c r="AP866" s="105"/>
      <c r="AQ866" s="105"/>
      <c r="AR866" s="105"/>
      <c r="AS866" s="105"/>
      <c r="AT866" s="105"/>
      <c r="AU866" s="105"/>
      <c r="AV866" s="105"/>
      <c r="AW866" s="105"/>
      <c r="AX866" s="105"/>
      <c r="AY866" s="105"/>
      <c r="AZ866" s="105"/>
      <c r="BA866" s="105"/>
      <c r="BB866" s="105"/>
      <c r="BC866" s="105"/>
      <c r="BD866" s="105"/>
      <c r="BE866" s="105"/>
      <c r="BF866" s="105"/>
      <c r="BG866" s="105"/>
      <c r="BH866" s="105"/>
      <c r="BI866" s="105"/>
      <c r="BJ866" s="105"/>
      <c r="BK866" s="105"/>
      <c r="BL866" s="105"/>
      <c r="BM866" s="105"/>
      <c r="BN866" s="105"/>
      <c r="BO866" s="105"/>
      <c r="BP866" s="105"/>
      <c r="BQ866" s="105"/>
      <c r="BR866" s="105"/>
      <c r="BS866" s="105"/>
      <c r="BT866" s="105"/>
      <c r="BU866" s="105"/>
      <c r="BV866" s="105"/>
      <c r="BW866" s="105"/>
      <c r="BX866" s="105"/>
      <c r="BY866" s="105"/>
      <c r="BZ866" s="105"/>
      <c r="CA866" s="105"/>
      <c r="CB866" s="105"/>
      <c r="CC866" s="105"/>
      <c r="CD866" s="105"/>
      <c r="CE866" s="105"/>
      <c r="CF866" s="105"/>
      <c r="CG866" s="105"/>
      <c r="CH866" s="105"/>
      <c r="CI866" s="105"/>
      <c r="CJ866" s="105"/>
      <c r="CK866" s="105"/>
      <c r="CL866" s="105"/>
      <c r="CM866" s="105"/>
      <c r="CN866" s="105"/>
      <c r="CO866" s="105"/>
      <c r="CP866" s="105"/>
      <c r="CQ866" s="105"/>
      <c r="CR866" s="105"/>
      <c r="CS866" s="105"/>
      <c r="CT866" s="105"/>
      <c r="CU866" s="105"/>
      <c r="CV866" s="105"/>
      <c r="CW866" s="105"/>
      <c r="CX866" s="105"/>
      <c r="CY866" s="105"/>
      <c r="CZ866" s="105"/>
      <c r="DA866" s="105"/>
    </row>
    <row r="867">
      <c r="B867" s="105"/>
      <c r="F867" s="105"/>
      <c r="G867" s="105"/>
      <c r="H867" s="105"/>
      <c r="I867" s="105"/>
      <c r="J867" s="105"/>
      <c r="K867" s="105"/>
      <c r="L867" s="105"/>
      <c r="M867" s="105"/>
      <c r="N867" s="105"/>
      <c r="O867" s="105"/>
      <c r="P867" s="105"/>
      <c r="Q867" s="105"/>
      <c r="R867" s="105"/>
      <c r="S867" s="105"/>
      <c r="T867" s="105"/>
      <c r="U867" s="105"/>
      <c r="V867" s="105"/>
      <c r="W867" s="105"/>
      <c r="X867" s="105"/>
      <c r="Y867" s="105"/>
      <c r="Z867" s="105"/>
      <c r="AA867" s="105"/>
      <c r="AB867" s="105"/>
      <c r="AC867" s="105"/>
      <c r="AD867" s="105"/>
      <c r="AE867" s="105"/>
      <c r="AF867" s="105"/>
      <c r="AG867" s="105"/>
      <c r="AH867" s="105"/>
      <c r="AI867" s="105"/>
      <c r="AJ867" s="105"/>
      <c r="AK867" s="105"/>
      <c r="AL867" s="105"/>
      <c r="AM867" s="105"/>
      <c r="AN867" s="105"/>
      <c r="AO867" s="105"/>
      <c r="AP867" s="105"/>
      <c r="AQ867" s="105"/>
      <c r="AR867" s="105"/>
      <c r="AS867" s="105"/>
      <c r="AT867" s="105"/>
      <c r="AU867" s="105"/>
      <c r="AV867" s="105"/>
      <c r="AW867" s="105"/>
      <c r="AX867" s="105"/>
      <c r="AY867" s="105"/>
      <c r="AZ867" s="105"/>
      <c r="BA867" s="105"/>
      <c r="BB867" s="105"/>
      <c r="BC867" s="105"/>
      <c r="BD867" s="105"/>
      <c r="BE867" s="105"/>
      <c r="BF867" s="105"/>
      <c r="BG867" s="105"/>
      <c r="BH867" s="105"/>
      <c r="BI867" s="105"/>
      <c r="BJ867" s="105"/>
      <c r="BK867" s="105"/>
      <c r="BL867" s="105"/>
      <c r="BM867" s="105"/>
      <c r="BN867" s="105"/>
      <c r="BO867" s="105"/>
      <c r="BP867" s="105"/>
      <c r="BQ867" s="105"/>
      <c r="BR867" s="105"/>
      <c r="BS867" s="105"/>
      <c r="BT867" s="105"/>
      <c r="BU867" s="105"/>
      <c r="BV867" s="105"/>
      <c r="BW867" s="105"/>
      <c r="BX867" s="105"/>
      <c r="BY867" s="105"/>
      <c r="BZ867" s="105"/>
      <c r="CA867" s="105"/>
      <c r="CB867" s="105"/>
      <c r="CC867" s="105"/>
      <c r="CD867" s="105"/>
      <c r="CE867" s="105"/>
      <c r="CF867" s="105"/>
      <c r="CG867" s="105"/>
      <c r="CH867" s="105"/>
      <c r="CI867" s="105"/>
      <c r="CJ867" s="105"/>
      <c r="CK867" s="105"/>
      <c r="CL867" s="105"/>
      <c r="CM867" s="105"/>
      <c r="CN867" s="105"/>
      <c r="CO867" s="105"/>
      <c r="CP867" s="105"/>
      <c r="CQ867" s="105"/>
      <c r="CR867" s="105"/>
      <c r="CS867" s="105"/>
      <c r="CT867" s="105"/>
      <c r="CU867" s="105"/>
      <c r="CV867" s="105"/>
      <c r="CW867" s="105"/>
      <c r="CX867" s="105"/>
      <c r="CY867" s="105"/>
      <c r="CZ867" s="105"/>
      <c r="DA867" s="105"/>
    </row>
    <row r="868">
      <c r="B868" s="105"/>
      <c r="F868" s="105"/>
      <c r="G868" s="105"/>
      <c r="H868" s="105"/>
      <c r="I868" s="105"/>
      <c r="J868" s="105"/>
      <c r="K868" s="105"/>
      <c r="L868" s="105"/>
      <c r="M868" s="105"/>
      <c r="N868" s="105"/>
      <c r="O868" s="105"/>
      <c r="P868" s="105"/>
      <c r="Q868" s="105"/>
      <c r="R868" s="105"/>
      <c r="S868" s="105"/>
      <c r="T868" s="105"/>
      <c r="U868" s="105"/>
      <c r="V868" s="105"/>
      <c r="W868" s="105"/>
      <c r="X868" s="105"/>
      <c r="Y868" s="105"/>
      <c r="Z868" s="105"/>
      <c r="AA868" s="105"/>
      <c r="AB868" s="105"/>
      <c r="AC868" s="105"/>
      <c r="AD868" s="105"/>
      <c r="AE868" s="105"/>
      <c r="AF868" s="105"/>
      <c r="AG868" s="105"/>
      <c r="AH868" s="105"/>
      <c r="AI868" s="105"/>
      <c r="AJ868" s="105"/>
      <c r="AK868" s="105"/>
      <c r="AL868" s="105"/>
      <c r="AM868" s="105"/>
      <c r="AN868" s="105"/>
      <c r="AO868" s="105"/>
      <c r="AP868" s="105"/>
      <c r="AQ868" s="105"/>
      <c r="AR868" s="105"/>
      <c r="AS868" s="105"/>
      <c r="AT868" s="105"/>
      <c r="AU868" s="105"/>
      <c r="AV868" s="105"/>
      <c r="AW868" s="105"/>
      <c r="AX868" s="105"/>
      <c r="AY868" s="105"/>
      <c r="AZ868" s="105"/>
      <c r="BA868" s="105"/>
      <c r="BB868" s="105"/>
      <c r="BC868" s="105"/>
      <c r="BD868" s="105"/>
      <c r="BE868" s="105"/>
      <c r="BF868" s="105"/>
      <c r="BG868" s="105"/>
      <c r="BH868" s="105"/>
      <c r="BI868" s="105"/>
      <c r="BJ868" s="105"/>
      <c r="BK868" s="105"/>
      <c r="BL868" s="105"/>
      <c r="BM868" s="105"/>
      <c r="BN868" s="105"/>
      <c r="BO868" s="105"/>
      <c r="BP868" s="105"/>
      <c r="BQ868" s="105"/>
      <c r="BR868" s="105"/>
      <c r="BS868" s="105"/>
      <c r="BT868" s="105"/>
      <c r="BU868" s="105"/>
      <c r="BV868" s="105"/>
      <c r="BW868" s="105"/>
      <c r="BX868" s="105"/>
      <c r="BY868" s="105"/>
      <c r="BZ868" s="105"/>
      <c r="CA868" s="105"/>
      <c r="CB868" s="105"/>
      <c r="CC868" s="105"/>
      <c r="CD868" s="105"/>
      <c r="CE868" s="105"/>
      <c r="CF868" s="105"/>
      <c r="CG868" s="105"/>
      <c r="CH868" s="105"/>
      <c r="CI868" s="105"/>
      <c r="CJ868" s="105"/>
      <c r="CK868" s="105"/>
      <c r="CL868" s="105"/>
      <c r="CM868" s="105"/>
      <c r="CN868" s="105"/>
      <c r="CO868" s="105"/>
      <c r="CP868" s="105"/>
      <c r="CQ868" s="105"/>
      <c r="CR868" s="105"/>
      <c r="CS868" s="105"/>
      <c r="CT868" s="105"/>
      <c r="CU868" s="105"/>
      <c r="CV868" s="105"/>
      <c r="CW868" s="105"/>
      <c r="CX868" s="105"/>
      <c r="CY868" s="105"/>
      <c r="CZ868" s="105"/>
      <c r="DA868" s="105"/>
    </row>
    <row r="869">
      <c r="B869" s="105"/>
      <c r="F869" s="105"/>
      <c r="G869" s="105"/>
      <c r="H869" s="105"/>
      <c r="I869" s="105"/>
      <c r="J869" s="105"/>
      <c r="K869" s="105"/>
      <c r="L869" s="105"/>
      <c r="M869" s="105"/>
      <c r="N869" s="105"/>
      <c r="O869" s="105"/>
      <c r="P869" s="105"/>
      <c r="Q869" s="105"/>
      <c r="R869" s="105"/>
      <c r="S869" s="105"/>
      <c r="T869" s="105"/>
      <c r="U869" s="105"/>
      <c r="V869" s="105"/>
      <c r="W869" s="105"/>
      <c r="X869" s="105"/>
      <c r="Y869" s="105"/>
      <c r="Z869" s="105"/>
      <c r="AA869" s="105"/>
      <c r="AB869" s="105"/>
      <c r="AC869" s="105"/>
      <c r="AD869" s="105"/>
      <c r="AE869" s="105"/>
      <c r="AF869" s="105"/>
      <c r="AG869" s="105"/>
      <c r="AH869" s="105"/>
      <c r="AI869" s="105"/>
      <c r="AJ869" s="105"/>
      <c r="AK869" s="105"/>
      <c r="AL869" s="105"/>
      <c r="AM869" s="105"/>
      <c r="AN869" s="105"/>
      <c r="AO869" s="105"/>
      <c r="AP869" s="105"/>
      <c r="AQ869" s="105"/>
      <c r="AR869" s="105"/>
      <c r="AS869" s="105"/>
      <c r="AT869" s="105"/>
      <c r="AU869" s="105"/>
      <c r="AV869" s="105"/>
      <c r="AW869" s="105"/>
      <c r="AX869" s="105"/>
      <c r="AY869" s="105"/>
      <c r="AZ869" s="105"/>
      <c r="BA869" s="105"/>
      <c r="BB869" s="105"/>
      <c r="BC869" s="105"/>
      <c r="BD869" s="105"/>
      <c r="BE869" s="105"/>
      <c r="BF869" s="105"/>
      <c r="BG869" s="105"/>
      <c r="BH869" s="105"/>
      <c r="BI869" s="105"/>
      <c r="BJ869" s="105"/>
      <c r="BK869" s="105"/>
      <c r="BL869" s="105"/>
      <c r="BM869" s="105"/>
      <c r="BN869" s="105"/>
      <c r="BO869" s="105"/>
      <c r="BP869" s="105"/>
      <c r="BQ869" s="105"/>
      <c r="BR869" s="105"/>
      <c r="BS869" s="105"/>
      <c r="BT869" s="105"/>
      <c r="BU869" s="105"/>
      <c r="BV869" s="105"/>
      <c r="BW869" s="105"/>
      <c r="BX869" s="105"/>
      <c r="BY869" s="105"/>
      <c r="BZ869" s="105"/>
      <c r="CA869" s="105"/>
      <c r="CB869" s="105"/>
      <c r="CC869" s="105"/>
      <c r="CD869" s="105"/>
      <c r="CE869" s="105"/>
      <c r="CF869" s="105"/>
      <c r="CG869" s="105"/>
      <c r="CH869" s="105"/>
      <c r="CI869" s="105"/>
      <c r="CJ869" s="105"/>
      <c r="CK869" s="105"/>
      <c r="CL869" s="105"/>
      <c r="CM869" s="105"/>
      <c r="CN869" s="105"/>
      <c r="CO869" s="105"/>
      <c r="CP869" s="105"/>
      <c r="CQ869" s="105"/>
      <c r="CR869" s="105"/>
      <c r="CS869" s="105"/>
      <c r="CT869" s="105"/>
      <c r="CU869" s="105"/>
      <c r="CV869" s="105"/>
      <c r="CW869" s="105"/>
      <c r="CX869" s="105"/>
      <c r="CY869" s="105"/>
      <c r="CZ869" s="105"/>
      <c r="DA869" s="105"/>
    </row>
    <row r="870">
      <c r="B870" s="105"/>
      <c r="F870" s="105"/>
      <c r="G870" s="105"/>
      <c r="H870" s="105"/>
      <c r="I870" s="105"/>
      <c r="J870" s="105"/>
      <c r="K870" s="105"/>
      <c r="L870" s="105"/>
      <c r="M870" s="105"/>
      <c r="N870" s="105"/>
      <c r="O870" s="105"/>
      <c r="P870" s="105"/>
      <c r="Q870" s="105"/>
      <c r="R870" s="105"/>
      <c r="S870" s="105"/>
      <c r="T870" s="105"/>
      <c r="U870" s="105"/>
      <c r="V870" s="105"/>
      <c r="W870" s="105"/>
      <c r="X870" s="105"/>
      <c r="Y870" s="105"/>
      <c r="Z870" s="105"/>
      <c r="AA870" s="105"/>
      <c r="AB870" s="105"/>
      <c r="AC870" s="105"/>
      <c r="AD870" s="105"/>
      <c r="AE870" s="105"/>
      <c r="AF870" s="105"/>
      <c r="AG870" s="105"/>
      <c r="AH870" s="105"/>
      <c r="AI870" s="105"/>
      <c r="AJ870" s="105"/>
      <c r="AK870" s="105"/>
      <c r="AL870" s="105"/>
      <c r="AM870" s="105"/>
      <c r="AN870" s="105"/>
      <c r="AO870" s="105"/>
      <c r="AP870" s="105"/>
      <c r="AQ870" s="105"/>
      <c r="AR870" s="105"/>
      <c r="AS870" s="105"/>
      <c r="AT870" s="105"/>
      <c r="AU870" s="105"/>
      <c r="AV870" s="105"/>
      <c r="AW870" s="105"/>
      <c r="AX870" s="105"/>
      <c r="AY870" s="105"/>
      <c r="AZ870" s="105"/>
      <c r="BA870" s="105"/>
      <c r="BB870" s="105"/>
      <c r="BC870" s="105"/>
      <c r="BD870" s="105"/>
      <c r="BE870" s="105"/>
      <c r="BF870" s="105"/>
      <c r="BG870" s="105"/>
      <c r="BH870" s="105"/>
      <c r="BI870" s="105"/>
      <c r="BJ870" s="105"/>
      <c r="BK870" s="105"/>
      <c r="BL870" s="105"/>
      <c r="BM870" s="105"/>
      <c r="BN870" s="105"/>
      <c r="BO870" s="105"/>
      <c r="BP870" s="105"/>
      <c r="BQ870" s="105"/>
      <c r="BR870" s="105"/>
      <c r="BS870" s="105"/>
      <c r="BT870" s="105"/>
      <c r="BU870" s="105"/>
      <c r="BV870" s="105"/>
      <c r="BW870" s="105"/>
      <c r="BX870" s="105"/>
      <c r="BY870" s="105"/>
      <c r="BZ870" s="105"/>
      <c r="CA870" s="105"/>
      <c r="CB870" s="105"/>
      <c r="CC870" s="105"/>
      <c r="CD870" s="105"/>
      <c r="CE870" s="105"/>
      <c r="CF870" s="105"/>
      <c r="CG870" s="105"/>
      <c r="CH870" s="105"/>
      <c r="CI870" s="105"/>
      <c r="CJ870" s="105"/>
      <c r="CK870" s="105"/>
      <c r="CL870" s="105"/>
      <c r="CM870" s="105"/>
      <c r="CN870" s="105"/>
      <c r="CO870" s="105"/>
      <c r="CP870" s="105"/>
      <c r="CQ870" s="105"/>
      <c r="CR870" s="105"/>
      <c r="CS870" s="105"/>
      <c r="CT870" s="105"/>
      <c r="CU870" s="105"/>
      <c r="CV870" s="105"/>
      <c r="CW870" s="105"/>
      <c r="CX870" s="105"/>
      <c r="CY870" s="105"/>
      <c r="CZ870" s="105"/>
      <c r="DA870" s="105"/>
    </row>
    <row r="871">
      <c r="B871" s="105"/>
      <c r="F871" s="105"/>
      <c r="G871" s="105"/>
      <c r="H871" s="105"/>
      <c r="I871" s="105"/>
      <c r="J871" s="105"/>
      <c r="K871" s="105"/>
      <c r="L871" s="105"/>
      <c r="M871" s="105"/>
      <c r="N871" s="105"/>
      <c r="O871" s="105"/>
      <c r="P871" s="105"/>
      <c r="Q871" s="105"/>
      <c r="R871" s="105"/>
      <c r="S871" s="105"/>
      <c r="T871" s="105"/>
      <c r="U871" s="105"/>
      <c r="V871" s="105"/>
      <c r="W871" s="105"/>
      <c r="X871" s="105"/>
      <c r="Y871" s="105"/>
      <c r="Z871" s="105"/>
      <c r="AA871" s="105"/>
      <c r="AB871" s="105"/>
      <c r="AC871" s="105"/>
      <c r="AD871" s="105"/>
      <c r="AE871" s="105"/>
      <c r="AF871" s="105"/>
      <c r="AG871" s="105"/>
      <c r="AH871" s="105"/>
      <c r="AI871" s="105"/>
      <c r="AJ871" s="105"/>
      <c r="AK871" s="105"/>
      <c r="AL871" s="105"/>
      <c r="AM871" s="105"/>
      <c r="AN871" s="105"/>
      <c r="AO871" s="105"/>
      <c r="AP871" s="105"/>
      <c r="AQ871" s="105"/>
      <c r="AR871" s="105"/>
      <c r="AS871" s="105"/>
      <c r="AT871" s="105"/>
      <c r="AU871" s="105"/>
      <c r="AV871" s="105"/>
      <c r="AW871" s="105"/>
      <c r="AX871" s="105"/>
      <c r="AY871" s="105"/>
      <c r="AZ871" s="105"/>
      <c r="BA871" s="105"/>
      <c r="BB871" s="105"/>
      <c r="BC871" s="105"/>
      <c r="BD871" s="105"/>
      <c r="BE871" s="105"/>
      <c r="BF871" s="105"/>
      <c r="BG871" s="105"/>
      <c r="BH871" s="105"/>
      <c r="BI871" s="105"/>
      <c r="BJ871" s="105"/>
      <c r="BK871" s="105"/>
      <c r="BL871" s="105"/>
      <c r="BM871" s="105"/>
      <c r="BN871" s="105"/>
      <c r="BO871" s="105"/>
      <c r="BP871" s="105"/>
      <c r="BQ871" s="105"/>
      <c r="BR871" s="105"/>
      <c r="BS871" s="105"/>
      <c r="BT871" s="105"/>
      <c r="BU871" s="105"/>
      <c r="BV871" s="105"/>
      <c r="BW871" s="105"/>
      <c r="BX871" s="105"/>
      <c r="BY871" s="105"/>
      <c r="BZ871" s="105"/>
      <c r="CA871" s="105"/>
      <c r="CB871" s="105"/>
      <c r="CC871" s="105"/>
      <c r="CD871" s="105"/>
      <c r="CE871" s="105"/>
      <c r="CF871" s="105"/>
      <c r="CG871" s="105"/>
      <c r="CH871" s="105"/>
      <c r="CI871" s="105"/>
      <c r="CJ871" s="105"/>
      <c r="CK871" s="105"/>
      <c r="CL871" s="105"/>
      <c r="CM871" s="105"/>
      <c r="CN871" s="105"/>
      <c r="CO871" s="105"/>
      <c r="CP871" s="105"/>
      <c r="CQ871" s="105"/>
      <c r="CR871" s="105"/>
      <c r="CS871" s="105"/>
      <c r="CT871" s="105"/>
      <c r="CU871" s="105"/>
      <c r="CV871" s="105"/>
      <c r="CW871" s="105"/>
      <c r="CX871" s="105"/>
      <c r="CY871" s="105"/>
      <c r="CZ871" s="105"/>
      <c r="DA871" s="105"/>
    </row>
    <row r="872">
      <c r="B872" s="105"/>
      <c r="F872" s="105"/>
      <c r="G872" s="105"/>
      <c r="H872" s="105"/>
      <c r="I872" s="105"/>
      <c r="J872" s="105"/>
      <c r="K872" s="105"/>
      <c r="L872" s="105"/>
      <c r="M872" s="105"/>
      <c r="N872" s="105"/>
      <c r="O872" s="105"/>
      <c r="P872" s="105"/>
      <c r="Q872" s="105"/>
      <c r="R872" s="105"/>
      <c r="S872" s="105"/>
      <c r="T872" s="105"/>
      <c r="U872" s="105"/>
      <c r="V872" s="105"/>
      <c r="W872" s="105"/>
      <c r="X872" s="105"/>
      <c r="Y872" s="105"/>
      <c r="Z872" s="105"/>
      <c r="AA872" s="105"/>
      <c r="AB872" s="105"/>
      <c r="AC872" s="105"/>
      <c r="AD872" s="105"/>
      <c r="AE872" s="105"/>
      <c r="AF872" s="105"/>
      <c r="AG872" s="105"/>
      <c r="AH872" s="105"/>
      <c r="AI872" s="105"/>
      <c r="AJ872" s="105"/>
      <c r="AK872" s="105"/>
      <c r="AL872" s="105"/>
      <c r="AM872" s="105"/>
      <c r="AN872" s="105"/>
      <c r="AO872" s="105"/>
      <c r="AP872" s="105"/>
      <c r="AQ872" s="105"/>
      <c r="AR872" s="105"/>
      <c r="AS872" s="105"/>
      <c r="AT872" s="105"/>
      <c r="AU872" s="105"/>
      <c r="AV872" s="105"/>
      <c r="AW872" s="105"/>
      <c r="AX872" s="105"/>
      <c r="AY872" s="105"/>
      <c r="AZ872" s="105"/>
      <c r="BA872" s="105"/>
      <c r="BB872" s="105"/>
      <c r="BC872" s="105"/>
      <c r="BD872" s="105"/>
      <c r="BE872" s="105"/>
      <c r="BF872" s="105"/>
      <c r="BG872" s="105"/>
      <c r="BH872" s="105"/>
      <c r="BI872" s="105"/>
      <c r="BJ872" s="105"/>
      <c r="BK872" s="105"/>
      <c r="BL872" s="105"/>
      <c r="BM872" s="105"/>
      <c r="BN872" s="105"/>
      <c r="BO872" s="105"/>
      <c r="BP872" s="105"/>
      <c r="BQ872" s="105"/>
      <c r="BR872" s="105"/>
      <c r="BS872" s="105"/>
      <c r="BT872" s="105"/>
      <c r="BU872" s="105"/>
      <c r="BV872" s="105"/>
      <c r="BW872" s="105"/>
      <c r="BX872" s="105"/>
      <c r="BY872" s="105"/>
      <c r="BZ872" s="105"/>
      <c r="CA872" s="105"/>
      <c r="CB872" s="105"/>
      <c r="CC872" s="105"/>
      <c r="CD872" s="105"/>
      <c r="CE872" s="105"/>
      <c r="CF872" s="105"/>
      <c r="CG872" s="105"/>
      <c r="CH872" s="105"/>
      <c r="CI872" s="105"/>
      <c r="CJ872" s="105"/>
      <c r="CK872" s="105"/>
      <c r="CL872" s="105"/>
      <c r="CM872" s="105"/>
      <c r="CN872" s="105"/>
      <c r="CO872" s="105"/>
      <c r="CP872" s="105"/>
      <c r="CQ872" s="105"/>
      <c r="CR872" s="105"/>
      <c r="CS872" s="105"/>
      <c r="CT872" s="105"/>
      <c r="CU872" s="105"/>
      <c r="CV872" s="105"/>
      <c r="CW872" s="105"/>
      <c r="CX872" s="105"/>
      <c r="CY872" s="105"/>
      <c r="CZ872" s="105"/>
      <c r="DA872" s="105"/>
    </row>
    <row r="873">
      <c r="B873" s="105"/>
      <c r="F873" s="105"/>
      <c r="G873" s="105"/>
      <c r="H873" s="105"/>
      <c r="I873" s="105"/>
      <c r="J873" s="105"/>
      <c r="K873" s="105"/>
      <c r="L873" s="105"/>
      <c r="M873" s="105"/>
      <c r="N873" s="105"/>
      <c r="O873" s="105"/>
      <c r="P873" s="105"/>
      <c r="Q873" s="105"/>
      <c r="R873" s="105"/>
      <c r="S873" s="105"/>
      <c r="T873" s="105"/>
      <c r="U873" s="105"/>
      <c r="V873" s="105"/>
      <c r="W873" s="105"/>
      <c r="X873" s="105"/>
      <c r="Y873" s="105"/>
      <c r="Z873" s="105"/>
      <c r="AA873" s="105"/>
      <c r="AB873" s="105"/>
      <c r="AC873" s="105"/>
      <c r="AD873" s="105"/>
      <c r="AE873" s="105"/>
      <c r="AF873" s="105"/>
      <c r="AG873" s="105"/>
      <c r="AH873" s="105"/>
      <c r="AI873" s="105"/>
      <c r="AJ873" s="105"/>
      <c r="AK873" s="105"/>
      <c r="AL873" s="105"/>
      <c r="AM873" s="105"/>
      <c r="AN873" s="105"/>
      <c r="AO873" s="105"/>
      <c r="AP873" s="105"/>
      <c r="AQ873" s="105"/>
      <c r="AR873" s="105"/>
      <c r="AS873" s="105"/>
      <c r="AT873" s="105"/>
      <c r="AU873" s="105"/>
      <c r="AV873" s="105"/>
      <c r="AW873" s="105"/>
      <c r="AX873" s="105"/>
      <c r="AY873" s="105"/>
      <c r="AZ873" s="105"/>
      <c r="BA873" s="105"/>
      <c r="BB873" s="105"/>
      <c r="BC873" s="105"/>
      <c r="BD873" s="105"/>
      <c r="BE873" s="105"/>
      <c r="BF873" s="105"/>
      <c r="BG873" s="105"/>
      <c r="BH873" s="105"/>
      <c r="BI873" s="105"/>
      <c r="BJ873" s="105"/>
      <c r="BK873" s="105"/>
      <c r="BL873" s="105"/>
      <c r="BM873" s="105"/>
      <c r="BN873" s="105"/>
      <c r="BO873" s="105"/>
      <c r="BP873" s="105"/>
      <c r="BQ873" s="105"/>
      <c r="BR873" s="105"/>
      <c r="BS873" s="105"/>
      <c r="BT873" s="105"/>
      <c r="BU873" s="105"/>
      <c r="BV873" s="105"/>
      <c r="BW873" s="105"/>
      <c r="BX873" s="105"/>
      <c r="BY873" s="105"/>
      <c r="BZ873" s="105"/>
      <c r="CA873" s="105"/>
      <c r="CB873" s="105"/>
      <c r="CC873" s="105"/>
      <c r="CD873" s="105"/>
      <c r="CE873" s="105"/>
      <c r="CF873" s="105"/>
      <c r="CG873" s="105"/>
      <c r="CH873" s="105"/>
      <c r="CI873" s="105"/>
      <c r="CJ873" s="105"/>
      <c r="CK873" s="105"/>
      <c r="CL873" s="105"/>
      <c r="CM873" s="105"/>
      <c r="CN873" s="105"/>
      <c r="CO873" s="105"/>
      <c r="CP873" s="105"/>
      <c r="CQ873" s="105"/>
      <c r="CR873" s="105"/>
      <c r="CS873" s="105"/>
      <c r="CT873" s="105"/>
      <c r="CU873" s="105"/>
      <c r="CV873" s="105"/>
      <c r="CW873" s="105"/>
      <c r="CX873" s="105"/>
      <c r="CY873" s="105"/>
      <c r="CZ873" s="105"/>
      <c r="DA873" s="105"/>
    </row>
    <row r="874">
      <c r="B874" s="105"/>
      <c r="F874" s="105"/>
      <c r="G874" s="105"/>
      <c r="H874" s="105"/>
      <c r="I874" s="105"/>
      <c r="J874" s="105"/>
      <c r="K874" s="105"/>
      <c r="L874" s="105"/>
      <c r="M874" s="105"/>
      <c r="N874" s="105"/>
      <c r="O874" s="105"/>
      <c r="P874" s="105"/>
      <c r="Q874" s="105"/>
      <c r="R874" s="105"/>
      <c r="S874" s="105"/>
      <c r="T874" s="105"/>
      <c r="U874" s="105"/>
      <c r="V874" s="105"/>
      <c r="W874" s="105"/>
      <c r="X874" s="105"/>
      <c r="Y874" s="105"/>
      <c r="Z874" s="105"/>
      <c r="AA874" s="105"/>
      <c r="AB874" s="105"/>
      <c r="AC874" s="105"/>
      <c r="AD874" s="105"/>
      <c r="AE874" s="105"/>
      <c r="AF874" s="105"/>
      <c r="AG874" s="105"/>
      <c r="AH874" s="105"/>
      <c r="AI874" s="105"/>
      <c r="AJ874" s="105"/>
      <c r="AK874" s="105"/>
      <c r="AL874" s="105"/>
      <c r="AM874" s="105"/>
      <c r="AN874" s="105"/>
      <c r="AO874" s="105"/>
      <c r="AP874" s="105"/>
      <c r="AQ874" s="105"/>
      <c r="AR874" s="105"/>
      <c r="AS874" s="105"/>
      <c r="AT874" s="105"/>
      <c r="AU874" s="105"/>
      <c r="AV874" s="105"/>
      <c r="AW874" s="105"/>
      <c r="AX874" s="105"/>
      <c r="AY874" s="105"/>
      <c r="AZ874" s="105"/>
      <c r="BA874" s="105"/>
      <c r="BB874" s="105"/>
      <c r="BC874" s="105"/>
      <c r="BD874" s="105"/>
      <c r="BE874" s="105"/>
      <c r="BF874" s="105"/>
      <c r="BG874" s="105"/>
      <c r="BH874" s="105"/>
      <c r="BI874" s="105"/>
      <c r="BJ874" s="105"/>
      <c r="BK874" s="105"/>
      <c r="BL874" s="105"/>
      <c r="BM874" s="105"/>
      <c r="BN874" s="105"/>
      <c r="BO874" s="105"/>
      <c r="BP874" s="105"/>
      <c r="BQ874" s="105"/>
      <c r="BR874" s="105"/>
      <c r="BS874" s="105"/>
      <c r="BT874" s="105"/>
      <c r="BU874" s="105"/>
      <c r="BV874" s="105"/>
      <c r="BW874" s="105"/>
      <c r="BX874" s="105"/>
      <c r="BY874" s="105"/>
      <c r="BZ874" s="105"/>
      <c r="CA874" s="105"/>
      <c r="CB874" s="105"/>
      <c r="CC874" s="105"/>
      <c r="CD874" s="105"/>
      <c r="CE874" s="105"/>
      <c r="CF874" s="105"/>
      <c r="CG874" s="105"/>
      <c r="CH874" s="105"/>
      <c r="CI874" s="105"/>
      <c r="CJ874" s="105"/>
      <c r="CK874" s="105"/>
      <c r="CL874" s="105"/>
      <c r="CM874" s="105"/>
      <c r="CN874" s="105"/>
      <c r="CO874" s="105"/>
      <c r="CP874" s="105"/>
      <c r="CQ874" s="105"/>
      <c r="CR874" s="105"/>
      <c r="CS874" s="105"/>
      <c r="CT874" s="105"/>
      <c r="CU874" s="105"/>
      <c r="CV874" s="105"/>
      <c r="CW874" s="105"/>
      <c r="CX874" s="105"/>
      <c r="CY874" s="105"/>
      <c r="CZ874" s="105"/>
      <c r="DA874" s="105"/>
    </row>
    <row r="875">
      <c r="B875" s="105"/>
      <c r="F875" s="105"/>
      <c r="G875" s="105"/>
      <c r="H875" s="105"/>
      <c r="I875" s="105"/>
      <c r="J875" s="105"/>
      <c r="K875" s="105"/>
      <c r="L875" s="105"/>
      <c r="M875" s="105"/>
      <c r="N875" s="105"/>
      <c r="O875" s="105"/>
      <c r="P875" s="105"/>
      <c r="Q875" s="105"/>
      <c r="R875" s="105"/>
      <c r="S875" s="105"/>
      <c r="T875" s="105"/>
      <c r="U875" s="105"/>
      <c r="V875" s="105"/>
      <c r="W875" s="105"/>
      <c r="X875" s="105"/>
      <c r="Y875" s="105"/>
      <c r="Z875" s="105"/>
      <c r="AA875" s="105"/>
      <c r="AB875" s="105"/>
      <c r="AC875" s="105"/>
      <c r="AD875" s="105"/>
      <c r="AE875" s="105"/>
      <c r="AF875" s="105"/>
      <c r="AG875" s="105"/>
      <c r="AH875" s="105"/>
      <c r="AI875" s="105"/>
      <c r="AJ875" s="105"/>
      <c r="AK875" s="105"/>
      <c r="AL875" s="105"/>
      <c r="AM875" s="105"/>
      <c r="AN875" s="105"/>
      <c r="AO875" s="105"/>
      <c r="AP875" s="105"/>
      <c r="AQ875" s="105"/>
      <c r="AR875" s="105"/>
      <c r="AS875" s="105"/>
      <c r="AT875" s="105"/>
      <c r="AU875" s="105"/>
      <c r="AV875" s="105"/>
      <c r="AW875" s="105"/>
      <c r="AX875" s="105"/>
      <c r="AY875" s="105"/>
      <c r="AZ875" s="105"/>
      <c r="BA875" s="105"/>
      <c r="BB875" s="105"/>
      <c r="BC875" s="105"/>
      <c r="BD875" s="105"/>
      <c r="BE875" s="105"/>
      <c r="BF875" s="105"/>
      <c r="BG875" s="105"/>
      <c r="BH875" s="105"/>
      <c r="BI875" s="105"/>
      <c r="BJ875" s="105"/>
      <c r="BK875" s="105"/>
      <c r="BL875" s="105"/>
      <c r="BM875" s="105"/>
      <c r="BN875" s="105"/>
      <c r="BO875" s="105"/>
      <c r="BP875" s="105"/>
      <c r="BQ875" s="105"/>
      <c r="BR875" s="105"/>
      <c r="BS875" s="105"/>
      <c r="BT875" s="105"/>
      <c r="BU875" s="105"/>
      <c r="BV875" s="105"/>
      <c r="BW875" s="105"/>
      <c r="BX875" s="105"/>
      <c r="BY875" s="105"/>
      <c r="BZ875" s="105"/>
      <c r="CA875" s="105"/>
      <c r="CB875" s="105"/>
      <c r="CC875" s="105"/>
      <c r="CD875" s="105"/>
      <c r="CE875" s="105"/>
      <c r="CF875" s="105"/>
      <c r="CG875" s="105"/>
      <c r="CH875" s="105"/>
      <c r="CI875" s="105"/>
      <c r="CJ875" s="105"/>
      <c r="CK875" s="105"/>
      <c r="CL875" s="105"/>
      <c r="CM875" s="105"/>
      <c r="CN875" s="105"/>
      <c r="CO875" s="105"/>
      <c r="CP875" s="105"/>
      <c r="CQ875" s="105"/>
      <c r="CR875" s="105"/>
      <c r="CS875" s="105"/>
      <c r="CT875" s="105"/>
      <c r="CU875" s="105"/>
      <c r="CV875" s="105"/>
      <c r="CW875" s="105"/>
      <c r="CX875" s="105"/>
      <c r="CY875" s="105"/>
      <c r="CZ875" s="105"/>
      <c r="DA875" s="105"/>
    </row>
    <row r="876">
      <c r="B876" s="105"/>
      <c r="F876" s="105"/>
      <c r="G876" s="105"/>
      <c r="H876" s="105"/>
      <c r="I876" s="105"/>
      <c r="J876" s="105"/>
      <c r="K876" s="105"/>
      <c r="L876" s="105"/>
      <c r="M876" s="105"/>
      <c r="N876" s="105"/>
      <c r="O876" s="105"/>
      <c r="P876" s="105"/>
      <c r="Q876" s="105"/>
      <c r="R876" s="105"/>
      <c r="S876" s="105"/>
      <c r="T876" s="105"/>
      <c r="U876" s="105"/>
      <c r="V876" s="105"/>
      <c r="W876" s="105"/>
      <c r="X876" s="105"/>
      <c r="Y876" s="105"/>
      <c r="Z876" s="105"/>
      <c r="AA876" s="105"/>
      <c r="AB876" s="105"/>
      <c r="AC876" s="105"/>
      <c r="AD876" s="105"/>
      <c r="AE876" s="105"/>
      <c r="AF876" s="105"/>
      <c r="AG876" s="105"/>
      <c r="AH876" s="105"/>
      <c r="AI876" s="105"/>
      <c r="AJ876" s="105"/>
      <c r="AK876" s="105"/>
      <c r="AL876" s="105"/>
      <c r="AM876" s="105"/>
      <c r="AN876" s="105"/>
      <c r="AO876" s="105"/>
      <c r="AP876" s="105"/>
      <c r="AQ876" s="105"/>
      <c r="AR876" s="105"/>
      <c r="AS876" s="105"/>
      <c r="AT876" s="105"/>
      <c r="AU876" s="105"/>
      <c r="AV876" s="105"/>
      <c r="AW876" s="105"/>
      <c r="AX876" s="105"/>
      <c r="AY876" s="105"/>
      <c r="AZ876" s="105"/>
      <c r="BA876" s="105"/>
      <c r="BB876" s="105"/>
      <c r="BC876" s="105"/>
      <c r="BD876" s="105"/>
      <c r="BE876" s="105"/>
      <c r="BF876" s="105"/>
      <c r="BG876" s="105"/>
      <c r="BH876" s="105"/>
      <c r="BI876" s="105"/>
      <c r="BJ876" s="105"/>
      <c r="BK876" s="105"/>
      <c r="BL876" s="105"/>
      <c r="BM876" s="105"/>
      <c r="BN876" s="105"/>
      <c r="BO876" s="105"/>
      <c r="BP876" s="105"/>
      <c r="BQ876" s="105"/>
      <c r="BR876" s="105"/>
      <c r="BS876" s="105"/>
      <c r="BT876" s="105"/>
      <c r="BU876" s="105"/>
      <c r="BV876" s="105"/>
      <c r="BW876" s="105"/>
      <c r="BX876" s="105"/>
      <c r="BY876" s="105"/>
      <c r="BZ876" s="105"/>
      <c r="CA876" s="105"/>
      <c r="CB876" s="105"/>
      <c r="CC876" s="105"/>
      <c r="CD876" s="105"/>
      <c r="CE876" s="105"/>
      <c r="CF876" s="105"/>
      <c r="CG876" s="105"/>
      <c r="CH876" s="105"/>
      <c r="CI876" s="105"/>
      <c r="CJ876" s="105"/>
      <c r="CK876" s="105"/>
      <c r="CL876" s="105"/>
      <c r="CM876" s="105"/>
      <c r="CN876" s="105"/>
      <c r="CO876" s="105"/>
      <c r="CP876" s="105"/>
      <c r="CQ876" s="105"/>
      <c r="CR876" s="105"/>
      <c r="CS876" s="105"/>
      <c r="CT876" s="105"/>
      <c r="CU876" s="105"/>
      <c r="CV876" s="105"/>
      <c r="CW876" s="105"/>
      <c r="CX876" s="105"/>
      <c r="CY876" s="105"/>
      <c r="CZ876" s="105"/>
      <c r="DA876" s="105"/>
    </row>
    <row r="877">
      <c r="B877" s="105"/>
      <c r="F877" s="105"/>
      <c r="G877" s="105"/>
      <c r="H877" s="105"/>
      <c r="I877" s="105"/>
      <c r="J877" s="105"/>
      <c r="K877" s="105"/>
      <c r="L877" s="105"/>
      <c r="M877" s="105"/>
      <c r="N877" s="105"/>
      <c r="O877" s="105"/>
      <c r="P877" s="105"/>
      <c r="Q877" s="105"/>
      <c r="R877" s="105"/>
      <c r="S877" s="105"/>
      <c r="T877" s="105"/>
      <c r="U877" s="105"/>
      <c r="V877" s="105"/>
      <c r="W877" s="105"/>
      <c r="X877" s="105"/>
      <c r="Y877" s="105"/>
      <c r="Z877" s="105"/>
      <c r="AA877" s="105"/>
      <c r="AB877" s="105"/>
      <c r="AC877" s="105"/>
      <c r="AD877" s="105"/>
      <c r="AE877" s="105"/>
      <c r="AF877" s="105"/>
      <c r="AG877" s="105"/>
      <c r="AH877" s="105"/>
      <c r="AI877" s="105"/>
      <c r="AJ877" s="105"/>
      <c r="AK877" s="105"/>
      <c r="AL877" s="105"/>
      <c r="AM877" s="105"/>
      <c r="AN877" s="105"/>
      <c r="AO877" s="105"/>
      <c r="AP877" s="105"/>
      <c r="AQ877" s="105"/>
      <c r="AR877" s="105"/>
      <c r="AS877" s="105"/>
      <c r="AT877" s="105"/>
      <c r="AU877" s="105"/>
      <c r="AV877" s="105"/>
      <c r="AW877" s="105"/>
      <c r="AX877" s="105"/>
      <c r="AY877" s="105"/>
      <c r="AZ877" s="105"/>
      <c r="BA877" s="105"/>
      <c r="BB877" s="105"/>
      <c r="BC877" s="105"/>
      <c r="BD877" s="105"/>
      <c r="BE877" s="105"/>
      <c r="BF877" s="105"/>
      <c r="BG877" s="105"/>
      <c r="BH877" s="105"/>
      <c r="BI877" s="105"/>
      <c r="BJ877" s="105"/>
      <c r="BK877" s="105"/>
      <c r="BL877" s="105"/>
      <c r="BM877" s="105"/>
      <c r="BN877" s="105"/>
      <c r="BO877" s="105"/>
      <c r="BP877" s="105"/>
      <c r="BQ877" s="105"/>
      <c r="BR877" s="105"/>
      <c r="BS877" s="105"/>
      <c r="BT877" s="105"/>
      <c r="BU877" s="105"/>
      <c r="BV877" s="105"/>
      <c r="BW877" s="105"/>
      <c r="BX877" s="105"/>
      <c r="BY877" s="105"/>
      <c r="BZ877" s="105"/>
      <c r="CA877" s="105"/>
      <c r="CB877" s="105"/>
      <c r="CC877" s="105"/>
      <c r="CD877" s="105"/>
      <c r="CE877" s="105"/>
      <c r="CF877" s="105"/>
      <c r="CG877" s="105"/>
      <c r="CH877" s="105"/>
      <c r="CI877" s="105"/>
      <c r="CJ877" s="105"/>
      <c r="CK877" s="105"/>
      <c r="CL877" s="105"/>
      <c r="CM877" s="105"/>
      <c r="CN877" s="105"/>
      <c r="CO877" s="105"/>
      <c r="CP877" s="105"/>
      <c r="CQ877" s="105"/>
      <c r="CR877" s="105"/>
      <c r="CS877" s="105"/>
      <c r="CT877" s="105"/>
      <c r="CU877" s="105"/>
      <c r="CV877" s="105"/>
      <c r="CW877" s="105"/>
      <c r="CX877" s="105"/>
      <c r="CY877" s="105"/>
      <c r="CZ877" s="105"/>
      <c r="DA877" s="105"/>
    </row>
    <row r="878">
      <c r="B878" s="105"/>
      <c r="F878" s="105"/>
      <c r="G878" s="105"/>
      <c r="H878" s="105"/>
      <c r="I878" s="105"/>
      <c r="J878" s="105"/>
      <c r="K878" s="105"/>
      <c r="L878" s="105"/>
      <c r="M878" s="105"/>
      <c r="N878" s="105"/>
      <c r="O878" s="105"/>
      <c r="P878" s="105"/>
      <c r="Q878" s="105"/>
      <c r="R878" s="105"/>
      <c r="S878" s="105"/>
      <c r="T878" s="105"/>
      <c r="U878" s="105"/>
      <c r="V878" s="105"/>
      <c r="W878" s="105"/>
      <c r="X878" s="105"/>
      <c r="Y878" s="105"/>
      <c r="Z878" s="105"/>
      <c r="AA878" s="105"/>
      <c r="AB878" s="105"/>
      <c r="AC878" s="105"/>
      <c r="AD878" s="105"/>
      <c r="AE878" s="105"/>
      <c r="AF878" s="105"/>
      <c r="AG878" s="105"/>
      <c r="AH878" s="105"/>
      <c r="AI878" s="105"/>
      <c r="AJ878" s="105"/>
      <c r="AK878" s="105"/>
      <c r="AL878" s="105"/>
      <c r="AM878" s="105"/>
      <c r="AN878" s="105"/>
      <c r="AO878" s="105"/>
      <c r="AP878" s="105"/>
      <c r="AQ878" s="105"/>
      <c r="AR878" s="105"/>
      <c r="AS878" s="105"/>
      <c r="AT878" s="105"/>
      <c r="AU878" s="105"/>
      <c r="AV878" s="105"/>
      <c r="AW878" s="105"/>
      <c r="AX878" s="105"/>
      <c r="AY878" s="105"/>
      <c r="AZ878" s="105"/>
      <c r="BA878" s="105"/>
      <c r="BB878" s="105"/>
      <c r="BC878" s="105"/>
      <c r="BD878" s="105"/>
      <c r="BE878" s="105"/>
      <c r="BF878" s="105"/>
      <c r="BG878" s="105"/>
      <c r="BH878" s="105"/>
      <c r="BI878" s="105"/>
      <c r="BJ878" s="105"/>
      <c r="BK878" s="105"/>
      <c r="BL878" s="105"/>
      <c r="BM878" s="105"/>
      <c r="BN878" s="105"/>
      <c r="BO878" s="105"/>
      <c r="BP878" s="105"/>
      <c r="BQ878" s="105"/>
      <c r="BR878" s="105"/>
      <c r="BS878" s="105"/>
      <c r="BT878" s="105"/>
      <c r="BU878" s="105"/>
      <c r="BV878" s="105"/>
      <c r="BW878" s="105"/>
      <c r="BX878" s="105"/>
      <c r="BY878" s="105"/>
      <c r="BZ878" s="105"/>
      <c r="CA878" s="105"/>
      <c r="CB878" s="105"/>
      <c r="CC878" s="105"/>
      <c r="CD878" s="105"/>
      <c r="CE878" s="105"/>
      <c r="CF878" s="105"/>
      <c r="CG878" s="105"/>
      <c r="CH878" s="105"/>
      <c r="CI878" s="105"/>
      <c r="CJ878" s="105"/>
      <c r="CK878" s="105"/>
      <c r="CL878" s="105"/>
      <c r="CM878" s="105"/>
      <c r="CN878" s="105"/>
      <c r="CO878" s="105"/>
      <c r="CP878" s="105"/>
      <c r="CQ878" s="105"/>
      <c r="CR878" s="105"/>
      <c r="CS878" s="105"/>
      <c r="CT878" s="105"/>
      <c r="CU878" s="105"/>
      <c r="CV878" s="105"/>
      <c r="CW878" s="105"/>
      <c r="CX878" s="105"/>
      <c r="CY878" s="105"/>
      <c r="CZ878" s="105"/>
      <c r="DA878" s="105"/>
    </row>
    <row r="879">
      <c r="B879" s="105"/>
      <c r="F879" s="105"/>
      <c r="G879" s="105"/>
      <c r="H879" s="105"/>
      <c r="I879" s="105"/>
      <c r="J879" s="105"/>
      <c r="K879" s="105"/>
      <c r="L879" s="105"/>
      <c r="M879" s="105"/>
      <c r="N879" s="105"/>
      <c r="O879" s="105"/>
      <c r="P879" s="105"/>
      <c r="Q879" s="105"/>
      <c r="R879" s="105"/>
      <c r="S879" s="105"/>
      <c r="T879" s="105"/>
      <c r="U879" s="105"/>
      <c r="V879" s="105"/>
      <c r="W879" s="105"/>
      <c r="X879" s="105"/>
      <c r="Y879" s="105"/>
      <c r="Z879" s="105"/>
      <c r="AA879" s="105"/>
      <c r="AB879" s="105"/>
      <c r="AC879" s="105"/>
      <c r="AD879" s="105"/>
      <c r="AE879" s="105"/>
      <c r="AF879" s="105"/>
      <c r="AG879" s="105"/>
      <c r="AH879" s="105"/>
      <c r="AI879" s="105"/>
      <c r="AJ879" s="105"/>
      <c r="AK879" s="105"/>
      <c r="AL879" s="105"/>
      <c r="AM879" s="105"/>
      <c r="AN879" s="105"/>
      <c r="AO879" s="105"/>
      <c r="AP879" s="105"/>
      <c r="AQ879" s="105"/>
      <c r="AR879" s="105"/>
      <c r="AS879" s="105"/>
      <c r="AT879" s="105"/>
      <c r="AU879" s="105"/>
      <c r="AV879" s="105"/>
      <c r="AW879" s="105"/>
      <c r="AX879" s="105"/>
      <c r="AY879" s="105"/>
      <c r="AZ879" s="105"/>
      <c r="BA879" s="105"/>
      <c r="BB879" s="105"/>
      <c r="BC879" s="105"/>
      <c r="BD879" s="105"/>
      <c r="BE879" s="105"/>
      <c r="BF879" s="105"/>
      <c r="BG879" s="105"/>
      <c r="BH879" s="105"/>
      <c r="BI879" s="105"/>
      <c r="BJ879" s="105"/>
      <c r="BK879" s="105"/>
      <c r="BL879" s="105"/>
      <c r="BM879" s="105"/>
      <c r="BN879" s="105"/>
      <c r="BO879" s="105"/>
      <c r="BP879" s="105"/>
      <c r="BQ879" s="105"/>
      <c r="BR879" s="105"/>
      <c r="BS879" s="105"/>
      <c r="BT879" s="105"/>
      <c r="BU879" s="105"/>
      <c r="BV879" s="105"/>
      <c r="BW879" s="105"/>
      <c r="BX879" s="105"/>
      <c r="BY879" s="105"/>
      <c r="BZ879" s="105"/>
      <c r="CA879" s="105"/>
      <c r="CB879" s="105"/>
      <c r="CC879" s="105"/>
      <c r="CD879" s="105"/>
      <c r="CE879" s="105"/>
      <c r="CF879" s="105"/>
      <c r="CG879" s="105"/>
      <c r="CH879" s="105"/>
      <c r="CI879" s="105"/>
      <c r="CJ879" s="105"/>
      <c r="CK879" s="105"/>
      <c r="CL879" s="105"/>
      <c r="CM879" s="105"/>
      <c r="CN879" s="105"/>
      <c r="CO879" s="105"/>
      <c r="CP879" s="105"/>
      <c r="CQ879" s="105"/>
      <c r="CR879" s="105"/>
      <c r="CS879" s="105"/>
      <c r="CT879" s="105"/>
      <c r="CU879" s="105"/>
      <c r="CV879" s="105"/>
      <c r="CW879" s="105"/>
      <c r="CX879" s="105"/>
      <c r="CY879" s="105"/>
      <c r="CZ879" s="105"/>
      <c r="DA879" s="105"/>
    </row>
    <row r="880">
      <c r="B880" s="105"/>
      <c r="F880" s="105"/>
      <c r="G880" s="105"/>
      <c r="H880" s="105"/>
      <c r="I880" s="105"/>
      <c r="J880" s="105"/>
      <c r="K880" s="105"/>
      <c r="L880" s="105"/>
      <c r="M880" s="105"/>
      <c r="N880" s="105"/>
      <c r="O880" s="105"/>
      <c r="P880" s="105"/>
      <c r="Q880" s="105"/>
      <c r="R880" s="105"/>
      <c r="S880" s="105"/>
      <c r="T880" s="105"/>
      <c r="U880" s="105"/>
      <c r="V880" s="105"/>
      <c r="W880" s="105"/>
      <c r="X880" s="105"/>
      <c r="Y880" s="105"/>
      <c r="Z880" s="105"/>
      <c r="AA880" s="105"/>
      <c r="AB880" s="105"/>
      <c r="AC880" s="105"/>
      <c r="AD880" s="105"/>
      <c r="AE880" s="105"/>
      <c r="AF880" s="105"/>
      <c r="AG880" s="105"/>
      <c r="AH880" s="105"/>
      <c r="AI880" s="105"/>
      <c r="AJ880" s="105"/>
      <c r="AK880" s="105"/>
      <c r="AL880" s="105"/>
      <c r="AM880" s="105"/>
      <c r="AN880" s="105"/>
      <c r="AO880" s="105"/>
      <c r="AP880" s="105"/>
      <c r="AQ880" s="105"/>
      <c r="AR880" s="105"/>
      <c r="AS880" s="105"/>
      <c r="AT880" s="105"/>
      <c r="AU880" s="105"/>
      <c r="AV880" s="105"/>
      <c r="AW880" s="105"/>
      <c r="AX880" s="105"/>
      <c r="AY880" s="105"/>
      <c r="AZ880" s="105"/>
      <c r="BA880" s="105"/>
      <c r="BB880" s="105"/>
      <c r="BC880" s="105"/>
      <c r="BD880" s="105"/>
      <c r="BE880" s="105"/>
      <c r="BF880" s="105"/>
      <c r="BG880" s="105"/>
      <c r="BH880" s="105"/>
      <c r="BI880" s="105"/>
      <c r="BJ880" s="105"/>
      <c r="BK880" s="105"/>
      <c r="BL880" s="105"/>
      <c r="BM880" s="105"/>
      <c r="BN880" s="105"/>
      <c r="BO880" s="105"/>
      <c r="BP880" s="105"/>
      <c r="BQ880" s="105"/>
      <c r="BR880" s="105"/>
      <c r="BS880" s="105"/>
      <c r="BT880" s="105"/>
      <c r="BU880" s="105"/>
      <c r="BV880" s="105"/>
      <c r="BW880" s="105"/>
      <c r="BX880" s="105"/>
      <c r="BY880" s="105"/>
      <c r="BZ880" s="105"/>
      <c r="CA880" s="105"/>
      <c r="CB880" s="105"/>
      <c r="CC880" s="105"/>
      <c r="CD880" s="105"/>
      <c r="CE880" s="105"/>
      <c r="CF880" s="105"/>
      <c r="CG880" s="105"/>
      <c r="CH880" s="105"/>
      <c r="CI880" s="105"/>
      <c r="CJ880" s="105"/>
      <c r="CK880" s="105"/>
      <c r="CL880" s="105"/>
      <c r="CM880" s="105"/>
      <c r="CN880" s="105"/>
      <c r="CO880" s="105"/>
      <c r="CP880" s="105"/>
      <c r="CQ880" s="105"/>
      <c r="CR880" s="105"/>
      <c r="CS880" s="105"/>
      <c r="CT880" s="105"/>
      <c r="CU880" s="105"/>
      <c r="CV880" s="105"/>
      <c r="CW880" s="105"/>
      <c r="CX880" s="105"/>
      <c r="CY880" s="105"/>
      <c r="CZ880" s="105"/>
      <c r="DA880" s="105"/>
    </row>
    <row r="881">
      <c r="B881" s="105"/>
      <c r="F881" s="105"/>
      <c r="G881" s="105"/>
      <c r="H881" s="105"/>
      <c r="I881" s="105"/>
      <c r="J881" s="105"/>
      <c r="K881" s="105"/>
      <c r="L881" s="105"/>
      <c r="M881" s="105"/>
      <c r="N881" s="105"/>
      <c r="O881" s="105"/>
      <c r="P881" s="105"/>
      <c r="Q881" s="105"/>
      <c r="R881" s="105"/>
      <c r="S881" s="105"/>
      <c r="T881" s="105"/>
      <c r="U881" s="105"/>
      <c r="V881" s="105"/>
      <c r="W881" s="105"/>
      <c r="X881" s="105"/>
      <c r="Y881" s="105"/>
      <c r="Z881" s="105"/>
      <c r="AA881" s="105"/>
      <c r="AB881" s="105"/>
      <c r="AC881" s="105"/>
      <c r="AD881" s="105"/>
      <c r="AE881" s="105"/>
      <c r="AF881" s="105"/>
      <c r="AG881" s="105"/>
      <c r="AH881" s="105"/>
      <c r="AI881" s="105"/>
      <c r="AJ881" s="105"/>
      <c r="AK881" s="105"/>
      <c r="AL881" s="105"/>
      <c r="AM881" s="105"/>
      <c r="AN881" s="105"/>
      <c r="AO881" s="105"/>
      <c r="AP881" s="105"/>
      <c r="AQ881" s="105"/>
      <c r="AR881" s="105"/>
      <c r="AS881" s="105"/>
      <c r="AT881" s="105"/>
      <c r="AU881" s="105"/>
      <c r="AV881" s="105"/>
      <c r="AW881" s="105"/>
      <c r="AX881" s="105"/>
      <c r="AY881" s="105"/>
      <c r="AZ881" s="105"/>
      <c r="BA881" s="105"/>
      <c r="BB881" s="105"/>
      <c r="BC881" s="105"/>
      <c r="BD881" s="105"/>
      <c r="BE881" s="105"/>
      <c r="BF881" s="105"/>
      <c r="BG881" s="105"/>
      <c r="BH881" s="105"/>
      <c r="BI881" s="105"/>
      <c r="BJ881" s="105"/>
      <c r="BK881" s="105"/>
      <c r="BL881" s="105"/>
      <c r="BM881" s="105"/>
      <c r="BN881" s="105"/>
      <c r="BO881" s="105"/>
      <c r="BP881" s="105"/>
      <c r="BQ881" s="105"/>
      <c r="BR881" s="105"/>
      <c r="BS881" s="105"/>
      <c r="BT881" s="105"/>
      <c r="BU881" s="105"/>
      <c r="BV881" s="105"/>
      <c r="BW881" s="105"/>
      <c r="BX881" s="105"/>
      <c r="BY881" s="105"/>
      <c r="BZ881" s="105"/>
      <c r="CA881" s="105"/>
      <c r="CB881" s="105"/>
      <c r="CC881" s="105"/>
      <c r="CD881" s="105"/>
      <c r="CE881" s="105"/>
      <c r="CF881" s="105"/>
      <c r="CG881" s="105"/>
      <c r="CH881" s="105"/>
      <c r="CI881" s="105"/>
      <c r="CJ881" s="105"/>
      <c r="CK881" s="105"/>
      <c r="CL881" s="105"/>
      <c r="CM881" s="105"/>
      <c r="CN881" s="105"/>
      <c r="CO881" s="105"/>
      <c r="CP881" s="105"/>
      <c r="CQ881" s="105"/>
      <c r="CR881" s="105"/>
      <c r="CS881" s="105"/>
      <c r="CT881" s="105"/>
      <c r="CU881" s="105"/>
      <c r="CV881" s="105"/>
      <c r="CW881" s="105"/>
      <c r="CX881" s="105"/>
      <c r="CY881" s="105"/>
      <c r="CZ881" s="105"/>
      <c r="DA881" s="105"/>
    </row>
    <row r="882">
      <c r="B882" s="105"/>
      <c r="F882" s="105"/>
      <c r="G882" s="105"/>
      <c r="H882" s="105"/>
      <c r="I882" s="105"/>
      <c r="J882" s="105"/>
      <c r="K882" s="105"/>
      <c r="L882" s="105"/>
      <c r="M882" s="105"/>
      <c r="N882" s="105"/>
      <c r="O882" s="105"/>
      <c r="P882" s="105"/>
      <c r="Q882" s="105"/>
      <c r="R882" s="105"/>
      <c r="S882" s="105"/>
      <c r="T882" s="105"/>
      <c r="U882" s="105"/>
      <c r="V882" s="105"/>
      <c r="W882" s="105"/>
      <c r="X882" s="105"/>
      <c r="Y882" s="105"/>
      <c r="Z882" s="105"/>
      <c r="AA882" s="105"/>
      <c r="AB882" s="105"/>
      <c r="AC882" s="105"/>
      <c r="AD882" s="105"/>
      <c r="AE882" s="105"/>
      <c r="AF882" s="105"/>
      <c r="AG882" s="105"/>
      <c r="AH882" s="105"/>
      <c r="AI882" s="105"/>
      <c r="AJ882" s="105"/>
      <c r="AK882" s="105"/>
      <c r="AL882" s="105"/>
      <c r="AM882" s="105"/>
      <c r="AN882" s="105"/>
      <c r="AO882" s="105"/>
      <c r="AP882" s="105"/>
      <c r="AQ882" s="105"/>
      <c r="AR882" s="105"/>
      <c r="AS882" s="105"/>
      <c r="AT882" s="105"/>
      <c r="AU882" s="105"/>
      <c r="AV882" s="105"/>
      <c r="AW882" s="105"/>
      <c r="AX882" s="105"/>
      <c r="AY882" s="105"/>
      <c r="AZ882" s="105"/>
      <c r="BA882" s="105"/>
      <c r="BB882" s="105"/>
      <c r="BC882" s="105"/>
      <c r="BD882" s="105"/>
      <c r="BE882" s="105"/>
      <c r="BF882" s="105"/>
      <c r="BG882" s="105"/>
      <c r="BH882" s="105"/>
      <c r="BI882" s="105"/>
      <c r="BJ882" s="105"/>
      <c r="BK882" s="105"/>
      <c r="BL882" s="105"/>
      <c r="BM882" s="105"/>
      <c r="BN882" s="105"/>
      <c r="BO882" s="105"/>
      <c r="BP882" s="105"/>
      <c r="BQ882" s="105"/>
      <c r="BR882" s="105"/>
      <c r="BS882" s="105"/>
      <c r="BT882" s="105"/>
      <c r="BU882" s="105"/>
      <c r="BV882" s="105"/>
      <c r="BW882" s="105"/>
      <c r="BX882" s="105"/>
      <c r="BY882" s="105"/>
      <c r="BZ882" s="105"/>
      <c r="CA882" s="105"/>
      <c r="CB882" s="105"/>
      <c r="CC882" s="105"/>
      <c r="CD882" s="105"/>
      <c r="CE882" s="105"/>
      <c r="CF882" s="105"/>
      <c r="CG882" s="105"/>
      <c r="CH882" s="105"/>
      <c r="CI882" s="105"/>
      <c r="CJ882" s="105"/>
      <c r="CK882" s="105"/>
      <c r="CL882" s="105"/>
      <c r="CM882" s="105"/>
      <c r="CN882" s="105"/>
      <c r="CO882" s="105"/>
      <c r="CP882" s="105"/>
      <c r="CQ882" s="105"/>
      <c r="CR882" s="105"/>
      <c r="CS882" s="105"/>
      <c r="CT882" s="105"/>
      <c r="CU882" s="105"/>
      <c r="CV882" s="105"/>
      <c r="CW882" s="105"/>
      <c r="CX882" s="105"/>
      <c r="CY882" s="105"/>
      <c r="CZ882" s="105"/>
      <c r="DA882" s="105"/>
    </row>
    <row r="883">
      <c r="B883" s="105"/>
      <c r="F883" s="105"/>
      <c r="G883" s="105"/>
      <c r="H883" s="105"/>
      <c r="I883" s="105"/>
      <c r="J883" s="105"/>
      <c r="K883" s="105"/>
      <c r="L883" s="105"/>
      <c r="M883" s="105"/>
      <c r="N883" s="105"/>
      <c r="O883" s="105"/>
      <c r="P883" s="105"/>
      <c r="Q883" s="105"/>
      <c r="R883" s="105"/>
      <c r="S883" s="105"/>
      <c r="T883" s="105"/>
      <c r="U883" s="105"/>
      <c r="V883" s="105"/>
      <c r="W883" s="105"/>
      <c r="X883" s="105"/>
      <c r="Y883" s="105"/>
      <c r="Z883" s="105"/>
      <c r="AA883" s="105"/>
      <c r="AB883" s="105"/>
      <c r="AC883" s="105"/>
      <c r="AD883" s="105"/>
      <c r="AE883" s="105"/>
      <c r="AF883" s="105"/>
      <c r="AG883" s="105"/>
      <c r="AH883" s="105"/>
      <c r="AI883" s="105"/>
      <c r="AJ883" s="105"/>
      <c r="AK883" s="105"/>
      <c r="AL883" s="105"/>
      <c r="AM883" s="105"/>
      <c r="AN883" s="105"/>
      <c r="AO883" s="105"/>
      <c r="AP883" s="105"/>
      <c r="AQ883" s="105"/>
      <c r="AR883" s="105"/>
      <c r="AS883" s="105"/>
      <c r="AT883" s="105"/>
      <c r="AU883" s="105"/>
      <c r="AV883" s="105"/>
      <c r="AW883" s="105"/>
      <c r="AX883" s="105"/>
      <c r="AY883" s="105"/>
      <c r="AZ883" s="105"/>
      <c r="BA883" s="105"/>
      <c r="BB883" s="105"/>
      <c r="BC883" s="105"/>
      <c r="BD883" s="105"/>
      <c r="BE883" s="105"/>
      <c r="BF883" s="105"/>
      <c r="BG883" s="105"/>
      <c r="BH883" s="105"/>
      <c r="BI883" s="105"/>
      <c r="BJ883" s="105"/>
      <c r="BK883" s="105"/>
      <c r="BL883" s="105"/>
      <c r="BM883" s="105"/>
      <c r="BN883" s="105"/>
      <c r="BO883" s="105"/>
      <c r="BP883" s="105"/>
      <c r="BQ883" s="105"/>
      <c r="BR883" s="105"/>
      <c r="BS883" s="105"/>
      <c r="BT883" s="105"/>
      <c r="BU883" s="105"/>
      <c r="BV883" s="105"/>
      <c r="BW883" s="105"/>
      <c r="BX883" s="105"/>
      <c r="BY883" s="105"/>
      <c r="BZ883" s="105"/>
      <c r="CA883" s="105"/>
      <c r="CB883" s="105"/>
      <c r="CC883" s="105"/>
      <c r="CD883" s="105"/>
      <c r="CE883" s="105"/>
      <c r="CF883" s="105"/>
      <c r="CG883" s="105"/>
      <c r="CH883" s="105"/>
      <c r="CI883" s="105"/>
      <c r="CJ883" s="105"/>
      <c r="CK883" s="105"/>
      <c r="CL883" s="105"/>
      <c r="CM883" s="105"/>
      <c r="CN883" s="105"/>
      <c r="CO883" s="105"/>
      <c r="CP883" s="105"/>
      <c r="CQ883" s="105"/>
      <c r="CR883" s="105"/>
      <c r="CS883" s="105"/>
      <c r="CT883" s="105"/>
      <c r="CU883" s="105"/>
      <c r="CV883" s="105"/>
      <c r="CW883" s="105"/>
      <c r="CX883" s="105"/>
      <c r="CY883" s="105"/>
      <c r="CZ883" s="105"/>
      <c r="DA883" s="105"/>
    </row>
    <row r="884">
      <c r="B884" s="105"/>
      <c r="F884" s="105"/>
      <c r="G884" s="105"/>
      <c r="H884" s="105"/>
      <c r="I884" s="105"/>
      <c r="J884" s="105"/>
      <c r="K884" s="105"/>
      <c r="L884" s="105"/>
      <c r="M884" s="105"/>
      <c r="N884" s="105"/>
      <c r="O884" s="105"/>
      <c r="P884" s="105"/>
      <c r="Q884" s="105"/>
      <c r="R884" s="105"/>
      <c r="S884" s="105"/>
      <c r="T884" s="105"/>
      <c r="U884" s="105"/>
      <c r="V884" s="105"/>
      <c r="W884" s="105"/>
      <c r="X884" s="105"/>
      <c r="Y884" s="105"/>
      <c r="Z884" s="105"/>
      <c r="AA884" s="105"/>
      <c r="AB884" s="105"/>
      <c r="AC884" s="105"/>
      <c r="AD884" s="105"/>
      <c r="AE884" s="105"/>
      <c r="AF884" s="105"/>
      <c r="AG884" s="105"/>
      <c r="AH884" s="105"/>
      <c r="AI884" s="105"/>
      <c r="AJ884" s="105"/>
      <c r="AK884" s="105"/>
      <c r="AL884" s="105"/>
      <c r="AM884" s="105"/>
      <c r="AN884" s="105"/>
      <c r="AO884" s="105"/>
      <c r="AP884" s="105"/>
      <c r="AQ884" s="105"/>
      <c r="AR884" s="105"/>
      <c r="AS884" s="105"/>
      <c r="AT884" s="105"/>
      <c r="AU884" s="105"/>
      <c r="AV884" s="105"/>
      <c r="AW884" s="105"/>
      <c r="AX884" s="105"/>
      <c r="AY884" s="105"/>
      <c r="AZ884" s="105"/>
      <c r="BA884" s="105"/>
      <c r="BB884" s="105"/>
      <c r="BC884" s="105"/>
      <c r="BD884" s="105"/>
      <c r="BE884" s="105"/>
      <c r="BF884" s="105"/>
      <c r="BG884" s="105"/>
      <c r="BH884" s="105"/>
      <c r="BI884" s="105"/>
      <c r="BJ884" s="105"/>
      <c r="BK884" s="105"/>
      <c r="BL884" s="105"/>
      <c r="BM884" s="105"/>
      <c r="BN884" s="105"/>
      <c r="BO884" s="105"/>
      <c r="BP884" s="105"/>
      <c r="BQ884" s="105"/>
      <c r="BR884" s="105"/>
      <c r="BS884" s="105"/>
      <c r="BT884" s="105"/>
      <c r="BU884" s="105"/>
      <c r="BV884" s="105"/>
      <c r="BW884" s="105"/>
      <c r="BX884" s="105"/>
      <c r="BY884" s="105"/>
      <c r="BZ884" s="105"/>
      <c r="CA884" s="105"/>
      <c r="CB884" s="105"/>
      <c r="CC884" s="105"/>
      <c r="CD884" s="105"/>
      <c r="CE884" s="105"/>
      <c r="CF884" s="105"/>
      <c r="CG884" s="105"/>
      <c r="CH884" s="105"/>
      <c r="CI884" s="105"/>
      <c r="CJ884" s="105"/>
      <c r="CK884" s="105"/>
      <c r="CL884" s="105"/>
      <c r="CM884" s="105"/>
      <c r="CN884" s="105"/>
      <c r="CO884" s="105"/>
      <c r="CP884" s="105"/>
      <c r="CQ884" s="105"/>
      <c r="CR884" s="105"/>
      <c r="CS884" s="105"/>
      <c r="CT884" s="105"/>
      <c r="CU884" s="105"/>
      <c r="CV884" s="105"/>
      <c r="CW884" s="105"/>
      <c r="CX884" s="105"/>
      <c r="CY884" s="105"/>
      <c r="CZ884" s="105"/>
      <c r="DA884" s="105"/>
    </row>
    <row r="885">
      <c r="B885" s="105"/>
      <c r="F885" s="105"/>
      <c r="G885" s="105"/>
      <c r="H885" s="105"/>
      <c r="I885" s="105"/>
      <c r="J885" s="105"/>
      <c r="K885" s="105"/>
      <c r="L885" s="105"/>
      <c r="M885" s="105"/>
      <c r="N885" s="105"/>
      <c r="O885" s="105"/>
      <c r="P885" s="105"/>
      <c r="Q885" s="105"/>
      <c r="R885" s="105"/>
      <c r="S885" s="105"/>
      <c r="T885" s="105"/>
      <c r="U885" s="105"/>
      <c r="V885" s="105"/>
      <c r="W885" s="105"/>
      <c r="X885" s="105"/>
      <c r="Y885" s="105"/>
      <c r="Z885" s="105"/>
      <c r="AA885" s="105"/>
      <c r="AB885" s="105"/>
      <c r="AC885" s="105"/>
      <c r="AD885" s="105"/>
      <c r="AE885" s="105"/>
      <c r="AF885" s="105"/>
      <c r="AG885" s="105"/>
      <c r="AH885" s="105"/>
      <c r="AI885" s="105"/>
      <c r="AJ885" s="105"/>
      <c r="AK885" s="105"/>
      <c r="AL885" s="105"/>
      <c r="AM885" s="105"/>
      <c r="AN885" s="105"/>
      <c r="AO885" s="105"/>
      <c r="AP885" s="105"/>
      <c r="AQ885" s="105"/>
      <c r="AR885" s="105"/>
      <c r="AS885" s="105"/>
      <c r="AT885" s="105"/>
      <c r="AU885" s="105"/>
      <c r="AV885" s="105"/>
      <c r="AW885" s="105"/>
      <c r="AX885" s="105"/>
      <c r="AY885" s="105"/>
      <c r="AZ885" s="105"/>
      <c r="BA885" s="105"/>
      <c r="BB885" s="105"/>
      <c r="BC885" s="105"/>
      <c r="BD885" s="105"/>
      <c r="BE885" s="105"/>
      <c r="BF885" s="105"/>
      <c r="BG885" s="105"/>
      <c r="BH885" s="105"/>
      <c r="BI885" s="105"/>
      <c r="BJ885" s="105"/>
      <c r="BK885" s="105"/>
      <c r="BL885" s="105"/>
      <c r="BM885" s="105"/>
      <c r="BN885" s="105"/>
      <c r="BO885" s="105"/>
      <c r="BP885" s="105"/>
      <c r="BQ885" s="105"/>
      <c r="BR885" s="105"/>
      <c r="BS885" s="105"/>
      <c r="BT885" s="105"/>
      <c r="BU885" s="105"/>
      <c r="BV885" s="105"/>
      <c r="BW885" s="105"/>
      <c r="BX885" s="105"/>
      <c r="BY885" s="105"/>
      <c r="BZ885" s="105"/>
      <c r="CA885" s="105"/>
      <c r="CB885" s="105"/>
      <c r="CC885" s="105"/>
      <c r="CD885" s="105"/>
      <c r="CE885" s="105"/>
      <c r="CF885" s="105"/>
      <c r="CG885" s="105"/>
      <c r="CH885" s="105"/>
      <c r="CI885" s="105"/>
      <c r="CJ885" s="105"/>
      <c r="CK885" s="105"/>
      <c r="CL885" s="105"/>
      <c r="CM885" s="105"/>
      <c r="CN885" s="105"/>
      <c r="CO885" s="105"/>
      <c r="CP885" s="105"/>
      <c r="CQ885" s="105"/>
      <c r="CR885" s="105"/>
      <c r="CS885" s="105"/>
      <c r="CT885" s="105"/>
      <c r="CU885" s="105"/>
      <c r="CV885" s="105"/>
      <c r="CW885" s="105"/>
      <c r="CX885" s="105"/>
      <c r="CY885" s="105"/>
      <c r="CZ885" s="105"/>
      <c r="DA885" s="105"/>
    </row>
    <row r="886">
      <c r="B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c r="AA886" s="105"/>
      <c r="AB886" s="105"/>
      <c r="AC886" s="105"/>
      <c r="AD886" s="105"/>
      <c r="AE886" s="105"/>
      <c r="AF886" s="105"/>
      <c r="AG886" s="105"/>
      <c r="AH886" s="105"/>
      <c r="AI886" s="105"/>
      <c r="AJ886" s="105"/>
      <c r="AK886" s="105"/>
      <c r="AL886" s="105"/>
      <c r="AM886" s="105"/>
      <c r="AN886" s="105"/>
      <c r="AO886" s="105"/>
      <c r="AP886" s="105"/>
      <c r="AQ886" s="105"/>
      <c r="AR886" s="105"/>
      <c r="AS886" s="105"/>
      <c r="AT886" s="105"/>
      <c r="AU886" s="105"/>
      <c r="AV886" s="105"/>
      <c r="AW886" s="105"/>
      <c r="AX886" s="105"/>
      <c r="AY886" s="105"/>
      <c r="AZ886" s="105"/>
      <c r="BA886" s="105"/>
      <c r="BB886" s="105"/>
      <c r="BC886" s="105"/>
      <c r="BD886" s="105"/>
      <c r="BE886" s="105"/>
      <c r="BF886" s="105"/>
      <c r="BG886" s="105"/>
      <c r="BH886" s="105"/>
      <c r="BI886" s="105"/>
      <c r="BJ886" s="105"/>
      <c r="BK886" s="105"/>
      <c r="BL886" s="105"/>
      <c r="BM886" s="105"/>
      <c r="BN886" s="105"/>
      <c r="BO886" s="105"/>
      <c r="BP886" s="105"/>
      <c r="BQ886" s="105"/>
      <c r="BR886" s="105"/>
      <c r="BS886" s="105"/>
      <c r="BT886" s="105"/>
      <c r="BU886" s="105"/>
      <c r="BV886" s="105"/>
      <c r="BW886" s="105"/>
      <c r="BX886" s="105"/>
      <c r="BY886" s="105"/>
      <c r="BZ886" s="105"/>
      <c r="CA886" s="105"/>
      <c r="CB886" s="105"/>
      <c r="CC886" s="105"/>
      <c r="CD886" s="105"/>
      <c r="CE886" s="105"/>
      <c r="CF886" s="105"/>
      <c r="CG886" s="105"/>
      <c r="CH886" s="105"/>
      <c r="CI886" s="105"/>
      <c r="CJ886" s="105"/>
      <c r="CK886" s="105"/>
      <c r="CL886" s="105"/>
      <c r="CM886" s="105"/>
      <c r="CN886" s="105"/>
      <c r="CO886" s="105"/>
      <c r="CP886" s="105"/>
      <c r="CQ886" s="105"/>
      <c r="CR886" s="105"/>
      <c r="CS886" s="105"/>
      <c r="CT886" s="105"/>
      <c r="CU886" s="105"/>
      <c r="CV886" s="105"/>
      <c r="CW886" s="105"/>
      <c r="CX886" s="105"/>
      <c r="CY886" s="105"/>
      <c r="CZ886" s="105"/>
      <c r="DA886" s="105"/>
    </row>
    <row r="887">
      <c r="B887" s="105"/>
      <c r="F887" s="105"/>
      <c r="G887" s="105"/>
      <c r="H887" s="105"/>
      <c r="I887" s="105"/>
      <c r="J887" s="105"/>
      <c r="K887" s="105"/>
      <c r="L887" s="105"/>
      <c r="M887" s="105"/>
      <c r="N887" s="105"/>
      <c r="O887" s="105"/>
      <c r="P887" s="105"/>
      <c r="Q887" s="105"/>
      <c r="R887" s="105"/>
      <c r="S887" s="105"/>
      <c r="T887" s="105"/>
      <c r="U887" s="105"/>
      <c r="V887" s="105"/>
      <c r="W887" s="105"/>
      <c r="X887" s="105"/>
      <c r="Y887" s="105"/>
      <c r="Z887" s="105"/>
      <c r="AA887" s="105"/>
      <c r="AB887" s="105"/>
      <c r="AC887" s="105"/>
      <c r="AD887" s="105"/>
      <c r="AE887" s="105"/>
      <c r="AF887" s="105"/>
      <c r="AG887" s="105"/>
      <c r="AH887" s="105"/>
      <c r="AI887" s="105"/>
      <c r="AJ887" s="105"/>
      <c r="AK887" s="105"/>
      <c r="AL887" s="105"/>
      <c r="AM887" s="105"/>
      <c r="AN887" s="105"/>
      <c r="AO887" s="105"/>
      <c r="AP887" s="105"/>
      <c r="AQ887" s="105"/>
      <c r="AR887" s="105"/>
      <c r="AS887" s="105"/>
      <c r="AT887" s="105"/>
      <c r="AU887" s="105"/>
      <c r="AV887" s="105"/>
      <c r="AW887" s="105"/>
      <c r="AX887" s="105"/>
      <c r="AY887" s="105"/>
      <c r="AZ887" s="105"/>
      <c r="BA887" s="105"/>
      <c r="BB887" s="105"/>
      <c r="BC887" s="105"/>
      <c r="BD887" s="105"/>
      <c r="BE887" s="105"/>
      <c r="BF887" s="105"/>
      <c r="BG887" s="105"/>
      <c r="BH887" s="105"/>
      <c r="BI887" s="105"/>
      <c r="BJ887" s="105"/>
      <c r="BK887" s="105"/>
      <c r="BL887" s="105"/>
      <c r="BM887" s="105"/>
      <c r="BN887" s="105"/>
      <c r="BO887" s="105"/>
      <c r="BP887" s="105"/>
      <c r="BQ887" s="105"/>
      <c r="BR887" s="105"/>
      <c r="BS887" s="105"/>
      <c r="BT887" s="105"/>
      <c r="BU887" s="105"/>
      <c r="BV887" s="105"/>
      <c r="BW887" s="105"/>
      <c r="BX887" s="105"/>
      <c r="BY887" s="105"/>
      <c r="BZ887" s="105"/>
      <c r="CA887" s="105"/>
      <c r="CB887" s="105"/>
      <c r="CC887" s="105"/>
      <c r="CD887" s="105"/>
      <c r="CE887" s="105"/>
      <c r="CF887" s="105"/>
      <c r="CG887" s="105"/>
      <c r="CH887" s="105"/>
      <c r="CI887" s="105"/>
      <c r="CJ887" s="105"/>
      <c r="CK887" s="105"/>
      <c r="CL887" s="105"/>
      <c r="CM887" s="105"/>
      <c r="CN887" s="105"/>
      <c r="CO887" s="105"/>
      <c r="CP887" s="105"/>
      <c r="CQ887" s="105"/>
      <c r="CR887" s="105"/>
      <c r="CS887" s="105"/>
      <c r="CT887" s="105"/>
      <c r="CU887" s="105"/>
      <c r="CV887" s="105"/>
      <c r="CW887" s="105"/>
      <c r="CX887" s="105"/>
      <c r="CY887" s="105"/>
      <c r="CZ887" s="105"/>
      <c r="DA887" s="105"/>
    </row>
    <row r="888">
      <c r="B888" s="105"/>
      <c r="F888" s="105"/>
      <c r="G888" s="105"/>
      <c r="H888" s="105"/>
      <c r="I888" s="105"/>
      <c r="J888" s="105"/>
      <c r="K888" s="105"/>
      <c r="L888" s="105"/>
      <c r="M888" s="105"/>
      <c r="N888" s="105"/>
      <c r="O888" s="105"/>
      <c r="P888" s="105"/>
      <c r="Q888" s="105"/>
      <c r="R888" s="105"/>
      <c r="S888" s="105"/>
      <c r="T888" s="105"/>
      <c r="U888" s="105"/>
      <c r="V888" s="105"/>
      <c r="W888" s="105"/>
      <c r="X888" s="105"/>
      <c r="Y888" s="105"/>
      <c r="Z888" s="105"/>
      <c r="AA888" s="105"/>
      <c r="AB888" s="105"/>
      <c r="AC888" s="105"/>
      <c r="AD888" s="105"/>
      <c r="AE888" s="105"/>
      <c r="AF888" s="105"/>
      <c r="AG888" s="105"/>
      <c r="AH888" s="105"/>
      <c r="AI888" s="105"/>
      <c r="AJ888" s="105"/>
      <c r="AK888" s="105"/>
      <c r="AL888" s="105"/>
      <c r="AM888" s="105"/>
      <c r="AN888" s="105"/>
      <c r="AO888" s="105"/>
      <c r="AP888" s="105"/>
      <c r="AQ888" s="105"/>
      <c r="AR888" s="105"/>
      <c r="AS888" s="105"/>
      <c r="AT888" s="105"/>
      <c r="AU888" s="105"/>
      <c r="AV888" s="105"/>
      <c r="AW888" s="105"/>
      <c r="AX888" s="105"/>
      <c r="AY888" s="105"/>
      <c r="AZ888" s="105"/>
      <c r="BA888" s="105"/>
      <c r="BB888" s="105"/>
      <c r="BC888" s="105"/>
      <c r="BD888" s="105"/>
      <c r="BE888" s="105"/>
      <c r="BF888" s="105"/>
      <c r="BG888" s="105"/>
      <c r="BH888" s="105"/>
      <c r="BI888" s="105"/>
      <c r="BJ888" s="105"/>
      <c r="BK888" s="105"/>
      <c r="BL888" s="105"/>
      <c r="BM888" s="105"/>
      <c r="BN888" s="105"/>
      <c r="BO888" s="105"/>
      <c r="BP888" s="105"/>
      <c r="BQ888" s="105"/>
      <c r="BR888" s="105"/>
      <c r="BS888" s="105"/>
      <c r="BT888" s="105"/>
      <c r="BU888" s="105"/>
      <c r="BV888" s="105"/>
      <c r="BW888" s="105"/>
      <c r="BX888" s="105"/>
      <c r="BY888" s="105"/>
      <c r="BZ888" s="105"/>
      <c r="CA888" s="105"/>
      <c r="CB888" s="105"/>
      <c r="CC888" s="105"/>
      <c r="CD888" s="105"/>
      <c r="CE888" s="105"/>
      <c r="CF888" s="105"/>
      <c r="CG888" s="105"/>
      <c r="CH888" s="105"/>
      <c r="CI888" s="105"/>
      <c r="CJ888" s="105"/>
      <c r="CK888" s="105"/>
      <c r="CL888" s="105"/>
      <c r="CM888" s="105"/>
      <c r="CN888" s="105"/>
      <c r="CO888" s="105"/>
      <c r="CP888" s="105"/>
      <c r="CQ888" s="105"/>
      <c r="CR888" s="105"/>
      <c r="CS888" s="105"/>
      <c r="CT888" s="105"/>
      <c r="CU888" s="105"/>
      <c r="CV888" s="105"/>
      <c r="CW888" s="105"/>
      <c r="CX888" s="105"/>
      <c r="CY888" s="105"/>
      <c r="CZ888" s="105"/>
      <c r="DA888" s="105"/>
    </row>
    <row r="889">
      <c r="B889" s="105"/>
      <c r="F889" s="105"/>
      <c r="G889" s="105"/>
      <c r="H889" s="105"/>
      <c r="I889" s="105"/>
      <c r="J889" s="105"/>
      <c r="K889" s="105"/>
      <c r="L889" s="105"/>
      <c r="M889" s="105"/>
      <c r="N889" s="105"/>
      <c r="O889" s="105"/>
      <c r="P889" s="105"/>
      <c r="Q889" s="105"/>
      <c r="R889" s="105"/>
      <c r="S889" s="105"/>
      <c r="T889" s="105"/>
      <c r="U889" s="105"/>
      <c r="V889" s="105"/>
      <c r="W889" s="105"/>
      <c r="X889" s="105"/>
      <c r="Y889" s="105"/>
      <c r="Z889" s="105"/>
      <c r="AA889" s="105"/>
      <c r="AB889" s="105"/>
      <c r="AC889" s="105"/>
      <c r="AD889" s="105"/>
      <c r="AE889" s="105"/>
      <c r="AF889" s="105"/>
      <c r="AG889" s="105"/>
      <c r="AH889" s="105"/>
      <c r="AI889" s="105"/>
      <c r="AJ889" s="105"/>
      <c r="AK889" s="105"/>
      <c r="AL889" s="105"/>
      <c r="AM889" s="105"/>
      <c r="AN889" s="105"/>
      <c r="AO889" s="105"/>
      <c r="AP889" s="105"/>
      <c r="AQ889" s="105"/>
      <c r="AR889" s="105"/>
      <c r="AS889" s="105"/>
      <c r="AT889" s="105"/>
      <c r="AU889" s="105"/>
      <c r="AV889" s="105"/>
      <c r="AW889" s="105"/>
      <c r="AX889" s="105"/>
      <c r="AY889" s="105"/>
      <c r="AZ889" s="105"/>
      <c r="BA889" s="105"/>
      <c r="BB889" s="105"/>
      <c r="BC889" s="105"/>
      <c r="BD889" s="105"/>
      <c r="BE889" s="105"/>
      <c r="BF889" s="105"/>
      <c r="BG889" s="105"/>
      <c r="BH889" s="105"/>
      <c r="BI889" s="105"/>
      <c r="BJ889" s="105"/>
      <c r="BK889" s="105"/>
      <c r="BL889" s="105"/>
      <c r="BM889" s="105"/>
      <c r="BN889" s="105"/>
      <c r="BO889" s="105"/>
      <c r="BP889" s="105"/>
      <c r="BQ889" s="105"/>
      <c r="BR889" s="105"/>
      <c r="BS889" s="105"/>
      <c r="BT889" s="105"/>
      <c r="BU889" s="105"/>
      <c r="BV889" s="105"/>
      <c r="BW889" s="105"/>
      <c r="BX889" s="105"/>
      <c r="BY889" s="105"/>
      <c r="BZ889" s="105"/>
      <c r="CA889" s="105"/>
      <c r="CB889" s="105"/>
      <c r="CC889" s="105"/>
      <c r="CD889" s="105"/>
      <c r="CE889" s="105"/>
      <c r="CF889" s="105"/>
      <c r="CG889" s="105"/>
      <c r="CH889" s="105"/>
      <c r="CI889" s="105"/>
      <c r="CJ889" s="105"/>
      <c r="CK889" s="105"/>
      <c r="CL889" s="105"/>
      <c r="CM889" s="105"/>
      <c r="CN889" s="105"/>
      <c r="CO889" s="105"/>
      <c r="CP889" s="105"/>
      <c r="CQ889" s="105"/>
      <c r="CR889" s="105"/>
      <c r="CS889" s="105"/>
      <c r="CT889" s="105"/>
      <c r="CU889" s="105"/>
      <c r="CV889" s="105"/>
      <c r="CW889" s="105"/>
      <c r="CX889" s="105"/>
      <c r="CY889" s="105"/>
      <c r="CZ889" s="105"/>
      <c r="DA889" s="105"/>
    </row>
    <row r="890">
      <c r="B890" s="105"/>
      <c r="F890" s="105"/>
      <c r="G890" s="105"/>
      <c r="H890" s="105"/>
      <c r="I890" s="105"/>
      <c r="J890" s="105"/>
      <c r="K890" s="105"/>
      <c r="L890" s="105"/>
      <c r="M890" s="105"/>
      <c r="N890" s="105"/>
      <c r="O890" s="105"/>
      <c r="P890" s="105"/>
      <c r="Q890" s="105"/>
      <c r="R890" s="105"/>
      <c r="S890" s="105"/>
      <c r="T890" s="105"/>
      <c r="U890" s="105"/>
      <c r="V890" s="105"/>
      <c r="W890" s="105"/>
      <c r="X890" s="105"/>
      <c r="Y890" s="105"/>
      <c r="Z890" s="105"/>
      <c r="AA890" s="105"/>
      <c r="AB890" s="105"/>
      <c r="AC890" s="105"/>
      <c r="AD890" s="105"/>
      <c r="AE890" s="105"/>
      <c r="AF890" s="105"/>
      <c r="AG890" s="105"/>
      <c r="AH890" s="105"/>
      <c r="AI890" s="105"/>
      <c r="AJ890" s="105"/>
      <c r="AK890" s="105"/>
      <c r="AL890" s="105"/>
      <c r="AM890" s="105"/>
      <c r="AN890" s="105"/>
      <c r="AO890" s="105"/>
      <c r="AP890" s="105"/>
      <c r="AQ890" s="105"/>
      <c r="AR890" s="105"/>
      <c r="AS890" s="105"/>
      <c r="AT890" s="105"/>
      <c r="AU890" s="105"/>
      <c r="AV890" s="105"/>
      <c r="AW890" s="105"/>
      <c r="AX890" s="105"/>
      <c r="AY890" s="105"/>
      <c r="AZ890" s="105"/>
      <c r="BA890" s="105"/>
      <c r="BB890" s="105"/>
      <c r="BC890" s="105"/>
      <c r="BD890" s="105"/>
      <c r="BE890" s="105"/>
      <c r="BF890" s="105"/>
      <c r="BG890" s="105"/>
      <c r="BH890" s="105"/>
      <c r="BI890" s="105"/>
      <c r="BJ890" s="105"/>
      <c r="BK890" s="105"/>
      <c r="BL890" s="105"/>
      <c r="BM890" s="105"/>
      <c r="BN890" s="105"/>
      <c r="BO890" s="105"/>
      <c r="BP890" s="105"/>
      <c r="BQ890" s="105"/>
      <c r="BR890" s="105"/>
      <c r="BS890" s="105"/>
      <c r="BT890" s="105"/>
      <c r="BU890" s="105"/>
      <c r="BV890" s="105"/>
      <c r="BW890" s="105"/>
      <c r="BX890" s="105"/>
      <c r="BY890" s="105"/>
      <c r="BZ890" s="105"/>
      <c r="CA890" s="105"/>
      <c r="CB890" s="105"/>
      <c r="CC890" s="105"/>
      <c r="CD890" s="105"/>
      <c r="CE890" s="105"/>
      <c r="CF890" s="105"/>
      <c r="CG890" s="105"/>
      <c r="CH890" s="105"/>
      <c r="CI890" s="105"/>
      <c r="CJ890" s="105"/>
      <c r="CK890" s="105"/>
      <c r="CL890" s="105"/>
      <c r="CM890" s="105"/>
      <c r="CN890" s="105"/>
      <c r="CO890" s="105"/>
      <c r="CP890" s="105"/>
      <c r="CQ890" s="105"/>
      <c r="CR890" s="105"/>
      <c r="CS890" s="105"/>
      <c r="CT890" s="105"/>
      <c r="CU890" s="105"/>
      <c r="CV890" s="105"/>
      <c r="CW890" s="105"/>
      <c r="CX890" s="105"/>
      <c r="CY890" s="105"/>
      <c r="CZ890" s="105"/>
      <c r="DA890" s="105"/>
    </row>
    <row r="891">
      <c r="B891" s="105"/>
      <c r="F891" s="105"/>
      <c r="G891" s="105"/>
      <c r="H891" s="105"/>
      <c r="I891" s="105"/>
      <c r="J891" s="105"/>
      <c r="K891" s="105"/>
      <c r="L891" s="105"/>
      <c r="M891" s="105"/>
      <c r="N891" s="105"/>
      <c r="O891" s="105"/>
      <c r="P891" s="105"/>
      <c r="Q891" s="105"/>
      <c r="R891" s="105"/>
      <c r="S891" s="105"/>
      <c r="T891" s="105"/>
      <c r="U891" s="105"/>
      <c r="V891" s="105"/>
      <c r="W891" s="105"/>
      <c r="X891" s="105"/>
      <c r="Y891" s="105"/>
      <c r="Z891" s="105"/>
      <c r="AA891" s="105"/>
      <c r="AB891" s="105"/>
      <c r="AC891" s="105"/>
      <c r="AD891" s="105"/>
      <c r="AE891" s="105"/>
      <c r="AF891" s="105"/>
      <c r="AG891" s="105"/>
      <c r="AH891" s="105"/>
      <c r="AI891" s="105"/>
      <c r="AJ891" s="105"/>
      <c r="AK891" s="105"/>
      <c r="AL891" s="105"/>
      <c r="AM891" s="105"/>
      <c r="AN891" s="105"/>
      <c r="AO891" s="105"/>
      <c r="AP891" s="105"/>
      <c r="AQ891" s="105"/>
      <c r="AR891" s="105"/>
      <c r="AS891" s="105"/>
      <c r="AT891" s="105"/>
      <c r="AU891" s="105"/>
      <c r="AV891" s="105"/>
      <c r="AW891" s="105"/>
      <c r="AX891" s="105"/>
      <c r="AY891" s="105"/>
      <c r="AZ891" s="105"/>
      <c r="BA891" s="105"/>
      <c r="BB891" s="105"/>
      <c r="BC891" s="105"/>
      <c r="BD891" s="105"/>
      <c r="BE891" s="105"/>
      <c r="BF891" s="105"/>
      <c r="BG891" s="105"/>
      <c r="BH891" s="105"/>
      <c r="BI891" s="105"/>
      <c r="BJ891" s="105"/>
      <c r="BK891" s="105"/>
      <c r="BL891" s="105"/>
      <c r="BM891" s="105"/>
      <c r="BN891" s="105"/>
      <c r="BO891" s="105"/>
      <c r="BP891" s="105"/>
      <c r="BQ891" s="105"/>
      <c r="BR891" s="105"/>
      <c r="BS891" s="105"/>
      <c r="BT891" s="105"/>
      <c r="BU891" s="105"/>
      <c r="BV891" s="105"/>
      <c r="BW891" s="105"/>
      <c r="BX891" s="105"/>
      <c r="BY891" s="105"/>
      <c r="BZ891" s="105"/>
      <c r="CA891" s="105"/>
      <c r="CB891" s="105"/>
      <c r="CC891" s="105"/>
      <c r="CD891" s="105"/>
      <c r="CE891" s="105"/>
      <c r="CF891" s="105"/>
      <c r="CG891" s="105"/>
      <c r="CH891" s="105"/>
      <c r="CI891" s="105"/>
      <c r="CJ891" s="105"/>
      <c r="CK891" s="105"/>
      <c r="CL891" s="105"/>
      <c r="CM891" s="105"/>
      <c r="CN891" s="105"/>
      <c r="CO891" s="105"/>
      <c r="CP891" s="105"/>
      <c r="CQ891" s="105"/>
      <c r="CR891" s="105"/>
      <c r="CS891" s="105"/>
      <c r="CT891" s="105"/>
      <c r="CU891" s="105"/>
      <c r="CV891" s="105"/>
      <c r="CW891" s="105"/>
      <c r="CX891" s="105"/>
      <c r="CY891" s="105"/>
      <c r="CZ891" s="105"/>
      <c r="DA891" s="105"/>
    </row>
    <row r="892">
      <c r="B892" s="105"/>
      <c r="F892" s="105"/>
      <c r="G892" s="105"/>
      <c r="H892" s="105"/>
      <c r="I892" s="105"/>
      <c r="J892" s="105"/>
      <c r="K892" s="105"/>
      <c r="L892" s="105"/>
      <c r="M892" s="105"/>
      <c r="N892" s="105"/>
      <c r="O892" s="105"/>
      <c r="P892" s="105"/>
      <c r="Q892" s="105"/>
      <c r="R892" s="105"/>
      <c r="S892" s="105"/>
      <c r="T892" s="105"/>
      <c r="U892" s="105"/>
      <c r="V892" s="105"/>
      <c r="W892" s="105"/>
      <c r="X892" s="105"/>
      <c r="Y892" s="105"/>
      <c r="Z892" s="105"/>
      <c r="AA892" s="105"/>
      <c r="AB892" s="105"/>
      <c r="AC892" s="105"/>
      <c r="AD892" s="105"/>
      <c r="AE892" s="105"/>
      <c r="AF892" s="105"/>
      <c r="AG892" s="105"/>
      <c r="AH892" s="105"/>
      <c r="AI892" s="105"/>
      <c r="AJ892" s="105"/>
      <c r="AK892" s="105"/>
      <c r="AL892" s="105"/>
      <c r="AM892" s="105"/>
      <c r="AN892" s="105"/>
      <c r="AO892" s="105"/>
      <c r="AP892" s="105"/>
      <c r="AQ892" s="105"/>
      <c r="AR892" s="105"/>
      <c r="AS892" s="105"/>
      <c r="AT892" s="105"/>
      <c r="AU892" s="105"/>
      <c r="AV892" s="105"/>
      <c r="AW892" s="105"/>
      <c r="AX892" s="105"/>
      <c r="AY892" s="105"/>
      <c r="AZ892" s="105"/>
      <c r="BA892" s="105"/>
      <c r="BB892" s="105"/>
      <c r="BC892" s="105"/>
      <c r="BD892" s="105"/>
      <c r="BE892" s="105"/>
      <c r="BF892" s="105"/>
      <c r="BG892" s="105"/>
      <c r="BH892" s="105"/>
      <c r="BI892" s="105"/>
      <c r="BJ892" s="105"/>
      <c r="BK892" s="105"/>
      <c r="BL892" s="105"/>
      <c r="BM892" s="105"/>
      <c r="BN892" s="105"/>
      <c r="BO892" s="105"/>
      <c r="BP892" s="105"/>
      <c r="BQ892" s="105"/>
      <c r="BR892" s="105"/>
      <c r="BS892" s="105"/>
      <c r="BT892" s="105"/>
      <c r="BU892" s="105"/>
      <c r="BV892" s="105"/>
      <c r="BW892" s="105"/>
      <c r="BX892" s="105"/>
      <c r="BY892" s="105"/>
      <c r="BZ892" s="105"/>
      <c r="CA892" s="105"/>
      <c r="CB892" s="105"/>
      <c r="CC892" s="105"/>
      <c r="CD892" s="105"/>
      <c r="CE892" s="105"/>
      <c r="CF892" s="105"/>
      <c r="CG892" s="105"/>
      <c r="CH892" s="105"/>
      <c r="CI892" s="105"/>
      <c r="CJ892" s="105"/>
      <c r="CK892" s="105"/>
      <c r="CL892" s="105"/>
      <c r="CM892" s="105"/>
      <c r="CN892" s="105"/>
      <c r="CO892" s="105"/>
      <c r="CP892" s="105"/>
      <c r="CQ892" s="105"/>
      <c r="CR892" s="105"/>
      <c r="CS892" s="105"/>
      <c r="CT892" s="105"/>
      <c r="CU892" s="105"/>
      <c r="CV892" s="105"/>
      <c r="CW892" s="105"/>
      <c r="CX892" s="105"/>
      <c r="CY892" s="105"/>
      <c r="CZ892" s="105"/>
      <c r="DA892" s="105"/>
    </row>
    <row r="893">
      <c r="B893" s="105"/>
      <c r="F893" s="105"/>
      <c r="G893" s="105"/>
      <c r="H893" s="105"/>
      <c r="I893" s="105"/>
      <c r="J893" s="105"/>
      <c r="K893" s="105"/>
      <c r="L893" s="105"/>
      <c r="M893" s="105"/>
      <c r="N893" s="105"/>
      <c r="O893" s="105"/>
      <c r="P893" s="105"/>
      <c r="Q893" s="105"/>
      <c r="R893" s="105"/>
      <c r="S893" s="105"/>
      <c r="T893" s="105"/>
      <c r="U893" s="105"/>
      <c r="V893" s="105"/>
      <c r="W893" s="105"/>
      <c r="X893" s="105"/>
      <c r="Y893" s="105"/>
      <c r="Z893" s="105"/>
      <c r="AA893" s="105"/>
      <c r="AB893" s="105"/>
      <c r="AC893" s="105"/>
      <c r="AD893" s="105"/>
      <c r="AE893" s="105"/>
      <c r="AF893" s="105"/>
      <c r="AG893" s="105"/>
      <c r="AH893" s="105"/>
      <c r="AI893" s="105"/>
      <c r="AJ893" s="105"/>
      <c r="AK893" s="105"/>
      <c r="AL893" s="105"/>
      <c r="AM893" s="105"/>
      <c r="AN893" s="105"/>
      <c r="AO893" s="105"/>
      <c r="AP893" s="105"/>
      <c r="AQ893" s="105"/>
      <c r="AR893" s="105"/>
      <c r="AS893" s="105"/>
      <c r="AT893" s="105"/>
      <c r="AU893" s="105"/>
      <c r="AV893" s="105"/>
      <c r="AW893" s="105"/>
      <c r="AX893" s="105"/>
      <c r="AY893" s="105"/>
      <c r="AZ893" s="105"/>
      <c r="BA893" s="105"/>
      <c r="BB893" s="105"/>
      <c r="BC893" s="105"/>
      <c r="BD893" s="105"/>
      <c r="BE893" s="105"/>
      <c r="BF893" s="105"/>
      <c r="BG893" s="105"/>
      <c r="BH893" s="105"/>
      <c r="BI893" s="105"/>
      <c r="BJ893" s="105"/>
      <c r="BK893" s="105"/>
      <c r="BL893" s="105"/>
      <c r="BM893" s="105"/>
      <c r="BN893" s="105"/>
      <c r="BO893" s="105"/>
      <c r="BP893" s="105"/>
      <c r="BQ893" s="105"/>
      <c r="BR893" s="105"/>
      <c r="BS893" s="105"/>
      <c r="BT893" s="105"/>
      <c r="BU893" s="105"/>
      <c r="BV893" s="105"/>
      <c r="BW893" s="105"/>
      <c r="BX893" s="105"/>
      <c r="BY893" s="105"/>
      <c r="BZ893" s="105"/>
      <c r="CA893" s="105"/>
      <c r="CB893" s="105"/>
      <c r="CC893" s="105"/>
      <c r="CD893" s="105"/>
      <c r="CE893" s="105"/>
      <c r="CF893" s="105"/>
      <c r="CG893" s="105"/>
      <c r="CH893" s="105"/>
      <c r="CI893" s="105"/>
      <c r="CJ893" s="105"/>
      <c r="CK893" s="105"/>
      <c r="CL893" s="105"/>
      <c r="CM893" s="105"/>
      <c r="CN893" s="105"/>
      <c r="CO893" s="105"/>
      <c r="CP893" s="105"/>
      <c r="CQ893" s="105"/>
      <c r="CR893" s="105"/>
      <c r="CS893" s="105"/>
      <c r="CT893" s="105"/>
      <c r="CU893" s="105"/>
      <c r="CV893" s="105"/>
      <c r="CW893" s="105"/>
      <c r="CX893" s="105"/>
      <c r="CY893" s="105"/>
      <c r="CZ893" s="105"/>
      <c r="DA893" s="105"/>
    </row>
    <row r="894">
      <c r="B894" s="105"/>
      <c r="F894" s="105"/>
      <c r="G894" s="105"/>
      <c r="H894" s="105"/>
      <c r="I894" s="105"/>
      <c r="J894" s="105"/>
      <c r="K894" s="105"/>
      <c r="L894" s="105"/>
      <c r="M894" s="105"/>
      <c r="N894" s="105"/>
      <c r="O894" s="105"/>
      <c r="P894" s="105"/>
      <c r="Q894" s="105"/>
      <c r="R894" s="105"/>
      <c r="S894" s="105"/>
      <c r="T894" s="105"/>
      <c r="U894" s="105"/>
      <c r="V894" s="105"/>
      <c r="W894" s="105"/>
      <c r="X894" s="105"/>
      <c r="Y894" s="105"/>
      <c r="Z894" s="105"/>
      <c r="AA894" s="105"/>
      <c r="AB894" s="105"/>
      <c r="AC894" s="105"/>
      <c r="AD894" s="105"/>
      <c r="AE894" s="105"/>
      <c r="AF894" s="105"/>
      <c r="AG894" s="105"/>
      <c r="AH894" s="105"/>
      <c r="AI894" s="105"/>
      <c r="AJ894" s="105"/>
      <c r="AK894" s="105"/>
      <c r="AL894" s="105"/>
      <c r="AM894" s="105"/>
      <c r="AN894" s="105"/>
      <c r="AO894" s="105"/>
      <c r="AP894" s="105"/>
      <c r="AQ894" s="105"/>
      <c r="AR894" s="105"/>
      <c r="AS894" s="105"/>
      <c r="AT894" s="105"/>
      <c r="AU894" s="105"/>
      <c r="AV894" s="105"/>
      <c r="AW894" s="105"/>
      <c r="AX894" s="105"/>
      <c r="AY894" s="105"/>
      <c r="AZ894" s="105"/>
      <c r="BA894" s="105"/>
      <c r="BB894" s="105"/>
      <c r="BC894" s="105"/>
      <c r="BD894" s="105"/>
      <c r="BE894" s="105"/>
      <c r="BF894" s="105"/>
      <c r="BG894" s="105"/>
      <c r="BH894" s="105"/>
      <c r="BI894" s="105"/>
      <c r="BJ894" s="105"/>
      <c r="BK894" s="105"/>
      <c r="BL894" s="105"/>
      <c r="BM894" s="105"/>
      <c r="BN894" s="105"/>
      <c r="BO894" s="105"/>
      <c r="BP894" s="105"/>
      <c r="BQ894" s="105"/>
      <c r="BR894" s="105"/>
      <c r="BS894" s="105"/>
      <c r="BT894" s="105"/>
      <c r="BU894" s="105"/>
      <c r="BV894" s="105"/>
      <c r="BW894" s="105"/>
      <c r="BX894" s="105"/>
      <c r="BY894" s="105"/>
      <c r="BZ894" s="105"/>
      <c r="CA894" s="105"/>
      <c r="CB894" s="105"/>
      <c r="CC894" s="105"/>
      <c r="CD894" s="105"/>
      <c r="CE894" s="105"/>
      <c r="CF894" s="105"/>
      <c r="CG894" s="105"/>
      <c r="CH894" s="105"/>
      <c r="CI894" s="105"/>
      <c r="CJ894" s="105"/>
      <c r="CK894" s="105"/>
      <c r="CL894" s="105"/>
      <c r="CM894" s="105"/>
      <c r="CN894" s="105"/>
      <c r="CO894" s="105"/>
      <c r="CP894" s="105"/>
      <c r="CQ894" s="105"/>
      <c r="CR894" s="105"/>
      <c r="CS894" s="105"/>
      <c r="CT894" s="105"/>
      <c r="CU894" s="105"/>
      <c r="CV894" s="105"/>
      <c r="CW894" s="105"/>
      <c r="CX894" s="105"/>
      <c r="CY894" s="105"/>
      <c r="CZ894" s="105"/>
      <c r="DA894" s="105"/>
    </row>
    <row r="895">
      <c r="B895" s="105"/>
      <c r="F895" s="105"/>
      <c r="G895" s="105"/>
      <c r="H895" s="105"/>
      <c r="I895" s="105"/>
      <c r="J895" s="105"/>
      <c r="K895" s="105"/>
      <c r="L895" s="105"/>
      <c r="M895" s="105"/>
      <c r="N895" s="105"/>
      <c r="O895" s="105"/>
      <c r="P895" s="105"/>
      <c r="Q895" s="105"/>
      <c r="R895" s="105"/>
      <c r="S895" s="105"/>
      <c r="T895" s="105"/>
      <c r="U895" s="105"/>
      <c r="V895" s="105"/>
      <c r="W895" s="105"/>
      <c r="X895" s="105"/>
      <c r="Y895" s="105"/>
      <c r="Z895" s="105"/>
      <c r="AA895" s="105"/>
      <c r="AB895" s="105"/>
      <c r="AC895" s="105"/>
      <c r="AD895" s="105"/>
      <c r="AE895" s="105"/>
      <c r="AF895" s="105"/>
      <c r="AG895" s="105"/>
      <c r="AH895" s="105"/>
      <c r="AI895" s="105"/>
      <c r="AJ895" s="105"/>
      <c r="AK895" s="105"/>
      <c r="AL895" s="105"/>
      <c r="AM895" s="105"/>
      <c r="AN895" s="105"/>
      <c r="AO895" s="105"/>
      <c r="AP895" s="105"/>
      <c r="AQ895" s="105"/>
      <c r="AR895" s="105"/>
      <c r="AS895" s="105"/>
      <c r="AT895" s="105"/>
      <c r="AU895" s="105"/>
      <c r="AV895" s="105"/>
      <c r="AW895" s="105"/>
      <c r="AX895" s="105"/>
      <c r="AY895" s="105"/>
      <c r="AZ895" s="105"/>
      <c r="BA895" s="105"/>
      <c r="BB895" s="105"/>
      <c r="BC895" s="105"/>
      <c r="BD895" s="105"/>
      <c r="BE895" s="105"/>
      <c r="BF895" s="105"/>
      <c r="BG895" s="105"/>
      <c r="BH895" s="105"/>
      <c r="BI895" s="105"/>
      <c r="BJ895" s="105"/>
      <c r="BK895" s="105"/>
      <c r="BL895" s="105"/>
      <c r="BM895" s="105"/>
      <c r="BN895" s="105"/>
      <c r="BO895" s="105"/>
      <c r="BP895" s="105"/>
      <c r="BQ895" s="105"/>
      <c r="BR895" s="105"/>
      <c r="BS895" s="105"/>
      <c r="BT895" s="105"/>
      <c r="BU895" s="105"/>
      <c r="BV895" s="105"/>
      <c r="BW895" s="105"/>
      <c r="BX895" s="105"/>
      <c r="BY895" s="105"/>
      <c r="BZ895" s="105"/>
      <c r="CA895" s="105"/>
      <c r="CB895" s="105"/>
      <c r="CC895" s="105"/>
      <c r="CD895" s="105"/>
      <c r="CE895" s="105"/>
      <c r="CF895" s="105"/>
      <c r="CG895" s="105"/>
      <c r="CH895" s="105"/>
      <c r="CI895" s="105"/>
      <c r="CJ895" s="105"/>
      <c r="CK895" s="105"/>
      <c r="CL895" s="105"/>
      <c r="CM895" s="105"/>
      <c r="CN895" s="105"/>
      <c r="CO895" s="105"/>
      <c r="CP895" s="105"/>
      <c r="CQ895" s="105"/>
      <c r="CR895" s="105"/>
      <c r="CS895" s="105"/>
      <c r="CT895" s="105"/>
      <c r="CU895" s="105"/>
      <c r="CV895" s="105"/>
      <c r="CW895" s="105"/>
      <c r="CX895" s="105"/>
      <c r="CY895" s="105"/>
      <c r="CZ895" s="105"/>
      <c r="DA895" s="105"/>
    </row>
    <row r="896">
      <c r="B896" s="105"/>
      <c r="F896" s="105"/>
      <c r="G896" s="105"/>
      <c r="H896" s="105"/>
      <c r="I896" s="105"/>
      <c r="J896" s="105"/>
      <c r="K896" s="105"/>
      <c r="L896" s="105"/>
      <c r="M896" s="105"/>
      <c r="N896" s="105"/>
      <c r="O896" s="105"/>
      <c r="P896" s="105"/>
      <c r="Q896" s="105"/>
      <c r="R896" s="105"/>
      <c r="S896" s="105"/>
      <c r="T896" s="105"/>
      <c r="U896" s="105"/>
      <c r="V896" s="105"/>
      <c r="W896" s="105"/>
      <c r="X896" s="105"/>
      <c r="Y896" s="105"/>
      <c r="Z896" s="105"/>
      <c r="AA896" s="105"/>
      <c r="AB896" s="105"/>
      <c r="AC896" s="105"/>
      <c r="AD896" s="105"/>
      <c r="AE896" s="105"/>
      <c r="AF896" s="105"/>
      <c r="AG896" s="105"/>
      <c r="AH896" s="105"/>
      <c r="AI896" s="105"/>
      <c r="AJ896" s="105"/>
      <c r="AK896" s="105"/>
      <c r="AL896" s="105"/>
      <c r="AM896" s="105"/>
      <c r="AN896" s="105"/>
      <c r="AO896" s="105"/>
      <c r="AP896" s="105"/>
      <c r="AQ896" s="105"/>
      <c r="AR896" s="105"/>
      <c r="AS896" s="105"/>
      <c r="AT896" s="105"/>
      <c r="AU896" s="105"/>
      <c r="AV896" s="105"/>
      <c r="AW896" s="105"/>
      <c r="AX896" s="105"/>
      <c r="AY896" s="105"/>
      <c r="AZ896" s="105"/>
      <c r="BA896" s="105"/>
      <c r="BB896" s="105"/>
      <c r="BC896" s="105"/>
      <c r="BD896" s="105"/>
      <c r="BE896" s="105"/>
      <c r="BF896" s="105"/>
      <c r="BG896" s="105"/>
      <c r="BH896" s="105"/>
      <c r="BI896" s="105"/>
      <c r="BJ896" s="105"/>
      <c r="BK896" s="105"/>
      <c r="BL896" s="105"/>
      <c r="BM896" s="105"/>
      <c r="BN896" s="105"/>
      <c r="BO896" s="105"/>
      <c r="BP896" s="105"/>
      <c r="BQ896" s="105"/>
      <c r="BR896" s="105"/>
      <c r="BS896" s="105"/>
      <c r="BT896" s="105"/>
      <c r="BU896" s="105"/>
      <c r="BV896" s="105"/>
      <c r="BW896" s="105"/>
      <c r="BX896" s="105"/>
      <c r="BY896" s="105"/>
      <c r="BZ896" s="105"/>
      <c r="CA896" s="105"/>
      <c r="CB896" s="105"/>
      <c r="CC896" s="105"/>
      <c r="CD896" s="105"/>
      <c r="CE896" s="105"/>
      <c r="CF896" s="105"/>
      <c r="CG896" s="105"/>
      <c r="CH896" s="105"/>
      <c r="CI896" s="105"/>
      <c r="CJ896" s="105"/>
      <c r="CK896" s="105"/>
      <c r="CL896" s="105"/>
      <c r="CM896" s="105"/>
      <c r="CN896" s="105"/>
      <c r="CO896" s="105"/>
      <c r="CP896" s="105"/>
      <c r="CQ896" s="105"/>
      <c r="CR896" s="105"/>
      <c r="CS896" s="105"/>
      <c r="CT896" s="105"/>
      <c r="CU896" s="105"/>
      <c r="CV896" s="105"/>
      <c r="CW896" s="105"/>
      <c r="CX896" s="105"/>
      <c r="CY896" s="105"/>
      <c r="CZ896" s="105"/>
      <c r="DA896" s="105"/>
    </row>
    <row r="897">
      <c r="B897" s="105"/>
      <c r="F897" s="105"/>
      <c r="G897" s="105"/>
      <c r="H897" s="105"/>
      <c r="I897" s="105"/>
      <c r="J897" s="105"/>
      <c r="K897" s="105"/>
      <c r="L897" s="105"/>
      <c r="M897" s="105"/>
      <c r="N897" s="105"/>
      <c r="O897" s="105"/>
      <c r="P897" s="105"/>
      <c r="Q897" s="105"/>
      <c r="R897" s="105"/>
      <c r="S897" s="105"/>
      <c r="T897" s="105"/>
      <c r="U897" s="105"/>
      <c r="V897" s="105"/>
      <c r="W897" s="105"/>
      <c r="X897" s="105"/>
      <c r="Y897" s="105"/>
      <c r="Z897" s="105"/>
      <c r="AA897" s="105"/>
      <c r="AB897" s="105"/>
      <c r="AC897" s="105"/>
      <c r="AD897" s="105"/>
      <c r="AE897" s="105"/>
      <c r="AF897" s="105"/>
      <c r="AG897" s="105"/>
      <c r="AH897" s="105"/>
      <c r="AI897" s="105"/>
      <c r="AJ897" s="105"/>
      <c r="AK897" s="105"/>
      <c r="AL897" s="105"/>
      <c r="AM897" s="105"/>
      <c r="AN897" s="105"/>
      <c r="AO897" s="105"/>
      <c r="AP897" s="105"/>
      <c r="AQ897" s="105"/>
      <c r="AR897" s="105"/>
      <c r="AS897" s="105"/>
      <c r="AT897" s="105"/>
      <c r="AU897" s="105"/>
      <c r="AV897" s="105"/>
      <c r="AW897" s="105"/>
      <c r="AX897" s="105"/>
      <c r="AY897" s="105"/>
      <c r="AZ897" s="105"/>
      <c r="BA897" s="105"/>
      <c r="BB897" s="105"/>
      <c r="BC897" s="105"/>
      <c r="BD897" s="105"/>
      <c r="BE897" s="105"/>
      <c r="BF897" s="105"/>
      <c r="BG897" s="105"/>
      <c r="BH897" s="105"/>
      <c r="BI897" s="105"/>
      <c r="BJ897" s="105"/>
      <c r="BK897" s="105"/>
      <c r="BL897" s="105"/>
      <c r="BM897" s="105"/>
      <c r="BN897" s="105"/>
      <c r="BO897" s="105"/>
      <c r="BP897" s="105"/>
      <c r="BQ897" s="105"/>
      <c r="BR897" s="105"/>
      <c r="BS897" s="105"/>
      <c r="BT897" s="105"/>
      <c r="BU897" s="105"/>
      <c r="BV897" s="105"/>
      <c r="BW897" s="105"/>
      <c r="BX897" s="105"/>
      <c r="BY897" s="105"/>
      <c r="BZ897" s="105"/>
      <c r="CA897" s="105"/>
      <c r="CB897" s="105"/>
      <c r="CC897" s="105"/>
      <c r="CD897" s="105"/>
      <c r="CE897" s="105"/>
      <c r="CF897" s="105"/>
      <c r="CG897" s="105"/>
      <c r="CH897" s="105"/>
      <c r="CI897" s="105"/>
      <c r="CJ897" s="105"/>
      <c r="CK897" s="105"/>
      <c r="CL897" s="105"/>
      <c r="CM897" s="105"/>
      <c r="CN897" s="105"/>
      <c r="CO897" s="105"/>
      <c r="CP897" s="105"/>
      <c r="CQ897" s="105"/>
      <c r="CR897" s="105"/>
      <c r="CS897" s="105"/>
      <c r="CT897" s="105"/>
      <c r="CU897" s="105"/>
      <c r="CV897" s="105"/>
      <c r="CW897" s="105"/>
      <c r="CX897" s="105"/>
      <c r="CY897" s="105"/>
      <c r="CZ897" s="105"/>
      <c r="DA897" s="105"/>
    </row>
    <row r="898">
      <c r="B898" s="105"/>
      <c r="F898" s="105"/>
      <c r="G898" s="105"/>
      <c r="H898" s="105"/>
      <c r="I898" s="105"/>
      <c r="J898" s="105"/>
      <c r="K898" s="105"/>
      <c r="L898" s="105"/>
      <c r="M898" s="105"/>
      <c r="N898" s="105"/>
      <c r="O898" s="105"/>
      <c r="P898" s="105"/>
      <c r="Q898" s="105"/>
      <c r="R898" s="105"/>
      <c r="S898" s="105"/>
      <c r="T898" s="105"/>
      <c r="U898" s="105"/>
      <c r="V898" s="105"/>
      <c r="W898" s="105"/>
      <c r="X898" s="105"/>
      <c r="Y898" s="105"/>
      <c r="Z898" s="105"/>
      <c r="AA898" s="105"/>
      <c r="AB898" s="105"/>
      <c r="AC898" s="105"/>
      <c r="AD898" s="105"/>
      <c r="AE898" s="105"/>
      <c r="AF898" s="105"/>
      <c r="AG898" s="105"/>
      <c r="AH898" s="105"/>
      <c r="AI898" s="105"/>
      <c r="AJ898" s="105"/>
      <c r="AK898" s="105"/>
      <c r="AL898" s="105"/>
      <c r="AM898" s="105"/>
      <c r="AN898" s="105"/>
      <c r="AO898" s="105"/>
      <c r="AP898" s="105"/>
      <c r="AQ898" s="105"/>
      <c r="AR898" s="105"/>
      <c r="AS898" s="105"/>
      <c r="AT898" s="105"/>
      <c r="AU898" s="105"/>
      <c r="AV898" s="105"/>
      <c r="AW898" s="105"/>
      <c r="AX898" s="105"/>
      <c r="AY898" s="105"/>
      <c r="AZ898" s="105"/>
      <c r="BA898" s="105"/>
      <c r="BB898" s="105"/>
      <c r="BC898" s="105"/>
      <c r="BD898" s="105"/>
      <c r="BE898" s="105"/>
      <c r="BF898" s="105"/>
      <c r="BG898" s="105"/>
      <c r="BH898" s="105"/>
      <c r="BI898" s="105"/>
      <c r="BJ898" s="105"/>
      <c r="BK898" s="105"/>
      <c r="BL898" s="105"/>
      <c r="BM898" s="105"/>
      <c r="BN898" s="105"/>
      <c r="BO898" s="105"/>
      <c r="BP898" s="105"/>
      <c r="BQ898" s="105"/>
      <c r="BR898" s="105"/>
      <c r="BS898" s="105"/>
      <c r="BT898" s="105"/>
      <c r="BU898" s="105"/>
      <c r="BV898" s="105"/>
      <c r="BW898" s="105"/>
      <c r="BX898" s="105"/>
      <c r="BY898" s="105"/>
      <c r="BZ898" s="105"/>
      <c r="CA898" s="105"/>
      <c r="CB898" s="105"/>
      <c r="CC898" s="105"/>
      <c r="CD898" s="105"/>
      <c r="CE898" s="105"/>
      <c r="CF898" s="105"/>
      <c r="CG898" s="105"/>
      <c r="CH898" s="105"/>
      <c r="CI898" s="105"/>
      <c r="CJ898" s="105"/>
      <c r="CK898" s="105"/>
      <c r="CL898" s="105"/>
      <c r="CM898" s="105"/>
      <c r="CN898" s="105"/>
      <c r="CO898" s="105"/>
      <c r="CP898" s="105"/>
      <c r="CQ898" s="105"/>
      <c r="CR898" s="105"/>
      <c r="CS898" s="105"/>
      <c r="CT898" s="105"/>
      <c r="CU898" s="105"/>
      <c r="CV898" s="105"/>
      <c r="CW898" s="105"/>
      <c r="CX898" s="105"/>
      <c r="CY898" s="105"/>
      <c r="CZ898" s="105"/>
      <c r="DA898" s="105"/>
    </row>
    <row r="899">
      <c r="B899" s="105"/>
      <c r="F899" s="105"/>
      <c r="G899" s="105"/>
      <c r="H899" s="105"/>
      <c r="I899" s="105"/>
      <c r="J899" s="105"/>
      <c r="K899" s="105"/>
      <c r="L899" s="105"/>
      <c r="M899" s="105"/>
      <c r="N899" s="105"/>
      <c r="O899" s="105"/>
      <c r="P899" s="105"/>
      <c r="Q899" s="105"/>
      <c r="R899" s="105"/>
      <c r="S899" s="105"/>
      <c r="T899" s="105"/>
      <c r="U899" s="105"/>
      <c r="V899" s="105"/>
      <c r="W899" s="105"/>
      <c r="X899" s="105"/>
      <c r="Y899" s="105"/>
      <c r="Z899" s="105"/>
      <c r="AA899" s="105"/>
      <c r="AB899" s="105"/>
      <c r="AC899" s="105"/>
      <c r="AD899" s="105"/>
      <c r="AE899" s="105"/>
      <c r="AF899" s="105"/>
      <c r="AG899" s="105"/>
      <c r="AH899" s="105"/>
      <c r="AI899" s="105"/>
      <c r="AJ899" s="105"/>
      <c r="AK899" s="105"/>
      <c r="AL899" s="105"/>
      <c r="AM899" s="105"/>
      <c r="AN899" s="105"/>
      <c r="AO899" s="105"/>
      <c r="AP899" s="105"/>
      <c r="AQ899" s="105"/>
      <c r="AR899" s="105"/>
      <c r="AS899" s="105"/>
      <c r="AT899" s="105"/>
      <c r="AU899" s="105"/>
      <c r="AV899" s="105"/>
      <c r="AW899" s="105"/>
      <c r="AX899" s="105"/>
      <c r="AY899" s="105"/>
      <c r="AZ899" s="105"/>
      <c r="BA899" s="105"/>
      <c r="BB899" s="105"/>
      <c r="BC899" s="105"/>
      <c r="BD899" s="105"/>
      <c r="BE899" s="105"/>
      <c r="BF899" s="105"/>
      <c r="BG899" s="105"/>
      <c r="BH899" s="105"/>
      <c r="BI899" s="105"/>
      <c r="BJ899" s="105"/>
      <c r="BK899" s="105"/>
      <c r="BL899" s="105"/>
      <c r="BM899" s="105"/>
      <c r="BN899" s="105"/>
      <c r="BO899" s="105"/>
      <c r="BP899" s="105"/>
      <c r="BQ899" s="105"/>
      <c r="BR899" s="105"/>
      <c r="BS899" s="105"/>
      <c r="BT899" s="105"/>
      <c r="BU899" s="105"/>
      <c r="BV899" s="105"/>
      <c r="BW899" s="105"/>
      <c r="BX899" s="105"/>
      <c r="BY899" s="105"/>
      <c r="BZ899" s="105"/>
      <c r="CA899" s="105"/>
      <c r="CB899" s="105"/>
      <c r="CC899" s="105"/>
      <c r="CD899" s="105"/>
      <c r="CE899" s="105"/>
      <c r="CF899" s="105"/>
      <c r="CG899" s="105"/>
      <c r="CH899" s="105"/>
      <c r="CI899" s="105"/>
      <c r="CJ899" s="105"/>
      <c r="CK899" s="105"/>
      <c r="CL899" s="105"/>
      <c r="CM899" s="105"/>
      <c r="CN899" s="105"/>
      <c r="CO899" s="105"/>
      <c r="CP899" s="105"/>
      <c r="CQ899" s="105"/>
      <c r="CR899" s="105"/>
      <c r="CS899" s="105"/>
      <c r="CT899" s="105"/>
      <c r="CU899" s="105"/>
      <c r="CV899" s="105"/>
      <c r="CW899" s="105"/>
      <c r="CX899" s="105"/>
      <c r="CY899" s="105"/>
      <c r="CZ899" s="105"/>
      <c r="DA899" s="105"/>
    </row>
    <row r="900">
      <c r="B900" s="105"/>
      <c r="F900" s="105"/>
      <c r="G900" s="105"/>
      <c r="H900" s="105"/>
      <c r="I900" s="105"/>
      <c r="J900" s="105"/>
      <c r="K900" s="105"/>
      <c r="L900" s="105"/>
      <c r="M900" s="105"/>
      <c r="N900" s="105"/>
      <c r="O900" s="105"/>
      <c r="P900" s="105"/>
      <c r="Q900" s="105"/>
      <c r="R900" s="105"/>
      <c r="S900" s="105"/>
      <c r="T900" s="105"/>
      <c r="U900" s="105"/>
      <c r="V900" s="105"/>
      <c r="W900" s="105"/>
      <c r="X900" s="105"/>
      <c r="Y900" s="105"/>
      <c r="Z900" s="105"/>
      <c r="AA900" s="105"/>
      <c r="AB900" s="105"/>
      <c r="AC900" s="105"/>
      <c r="AD900" s="105"/>
      <c r="AE900" s="105"/>
      <c r="AF900" s="105"/>
      <c r="AG900" s="105"/>
      <c r="AH900" s="105"/>
      <c r="AI900" s="105"/>
      <c r="AJ900" s="105"/>
      <c r="AK900" s="105"/>
      <c r="AL900" s="105"/>
      <c r="AM900" s="105"/>
      <c r="AN900" s="105"/>
      <c r="AO900" s="105"/>
      <c r="AP900" s="105"/>
      <c r="AQ900" s="105"/>
      <c r="AR900" s="105"/>
      <c r="AS900" s="105"/>
      <c r="AT900" s="105"/>
      <c r="AU900" s="105"/>
      <c r="AV900" s="105"/>
      <c r="AW900" s="105"/>
      <c r="AX900" s="105"/>
      <c r="AY900" s="105"/>
      <c r="AZ900" s="105"/>
      <c r="BA900" s="105"/>
      <c r="BB900" s="105"/>
      <c r="BC900" s="105"/>
      <c r="BD900" s="105"/>
      <c r="BE900" s="105"/>
      <c r="BF900" s="105"/>
      <c r="BG900" s="105"/>
      <c r="BH900" s="105"/>
      <c r="BI900" s="105"/>
      <c r="BJ900" s="105"/>
      <c r="BK900" s="105"/>
      <c r="BL900" s="105"/>
      <c r="BM900" s="105"/>
      <c r="BN900" s="105"/>
      <c r="BO900" s="105"/>
      <c r="BP900" s="105"/>
      <c r="BQ900" s="105"/>
      <c r="BR900" s="105"/>
      <c r="BS900" s="105"/>
      <c r="BT900" s="105"/>
      <c r="BU900" s="105"/>
      <c r="BV900" s="105"/>
      <c r="BW900" s="105"/>
      <c r="BX900" s="105"/>
      <c r="BY900" s="105"/>
      <c r="BZ900" s="105"/>
      <c r="CA900" s="105"/>
      <c r="CB900" s="105"/>
      <c r="CC900" s="105"/>
      <c r="CD900" s="105"/>
      <c r="CE900" s="105"/>
      <c r="CF900" s="105"/>
      <c r="CG900" s="105"/>
      <c r="CH900" s="105"/>
      <c r="CI900" s="105"/>
      <c r="CJ900" s="105"/>
      <c r="CK900" s="105"/>
      <c r="CL900" s="105"/>
      <c r="CM900" s="105"/>
      <c r="CN900" s="105"/>
      <c r="CO900" s="105"/>
      <c r="CP900" s="105"/>
      <c r="CQ900" s="105"/>
      <c r="CR900" s="105"/>
      <c r="CS900" s="105"/>
      <c r="CT900" s="105"/>
      <c r="CU900" s="105"/>
      <c r="CV900" s="105"/>
      <c r="CW900" s="105"/>
      <c r="CX900" s="105"/>
      <c r="CY900" s="105"/>
      <c r="CZ900" s="105"/>
      <c r="DA900" s="105"/>
    </row>
    <row r="901">
      <c r="B901" s="105"/>
      <c r="F901" s="105"/>
      <c r="G901" s="105"/>
      <c r="H901" s="105"/>
      <c r="I901" s="105"/>
      <c r="J901" s="105"/>
      <c r="K901" s="105"/>
      <c r="L901" s="105"/>
      <c r="M901" s="105"/>
      <c r="N901" s="105"/>
      <c r="O901" s="105"/>
      <c r="P901" s="105"/>
      <c r="Q901" s="105"/>
      <c r="R901" s="105"/>
      <c r="S901" s="105"/>
      <c r="T901" s="105"/>
      <c r="U901" s="105"/>
      <c r="V901" s="105"/>
      <c r="W901" s="105"/>
      <c r="X901" s="105"/>
      <c r="Y901" s="105"/>
      <c r="Z901" s="105"/>
      <c r="AA901" s="105"/>
      <c r="AB901" s="105"/>
      <c r="AC901" s="105"/>
      <c r="AD901" s="105"/>
      <c r="AE901" s="105"/>
      <c r="AF901" s="105"/>
      <c r="AG901" s="105"/>
      <c r="AH901" s="105"/>
      <c r="AI901" s="105"/>
      <c r="AJ901" s="105"/>
      <c r="AK901" s="105"/>
      <c r="AL901" s="105"/>
      <c r="AM901" s="105"/>
      <c r="AN901" s="105"/>
      <c r="AO901" s="105"/>
      <c r="AP901" s="105"/>
      <c r="AQ901" s="105"/>
      <c r="AR901" s="105"/>
      <c r="AS901" s="105"/>
      <c r="AT901" s="105"/>
      <c r="AU901" s="105"/>
      <c r="AV901" s="105"/>
      <c r="AW901" s="105"/>
      <c r="AX901" s="105"/>
      <c r="AY901" s="105"/>
      <c r="AZ901" s="105"/>
      <c r="BA901" s="105"/>
      <c r="BB901" s="105"/>
      <c r="BC901" s="105"/>
      <c r="BD901" s="105"/>
      <c r="BE901" s="105"/>
      <c r="BF901" s="105"/>
      <c r="BG901" s="105"/>
      <c r="BH901" s="105"/>
      <c r="BI901" s="105"/>
      <c r="BJ901" s="105"/>
      <c r="BK901" s="105"/>
      <c r="BL901" s="105"/>
      <c r="BM901" s="105"/>
      <c r="BN901" s="105"/>
      <c r="BO901" s="105"/>
      <c r="BP901" s="105"/>
      <c r="BQ901" s="105"/>
      <c r="BR901" s="105"/>
      <c r="BS901" s="105"/>
      <c r="BT901" s="105"/>
      <c r="BU901" s="105"/>
      <c r="BV901" s="105"/>
      <c r="BW901" s="105"/>
      <c r="BX901" s="105"/>
      <c r="BY901" s="105"/>
      <c r="BZ901" s="105"/>
      <c r="CA901" s="105"/>
      <c r="CB901" s="105"/>
      <c r="CC901" s="105"/>
      <c r="CD901" s="105"/>
      <c r="CE901" s="105"/>
      <c r="CF901" s="105"/>
      <c r="CG901" s="105"/>
      <c r="CH901" s="105"/>
      <c r="CI901" s="105"/>
      <c r="CJ901" s="105"/>
      <c r="CK901" s="105"/>
      <c r="CL901" s="105"/>
      <c r="CM901" s="105"/>
      <c r="CN901" s="105"/>
      <c r="CO901" s="105"/>
      <c r="CP901" s="105"/>
      <c r="CQ901" s="105"/>
      <c r="CR901" s="105"/>
      <c r="CS901" s="105"/>
      <c r="CT901" s="105"/>
      <c r="CU901" s="105"/>
      <c r="CV901" s="105"/>
      <c r="CW901" s="105"/>
      <c r="CX901" s="105"/>
      <c r="CY901" s="105"/>
      <c r="CZ901" s="105"/>
      <c r="DA901" s="105"/>
    </row>
    <row r="902">
      <c r="B902" s="105"/>
      <c r="F902" s="105"/>
      <c r="G902" s="105"/>
      <c r="H902" s="105"/>
      <c r="I902" s="105"/>
      <c r="J902" s="105"/>
      <c r="K902" s="105"/>
      <c r="L902" s="105"/>
      <c r="M902" s="105"/>
      <c r="N902" s="105"/>
      <c r="O902" s="105"/>
      <c r="P902" s="105"/>
      <c r="Q902" s="105"/>
      <c r="R902" s="105"/>
      <c r="S902" s="105"/>
      <c r="T902" s="105"/>
      <c r="U902" s="105"/>
      <c r="V902" s="105"/>
      <c r="W902" s="105"/>
      <c r="X902" s="105"/>
      <c r="Y902" s="105"/>
      <c r="Z902" s="105"/>
      <c r="AA902" s="105"/>
      <c r="AB902" s="105"/>
      <c r="AC902" s="105"/>
      <c r="AD902" s="105"/>
      <c r="AE902" s="105"/>
      <c r="AF902" s="105"/>
      <c r="AG902" s="105"/>
      <c r="AH902" s="105"/>
      <c r="AI902" s="105"/>
      <c r="AJ902" s="105"/>
      <c r="AK902" s="105"/>
      <c r="AL902" s="105"/>
      <c r="AM902" s="105"/>
      <c r="AN902" s="105"/>
      <c r="AO902" s="105"/>
      <c r="AP902" s="105"/>
      <c r="AQ902" s="105"/>
      <c r="AR902" s="105"/>
      <c r="AS902" s="105"/>
      <c r="AT902" s="105"/>
      <c r="AU902" s="105"/>
      <c r="AV902" s="105"/>
      <c r="AW902" s="105"/>
      <c r="AX902" s="105"/>
      <c r="AY902" s="105"/>
      <c r="AZ902" s="105"/>
      <c r="BA902" s="105"/>
      <c r="BB902" s="105"/>
      <c r="BC902" s="105"/>
      <c r="BD902" s="105"/>
      <c r="BE902" s="105"/>
      <c r="BF902" s="105"/>
      <c r="BG902" s="105"/>
      <c r="BH902" s="105"/>
      <c r="BI902" s="105"/>
      <c r="BJ902" s="105"/>
      <c r="BK902" s="105"/>
      <c r="BL902" s="105"/>
      <c r="BM902" s="105"/>
      <c r="BN902" s="105"/>
      <c r="BO902" s="105"/>
      <c r="BP902" s="105"/>
      <c r="BQ902" s="105"/>
      <c r="BR902" s="105"/>
      <c r="BS902" s="105"/>
      <c r="BT902" s="105"/>
      <c r="BU902" s="105"/>
      <c r="BV902" s="105"/>
      <c r="BW902" s="105"/>
      <c r="BX902" s="105"/>
      <c r="BY902" s="105"/>
      <c r="BZ902" s="105"/>
      <c r="CA902" s="105"/>
      <c r="CB902" s="105"/>
      <c r="CC902" s="105"/>
      <c r="CD902" s="105"/>
      <c r="CE902" s="105"/>
      <c r="CF902" s="105"/>
      <c r="CG902" s="105"/>
      <c r="CH902" s="105"/>
      <c r="CI902" s="105"/>
      <c r="CJ902" s="105"/>
      <c r="CK902" s="105"/>
      <c r="CL902" s="105"/>
      <c r="CM902" s="105"/>
      <c r="CN902" s="105"/>
      <c r="CO902" s="105"/>
      <c r="CP902" s="105"/>
      <c r="CQ902" s="105"/>
      <c r="CR902" s="105"/>
      <c r="CS902" s="105"/>
      <c r="CT902" s="105"/>
      <c r="CU902" s="105"/>
      <c r="CV902" s="105"/>
      <c r="CW902" s="105"/>
      <c r="CX902" s="105"/>
      <c r="CY902" s="105"/>
      <c r="CZ902" s="105"/>
      <c r="DA902" s="105"/>
    </row>
    <row r="903">
      <c r="B903" s="105"/>
      <c r="F903" s="105"/>
      <c r="G903" s="105"/>
      <c r="H903" s="105"/>
      <c r="I903" s="105"/>
      <c r="J903" s="105"/>
      <c r="K903" s="105"/>
      <c r="L903" s="105"/>
      <c r="M903" s="105"/>
      <c r="N903" s="105"/>
      <c r="O903" s="105"/>
      <c r="P903" s="105"/>
      <c r="Q903" s="105"/>
      <c r="R903" s="105"/>
      <c r="S903" s="105"/>
      <c r="T903" s="105"/>
      <c r="U903" s="105"/>
      <c r="V903" s="105"/>
      <c r="W903" s="105"/>
      <c r="X903" s="105"/>
      <c r="Y903" s="105"/>
      <c r="Z903" s="105"/>
      <c r="AA903" s="105"/>
      <c r="AB903" s="105"/>
      <c r="AC903" s="105"/>
      <c r="AD903" s="105"/>
      <c r="AE903" s="105"/>
      <c r="AF903" s="105"/>
      <c r="AG903" s="105"/>
      <c r="AH903" s="105"/>
      <c r="AI903" s="105"/>
      <c r="AJ903" s="105"/>
      <c r="AK903" s="105"/>
      <c r="AL903" s="105"/>
      <c r="AM903" s="105"/>
      <c r="AN903" s="105"/>
      <c r="AO903" s="105"/>
      <c r="AP903" s="105"/>
      <c r="AQ903" s="105"/>
      <c r="AR903" s="105"/>
      <c r="AS903" s="105"/>
      <c r="AT903" s="105"/>
      <c r="AU903" s="105"/>
      <c r="AV903" s="105"/>
      <c r="AW903" s="105"/>
      <c r="AX903" s="105"/>
      <c r="AY903" s="105"/>
      <c r="AZ903" s="105"/>
      <c r="BA903" s="105"/>
      <c r="BB903" s="105"/>
      <c r="BC903" s="105"/>
      <c r="BD903" s="105"/>
      <c r="BE903" s="105"/>
      <c r="BF903" s="105"/>
      <c r="BG903" s="105"/>
      <c r="BH903" s="105"/>
      <c r="BI903" s="105"/>
      <c r="BJ903" s="105"/>
      <c r="BK903" s="105"/>
      <c r="BL903" s="105"/>
      <c r="BM903" s="105"/>
      <c r="BN903" s="105"/>
      <c r="BO903" s="105"/>
      <c r="BP903" s="105"/>
      <c r="BQ903" s="105"/>
      <c r="BR903" s="105"/>
      <c r="BS903" s="105"/>
      <c r="BT903" s="105"/>
      <c r="BU903" s="105"/>
      <c r="BV903" s="105"/>
      <c r="BW903" s="105"/>
      <c r="BX903" s="105"/>
      <c r="BY903" s="105"/>
      <c r="BZ903" s="105"/>
      <c r="CA903" s="105"/>
      <c r="CB903" s="105"/>
      <c r="CC903" s="105"/>
      <c r="CD903" s="105"/>
      <c r="CE903" s="105"/>
      <c r="CF903" s="105"/>
      <c r="CG903" s="105"/>
      <c r="CH903" s="105"/>
      <c r="CI903" s="105"/>
      <c r="CJ903" s="105"/>
      <c r="CK903" s="105"/>
      <c r="CL903" s="105"/>
      <c r="CM903" s="105"/>
      <c r="CN903" s="105"/>
      <c r="CO903" s="105"/>
      <c r="CP903" s="105"/>
      <c r="CQ903" s="105"/>
      <c r="CR903" s="105"/>
      <c r="CS903" s="105"/>
      <c r="CT903" s="105"/>
      <c r="CU903" s="105"/>
      <c r="CV903" s="105"/>
      <c r="CW903" s="105"/>
      <c r="CX903" s="105"/>
      <c r="CY903" s="105"/>
      <c r="CZ903" s="105"/>
      <c r="DA903" s="105"/>
    </row>
    <row r="904">
      <c r="B904" s="105"/>
      <c r="F904" s="105"/>
      <c r="G904" s="105"/>
      <c r="H904" s="105"/>
      <c r="I904" s="105"/>
      <c r="J904" s="105"/>
      <c r="K904" s="105"/>
      <c r="L904" s="105"/>
      <c r="M904" s="105"/>
      <c r="N904" s="105"/>
      <c r="O904" s="105"/>
      <c r="P904" s="105"/>
      <c r="Q904" s="105"/>
      <c r="R904" s="105"/>
      <c r="S904" s="105"/>
      <c r="T904" s="105"/>
      <c r="U904" s="105"/>
      <c r="V904" s="105"/>
      <c r="W904" s="105"/>
      <c r="X904" s="105"/>
      <c r="Y904" s="105"/>
      <c r="Z904" s="105"/>
      <c r="AA904" s="105"/>
      <c r="AB904" s="105"/>
      <c r="AC904" s="105"/>
      <c r="AD904" s="105"/>
      <c r="AE904" s="105"/>
      <c r="AF904" s="105"/>
      <c r="AG904" s="105"/>
      <c r="AH904" s="105"/>
      <c r="AI904" s="105"/>
      <c r="AJ904" s="105"/>
      <c r="AK904" s="105"/>
      <c r="AL904" s="105"/>
      <c r="AM904" s="105"/>
      <c r="AN904" s="105"/>
      <c r="AO904" s="105"/>
      <c r="AP904" s="105"/>
      <c r="AQ904" s="105"/>
      <c r="AR904" s="105"/>
      <c r="AS904" s="105"/>
      <c r="AT904" s="105"/>
      <c r="AU904" s="105"/>
      <c r="AV904" s="105"/>
      <c r="AW904" s="105"/>
      <c r="AX904" s="105"/>
      <c r="AY904" s="105"/>
      <c r="AZ904" s="105"/>
      <c r="BA904" s="105"/>
      <c r="BB904" s="105"/>
      <c r="BC904" s="105"/>
      <c r="BD904" s="105"/>
      <c r="BE904" s="105"/>
      <c r="BF904" s="105"/>
      <c r="BG904" s="105"/>
      <c r="BH904" s="105"/>
      <c r="BI904" s="105"/>
      <c r="BJ904" s="105"/>
      <c r="BK904" s="105"/>
      <c r="BL904" s="105"/>
      <c r="BM904" s="105"/>
      <c r="BN904" s="105"/>
      <c r="BO904" s="105"/>
      <c r="BP904" s="105"/>
      <c r="BQ904" s="105"/>
      <c r="BR904" s="105"/>
      <c r="BS904" s="105"/>
      <c r="BT904" s="105"/>
      <c r="BU904" s="105"/>
      <c r="BV904" s="105"/>
      <c r="BW904" s="105"/>
      <c r="BX904" s="105"/>
      <c r="BY904" s="105"/>
      <c r="BZ904" s="105"/>
      <c r="CA904" s="105"/>
      <c r="CB904" s="105"/>
      <c r="CC904" s="105"/>
      <c r="CD904" s="105"/>
      <c r="CE904" s="105"/>
      <c r="CF904" s="105"/>
      <c r="CG904" s="105"/>
      <c r="CH904" s="105"/>
      <c r="CI904" s="105"/>
      <c r="CJ904" s="105"/>
      <c r="CK904" s="105"/>
      <c r="CL904" s="105"/>
      <c r="CM904" s="105"/>
      <c r="CN904" s="105"/>
      <c r="CO904" s="105"/>
      <c r="CP904" s="105"/>
      <c r="CQ904" s="105"/>
      <c r="CR904" s="105"/>
      <c r="CS904" s="105"/>
      <c r="CT904" s="105"/>
      <c r="CU904" s="105"/>
      <c r="CV904" s="105"/>
      <c r="CW904" s="105"/>
      <c r="CX904" s="105"/>
      <c r="CY904" s="105"/>
      <c r="CZ904" s="105"/>
      <c r="DA904" s="105"/>
    </row>
    <row r="905">
      <c r="B905" s="105"/>
      <c r="F905" s="105"/>
      <c r="G905" s="105"/>
      <c r="H905" s="105"/>
      <c r="I905" s="105"/>
      <c r="J905" s="105"/>
      <c r="K905" s="105"/>
      <c r="L905" s="105"/>
      <c r="M905" s="105"/>
      <c r="N905" s="105"/>
      <c r="O905" s="105"/>
      <c r="P905" s="105"/>
      <c r="Q905" s="105"/>
      <c r="R905" s="105"/>
      <c r="S905" s="105"/>
      <c r="T905" s="105"/>
      <c r="U905" s="105"/>
      <c r="V905" s="105"/>
      <c r="W905" s="105"/>
      <c r="X905" s="105"/>
      <c r="Y905" s="105"/>
      <c r="Z905" s="105"/>
      <c r="AA905" s="105"/>
      <c r="AB905" s="105"/>
      <c r="AC905" s="105"/>
      <c r="AD905" s="105"/>
      <c r="AE905" s="105"/>
      <c r="AF905" s="105"/>
      <c r="AG905" s="105"/>
      <c r="AH905" s="105"/>
      <c r="AI905" s="105"/>
      <c r="AJ905" s="105"/>
      <c r="AK905" s="105"/>
      <c r="AL905" s="105"/>
      <c r="AM905" s="105"/>
      <c r="AN905" s="105"/>
      <c r="AO905" s="105"/>
      <c r="AP905" s="105"/>
      <c r="AQ905" s="105"/>
      <c r="AR905" s="105"/>
      <c r="AS905" s="105"/>
      <c r="AT905" s="105"/>
      <c r="AU905" s="105"/>
      <c r="AV905" s="105"/>
      <c r="AW905" s="105"/>
      <c r="AX905" s="105"/>
      <c r="AY905" s="105"/>
      <c r="AZ905" s="105"/>
      <c r="BA905" s="105"/>
      <c r="BB905" s="105"/>
      <c r="BC905" s="105"/>
      <c r="BD905" s="105"/>
      <c r="BE905" s="105"/>
      <c r="BF905" s="105"/>
      <c r="BG905" s="105"/>
      <c r="BH905" s="105"/>
      <c r="BI905" s="105"/>
      <c r="BJ905" s="105"/>
      <c r="BK905" s="105"/>
      <c r="BL905" s="105"/>
      <c r="BM905" s="105"/>
      <c r="BN905" s="105"/>
      <c r="BO905" s="105"/>
      <c r="BP905" s="105"/>
      <c r="BQ905" s="105"/>
      <c r="BR905" s="105"/>
      <c r="BS905" s="105"/>
      <c r="BT905" s="105"/>
      <c r="BU905" s="105"/>
      <c r="BV905" s="105"/>
      <c r="BW905" s="105"/>
      <c r="BX905" s="105"/>
      <c r="BY905" s="105"/>
      <c r="BZ905" s="105"/>
      <c r="CA905" s="105"/>
      <c r="CB905" s="105"/>
      <c r="CC905" s="105"/>
      <c r="CD905" s="105"/>
      <c r="CE905" s="105"/>
      <c r="CF905" s="105"/>
      <c r="CG905" s="105"/>
      <c r="CH905" s="105"/>
      <c r="CI905" s="105"/>
      <c r="CJ905" s="105"/>
      <c r="CK905" s="105"/>
      <c r="CL905" s="105"/>
      <c r="CM905" s="105"/>
      <c r="CN905" s="105"/>
      <c r="CO905" s="105"/>
      <c r="CP905" s="105"/>
      <c r="CQ905" s="105"/>
      <c r="CR905" s="105"/>
      <c r="CS905" s="105"/>
      <c r="CT905" s="105"/>
      <c r="CU905" s="105"/>
      <c r="CV905" s="105"/>
      <c r="CW905" s="105"/>
      <c r="CX905" s="105"/>
      <c r="CY905" s="105"/>
      <c r="CZ905" s="105"/>
      <c r="DA905" s="105"/>
    </row>
    <row r="906">
      <c r="B906" s="105"/>
      <c r="F906" s="105"/>
      <c r="G906" s="105"/>
      <c r="H906" s="105"/>
      <c r="I906" s="105"/>
      <c r="J906" s="105"/>
      <c r="K906" s="105"/>
      <c r="L906" s="105"/>
      <c r="M906" s="105"/>
      <c r="N906" s="105"/>
      <c r="O906" s="105"/>
      <c r="P906" s="105"/>
      <c r="Q906" s="105"/>
      <c r="R906" s="105"/>
      <c r="S906" s="105"/>
      <c r="T906" s="105"/>
      <c r="U906" s="105"/>
      <c r="V906" s="105"/>
      <c r="W906" s="105"/>
      <c r="X906" s="105"/>
      <c r="Y906" s="105"/>
      <c r="Z906" s="105"/>
      <c r="AA906" s="105"/>
      <c r="AB906" s="105"/>
      <c r="AC906" s="105"/>
      <c r="AD906" s="105"/>
      <c r="AE906" s="105"/>
      <c r="AF906" s="105"/>
      <c r="AG906" s="105"/>
      <c r="AH906" s="105"/>
      <c r="AI906" s="105"/>
      <c r="AJ906" s="105"/>
      <c r="AK906" s="105"/>
      <c r="AL906" s="105"/>
      <c r="AM906" s="105"/>
      <c r="AN906" s="105"/>
      <c r="AO906" s="105"/>
      <c r="AP906" s="105"/>
      <c r="AQ906" s="105"/>
      <c r="AR906" s="105"/>
      <c r="AS906" s="105"/>
      <c r="AT906" s="105"/>
      <c r="AU906" s="105"/>
      <c r="AV906" s="105"/>
      <c r="AW906" s="105"/>
      <c r="AX906" s="105"/>
      <c r="AY906" s="105"/>
      <c r="AZ906" s="105"/>
      <c r="BA906" s="105"/>
      <c r="BB906" s="105"/>
      <c r="BC906" s="105"/>
      <c r="BD906" s="105"/>
      <c r="BE906" s="105"/>
      <c r="BF906" s="105"/>
      <c r="BG906" s="105"/>
      <c r="BH906" s="105"/>
      <c r="BI906" s="105"/>
      <c r="BJ906" s="105"/>
      <c r="BK906" s="105"/>
      <c r="BL906" s="105"/>
      <c r="BM906" s="105"/>
      <c r="BN906" s="105"/>
      <c r="BO906" s="105"/>
      <c r="BP906" s="105"/>
      <c r="BQ906" s="105"/>
      <c r="BR906" s="105"/>
      <c r="BS906" s="105"/>
      <c r="BT906" s="105"/>
      <c r="BU906" s="105"/>
      <c r="BV906" s="105"/>
      <c r="BW906" s="105"/>
      <c r="BX906" s="105"/>
      <c r="BY906" s="105"/>
      <c r="BZ906" s="105"/>
      <c r="CA906" s="105"/>
      <c r="CB906" s="105"/>
      <c r="CC906" s="105"/>
      <c r="CD906" s="105"/>
      <c r="CE906" s="105"/>
      <c r="CF906" s="105"/>
      <c r="CG906" s="105"/>
      <c r="CH906" s="105"/>
      <c r="CI906" s="105"/>
      <c r="CJ906" s="105"/>
      <c r="CK906" s="105"/>
      <c r="CL906" s="105"/>
      <c r="CM906" s="105"/>
      <c r="CN906" s="105"/>
      <c r="CO906" s="105"/>
      <c r="CP906" s="105"/>
      <c r="CQ906" s="105"/>
      <c r="CR906" s="105"/>
      <c r="CS906" s="105"/>
      <c r="CT906" s="105"/>
      <c r="CU906" s="105"/>
      <c r="CV906" s="105"/>
      <c r="CW906" s="105"/>
      <c r="CX906" s="105"/>
      <c r="CY906" s="105"/>
      <c r="CZ906" s="105"/>
      <c r="DA906" s="105"/>
    </row>
    <row r="907">
      <c r="B907" s="105"/>
      <c r="F907" s="105"/>
      <c r="G907" s="105"/>
      <c r="H907" s="105"/>
      <c r="I907" s="105"/>
      <c r="J907" s="105"/>
      <c r="K907" s="105"/>
      <c r="L907" s="105"/>
      <c r="M907" s="105"/>
      <c r="N907" s="105"/>
      <c r="O907" s="105"/>
      <c r="P907" s="105"/>
      <c r="Q907" s="105"/>
      <c r="R907" s="105"/>
      <c r="S907" s="105"/>
      <c r="T907" s="105"/>
      <c r="U907" s="105"/>
      <c r="V907" s="105"/>
      <c r="W907" s="105"/>
      <c r="X907" s="105"/>
      <c r="Y907" s="105"/>
      <c r="Z907" s="105"/>
      <c r="AA907" s="105"/>
      <c r="AB907" s="105"/>
      <c r="AC907" s="105"/>
      <c r="AD907" s="105"/>
      <c r="AE907" s="105"/>
      <c r="AF907" s="105"/>
      <c r="AG907" s="105"/>
      <c r="AH907" s="105"/>
      <c r="AI907" s="105"/>
      <c r="AJ907" s="105"/>
      <c r="AK907" s="105"/>
      <c r="AL907" s="105"/>
      <c r="AM907" s="105"/>
      <c r="AN907" s="105"/>
      <c r="AO907" s="105"/>
      <c r="AP907" s="105"/>
      <c r="AQ907" s="105"/>
      <c r="AR907" s="105"/>
      <c r="AS907" s="105"/>
      <c r="AT907" s="105"/>
      <c r="AU907" s="105"/>
      <c r="AV907" s="105"/>
      <c r="AW907" s="105"/>
      <c r="AX907" s="105"/>
      <c r="AY907" s="105"/>
      <c r="AZ907" s="105"/>
      <c r="BA907" s="105"/>
      <c r="BB907" s="105"/>
      <c r="BC907" s="105"/>
      <c r="BD907" s="105"/>
      <c r="BE907" s="105"/>
      <c r="BF907" s="105"/>
      <c r="BG907" s="105"/>
      <c r="BH907" s="105"/>
      <c r="BI907" s="105"/>
      <c r="BJ907" s="105"/>
      <c r="BK907" s="105"/>
      <c r="BL907" s="105"/>
      <c r="BM907" s="105"/>
      <c r="BN907" s="105"/>
      <c r="BO907" s="105"/>
      <c r="BP907" s="105"/>
      <c r="BQ907" s="105"/>
      <c r="BR907" s="105"/>
      <c r="BS907" s="105"/>
      <c r="BT907" s="105"/>
      <c r="BU907" s="105"/>
      <c r="BV907" s="105"/>
      <c r="BW907" s="105"/>
      <c r="BX907" s="105"/>
      <c r="BY907" s="105"/>
      <c r="BZ907" s="105"/>
      <c r="CA907" s="105"/>
      <c r="CB907" s="105"/>
      <c r="CC907" s="105"/>
      <c r="CD907" s="105"/>
      <c r="CE907" s="105"/>
      <c r="CF907" s="105"/>
      <c r="CG907" s="105"/>
      <c r="CH907" s="105"/>
      <c r="CI907" s="105"/>
      <c r="CJ907" s="105"/>
      <c r="CK907" s="105"/>
      <c r="CL907" s="105"/>
      <c r="CM907" s="105"/>
      <c r="CN907" s="105"/>
      <c r="CO907" s="105"/>
      <c r="CP907" s="105"/>
      <c r="CQ907" s="105"/>
      <c r="CR907" s="105"/>
      <c r="CS907" s="105"/>
      <c r="CT907" s="105"/>
      <c r="CU907" s="105"/>
      <c r="CV907" s="105"/>
      <c r="CW907" s="105"/>
      <c r="CX907" s="105"/>
      <c r="CY907" s="105"/>
      <c r="CZ907" s="105"/>
      <c r="DA907" s="105"/>
    </row>
    <row r="908">
      <c r="B908" s="105"/>
      <c r="F908" s="105"/>
      <c r="G908" s="105"/>
      <c r="H908" s="105"/>
      <c r="I908" s="105"/>
      <c r="J908" s="105"/>
      <c r="K908" s="105"/>
      <c r="L908" s="105"/>
      <c r="M908" s="105"/>
      <c r="N908" s="105"/>
      <c r="O908" s="105"/>
      <c r="P908" s="105"/>
      <c r="Q908" s="105"/>
      <c r="R908" s="105"/>
      <c r="S908" s="105"/>
      <c r="T908" s="105"/>
      <c r="U908" s="105"/>
      <c r="V908" s="105"/>
      <c r="W908" s="105"/>
      <c r="X908" s="105"/>
      <c r="Y908" s="105"/>
      <c r="Z908" s="105"/>
      <c r="AA908" s="105"/>
      <c r="AB908" s="105"/>
      <c r="AC908" s="105"/>
      <c r="AD908" s="105"/>
      <c r="AE908" s="105"/>
      <c r="AF908" s="105"/>
      <c r="AG908" s="105"/>
      <c r="AH908" s="105"/>
      <c r="AI908" s="105"/>
      <c r="AJ908" s="105"/>
      <c r="AK908" s="105"/>
      <c r="AL908" s="105"/>
      <c r="AM908" s="105"/>
      <c r="AN908" s="105"/>
      <c r="AO908" s="105"/>
      <c r="AP908" s="105"/>
      <c r="AQ908" s="105"/>
      <c r="AR908" s="105"/>
      <c r="AS908" s="105"/>
      <c r="AT908" s="105"/>
      <c r="AU908" s="105"/>
      <c r="AV908" s="105"/>
      <c r="AW908" s="105"/>
      <c r="AX908" s="105"/>
      <c r="AY908" s="105"/>
      <c r="AZ908" s="105"/>
      <c r="BA908" s="105"/>
      <c r="BB908" s="105"/>
      <c r="BC908" s="105"/>
      <c r="BD908" s="105"/>
      <c r="BE908" s="105"/>
      <c r="BF908" s="105"/>
      <c r="BG908" s="105"/>
      <c r="BH908" s="105"/>
      <c r="BI908" s="105"/>
      <c r="BJ908" s="105"/>
      <c r="BK908" s="105"/>
      <c r="BL908" s="105"/>
      <c r="BM908" s="105"/>
      <c r="BN908" s="105"/>
      <c r="BO908" s="105"/>
      <c r="BP908" s="105"/>
      <c r="BQ908" s="105"/>
      <c r="BR908" s="105"/>
      <c r="BS908" s="105"/>
      <c r="BT908" s="105"/>
      <c r="BU908" s="105"/>
      <c r="BV908" s="105"/>
      <c r="BW908" s="105"/>
      <c r="BX908" s="105"/>
      <c r="BY908" s="105"/>
      <c r="BZ908" s="105"/>
      <c r="CA908" s="105"/>
      <c r="CB908" s="105"/>
      <c r="CC908" s="105"/>
      <c r="CD908" s="105"/>
      <c r="CE908" s="105"/>
      <c r="CF908" s="105"/>
      <c r="CG908" s="105"/>
      <c r="CH908" s="105"/>
      <c r="CI908" s="105"/>
      <c r="CJ908" s="105"/>
      <c r="CK908" s="105"/>
      <c r="CL908" s="105"/>
      <c r="CM908" s="105"/>
      <c r="CN908" s="105"/>
      <c r="CO908" s="105"/>
      <c r="CP908" s="105"/>
      <c r="CQ908" s="105"/>
      <c r="CR908" s="105"/>
      <c r="CS908" s="105"/>
      <c r="CT908" s="105"/>
      <c r="CU908" s="105"/>
      <c r="CV908" s="105"/>
      <c r="CW908" s="105"/>
      <c r="CX908" s="105"/>
      <c r="CY908" s="105"/>
      <c r="CZ908" s="105"/>
      <c r="DA908" s="105"/>
    </row>
    <row r="909">
      <c r="B909" s="105"/>
      <c r="F909" s="105"/>
      <c r="G909" s="105"/>
      <c r="H909" s="105"/>
      <c r="I909" s="105"/>
      <c r="J909" s="105"/>
      <c r="K909" s="105"/>
      <c r="L909" s="105"/>
      <c r="M909" s="105"/>
      <c r="N909" s="105"/>
      <c r="O909" s="105"/>
      <c r="P909" s="105"/>
      <c r="Q909" s="105"/>
      <c r="R909" s="105"/>
      <c r="S909" s="105"/>
      <c r="T909" s="105"/>
      <c r="U909" s="105"/>
      <c r="V909" s="105"/>
      <c r="W909" s="105"/>
      <c r="X909" s="105"/>
      <c r="Y909" s="105"/>
      <c r="Z909" s="105"/>
      <c r="AA909" s="105"/>
      <c r="AB909" s="105"/>
      <c r="AC909" s="105"/>
      <c r="AD909" s="105"/>
      <c r="AE909" s="105"/>
      <c r="AF909" s="105"/>
      <c r="AG909" s="105"/>
      <c r="AH909" s="105"/>
      <c r="AI909" s="105"/>
      <c r="AJ909" s="105"/>
      <c r="AK909" s="105"/>
      <c r="AL909" s="105"/>
      <c r="AM909" s="105"/>
      <c r="AN909" s="105"/>
      <c r="AO909" s="105"/>
      <c r="AP909" s="105"/>
      <c r="AQ909" s="105"/>
      <c r="AR909" s="105"/>
      <c r="AS909" s="105"/>
      <c r="AT909" s="105"/>
      <c r="AU909" s="105"/>
      <c r="AV909" s="105"/>
      <c r="AW909" s="105"/>
      <c r="AX909" s="105"/>
      <c r="AY909" s="105"/>
      <c r="AZ909" s="105"/>
      <c r="BA909" s="105"/>
      <c r="BB909" s="105"/>
      <c r="BC909" s="105"/>
      <c r="BD909" s="105"/>
      <c r="BE909" s="105"/>
      <c r="BF909" s="105"/>
      <c r="BG909" s="105"/>
      <c r="BH909" s="105"/>
      <c r="BI909" s="105"/>
      <c r="BJ909" s="105"/>
      <c r="BK909" s="105"/>
      <c r="BL909" s="105"/>
      <c r="BM909" s="105"/>
      <c r="BN909" s="105"/>
      <c r="BO909" s="105"/>
      <c r="BP909" s="105"/>
      <c r="BQ909" s="105"/>
      <c r="BR909" s="105"/>
      <c r="BS909" s="105"/>
      <c r="BT909" s="105"/>
      <c r="BU909" s="105"/>
      <c r="BV909" s="105"/>
      <c r="BW909" s="105"/>
      <c r="BX909" s="105"/>
      <c r="BY909" s="105"/>
      <c r="BZ909" s="105"/>
      <c r="CA909" s="105"/>
      <c r="CB909" s="105"/>
      <c r="CC909" s="105"/>
      <c r="CD909" s="105"/>
      <c r="CE909" s="105"/>
      <c r="CF909" s="105"/>
      <c r="CG909" s="105"/>
      <c r="CH909" s="105"/>
      <c r="CI909" s="105"/>
      <c r="CJ909" s="105"/>
      <c r="CK909" s="105"/>
      <c r="CL909" s="105"/>
      <c r="CM909" s="105"/>
      <c r="CN909" s="105"/>
      <c r="CO909" s="105"/>
      <c r="CP909" s="105"/>
      <c r="CQ909" s="105"/>
      <c r="CR909" s="105"/>
      <c r="CS909" s="105"/>
      <c r="CT909" s="105"/>
      <c r="CU909" s="105"/>
      <c r="CV909" s="105"/>
      <c r="CW909" s="105"/>
      <c r="CX909" s="105"/>
      <c r="CY909" s="105"/>
      <c r="CZ909" s="105"/>
      <c r="DA909" s="105"/>
    </row>
    <row r="910">
      <c r="B910" s="105"/>
      <c r="F910" s="105"/>
      <c r="G910" s="105"/>
      <c r="H910" s="105"/>
      <c r="I910" s="105"/>
      <c r="J910" s="105"/>
      <c r="K910" s="105"/>
      <c r="L910" s="105"/>
      <c r="M910" s="105"/>
      <c r="N910" s="105"/>
      <c r="O910" s="105"/>
      <c r="P910" s="105"/>
      <c r="Q910" s="105"/>
      <c r="R910" s="105"/>
      <c r="S910" s="105"/>
      <c r="T910" s="105"/>
      <c r="U910" s="105"/>
      <c r="V910" s="105"/>
      <c r="W910" s="105"/>
      <c r="X910" s="105"/>
      <c r="Y910" s="105"/>
      <c r="Z910" s="105"/>
      <c r="AA910" s="105"/>
      <c r="AB910" s="105"/>
      <c r="AC910" s="105"/>
      <c r="AD910" s="105"/>
      <c r="AE910" s="105"/>
      <c r="AF910" s="105"/>
      <c r="AG910" s="105"/>
      <c r="AH910" s="105"/>
      <c r="AI910" s="105"/>
      <c r="AJ910" s="105"/>
      <c r="AK910" s="105"/>
      <c r="AL910" s="105"/>
      <c r="AM910" s="105"/>
      <c r="AN910" s="105"/>
      <c r="AO910" s="105"/>
      <c r="AP910" s="105"/>
      <c r="AQ910" s="105"/>
      <c r="AR910" s="105"/>
      <c r="AS910" s="105"/>
      <c r="AT910" s="105"/>
      <c r="AU910" s="105"/>
      <c r="AV910" s="105"/>
      <c r="AW910" s="105"/>
      <c r="AX910" s="105"/>
      <c r="AY910" s="105"/>
      <c r="AZ910" s="105"/>
      <c r="BA910" s="105"/>
      <c r="BB910" s="105"/>
      <c r="BC910" s="105"/>
      <c r="BD910" s="105"/>
      <c r="BE910" s="105"/>
      <c r="BF910" s="105"/>
      <c r="BG910" s="105"/>
      <c r="BH910" s="105"/>
      <c r="BI910" s="105"/>
      <c r="BJ910" s="105"/>
      <c r="BK910" s="105"/>
      <c r="BL910" s="105"/>
      <c r="BM910" s="105"/>
      <c r="BN910" s="105"/>
      <c r="BO910" s="105"/>
      <c r="BP910" s="105"/>
      <c r="BQ910" s="105"/>
      <c r="BR910" s="105"/>
      <c r="BS910" s="105"/>
      <c r="BT910" s="105"/>
      <c r="BU910" s="105"/>
      <c r="BV910" s="105"/>
      <c r="BW910" s="105"/>
      <c r="BX910" s="105"/>
      <c r="BY910" s="105"/>
      <c r="BZ910" s="105"/>
      <c r="CA910" s="105"/>
      <c r="CB910" s="105"/>
      <c r="CC910" s="105"/>
      <c r="CD910" s="105"/>
      <c r="CE910" s="105"/>
      <c r="CF910" s="105"/>
      <c r="CG910" s="105"/>
      <c r="CH910" s="105"/>
      <c r="CI910" s="105"/>
      <c r="CJ910" s="105"/>
      <c r="CK910" s="105"/>
      <c r="CL910" s="105"/>
      <c r="CM910" s="105"/>
      <c r="CN910" s="105"/>
      <c r="CO910" s="105"/>
      <c r="CP910" s="105"/>
      <c r="CQ910" s="105"/>
      <c r="CR910" s="105"/>
      <c r="CS910" s="105"/>
      <c r="CT910" s="105"/>
      <c r="CU910" s="105"/>
      <c r="CV910" s="105"/>
      <c r="CW910" s="105"/>
      <c r="CX910" s="105"/>
      <c r="CY910" s="105"/>
      <c r="CZ910" s="105"/>
      <c r="DA910" s="105"/>
    </row>
    <row r="911">
      <c r="B911" s="105"/>
      <c r="F911" s="105"/>
      <c r="G911" s="105"/>
      <c r="H911" s="105"/>
      <c r="I911" s="105"/>
      <c r="J911" s="105"/>
      <c r="K911" s="105"/>
      <c r="L911" s="105"/>
      <c r="M911" s="105"/>
      <c r="N911" s="105"/>
      <c r="O911" s="105"/>
      <c r="P911" s="105"/>
      <c r="Q911" s="105"/>
      <c r="R911" s="105"/>
      <c r="S911" s="105"/>
      <c r="T911" s="105"/>
      <c r="U911" s="105"/>
      <c r="V911" s="105"/>
      <c r="W911" s="105"/>
      <c r="X911" s="105"/>
      <c r="Y911" s="105"/>
      <c r="Z911" s="105"/>
      <c r="AA911" s="105"/>
      <c r="AB911" s="105"/>
      <c r="AC911" s="105"/>
      <c r="AD911" s="105"/>
      <c r="AE911" s="105"/>
      <c r="AF911" s="105"/>
      <c r="AG911" s="105"/>
      <c r="AH911" s="105"/>
      <c r="AI911" s="105"/>
      <c r="AJ911" s="105"/>
      <c r="AK911" s="105"/>
      <c r="AL911" s="105"/>
      <c r="AM911" s="105"/>
      <c r="AN911" s="105"/>
      <c r="AO911" s="105"/>
      <c r="AP911" s="105"/>
      <c r="AQ911" s="105"/>
      <c r="AR911" s="105"/>
      <c r="AS911" s="105"/>
      <c r="AT911" s="105"/>
      <c r="AU911" s="105"/>
      <c r="AV911" s="105"/>
      <c r="AW911" s="105"/>
      <c r="AX911" s="105"/>
      <c r="AY911" s="105"/>
      <c r="AZ911" s="105"/>
      <c r="BA911" s="105"/>
      <c r="BB911" s="105"/>
      <c r="BC911" s="105"/>
      <c r="BD911" s="105"/>
      <c r="BE911" s="105"/>
      <c r="BF911" s="105"/>
      <c r="BG911" s="105"/>
      <c r="BH911" s="105"/>
      <c r="BI911" s="105"/>
      <c r="BJ911" s="105"/>
      <c r="BK911" s="105"/>
      <c r="BL911" s="105"/>
      <c r="BM911" s="105"/>
      <c r="BN911" s="105"/>
      <c r="BO911" s="105"/>
      <c r="BP911" s="105"/>
      <c r="BQ911" s="105"/>
      <c r="BR911" s="105"/>
      <c r="BS911" s="105"/>
      <c r="BT911" s="105"/>
      <c r="BU911" s="105"/>
      <c r="BV911" s="105"/>
      <c r="BW911" s="105"/>
      <c r="BX911" s="105"/>
      <c r="BY911" s="105"/>
      <c r="BZ911" s="105"/>
      <c r="CA911" s="105"/>
      <c r="CB911" s="105"/>
      <c r="CC911" s="105"/>
      <c r="CD911" s="105"/>
      <c r="CE911" s="105"/>
      <c r="CF911" s="105"/>
      <c r="CG911" s="105"/>
      <c r="CH911" s="105"/>
      <c r="CI911" s="105"/>
      <c r="CJ911" s="105"/>
      <c r="CK911" s="105"/>
      <c r="CL911" s="105"/>
      <c r="CM911" s="105"/>
      <c r="CN911" s="105"/>
      <c r="CO911" s="105"/>
      <c r="CP911" s="105"/>
      <c r="CQ911" s="105"/>
      <c r="CR911" s="105"/>
      <c r="CS911" s="105"/>
      <c r="CT911" s="105"/>
      <c r="CU911" s="105"/>
      <c r="CV911" s="105"/>
      <c r="CW911" s="105"/>
      <c r="CX911" s="105"/>
      <c r="CY911" s="105"/>
      <c r="CZ911" s="105"/>
      <c r="DA911" s="105"/>
    </row>
    <row r="912">
      <c r="B912" s="105"/>
      <c r="F912" s="105"/>
      <c r="G912" s="105"/>
      <c r="H912" s="105"/>
      <c r="I912" s="105"/>
      <c r="J912" s="105"/>
      <c r="K912" s="105"/>
      <c r="L912" s="105"/>
      <c r="M912" s="105"/>
      <c r="N912" s="105"/>
      <c r="O912" s="105"/>
      <c r="P912" s="105"/>
      <c r="Q912" s="105"/>
      <c r="R912" s="105"/>
      <c r="S912" s="105"/>
      <c r="T912" s="105"/>
      <c r="U912" s="105"/>
      <c r="V912" s="105"/>
      <c r="W912" s="105"/>
      <c r="X912" s="105"/>
      <c r="Y912" s="105"/>
      <c r="Z912" s="105"/>
      <c r="AA912" s="105"/>
      <c r="AB912" s="105"/>
      <c r="AC912" s="105"/>
      <c r="AD912" s="105"/>
      <c r="AE912" s="105"/>
      <c r="AF912" s="105"/>
      <c r="AG912" s="105"/>
      <c r="AH912" s="105"/>
      <c r="AI912" s="105"/>
      <c r="AJ912" s="105"/>
      <c r="AK912" s="105"/>
      <c r="AL912" s="105"/>
      <c r="AM912" s="105"/>
      <c r="AN912" s="105"/>
      <c r="AO912" s="105"/>
      <c r="AP912" s="105"/>
      <c r="AQ912" s="105"/>
      <c r="AR912" s="105"/>
      <c r="AS912" s="105"/>
      <c r="AT912" s="105"/>
      <c r="AU912" s="105"/>
      <c r="AV912" s="105"/>
      <c r="AW912" s="105"/>
      <c r="AX912" s="105"/>
      <c r="AY912" s="105"/>
      <c r="AZ912" s="105"/>
      <c r="BA912" s="105"/>
      <c r="BB912" s="105"/>
      <c r="BC912" s="105"/>
      <c r="BD912" s="105"/>
      <c r="BE912" s="105"/>
      <c r="BF912" s="105"/>
      <c r="BG912" s="105"/>
      <c r="BH912" s="105"/>
      <c r="BI912" s="105"/>
      <c r="BJ912" s="105"/>
      <c r="BK912" s="105"/>
      <c r="BL912" s="105"/>
      <c r="BM912" s="105"/>
      <c r="BN912" s="105"/>
      <c r="BO912" s="105"/>
      <c r="BP912" s="105"/>
      <c r="BQ912" s="105"/>
      <c r="BR912" s="105"/>
      <c r="BS912" s="105"/>
      <c r="BT912" s="105"/>
      <c r="BU912" s="105"/>
      <c r="BV912" s="105"/>
      <c r="BW912" s="105"/>
      <c r="BX912" s="105"/>
      <c r="BY912" s="105"/>
      <c r="BZ912" s="105"/>
      <c r="CA912" s="105"/>
      <c r="CB912" s="105"/>
      <c r="CC912" s="105"/>
      <c r="CD912" s="105"/>
      <c r="CE912" s="105"/>
      <c r="CF912" s="105"/>
      <c r="CG912" s="105"/>
      <c r="CH912" s="105"/>
      <c r="CI912" s="105"/>
      <c r="CJ912" s="105"/>
      <c r="CK912" s="105"/>
      <c r="CL912" s="105"/>
      <c r="CM912" s="105"/>
      <c r="CN912" s="105"/>
      <c r="CO912" s="105"/>
      <c r="CP912" s="105"/>
      <c r="CQ912" s="105"/>
      <c r="CR912" s="105"/>
      <c r="CS912" s="105"/>
      <c r="CT912" s="105"/>
      <c r="CU912" s="105"/>
      <c r="CV912" s="105"/>
      <c r="CW912" s="105"/>
      <c r="CX912" s="105"/>
      <c r="CY912" s="105"/>
      <c r="CZ912" s="105"/>
      <c r="DA912" s="105"/>
    </row>
    <row r="913">
      <c r="B913" s="105"/>
      <c r="F913" s="105"/>
      <c r="G913" s="105"/>
      <c r="H913" s="105"/>
      <c r="I913" s="105"/>
      <c r="J913" s="105"/>
      <c r="K913" s="105"/>
      <c r="L913" s="105"/>
      <c r="M913" s="105"/>
      <c r="N913" s="105"/>
      <c r="O913" s="105"/>
      <c r="P913" s="105"/>
      <c r="Q913" s="105"/>
      <c r="R913" s="105"/>
      <c r="S913" s="105"/>
      <c r="T913" s="105"/>
      <c r="U913" s="105"/>
      <c r="V913" s="105"/>
      <c r="W913" s="105"/>
      <c r="X913" s="105"/>
      <c r="Y913" s="105"/>
      <c r="Z913" s="105"/>
      <c r="AA913" s="105"/>
      <c r="AB913" s="105"/>
      <c r="AC913" s="105"/>
      <c r="AD913" s="105"/>
      <c r="AE913" s="105"/>
      <c r="AF913" s="105"/>
      <c r="AG913" s="105"/>
      <c r="AH913" s="105"/>
      <c r="AI913" s="105"/>
      <c r="AJ913" s="105"/>
      <c r="AK913" s="105"/>
      <c r="AL913" s="105"/>
      <c r="AM913" s="105"/>
      <c r="AN913" s="105"/>
      <c r="AO913" s="105"/>
      <c r="AP913" s="105"/>
      <c r="AQ913" s="105"/>
      <c r="AR913" s="105"/>
      <c r="AS913" s="105"/>
      <c r="AT913" s="105"/>
      <c r="AU913" s="105"/>
      <c r="AV913" s="105"/>
      <c r="AW913" s="105"/>
      <c r="AX913" s="105"/>
      <c r="AY913" s="105"/>
      <c r="AZ913" s="105"/>
      <c r="BA913" s="105"/>
      <c r="BB913" s="105"/>
      <c r="BC913" s="105"/>
      <c r="BD913" s="105"/>
      <c r="BE913" s="105"/>
      <c r="BF913" s="105"/>
      <c r="BG913" s="105"/>
      <c r="BH913" s="105"/>
      <c r="BI913" s="105"/>
      <c r="BJ913" s="105"/>
      <c r="BK913" s="105"/>
      <c r="BL913" s="105"/>
      <c r="BM913" s="105"/>
      <c r="BN913" s="105"/>
      <c r="BO913" s="105"/>
      <c r="BP913" s="105"/>
      <c r="BQ913" s="105"/>
      <c r="BR913" s="105"/>
      <c r="BS913" s="105"/>
      <c r="BT913" s="105"/>
      <c r="BU913" s="105"/>
      <c r="BV913" s="105"/>
      <c r="BW913" s="105"/>
      <c r="BX913" s="105"/>
      <c r="BY913" s="105"/>
      <c r="BZ913" s="105"/>
      <c r="CA913" s="105"/>
      <c r="CB913" s="105"/>
      <c r="CC913" s="105"/>
      <c r="CD913" s="105"/>
      <c r="CE913" s="105"/>
      <c r="CF913" s="105"/>
      <c r="CG913" s="105"/>
      <c r="CH913" s="105"/>
      <c r="CI913" s="105"/>
      <c r="CJ913" s="105"/>
      <c r="CK913" s="105"/>
      <c r="CL913" s="105"/>
      <c r="CM913" s="105"/>
      <c r="CN913" s="105"/>
      <c r="CO913" s="105"/>
      <c r="CP913" s="105"/>
      <c r="CQ913" s="105"/>
      <c r="CR913" s="105"/>
      <c r="CS913" s="105"/>
      <c r="CT913" s="105"/>
      <c r="CU913" s="105"/>
      <c r="CV913" s="105"/>
      <c r="CW913" s="105"/>
      <c r="CX913" s="105"/>
      <c r="CY913" s="105"/>
      <c r="CZ913" s="105"/>
      <c r="DA913" s="105"/>
    </row>
    <row r="914">
      <c r="B914" s="105"/>
      <c r="F914" s="105"/>
      <c r="G914" s="105"/>
      <c r="H914" s="105"/>
      <c r="I914" s="105"/>
      <c r="J914" s="105"/>
      <c r="K914" s="105"/>
      <c r="L914" s="105"/>
      <c r="M914" s="105"/>
      <c r="N914" s="105"/>
      <c r="O914" s="105"/>
      <c r="P914" s="105"/>
      <c r="Q914" s="105"/>
      <c r="R914" s="105"/>
      <c r="S914" s="105"/>
      <c r="T914" s="105"/>
      <c r="U914" s="105"/>
      <c r="V914" s="105"/>
      <c r="W914" s="105"/>
      <c r="X914" s="105"/>
      <c r="Y914" s="105"/>
      <c r="Z914" s="105"/>
      <c r="AA914" s="105"/>
      <c r="AB914" s="105"/>
      <c r="AC914" s="105"/>
      <c r="AD914" s="105"/>
      <c r="AE914" s="105"/>
      <c r="AF914" s="105"/>
      <c r="AG914" s="105"/>
      <c r="AH914" s="105"/>
      <c r="AI914" s="105"/>
      <c r="AJ914" s="105"/>
      <c r="AK914" s="105"/>
      <c r="AL914" s="105"/>
      <c r="AM914" s="105"/>
      <c r="AN914" s="105"/>
      <c r="AO914" s="105"/>
      <c r="AP914" s="105"/>
      <c r="AQ914" s="105"/>
      <c r="AR914" s="105"/>
      <c r="AS914" s="105"/>
      <c r="AT914" s="105"/>
      <c r="AU914" s="105"/>
      <c r="AV914" s="105"/>
      <c r="AW914" s="105"/>
      <c r="AX914" s="105"/>
      <c r="AY914" s="105"/>
      <c r="AZ914" s="105"/>
      <c r="BA914" s="105"/>
      <c r="BB914" s="105"/>
      <c r="BC914" s="105"/>
      <c r="BD914" s="105"/>
      <c r="BE914" s="105"/>
      <c r="BF914" s="105"/>
      <c r="BG914" s="105"/>
      <c r="BH914" s="105"/>
      <c r="BI914" s="105"/>
      <c r="BJ914" s="105"/>
      <c r="BK914" s="105"/>
      <c r="BL914" s="105"/>
      <c r="BM914" s="105"/>
      <c r="BN914" s="105"/>
      <c r="BO914" s="105"/>
      <c r="BP914" s="105"/>
      <c r="BQ914" s="105"/>
      <c r="BR914" s="105"/>
      <c r="BS914" s="105"/>
      <c r="BT914" s="105"/>
      <c r="BU914" s="105"/>
      <c r="BV914" s="105"/>
      <c r="BW914" s="105"/>
      <c r="BX914" s="105"/>
      <c r="BY914" s="105"/>
      <c r="BZ914" s="105"/>
      <c r="CA914" s="105"/>
      <c r="CB914" s="105"/>
      <c r="CC914" s="105"/>
      <c r="CD914" s="105"/>
      <c r="CE914" s="105"/>
      <c r="CF914" s="105"/>
      <c r="CG914" s="105"/>
      <c r="CH914" s="105"/>
      <c r="CI914" s="105"/>
      <c r="CJ914" s="105"/>
      <c r="CK914" s="105"/>
      <c r="CL914" s="105"/>
      <c r="CM914" s="105"/>
      <c r="CN914" s="105"/>
      <c r="CO914" s="105"/>
      <c r="CP914" s="105"/>
      <c r="CQ914" s="105"/>
      <c r="CR914" s="105"/>
      <c r="CS914" s="105"/>
      <c r="CT914" s="105"/>
      <c r="CU914" s="105"/>
      <c r="CV914" s="105"/>
      <c r="CW914" s="105"/>
      <c r="CX914" s="105"/>
      <c r="CY914" s="105"/>
      <c r="CZ914" s="105"/>
      <c r="DA914" s="105"/>
    </row>
    <row r="915">
      <c r="B915" s="105"/>
      <c r="F915" s="105"/>
      <c r="G915" s="105"/>
      <c r="H915" s="105"/>
      <c r="I915" s="105"/>
      <c r="J915" s="105"/>
      <c r="K915" s="105"/>
      <c r="L915" s="105"/>
      <c r="M915" s="105"/>
      <c r="N915" s="105"/>
      <c r="O915" s="105"/>
      <c r="P915" s="105"/>
      <c r="Q915" s="105"/>
      <c r="R915" s="105"/>
      <c r="S915" s="105"/>
      <c r="T915" s="105"/>
      <c r="U915" s="105"/>
      <c r="V915" s="105"/>
      <c r="W915" s="105"/>
      <c r="X915" s="105"/>
      <c r="Y915" s="105"/>
      <c r="Z915" s="105"/>
      <c r="AA915" s="105"/>
      <c r="AB915" s="105"/>
      <c r="AC915" s="105"/>
      <c r="AD915" s="105"/>
      <c r="AE915" s="105"/>
      <c r="AF915" s="105"/>
      <c r="AG915" s="105"/>
      <c r="AH915" s="105"/>
      <c r="AI915" s="105"/>
      <c r="AJ915" s="105"/>
      <c r="AK915" s="105"/>
      <c r="AL915" s="105"/>
      <c r="AM915" s="105"/>
      <c r="AN915" s="105"/>
      <c r="AO915" s="105"/>
      <c r="AP915" s="105"/>
      <c r="AQ915" s="105"/>
      <c r="AR915" s="105"/>
      <c r="AS915" s="105"/>
      <c r="AT915" s="105"/>
      <c r="AU915" s="105"/>
      <c r="AV915" s="105"/>
      <c r="AW915" s="105"/>
      <c r="AX915" s="105"/>
      <c r="AY915" s="105"/>
      <c r="AZ915" s="105"/>
      <c r="BA915" s="105"/>
      <c r="BB915" s="105"/>
      <c r="BC915" s="105"/>
      <c r="BD915" s="105"/>
      <c r="BE915" s="105"/>
      <c r="BF915" s="105"/>
      <c r="BG915" s="105"/>
      <c r="BH915" s="105"/>
      <c r="BI915" s="105"/>
      <c r="BJ915" s="105"/>
      <c r="BK915" s="105"/>
      <c r="BL915" s="105"/>
      <c r="BM915" s="105"/>
      <c r="BN915" s="105"/>
      <c r="BO915" s="105"/>
      <c r="BP915" s="105"/>
      <c r="BQ915" s="105"/>
      <c r="BR915" s="105"/>
      <c r="BS915" s="105"/>
      <c r="BT915" s="105"/>
      <c r="BU915" s="105"/>
      <c r="BV915" s="105"/>
      <c r="BW915" s="105"/>
      <c r="BX915" s="105"/>
      <c r="BY915" s="105"/>
      <c r="BZ915" s="105"/>
      <c r="CA915" s="105"/>
      <c r="CB915" s="105"/>
      <c r="CC915" s="105"/>
      <c r="CD915" s="105"/>
      <c r="CE915" s="105"/>
      <c r="CF915" s="105"/>
      <c r="CG915" s="105"/>
      <c r="CH915" s="105"/>
      <c r="CI915" s="105"/>
      <c r="CJ915" s="105"/>
      <c r="CK915" s="105"/>
      <c r="CL915" s="105"/>
      <c r="CM915" s="105"/>
      <c r="CN915" s="105"/>
      <c r="CO915" s="105"/>
      <c r="CP915" s="105"/>
      <c r="CQ915" s="105"/>
      <c r="CR915" s="105"/>
      <c r="CS915" s="105"/>
      <c r="CT915" s="105"/>
      <c r="CU915" s="105"/>
      <c r="CV915" s="105"/>
      <c r="CW915" s="105"/>
      <c r="CX915" s="105"/>
      <c r="CY915" s="105"/>
      <c r="CZ915" s="105"/>
      <c r="DA915" s="105"/>
    </row>
    <row r="916">
      <c r="B916" s="105"/>
      <c r="F916" s="105"/>
      <c r="G916" s="105"/>
      <c r="H916" s="105"/>
      <c r="I916" s="105"/>
      <c r="J916" s="105"/>
      <c r="K916" s="105"/>
      <c r="L916" s="105"/>
      <c r="M916" s="105"/>
      <c r="N916" s="105"/>
      <c r="O916" s="105"/>
      <c r="P916" s="105"/>
      <c r="Q916" s="105"/>
      <c r="R916" s="105"/>
      <c r="S916" s="105"/>
      <c r="T916" s="105"/>
      <c r="U916" s="105"/>
      <c r="V916" s="105"/>
      <c r="W916" s="105"/>
      <c r="X916" s="105"/>
      <c r="Y916" s="105"/>
      <c r="Z916" s="105"/>
      <c r="AA916" s="105"/>
      <c r="AB916" s="105"/>
      <c r="AC916" s="105"/>
      <c r="AD916" s="105"/>
      <c r="AE916" s="105"/>
      <c r="AF916" s="105"/>
      <c r="AG916" s="105"/>
      <c r="AH916" s="105"/>
      <c r="AI916" s="105"/>
      <c r="AJ916" s="105"/>
      <c r="AK916" s="105"/>
      <c r="AL916" s="105"/>
      <c r="AM916" s="105"/>
      <c r="AN916" s="105"/>
      <c r="AO916" s="105"/>
      <c r="AP916" s="105"/>
      <c r="AQ916" s="105"/>
      <c r="AR916" s="105"/>
      <c r="AS916" s="105"/>
      <c r="AT916" s="105"/>
      <c r="AU916" s="105"/>
      <c r="AV916" s="105"/>
      <c r="AW916" s="105"/>
      <c r="AX916" s="105"/>
      <c r="AY916" s="105"/>
      <c r="AZ916" s="105"/>
      <c r="BA916" s="105"/>
      <c r="BB916" s="105"/>
      <c r="BC916" s="105"/>
      <c r="BD916" s="105"/>
      <c r="BE916" s="105"/>
      <c r="BF916" s="105"/>
      <c r="BG916" s="105"/>
      <c r="BH916" s="105"/>
      <c r="BI916" s="105"/>
      <c r="BJ916" s="105"/>
      <c r="BK916" s="105"/>
      <c r="BL916" s="105"/>
      <c r="BM916" s="105"/>
      <c r="BN916" s="105"/>
      <c r="BO916" s="105"/>
      <c r="BP916" s="105"/>
      <c r="BQ916" s="105"/>
      <c r="BR916" s="105"/>
      <c r="BS916" s="105"/>
      <c r="BT916" s="105"/>
      <c r="BU916" s="105"/>
      <c r="BV916" s="105"/>
      <c r="BW916" s="105"/>
      <c r="BX916" s="105"/>
      <c r="BY916" s="105"/>
      <c r="BZ916" s="105"/>
      <c r="CA916" s="105"/>
      <c r="CB916" s="105"/>
      <c r="CC916" s="105"/>
      <c r="CD916" s="105"/>
      <c r="CE916" s="105"/>
      <c r="CF916" s="105"/>
      <c r="CG916" s="105"/>
      <c r="CH916" s="105"/>
      <c r="CI916" s="105"/>
      <c r="CJ916" s="105"/>
      <c r="CK916" s="105"/>
      <c r="CL916" s="105"/>
      <c r="CM916" s="105"/>
      <c r="CN916" s="105"/>
      <c r="CO916" s="105"/>
      <c r="CP916" s="105"/>
      <c r="CQ916" s="105"/>
      <c r="CR916" s="105"/>
      <c r="CS916" s="105"/>
      <c r="CT916" s="105"/>
      <c r="CU916" s="105"/>
      <c r="CV916" s="105"/>
      <c r="CW916" s="105"/>
      <c r="CX916" s="105"/>
      <c r="CY916" s="105"/>
      <c r="CZ916" s="105"/>
      <c r="DA916" s="105"/>
    </row>
    <row r="917">
      <c r="B917" s="105"/>
      <c r="F917" s="105"/>
      <c r="G917" s="105"/>
      <c r="H917" s="105"/>
      <c r="I917" s="105"/>
      <c r="J917" s="105"/>
      <c r="K917" s="105"/>
      <c r="L917" s="105"/>
      <c r="M917" s="105"/>
      <c r="N917" s="105"/>
      <c r="O917" s="105"/>
      <c r="P917" s="105"/>
      <c r="Q917" s="105"/>
      <c r="R917" s="105"/>
      <c r="S917" s="105"/>
      <c r="T917" s="105"/>
      <c r="U917" s="105"/>
      <c r="V917" s="105"/>
      <c r="W917" s="105"/>
      <c r="X917" s="105"/>
      <c r="Y917" s="105"/>
      <c r="Z917" s="105"/>
      <c r="AA917" s="105"/>
      <c r="AB917" s="105"/>
      <c r="AC917" s="105"/>
      <c r="AD917" s="105"/>
      <c r="AE917" s="105"/>
      <c r="AF917" s="105"/>
      <c r="AG917" s="105"/>
      <c r="AH917" s="105"/>
      <c r="AI917" s="105"/>
      <c r="AJ917" s="105"/>
      <c r="AK917" s="105"/>
      <c r="AL917" s="105"/>
      <c r="AM917" s="105"/>
      <c r="AN917" s="105"/>
      <c r="AO917" s="105"/>
      <c r="AP917" s="105"/>
      <c r="AQ917" s="105"/>
      <c r="AR917" s="105"/>
      <c r="AS917" s="105"/>
      <c r="AT917" s="105"/>
      <c r="AU917" s="105"/>
      <c r="AV917" s="105"/>
      <c r="AW917" s="105"/>
      <c r="AX917" s="105"/>
      <c r="AY917" s="105"/>
      <c r="AZ917" s="105"/>
      <c r="BA917" s="105"/>
      <c r="BB917" s="105"/>
      <c r="BC917" s="105"/>
      <c r="BD917" s="105"/>
      <c r="BE917" s="105"/>
      <c r="BF917" s="105"/>
      <c r="BG917" s="105"/>
      <c r="BH917" s="105"/>
      <c r="BI917" s="105"/>
      <c r="BJ917" s="105"/>
      <c r="BK917" s="105"/>
      <c r="BL917" s="105"/>
      <c r="BM917" s="105"/>
      <c r="BN917" s="105"/>
      <c r="BO917" s="105"/>
      <c r="BP917" s="105"/>
      <c r="BQ917" s="105"/>
      <c r="BR917" s="105"/>
      <c r="BS917" s="105"/>
      <c r="BT917" s="105"/>
      <c r="BU917" s="105"/>
      <c r="BV917" s="105"/>
      <c r="BW917" s="105"/>
      <c r="BX917" s="105"/>
      <c r="BY917" s="105"/>
      <c r="BZ917" s="105"/>
      <c r="CA917" s="105"/>
      <c r="CB917" s="105"/>
      <c r="CC917" s="105"/>
      <c r="CD917" s="105"/>
      <c r="CE917" s="105"/>
      <c r="CF917" s="105"/>
      <c r="CG917" s="105"/>
      <c r="CH917" s="105"/>
      <c r="CI917" s="105"/>
      <c r="CJ917" s="105"/>
      <c r="CK917" s="105"/>
      <c r="CL917" s="105"/>
      <c r="CM917" s="105"/>
      <c r="CN917" s="105"/>
      <c r="CO917" s="105"/>
      <c r="CP917" s="105"/>
      <c r="CQ917" s="105"/>
      <c r="CR917" s="105"/>
      <c r="CS917" s="105"/>
      <c r="CT917" s="105"/>
      <c r="CU917" s="105"/>
      <c r="CV917" s="105"/>
      <c r="CW917" s="105"/>
      <c r="CX917" s="105"/>
      <c r="CY917" s="105"/>
      <c r="CZ917" s="105"/>
      <c r="DA917" s="105"/>
    </row>
    <row r="918">
      <c r="B918" s="105"/>
      <c r="F918" s="105"/>
      <c r="G918" s="105"/>
      <c r="H918" s="105"/>
      <c r="I918" s="105"/>
      <c r="J918" s="105"/>
      <c r="K918" s="105"/>
      <c r="L918" s="105"/>
      <c r="M918" s="105"/>
      <c r="N918" s="105"/>
      <c r="O918" s="105"/>
      <c r="P918" s="105"/>
      <c r="Q918" s="105"/>
      <c r="R918" s="105"/>
      <c r="S918" s="105"/>
      <c r="T918" s="105"/>
      <c r="U918" s="105"/>
      <c r="V918" s="105"/>
      <c r="W918" s="105"/>
      <c r="X918" s="105"/>
      <c r="Y918" s="105"/>
      <c r="Z918" s="105"/>
      <c r="AA918" s="105"/>
      <c r="AB918" s="105"/>
      <c r="AC918" s="105"/>
      <c r="AD918" s="105"/>
      <c r="AE918" s="105"/>
      <c r="AF918" s="105"/>
      <c r="AG918" s="105"/>
      <c r="AH918" s="105"/>
      <c r="AI918" s="105"/>
      <c r="AJ918" s="105"/>
      <c r="AK918" s="105"/>
      <c r="AL918" s="105"/>
      <c r="AM918" s="105"/>
      <c r="AN918" s="105"/>
      <c r="AO918" s="105"/>
      <c r="AP918" s="105"/>
      <c r="AQ918" s="105"/>
      <c r="AR918" s="105"/>
      <c r="AS918" s="105"/>
      <c r="AT918" s="105"/>
      <c r="AU918" s="105"/>
      <c r="AV918" s="105"/>
      <c r="AW918" s="105"/>
      <c r="AX918" s="105"/>
      <c r="AY918" s="105"/>
      <c r="AZ918" s="105"/>
      <c r="BA918" s="105"/>
      <c r="BB918" s="105"/>
      <c r="BC918" s="105"/>
      <c r="BD918" s="105"/>
      <c r="BE918" s="105"/>
      <c r="BF918" s="105"/>
      <c r="BG918" s="105"/>
      <c r="BH918" s="105"/>
      <c r="BI918" s="105"/>
      <c r="BJ918" s="105"/>
      <c r="BK918" s="105"/>
      <c r="BL918" s="105"/>
      <c r="BM918" s="105"/>
      <c r="BN918" s="105"/>
      <c r="BO918" s="105"/>
      <c r="BP918" s="105"/>
      <c r="BQ918" s="105"/>
      <c r="BR918" s="105"/>
      <c r="BS918" s="105"/>
      <c r="BT918" s="105"/>
      <c r="BU918" s="105"/>
      <c r="BV918" s="105"/>
      <c r="BW918" s="105"/>
      <c r="BX918" s="105"/>
      <c r="BY918" s="105"/>
      <c r="BZ918" s="105"/>
      <c r="CA918" s="105"/>
      <c r="CB918" s="105"/>
      <c r="CC918" s="105"/>
      <c r="CD918" s="105"/>
      <c r="CE918" s="105"/>
      <c r="CF918" s="105"/>
      <c r="CG918" s="105"/>
      <c r="CH918" s="105"/>
      <c r="CI918" s="105"/>
      <c r="CJ918" s="105"/>
      <c r="CK918" s="105"/>
      <c r="CL918" s="105"/>
      <c r="CM918" s="105"/>
      <c r="CN918" s="105"/>
      <c r="CO918" s="105"/>
      <c r="CP918" s="105"/>
      <c r="CQ918" s="105"/>
      <c r="CR918" s="105"/>
      <c r="CS918" s="105"/>
      <c r="CT918" s="105"/>
      <c r="CU918" s="105"/>
      <c r="CV918" s="105"/>
      <c r="CW918" s="105"/>
      <c r="CX918" s="105"/>
      <c r="CY918" s="105"/>
      <c r="CZ918" s="105"/>
      <c r="DA918" s="105"/>
    </row>
    <row r="919">
      <c r="B919" s="105"/>
      <c r="F919" s="105"/>
      <c r="G919" s="105"/>
      <c r="H919" s="105"/>
      <c r="I919" s="105"/>
      <c r="J919" s="105"/>
      <c r="K919" s="105"/>
      <c r="L919" s="105"/>
      <c r="M919" s="105"/>
      <c r="N919" s="105"/>
      <c r="O919" s="105"/>
      <c r="P919" s="105"/>
      <c r="Q919" s="105"/>
      <c r="R919" s="105"/>
      <c r="S919" s="105"/>
      <c r="T919" s="105"/>
      <c r="U919" s="105"/>
      <c r="V919" s="105"/>
      <c r="W919" s="105"/>
      <c r="X919" s="105"/>
      <c r="Y919" s="105"/>
      <c r="Z919" s="105"/>
      <c r="AA919" s="105"/>
      <c r="AB919" s="105"/>
      <c r="AC919" s="105"/>
      <c r="AD919" s="105"/>
      <c r="AE919" s="105"/>
      <c r="AF919" s="105"/>
      <c r="AG919" s="105"/>
      <c r="AH919" s="105"/>
      <c r="AI919" s="105"/>
      <c r="AJ919" s="105"/>
      <c r="AK919" s="105"/>
      <c r="AL919" s="105"/>
      <c r="AM919" s="105"/>
      <c r="AN919" s="105"/>
      <c r="AO919" s="105"/>
      <c r="AP919" s="105"/>
      <c r="AQ919" s="105"/>
      <c r="AR919" s="105"/>
      <c r="AS919" s="105"/>
      <c r="AT919" s="105"/>
      <c r="AU919" s="105"/>
      <c r="AV919" s="105"/>
      <c r="AW919" s="105"/>
      <c r="AX919" s="105"/>
      <c r="AY919" s="105"/>
      <c r="AZ919" s="105"/>
      <c r="BA919" s="105"/>
      <c r="BB919" s="105"/>
      <c r="BC919" s="105"/>
      <c r="BD919" s="105"/>
      <c r="BE919" s="105"/>
      <c r="BF919" s="105"/>
      <c r="BG919" s="105"/>
      <c r="BH919" s="105"/>
      <c r="BI919" s="105"/>
      <c r="BJ919" s="105"/>
      <c r="BK919" s="105"/>
      <c r="BL919" s="105"/>
      <c r="BM919" s="105"/>
      <c r="BN919" s="105"/>
      <c r="BO919" s="105"/>
      <c r="BP919" s="105"/>
      <c r="BQ919" s="105"/>
      <c r="BR919" s="105"/>
      <c r="BS919" s="105"/>
      <c r="BT919" s="105"/>
      <c r="BU919" s="105"/>
      <c r="BV919" s="105"/>
      <c r="BW919" s="105"/>
      <c r="BX919" s="105"/>
      <c r="BY919" s="105"/>
      <c r="BZ919" s="105"/>
      <c r="CA919" s="105"/>
      <c r="CB919" s="105"/>
      <c r="CC919" s="105"/>
      <c r="CD919" s="105"/>
      <c r="CE919" s="105"/>
      <c r="CF919" s="105"/>
      <c r="CG919" s="105"/>
      <c r="CH919" s="105"/>
      <c r="CI919" s="105"/>
      <c r="CJ919" s="105"/>
      <c r="CK919" s="105"/>
      <c r="CL919" s="105"/>
      <c r="CM919" s="105"/>
      <c r="CN919" s="105"/>
      <c r="CO919" s="105"/>
      <c r="CP919" s="105"/>
      <c r="CQ919" s="105"/>
      <c r="CR919" s="105"/>
      <c r="CS919" s="105"/>
      <c r="CT919" s="105"/>
      <c r="CU919" s="105"/>
      <c r="CV919" s="105"/>
      <c r="CW919" s="105"/>
      <c r="CX919" s="105"/>
      <c r="CY919" s="105"/>
      <c r="CZ919" s="105"/>
      <c r="DA919" s="105"/>
    </row>
    <row r="920">
      <c r="B920" s="105"/>
      <c r="F920" s="105"/>
      <c r="G920" s="105"/>
      <c r="H920" s="105"/>
      <c r="I920" s="105"/>
      <c r="J920" s="105"/>
      <c r="K920" s="105"/>
      <c r="L920" s="105"/>
      <c r="M920" s="105"/>
      <c r="N920" s="105"/>
      <c r="O920" s="105"/>
      <c r="P920" s="105"/>
      <c r="Q920" s="105"/>
      <c r="R920" s="105"/>
      <c r="S920" s="105"/>
      <c r="T920" s="105"/>
      <c r="U920" s="105"/>
      <c r="V920" s="105"/>
      <c r="W920" s="105"/>
      <c r="X920" s="105"/>
      <c r="Y920" s="105"/>
      <c r="Z920" s="105"/>
      <c r="AA920" s="105"/>
      <c r="AB920" s="105"/>
      <c r="AC920" s="105"/>
      <c r="AD920" s="105"/>
      <c r="AE920" s="105"/>
      <c r="AF920" s="105"/>
      <c r="AG920" s="105"/>
      <c r="AH920" s="105"/>
      <c r="AI920" s="105"/>
      <c r="AJ920" s="105"/>
      <c r="AK920" s="105"/>
      <c r="AL920" s="105"/>
      <c r="AM920" s="105"/>
      <c r="AN920" s="105"/>
      <c r="AO920" s="105"/>
      <c r="AP920" s="105"/>
      <c r="AQ920" s="105"/>
      <c r="AR920" s="105"/>
      <c r="AS920" s="105"/>
      <c r="AT920" s="105"/>
      <c r="AU920" s="105"/>
      <c r="AV920" s="105"/>
      <c r="AW920" s="105"/>
      <c r="AX920" s="105"/>
      <c r="AY920" s="105"/>
      <c r="AZ920" s="105"/>
      <c r="BA920" s="105"/>
      <c r="BB920" s="105"/>
      <c r="BC920" s="105"/>
      <c r="BD920" s="105"/>
      <c r="BE920" s="105"/>
      <c r="BF920" s="105"/>
      <c r="BG920" s="105"/>
      <c r="BH920" s="105"/>
      <c r="BI920" s="105"/>
      <c r="BJ920" s="105"/>
      <c r="BK920" s="105"/>
      <c r="BL920" s="105"/>
      <c r="BM920" s="105"/>
      <c r="BN920" s="105"/>
      <c r="BO920" s="105"/>
      <c r="BP920" s="105"/>
      <c r="BQ920" s="105"/>
      <c r="BR920" s="105"/>
      <c r="BS920" s="105"/>
      <c r="BT920" s="105"/>
      <c r="BU920" s="105"/>
      <c r="BV920" s="105"/>
      <c r="BW920" s="105"/>
      <c r="BX920" s="105"/>
      <c r="BY920" s="105"/>
      <c r="BZ920" s="105"/>
      <c r="CA920" s="105"/>
      <c r="CB920" s="105"/>
      <c r="CC920" s="105"/>
      <c r="CD920" s="105"/>
      <c r="CE920" s="105"/>
      <c r="CF920" s="105"/>
      <c r="CG920" s="105"/>
      <c r="CH920" s="105"/>
      <c r="CI920" s="105"/>
      <c r="CJ920" s="105"/>
      <c r="CK920" s="105"/>
      <c r="CL920" s="105"/>
      <c r="CM920" s="105"/>
      <c r="CN920" s="105"/>
      <c r="CO920" s="105"/>
      <c r="CP920" s="105"/>
      <c r="CQ920" s="105"/>
      <c r="CR920" s="105"/>
      <c r="CS920" s="105"/>
      <c r="CT920" s="105"/>
      <c r="CU920" s="105"/>
      <c r="CV920" s="105"/>
      <c r="CW920" s="105"/>
      <c r="CX920" s="105"/>
      <c r="CY920" s="105"/>
      <c r="CZ920" s="105"/>
      <c r="DA920" s="105"/>
    </row>
    <row r="921">
      <c r="B921" s="105"/>
      <c r="F921" s="105"/>
      <c r="G921" s="105"/>
      <c r="H921" s="105"/>
      <c r="I921" s="105"/>
      <c r="J921" s="105"/>
      <c r="K921" s="105"/>
      <c r="L921" s="105"/>
      <c r="M921" s="105"/>
      <c r="N921" s="105"/>
      <c r="O921" s="105"/>
      <c r="P921" s="105"/>
      <c r="Q921" s="105"/>
      <c r="R921" s="105"/>
      <c r="S921" s="105"/>
      <c r="T921" s="105"/>
      <c r="U921" s="105"/>
      <c r="V921" s="105"/>
      <c r="W921" s="105"/>
      <c r="X921" s="105"/>
      <c r="Y921" s="105"/>
      <c r="Z921" s="105"/>
      <c r="AA921" s="105"/>
      <c r="AB921" s="105"/>
      <c r="AC921" s="105"/>
      <c r="AD921" s="105"/>
      <c r="AE921" s="105"/>
      <c r="AF921" s="105"/>
      <c r="AG921" s="105"/>
      <c r="AH921" s="105"/>
      <c r="AI921" s="105"/>
      <c r="AJ921" s="105"/>
      <c r="AK921" s="105"/>
      <c r="AL921" s="105"/>
      <c r="AM921" s="105"/>
      <c r="AN921" s="105"/>
      <c r="AO921" s="105"/>
      <c r="AP921" s="105"/>
      <c r="AQ921" s="105"/>
      <c r="AR921" s="105"/>
      <c r="AS921" s="105"/>
      <c r="AT921" s="105"/>
      <c r="AU921" s="105"/>
      <c r="AV921" s="105"/>
      <c r="AW921" s="105"/>
      <c r="AX921" s="105"/>
      <c r="AY921" s="105"/>
      <c r="AZ921" s="105"/>
      <c r="BA921" s="105"/>
      <c r="BB921" s="105"/>
      <c r="BC921" s="105"/>
      <c r="BD921" s="105"/>
      <c r="BE921" s="105"/>
      <c r="BF921" s="105"/>
      <c r="BG921" s="105"/>
      <c r="BH921" s="105"/>
      <c r="BI921" s="105"/>
      <c r="BJ921" s="105"/>
      <c r="BK921" s="105"/>
      <c r="BL921" s="105"/>
      <c r="BM921" s="105"/>
      <c r="BN921" s="105"/>
      <c r="BO921" s="105"/>
      <c r="BP921" s="105"/>
      <c r="BQ921" s="105"/>
      <c r="BR921" s="105"/>
      <c r="BS921" s="105"/>
      <c r="BT921" s="105"/>
      <c r="BU921" s="105"/>
      <c r="BV921" s="105"/>
      <c r="BW921" s="105"/>
      <c r="BX921" s="105"/>
      <c r="BY921" s="105"/>
      <c r="BZ921" s="105"/>
      <c r="CA921" s="105"/>
      <c r="CB921" s="105"/>
      <c r="CC921" s="105"/>
      <c r="CD921" s="105"/>
      <c r="CE921" s="105"/>
      <c r="CF921" s="105"/>
      <c r="CG921" s="105"/>
      <c r="CH921" s="105"/>
      <c r="CI921" s="105"/>
      <c r="CJ921" s="105"/>
      <c r="CK921" s="105"/>
      <c r="CL921" s="105"/>
      <c r="CM921" s="105"/>
      <c r="CN921" s="105"/>
      <c r="CO921" s="105"/>
      <c r="CP921" s="105"/>
      <c r="CQ921" s="105"/>
      <c r="CR921" s="105"/>
      <c r="CS921" s="105"/>
      <c r="CT921" s="105"/>
      <c r="CU921" s="105"/>
      <c r="CV921" s="105"/>
      <c r="CW921" s="105"/>
      <c r="CX921" s="105"/>
      <c r="CY921" s="105"/>
      <c r="CZ921" s="105"/>
      <c r="DA921" s="105"/>
    </row>
    <row r="922">
      <c r="B922" s="105"/>
      <c r="F922" s="105"/>
      <c r="G922" s="105"/>
      <c r="H922" s="105"/>
      <c r="I922" s="105"/>
      <c r="J922" s="105"/>
      <c r="K922" s="105"/>
      <c r="L922" s="105"/>
      <c r="M922" s="105"/>
      <c r="N922" s="105"/>
      <c r="O922" s="105"/>
      <c r="P922" s="105"/>
      <c r="Q922" s="105"/>
      <c r="R922" s="105"/>
      <c r="S922" s="105"/>
      <c r="T922" s="105"/>
      <c r="U922" s="105"/>
      <c r="V922" s="105"/>
      <c r="W922" s="105"/>
      <c r="X922" s="105"/>
      <c r="Y922" s="105"/>
      <c r="Z922" s="105"/>
      <c r="AA922" s="105"/>
      <c r="AB922" s="105"/>
      <c r="AC922" s="105"/>
      <c r="AD922" s="105"/>
      <c r="AE922" s="105"/>
      <c r="AF922" s="105"/>
      <c r="AG922" s="105"/>
      <c r="AH922" s="105"/>
      <c r="AI922" s="105"/>
      <c r="AJ922" s="105"/>
      <c r="AK922" s="105"/>
      <c r="AL922" s="105"/>
      <c r="AM922" s="105"/>
      <c r="AN922" s="105"/>
      <c r="AO922" s="105"/>
      <c r="AP922" s="105"/>
      <c r="AQ922" s="105"/>
      <c r="AR922" s="105"/>
      <c r="AS922" s="105"/>
      <c r="AT922" s="105"/>
      <c r="AU922" s="105"/>
      <c r="AV922" s="105"/>
      <c r="AW922" s="105"/>
      <c r="AX922" s="105"/>
      <c r="AY922" s="105"/>
      <c r="AZ922" s="105"/>
      <c r="BA922" s="105"/>
      <c r="BB922" s="105"/>
      <c r="BC922" s="105"/>
      <c r="BD922" s="105"/>
      <c r="BE922" s="105"/>
      <c r="BF922" s="105"/>
      <c r="BG922" s="105"/>
      <c r="BH922" s="105"/>
      <c r="BI922" s="105"/>
      <c r="BJ922" s="105"/>
      <c r="BK922" s="105"/>
      <c r="BL922" s="105"/>
      <c r="BM922" s="105"/>
      <c r="BN922" s="105"/>
      <c r="BO922" s="105"/>
      <c r="BP922" s="105"/>
      <c r="BQ922" s="105"/>
      <c r="BR922" s="105"/>
      <c r="BS922" s="105"/>
      <c r="BT922" s="105"/>
      <c r="BU922" s="105"/>
      <c r="BV922" s="105"/>
      <c r="BW922" s="105"/>
      <c r="BX922" s="105"/>
      <c r="BY922" s="105"/>
      <c r="BZ922" s="105"/>
      <c r="CA922" s="105"/>
      <c r="CB922" s="105"/>
      <c r="CC922" s="105"/>
      <c r="CD922" s="105"/>
      <c r="CE922" s="105"/>
      <c r="CF922" s="105"/>
      <c r="CG922" s="105"/>
      <c r="CH922" s="105"/>
      <c r="CI922" s="105"/>
      <c r="CJ922" s="105"/>
      <c r="CK922" s="105"/>
      <c r="CL922" s="105"/>
      <c r="CM922" s="105"/>
      <c r="CN922" s="105"/>
      <c r="CO922" s="105"/>
      <c r="CP922" s="105"/>
      <c r="CQ922" s="105"/>
      <c r="CR922" s="105"/>
      <c r="CS922" s="105"/>
      <c r="CT922" s="105"/>
      <c r="CU922" s="105"/>
      <c r="CV922" s="105"/>
      <c r="CW922" s="105"/>
      <c r="CX922" s="105"/>
      <c r="CY922" s="105"/>
      <c r="CZ922" s="105"/>
      <c r="DA922" s="105"/>
    </row>
    <row r="923">
      <c r="B923" s="105"/>
      <c r="F923" s="105"/>
      <c r="G923" s="105"/>
      <c r="H923" s="105"/>
      <c r="I923" s="105"/>
      <c r="J923" s="105"/>
      <c r="K923" s="105"/>
      <c r="L923" s="105"/>
      <c r="M923" s="105"/>
      <c r="N923" s="105"/>
      <c r="O923" s="105"/>
      <c r="P923" s="105"/>
      <c r="Q923" s="105"/>
      <c r="R923" s="105"/>
      <c r="S923" s="105"/>
      <c r="T923" s="105"/>
      <c r="U923" s="105"/>
      <c r="V923" s="105"/>
      <c r="W923" s="105"/>
      <c r="X923" s="105"/>
      <c r="Y923" s="105"/>
      <c r="Z923" s="105"/>
      <c r="AA923" s="105"/>
      <c r="AB923" s="105"/>
      <c r="AC923" s="105"/>
      <c r="AD923" s="105"/>
      <c r="AE923" s="105"/>
      <c r="AF923" s="105"/>
      <c r="AG923" s="105"/>
      <c r="AH923" s="105"/>
      <c r="AI923" s="105"/>
      <c r="AJ923" s="105"/>
      <c r="AK923" s="105"/>
      <c r="AL923" s="105"/>
      <c r="AM923" s="105"/>
      <c r="AN923" s="105"/>
      <c r="AO923" s="105"/>
      <c r="AP923" s="105"/>
      <c r="AQ923" s="105"/>
      <c r="AR923" s="105"/>
      <c r="AS923" s="105"/>
      <c r="AT923" s="105"/>
      <c r="AU923" s="105"/>
      <c r="AV923" s="105"/>
      <c r="AW923" s="105"/>
      <c r="AX923" s="105"/>
      <c r="AY923" s="105"/>
      <c r="AZ923" s="105"/>
      <c r="BA923" s="105"/>
      <c r="BB923" s="105"/>
      <c r="BC923" s="105"/>
      <c r="BD923" s="105"/>
      <c r="BE923" s="105"/>
      <c r="BF923" s="105"/>
      <c r="BG923" s="105"/>
      <c r="BH923" s="105"/>
      <c r="BI923" s="105"/>
      <c r="BJ923" s="105"/>
      <c r="BK923" s="105"/>
      <c r="BL923" s="105"/>
      <c r="BM923" s="105"/>
      <c r="BN923" s="105"/>
      <c r="BO923" s="105"/>
      <c r="BP923" s="105"/>
      <c r="BQ923" s="105"/>
      <c r="BR923" s="105"/>
      <c r="BS923" s="105"/>
      <c r="BT923" s="105"/>
      <c r="BU923" s="105"/>
      <c r="BV923" s="105"/>
      <c r="BW923" s="105"/>
      <c r="BX923" s="105"/>
      <c r="BY923" s="105"/>
      <c r="BZ923" s="105"/>
      <c r="CA923" s="105"/>
      <c r="CB923" s="105"/>
      <c r="CC923" s="105"/>
      <c r="CD923" s="105"/>
      <c r="CE923" s="105"/>
      <c r="CF923" s="105"/>
      <c r="CG923" s="105"/>
      <c r="CH923" s="105"/>
      <c r="CI923" s="105"/>
      <c r="CJ923" s="105"/>
      <c r="CK923" s="105"/>
      <c r="CL923" s="105"/>
      <c r="CM923" s="105"/>
      <c r="CN923" s="105"/>
      <c r="CO923" s="105"/>
      <c r="CP923" s="105"/>
      <c r="CQ923" s="105"/>
      <c r="CR923" s="105"/>
      <c r="CS923" s="105"/>
      <c r="CT923" s="105"/>
      <c r="CU923" s="105"/>
      <c r="CV923" s="105"/>
      <c r="CW923" s="105"/>
      <c r="CX923" s="105"/>
      <c r="CY923" s="105"/>
      <c r="CZ923" s="105"/>
      <c r="DA923" s="105"/>
    </row>
    <row r="924">
      <c r="B924" s="105"/>
      <c r="F924" s="105"/>
      <c r="G924" s="105"/>
      <c r="H924" s="105"/>
      <c r="I924" s="105"/>
      <c r="J924" s="105"/>
      <c r="K924" s="105"/>
      <c r="L924" s="105"/>
      <c r="M924" s="105"/>
      <c r="N924" s="105"/>
      <c r="O924" s="105"/>
      <c r="P924" s="105"/>
      <c r="Q924" s="105"/>
      <c r="R924" s="105"/>
      <c r="S924" s="105"/>
      <c r="T924" s="105"/>
      <c r="U924" s="105"/>
      <c r="V924" s="105"/>
      <c r="W924" s="105"/>
      <c r="X924" s="105"/>
      <c r="Y924" s="105"/>
      <c r="Z924" s="105"/>
      <c r="AA924" s="105"/>
      <c r="AB924" s="105"/>
      <c r="AC924" s="105"/>
      <c r="AD924" s="105"/>
      <c r="AE924" s="105"/>
      <c r="AF924" s="105"/>
      <c r="AG924" s="105"/>
      <c r="AH924" s="105"/>
      <c r="AI924" s="105"/>
      <c r="AJ924" s="105"/>
      <c r="AK924" s="105"/>
      <c r="AL924" s="105"/>
      <c r="AM924" s="105"/>
      <c r="AN924" s="105"/>
      <c r="AO924" s="105"/>
      <c r="AP924" s="105"/>
      <c r="AQ924" s="105"/>
      <c r="AR924" s="105"/>
      <c r="AS924" s="105"/>
      <c r="AT924" s="105"/>
      <c r="AU924" s="105"/>
      <c r="AV924" s="105"/>
      <c r="AW924" s="105"/>
      <c r="AX924" s="105"/>
      <c r="AY924" s="105"/>
      <c r="AZ924" s="105"/>
      <c r="BA924" s="105"/>
      <c r="BB924" s="105"/>
      <c r="BC924" s="105"/>
      <c r="BD924" s="105"/>
      <c r="BE924" s="105"/>
      <c r="BF924" s="105"/>
      <c r="BG924" s="105"/>
      <c r="BH924" s="105"/>
      <c r="BI924" s="105"/>
      <c r="BJ924" s="105"/>
      <c r="BK924" s="105"/>
      <c r="BL924" s="105"/>
      <c r="BM924" s="105"/>
      <c r="BN924" s="105"/>
      <c r="BO924" s="105"/>
      <c r="BP924" s="105"/>
      <c r="BQ924" s="105"/>
      <c r="BR924" s="105"/>
      <c r="BS924" s="105"/>
      <c r="BT924" s="105"/>
      <c r="BU924" s="105"/>
      <c r="BV924" s="105"/>
      <c r="BW924" s="105"/>
      <c r="BX924" s="105"/>
      <c r="BY924" s="105"/>
      <c r="BZ924" s="105"/>
      <c r="CA924" s="105"/>
      <c r="CB924" s="105"/>
      <c r="CC924" s="105"/>
      <c r="CD924" s="105"/>
      <c r="CE924" s="105"/>
      <c r="CF924" s="105"/>
      <c r="CG924" s="105"/>
      <c r="CH924" s="105"/>
      <c r="CI924" s="105"/>
      <c r="CJ924" s="105"/>
      <c r="CK924" s="105"/>
      <c r="CL924" s="105"/>
      <c r="CM924" s="105"/>
      <c r="CN924" s="105"/>
      <c r="CO924" s="105"/>
      <c r="CP924" s="105"/>
      <c r="CQ924" s="105"/>
      <c r="CR924" s="105"/>
      <c r="CS924" s="105"/>
      <c r="CT924" s="105"/>
      <c r="CU924" s="105"/>
      <c r="CV924" s="105"/>
      <c r="CW924" s="105"/>
      <c r="CX924" s="105"/>
      <c r="CY924" s="105"/>
      <c r="CZ924" s="105"/>
      <c r="DA924" s="105"/>
    </row>
    <row r="925">
      <c r="B925" s="105"/>
      <c r="F925" s="105"/>
      <c r="G925" s="105"/>
      <c r="H925" s="105"/>
      <c r="I925" s="105"/>
      <c r="J925" s="105"/>
      <c r="K925" s="105"/>
      <c r="L925" s="105"/>
      <c r="M925" s="105"/>
      <c r="N925" s="105"/>
      <c r="O925" s="105"/>
      <c r="P925" s="105"/>
      <c r="Q925" s="105"/>
      <c r="R925" s="105"/>
      <c r="S925" s="105"/>
      <c r="T925" s="105"/>
      <c r="U925" s="105"/>
      <c r="V925" s="105"/>
      <c r="W925" s="105"/>
      <c r="X925" s="105"/>
      <c r="Y925" s="105"/>
      <c r="Z925" s="105"/>
      <c r="AA925" s="105"/>
      <c r="AB925" s="105"/>
      <c r="AC925" s="105"/>
      <c r="AD925" s="105"/>
      <c r="AE925" s="105"/>
      <c r="AF925" s="105"/>
      <c r="AG925" s="105"/>
      <c r="AH925" s="105"/>
      <c r="AI925" s="105"/>
      <c r="AJ925" s="105"/>
      <c r="AK925" s="105"/>
      <c r="AL925" s="105"/>
      <c r="AM925" s="105"/>
      <c r="AN925" s="105"/>
      <c r="AO925" s="105"/>
      <c r="AP925" s="105"/>
      <c r="AQ925" s="105"/>
      <c r="AR925" s="105"/>
      <c r="AS925" s="105"/>
      <c r="AT925" s="105"/>
      <c r="AU925" s="105"/>
      <c r="AV925" s="105"/>
      <c r="AW925" s="105"/>
      <c r="AX925" s="105"/>
      <c r="AY925" s="105"/>
      <c r="AZ925" s="105"/>
      <c r="BA925" s="105"/>
      <c r="BB925" s="105"/>
      <c r="BC925" s="105"/>
      <c r="BD925" s="105"/>
      <c r="BE925" s="105"/>
      <c r="BF925" s="105"/>
      <c r="BG925" s="105"/>
      <c r="BH925" s="105"/>
      <c r="BI925" s="105"/>
      <c r="BJ925" s="105"/>
      <c r="BK925" s="105"/>
      <c r="BL925" s="105"/>
      <c r="BM925" s="105"/>
      <c r="BN925" s="105"/>
      <c r="BO925" s="105"/>
      <c r="BP925" s="105"/>
      <c r="BQ925" s="105"/>
      <c r="BR925" s="105"/>
      <c r="BS925" s="105"/>
      <c r="BT925" s="105"/>
      <c r="BU925" s="105"/>
      <c r="BV925" s="105"/>
      <c r="BW925" s="105"/>
      <c r="BX925" s="105"/>
      <c r="BY925" s="105"/>
      <c r="BZ925" s="105"/>
      <c r="CA925" s="105"/>
      <c r="CB925" s="105"/>
      <c r="CC925" s="105"/>
      <c r="CD925" s="105"/>
      <c r="CE925" s="105"/>
      <c r="CF925" s="105"/>
      <c r="CG925" s="105"/>
      <c r="CH925" s="105"/>
      <c r="CI925" s="105"/>
      <c r="CJ925" s="105"/>
      <c r="CK925" s="105"/>
      <c r="CL925" s="105"/>
      <c r="CM925" s="105"/>
      <c r="CN925" s="105"/>
      <c r="CO925" s="105"/>
      <c r="CP925" s="105"/>
      <c r="CQ925" s="105"/>
      <c r="CR925" s="105"/>
      <c r="CS925" s="105"/>
      <c r="CT925" s="105"/>
      <c r="CU925" s="105"/>
      <c r="CV925" s="105"/>
      <c r="CW925" s="105"/>
      <c r="CX925" s="105"/>
      <c r="CY925" s="105"/>
      <c r="CZ925" s="105"/>
      <c r="DA925" s="105"/>
    </row>
    <row r="926">
      <c r="B926" s="105"/>
      <c r="F926" s="105"/>
      <c r="G926" s="105"/>
      <c r="H926" s="105"/>
      <c r="I926" s="105"/>
      <c r="J926" s="105"/>
      <c r="K926" s="105"/>
      <c r="L926" s="105"/>
      <c r="M926" s="105"/>
      <c r="N926" s="105"/>
      <c r="O926" s="105"/>
      <c r="P926" s="105"/>
      <c r="Q926" s="105"/>
      <c r="R926" s="105"/>
      <c r="S926" s="105"/>
      <c r="T926" s="105"/>
      <c r="U926" s="105"/>
      <c r="V926" s="105"/>
      <c r="W926" s="105"/>
      <c r="X926" s="105"/>
      <c r="Y926" s="105"/>
      <c r="Z926" s="105"/>
      <c r="AA926" s="105"/>
      <c r="AB926" s="105"/>
      <c r="AC926" s="105"/>
      <c r="AD926" s="105"/>
      <c r="AE926" s="105"/>
      <c r="AF926" s="105"/>
      <c r="AG926" s="105"/>
      <c r="AH926" s="105"/>
      <c r="AI926" s="105"/>
      <c r="AJ926" s="105"/>
      <c r="AK926" s="105"/>
      <c r="AL926" s="105"/>
      <c r="AM926" s="105"/>
      <c r="AN926" s="105"/>
      <c r="AO926" s="105"/>
      <c r="AP926" s="105"/>
      <c r="AQ926" s="105"/>
      <c r="AR926" s="105"/>
      <c r="AS926" s="105"/>
      <c r="AT926" s="105"/>
      <c r="AU926" s="105"/>
      <c r="AV926" s="105"/>
      <c r="AW926" s="105"/>
      <c r="AX926" s="105"/>
      <c r="AY926" s="105"/>
      <c r="AZ926" s="105"/>
      <c r="BA926" s="105"/>
      <c r="BB926" s="105"/>
      <c r="BC926" s="105"/>
      <c r="BD926" s="105"/>
      <c r="BE926" s="105"/>
      <c r="BF926" s="105"/>
      <c r="BG926" s="105"/>
      <c r="BH926" s="105"/>
      <c r="BI926" s="105"/>
      <c r="BJ926" s="105"/>
      <c r="BK926" s="105"/>
      <c r="BL926" s="105"/>
      <c r="BM926" s="105"/>
      <c r="BN926" s="105"/>
      <c r="BO926" s="105"/>
      <c r="BP926" s="105"/>
      <c r="BQ926" s="105"/>
      <c r="BR926" s="105"/>
      <c r="BS926" s="105"/>
      <c r="BT926" s="105"/>
      <c r="BU926" s="105"/>
      <c r="BV926" s="105"/>
      <c r="BW926" s="105"/>
      <c r="BX926" s="105"/>
      <c r="BY926" s="105"/>
      <c r="BZ926" s="105"/>
      <c r="CA926" s="105"/>
      <c r="CB926" s="105"/>
      <c r="CC926" s="105"/>
      <c r="CD926" s="105"/>
      <c r="CE926" s="105"/>
      <c r="CF926" s="105"/>
      <c r="CG926" s="105"/>
      <c r="CH926" s="105"/>
      <c r="CI926" s="105"/>
      <c r="CJ926" s="105"/>
      <c r="CK926" s="105"/>
      <c r="CL926" s="105"/>
      <c r="CM926" s="105"/>
      <c r="CN926" s="105"/>
      <c r="CO926" s="105"/>
      <c r="CP926" s="105"/>
      <c r="CQ926" s="105"/>
      <c r="CR926" s="105"/>
      <c r="CS926" s="105"/>
      <c r="CT926" s="105"/>
      <c r="CU926" s="105"/>
      <c r="CV926" s="105"/>
      <c r="CW926" s="105"/>
      <c r="CX926" s="105"/>
      <c r="CY926" s="105"/>
      <c r="CZ926" s="105"/>
      <c r="DA926" s="105"/>
    </row>
    <row r="927">
      <c r="B927" s="105"/>
      <c r="F927" s="105"/>
      <c r="G927" s="105"/>
      <c r="H927" s="105"/>
      <c r="I927" s="105"/>
      <c r="J927" s="105"/>
      <c r="K927" s="105"/>
      <c r="L927" s="105"/>
      <c r="M927" s="105"/>
      <c r="N927" s="105"/>
      <c r="O927" s="105"/>
      <c r="P927" s="105"/>
      <c r="Q927" s="105"/>
      <c r="R927" s="105"/>
      <c r="S927" s="105"/>
      <c r="T927" s="105"/>
      <c r="U927" s="105"/>
      <c r="V927" s="105"/>
      <c r="W927" s="105"/>
      <c r="X927" s="105"/>
      <c r="Y927" s="105"/>
      <c r="Z927" s="105"/>
      <c r="AA927" s="105"/>
      <c r="AB927" s="105"/>
      <c r="AC927" s="105"/>
      <c r="AD927" s="105"/>
      <c r="AE927" s="105"/>
      <c r="AF927" s="105"/>
      <c r="AG927" s="105"/>
      <c r="AH927" s="105"/>
      <c r="AI927" s="105"/>
      <c r="AJ927" s="105"/>
      <c r="AK927" s="105"/>
      <c r="AL927" s="105"/>
      <c r="AM927" s="105"/>
      <c r="AN927" s="105"/>
      <c r="AO927" s="105"/>
      <c r="AP927" s="105"/>
      <c r="AQ927" s="105"/>
      <c r="AR927" s="105"/>
      <c r="AS927" s="105"/>
      <c r="AT927" s="105"/>
      <c r="AU927" s="105"/>
      <c r="AV927" s="105"/>
      <c r="AW927" s="105"/>
      <c r="AX927" s="105"/>
      <c r="AY927" s="105"/>
      <c r="AZ927" s="105"/>
      <c r="BA927" s="105"/>
      <c r="BB927" s="105"/>
      <c r="BC927" s="105"/>
      <c r="BD927" s="105"/>
      <c r="BE927" s="105"/>
      <c r="BF927" s="105"/>
      <c r="BG927" s="105"/>
      <c r="BH927" s="105"/>
      <c r="BI927" s="105"/>
      <c r="BJ927" s="105"/>
      <c r="BK927" s="105"/>
      <c r="BL927" s="105"/>
      <c r="BM927" s="105"/>
      <c r="BN927" s="105"/>
      <c r="BO927" s="105"/>
      <c r="BP927" s="105"/>
      <c r="BQ927" s="105"/>
      <c r="BR927" s="105"/>
      <c r="BS927" s="105"/>
      <c r="BT927" s="105"/>
      <c r="BU927" s="105"/>
      <c r="BV927" s="105"/>
      <c r="BW927" s="105"/>
      <c r="BX927" s="105"/>
      <c r="BY927" s="105"/>
      <c r="BZ927" s="105"/>
      <c r="CA927" s="105"/>
      <c r="CB927" s="105"/>
      <c r="CC927" s="105"/>
      <c r="CD927" s="105"/>
      <c r="CE927" s="105"/>
      <c r="CF927" s="105"/>
      <c r="CG927" s="105"/>
      <c r="CH927" s="105"/>
      <c r="CI927" s="105"/>
      <c r="CJ927" s="105"/>
      <c r="CK927" s="105"/>
      <c r="CL927" s="105"/>
      <c r="CM927" s="105"/>
      <c r="CN927" s="105"/>
      <c r="CO927" s="105"/>
      <c r="CP927" s="105"/>
      <c r="CQ927" s="105"/>
      <c r="CR927" s="105"/>
      <c r="CS927" s="105"/>
      <c r="CT927" s="105"/>
      <c r="CU927" s="105"/>
      <c r="CV927" s="105"/>
      <c r="CW927" s="105"/>
      <c r="CX927" s="105"/>
      <c r="CY927" s="105"/>
      <c r="CZ927" s="105"/>
      <c r="DA927" s="105"/>
    </row>
    <row r="928">
      <c r="B928" s="105"/>
      <c r="F928" s="105"/>
      <c r="G928" s="105"/>
      <c r="H928" s="105"/>
      <c r="I928" s="105"/>
      <c r="J928" s="105"/>
      <c r="K928" s="105"/>
      <c r="L928" s="105"/>
      <c r="M928" s="105"/>
      <c r="N928" s="105"/>
      <c r="O928" s="105"/>
      <c r="P928" s="105"/>
      <c r="Q928" s="105"/>
      <c r="R928" s="105"/>
      <c r="S928" s="105"/>
      <c r="T928" s="105"/>
      <c r="U928" s="105"/>
      <c r="V928" s="105"/>
      <c r="W928" s="105"/>
      <c r="X928" s="105"/>
      <c r="Y928" s="105"/>
      <c r="Z928" s="105"/>
      <c r="AA928" s="105"/>
      <c r="AB928" s="105"/>
      <c r="AC928" s="105"/>
      <c r="AD928" s="105"/>
      <c r="AE928" s="105"/>
      <c r="AF928" s="105"/>
      <c r="AG928" s="105"/>
      <c r="AH928" s="105"/>
      <c r="AI928" s="105"/>
      <c r="AJ928" s="105"/>
      <c r="AK928" s="105"/>
      <c r="AL928" s="105"/>
      <c r="AM928" s="105"/>
      <c r="AN928" s="105"/>
      <c r="AO928" s="105"/>
      <c r="AP928" s="105"/>
      <c r="AQ928" s="105"/>
      <c r="AR928" s="105"/>
      <c r="AS928" s="105"/>
      <c r="AT928" s="105"/>
      <c r="AU928" s="105"/>
      <c r="AV928" s="105"/>
      <c r="AW928" s="105"/>
      <c r="AX928" s="105"/>
      <c r="AY928" s="105"/>
      <c r="AZ928" s="105"/>
      <c r="BA928" s="105"/>
      <c r="BB928" s="105"/>
      <c r="BC928" s="105"/>
      <c r="BD928" s="105"/>
      <c r="BE928" s="105"/>
      <c r="BF928" s="105"/>
      <c r="BG928" s="105"/>
      <c r="BH928" s="105"/>
      <c r="BI928" s="105"/>
      <c r="BJ928" s="105"/>
      <c r="BK928" s="105"/>
      <c r="BL928" s="105"/>
      <c r="BM928" s="105"/>
      <c r="BN928" s="105"/>
      <c r="BO928" s="105"/>
      <c r="BP928" s="105"/>
      <c r="BQ928" s="105"/>
      <c r="BR928" s="105"/>
      <c r="BS928" s="105"/>
      <c r="BT928" s="105"/>
      <c r="BU928" s="105"/>
      <c r="BV928" s="105"/>
      <c r="BW928" s="105"/>
      <c r="BX928" s="105"/>
      <c r="BY928" s="105"/>
      <c r="BZ928" s="105"/>
      <c r="CA928" s="105"/>
      <c r="CB928" s="105"/>
      <c r="CC928" s="105"/>
      <c r="CD928" s="105"/>
      <c r="CE928" s="105"/>
      <c r="CF928" s="105"/>
      <c r="CG928" s="105"/>
      <c r="CH928" s="105"/>
      <c r="CI928" s="105"/>
      <c r="CJ928" s="105"/>
      <c r="CK928" s="105"/>
      <c r="CL928" s="105"/>
      <c r="CM928" s="105"/>
      <c r="CN928" s="105"/>
      <c r="CO928" s="105"/>
      <c r="CP928" s="105"/>
      <c r="CQ928" s="105"/>
      <c r="CR928" s="105"/>
      <c r="CS928" s="105"/>
      <c r="CT928" s="105"/>
      <c r="CU928" s="105"/>
      <c r="CV928" s="105"/>
      <c r="CW928" s="105"/>
      <c r="CX928" s="105"/>
      <c r="CY928" s="105"/>
      <c r="CZ928" s="105"/>
      <c r="DA928" s="105"/>
    </row>
    <row r="929">
      <c r="B929" s="105"/>
      <c r="F929" s="105"/>
      <c r="G929" s="105"/>
      <c r="H929" s="105"/>
      <c r="I929" s="105"/>
      <c r="J929" s="105"/>
      <c r="K929" s="105"/>
      <c r="L929" s="105"/>
      <c r="M929" s="105"/>
      <c r="N929" s="105"/>
      <c r="O929" s="105"/>
      <c r="P929" s="105"/>
      <c r="Q929" s="105"/>
      <c r="R929" s="105"/>
      <c r="S929" s="105"/>
      <c r="T929" s="105"/>
      <c r="U929" s="105"/>
      <c r="V929" s="105"/>
      <c r="W929" s="105"/>
      <c r="X929" s="105"/>
      <c r="Y929" s="105"/>
      <c r="Z929" s="105"/>
      <c r="AA929" s="105"/>
      <c r="AB929" s="105"/>
      <c r="AC929" s="105"/>
      <c r="AD929" s="105"/>
      <c r="AE929" s="105"/>
      <c r="AF929" s="105"/>
      <c r="AG929" s="105"/>
      <c r="AH929" s="105"/>
      <c r="AI929" s="105"/>
      <c r="AJ929" s="105"/>
      <c r="AK929" s="105"/>
      <c r="AL929" s="105"/>
      <c r="AM929" s="105"/>
      <c r="AN929" s="105"/>
      <c r="AO929" s="105"/>
      <c r="AP929" s="105"/>
      <c r="AQ929" s="105"/>
      <c r="AR929" s="105"/>
      <c r="AS929" s="105"/>
      <c r="AT929" s="105"/>
      <c r="AU929" s="105"/>
      <c r="AV929" s="105"/>
      <c r="AW929" s="105"/>
      <c r="AX929" s="105"/>
      <c r="AY929" s="105"/>
      <c r="AZ929" s="105"/>
      <c r="BA929" s="105"/>
      <c r="BB929" s="105"/>
      <c r="BC929" s="105"/>
      <c r="BD929" s="105"/>
      <c r="BE929" s="105"/>
      <c r="BF929" s="105"/>
      <c r="BG929" s="105"/>
      <c r="BH929" s="105"/>
      <c r="BI929" s="105"/>
      <c r="BJ929" s="105"/>
      <c r="BK929" s="105"/>
      <c r="BL929" s="105"/>
      <c r="BM929" s="105"/>
      <c r="BN929" s="105"/>
      <c r="BO929" s="105"/>
      <c r="BP929" s="105"/>
      <c r="BQ929" s="105"/>
      <c r="BR929" s="105"/>
      <c r="BS929" s="105"/>
      <c r="BT929" s="105"/>
      <c r="BU929" s="105"/>
      <c r="BV929" s="105"/>
      <c r="BW929" s="105"/>
      <c r="BX929" s="105"/>
      <c r="BY929" s="105"/>
      <c r="BZ929" s="105"/>
      <c r="CA929" s="105"/>
      <c r="CB929" s="105"/>
      <c r="CC929" s="105"/>
      <c r="CD929" s="105"/>
      <c r="CE929" s="105"/>
      <c r="CF929" s="105"/>
      <c r="CG929" s="105"/>
      <c r="CH929" s="105"/>
      <c r="CI929" s="105"/>
      <c r="CJ929" s="105"/>
      <c r="CK929" s="105"/>
      <c r="CL929" s="105"/>
      <c r="CM929" s="105"/>
      <c r="CN929" s="105"/>
      <c r="CO929" s="105"/>
      <c r="CP929" s="105"/>
      <c r="CQ929" s="105"/>
      <c r="CR929" s="105"/>
      <c r="CS929" s="105"/>
      <c r="CT929" s="105"/>
      <c r="CU929" s="105"/>
      <c r="CV929" s="105"/>
      <c r="CW929" s="105"/>
      <c r="CX929" s="105"/>
      <c r="CY929" s="105"/>
      <c r="CZ929" s="105"/>
      <c r="DA929" s="105"/>
    </row>
    <row r="930">
      <c r="B930" s="105"/>
      <c r="F930" s="105"/>
      <c r="G930" s="105"/>
      <c r="H930" s="105"/>
      <c r="I930" s="105"/>
      <c r="J930" s="105"/>
      <c r="K930" s="105"/>
      <c r="L930" s="105"/>
      <c r="M930" s="105"/>
      <c r="N930" s="105"/>
      <c r="O930" s="105"/>
      <c r="P930" s="105"/>
      <c r="Q930" s="105"/>
      <c r="R930" s="105"/>
      <c r="S930" s="105"/>
      <c r="T930" s="105"/>
      <c r="U930" s="105"/>
      <c r="V930" s="105"/>
      <c r="W930" s="105"/>
      <c r="X930" s="105"/>
      <c r="Y930" s="105"/>
      <c r="Z930" s="105"/>
      <c r="AA930" s="105"/>
      <c r="AB930" s="105"/>
      <c r="AC930" s="105"/>
      <c r="AD930" s="105"/>
      <c r="AE930" s="105"/>
      <c r="AF930" s="105"/>
      <c r="AG930" s="105"/>
      <c r="AH930" s="105"/>
      <c r="AI930" s="105"/>
      <c r="AJ930" s="105"/>
      <c r="AK930" s="105"/>
      <c r="AL930" s="105"/>
      <c r="AM930" s="105"/>
      <c r="AN930" s="105"/>
      <c r="AO930" s="105"/>
      <c r="AP930" s="105"/>
      <c r="AQ930" s="105"/>
      <c r="AR930" s="105"/>
      <c r="AS930" s="105"/>
      <c r="AT930" s="105"/>
      <c r="AU930" s="105"/>
      <c r="AV930" s="105"/>
      <c r="AW930" s="105"/>
      <c r="AX930" s="105"/>
      <c r="AY930" s="105"/>
      <c r="AZ930" s="105"/>
      <c r="BA930" s="105"/>
      <c r="BB930" s="105"/>
      <c r="BC930" s="105"/>
      <c r="BD930" s="105"/>
      <c r="BE930" s="105"/>
      <c r="BF930" s="105"/>
      <c r="BG930" s="105"/>
      <c r="BH930" s="105"/>
      <c r="BI930" s="105"/>
      <c r="BJ930" s="105"/>
      <c r="BK930" s="105"/>
      <c r="BL930" s="105"/>
      <c r="BM930" s="105"/>
      <c r="BN930" s="105"/>
      <c r="BO930" s="105"/>
      <c r="BP930" s="105"/>
      <c r="BQ930" s="105"/>
      <c r="BR930" s="105"/>
      <c r="BS930" s="105"/>
      <c r="BT930" s="105"/>
      <c r="BU930" s="105"/>
      <c r="BV930" s="105"/>
      <c r="BW930" s="105"/>
      <c r="BX930" s="105"/>
      <c r="BY930" s="105"/>
      <c r="BZ930" s="105"/>
      <c r="CA930" s="105"/>
      <c r="CB930" s="105"/>
      <c r="CC930" s="105"/>
      <c r="CD930" s="105"/>
      <c r="CE930" s="105"/>
      <c r="CF930" s="105"/>
      <c r="CG930" s="105"/>
      <c r="CH930" s="105"/>
      <c r="CI930" s="105"/>
      <c r="CJ930" s="105"/>
      <c r="CK930" s="105"/>
      <c r="CL930" s="105"/>
      <c r="CM930" s="105"/>
      <c r="CN930" s="105"/>
      <c r="CO930" s="105"/>
      <c r="CP930" s="105"/>
      <c r="CQ930" s="105"/>
      <c r="CR930" s="105"/>
      <c r="CS930" s="105"/>
      <c r="CT930" s="105"/>
      <c r="CU930" s="105"/>
      <c r="CV930" s="105"/>
      <c r="CW930" s="105"/>
      <c r="CX930" s="105"/>
      <c r="CY930" s="105"/>
      <c r="CZ930" s="105"/>
      <c r="DA930" s="105"/>
    </row>
    <row r="931">
      <c r="B931" s="105"/>
      <c r="F931" s="105"/>
      <c r="G931" s="105"/>
      <c r="H931" s="105"/>
      <c r="I931" s="105"/>
      <c r="J931" s="105"/>
      <c r="K931" s="105"/>
      <c r="L931" s="105"/>
      <c r="M931" s="105"/>
      <c r="N931" s="105"/>
      <c r="O931" s="105"/>
      <c r="P931" s="105"/>
      <c r="Q931" s="105"/>
      <c r="R931" s="105"/>
      <c r="S931" s="105"/>
      <c r="T931" s="105"/>
      <c r="U931" s="105"/>
      <c r="V931" s="105"/>
      <c r="W931" s="105"/>
      <c r="X931" s="105"/>
      <c r="Y931" s="105"/>
      <c r="Z931" s="105"/>
      <c r="AA931" s="105"/>
      <c r="AB931" s="105"/>
      <c r="AC931" s="105"/>
      <c r="AD931" s="105"/>
      <c r="AE931" s="105"/>
      <c r="AF931" s="105"/>
      <c r="AG931" s="105"/>
      <c r="AH931" s="105"/>
      <c r="AI931" s="105"/>
      <c r="AJ931" s="105"/>
      <c r="AK931" s="105"/>
      <c r="AL931" s="105"/>
      <c r="AM931" s="105"/>
      <c r="AN931" s="105"/>
      <c r="AO931" s="105"/>
      <c r="AP931" s="105"/>
      <c r="AQ931" s="105"/>
      <c r="AR931" s="105"/>
      <c r="AS931" s="105"/>
      <c r="AT931" s="105"/>
      <c r="AU931" s="105"/>
      <c r="AV931" s="105"/>
      <c r="AW931" s="105"/>
      <c r="AX931" s="105"/>
      <c r="AY931" s="105"/>
      <c r="AZ931" s="105"/>
      <c r="BA931" s="105"/>
      <c r="BB931" s="105"/>
      <c r="BC931" s="105"/>
      <c r="BD931" s="105"/>
      <c r="BE931" s="105"/>
      <c r="BF931" s="105"/>
      <c r="BG931" s="105"/>
      <c r="BH931" s="105"/>
      <c r="BI931" s="105"/>
      <c r="BJ931" s="105"/>
      <c r="BK931" s="105"/>
      <c r="BL931" s="105"/>
      <c r="BM931" s="105"/>
      <c r="BN931" s="105"/>
      <c r="BO931" s="105"/>
      <c r="BP931" s="105"/>
      <c r="BQ931" s="105"/>
      <c r="BR931" s="105"/>
      <c r="BS931" s="105"/>
      <c r="BT931" s="105"/>
      <c r="BU931" s="105"/>
      <c r="BV931" s="105"/>
      <c r="BW931" s="105"/>
      <c r="BX931" s="105"/>
      <c r="BY931" s="105"/>
      <c r="BZ931" s="105"/>
      <c r="CA931" s="105"/>
      <c r="CB931" s="105"/>
      <c r="CC931" s="105"/>
      <c r="CD931" s="105"/>
      <c r="CE931" s="105"/>
      <c r="CF931" s="105"/>
      <c r="CG931" s="105"/>
      <c r="CH931" s="105"/>
      <c r="CI931" s="105"/>
      <c r="CJ931" s="105"/>
      <c r="CK931" s="105"/>
      <c r="CL931" s="105"/>
      <c r="CM931" s="105"/>
      <c r="CN931" s="105"/>
      <c r="CO931" s="105"/>
      <c r="CP931" s="105"/>
      <c r="CQ931" s="105"/>
      <c r="CR931" s="105"/>
      <c r="CS931" s="105"/>
      <c r="CT931" s="105"/>
      <c r="CU931" s="105"/>
      <c r="CV931" s="105"/>
      <c r="CW931" s="105"/>
      <c r="CX931" s="105"/>
      <c r="CY931" s="105"/>
      <c r="CZ931" s="105"/>
      <c r="DA931" s="105"/>
    </row>
    <row r="932">
      <c r="B932" s="105"/>
      <c r="F932" s="105"/>
      <c r="G932" s="105"/>
      <c r="H932" s="105"/>
      <c r="I932" s="105"/>
      <c r="J932" s="105"/>
      <c r="K932" s="105"/>
      <c r="L932" s="105"/>
      <c r="M932" s="105"/>
      <c r="N932" s="105"/>
      <c r="O932" s="105"/>
      <c r="P932" s="105"/>
      <c r="Q932" s="105"/>
      <c r="R932" s="105"/>
      <c r="S932" s="105"/>
      <c r="T932" s="105"/>
      <c r="U932" s="105"/>
      <c r="V932" s="105"/>
      <c r="W932" s="105"/>
      <c r="X932" s="105"/>
      <c r="Y932" s="105"/>
      <c r="Z932" s="105"/>
      <c r="AA932" s="105"/>
      <c r="AB932" s="105"/>
      <c r="AC932" s="105"/>
      <c r="AD932" s="105"/>
      <c r="AE932" s="105"/>
      <c r="AF932" s="105"/>
      <c r="AG932" s="105"/>
      <c r="AH932" s="105"/>
      <c r="AI932" s="105"/>
      <c r="AJ932" s="105"/>
      <c r="AK932" s="105"/>
      <c r="AL932" s="105"/>
      <c r="AM932" s="105"/>
      <c r="AN932" s="105"/>
      <c r="AO932" s="105"/>
      <c r="AP932" s="105"/>
      <c r="AQ932" s="105"/>
      <c r="AR932" s="105"/>
      <c r="AS932" s="105"/>
      <c r="AT932" s="105"/>
      <c r="AU932" s="105"/>
      <c r="AV932" s="105"/>
      <c r="AW932" s="105"/>
      <c r="AX932" s="105"/>
      <c r="AY932" s="105"/>
      <c r="AZ932" s="105"/>
      <c r="BA932" s="105"/>
      <c r="BB932" s="105"/>
      <c r="BC932" s="105"/>
      <c r="BD932" s="105"/>
      <c r="BE932" s="105"/>
      <c r="BF932" s="105"/>
      <c r="BG932" s="105"/>
      <c r="BH932" s="105"/>
      <c r="BI932" s="105"/>
      <c r="BJ932" s="105"/>
      <c r="BK932" s="105"/>
      <c r="BL932" s="105"/>
      <c r="BM932" s="105"/>
      <c r="BN932" s="105"/>
      <c r="BO932" s="105"/>
      <c r="BP932" s="105"/>
      <c r="BQ932" s="105"/>
      <c r="BR932" s="105"/>
      <c r="BS932" s="105"/>
      <c r="BT932" s="105"/>
      <c r="BU932" s="105"/>
      <c r="BV932" s="105"/>
      <c r="BW932" s="105"/>
      <c r="BX932" s="105"/>
      <c r="BY932" s="105"/>
      <c r="BZ932" s="105"/>
      <c r="CA932" s="105"/>
      <c r="CB932" s="105"/>
      <c r="CC932" s="105"/>
      <c r="CD932" s="105"/>
      <c r="CE932" s="105"/>
      <c r="CF932" s="105"/>
      <c r="CG932" s="105"/>
      <c r="CH932" s="105"/>
      <c r="CI932" s="105"/>
      <c r="CJ932" s="105"/>
      <c r="CK932" s="105"/>
      <c r="CL932" s="105"/>
      <c r="CM932" s="105"/>
      <c r="CN932" s="105"/>
      <c r="CO932" s="105"/>
      <c r="CP932" s="105"/>
      <c r="CQ932" s="105"/>
      <c r="CR932" s="105"/>
      <c r="CS932" s="105"/>
      <c r="CT932" s="105"/>
      <c r="CU932" s="105"/>
      <c r="CV932" s="105"/>
      <c r="CW932" s="105"/>
      <c r="CX932" s="105"/>
      <c r="CY932" s="105"/>
      <c r="CZ932" s="105"/>
      <c r="DA932" s="105"/>
    </row>
    <row r="933">
      <c r="B933" s="105"/>
      <c r="F933" s="105"/>
      <c r="G933" s="105"/>
      <c r="H933" s="105"/>
      <c r="I933" s="105"/>
      <c r="J933" s="105"/>
      <c r="K933" s="105"/>
      <c r="L933" s="105"/>
      <c r="M933" s="105"/>
      <c r="N933" s="105"/>
      <c r="O933" s="105"/>
      <c r="P933" s="105"/>
      <c r="Q933" s="105"/>
      <c r="R933" s="105"/>
      <c r="S933" s="105"/>
      <c r="T933" s="105"/>
      <c r="U933" s="105"/>
      <c r="V933" s="105"/>
      <c r="W933" s="105"/>
      <c r="X933" s="105"/>
      <c r="Y933" s="105"/>
      <c r="Z933" s="105"/>
      <c r="AA933" s="105"/>
      <c r="AB933" s="105"/>
      <c r="AC933" s="105"/>
      <c r="AD933" s="105"/>
      <c r="AE933" s="105"/>
      <c r="AF933" s="105"/>
      <c r="AG933" s="105"/>
      <c r="AH933" s="105"/>
      <c r="AI933" s="105"/>
      <c r="AJ933" s="105"/>
      <c r="AK933" s="105"/>
      <c r="AL933" s="105"/>
      <c r="AM933" s="105"/>
      <c r="AN933" s="105"/>
      <c r="AO933" s="105"/>
      <c r="AP933" s="105"/>
      <c r="AQ933" s="105"/>
      <c r="AR933" s="105"/>
      <c r="AS933" s="105"/>
      <c r="AT933" s="105"/>
      <c r="AU933" s="105"/>
      <c r="AV933" s="105"/>
      <c r="AW933" s="105"/>
      <c r="AX933" s="105"/>
      <c r="AY933" s="105"/>
      <c r="AZ933" s="105"/>
      <c r="BA933" s="105"/>
      <c r="BB933" s="105"/>
      <c r="BC933" s="105"/>
      <c r="BD933" s="105"/>
      <c r="BE933" s="105"/>
      <c r="BF933" s="105"/>
      <c r="BG933" s="105"/>
      <c r="BH933" s="105"/>
      <c r="BI933" s="105"/>
      <c r="BJ933" s="105"/>
      <c r="BK933" s="105"/>
      <c r="BL933" s="105"/>
      <c r="BM933" s="105"/>
      <c r="BN933" s="105"/>
      <c r="BO933" s="105"/>
      <c r="BP933" s="105"/>
      <c r="BQ933" s="105"/>
      <c r="BR933" s="105"/>
      <c r="BS933" s="105"/>
      <c r="BT933" s="105"/>
      <c r="BU933" s="105"/>
      <c r="BV933" s="105"/>
      <c r="BW933" s="105"/>
      <c r="BX933" s="105"/>
      <c r="BY933" s="105"/>
      <c r="BZ933" s="105"/>
      <c r="CA933" s="105"/>
      <c r="CB933" s="105"/>
      <c r="CC933" s="105"/>
      <c r="CD933" s="105"/>
      <c r="CE933" s="105"/>
      <c r="CF933" s="105"/>
      <c r="CG933" s="105"/>
      <c r="CH933" s="105"/>
      <c r="CI933" s="105"/>
      <c r="CJ933" s="105"/>
      <c r="CK933" s="105"/>
      <c r="CL933" s="105"/>
      <c r="CM933" s="105"/>
      <c r="CN933" s="105"/>
      <c r="CO933" s="105"/>
      <c r="CP933" s="105"/>
      <c r="CQ933" s="105"/>
      <c r="CR933" s="105"/>
      <c r="CS933" s="105"/>
      <c r="CT933" s="105"/>
      <c r="CU933" s="105"/>
      <c r="CV933" s="105"/>
      <c r="CW933" s="105"/>
      <c r="CX933" s="105"/>
      <c r="CY933" s="105"/>
      <c r="CZ933" s="105"/>
      <c r="DA933" s="105"/>
    </row>
    <row r="934">
      <c r="B934" s="105"/>
      <c r="F934" s="105"/>
      <c r="G934" s="105"/>
      <c r="H934" s="105"/>
      <c r="I934" s="105"/>
      <c r="J934" s="105"/>
      <c r="K934" s="105"/>
      <c r="L934" s="105"/>
      <c r="M934" s="105"/>
      <c r="N934" s="105"/>
      <c r="O934" s="105"/>
      <c r="P934" s="105"/>
      <c r="Q934" s="105"/>
      <c r="R934" s="105"/>
      <c r="S934" s="105"/>
      <c r="T934" s="105"/>
      <c r="U934" s="105"/>
      <c r="V934" s="105"/>
      <c r="W934" s="105"/>
      <c r="X934" s="105"/>
      <c r="Y934" s="105"/>
      <c r="Z934" s="105"/>
      <c r="AA934" s="105"/>
      <c r="AB934" s="105"/>
      <c r="AC934" s="105"/>
      <c r="AD934" s="105"/>
      <c r="AE934" s="105"/>
      <c r="AF934" s="105"/>
      <c r="AG934" s="105"/>
      <c r="AH934" s="105"/>
      <c r="AI934" s="105"/>
      <c r="AJ934" s="105"/>
      <c r="AK934" s="105"/>
      <c r="AL934" s="105"/>
      <c r="AM934" s="105"/>
      <c r="AN934" s="105"/>
      <c r="AO934" s="105"/>
      <c r="AP934" s="105"/>
      <c r="AQ934" s="105"/>
      <c r="AR934" s="105"/>
      <c r="AS934" s="105"/>
      <c r="AT934" s="105"/>
      <c r="AU934" s="105"/>
      <c r="AV934" s="105"/>
      <c r="AW934" s="105"/>
      <c r="AX934" s="105"/>
      <c r="AY934" s="105"/>
      <c r="AZ934" s="105"/>
      <c r="BA934" s="105"/>
      <c r="BB934" s="105"/>
      <c r="BC934" s="105"/>
      <c r="BD934" s="105"/>
      <c r="BE934" s="105"/>
      <c r="BF934" s="105"/>
      <c r="BG934" s="105"/>
      <c r="BH934" s="105"/>
      <c r="BI934" s="105"/>
      <c r="BJ934" s="105"/>
      <c r="BK934" s="105"/>
      <c r="BL934" s="105"/>
      <c r="BM934" s="105"/>
      <c r="BN934" s="105"/>
      <c r="BO934" s="105"/>
      <c r="BP934" s="105"/>
      <c r="BQ934" s="105"/>
      <c r="BR934" s="105"/>
      <c r="BS934" s="105"/>
      <c r="BT934" s="105"/>
      <c r="BU934" s="105"/>
      <c r="BV934" s="105"/>
      <c r="BW934" s="105"/>
      <c r="BX934" s="105"/>
      <c r="BY934" s="105"/>
      <c r="BZ934" s="105"/>
      <c r="CA934" s="105"/>
      <c r="CB934" s="105"/>
      <c r="CC934" s="105"/>
      <c r="CD934" s="105"/>
      <c r="CE934" s="105"/>
      <c r="CF934" s="105"/>
      <c r="CG934" s="105"/>
      <c r="CH934" s="105"/>
      <c r="CI934" s="105"/>
      <c r="CJ934" s="105"/>
      <c r="CK934" s="105"/>
      <c r="CL934" s="105"/>
      <c r="CM934" s="105"/>
      <c r="CN934" s="105"/>
      <c r="CO934" s="105"/>
      <c r="CP934" s="105"/>
      <c r="CQ934" s="105"/>
      <c r="CR934" s="105"/>
      <c r="CS934" s="105"/>
      <c r="CT934" s="105"/>
      <c r="CU934" s="105"/>
      <c r="CV934" s="105"/>
      <c r="CW934" s="105"/>
      <c r="CX934" s="105"/>
      <c r="CY934" s="105"/>
      <c r="CZ934" s="105"/>
      <c r="DA934" s="105"/>
    </row>
    <row r="935">
      <c r="B935" s="105"/>
      <c r="F935" s="105"/>
      <c r="G935" s="105"/>
      <c r="H935" s="105"/>
      <c r="I935" s="105"/>
      <c r="J935" s="105"/>
      <c r="K935" s="105"/>
      <c r="L935" s="105"/>
      <c r="M935" s="105"/>
      <c r="N935" s="105"/>
      <c r="O935" s="105"/>
      <c r="P935" s="105"/>
      <c r="Q935" s="105"/>
      <c r="R935" s="105"/>
      <c r="S935" s="105"/>
      <c r="T935" s="105"/>
      <c r="U935" s="105"/>
      <c r="V935" s="105"/>
      <c r="W935" s="105"/>
      <c r="X935" s="105"/>
      <c r="Y935" s="105"/>
      <c r="Z935" s="105"/>
      <c r="AA935" s="105"/>
      <c r="AB935" s="105"/>
      <c r="AC935" s="105"/>
      <c r="AD935" s="105"/>
      <c r="AE935" s="105"/>
      <c r="AF935" s="105"/>
      <c r="AG935" s="105"/>
      <c r="AH935" s="105"/>
      <c r="AI935" s="105"/>
      <c r="AJ935" s="105"/>
      <c r="AK935" s="105"/>
      <c r="AL935" s="105"/>
      <c r="AM935" s="105"/>
      <c r="AN935" s="105"/>
      <c r="AO935" s="105"/>
      <c r="AP935" s="105"/>
      <c r="AQ935" s="105"/>
      <c r="AR935" s="105"/>
      <c r="AS935" s="105"/>
      <c r="AT935" s="105"/>
      <c r="AU935" s="105"/>
      <c r="AV935" s="105"/>
      <c r="AW935" s="105"/>
      <c r="AX935" s="105"/>
      <c r="AY935" s="105"/>
      <c r="AZ935" s="105"/>
      <c r="BA935" s="105"/>
      <c r="BB935" s="105"/>
      <c r="BC935" s="105"/>
      <c r="BD935" s="105"/>
      <c r="BE935" s="105"/>
      <c r="BF935" s="105"/>
      <c r="BG935" s="105"/>
      <c r="BH935" s="105"/>
      <c r="BI935" s="105"/>
      <c r="BJ935" s="105"/>
      <c r="BK935" s="105"/>
      <c r="BL935" s="105"/>
      <c r="BM935" s="105"/>
      <c r="BN935" s="105"/>
      <c r="BO935" s="105"/>
      <c r="BP935" s="105"/>
      <c r="BQ935" s="105"/>
      <c r="BR935" s="105"/>
      <c r="BS935" s="105"/>
      <c r="BT935" s="105"/>
      <c r="BU935" s="105"/>
      <c r="BV935" s="105"/>
      <c r="BW935" s="105"/>
      <c r="BX935" s="105"/>
      <c r="BY935" s="105"/>
      <c r="BZ935" s="105"/>
      <c r="CA935" s="105"/>
      <c r="CB935" s="105"/>
      <c r="CC935" s="105"/>
      <c r="CD935" s="105"/>
      <c r="CE935" s="105"/>
      <c r="CF935" s="105"/>
      <c r="CG935" s="105"/>
      <c r="CH935" s="105"/>
      <c r="CI935" s="105"/>
      <c r="CJ935" s="105"/>
      <c r="CK935" s="105"/>
      <c r="CL935" s="105"/>
      <c r="CM935" s="105"/>
      <c r="CN935" s="105"/>
      <c r="CO935" s="105"/>
      <c r="CP935" s="105"/>
      <c r="CQ935" s="105"/>
      <c r="CR935" s="105"/>
      <c r="CS935" s="105"/>
      <c r="CT935" s="105"/>
      <c r="CU935" s="105"/>
      <c r="CV935" s="105"/>
      <c r="CW935" s="105"/>
      <c r="CX935" s="105"/>
      <c r="CY935" s="105"/>
      <c r="CZ935" s="105"/>
      <c r="DA935" s="105"/>
    </row>
    <row r="936">
      <c r="B936" s="105"/>
      <c r="F936" s="105"/>
      <c r="G936" s="105"/>
      <c r="H936" s="105"/>
      <c r="I936" s="105"/>
      <c r="J936" s="105"/>
      <c r="K936" s="105"/>
      <c r="L936" s="105"/>
      <c r="M936" s="105"/>
      <c r="N936" s="105"/>
      <c r="O936" s="105"/>
      <c r="P936" s="105"/>
      <c r="Q936" s="105"/>
      <c r="R936" s="105"/>
      <c r="S936" s="105"/>
      <c r="T936" s="105"/>
      <c r="U936" s="105"/>
      <c r="V936" s="105"/>
      <c r="W936" s="105"/>
      <c r="X936" s="105"/>
      <c r="Y936" s="105"/>
      <c r="Z936" s="105"/>
      <c r="AA936" s="105"/>
      <c r="AB936" s="105"/>
      <c r="AC936" s="105"/>
      <c r="AD936" s="105"/>
      <c r="AE936" s="105"/>
      <c r="AF936" s="105"/>
      <c r="AG936" s="105"/>
      <c r="AH936" s="105"/>
      <c r="AI936" s="105"/>
      <c r="AJ936" s="105"/>
      <c r="AK936" s="105"/>
      <c r="AL936" s="105"/>
      <c r="AM936" s="105"/>
      <c r="AN936" s="105"/>
      <c r="AO936" s="105"/>
      <c r="AP936" s="105"/>
      <c r="AQ936" s="105"/>
      <c r="AR936" s="105"/>
      <c r="AS936" s="105"/>
      <c r="AT936" s="105"/>
      <c r="AU936" s="105"/>
      <c r="AV936" s="105"/>
      <c r="AW936" s="105"/>
      <c r="AX936" s="105"/>
      <c r="AY936" s="105"/>
      <c r="AZ936" s="105"/>
      <c r="BA936" s="105"/>
      <c r="BB936" s="105"/>
      <c r="BC936" s="105"/>
      <c r="BD936" s="105"/>
      <c r="BE936" s="105"/>
      <c r="BF936" s="105"/>
      <c r="BG936" s="105"/>
      <c r="BH936" s="105"/>
      <c r="BI936" s="105"/>
      <c r="BJ936" s="105"/>
      <c r="BK936" s="105"/>
      <c r="BL936" s="105"/>
      <c r="BM936" s="105"/>
      <c r="BN936" s="105"/>
      <c r="BO936" s="105"/>
      <c r="BP936" s="105"/>
      <c r="BQ936" s="105"/>
      <c r="BR936" s="105"/>
      <c r="BS936" s="105"/>
      <c r="BT936" s="105"/>
      <c r="BU936" s="105"/>
      <c r="BV936" s="105"/>
      <c r="BW936" s="105"/>
      <c r="BX936" s="105"/>
      <c r="BY936" s="105"/>
      <c r="BZ936" s="105"/>
      <c r="CA936" s="105"/>
      <c r="CB936" s="105"/>
      <c r="CC936" s="105"/>
      <c r="CD936" s="105"/>
      <c r="CE936" s="105"/>
      <c r="CF936" s="105"/>
      <c r="CG936" s="105"/>
      <c r="CH936" s="105"/>
      <c r="CI936" s="105"/>
      <c r="CJ936" s="105"/>
      <c r="CK936" s="105"/>
      <c r="CL936" s="105"/>
      <c r="CM936" s="105"/>
      <c r="CN936" s="105"/>
      <c r="CO936" s="105"/>
      <c r="CP936" s="105"/>
      <c r="CQ936" s="105"/>
      <c r="CR936" s="105"/>
      <c r="CS936" s="105"/>
      <c r="CT936" s="105"/>
      <c r="CU936" s="105"/>
      <c r="CV936" s="105"/>
      <c r="CW936" s="105"/>
      <c r="CX936" s="105"/>
      <c r="CY936" s="105"/>
      <c r="CZ936" s="105"/>
      <c r="DA936" s="105"/>
    </row>
    <row r="937">
      <c r="B937" s="105"/>
      <c r="F937" s="105"/>
      <c r="G937" s="105"/>
      <c r="H937" s="105"/>
      <c r="I937" s="105"/>
      <c r="J937" s="105"/>
      <c r="K937" s="105"/>
      <c r="L937" s="105"/>
      <c r="M937" s="105"/>
      <c r="N937" s="105"/>
      <c r="O937" s="105"/>
      <c r="P937" s="105"/>
      <c r="Q937" s="105"/>
      <c r="R937" s="105"/>
      <c r="S937" s="105"/>
      <c r="T937" s="105"/>
      <c r="U937" s="105"/>
      <c r="V937" s="105"/>
      <c r="W937" s="105"/>
      <c r="X937" s="105"/>
      <c r="Y937" s="105"/>
      <c r="Z937" s="105"/>
      <c r="AA937" s="105"/>
      <c r="AB937" s="105"/>
      <c r="AC937" s="105"/>
      <c r="AD937" s="105"/>
      <c r="AE937" s="105"/>
      <c r="AF937" s="105"/>
      <c r="AG937" s="105"/>
      <c r="AH937" s="105"/>
      <c r="AI937" s="105"/>
      <c r="AJ937" s="105"/>
      <c r="AK937" s="105"/>
      <c r="AL937" s="105"/>
      <c r="AM937" s="105"/>
      <c r="AN937" s="105"/>
      <c r="AO937" s="105"/>
      <c r="AP937" s="105"/>
      <c r="AQ937" s="105"/>
      <c r="AR937" s="105"/>
      <c r="AS937" s="105"/>
      <c r="AT937" s="105"/>
      <c r="AU937" s="105"/>
      <c r="AV937" s="105"/>
      <c r="AW937" s="105"/>
      <c r="AX937" s="105"/>
      <c r="AY937" s="105"/>
      <c r="AZ937" s="105"/>
      <c r="BA937" s="105"/>
      <c r="BB937" s="105"/>
      <c r="BC937" s="105"/>
      <c r="BD937" s="105"/>
      <c r="BE937" s="105"/>
      <c r="BF937" s="105"/>
      <c r="BG937" s="105"/>
      <c r="BH937" s="105"/>
      <c r="BI937" s="105"/>
      <c r="BJ937" s="105"/>
      <c r="BK937" s="105"/>
      <c r="BL937" s="105"/>
      <c r="BM937" s="105"/>
      <c r="BN937" s="105"/>
      <c r="BO937" s="105"/>
      <c r="BP937" s="105"/>
      <c r="BQ937" s="105"/>
      <c r="BR937" s="105"/>
      <c r="BS937" s="105"/>
      <c r="BT937" s="105"/>
      <c r="BU937" s="105"/>
      <c r="BV937" s="105"/>
      <c r="BW937" s="105"/>
      <c r="BX937" s="105"/>
      <c r="BY937" s="105"/>
      <c r="BZ937" s="105"/>
      <c r="CA937" s="105"/>
      <c r="CB937" s="105"/>
      <c r="CC937" s="105"/>
      <c r="CD937" s="105"/>
      <c r="CE937" s="105"/>
      <c r="CF937" s="105"/>
      <c r="CG937" s="105"/>
      <c r="CH937" s="105"/>
      <c r="CI937" s="105"/>
      <c r="CJ937" s="105"/>
      <c r="CK937" s="105"/>
      <c r="CL937" s="105"/>
      <c r="CM937" s="105"/>
      <c r="CN937" s="105"/>
      <c r="CO937" s="105"/>
      <c r="CP937" s="105"/>
      <c r="CQ937" s="105"/>
      <c r="CR937" s="105"/>
      <c r="CS937" s="105"/>
      <c r="CT937" s="105"/>
      <c r="CU937" s="105"/>
      <c r="CV937" s="105"/>
      <c r="CW937" s="105"/>
      <c r="CX937" s="105"/>
      <c r="CY937" s="105"/>
      <c r="CZ937" s="105"/>
      <c r="DA937" s="105"/>
    </row>
    <row r="938">
      <c r="B938" s="105"/>
      <c r="F938" s="105"/>
      <c r="G938" s="105"/>
      <c r="H938" s="105"/>
      <c r="I938" s="105"/>
      <c r="J938" s="105"/>
      <c r="K938" s="105"/>
      <c r="L938" s="105"/>
      <c r="M938" s="105"/>
      <c r="N938" s="105"/>
      <c r="O938" s="105"/>
      <c r="P938" s="105"/>
      <c r="Q938" s="105"/>
      <c r="R938" s="105"/>
      <c r="S938" s="105"/>
      <c r="T938" s="105"/>
      <c r="U938" s="105"/>
      <c r="V938" s="105"/>
      <c r="W938" s="105"/>
      <c r="X938" s="105"/>
      <c r="Y938" s="105"/>
      <c r="Z938" s="105"/>
      <c r="AA938" s="105"/>
      <c r="AB938" s="105"/>
      <c r="AC938" s="105"/>
      <c r="AD938" s="105"/>
      <c r="AE938" s="105"/>
      <c r="AF938" s="105"/>
      <c r="AG938" s="105"/>
      <c r="AH938" s="105"/>
      <c r="AI938" s="105"/>
      <c r="AJ938" s="105"/>
      <c r="AK938" s="105"/>
      <c r="AL938" s="105"/>
      <c r="AM938" s="105"/>
      <c r="AN938" s="105"/>
      <c r="AO938" s="105"/>
      <c r="AP938" s="105"/>
      <c r="AQ938" s="105"/>
      <c r="AR938" s="105"/>
      <c r="AS938" s="105"/>
      <c r="AT938" s="105"/>
      <c r="AU938" s="105"/>
      <c r="AV938" s="105"/>
      <c r="AW938" s="105"/>
      <c r="AX938" s="105"/>
      <c r="AY938" s="105"/>
      <c r="AZ938" s="105"/>
      <c r="BA938" s="105"/>
      <c r="BB938" s="105"/>
      <c r="BC938" s="105"/>
      <c r="BD938" s="105"/>
      <c r="BE938" s="105"/>
      <c r="BF938" s="105"/>
      <c r="BG938" s="105"/>
      <c r="BH938" s="105"/>
      <c r="BI938" s="105"/>
      <c r="BJ938" s="105"/>
      <c r="BK938" s="105"/>
      <c r="BL938" s="105"/>
      <c r="BM938" s="105"/>
      <c r="BN938" s="105"/>
      <c r="BO938" s="105"/>
      <c r="BP938" s="105"/>
      <c r="BQ938" s="105"/>
      <c r="BR938" s="105"/>
      <c r="BS938" s="105"/>
      <c r="BT938" s="105"/>
      <c r="BU938" s="105"/>
      <c r="BV938" s="105"/>
      <c r="BW938" s="105"/>
      <c r="BX938" s="105"/>
      <c r="BY938" s="105"/>
      <c r="BZ938" s="105"/>
      <c r="CA938" s="105"/>
      <c r="CB938" s="105"/>
      <c r="CC938" s="105"/>
      <c r="CD938" s="105"/>
      <c r="CE938" s="105"/>
      <c r="CF938" s="105"/>
      <c r="CG938" s="105"/>
      <c r="CH938" s="105"/>
      <c r="CI938" s="105"/>
      <c r="CJ938" s="105"/>
      <c r="CK938" s="105"/>
      <c r="CL938" s="105"/>
      <c r="CM938" s="105"/>
      <c r="CN938" s="105"/>
      <c r="CO938" s="105"/>
      <c r="CP938" s="105"/>
      <c r="CQ938" s="105"/>
      <c r="CR938" s="105"/>
      <c r="CS938" s="105"/>
      <c r="CT938" s="105"/>
      <c r="CU938" s="105"/>
      <c r="CV938" s="105"/>
      <c r="CW938" s="105"/>
      <c r="CX938" s="105"/>
      <c r="CY938" s="105"/>
      <c r="CZ938" s="105"/>
      <c r="DA938" s="105"/>
    </row>
    <row r="939">
      <c r="B939" s="105"/>
      <c r="F939" s="105"/>
      <c r="G939" s="105"/>
      <c r="H939" s="105"/>
      <c r="I939" s="105"/>
      <c r="J939" s="105"/>
      <c r="K939" s="105"/>
      <c r="L939" s="105"/>
      <c r="M939" s="105"/>
      <c r="N939" s="105"/>
      <c r="O939" s="105"/>
      <c r="P939" s="105"/>
      <c r="Q939" s="105"/>
      <c r="R939" s="105"/>
      <c r="S939" s="105"/>
      <c r="T939" s="105"/>
      <c r="U939" s="105"/>
      <c r="V939" s="105"/>
      <c r="W939" s="105"/>
      <c r="X939" s="105"/>
      <c r="Y939" s="105"/>
      <c r="Z939" s="105"/>
      <c r="AA939" s="105"/>
      <c r="AB939" s="105"/>
      <c r="AC939" s="105"/>
      <c r="AD939" s="105"/>
      <c r="AE939" s="105"/>
      <c r="AF939" s="105"/>
      <c r="AG939" s="105"/>
      <c r="AH939" s="105"/>
      <c r="AI939" s="105"/>
      <c r="AJ939" s="105"/>
      <c r="AK939" s="105"/>
      <c r="AL939" s="105"/>
      <c r="AM939" s="105"/>
      <c r="AN939" s="105"/>
      <c r="AO939" s="105"/>
      <c r="AP939" s="105"/>
      <c r="AQ939" s="105"/>
      <c r="AR939" s="105"/>
      <c r="AS939" s="105"/>
      <c r="AT939" s="105"/>
      <c r="AU939" s="105"/>
      <c r="AV939" s="105"/>
      <c r="AW939" s="105"/>
      <c r="AX939" s="105"/>
      <c r="AY939" s="105"/>
      <c r="AZ939" s="105"/>
      <c r="BA939" s="105"/>
      <c r="BB939" s="105"/>
      <c r="BC939" s="105"/>
      <c r="BD939" s="105"/>
      <c r="BE939" s="105"/>
      <c r="BF939" s="105"/>
      <c r="BG939" s="105"/>
      <c r="BH939" s="105"/>
      <c r="BI939" s="105"/>
      <c r="BJ939" s="105"/>
      <c r="BK939" s="105"/>
      <c r="BL939" s="105"/>
      <c r="BM939" s="105"/>
      <c r="BN939" s="105"/>
      <c r="BO939" s="105"/>
      <c r="BP939" s="105"/>
      <c r="BQ939" s="105"/>
      <c r="BR939" s="105"/>
      <c r="BS939" s="105"/>
      <c r="BT939" s="105"/>
      <c r="BU939" s="105"/>
      <c r="BV939" s="105"/>
      <c r="BW939" s="105"/>
      <c r="BX939" s="105"/>
      <c r="BY939" s="105"/>
      <c r="BZ939" s="105"/>
      <c r="CA939" s="105"/>
      <c r="CB939" s="105"/>
      <c r="CC939" s="105"/>
      <c r="CD939" s="105"/>
      <c r="CE939" s="105"/>
      <c r="CF939" s="105"/>
      <c r="CG939" s="105"/>
      <c r="CH939" s="105"/>
      <c r="CI939" s="105"/>
      <c r="CJ939" s="105"/>
      <c r="CK939" s="105"/>
      <c r="CL939" s="105"/>
      <c r="CM939" s="105"/>
      <c r="CN939" s="105"/>
      <c r="CO939" s="105"/>
      <c r="CP939" s="105"/>
      <c r="CQ939" s="105"/>
      <c r="CR939" s="105"/>
      <c r="CS939" s="105"/>
      <c r="CT939" s="105"/>
      <c r="CU939" s="105"/>
      <c r="CV939" s="105"/>
      <c r="CW939" s="105"/>
      <c r="CX939" s="105"/>
      <c r="CY939" s="105"/>
      <c r="CZ939" s="105"/>
      <c r="DA939" s="105"/>
    </row>
    <row r="940">
      <c r="B940" s="105"/>
      <c r="F940" s="105"/>
      <c r="G940" s="105"/>
      <c r="H940" s="105"/>
      <c r="I940" s="105"/>
      <c r="J940" s="105"/>
      <c r="K940" s="105"/>
      <c r="L940" s="105"/>
      <c r="M940" s="105"/>
      <c r="N940" s="105"/>
      <c r="O940" s="105"/>
      <c r="P940" s="105"/>
      <c r="Q940" s="105"/>
      <c r="R940" s="105"/>
      <c r="S940" s="105"/>
      <c r="T940" s="105"/>
      <c r="U940" s="105"/>
      <c r="V940" s="105"/>
      <c r="W940" s="105"/>
      <c r="X940" s="105"/>
      <c r="Y940" s="105"/>
      <c r="Z940" s="105"/>
      <c r="AA940" s="105"/>
      <c r="AB940" s="105"/>
      <c r="AC940" s="105"/>
      <c r="AD940" s="105"/>
      <c r="AE940" s="105"/>
      <c r="AF940" s="105"/>
      <c r="AG940" s="105"/>
      <c r="AH940" s="105"/>
      <c r="AI940" s="105"/>
      <c r="AJ940" s="105"/>
      <c r="AK940" s="105"/>
      <c r="AL940" s="105"/>
      <c r="AM940" s="105"/>
      <c r="AN940" s="105"/>
      <c r="AO940" s="105"/>
      <c r="AP940" s="105"/>
      <c r="AQ940" s="105"/>
      <c r="AR940" s="105"/>
      <c r="AS940" s="105"/>
      <c r="AT940" s="105"/>
      <c r="AU940" s="105"/>
      <c r="AV940" s="105"/>
      <c r="AW940" s="105"/>
      <c r="AX940" s="105"/>
      <c r="AY940" s="105"/>
      <c r="AZ940" s="105"/>
      <c r="BA940" s="105"/>
      <c r="BB940" s="105"/>
      <c r="BC940" s="105"/>
      <c r="BD940" s="105"/>
      <c r="BE940" s="105"/>
      <c r="BF940" s="105"/>
      <c r="BG940" s="105"/>
      <c r="BH940" s="105"/>
      <c r="BI940" s="105"/>
      <c r="BJ940" s="105"/>
      <c r="BK940" s="105"/>
      <c r="BL940" s="105"/>
      <c r="BM940" s="105"/>
      <c r="BN940" s="105"/>
      <c r="BO940" s="105"/>
      <c r="BP940" s="105"/>
      <c r="BQ940" s="105"/>
      <c r="BR940" s="105"/>
      <c r="BS940" s="105"/>
      <c r="BT940" s="105"/>
      <c r="BU940" s="105"/>
      <c r="BV940" s="105"/>
      <c r="BW940" s="105"/>
      <c r="BX940" s="105"/>
      <c r="BY940" s="105"/>
      <c r="BZ940" s="105"/>
      <c r="CA940" s="105"/>
      <c r="CB940" s="105"/>
      <c r="CC940" s="105"/>
      <c r="CD940" s="105"/>
      <c r="CE940" s="105"/>
      <c r="CF940" s="105"/>
      <c r="CG940" s="105"/>
      <c r="CH940" s="105"/>
      <c r="CI940" s="105"/>
      <c r="CJ940" s="105"/>
      <c r="CK940" s="105"/>
      <c r="CL940" s="105"/>
      <c r="CM940" s="105"/>
      <c r="CN940" s="105"/>
      <c r="CO940" s="105"/>
      <c r="CP940" s="105"/>
      <c r="CQ940" s="105"/>
      <c r="CR940" s="105"/>
      <c r="CS940" s="105"/>
      <c r="CT940" s="105"/>
      <c r="CU940" s="105"/>
      <c r="CV940" s="105"/>
      <c r="CW940" s="105"/>
      <c r="CX940" s="105"/>
      <c r="CY940" s="105"/>
      <c r="CZ940" s="105"/>
      <c r="DA940" s="105"/>
    </row>
    <row r="941">
      <c r="B941" s="105"/>
      <c r="F941" s="105"/>
      <c r="G941" s="105"/>
      <c r="H941" s="105"/>
      <c r="I941" s="105"/>
      <c r="J941" s="105"/>
      <c r="K941" s="105"/>
      <c r="L941" s="105"/>
      <c r="M941" s="105"/>
      <c r="N941" s="105"/>
      <c r="O941" s="105"/>
      <c r="P941" s="105"/>
      <c r="Q941" s="105"/>
      <c r="R941" s="105"/>
      <c r="S941" s="105"/>
      <c r="T941" s="105"/>
      <c r="U941" s="105"/>
      <c r="V941" s="105"/>
      <c r="W941" s="105"/>
      <c r="X941" s="105"/>
      <c r="Y941" s="105"/>
      <c r="Z941" s="105"/>
      <c r="AA941" s="105"/>
      <c r="AB941" s="105"/>
      <c r="AC941" s="105"/>
      <c r="AD941" s="105"/>
      <c r="AE941" s="105"/>
      <c r="AF941" s="105"/>
      <c r="AG941" s="105"/>
      <c r="AH941" s="105"/>
      <c r="AI941" s="105"/>
      <c r="AJ941" s="105"/>
      <c r="AK941" s="105"/>
      <c r="AL941" s="105"/>
      <c r="AM941" s="105"/>
      <c r="AN941" s="105"/>
      <c r="AO941" s="105"/>
      <c r="AP941" s="105"/>
      <c r="AQ941" s="105"/>
      <c r="AR941" s="105"/>
      <c r="AS941" s="105"/>
      <c r="AT941" s="105"/>
      <c r="AU941" s="105"/>
      <c r="AV941" s="105"/>
      <c r="AW941" s="105"/>
      <c r="AX941" s="105"/>
      <c r="AY941" s="105"/>
      <c r="AZ941" s="105"/>
      <c r="BA941" s="105"/>
      <c r="BB941" s="105"/>
      <c r="BC941" s="105"/>
      <c r="BD941" s="105"/>
      <c r="BE941" s="105"/>
      <c r="BF941" s="105"/>
      <c r="BG941" s="105"/>
      <c r="BH941" s="105"/>
      <c r="BI941" s="105"/>
      <c r="BJ941" s="105"/>
      <c r="BK941" s="105"/>
      <c r="BL941" s="105"/>
      <c r="BM941" s="105"/>
      <c r="BN941" s="105"/>
      <c r="BO941" s="105"/>
      <c r="BP941" s="105"/>
      <c r="BQ941" s="105"/>
      <c r="BR941" s="105"/>
      <c r="BS941" s="105"/>
      <c r="BT941" s="105"/>
      <c r="BU941" s="105"/>
      <c r="BV941" s="105"/>
      <c r="BW941" s="105"/>
      <c r="BX941" s="105"/>
      <c r="BY941" s="105"/>
      <c r="BZ941" s="105"/>
      <c r="CA941" s="105"/>
      <c r="CB941" s="105"/>
      <c r="CC941" s="105"/>
      <c r="CD941" s="105"/>
      <c r="CE941" s="105"/>
      <c r="CF941" s="105"/>
      <c r="CG941" s="105"/>
      <c r="CH941" s="105"/>
      <c r="CI941" s="105"/>
      <c r="CJ941" s="105"/>
      <c r="CK941" s="105"/>
      <c r="CL941" s="105"/>
      <c r="CM941" s="105"/>
      <c r="CN941" s="105"/>
      <c r="CO941" s="105"/>
      <c r="CP941" s="105"/>
      <c r="CQ941" s="105"/>
      <c r="CR941" s="105"/>
      <c r="CS941" s="105"/>
      <c r="CT941" s="105"/>
      <c r="CU941" s="105"/>
      <c r="CV941" s="105"/>
      <c r="CW941" s="105"/>
      <c r="CX941" s="105"/>
      <c r="CY941" s="105"/>
      <c r="CZ941" s="105"/>
      <c r="DA941" s="105"/>
    </row>
    <row r="942">
      <c r="B942" s="105"/>
      <c r="F942" s="105"/>
      <c r="G942" s="105"/>
      <c r="H942" s="105"/>
      <c r="I942" s="105"/>
      <c r="J942" s="105"/>
      <c r="K942" s="105"/>
      <c r="L942" s="105"/>
      <c r="M942" s="105"/>
      <c r="N942" s="105"/>
      <c r="O942" s="105"/>
      <c r="P942" s="105"/>
      <c r="Q942" s="105"/>
      <c r="R942" s="105"/>
      <c r="S942" s="105"/>
      <c r="T942" s="105"/>
      <c r="U942" s="105"/>
      <c r="V942" s="105"/>
      <c r="W942" s="105"/>
      <c r="X942" s="105"/>
      <c r="Y942" s="105"/>
      <c r="Z942" s="105"/>
      <c r="AA942" s="105"/>
      <c r="AB942" s="105"/>
      <c r="AC942" s="105"/>
      <c r="AD942" s="105"/>
      <c r="AE942" s="105"/>
      <c r="AF942" s="105"/>
      <c r="AG942" s="105"/>
      <c r="AH942" s="105"/>
      <c r="AI942" s="105"/>
      <c r="AJ942" s="105"/>
      <c r="AK942" s="105"/>
      <c r="AL942" s="105"/>
      <c r="AM942" s="105"/>
      <c r="AN942" s="105"/>
      <c r="AO942" s="105"/>
      <c r="AP942" s="105"/>
      <c r="AQ942" s="105"/>
      <c r="AR942" s="105"/>
      <c r="AS942" s="105"/>
      <c r="AT942" s="105"/>
      <c r="AU942" s="105"/>
      <c r="AV942" s="105"/>
      <c r="AW942" s="105"/>
      <c r="AX942" s="105"/>
      <c r="AY942" s="105"/>
      <c r="AZ942" s="105"/>
      <c r="BA942" s="105"/>
      <c r="BB942" s="105"/>
      <c r="BC942" s="105"/>
      <c r="BD942" s="105"/>
      <c r="BE942" s="105"/>
      <c r="BF942" s="105"/>
      <c r="BG942" s="105"/>
      <c r="BH942" s="105"/>
      <c r="BI942" s="105"/>
      <c r="BJ942" s="105"/>
      <c r="BK942" s="105"/>
      <c r="BL942" s="105"/>
      <c r="BM942" s="105"/>
      <c r="BN942" s="105"/>
      <c r="BO942" s="105"/>
      <c r="BP942" s="105"/>
      <c r="BQ942" s="105"/>
      <c r="BR942" s="105"/>
      <c r="BS942" s="105"/>
      <c r="BT942" s="105"/>
      <c r="BU942" s="105"/>
      <c r="BV942" s="105"/>
      <c r="BW942" s="105"/>
      <c r="BX942" s="105"/>
      <c r="BY942" s="105"/>
      <c r="BZ942" s="105"/>
      <c r="CA942" s="105"/>
      <c r="CB942" s="105"/>
      <c r="CC942" s="105"/>
      <c r="CD942" s="105"/>
      <c r="CE942" s="105"/>
      <c r="CF942" s="105"/>
      <c r="CG942" s="105"/>
      <c r="CH942" s="105"/>
      <c r="CI942" s="105"/>
      <c r="CJ942" s="105"/>
      <c r="CK942" s="105"/>
      <c r="CL942" s="105"/>
      <c r="CM942" s="105"/>
      <c r="CN942" s="105"/>
      <c r="CO942" s="105"/>
      <c r="CP942" s="105"/>
      <c r="CQ942" s="105"/>
      <c r="CR942" s="105"/>
      <c r="CS942" s="105"/>
      <c r="CT942" s="105"/>
      <c r="CU942" s="105"/>
      <c r="CV942" s="105"/>
      <c r="CW942" s="105"/>
      <c r="CX942" s="105"/>
      <c r="CY942" s="105"/>
      <c r="CZ942" s="105"/>
      <c r="DA942" s="105"/>
    </row>
    <row r="943">
      <c r="B943" s="105"/>
      <c r="F943" s="105"/>
      <c r="G943" s="105"/>
      <c r="H943" s="105"/>
      <c r="I943" s="105"/>
      <c r="J943" s="105"/>
      <c r="K943" s="105"/>
      <c r="L943" s="105"/>
      <c r="M943" s="105"/>
      <c r="N943" s="105"/>
      <c r="O943" s="105"/>
      <c r="P943" s="105"/>
      <c r="Q943" s="105"/>
      <c r="R943" s="105"/>
      <c r="S943" s="105"/>
      <c r="T943" s="105"/>
      <c r="U943" s="105"/>
      <c r="V943" s="105"/>
      <c r="W943" s="105"/>
      <c r="X943" s="105"/>
      <c r="Y943" s="105"/>
      <c r="Z943" s="105"/>
      <c r="AA943" s="105"/>
      <c r="AB943" s="105"/>
      <c r="AC943" s="105"/>
      <c r="AD943" s="105"/>
      <c r="AE943" s="105"/>
      <c r="AF943" s="105"/>
      <c r="AG943" s="105"/>
      <c r="AH943" s="105"/>
      <c r="AI943" s="105"/>
      <c r="AJ943" s="105"/>
      <c r="AK943" s="105"/>
      <c r="AL943" s="105"/>
      <c r="AM943" s="105"/>
      <c r="AN943" s="105"/>
      <c r="AO943" s="105"/>
      <c r="AP943" s="105"/>
      <c r="AQ943" s="105"/>
      <c r="AR943" s="105"/>
      <c r="AS943" s="105"/>
      <c r="AT943" s="105"/>
      <c r="AU943" s="105"/>
      <c r="AV943" s="105"/>
      <c r="AW943" s="105"/>
      <c r="AX943" s="105"/>
      <c r="AY943" s="105"/>
      <c r="AZ943" s="105"/>
      <c r="BA943" s="105"/>
      <c r="BB943" s="105"/>
      <c r="BC943" s="105"/>
      <c r="BD943" s="105"/>
      <c r="BE943" s="105"/>
      <c r="BF943" s="105"/>
      <c r="BG943" s="105"/>
      <c r="BH943" s="105"/>
      <c r="BI943" s="105"/>
      <c r="BJ943" s="105"/>
      <c r="BK943" s="105"/>
      <c r="BL943" s="105"/>
      <c r="BM943" s="105"/>
      <c r="BN943" s="105"/>
      <c r="BO943" s="105"/>
      <c r="BP943" s="105"/>
      <c r="BQ943" s="105"/>
      <c r="BR943" s="105"/>
      <c r="BS943" s="105"/>
      <c r="BT943" s="105"/>
      <c r="BU943" s="105"/>
      <c r="BV943" s="105"/>
      <c r="BW943" s="105"/>
      <c r="BX943" s="105"/>
      <c r="BY943" s="105"/>
      <c r="BZ943" s="105"/>
      <c r="CA943" s="105"/>
      <c r="CB943" s="105"/>
      <c r="CC943" s="105"/>
      <c r="CD943" s="105"/>
      <c r="CE943" s="105"/>
      <c r="CF943" s="105"/>
      <c r="CG943" s="105"/>
      <c r="CH943" s="105"/>
      <c r="CI943" s="105"/>
      <c r="CJ943" s="105"/>
      <c r="CK943" s="105"/>
      <c r="CL943" s="105"/>
      <c r="CM943" s="105"/>
      <c r="CN943" s="105"/>
      <c r="CO943" s="105"/>
      <c r="CP943" s="105"/>
      <c r="CQ943" s="105"/>
      <c r="CR943" s="105"/>
      <c r="CS943" s="105"/>
      <c r="CT943" s="105"/>
      <c r="CU943" s="105"/>
      <c r="CV943" s="105"/>
      <c r="CW943" s="105"/>
      <c r="CX943" s="105"/>
      <c r="CY943" s="105"/>
      <c r="CZ943" s="105"/>
      <c r="DA943" s="105"/>
    </row>
    <row r="944">
      <c r="B944" s="105"/>
      <c r="F944" s="105"/>
      <c r="G944" s="105"/>
      <c r="H944" s="105"/>
      <c r="I944" s="105"/>
      <c r="J944" s="105"/>
      <c r="K944" s="105"/>
      <c r="L944" s="105"/>
      <c r="M944" s="105"/>
      <c r="N944" s="105"/>
      <c r="O944" s="105"/>
      <c r="P944" s="105"/>
      <c r="Q944" s="105"/>
      <c r="R944" s="105"/>
      <c r="S944" s="105"/>
      <c r="T944" s="105"/>
      <c r="U944" s="105"/>
      <c r="V944" s="105"/>
      <c r="W944" s="105"/>
      <c r="X944" s="105"/>
      <c r="Y944" s="105"/>
      <c r="Z944" s="105"/>
      <c r="AA944" s="105"/>
      <c r="AB944" s="105"/>
      <c r="AC944" s="105"/>
      <c r="AD944" s="105"/>
      <c r="AE944" s="105"/>
      <c r="AF944" s="105"/>
      <c r="AG944" s="105"/>
      <c r="AH944" s="105"/>
      <c r="AI944" s="105"/>
      <c r="AJ944" s="105"/>
      <c r="AK944" s="105"/>
      <c r="AL944" s="105"/>
      <c r="AM944" s="105"/>
      <c r="AN944" s="105"/>
      <c r="AO944" s="105"/>
      <c r="AP944" s="105"/>
      <c r="AQ944" s="105"/>
      <c r="AR944" s="105"/>
      <c r="AS944" s="105"/>
      <c r="AT944" s="105"/>
      <c r="AU944" s="105"/>
      <c r="AV944" s="105"/>
      <c r="AW944" s="105"/>
      <c r="AX944" s="105"/>
      <c r="AY944" s="105"/>
      <c r="AZ944" s="105"/>
      <c r="BA944" s="105"/>
      <c r="BB944" s="105"/>
      <c r="BC944" s="105"/>
      <c r="BD944" s="105"/>
      <c r="BE944" s="105"/>
      <c r="BF944" s="105"/>
      <c r="BG944" s="105"/>
      <c r="BH944" s="105"/>
      <c r="BI944" s="105"/>
      <c r="BJ944" s="105"/>
      <c r="BK944" s="105"/>
      <c r="BL944" s="105"/>
      <c r="BM944" s="105"/>
      <c r="BN944" s="105"/>
      <c r="BO944" s="105"/>
      <c r="BP944" s="105"/>
      <c r="BQ944" s="105"/>
      <c r="BR944" s="105"/>
      <c r="BS944" s="105"/>
      <c r="BT944" s="105"/>
      <c r="BU944" s="105"/>
      <c r="BV944" s="105"/>
      <c r="BW944" s="105"/>
      <c r="BX944" s="105"/>
      <c r="BY944" s="105"/>
      <c r="BZ944" s="105"/>
      <c r="CA944" s="105"/>
      <c r="CB944" s="105"/>
      <c r="CC944" s="105"/>
      <c r="CD944" s="105"/>
      <c r="CE944" s="105"/>
      <c r="CF944" s="105"/>
      <c r="CG944" s="105"/>
      <c r="CH944" s="105"/>
      <c r="CI944" s="105"/>
      <c r="CJ944" s="105"/>
      <c r="CK944" s="105"/>
      <c r="CL944" s="105"/>
      <c r="CM944" s="105"/>
      <c r="CN944" s="105"/>
      <c r="CO944" s="105"/>
      <c r="CP944" s="105"/>
      <c r="CQ944" s="105"/>
      <c r="CR944" s="105"/>
      <c r="CS944" s="105"/>
      <c r="CT944" s="105"/>
      <c r="CU944" s="105"/>
      <c r="CV944" s="105"/>
      <c r="CW944" s="105"/>
      <c r="CX944" s="105"/>
      <c r="CY944" s="105"/>
      <c r="CZ944" s="105"/>
      <c r="DA944" s="105"/>
    </row>
    <row r="945">
      <c r="B945" s="105"/>
      <c r="F945" s="105"/>
      <c r="G945" s="105"/>
      <c r="H945" s="105"/>
      <c r="I945" s="105"/>
      <c r="J945" s="105"/>
      <c r="K945" s="105"/>
      <c r="L945" s="105"/>
      <c r="M945" s="105"/>
      <c r="N945" s="105"/>
      <c r="O945" s="105"/>
      <c r="P945" s="105"/>
      <c r="Q945" s="105"/>
      <c r="R945" s="105"/>
      <c r="S945" s="105"/>
      <c r="T945" s="105"/>
      <c r="U945" s="105"/>
      <c r="V945" s="105"/>
      <c r="W945" s="105"/>
      <c r="X945" s="105"/>
      <c r="Y945" s="105"/>
      <c r="Z945" s="105"/>
      <c r="AA945" s="105"/>
      <c r="AB945" s="105"/>
      <c r="AC945" s="105"/>
      <c r="AD945" s="105"/>
      <c r="AE945" s="105"/>
      <c r="AF945" s="105"/>
      <c r="AG945" s="105"/>
      <c r="AH945" s="105"/>
      <c r="AI945" s="105"/>
      <c r="AJ945" s="105"/>
      <c r="AK945" s="105"/>
      <c r="AL945" s="105"/>
      <c r="AM945" s="105"/>
      <c r="AN945" s="105"/>
      <c r="AO945" s="105"/>
      <c r="AP945" s="105"/>
      <c r="AQ945" s="105"/>
      <c r="AR945" s="105"/>
      <c r="AS945" s="105"/>
      <c r="AT945" s="105"/>
      <c r="AU945" s="105"/>
      <c r="AV945" s="105"/>
      <c r="AW945" s="105"/>
      <c r="AX945" s="105"/>
      <c r="AY945" s="105"/>
      <c r="AZ945" s="105"/>
      <c r="BA945" s="105"/>
      <c r="BB945" s="105"/>
      <c r="BC945" s="105"/>
      <c r="BD945" s="105"/>
      <c r="BE945" s="105"/>
      <c r="BF945" s="105"/>
      <c r="BG945" s="105"/>
      <c r="BH945" s="105"/>
      <c r="BI945" s="105"/>
      <c r="BJ945" s="105"/>
      <c r="BK945" s="105"/>
      <c r="BL945" s="105"/>
      <c r="BM945" s="105"/>
      <c r="BN945" s="105"/>
      <c r="BO945" s="105"/>
      <c r="BP945" s="105"/>
      <c r="BQ945" s="105"/>
      <c r="BR945" s="105"/>
      <c r="BS945" s="105"/>
      <c r="BT945" s="105"/>
      <c r="BU945" s="105"/>
      <c r="BV945" s="105"/>
      <c r="BW945" s="105"/>
      <c r="BX945" s="105"/>
      <c r="BY945" s="105"/>
      <c r="BZ945" s="105"/>
      <c r="CA945" s="105"/>
      <c r="CB945" s="105"/>
      <c r="CC945" s="105"/>
      <c r="CD945" s="105"/>
      <c r="CE945" s="105"/>
      <c r="CF945" s="105"/>
      <c r="CG945" s="105"/>
      <c r="CH945" s="105"/>
      <c r="CI945" s="105"/>
      <c r="CJ945" s="105"/>
      <c r="CK945" s="105"/>
      <c r="CL945" s="105"/>
      <c r="CM945" s="105"/>
      <c r="CN945" s="105"/>
      <c r="CO945" s="105"/>
      <c r="CP945" s="105"/>
      <c r="CQ945" s="105"/>
      <c r="CR945" s="105"/>
      <c r="CS945" s="105"/>
      <c r="CT945" s="105"/>
      <c r="CU945" s="105"/>
      <c r="CV945" s="105"/>
      <c r="CW945" s="105"/>
      <c r="CX945" s="105"/>
      <c r="CY945" s="105"/>
      <c r="CZ945" s="105"/>
      <c r="DA945" s="105"/>
    </row>
    <row r="946">
      <c r="B946" s="105"/>
      <c r="F946" s="105"/>
      <c r="G946" s="105"/>
      <c r="H946" s="105"/>
      <c r="I946" s="105"/>
      <c r="J946" s="105"/>
      <c r="K946" s="105"/>
      <c r="L946" s="105"/>
      <c r="M946" s="105"/>
      <c r="N946" s="105"/>
      <c r="O946" s="105"/>
      <c r="P946" s="105"/>
      <c r="Q946" s="105"/>
      <c r="R946" s="105"/>
      <c r="S946" s="105"/>
      <c r="T946" s="105"/>
      <c r="U946" s="105"/>
      <c r="V946" s="105"/>
      <c r="W946" s="105"/>
      <c r="X946" s="105"/>
      <c r="Y946" s="105"/>
      <c r="Z946" s="105"/>
      <c r="AA946" s="105"/>
      <c r="AB946" s="105"/>
      <c r="AC946" s="105"/>
      <c r="AD946" s="105"/>
      <c r="AE946" s="105"/>
      <c r="AF946" s="105"/>
      <c r="AG946" s="105"/>
      <c r="AH946" s="105"/>
      <c r="AI946" s="105"/>
      <c r="AJ946" s="105"/>
      <c r="AK946" s="105"/>
      <c r="AL946" s="105"/>
      <c r="AM946" s="105"/>
      <c r="AN946" s="105"/>
      <c r="AO946" s="105"/>
      <c r="AP946" s="105"/>
      <c r="AQ946" s="105"/>
      <c r="AR946" s="105"/>
      <c r="AS946" s="105"/>
      <c r="AT946" s="105"/>
      <c r="AU946" s="105"/>
      <c r="AV946" s="105"/>
      <c r="AW946" s="105"/>
      <c r="AX946" s="105"/>
      <c r="AY946" s="105"/>
      <c r="AZ946" s="105"/>
      <c r="BA946" s="105"/>
      <c r="BB946" s="105"/>
      <c r="BC946" s="105"/>
      <c r="BD946" s="105"/>
      <c r="BE946" s="105"/>
      <c r="BF946" s="105"/>
      <c r="BG946" s="105"/>
      <c r="BH946" s="105"/>
      <c r="BI946" s="105"/>
      <c r="BJ946" s="105"/>
      <c r="BK946" s="105"/>
      <c r="BL946" s="105"/>
      <c r="BM946" s="105"/>
      <c r="BN946" s="105"/>
      <c r="BO946" s="105"/>
      <c r="BP946" s="105"/>
      <c r="BQ946" s="105"/>
      <c r="BR946" s="105"/>
      <c r="BS946" s="105"/>
      <c r="BT946" s="105"/>
      <c r="BU946" s="105"/>
      <c r="BV946" s="105"/>
      <c r="BW946" s="105"/>
      <c r="BX946" s="105"/>
      <c r="BY946" s="105"/>
      <c r="BZ946" s="105"/>
      <c r="CA946" s="105"/>
      <c r="CB946" s="105"/>
      <c r="CC946" s="105"/>
      <c r="CD946" s="105"/>
      <c r="CE946" s="105"/>
      <c r="CF946" s="105"/>
      <c r="CG946" s="105"/>
      <c r="CH946" s="105"/>
      <c r="CI946" s="105"/>
      <c r="CJ946" s="105"/>
      <c r="CK946" s="105"/>
      <c r="CL946" s="105"/>
      <c r="CM946" s="105"/>
      <c r="CN946" s="105"/>
      <c r="CO946" s="105"/>
      <c r="CP946" s="105"/>
      <c r="CQ946" s="105"/>
      <c r="CR946" s="105"/>
      <c r="CS946" s="105"/>
      <c r="CT946" s="105"/>
      <c r="CU946" s="105"/>
      <c r="CV946" s="105"/>
      <c r="CW946" s="105"/>
      <c r="CX946" s="105"/>
      <c r="CY946" s="105"/>
      <c r="CZ946" s="105"/>
      <c r="DA946" s="105"/>
    </row>
    <row r="947">
      <c r="B947" s="105"/>
      <c r="F947" s="105"/>
      <c r="G947" s="105"/>
      <c r="H947" s="105"/>
      <c r="I947" s="105"/>
      <c r="J947" s="105"/>
      <c r="K947" s="105"/>
      <c r="L947" s="105"/>
      <c r="M947" s="105"/>
      <c r="N947" s="105"/>
      <c r="O947" s="105"/>
      <c r="P947" s="105"/>
      <c r="Q947" s="105"/>
      <c r="R947" s="105"/>
      <c r="S947" s="105"/>
      <c r="T947" s="105"/>
      <c r="U947" s="105"/>
      <c r="V947" s="105"/>
      <c r="W947" s="105"/>
      <c r="X947" s="105"/>
      <c r="Y947" s="105"/>
      <c r="Z947" s="105"/>
      <c r="AA947" s="105"/>
      <c r="AB947" s="105"/>
      <c r="AC947" s="105"/>
      <c r="AD947" s="105"/>
      <c r="AE947" s="105"/>
      <c r="AF947" s="105"/>
      <c r="AG947" s="105"/>
      <c r="AH947" s="105"/>
      <c r="AI947" s="105"/>
      <c r="AJ947" s="105"/>
      <c r="AK947" s="105"/>
      <c r="AL947" s="105"/>
      <c r="AM947" s="105"/>
      <c r="AN947" s="105"/>
      <c r="AO947" s="105"/>
      <c r="AP947" s="105"/>
      <c r="AQ947" s="105"/>
      <c r="AR947" s="105"/>
      <c r="AS947" s="105"/>
      <c r="AT947" s="105"/>
      <c r="AU947" s="105"/>
      <c r="AV947" s="105"/>
      <c r="AW947" s="105"/>
      <c r="AX947" s="105"/>
      <c r="AY947" s="105"/>
      <c r="AZ947" s="105"/>
      <c r="BA947" s="105"/>
      <c r="BB947" s="105"/>
      <c r="BC947" s="105"/>
      <c r="BD947" s="105"/>
      <c r="BE947" s="105"/>
      <c r="BF947" s="105"/>
      <c r="BG947" s="105"/>
      <c r="BH947" s="105"/>
      <c r="BI947" s="105"/>
      <c r="BJ947" s="105"/>
      <c r="BK947" s="105"/>
      <c r="BL947" s="105"/>
      <c r="BM947" s="105"/>
      <c r="BN947" s="105"/>
      <c r="BO947" s="105"/>
      <c r="BP947" s="105"/>
      <c r="BQ947" s="105"/>
      <c r="BR947" s="105"/>
      <c r="BS947" s="105"/>
      <c r="BT947" s="105"/>
      <c r="BU947" s="105"/>
      <c r="BV947" s="105"/>
      <c r="BW947" s="105"/>
      <c r="BX947" s="105"/>
      <c r="BY947" s="105"/>
      <c r="BZ947" s="105"/>
      <c r="CA947" s="105"/>
      <c r="CB947" s="105"/>
      <c r="CC947" s="105"/>
      <c r="CD947" s="105"/>
      <c r="CE947" s="105"/>
      <c r="CF947" s="105"/>
      <c r="CG947" s="105"/>
      <c r="CH947" s="105"/>
      <c r="CI947" s="105"/>
      <c r="CJ947" s="105"/>
      <c r="CK947" s="105"/>
      <c r="CL947" s="105"/>
      <c r="CM947" s="105"/>
      <c r="CN947" s="105"/>
      <c r="CO947" s="105"/>
      <c r="CP947" s="105"/>
      <c r="CQ947" s="105"/>
      <c r="CR947" s="105"/>
      <c r="CS947" s="105"/>
      <c r="CT947" s="105"/>
      <c r="CU947" s="105"/>
      <c r="CV947" s="105"/>
      <c r="CW947" s="105"/>
      <c r="CX947" s="105"/>
      <c r="CY947" s="105"/>
      <c r="CZ947" s="105"/>
      <c r="DA947" s="105"/>
    </row>
    <row r="948">
      <c r="B948" s="105"/>
      <c r="F948" s="105"/>
      <c r="G948" s="105"/>
      <c r="H948" s="105"/>
      <c r="I948" s="105"/>
      <c r="J948" s="105"/>
      <c r="K948" s="105"/>
      <c r="L948" s="105"/>
      <c r="M948" s="105"/>
      <c r="N948" s="105"/>
      <c r="O948" s="105"/>
      <c r="P948" s="105"/>
      <c r="Q948" s="105"/>
      <c r="R948" s="105"/>
      <c r="S948" s="105"/>
      <c r="T948" s="105"/>
      <c r="U948" s="105"/>
      <c r="V948" s="105"/>
      <c r="W948" s="105"/>
      <c r="X948" s="105"/>
      <c r="Y948" s="105"/>
      <c r="Z948" s="105"/>
      <c r="AA948" s="105"/>
      <c r="AB948" s="105"/>
      <c r="AC948" s="105"/>
      <c r="AD948" s="105"/>
      <c r="AE948" s="105"/>
      <c r="AF948" s="105"/>
      <c r="AG948" s="105"/>
      <c r="AH948" s="105"/>
      <c r="AI948" s="105"/>
      <c r="AJ948" s="105"/>
      <c r="AK948" s="105"/>
      <c r="AL948" s="105"/>
      <c r="AM948" s="105"/>
      <c r="AN948" s="105"/>
      <c r="AO948" s="105"/>
      <c r="AP948" s="105"/>
      <c r="AQ948" s="105"/>
      <c r="AR948" s="105"/>
      <c r="AS948" s="105"/>
      <c r="AT948" s="105"/>
      <c r="AU948" s="105"/>
      <c r="AV948" s="105"/>
      <c r="AW948" s="105"/>
      <c r="AX948" s="105"/>
      <c r="AY948" s="105"/>
      <c r="AZ948" s="105"/>
      <c r="BA948" s="105"/>
      <c r="BB948" s="105"/>
      <c r="BC948" s="105"/>
      <c r="BD948" s="105"/>
      <c r="BE948" s="105"/>
      <c r="BF948" s="105"/>
      <c r="BG948" s="105"/>
      <c r="BH948" s="105"/>
      <c r="BI948" s="105"/>
      <c r="BJ948" s="105"/>
      <c r="BK948" s="105"/>
      <c r="BL948" s="105"/>
      <c r="BM948" s="105"/>
      <c r="BN948" s="105"/>
      <c r="BO948" s="105"/>
      <c r="BP948" s="105"/>
      <c r="BQ948" s="105"/>
      <c r="BR948" s="105"/>
      <c r="BS948" s="105"/>
      <c r="BT948" s="105"/>
      <c r="BU948" s="105"/>
      <c r="BV948" s="105"/>
      <c r="BW948" s="105"/>
      <c r="BX948" s="105"/>
      <c r="BY948" s="105"/>
      <c r="BZ948" s="105"/>
      <c r="CA948" s="105"/>
      <c r="CB948" s="105"/>
      <c r="CC948" s="105"/>
      <c r="CD948" s="105"/>
      <c r="CE948" s="105"/>
      <c r="CF948" s="105"/>
      <c r="CG948" s="105"/>
      <c r="CH948" s="105"/>
      <c r="CI948" s="105"/>
      <c r="CJ948" s="105"/>
      <c r="CK948" s="105"/>
      <c r="CL948" s="105"/>
      <c r="CM948" s="105"/>
      <c r="CN948" s="105"/>
      <c r="CO948" s="105"/>
      <c r="CP948" s="105"/>
      <c r="CQ948" s="105"/>
      <c r="CR948" s="105"/>
      <c r="CS948" s="105"/>
      <c r="CT948" s="105"/>
      <c r="CU948" s="105"/>
      <c r="CV948" s="105"/>
      <c r="CW948" s="105"/>
      <c r="CX948" s="105"/>
      <c r="CY948" s="105"/>
      <c r="CZ948" s="105"/>
      <c r="DA948" s="105"/>
    </row>
    <row r="949">
      <c r="B949" s="105"/>
      <c r="F949" s="105"/>
      <c r="G949" s="105"/>
      <c r="H949" s="105"/>
      <c r="I949" s="105"/>
      <c r="J949" s="105"/>
      <c r="K949" s="105"/>
      <c r="L949" s="105"/>
      <c r="M949" s="105"/>
      <c r="N949" s="105"/>
      <c r="O949" s="105"/>
      <c r="P949" s="105"/>
      <c r="Q949" s="105"/>
      <c r="R949" s="105"/>
      <c r="S949" s="105"/>
      <c r="T949" s="105"/>
      <c r="U949" s="105"/>
      <c r="V949" s="105"/>
      <c r="W949" s="105"/>
      <c r="X949" s="105"/>
      <c r="Y949" s="105"/>
      <c r="Z949" s="105"/>
      <c r="AA949" s="105"/>
      <c r="AB949" s="105"/>
      <c r="AC949" s="105"/>
      <c r="AD949" s="105"/>
      <c r="AE949" s="105"/>
      <c r="AF949" s="105"/>
      <c r="AG949" s="105"/>
      <c r="AH949" s="105"/>
      <c r="AI949" s="105"/>
      <c r="AJ949" s="105"/>
      <c r="AK949" s="105"/>
      <c r="AL949" s="105"/>
      <c r="AM949" s="105"/>
      <c r="AN949" s="105"/>
      <c r="AO949" s="105"/>
      <c r="AP949" s="105"/>
      <c r="AQ949" s="105"/>
      <c r="AR949" s="105"/>
      <c r="AS949" s="105"/>
      <c r="AT949" s="105"/>
      <c r="AU949" s="105"/>
      <c r="AV949" s="105"/>
      <c r="AW949" s="105"/>
      <c r="AX949" s="105"/>
      <c r="AY949" s="105"/>
      <c r="AZ949" s="105"/>
      <c r="BA949" s="105"/>
      <c r="BB949" s="105"/>
      <c r="BC949" s="105"/>
      <c r="BD949" s="105"/>
      <c r="BE949" s="105"/>
      <c r="BF949" s="105"/>
      <c r="BG949" s="105"/>
      <c r="BH949" s="105"/>
      <c r="BI949" s="105"/>
      <c r="BJ949" s="105"/>
      <c r="BK949" s="105"/>
      <c r="BL949" s="105"/>
      <c r="BM949" s="105"/>
      <c r="BN949" s="105"/>
      <c r="BO949" s="105"/>
      <c r="BP949" s="105"/>
      <c r="BQ949" s="105"/>
      <c r="BR949" s="105"/>
      <c r="BS949" s="105"/>
      <c r="BT949" s="105"/>
      <c r="BU949" s="105"/>
      <c r="BV949" s="105"/>
      <c r="BW949" s="105"/>
      <c r="BX949" s="105"/>
      <c r="BY949" s="105"/>
      <c r="BZ949" s="105"/>
      <c r="CA949" s="105"/>
      <c r="CB949" s="105"/>
      <c r="CC949" s="105"/>
      <c r="CD949" s="105"/>
      <c r="CE949" s="105"/>
      <c r="CF949" s="105"/>
      <c r="CG949" s="105"/>
      <c r="CH949" s="105"/>
      <c r="CI949" s="105"/>
      <c r="CJ949" s="105"/>
      <c r="CK949" s="105"/>
      <c r="CL949" s="105"/>
      <c r="CM949" s="105"/>
      <c r="CN949" s="105"/>
      <c r="CO949" s="105"/>
      <c r="CP949" s="105"/>
      <c r="CQ949" s="105"/>
      <c r="CR949" s="105"/>
      <c r="CS949" s="105"/>
      <c r="CT949" s="105"/>
      <c r="CU949" s="105"/>
      <c r="CV949" s="105"/>
      <c r="CW949" s="105"/>
      <c r="CX949" s="105"/>
      <c r="CY949" s="105"/>
      <c r="CZ949" s="105"/>
      <c r="DA949" s="105"/>
    </row>
    <row r="950">
      <c r="B950" s="105"/>
      <c r="F950" s="105"/>
      <c r="G950" s="105"/>
      <c r="H950" s="105"/>
      <c r="I950" s="105"/>
      <c r="J950" s="105"/>
      <c r="K950" s="105"/>
      <c r="L950" s="105"/>
      <c r="M950" s="105"/>
      <c r="N950" s="105"/>
      <c r="O950" s="105"/>
      <c r="P950" s="105"/>
      <c r="Q950" s="105"/>
      <c r="R950" s="105"/>
      <c r="S950" s="105"/>
      <c r="T950" s="105"/>
      <c r="U950" s="105"/>
      <c r="V950" s="105"/>
      <c r="W950" s="105"/>
      <c r="X950" s="105"/>
      <c r="Y950" s="105"/>
      <c r="Z950" s="105"/>
      <c r="AA950" s="105"/>
      <c r="AB950" s="105"/>
      <c r="AC950" s="105"/>
      <c r="AD950" s="105"/>
      <c r="AE950" s="105"/>
      <c r="AF950" s="105"/>
      <c r="AG950" s="105"/>
      <c r="AH950" s="105"/>
      <c r="AI950" s="105"/>
      <c r="AJ950" s="105"/>
      <c r="AK950" s="105"/>
      <c r="AL950" s="105"/>
      <c r="AM950" s="105"/>
      <c r="AN950" s="105"/>
      <c r="AO950" s="105"/>
      <c r="AP950" s="105"/>
      <c r="AQ950" s="105"/>
      <c r="AR950" s="105"/>
      <c r="AS950" s="105"/>
      <c r="AT950" s="105"/>
      <c r="AU950" s="105"/>
      <c r="AV950" s="105"/>
      <c r="AW950" s="105"/>
      <c r="AX950" s="105"/>
      <c r="AY950" s="105"/>
      <c r="AZ950" s="105"/>
      <c r="BA950" s="105"/>
      <c r="BB950" s="105"/>
      <c r="BC950" s="105"/>
      <c r="BD950" s="105"/>
      <c r="BE950" s="105"/>
      <c r="BF950" s="105"/>
      <c r="BG950" s="105"/>
      <c r="BH950" s="105"/>
      <c r="BI950" s="105"/>
      <c r="BJ950" s="105"/>
      <c r="BK950" s="105"/>
      <c r="BL950" s="105"/>
      <c r="BM950" s="105"/>
      <c r="BN950" s="105"/>
      <c r="BO950" s="105"/>
      <c r="BP950" s="105"/>
      <c r="BQ950" s="105"/>
      <c r="BR950" s="105"/>
      <c r="BS950" s="105"/>
      <c r="BT950" s="105"/>
      <c r="BU950" s="105"/>
      <c r="BV950" s="105"/>
      <c r="BW950" s="105"/>
      <c r="BX950" s="105"/>
      <c r="BY950" s="105"/>
      <c r="BZ950" s="105"/>
      <c r="CA950" s="105"/>
      <c r="CB950" s="105"/>
      <c r="CC950" s="105"/>
      <c r="CD950" s="105"/>
      <c r="CE950" s="105"/>
      <c r="CF950" s="105"/>
      <c r="CG950" s="105"/>
      <c r="CH950" s="105"/>
      <c r="CI950" s="105"/>
      <c r="CJ950" s="105"/>
      <c r="CK950" s="105"/>
      <c r="CL950" s="105"/>
      <c r="CM950" s="105"/>
      <c r="CN950" s="105"/>
      <c r="CO950" s="105"/>
      <c r="CP950" s="105"/>
      <c r="CQ950" s="105"/>
      <c r="CR950" s="105"/>
      <c r="CS950" s="105"/>
      <c r="CT950" s="105"/>
      <c r="CU950" s="105"/>
      <c r="CV950" s="105"/>
      <c r="CW950" s="105"/>
      <c r="CX950" s="105"/>
      <c r="CY950" s="105"/>
      <c r="CZ950" s="105"/>
      <c r="DA950" s="105"/>
    </row>
    <row r="951">
      <c r="B951" s="105"/>
      <c r="F951" s="105"/>
      <c r="G951" s="105"/>
      <c r="H951" s="105"/>
      <c r="I951" s="105"/>
      <c r="J951" s="105"/>
      <c r="K951" s="105"/>
      <c r="L951" s="105"/>
      <c r="M951" s="105"/>
      <c r="N951" s="105"/>
      <c r="O951" s="105"/>
      <c r="P951" s="105"/>
      <c r="Q951" s="105"/>
      <c r="R951" s="105"/>
      <c r="S951" s="105"/>
      <c r="T951" s="105"/>
      <c r="U951" s="105"/>
      <c r="V951" s="105"/>
      <c r="W951" s="105"/>
      <c r="X951" s="105"/>
      <c r="Y951" s="105"/>
      <c r="Z951" s="105"/>
      <c r="AA951" s="105"/>
      <c r="AB951" s="105"/>
      <c r="AC951" s="105"/>
      <c r="AD951" s="105"/>
      <c r="AE951" s="105"/>
      <c r="AF951" s="105"/>
      <c r="AG951" s="105"/>
      <c r="AH951" s="105"/>
      <c r="AI951" s="105"/>
      <c r="AJ951" s="105"/>
      <c r="AK951" s="105"/>
      <c r="AL951" s="105"/>
      <c r="AM951" s="105"/>
      <c r="AN951" s="105"/>
      <c r="AO951" s="105"/>
      <c r="AP951" s="105"/>
      <c r="AQ951" s="105"/>
      <c r="AR951" s="105"/>
      <c r="AS951" s="105"/>
      <c r="AT951" s="105"/>
      <c r="AU951" s="105"/>
      <c r="AV951" s="105"/>
      <c r="AW951" s="105"/>
      <c r="AX951" s="105"/>
      <c r="AY951" s="105"/>
      <c r="AZ951" s="105"/>
      <c r="BA951" s="105"/>
      <c r="BB951" s="105"/>
      <c r="BC951" s="105"/>
      <c r="BD951" s="105"/>
      <c r="BE951" s="105"/>
      <c r="BF951" s="105"/>
      <c r="BG951" s="105"/>
      <c r="BH951" s="105"/>
      <c r="BI951" s="105"/>
      <c r="BJ951" s="105"/>
      <c r="BK951" s="105"/>
      <c r="BL951" s="105"/>
      <c r="BM951" s="105"/>
      <c r="BN951" s="105"/>
      <c r="BO951" s="105"/>
      <c r="BP951" s="105"/>
      <c r="BQ951" s="105"/>
      <c r="BR951" s="105"/>
      <c r="BS951" s="105"/>
      <c r="BT951" s="105"/>
      <c r="BU951" s="105"/>
      <c r="BV951" s="105"/>
      <c r="BW951" s="105"/>
      <c r="BX951" s="105"/>
      <c r="BY951" s="105"/>
      <c r="BZ951" s="105"/>
      <c r="CA951" s="105"/>
      <c r="CB951" s="105"/>
      <c r="CC951" s="105"/>
      <c r="CD951" s="105"/>
      <c r="CE951" s="105"/>
      <c r="CF951" s="105"/>
      <c r="CG951" s="105"/>
      <c r="CH951" s="105"/>
      <c r="CI951" s="105"/>
      <c r="CJ951" s="105"/>
      <c r="CK951" s="105"/>
      <c r="CL951" s="105"/>
      <c r="CM951" s="105"/>
      <c r="CN951" s="105"/>
      <c r="CO951" s="105"/>
      <c r="CP951" s="105"/>
      <c r="CQ951" s="105"/>
      <c r="CR951" s="105"/>
      <c r="CS951" s="105"/>
      <c r="CT951" s="105"/>
      <c r="CU951" s="105"/>
      <c r="CV951" s="105"/>
      <c r="CW951" s="105"/>
      <c r="CX951" s="105"/>
      <c r="CY951" s="105"/>
      <c r="CZ951" s="105"/>
      <c r="DA951" s="105"/>
    </row>
    <row r="952">
      <c r="B952" s="105"/>
      <c r="F952" s="105"/>
      <c r="G952" s="105"/>
      <c r="H952" s="105"/>
      <c r="I952" s="105"/>
      <c r="J952" s="105"/>
      <c r="K952" s="105"/>
      <c r="L952" s="105"/>
      <c r="M952" s="105"/>
      <c r="N952" s="105"/>
      <c r="O952" s="105"/>
      <c r="P952" s="105"/>
      <c r="Q952" s="105"/>
      <c r="R952" s="105"/>
      <c r="S952" s="105"/>
      <c r="T952" s="105"/>
      <c r="U952" s="105"/>
      <c r="V952" s="105"/>
      <c r="W952" s="105"/>
      <c r="X952" s="105"/>
      <c r="Y952" s="105"/>
      <c r="Z952" s="105"/>
      <c r="AA952" s="105"/>
      <c r="AB952" s="105"/>
      <c r="AC952" s="105"/>
      <c r="AD952" s="105"/>
      <c r="AE952" s="105"/>
      <c r="AF952" s="105"/>
      <c r="AG952" s="105"/>
      <c r="AH952" s="105"/>
      <c r="AI952" s="105"/>
      <c r="AJ952" s="105"/>
      <c r="AK952" s="105"/>
      <c r="AL952" s="105"/>
      <c r="AM952" s="105"/>
      <c r="AN952" s="105"/>
      <c r="AO952" s="105"/>
      <c r="AP952" s="105"/>
      <c r="AQ952" s="105"/>
      <c r="AR952" s="105"/>
      <c r="AS952" s="105"/>
      <c r="AT952" s="105"/>
      <c r="AU952" s="105"/>
      <c r="AV952" s="105"/>
      <c r="AW952" s="105"/>
      <c r="AX952" s="105"/>
      <c r="AY952" s="105"/>
      <c r="AZ952" s="105"/>
      <c r="BA952" s="105"/>
      <c r="BB952" s="105"/>
      <c r="BC952" s="105"/>
      <c r="BD952" s="105"/>
      <c r="BE952" s="105"/>
      <c r="BF952" s="105"/>
      <c r="BG952" s="105"/>
      <c r="BH952" s="105"/>
      <c r="BI952" s="105"/>
      <c r="BJ952" s="105"/>
      <c r="BK952" s="105"/>
      <c r="BL952" s="105"/>
      <c r="BM952" s="105"/>
      <c r="BN952" s="105"/>
      <c r="BO952" s="105"/>
      <c r="BP952" s="105"/>
      <c r="BQ952" s="105"/>
      <c r="BR952" s="105"/>
      <c r="BS952" s="105"/>
      <c r="BT952" s="105"/>
      <c r="BU952" s="105"/>
      <c r="BV952" s="105"/>
      <c r="BW952" s="105"/>
      <c r="BX952" s="105"/>
      <c r="BY952" s="105"/>
      <c r="BZ952" s="105"/>
      <c r="CA952" s="105"/>
      <c r="CB952" s="105"/>
      <c r="CC952" s="105"/>
      <c r="CD952" s="105"/>
      <c r="CE952" s="105"/>
      <c r="CF952" s="105"/>
      <c r="CG952" s="105"/>
      <c r="CH952" s="105"/>
      <c r="CI952" s="105"/>
      <c r="CJ952" s="105"/>
      <c r="CK952" s="105"/>
      <c r="CL952" s="105"/>
      <c r="CM952" s="105"/>
      <c r="CN952" s="105"/>
      <c r="CO952" s="105"/>
      <c r="CP952" s="105"/>
      <c r="CQ952" s="105"/>
      <c r="CR952" s="105"/>
      <c r="CS952" s="105"/>
      <c r="CT952" s="105"/>
      <c r="CU952" s="105"/>
      <c r="CV952" s="105"/>
      <c r="CW952" s="105"/>
      <c r="CX952" s="105"/>
      <c r="CY952" s="105"/>
      <c r="CZ952" s="105"/>
      <c r="DA952" s="105"/>
    </row>
    <row r="953">
      <c r="B953" s="105"/>
      <c r="F953" s="105"/>
      <c r="G953" s="105"/>
      <c r="H953" s="105"/>
      <c r="I953" s="105"/>
      <c r="J953" s="105"/>
      <c r="K953" s="105"/>
      <c r="L953" s="105"/>
      <c r="M953" s="105"/>
      <c r="N953" s="105"/>
      <c r="O953" s="105"/>
      <c r="P953" s="105"/>
      <c r="Q953" s="105"/>
      <c r="R953" s="105"/>
      <c r="S953" s="105"/>
      <c r="T953" s="105"/>
      <c r="U953" s="105"/>
      <c r="V953" s="105"/>
      <c r="W953" s="105"/>
      <c r="X953" s="105"/>
      <c r="Y953" s="105"/>
      <c r="Z953" s="105"/>
      <c r="AA953" s="105"/>
      <c r="AB953" s="105"/>
      <c r="AC953" s="105"/>
      <c r="AD953" s="105"/>
      <c r="AE953" s="105"/>
      <c r="AF953" s="105"/>
      <c r="AG953" s="105"/>
      <c r="AH953" s="105"/>
      <c r="AI953" s="105"/>
      <c r="AJ953" s="105"/>
      <c r="AK953" s="105"/>
      <c r="AL953" s="105"/>
      <c r="AM953" s="105"/>
      <c r="AN953" s="105"/>
      <c r="AO953" s="105"/>
      <c r="AP953" s="105"/>
      <c r="AQ953" s="105"/>
      <c r="AR953" s="105"/>
      <c r="AS953" s="105"/>
      <c r="AT953" s="105"/>
      <c r="AU953" s="105"/>
      <c r="AV953" s="105"/>
      <c r="AW953" s="105"/>
      <c r="AX953" s="105"/>
      <c r="AY953" s="105"/>
      <c r="AZ953" s="105"/>
      <c r="BA953" s="105"/>
      <c r="BB953" s="105"/>
      <c r="BC953" s="105"/>
      <c r="BD953" s="105"/>
      <c r="BE953" s="105"/>
      <c r="BF953" s="105"/>
      <c r="BG953" s="105"/>
      <c r="BH953" s="105"/>
      <c r="BI953" s="105"/>
      <c r="BJ953" s="105"/>
      <c r="BK953" s="105"/>
      <c r="BL953" s="105"/>
      <c r="BM953" s="105"/>
      <c r="BN953" s="105"/>
      <c r="BO953" s="105"/>
      <c r="BP953" s="105"/>
      <c r="BQ953" s="105"/>
      <c r="BR953" s="105"/>
      <c r="BS953" s="105"/>
      <c r="BT953" s="105"/>
      <c r="BU953" s="105"/>
      <c r="BV953" s="105"/>
      <c r="BW953" s="105"/>
      <c r="BX953" s="105"/>
      <c r="BY953" s="105"/>
      <c r="BZ953" s="105"/>
      <c r="CA953" s="105"/>
      <c r="CB953" s="105"/>
      <c r="CC953" s="105"/>
      <c r="CD953" s="105"/>
      <c r="CE953" s="105"/>
      <c r="CF953" s="105"/>
      <c r="CG953" s="105"/>
      <c r="CH953" s="105"/>
      <c r="CI953" s="105"/>
      <c r="CJ953" s="105"/>
      <c r="CK953" s="105"/>
      <c r="CL953" s="105"/>
      <c r="CM953" s="105"/>
      <c r="CN953" s="105"/>
      <c r="CO953" s="105"/>
      <c r="CP953" s="105"/>
      <c r="CQ953" s="105"/>
      <c r="CR953" s="105"/>
      <c r="CS953" s="105"/>
      <c r="CT953" s="105"/>
      <c r="CU953" s="105"/>
      <c r="CV953" s="105"/>
      <c r="CW953" s="105"/>
      <c r="CX953" s="105"/>
      <c r="CY953" s="105"/>
      <c r="CZ953" s="105"/>
      <c r="DA953" s="105"/>
    </row>
    <row r="954">
      <c r="B954" s="105"/>
      <c r="F954" s="105"/>
      <c r="G954" s="105"/>
      <c r="H954" s="105"/>
      <c r="I954" s="105"/>
      <c r="J954" s="105"/>
      <c r="K954" s="105"/>
      <c r="L954" s="105"/>
      <c r="M954" s="105"/>
      <c r="N954" s="105"/>
      <c r="O954" s="105"/>
      <c r="P954" s="105"/>
      <c r="Q954" s="105"/>
      <c r="R954" s="105"/>
      <c r="S954" s="105"/>
      <c r="T954" s="105"/>
      <c r="U954" s="105"/>
      <c r="V954" s="105"/>
      <c r="W954" s="105"/>
      <c r="X954" s="105"/>
      <c r="Y954" s="105"/>
      <c r="Z954" s="105"/>
      <c r="AA954" s="105"/>
      <c r="AB954" s="105"/>
      <c r="AC954" s="105"/>
      <c r="AD954" s="105"/>
      <c r="AE954" s="105"/>
      <c r="AF954" s="105"/>
      <c r="AG954" s="105"/>
      <c r="AH954" s="105"/>
      <c r="AI954" s="105"/>
      <c r="AJ954" s="105"/>
      <c r="AK954" s="105"/>
      <c r="AL954" s="105"/>
      <c r="AM954" s="105"/>
      <c r="AN954" s="105"/>
      <c r="AO954" s="105"/>
      <c r="AP954" s="105"/>
      <c r="AQ954" s="105"/>
      <c r="AR954" s="105"/>
      <c r="AS954" s="105"/>
      <c r="AT954" s="105"/>
      <c r="AU954" s="105"/>
      <c r="AV954" s="105"/>
      <c r="AW954" s="105"/>
      <c r="AX954" s="105"/>
      <c r="AY954" s="105"/>
      <c r="AZ954" s="105"/>
      <c r="BA954" s="105"/>
      <c r="BB954" s="105"/>
      <c r="BC954" s="105"/>
      <c r="BD954" s="105"/>
      <c r="BE954" s="105"/>
      <c r="BF954" s="105"/>
      <c r="BG954" s="105"/>
      <c r="BH954" s="105"/>
      <c r="BI954" s="105"/>
      <c r="BJ954" s="105"/>
      <c r="BK954" s="105"/>
      <c r="BL954" s="105"/>
      <c r="BM954" s="105"/>
      <c r="BN954" s="105"/>
      <c r="BO954" s="105"/>
      <c r="BP954" s="105"/>
      <c r="BQ954" s="105"/>
      <c r="BR954" s="105"/>
      <c r="BS954" s="105"/>
      <c r="BT954" s="105"/>
      <c r="BU954" s="105"/>
      <c r="BV954" s="105"/>
      <c r="BW954" s="105"/>
      <c r="BX954" s="105"/>
      <c r="BY954" s="105"/>
      <c r="BZ954" s="105"/>
      <c r="CA954" s="105"/>
      <c r="CB954" s="105"/>
      <c r="CC954" s="105"/>
      <c r="CD954" s="105"/>
      <c r="CE954" s="105"/>
      <c r="CF954" s="105"/>
      <c r="CG954" s="105"/>
      <c r="CH954" s="105"/>
      <c r="CI954" s="105"/>
      <c r="CJ954" s="105"/>
      <c r="CK954" s="105"/>
      <c r="CL954" s="105"/>
      <c r="CM954" s="105"/>
      <c r="CN954" s="105"/>
      <c r="CO954" s="105"/>
      <c r="CP954" s="105"/>
      <c r="CQ954" s="105"/>
      <c r="CR954" s="105"/>
      <c r="CS954" s="105"/>
      <c r="CT954" s="105"/>
      <c r="CU954" s="105"/>
      <c r="CV954" s="105"/>
      <c r="CW954" s="105"/>
      <c r="CX954" s="105"/>
      <c r="CY954" s="105"/>
      <c r="CZ954" s="105"/>
      <c r="DA954" s="105"/>
    </row>
    <row r="955">
      <c r="B955" s="105"/>
      <c r="F955" s="105"/>
      <c r="G955" s="105"/>
      <c r="H955" s="105"/>
      <c r="I955" s="105"/>
      <c r="J955" s="105"/>
      <c r="K955" s="105"/>
      <c r="L955" s="105"/>
      <c r="M955" s="105"/>
      <c r="N955" s="105"/>
      <c r="O955" s="105"/>
      <c r="P955" s="105"/>
      <c r="Q955" s="105"/>
      <c r="R955" s="105"/>
      <c r="S955" s="105"/>
      <c r="T955" s="105"/>
      <c r="U955" s="105"/>
      <c r="V955" s="105"/>
      <c r="W955" s="105"/>
      <c r="X955" s="105"/>
      <c r="Y955" s="105"/>
      <c r="Z955" s="105"/>
      <c r="AA955" s="105"/>
      <c r="AB955" s="105"/>
      <c r="AC955" s="105"/>
      <c r="AD955" s="105"/>
      <c r="AE955" s="105"/>
      <c r="AF955" s="105"/>
      <c r="AG955" s="105"/>
      <c r="AH955" s="105"/>
      <c r="AI955" s="105"/>
      <c r="AJ955" s="105"/>
      <c r="AK955" s="105"/>
      <c r="AL955" s="105"/>
      <c r="AM955" s="105"/>
      <c r="AN955" s="105"/>
      <c r="AO955" s="105"/>
      <c r="AP955" s="105"/>
      <c r="AQ955" s="105"/>
      <c r="AR955" s="105"/>
      <c r="AS955" s="105"/>
      <c r="AT955" s="105"/>
      <c r="AU955" s="105"/>
      <c r="AV955" s="105"/>
      <c r="AW955" s="105"/>
      <c r="AX955" s="105"/>
      <c r="AY955" s="105"/>
      <c r="AZ955" s="105"/>
      <c r="BA955" s="105"/>
      <c r="BB955" s="105"/>
      <c r="BC955" s="105"/>
      <c r="BD955" s="105"/>
      <c r="BE955" s="105"/>
      <c r="BF955" s="105"/>
      <c r="BG955" s="105"/>
      <c r="BH955" s="105"/>
      <c r="BI955" s="105"/>
      <c r="BJ955" s="105"/>
      <c r="BK955" s="105"/>
      <c r="BL955" s="105"/>
      <c r="BM955" s="105"/>
      <c r="BN955" s="105"/>
      <c r="BO955" s="105"/>
      <c r="BP955" s="105"/>
      <c r="BQ955" s="105"/>
      <c r="BR955" s="105"/>
      <c r="BS955" s="105"/>
      <c r="BT955" s="105"/>
      <c r="BU955" s="105"/>
      <c r="BV955" s="105"/>
      <c r="BW955" s="105"/>
      <c r="BX955" s="105"/>
      <c r="BY955" s="105"/>
      <c r="BZ955" s="105"/>
      <c r="CA955" s="105"/>
      <c r="CB955" s="105"/>
      <c r="CC955" s="105"/>
      <c r="CD955" s="105"/>
      <c r="CE955" s="105"/>
      <c r="CF955" s="105"/>
      <c r="CG955" s="105"/>
      <c r="CH955" s="105"/>
      <c r="CI955" s="105"/>
      <c r="CJ955" s="105"/>
      <c r="CK955" s="105"/>
      <c r="CL955" s="105"/>
      <c r="CM955" s="105"/>
      <c r="CN955" s="105"/>
      <c r="CO955" s="105"/>
      <c r="CP955" s="105"/>
      <c r="CQ955" s="105"/>
      <c r="CR955" s="105"/>
      <c r="CS955" s="105"/>
      <c r="CT955" s="105"/>
      <c r="CU955" s="105"/>
      <c r="CV955" s="105"/>
      <c r="CW955" s="105"/>
      <c r="CX955" s="105"/>
      <c r="CY955" s="105"/>
      <c r="CZ955" s="105"/>
      <c r="DA955" s="105"/>
    </row>
    <row r="956">
      <c r="B956" s="105"/>
      <c r="F956" s="105"/>
      <c r="G956" s="105"/>
      <c r="H956" s="105"/>
      <c r="I956" s="105"/>
      <c r="J956" s="105"/>
      <c r="K956" s="105"/>
      <c r="L956" s="105"/>
      <c r="M956" s="105"/>
      <c r="N956" s="105"/>
      <c r="O956" s="105"/>
      <c r="P956" s="105"/>
      <c r="Q956" s="105"/>
      <c r="R956" s="105"/>
      <c r="S956" s="105"/>
      <c r="T956" s="105"/>
      <c r="U956" s="105"/>
      <c r="V956" s="105"/>
      <c r="W956" s="105"/>
      <c r="X956" s="105"/>
      <c r="Y956" s="105"/>
      <c r="Z956" s="105"/>
      <c r="AA956" s="105"/>
      <c r="AB956" s="105"/>
      <c r="AC956" s="105"/>
      <c r="AD956" s="105"/>
      <c r="AE956" s="105"/>
      <c r="AF956" s="105"/>
      <c r="AG956" s="105"/>
      <c r="AH956" s="105"/>
      <c r="AI956" s="105"/>
      <c r="AJ956" s="105"/>
      <c r="AK956" s="105"/>
      <c r="AL956" s="105"/>
      <c r="AM956" s="105"/>
      <c r="AN956" s="105"/>
      <c r="AO956" s="105"/>
      <c r="AP956" s="105"/>
      <c r="AQ956" s="105"/>
      <c r="AR956" s="105"/>
      <c r="AS956" s="105"/>
      <c r="AT956" s="105"/>
      <c r="AU956" s="105"/>
      <c r="AV956" s="105"/>
      <c r="AW956" s="105"/>
      <c r="AX956" s="105"/>
      <c r="AY956" s="105"/>
      <c r="AZ956" s="105"/>
      <c r="BA956" s="105"/>
      <c r="BB956" s="105"/>
      <c r="BC956" s="105"/>
      <c r="BD956" s="105"/>
      <c r="BE956" s="105"/>
      <c r="BF956" s="105"/>
      <c r="BG956" s="105"/>
      <c r="BH956" s="105"/>
      <c r="BI956" s="105"/>
      <c r="BJ956" s="105"/>
      <c r="BK956" s="105"/>
      <c r="BL956" s="105"/>
      <c r="BM956" s="105"/>
      <c r="BN956" s="105"/>
      <c r="BO956" s="105"/>
      <c r="BP956" s="105"/>
      <c r="BQ956" s="105"/>
      <c r="BR956" s="105"/>
      <c r="BS956" s="105"/>
      <c r="BT956" s="105"/>
      <c r="BU956" s="105"/>
      <c r="BV956" s="105"/>
      <c r="BW956" s="105"/>
      <c r="BX956" s="105"/>
      <c r="BY956" s="105"/>
      <c r="BZ956" s="105"/>
      <c r="CA956" s="105"/>
      <c r="CB956" s="105"/>
      <c r="CC956" s="105"/>
      <c r="CD956" s="105"/>
      <c r="CE956" s="105"/>
      <c r="CF956" s="105"/>
      <c r="CG956" s="105"/>
      <c r="CH956" s="105"/>
      <c r="CI956" s="105"/>
      <c r="CJ956" s="105"/>
      <c r="CK956" s="105"/>
      <c r="CL956" s="105"/>
      <c r="CM956" s="105"/>
      <c r="CN956" s="105"/>
      <c r="CO956" s="105"/>
      <c r="CP956" s="105"/>
      <c r="CQ956" s="105"/>
      <c r="CR956" s="105"/>
      <c r="CS956" s="105"/>
      <c r="CT956" s="105"/>
      <c r="CU956" s="105"/>
      <c r="CV956" s="105"/>
      <c r="CW956" s="105"/>
      <c r="CX956" s="105"/>
      <c r="CY956" s="105"/>
      <c r="CZ956" s="105"/>
      <c r="DA956" s="105"/>
    </row>
    <row r="957">
      <c r="B957" s="105"/>
      <c r="F957" s="105"/>
      <c r="G957" s="105"/>
      <c r="H957" s="105"/>
      <c r="I957" s="105"/>
      <c r="J957" s="105"/>
      <c r="K957" s="105"/>
      <c r="L957" s="105"/>
      <c r="M957" s="105"/>
      <c r="N957" s="105"/>
      <c r="O957" s="105"/>
      <c r="P957" s="105"/>
      <c r="Q957" s="105"/>
      <c r="R957" s="105"/>
      <c r="S957" s="105"/>
      <c r="T957" s="105"/>
      <c r="U957" s="105"/>
      <c r="V957" s="105"/>
      <c r="W957" s="105"/>
      <c r="X957" s="105"/>
      <c r="Y957" s="105"/>
      <c r="Z957" s="105"/>
      <c r="AA957" s="105"/>
      <c r="AB957" s="105"/>
      <c r="AC957" s="105"/>
      <c r="AD957" s="105"/>
      <c r="AE957" s="105"/>
      <c r="AF957" s="105"/>
      <c r="AG957" s="105"/>
      <c r="AH957" s="105"/>
      <c r="AI957" s="105"/>
      <c r="AJ957" s="105"/>
      <c r="AK957" s="105"/>
      <c r="AL957" s="105"/>
      <c r="AM957" s="105"/>
      <c r="AN957" s="105"/>
      <c r="AO957" s="105"/>
      <c r="AP957" s="105"/>
      <c r="AQ957" s="105"/>
      <c r="AR957" s="105"/>
      <c r="AS957" s="105"/>
      <c r="AT957" s="105"/>
      <c r="AU957" s="105"/>
      <c r="AV957" s="105"/>
      <c r="AW957" s="105"/>
      <c r="AX957" s="105"/>
      <c r="AY957" s="105"/>
      <c r="AZ957" s="105"/>
      <c r="BA957" s="105"/>
      <c r="BB957" s="105"/>
      <c r="BC957" s="105"/>
      <c r="BD957" s="105"/>
      <c r="BE957" s="105"/>
      <c r="BF957" s="105"/>
      <c r="BG957" s="105"/>
      <c r="BH957" s="105"/>
      <c r="BI957" s="105"/>
      <c r="BJ957" s="105"/>
      <c r="BK957" s="105"/>
      <c r="BL957" s="105"/>
      <c r="BM957" s="105"/>
      <c r="BN957" s="105"/>
      <c r="BO957" s="105"/>
      <c r="BP957" s="105"/>
      <c r="BQ957" s="105"/>
      <c r="BR957" s="105"/>
      <c r="BS957" s="105"/>
      <c r="BT957" s="105"/>
      <c r="BU957" s="105"/>
      <c r="BV957" s="105"/>
      <c r="BW957" s="105"/>
      <c r="BX957" s="105"/>
      <c r="BY957" s="105"/>
      <c r="BZ957" s="105"/>
      <c r="CA957" s="105"/>
      <c r="CB957" s="105"/>
      <c r="CC957" s="105"/>
      <c r="CD957" s="105"/>
      <c r="CE957" s="105"/>
      <c r="CF957" s="105"/>
      <c r="CG957" s="105"/>
      <c r="CH957" s="105"/>
      <c r="CI957" s="105"/>
      <c r="CJ957" s="105"/>
      <c r="CK957" s="105"/>
      <c r="CL957" s="105"/>
      <c r="CM957" s="105"/>
      <c r="CN957" s="105"/>
      <c r="CO957" s="105"/>
      <c r="CP957" s="105"/>
      <c r="CQ957" s="105"/>
      <c r="CR957" s="105"/>
      <c r="CS957" s="105"/>
      <c r="CT957" s="105"/>
      <c r="CU957" s="105"/>
      <c r="CV957" s="105"/>
      <c r="CW957" s="105"/>
      <c r="CX957" s="105"/>
      <c r="CY957" s="105"/>
      <c r="CZ957" s="105"/>
      <c r="DA957" s="105"/>
    </row>
    <row r="958">
      <c r="B958" s="105"/>
      <c r="F958" s="105"/>
      <c r="G958" s="105"/>
      <c r="H958" s="105"/>
      <c r="I958" s="105"/>
      <c r="J958" s="105"/>
      <c r="K958" s="105"/>
      <c r="L958" s="105"/>
      <c r="M958" s="105"/>
      <c r="N958" s="105"/>
      <c r="O958" s="105"/>
      <c r="P958" s="105"/>
      <c r="Q958" s="105"/>
      <c r="R958" s="105"/>
      <c r="S958" s="105"/>
      <c r="T958" s="105"/>
      <c r="U958" s="105"/>
      <c r="V958" s="105"/>
      <c r="W958" s="105"/>
      <c r="X958" s="105"/>
      <c r="Y958" s="105"/>
      <c r="Z958" s="105"/>
      <c r="AA958" s="105"/>
      <c r="AB958" s="105"/>
      <c r="AC958" s="105"/>
      <c r="AD958" s="105"/>
      <c r="AE958" s="105"/>
      <c r="AF958" s="105"/>
      <c r="AG958" s="105"/>
      <c r="AH958" s="105"/>
      <c r="AI958" s="105"/>
      <c r="AJ958" s="105"/>
      <c r="AK958" s="105"/>
      <c r="AL958" s="105"/>
      <c r="AM958" s="105"/>
      <c r="AN958" s="105"/>
      <c r="AO958" s="105"/>
      <c r="AP958" s="105"/>
      <c r="AQ958" s="105"/>
      <c r="AR958" s="105"/>
      <c r="AS958" s="105"/>
      <c r="AT958" s="105"/>
      <c r="AU958" s="105"/>
      <c r="AV958" s="105"/>
      <c r="AW958" s="105"/>
      <c r="AX958" s="105"/>
      <c r="AY958" s="105"/>
      <c r="AZ958" s="105"/>
      <c r="BA958" s="105"/>
      <c r="BB958" s="105"/>
      <c r="BC958" s="105"/>
      <c r="BD958" s="105"/>
      <c r="BE958" s="105"/>
      <c r="BF958" s="105"/>
      <c r="BG958" s="105"/>
      <c r="BH958" s="105"/>
      <c r="BI958" s="105"/>
      <c r="BJ958" s="105"/>
      <c r="BK958" s="105"/>
      <c r="BL958" s="105"/>
      <c r="BM958" s="105"/>
      <c r="BN958" s="105"/>
      <c r="BO958" s="105"/>
      <c r="BP958" s="105"/>
      <c r="BQ958" s="105"/>
      <c r="BR958" s="105"/>
      <c r="BS958" s="105"/>
      <c r="BT958" s="105"/>
      <c r="BU958" s="105"/>
      <c r="BV958" s="105"/>
      <c r="BW958" s="105"/>
      <c r="BX958" s="105"/>
      <c r="BY958" s="105"/>
      <c r="BZ958" s="105"/>
      <c r="CA958" s="105"/>
      <c r="CB958" s="105"/>
      <c r="CC958" s="105"/>
      <c r="CD958" s="105"/>
      <c r="CE958" s="105"/>
      <c r="CF958" s="105"/>
      <c r="CG958" s="105"/>
      <c r="CH958" s="105"/>
      <c r="CI958" s="105"/>
      <c r="CJ958" s="105"/>
      <c r="CK958" s="105"/>
      <c r="CL958" s="105"/>
      <c r="CM958" s="105"/>
      <c r="CN958" s="105"/>
      <c r="CO958" s="105"/>
      <c r="CP958" s="105"/>
      <c r="CQ958" s="105"/>
      <c r="CR958" s="105"/>
      <c r="CS958" s="105"/>
      <c r="CT958" s="105"/>
      <c r="CU958" s="105"/>
      <c r="CV958" s="105"/>
      <c r="CW958" s="105"/>
      <c r="CX958" s="105"/>
      <c r="CY958" s="105"/>
      <c r="CZ958" s="105"/>
      <c r="DA958" s="105"/>
    </row>
    <row r="959">
      <c r="B959" s="105"/>
      <c r="F959" s="105"/>
      <c r="G959" s="105"/>
      <c r="H959" s="105"/>
      <c r="I959" s="105"/>
      <c r="J959" s="105"/>
      <c r="K959" s="105"/>
      <c r="L959" s="105"/>
      <c r="M959" s="105"/>
      <c r="N959" s="105"/>
      <c r="O959" s="105"/>
      <c r="P959" s="105"/>
      <c r="Q959" s="105"/>
      <c r="R959" s="105"/>
      <c r="S959" s="105"/>
      <c r="T959" s="105"/>
      <c r="U959" s="105"/>
      <c r="V959" s="105"/>
      <c r="W959" s="105"/>
      <c r="X959" s="105"/>
      <c r="Y959" s="105"/>
      <c r="Z959" s="105"/>
      <c r="AA959" s="105"/>
      <c r="AB959" s="105"/>
      <c r="AC959" s="105"/>
      <c r="AD959" s="105"/>
      <c r="AE959" s="105"/>
      <c r="AF959" s="105"/>
      <c r="AG959" s="105"/>
      <c r="AH959" s="105"/>
      <c r="AI959" s="105"/>
      <c r="AJ959" s="105"/>
      <c r="AK959" s="105"/>
      <c r="AL959" s="105"/>
      <c r="AM959" s="105"/>
      <c r="AN959" s="105"/>
      <c r="AO959" s="105"/>
      <c r="AP959" s="105"/>
      <c r="AQ959" s="105"/>
      <c r="AR959" s="105"/>
      <c r="AS959" s="105"/>
      <c r="AT959" s="105"/>
      <c r="AU959" s="105"/>
      <c r="AV959" s="105"/>
      <c r="AW959" s="105"/>
      <c r="AX959" s="105"/>
      <c r="AY959" s="105"/>
      <c r="AZ959" s="105"/>
      <c r="BA959" s="105"/>
      <c r="BB959" s="105"/>
      <c r="BC959" s="105"/>
      <c r="BD959" s="105"/>
      <c r="BE959" s="105"/>
      <c r="BF959" s="105"/>
      <c r="BG959" s="105"/>
      <c r="BH959" s="105"/>
      <c r="BI959" s="105"/>
      <c r="BJ959" s="105"/>
      <c r="BK959" s="105"/>
      <c r="BL959" s="105"/>
      <c r="BM959" s="105"/>
      <c r="BN959" s="105"/>
      <c r="BO959" s="105"/>
      <c r="BP959" s="105"/>
      <c r="BQ959" s="105"/>
      <c r="BR959" s="105"/>
      <c r="BS959" s="105"/>
      <c r="BT959" s="105"/>
      <c r="BU959" s="105"/>
      <c r="BV959" s="105"/>
      <c r="BW959" s="105"/>
      <c r="BX959" s="105"/>
      <c r="BY959" s="105"/>
      <c r="BZ959" s="105"/>
      <c r="CA959" s="105"/>
      <c r="CB959" s="105"/>
      <c r="CC959" s="105"/>
      <c r="CD959" s="105"/>
      <c r="CE959" s="105"/>
      <c r="CF959" s="105"/>
      <c r="CG959" s="105"/>
      <c r="CH959" s="105"/>
      <c r="CI959" s="105"/>
      <c r="CJ959" s="105"/>
      <c r="CK959" s="105"/>
      <c r="CL959" s="105"/>
      <c r="CM959" s="105"/>
      <c r="CN959" s="105"/>
      <c r="CO959" s="105"/>
      <c r="CP959" s="105"/>
      <c r="CQ959" s="105"/>
      <c r="CR959" s="105"/>
      <c r="CS959" s="105"/>
      <c r="CT959" s="105"/>
      <c r="CU959" s="105"/>
      <c r="CV959" s="105"/>
      <c r="CW959" s="105"/>
      <c r="CX959" s="105"/>
      <c r="CY959" s="105"/>
      <c r="CZ959" s="105"/>
      <c r="DA959" s="105"/>
    </row>
    <row r="960">
      <c r="B960" s="105"/>
      <c r="F960" s="105"/>
      <c r="G960" s="105"/>
      <c r="H960" s="105"/>
      <c r="I960" s="105"/>
      <c r="J960" s="105"/>
      <c r="K960" s="105"/>
      <c r="L960" s="105"/>
      <c r="M960" s="105"/>
      <c r="N960" s="105"/>
      <c r="O960" s="105"/>
      <c r="P960" s="105"/>
      <c r="Q960" s="105"/>
      <c r="R960" s="105"/>
      <c r="S960" s="105"/>
      <c r="T960" s="105"/>
      <c r="U960" s="105"/>
      <c r="V960" s="105"/>
      <c r="W960" s="105"/>
      <c r="X960" s="105"/>
      <c r="Y960" s="105"/>
      <c r="Z960" s="105"/>
      <c r="AA960" s="105"/>
      <c r="AB960" s="105"/>
      <c r="AC960" s="105"/>
      <c r="AD960" s="105"/>
      <c r="AE960" s="105"/>
      <c r="AF960" s="105"/>
      <c r="AG960" s="105"/>
      <c r="AH960" s="105"/>
      <c r="AI960" s="105"/>
      <c r="AJ960" s="105"/>
      <c r="AK960" s="105"/>
      <c r="AL960" s="105"/>
      <c r="AM960" s="105"/>
      <c r="AN960" s="105"/>
      <c r="AO960" s="105"/>
      <c r="AP960" s="105"/>
      <c r="AQ960" s="105"/>
      <c r="AR960" s="105"/>
      <c r="AS960" s="105"/>
      <c r="AT960" s="105"/>
      <c r="AU960" s="105"/>
      <c r="AV960" s="105"/>
      <c r="AW960" s="105"/>
      <c r="AX960" s="105"/>
      <c r="AY960" s="105"/>
      <c r="AZ960" s="105"/>
      <c r="BA960" s="105"/>
      <c r="BB960" s="105"/>
      <c r="BC960" s="105"/>
      <c r="BD960" s="105"/>
      <c r="BE960" s="105"/>
      <c r="BF960" s="105"/>
      <c r="BG960" s="105"/>
      <c r="BH960" s="105"/>
      <c r="BI960" s="105"/>
      <c r="BJ960" s="105"/>
      <c r="BK960" s="105"/>
      <c r="BL960" s="105"/>
      <c r="BM960" s="105"/>
      <c r="BN960" s="105"/>
      <c r="BO960" s="105"/>
      <c r="BP960" s="105"/>
      <c r="BQ960" s="105"/>
      <c r="BR960" s="105"/>
      <c r="BS960" s="105"/>
      <c r="BT960" s="105"/>
      <c r="BU960" s="105"/>
      <c r="BV960" s="105"/>
      <c r="BW960" s="105"/>
      <c r="BX960" s="105"/>
      <c r="BY960" s="105"/>
      <c r="BZ960" s="105"/>
      <c r="CA960" s="105"/>
      <c r="CB960" s="105"/>
      <c r="CC960" s="105"/>
      <c r="CD960" s="105"/>
      <c r="CE960" s="105"/>
      <c r="CF960" s="105"/>
      <c r="CG960" s="105"/>
      <c r="CH960" s="105"/>
      <c r="CI960" s="105"/>
      <c r="CJ960" s="105"/>
      <c r="CK960" s="105"/>
      <c r="CL960" s="105"/>
      <c r="CM960" s="105"/>
      <c r="CN960" s="105"/>
      <c r="CO960" s="105"/>
      <c r="CP960" s="105"/>
      <c r="CQ960" s="105"/>
      <c r="CR960" s="105"/>
      <c r="CS960" s="105"/>
      <c r="CT960" s="105"/>
      <c r="CU960" s="105"/>
      <c r="CV960" s="105"/>
      <c r="CW960" s="105"/>
      <c r="CX960" s="105"/>
      <c r="CY960" s="105"/>
      <c r="CZ960" s="105"/>
      <c r="DA960" s="105"/>
    </row>
    <row r="961">
      <c r="B961" s="105"/>
      <c r="F961" s="105"/>
      <c r="G961" s="105"/>
      <c r="H961" s="105"/>
      <c r="I961" s="105"/>
      <c r="J961" s="105"/>
      <c r="K961" s="105"/>
      <c r="L961" s="105"/>
      <c r="M961" s="105"/>
      <c r="N961" s="105"/>
      <c r="O961" s="105"/>
      <c r="P961" s="105"/>
      <c r="Q961" s="105"/>
      <c r="R961" s="105"/>
      <c r="S961" s="105"/>
      <c r="T961" s="105"/>
      <c r="U961" s="105"/>
      <c r="V961" s="105"/>
      <c r="W961" s="105"/>
      <c r="X961" s="105"/>
      <c r="Y961" s="105"/>
      <c r="Z961" s="105"/>
      <c r="AA961" s="105"/>
      <c r="AB961" s="105"/>
      <c r="AC961" s="105"/>
      <c r="AD961" s="105"/>
      <c r="AE961" s="105"/>
      <c r="AF961" s="105"/>
      <c r="AG961" s="105"/>
      <c r="AH961" s="105"/>
      <c r="AI961" s="105"/>
      <c r="AJ961" s="105"/>
      <c r="AK961" s="105"/>
      <c r="AL961" s="105"/>
      <c r="AM961" s="105"/>
      <c r="AN961" s="105"/>
      <c r="AO961" s="105"/>
      <c r="AP961" s="105"/>
      <c r="AQ961" s="105"/>
      <c r="AR961" s="105"/>
      <c r="AS961" s="105"/>
      <c r="AT961" s="105"/>
      <c r="AU961" s="105"/>
      <c r="AV961" s="105"/>
      <c r="AW961" s="105"/>
      <c r="AX961" s="105"/>
      <c r="AY961" s="105"/>
      <c r="AZ961" s="105"/>
      <c r="BA961" s="105"/>
      <c r="BB961" s="105"/>
      <c r="BC961" s="105"/>
      <c r="BD961" s="105"/>
      <c r="BE961" s="105"/>
      <c r="BF961" s="105"/>
      <c r="BG961" s="105"/>
      <c r="BH961" s="105"/>
      <c r="BI961" s="105"/>
      <c r="BJ961" s="105"/>
      <c r="BK961" s="105"/>
      <c r="BL961" s="105"/>
      <c r="BM961" s="105"/>
      <c r="BN961" s="105"/>
      <c r="BO961" s="105"/>
      <c r="BP961" s="105"/>
      <c r="BQ961" s="105"/>
      <c r="BR961" s="105"/>
      <c r="BS961" s="105"/>
      <c r="BT961" s="105"/>
      <c r="BU961" s="105"/>
      <c r="BV961" s="105"/>
      <c r="BW961" s="105"/>
      <c r="BX961" s="105"/>
      <c r="BY961" s="105"/>
      <c r="BZ961" s="105"/>
      <c r="CA961" s="105"/>
      <c r="CB961" s="105"/>
      <c r="CC961" s="105"/>
      <c r="CD961" s="105"/>
      <c r="CE961" s="105"/>
      <c r="CF961" s="105"/>
      <c r="CG961" s="105"/>
      <c r="CH961" s="105"/>
      <c r="CI961" s="105"/>
      <c r="CJ961" s="105"/>
      <c r="CK961" s="105"/>
      <c r="CL961" s="105"/>
      <c r="CM961" s="105"/>
      <c r="CN961" s="105"/>
      <c r="CO961" s="105"/>
      <c r="CP961" s="105"/>
      <c r="CQ961" s="105"/>
      <c r="CR961" s="105"/>
      <c r="CS961" s="105"/>
      <c r="CT961" s="105"/>
      <c r="CU961" s="105"/>
      <c r="CV961" s="105"/>
      <c r="CW961" s="105"/>
      <c r="CX961" s="105"/>
      <c r="CY961" s="105"/>
      <c r="CZ961" s="105"/>
      <c r="DA961" s="105"/>
    </row>
    <row r="962">
      <c r="B962" s="105"/>
      <c r="F962" s="105"/>
      <c r="G962" s="105"/>
      <c r="H962" s="105"/>
      <c r="I962" s="105"/>
      <c r="J962" s="105"/>
      <c r="K962" s="105"/>
      <c r="L962" s="105"/>
      <c r="M962" s="105"/>
      <c r="N962" s="105"/>
      <c r="O962" s="105"/>
      <c r="P962" s="105"/>
      <c r="Q962" s="105"/>
      <c r="R962" s="105"/>
      <c r="S962" s="105"/>
      <c r="T962" s="105"/>
      <c r="U962" s="105"/>
      <c r="V962" s="105"/>
      <c r="W962" s="105"/>
      <c r="X962" s="105"/>
      <c r="Y962" s="105"/>
      <c r="Z962" s="105"/>
      <c r="AA962" s="105"/>
      <c r="AB962" s="105"/>
      <c r="AC962" s="105"/>
      <c r="AD962" s="105"/>
      <c r="AE962" s="105"/>
      <c r="AF962" s="105"/>
      <c r="AG962" s="105"/>
      <c r="AH962" s="105"/>
      <c r="AI962" s="105"/>
      <c r="AJ962" s="105"/>
      <c r="AK962" s="105"/>
      <c r="AL962" s="105"/>
      <c r="AM962" s="105"/>
      <c r="AN962" s="105"/>
      <c r="AO962" s="105"/>
      <c r="AP962" s="105"/>
      <c r="AQ962" s="105"/>
      <c r="AR962" s="105"/>
      <c r="AS962" s="105"/>
      <c r="AT962" s="105"/>
      <c r="AU962" s="105"/>
      <c r="AV962" s="105"/>
      <c r="AW962" s="105"/>
      <c r="AX962" s="105"/>
      <c r="AY962" s="105"/>
      <c r="AZ962" s="105"/>
      <c r="BA962" s="105"/>
      <c r="BB962" s="105"/>
      <c r="BC962" s="105"/>
      <c r="BD962" s="105"/>
      <c r="BE962" s="105"/>
      <c r="BF962" s="105"/>
      <c r="BG962" s="105"/>
      <c r="BH962" s="105"/>
      <c r="BI962" s="105"/>
      <c r="BJ962" s="105"/>
      <c r="BK962" s="105"/>
      <c r="BL962" s="105"/>
      <c r="BM962" s="105"/>
      <c r="BN962" s="105"/>
      <c r="BO962" s="105"/>
      <c r="BP962" s="105"/>
      <c r="BQ962" s="105"/>
      <c r="BR962" s="105"/>
      <c r="BS962" s="105"/>
      <c r="BT962" s="105"/>
      <c r="BU962" s="105"/>
      <c r="BV962" s="105"/>
      <c r="BW962" s="105"/>
      <c r="BX962" s="105"/>
      <c r="BY962" s="105"/>
      <c r="BZ962" s="105"/>
      <c r="CA962" s="105"/>
      <c r="CB962" s="105"/>
      <c r="CC962" s="105"/>
      <c r="CD962" s="105"/>
      <c r="CE962" s="105"/>
      <c r="CF962" s="105"/>
      <c r="CG962" s="105"/>
      <c r="CH962" s="105"/>
      <c r="CI962" s="105"/>
      <c r="CJ962" s="105"/>
      <c r="CK962" s="105"/>
      <c r="CL962" s="105"/>
      <c r="CM962" s="105"/>
      <c r="CN962" s="105"/>
      <c r="CO962" s="105"/>
      <c r="CP962" s="105"/>
      <c r="CQ962" s="105"/>
      <c r="CR962" s="105"/>
      <c r="CS962" s="105"/>
      <c r="CT962" s="105"/>
      <c r="CU962" s="105"/>
      <c r="CV962" s="105"/>
      <c r="CW962" s="105"/>
      <c r="CX962" s="105"/>
      <c r="CY962" s="105"/>
      <c r="CZ962" s="105"/>
      <c r="DA962" s="105"/>
    </row>
    <row r="963">
      <c r="B963" s="105"/>
      <c r="F963" s="105"/>
      <c r="G963" s="105"/>
      <c r="H963" s="105"/>
      <c r="I963" s="105"/>
      <c r="J963" s="105"/>
      <c r="K963" s="105"/>
      <c r="L963" s="105"/>
      <c r="M963" s="105"/>
      <c r="N963" s="105"/>
      <c r="O963" s="105"/>
      <c r="P963" s="105"/>
      <c r="Q963" s="105"/>
      <c r="R963" s="105"/>
      <c r="S963" s="105"/>
      <c r="T963" s="105"/>
      <c r="U963" s="105"/>
      <c r="V963" s="105"/>
      <c r="W963" s="105"/>
      <c r="X963" s="105"/>
      <c r="Y963" s="105"/>
      <c r="Z963" s="105"/>
      <c r="AA963" s="105"/>
      <c r="AB963" s="105"/>
      <c r="AC963" s="105"/>
      <c r="AD963" s="105"/>
      <c r="AE963" s="105"/>
      <c r="AF963" s="105"/>
      <c r="AG963" s="105"/>
      <c r="AH963" s="105"/>
      <c r="AI963" s="105"/>
      <c r="AJ963" s="105"/>
      <c r="AK963" s="105"/>
      <c r="AL963" s="105"/>
      <c r="AM963" s="105"/>
      <c r="AN963" s="105"/>
      <c r="AO963" s="105"/>
      <c r="AP963" s="105"/>
      <c r="AQ963" s="105"/>
      <c r="AR963" s="105"/>
      <c r="AS963" s="105"/>
      <c r="AT963" s="105"/>
      <c r="AU963" s="105"/>
      <c r="AV963" s="105"/>
      <c r="AW963" s="105"/>
      <c r="AX963" s="105"/>
      <c r="AY963" s="105"/>
      <c r="AZ963" s="105"/>
      <c r="BA963" s="105"/>
      <c r="BB963" s="105"/>
      <c r="BC963" s="105"/>
      <c r="BD963" s="105"/>
      <c r="BE963" s="105"/>
      <c r="BF963" s="105"/>
      <c r="BG963" s="105"/>
      <c r="BH963" s="105"/>
      <c r="BI963" s="105"/>
      <c r="BJ963" s="105"/>
      <c r="BK963" s="105"/>
      <c r="BL963" s="105"/>
      <c r="BM963" s="105"/>
      <c r="BN963" s="105"/>
      <c r="BO963" s="105"/>
      <c r="BP963" s="105"/>
      <c r="BQ963" s="105"/>
      <c r="BR963" s="105"/>
      <c r="BS963" s="105"/>
      <c r="BT963" s="105"/>
      <c r="BU963" s="105"/>
      <c r="BV963" s="105"/>
      <c r="BW963" s="105"/>
      <c r="BX963" s="105"/>
      <c r="BY963" s="105"/>
      <c r="BZ963" s="105"/>
      <c r="CA963" s="105"/>
      <c r="CB963" s="105"/>
      <c r="CC963" s="105"/>
      <c r="CD963" s="105"/>
      <c r="CE963" s="105"/>
      <c r="CF963" s="105"/>
      <c r="CG963" s="105"/>
      <c r="CH963" s="105"/>
      <c r="CI963" s="105"/>
      <c r="CJ963" s="105"/>
      <c r="CK963" s="105"/>
      <c r="CL963" s="105"/>
      <c r="CM963" s="105"/>
      <c r="CN963" s="105"/>
      <c r="CO963" s="105"/>
      <c r="CP963" s="105"/>
      <c r="CQ963" s="105"/>
      <c r="CR963" s="105"/>
      <c r="CS963" s="105"/>
      <c r="CT963" s="105"/>
      <c r="CU963" s="105"/>
      <c r="CV963" s="105"/>
      <c r="CW963" s="105"/>
      <c r="CX963" s="105"/>
      <c r="CY963" s="105"/>
      <c r="CZ963" s="105"/>
      <c r="DA963" s="105"/>
    </row>
    <row r="964">
      <c r="B964" s="105"/>
      <c r="F964" s="105"/>
      <c r="G964" s="105"/>
      <c r="H964" s="105"/>
      <c r="I964" s="105"/>
      <c r="J964" s="105"/>
      <c r="K964" s="105"/>
      <c r="L964" s="105"/>
      <c r="M964" s="105"/>
      <c r="N964" s="105"/>
      <c r="O964" s="105"/>
      <c r="P964" s="105"/>
      <c r="Q964" s="105"/>
      <c r="R964" s="105"/>
      <c r="S964" s="105"/>
      <c r="T964" s="105"/>
      <c r="U964" s="105"/>
      <c r="V964" s="105"/>
      <c r="W964" s="105"/>
      <c r="X964" s="105"/>
      <c r="Y964" s="105"/>
      <c r="Z964" s="105"/>
      <c r="AA964" s="105"/>
      <c r="AB964" s="105"/>
      <c r="AC964" s="105"/>
      <c r="AD964" s="105"/>
      <c r="AE964" s="105"/>
      <c r="AF964" s="105"/>
      <c r="AG964" s="105"/>
      <c r="AH964" s="105"/>
      <c r="AI964" s="105"/>
      <c r="AJ964" s="105"/>
      <c r="AK964" s="105"/>
      <c r="AL964" s="105"/>
      <c r="AM964" s="105"/>
      <c r="AN964" s="105"/>
      <c r="AO964" s="105"/>
      <c r="AP964" s="105"/>
      <c r="AQ964" s="105"/>
      <c r="AR964" s="105"/>
      <c r="AS964" s="105"/>
      <c r="AT964" s="105"/>
      <c r="AU964" s="105"/>
      <c r="AV964" s="105"/>
      <c r="AW964" s="105"/>
      <c r="AX964" s="105"/>
      <c r="AY964" s="105"/>
      <c r="AZ964" s="105"/>
      <c r="BA964" s="105"/>
      <c r="BB964" s="105"/>
      <c r="BC964" s="105"/>
      <c r="BD964" s="105"/>
      <c r="BE964" s="105"/>
      <c r="BF964" s="105"/>
      <c r="BG964" s="105"/>
      <c r="BH964" s="105"/>
      <c r="BI964" s="105"/>
      <c r="BJ964" s="105"/>
      <c r="BK964" s="105"/>
      <c r="BL964" s="105"/>
      <c r="BM964" s="105"/>
      <c r="BN964" s="105"/>
      <c r="BO964" s="105"/>
      <c r="BP964" s="105"/>
      <c r="BQ964" s="105"/>
      <c r="BR964" s="105"/>
      <c r="BS964" s="105"/>
      <c r="BT964" s="105"/>
      <c r="BU964" s="105"/>
      <c r="BV964" s="105"/>
      <c r="BW964" s="105"/>
      <c r="BX964" s="105"/>
      <c r="BY964" s="105"/>
      <c r="BZ964" s="105"/>
      <c r="CA964" s="105"/>
      <c r="CB964" s="105"/>
      <c r="CC964" s="105"/>
      <c r="CD964" s="105"/>
      <c r="CE964" s="105"/>
      <c r="CF964" s="105"/>
      <c r="CG964" s="105"/>
      <c r="CH964" s="105"/>
      <c r="CI964" s="105"/>
      <c r="CJ964" s="105"/>
      <c r="CK964" s="105"/>
      <c r="CL964" s="105"/>
      <c r="CM964" s="105"/>
      <c r="CN964" s="105"/>
      <c r="CO964" s="105"/>
      <c r="CP964" s="105"/>
      <c r="CQ964" s="105"/>
      <c r="CR964" s="105"/>
      <c r="CS964" s="105"/>
      <c r="CT964" s="105"/>
      <c r="CU964" s="105"/>
      <c r="CV964" s="105"/>
      <c r="CW964" s="105"/>
      <c r="CX964" s="105"/>
      <c r="CY964" s="105"/>
      <c r="CZ964" s="105"/>
      <c r="DA964" s="105"/>
    </row>
    <row r="965">
      <c r="B965" s="105"/>
      <c r="F965" s="105"/>
      <c r="G965" s="105"/>
      <c r="H965" s="105"/>
      <c r="I965" s="105"/>
      <c r="J965" s="105"/>
      <c r="K965" s="105"/>
      <c r="L965" s="105"/>
      <c r="M965" s="105"/>
      <c r="N965" s="105"/>
      <c r="O965" s="105"/>
      <c r="P965" s="105"/>
      <c r="Q965" s="105"/>
      <c r="R965" s="105"/>
      <c r="S965" s="105"/>
      <c r="T965" s="105"/>
      <c r="U965" s="105"/>
      <c r="V965" s="105"/>
      <c r="W965" s="105"/>
      <c r="X965" s="105"/>
      <c r="Y965" s="105"/>
      <c r="Z965" s="105"/>
      <c r="AA965" s="105"/>
      <c r="AB965" s="105"/>
      <c r="AC965" s="105"/>
      <c r="AD965" s="105"/>
      <c r="AE965" s="105"/>
      <c r="AF965" s="105"/>
      <c r="AG965" s="105"/>
      <c r="AH965" s="105"/>
      <c r="AI965" s="105"/>
      <c r="AJ965" s="105"/>
      <c r="AK965" s="105"/>
      <c r="AL965" s="105"/>
      <c r="AM965" s="105"/>
      <c r="AN965" s="105"/>
      <c r="AO965" s="105"/>
      <c r="AP965" s="105"/>
      <c r="AQ965" s="105"/>
      <c r="AR965" s="105"/>
      <c r="AS965" s="105"/>
      <c r="AT965" s="105"/>
      <c r="AU965" s="105"/>
      <c r="AV965" s="105"/>
      <c r="AW965" s="105"/>
      <c r="AX965" s="105"/>
      <c r="AY965" s="105"/>
      <c r="AZ965" s="105"/>
      <c r="BA965" s="105"/>
      <c r="BB965" s="105"/>
      <c r="BC965" s="105"/>
      <c r="BD965" s="105"/>
      <c r="BE965" s="105"/>
      <c r="BF965" s="105"/>
      <c r="BG965" s="105"/>
      <c r="BH965" s="105"/>
      <c r="BI965" s="105"/>
      <c r="BJ965" s="105"/>
      <c r="BK965" s="105"/>
      <c r="BL965" s="105"/>
      <c r="BM965" s="105"/>
      <c r="BN965" s="105"/>
      <c r="BO965" s="105"/>
      <c r="BP965" s="105"/>
      <c r="BQ965" s="105"/>
      <c r="BR965" s="105"/>
      <c r="BS965" s="105"/>
      <c r="BT965" s="105"/>
      <c r="BU965" s="105"/>
      <c r="BV965" s="105"/>
      <c r="BW965" s="105"/>
      <c r="BX965" s="105"/>
      <c r="BY965" s="105"/>
      <c r="BZ965" s="105"/>
      <c r="CA965" s="105"/>
      <c r="CB965" s="105"/>
      <c r="CC965" s="105"/>
      <c r="CD965" s="105"/>
      <c r="CE965" s="105"/>
      <c r="CF965" s="105"/>
      <c r="CG965" s="105"/>
      <c r="CH965" s="105"/>
      <c r="CI965" s="105"/>
      <c r="CJ965" s="105"/>
      <c r="CK965" s="105"/>
      <c r="CL965" s="105"/>
      <c r="CM965" s="105"/>
      <c r="CN965" s="105"/>
      <c r="CO965" s="105"/>
      <c r="CP965" s="105"/>
      <c r="CQ965" s="105"/>
      <c r="CR965" s="105"/>
      <c r="CS965" s="105"/>
      <c r="CT965" s="105"/>
      <c r="CU965" s="105"/>
      <c r="CV965" s="105"/>
      <c r="CW965" s="105"/>
      <c r="CX965" s="105"/>
      <c r="CY965" s="105"/>
      <c r="CZ965" s="105"/>
      <c r="DA965" s="105"/>
    </row>
    <row r="966">
      <c r="B966" s="105"/>
      <c r="F966" s="105"/>
      <c r="G966" s="105"/>
      <c r="H966" s="105"/>
      <c r="I966" s="105"/>
      <c r="J966" s="105"/>
      <c r="K966" s="105"/>
      <c r="L966" s="105"/>
      <c r="M966" s="105"/>
      <c r="N966" s="105"/>
      <c r="O966" s="105"/>
      <c r="P966" s="105"/>
      <c r="Q966" s="105"/>
      <c r="R966" s="105"/>
      <c r="S966" s="105"/>
      <c r="T966" s="105"/>
      <c r="U966" s="105"/>
      <c r="V966" s="105"/>
      <c r="W966" s="105"/>
      <c r="X966" s="105"/>
      <c r="Y966" s="105"/>
      <c r="Z966" s="105"/>
      <c r="AA966" s="105"/>
      <c r="AB966" s="105"/>
      <c r="AC966" s="105"/>
      <c r="AD966" s="105"/>
      <c r="AE966" s="105"/>
      <c r="AF966" s="105"/>
      <c r="AG966" s="105"/>
      <c r="AH966" s="105"/>
      <c r="AI966" s="105"/>
      <c r="AJ966" s="105"/>
      <c r="AK966" s="105"/>
      <c r="AL966" s="105"/>
      <c r="AM966" s="105"/>
      <c r="AN966" s="105"/>
      <c r="AO966" s="105"/>
      <c r="AP966" s="105"/>
      <c r="AQ966" s="105"/>
      <c r="AR966" s="105"/>
      <c r="AS966" s="105"/>
      <c r="AT966" s="105"/>
      <c r="AU966" s="105"/>
      <c r="AV966" s="105"/>
      <c r="AW966" s="105"/>
      <c r="AX966" s="105"/>
      <c r="AY966" s="105"/>
      <c r="AZ966" s="105"/>
      <c r="BA966" s="105"/>
      <c r="BB966" s="105"/>
      <c r="BC966" s="105"/>
      <c r="BD966" s="105"/>
      <c r="BE966" s="105"/>
      <c r="BF966" s="105"/>
      <c r="BG966" s="105"/>
      <c r="BH966" s="105"/>
      <c r="BI966" s="105"/>
      <c r="BJ966" s="105"/>
      <c r="BK966" s="105"/>
      <c r="BL966" s="105"/>
      <c r="BM966" s="105"/>
      <c r="BN966" s="105"/>
      <c r="BO966" s="105"/>
      <c r="BP966" s="105"/>
      <c r="BQ966" s="105"/>
      <c r="BR966" s="105"/>
      <c r="BS966" s="105"/>
      <c r="BT966" s="105"/>
      <c r="BU966" s="105"/>
      <c r="BV966" s="105"/>
      <c r="BW966" s="105"/>
      <c r="BX966" s="105"/>
      <c r="BY966" s="105"/>
      <c r="BZ966" s="105"/>
      <c r="CA966" s="105"/>
      <c r="CB966" s="105"/>
      <c r="CC966" s="105"/>
      <c r="CD966" s="105"/>
      <c r="CE966" s="105"/>
      <c r="CF966" s="105"/>
      <c r="CG966" s="105"/>
      <c r="CH966" s="105"/>
      <c r="CI966" s="105"/>
      <c r="CJ966" s="105"/>
      <c r="CK966" s="105"/>
      <c r="CL966" s="105"/>
      <c r="CM966" s="105"/>
      <c r="CN966" s="105"/>
      <c r="CO966" s="105"/>
      <c r="CP966" s="105"/>
      <c r="CQ966" s="105"/>
      <c r="CR966" s="105"/>
      <c r="CS966" s="105"/>
      <c r="CT966" s="105"/>
      <c r="CU966" s="105"/>
      <c r="CV966" s="105"/>
      <c r="CW966" s="105"/>
      <c r="CX966" s="105"/>
      <c r="CY966" s="105"/>
      <c r="CZ966" s="105"/>
      <c r="DA966" s="105"/>
    </row>
    <row r="967">
      <c r="B967" s="105"/>
      <c r="F967" s="105"/>
      <c r="G967" s="105"/>
      <c r="H967" s="105"/>
      <c r="I967" s="105"/>
      <c r="J967" s="105"/>
      <c r="K967" s="105"/>
      <c r="L967" s="105"/>
      <c r="M967" s="105"/>
      <c r="N967" s="105"/>
      <c r="O967" s="105"/>
      <c r="P967" s="105"/>
      <c r="Q967" s="105"/>
      <c r="R967" s="105"/>
      <c r="S967" s="105"/>
      <c r="T967" s="105"/>
      <c r="U967" s="105"/>
      <c r="V967" s="105"/>
      <c r="W967" s="105"/>
      <c r="X967" s="105"/>
      <c r="Y967" s="105"/>
      <c r="Z967" s="105"/>
      <c r="AA967" s="105"/>
      <c r="AB967" s="105"/>
      <c r="AC967" s="105"/>
      <c r="AD967" s="105"/>
      <c r="AE967" s="105"/>
      <c r="AF967" s="105"/>
      <c r="AG967" s="105"/>
      <c r="AH967" s="105"/>
      <c r="AI967" s="105"/>
      <c r="AJ967" s="105"/>
      <c r="AK967" s="105"/>
      <c r="AL967" s="105"/>
      <c r="AM967" s="105"/>
      <c r="AN967" s="105"/>
      <c r="AO967" s="105"/>
      <c r="AP967" s="105"/>
      <c r="AQ967" s="105"/>
      <c r="AR967" s="105"/>
      <c r="AS967" s="105"/>
      <c r="AT967" s="105"/>
      <c r="AU967" s="105"/>
      <c r="AV967" s="105"/>
      <c r="AW967" s="105"/>
      <c r="AX967" s="105"/>
      <c r="AY967" s="105"/>
      <c r="AZ967" s="105"/>
      <c r="BA967" s="105"/>
      <c r="BB967" s="105"/>
      <c r="BC967" s="105"/>
      <c r="BD967" s="105"/>
      <c r="BE967" s="105"/>
      <c r="BF967" s="105"/>
      <c r="BG967" s="105"/>
      <c r="BH967" s="105"/>
      <c r="BI967" s="105"/>
      <c r="BJ967" s="105"/>
      <c r="BK967" s="105"/>
      <c r="BL967" s="105"/>
      <c r="BM967" s="105"/>
      <c r="BN967" s="105"/>
      <c r="BO967" s="105"/>
      <c r="BP967" s="105"/>
      <c r="BQ967" s="105"/>
      <c r="BR967" s="105"/>
      <c r="BS967" s="105"/>
      <c r="BT967" s="105"/>
      <c r="BU967" s="105"/>
      <c r="BV967" s="105"/>
      <c r="BW967" s="105"/>
      <c r="BX967" s="105"/>
      <c r="BY967" s="105"/>
      <c r="BZ967" s="105"/>
      <c r="CA967" s="105"/>
      <c r="CB967" s="105"/>
      <c r="CC967" s="105"/>
      <c r="CD967" s="105"/>
      <c r="CE967" s="105"/>
      <c r="CF967" s="105"/>
      <c r="CG967" s="105"/>
      <c r="CH967" s="105"/>
      <c r="CI967" s="105"/>
      <c r="CJ967" s="105"/>
      <c r="CK967" s="105"/>
      <c r="CL967" s="105"/>
      <c r="CM967" s="105"/>
      <c r="CN967" s="105"/>
      <c r="CO967" s="105"/>
      <c r="CP967" s="105"/>
      <c r="CQ967" s="105"/>
      <c r="CR967" s="105"/>
      <c r="CS967" s="105"/>
      <c r="CT967" s="105"/>
      <c r="CU967" s="105"/>
      <c r="CV967" s="105"/>
      <c r="CW967" s="105"/>
      <c r="CX967" s="105"/>
      <c r="CY967" s="105"/>
      <c r="CZ967" s="105"/>
      <c r="DA967" s="105"/>
    </row>
    <row r="968">
      <c r="B968" s="105"/>
      <c r="F968" s="105"/>
      <c r="G968" s="105"/>
      <c r="H968" s="105"/>
      <c r="I968" s="105"/>
      <c r="J968" s="105"/>
      <c r="K968" s="105"/>
      <c r="L968" s="105"/>
      <c r="M968" s="105"/>
      <c r="N968" s="105"/>
      <c r="O968" s="105"/>
      <c r="P968" s="105"/>
      <c r="Q968" s="105"/>
      <c r="R968" s="105"/>
      <c r="S968" s="105"/>
      <c r="T968" s="105"/>
      <c r="U968" s="105"/>
      <c r="V968" s="105"/>
      <c r="W968" s="105"/>
      <c r="X968" s="105"/>
      <c r="Y968" s="105"/>
      <c r="Z968" s="105"/>
      <c r="AA968" s="105"/>
      <c r="AB968" s="105"/>
      <c r="AC968" s="105"/>
      <c r="AD968" s="105"/>
      <c r="AE968" s="105"/>
      <c r="AF968" s="105"/>
      <c r="AG968" s="105"/>
      <c r="AH968" s="105"/>
      <c r="AI968" s="105"/>
      <c r="AJ968" s="105"/>
      <c r="AK968" s="105"/>
      <c r="AL968" s="105"/>
      <c r="AM968" s="105"/>
      <c r="AN968" s="105"/>
      <c r="AO968" s="105"/>
      <c r="AP968" s="105"/>
      <c r="AQ968" s="105"/>
      <c r="AR968" s="105"/>
      <c r="AS968" s="105"/>
      <c r="AT968" s="105"/>
      <c r="AU968" s="105"/>
      <c r="AV968" s="105"/>
      <c r="AW968" s="105"/>
      <c r="AX968" s="105"/>
      <c r="AY968" s="105"/>
      <c r="AZ968" s="105"/>
      <c r="BA968" s="105"/>
      <c r="BB968" s="105"/>
      <c r="BC968" s="105"/>
      <c r="BD968" s="105"/>
      <c r="BE968" s="105"/>
      <c r="BF968" s="105"/>
      <c r="BG968" s="105"/>
      <c r="BH968" s="105"/>
      <c r="BI968" s="105"/>
      <c r="BJ968" s="105"/>
      <c r="BK968" s="105"/>
      <c r="BL968" s="105"/>
      <c r="BM968" s="105"/>
      <c r="BN968" s="105"/>
      <c r="BO968" s="105"/>
      <c r="BP968" s="105"/>
      <c r="BQ968" s="105"/>
      <c r="BR968" s="105"/>
      <c r="BS968" s="105"/>
      <c r="BT968" s="105"/>
      <c r="BU968" s="105"/>
      <c r="BV968" s="105"/>
      <c r="BW968" s="105"/>
      <c r="BX968" s="105"/>
      <c r="BY968" s="105"/>
      <c r="BZ968" s="105"/>
      <c r="CA968" s="105"/>
      <c r="CB968" s="105"/>
      <c r="CC968" s="105"/>
      <c r="CD968" s="105"/>
      <c r="CE968" s="105"/>
      <c r="CF968" s="105"/>
      <c r="CG968" s="105"/>
      <c r="CH968" s="105"/>
      <c r="CI968" s="105"/>
      <c r="CJ968" s="105"/>
      <c r="CK968" s="105"/>
      <c r="CL968" s="105"/>
      <c r="CM968" s="105"/>
      <c r="CN968" s="105"/>
      <c r="CO968" s="105"/>
      <c r="CP968" s="105"/>
      <c r="CQ968" s="105"/>
      <c r="CR968" s="105"/>
      <c r="CS968" s="105"/>
      <c r="CT968" s="105"/>
      <c r="CU968" s="105"/>
      <c r="CV968" s="105"/>
      <c r="CW968" s="105"/>
      <c r="CX968" s="105"/>
      <c r="CY968" s="105"/>
      <c r="CZ968" s="105"/>
      <c r="DA968" s="105"/>
    </row>
    <row r="969">
      <c r="B969" s="105"/>
      <c r="F969" s="105"/>
      <c r="G969" s="105"/>
      <c r="H969" s="105"/>
      <c r="I969" s="105"/>
      <c r="J969" s="105"/>
      <c r="K969" s="105"/>
      <c r="L969" s="105"/>
      <c r="M969" s="105"/>
      <c r="N969" s="105"/>
      <c r="O969" s="105"/>
      <c r="P969" s="105"/>
      <c r="Q969" s="105"/>
      <c r="R969" s="105"/>
      <c r="S969" s="105"/>
      <c r="T969" s="105"/>
      <c r="U969" s="105"/>
      <c r="V969" s="105"/>
      <c r="W969" s="105"/>
      <c r="X969" s="105"/>
      <c r="Y969" s="105"/>
      <c r="Z969" s="105"/>
      <c r="AA969" s="105"/>
      <c r="AB969" s="105"/>
      <c r="AC969" s="105"/>
      <c r="AD969" s="105"/>
      <c r="AE969" s="105"/>
      <c r="AF969" s="105"/>
      <c r="AG969" s="105"/>
      <c r="AH969" s="105"/>
      <c r="AI969" s="105"/>
      <c r="AJ969" s="105"/>
      <c r="AK969" s="105"/>
      <c r="AL969" s="105"/>
      <c r="AM969" s="105"/>
      <c r="AN969" s="105"/>
      <c r="AO969" s="105"/>
      <c r="AP969" s="105"/>
      <c r="AQ969" s="105"/>
      <c r="AR969" s="105"/>
      <c r="AS969" s="105"/>
      <c r="AT969" s="105"/>
      <c r="AU969" s="105"/>
      <c r="AV969" s="105"/>
      <c r="AW969" s="105"/>
      <c r="AX969" s="105"/>
      <c r="AY969" s="105"/>
      <c r="AZ969" s="105"/>
      <c r="BA969" s="105"/>
      <c r="BB969" s="105"/>
      <c r="BC969" s="105"/>
      <c r="BD969" s="105"/>
      <c r="BE969" s="105"/>
      <c r="BF969" s="105"/>
      <c r="BG969" s="105"/>
      <c r="BH969" s="105"/>
      <c r="BI969" s="105"/>
      <c r="BJ969" s="105"/>
      <c r="BK969" s="105"/>
      <c r="BL969" s="105"/>
      <c r="BM969" s="105"/>
      <c r="BN969" s="105"/>
      <c r="BO969" s="105"/>
      <c r="BP969" s="105"/>
      <c r="BQ969" s="105"/>
      <c r="BR969" s="105"/>
      <c r="BS969" s="105"/>
      <c r="BT969" s="105"/>
      <c r="BU969" s="105"/>
      <c r="BV969" s="105"/>
      <c r="BW969" s="105"/>
      <c r="BX969" s="105"/>
      <c r="BY969" s="105"/>
      <c r="BZ969" s="105"/>
      <c r="CA969" s="105"/>
      <c r="CB969" s="105"/>
      <c r="CC969" s="105"/>
      <c r="CD969" s="105"/>
      <c r="CE969" s="105"/>
      <c r="CF969" s="105"/>
      <c r="CG969" s="105"/>
      <c r="CH969" s="105"/>
      <c r="CI969" s="105"/>
      <c r="CJ969" s="105"/>
      <c r="CK969" s="105"/>
      <c r="CL969" s="105"/>
      <c r="CM969" s="105"/>
      <c r="CN969" s="105"/>
      <c r="CO969" s="105"/>
      <c r="CP969" s="105"/>
      <c r="CQ969" s="105"/>
      <c r="CR969" s="105"/>
      <c r="CS969" s="105"/>
      <c r="CT969" s="105"/>
      <c r="CU969" s="105"/>
      <c r="CV969" s="105"/>
      <c r="CW969" s="105"/>
      <c r="CX969" s="105"/>
      <c r="CY969" s="105"/>
      <c r="CZ969" s="105"/>
      <c r="DA969" s="105"/>
    </row>
    <row r="970">
      <c r="B970" s="105"/>
      <c r="F970" s="105"/>
      <c r="G970" s="105"/>
      <c r="H970" s="105"/>
      <c r="I970" s="105"/>
      <c r="J970" s="105"/>
      <c r="K970" s="105"/>
      <c r="L970" s="105"/>
      <c r="M970" s="105"/>
      <c r="N970" s="105"/>
      <c r="O970" s="105"/>
      <c r="P970" s="105"/>
      <c r="Q970" s="105"/>
      <c r="R970" s="105"/>
      <c r="S970" s="105"/>
      <c r="T970" s="105"/>
      <c r="U970" s="105"/>
      <c r="V970" s="105"/>
      <c r="W970" s="105"/>
      <c r="X970" s="105"/>
      <c r="Y970" s="105"/>
      <c r="Z970" s="105"/>
      <c r="AA970" s="105"/>
      <c r="AB970" s="105"/>
      <c r="AC970" s="105"/>
      <c r="AD970" s="105"/>
      <c r="AE970" s="105"/>
      <c r="AF970" s="105"/>
      <c r="AG970" s="105"/>
      <c r="AH970" s="105"/>
      <c r="AI970" s="105"/>
      <c r="AJ970" s="105"/>
      <c r="AK970" s="105"/>
      <c r="AL970" s="105"/>
      <c r="AM970" s="105"/>
      <c r="AN970" s="105"/>
      <c r="AO970" s="105"/>
      <c r="AP970" s="105"/>
      <c r="AQ970" s="105"/>
      <c r="AR970" s="105"/>
      <c r="AS970" s="105"/>
      <c r="AT970" s="105"/>
      <c r="AU970" s="105"/>
      <c r="AV970" s="105"/>
      <c r="AW970" s="105"/>
      <c r="AX970" s="105"/>
      <c r="AY970" s="105"/>
      <c r="AZ970" s="105"/>
      <c r="BA970" s="105"/>
      <c r="BB970" s="105"/>
      <c r="BC970" s="105"/>
      <c r="BD970" s="105"/>
      <c r="BE970" s="105"/>
      <c r="BF970" s="105"/>
      <c r="BG970" s="105"/>
      <c r="BH970" s="105"/>
      <c r="BI970" s="105"/>
      <c r="BJ970" s="105"/>
      <c r="BK970" s="105"/>
      <c r="BL970" s="105"/>
      <c r="BM970" s="105"/>
      <c r="BN970" s="105"/>
      <c r="BO970" s="105"/>
      <c r="BP970" s="105"/>
      <c r="BQ970" s="105"/>
      <c r="BR970" s="105"/>
      <c r="BS970" s="105"/>
      <c r="BT970" s="105"/>
      <c r="BU970" s="105"/>
      <c r="BV970" s="105"/>
      <c r="BW970" s="105"/>
      <c r="BX970" s="105"/>
      <c r="BY970" s="105"/>
      <c r="BZ970" s="105"/>
      <c r="CA970" s="105"/>
      <c r="CB970" s="105"/>
      <c r="CC970" s="105"/>
      <c r="CD970" s="105"/>
      <c r="CE970" s="105"/>
      <c r="CF970" s="105"/>
      <c r="CG970" s="105"/>
      <c r="CH970" s="105"/>
      <c r="CI970" s="105"/>
      <c r="CJ970" s="105"/>
      <c r="CK970" s="105"/>
      <c r="CL970" s="105"/>
      <c r="CM970" s="105"/>
      <c r="CN970" s="105"/>
      <c r="CO970" s="105"/>
      <c r="CP970" s="105"/>
      <c r="CQ970" s="105"/>
      <c r="CR970" s="105"/>
      <c r="CS970" s="105"/>
      <c r="CT970" s="105"/>
      <c r="CU970" s="105"/>
      <c r="CV970" s="105"/>
      <c r="CW970" s="105"/>
      <c r="CX970" s="105"/>
      <c r="CY970" s="105"/>
      <c r="CZ970" s="105"/>
      <c r="DA970" s="105"/>
    </row>
    <row r="971">
      <c r="B971" s="105"/>
      <c r="F971" s="105"/>
      <c r="G971" s="105"/>
      <c r="H971" s="105"/>
      <c r="I971" s="105"/>
      <c r="J971" s="105"/>
      <c r="K971" s="105"/>
      <c r="L971" s="105"/>
      <c r="M971" s="105"/>
      <c r="N971" s="105"/>
      <c r="O971" s="105"/>
      <c r="P971" s="105"/>
      <c r="Q971" s="105"/>
      <c r="R971" s="105"/>
      <c r="S971" s="105"/>
      <c r="T971" s="105"/>
      <c r="U971" s="105"/>
      <c r="V971" s="105"/>
      <c r="W971" s="105"/>
      <c r="X971" s="105"/>
      <c r="Y971" s="105"/>
      <c r="Z971" s="105"/>
      <c r="AA971" s="105"/>
      <c r="AB971" s="105"/>
      <c r="AC971" s="105"/>
      <c r="AD971" s="105"/>
      <c r="AE971" s="105"/>
      <c r="AF971" s="105"/>
      <c r="AG971" s="105"/>
      <c r="AH971" s="105"/>
      <c r="AI971" s="105"/>
      <c r="AJ971" s="105"/>
      <c r="AK971" s="105"/>
      <c r="AL971" s="105"/>
      <c r="AM971" s="105"/>
      <c r="AN971" s="105"/>
      <c r="AO971" s="105"/>
      <c r="AP971" s="105"/>
      <c r="AQ971" s="105"/>
      <c r="AR971" s="105"/>
      <c r="AS971" s="105"/>
      <c r="AT971" s="105"/>
      <c r="AU971" s="105"/>
      <c r="AV971" s="105"/>
      <c r="AW971" s="105"/>
      <c r="AX971" s="105"/>
      <c r="AY971" s="105"/>
      <c r="AZ971" s="105"/>
      <c r="BA971" s="105"/>
      <c r="BB971" s="105"/>
      <c r="BC971" s="105"/>
      <c r="BD971" s="105"/>
      <c r="BE971" s="105"/>
      <c r="BF971" s="105"/>
      <c r="BG971" s="105"/>
      <c r="BH971" s="105"/>
      <c r="BI971" s="105"/>
      <c r="BJ971" s="105"/>
      <c r="BK971" s="105"/>
      <c r="BL971" s="105"/>
      <c r="BM971" s="105"/>
      <c r="BN971" s="105"/>
      <c r="BO971" s="105"/>
      <c r="BP971" s="105"/>
      <c r="BQ971" s="105"/>
      <c r="BR971" s="105"/>
      <c r="BS971" s="105"/>
      <c r="BT971" s="105"/>
      <c r="BU971" s="105"/>
      <c r="BV971" s="105"/>
      <c r="BW971" s="105"/>
      <c r="BX971" s="105"/>
      <c r="BY971" s="105"/>
      <c r="BZ971" s="105"/>
      <c r="CA971" s="105"/>
      <c r="CB971" s="105"/>
      <c r="CC971" s="105"/>
      <c r="CD971" s="105"/>
      <c r="CE971" s="105"/>
      <c r="CF971" s="105"/>
      <c r="CG971" s="105"/>
      <c r="CH971" s="105"/>
      <c r="CI971" s="105"/>
      <c r="CJ971" s="105"/>
      <c r="CK971" s="105"/>
      <c r="CL971" s="105"/>
      <c r="CM971" s="105"/>
      <c r="CN971" s="105"/>
      <c r="CO971" s="105"/>
      <c r="CP971" s="105"/>
      <c r="CQ971" s="105"/>
      <c r="CR971" s="105"/>
      <c r="CS971" s="105"/>
      <c r="CT971" s="105"/>
      <c r="CU971" s="105"/>
      <c r="CV971" s="105"/>
      <c r="CW971" s="105"/>
      <c r="CX971" s="105"/>
      <c r="CY971" s="105"/>
      <c r="CZ971" s="105"/>
      <c r="DA971" s="105"/>
    </row>
    <row r="972">
      <c r="B972" s="105"/>
      <c r="F972" s="105"/>
      <c r="G972" s="105"/>
      <c r="H972" s="105"/>
      <c r="I972" s="105"/>
      <c r="J972" s="105"/>
      <c r="K972" s="105"/>
      <c r="L972" s="105"/>
      <c r="M972" s="105"/>
      <c r="N972" s="105"/>
      <c r="O972" s="105"/>
      <c r="P972" s="105"/>
      <c r="Q972" s="105"/>
      <c r="R972" s="105"/>
      <c r="S972" s="105"/>
      <c r="T972" s="105"/>
      <c r="U972" s="105"/>
      <c r="V972" s="105"/>
      <c r="W972" s="105"/>
      <c r="X972" s="105"/>
      <c r="Y972" s="105"/>
      <c r="Z972" s="105"/>
      <c r="AA972" s="105"/>
      <c r="AB972" s="105"/>
      <c r="AC972" s="105"/>
      <c r="AD972" s="105"/>
      <c r="AE972" s="105"/>
      <c r="AF972" s="105"/>
      <c r="AG972" s="105"/>
      <c r="AH972" s="105"/>
      <c r="AI972" s="105"/>
      <c r="AJ972" s="105"/>
      <c r="AK972" s="105"/>
      <c r="AL972" s="105"/>
      <c r="AM972" s="105"/>
      <c r="AN972" s="105"/>
      <c r="AO972" s="105"/>
      <c r="AP972" s="105"/>
      <c r="AQ972" s="105"/>
      <c r="AR972" s="105"/>
      <c r="AS972" s="105"/>
      <c r="AT972" s="105"/>
      <c r="AU972" s="105"/>
      <c r="AV972" s="105"/>
      <c r="AW972" s="105"/>
      <c r="AX972" s="105"/>
      <c r="AY972" s="105"/>
      <c r="AZ972" s="105"/>
      <c r="BA972" s="105"/>
      <c r="BB972" s="105"/>
      <c r="BC972" s="105"/>
      <c r="BD972" s="105"/>
      <c r="BE972" s="105"/>
      <c r="BF972" s="105"/>
      <c r="BG972" s="105"/>
      <c r="BH972" s="105"/>
      <c r="BI972" s="105"/>
      <c r="BJ972" s="105"/>
      <c r="BK972" s="105"/>
      <c r="BL972" s="105"/>
      <c r="BM972" s="105"/>
      <c r="BN972" s="105"/>
      <c r="BO972" s="105"/>
      <c r="BP972" s="105"/>
      <c r="BQ972" s="105"/>
      <c r="BR972" s="105"/>
      <c r="BS972" s="105"/>
      <c r="BT972" s="105"/>
      <c r="BU972" s="105"/>
      <c r="BV972" s="105"/>
      <c r="BW972" s="105"/>
      <c r="BX972" s="105"/>
      <c r="BY972" s="105"/>
      <c r="BZ972" s="105"/>
      <c r="CA972" s="105"/>
      <c r="CB972" s="105"/>
      <c r="CC972" s="105"/>
      <c r="CD972" s="105"/>
      <c r="CE972" s="105"/>
      <c r="CF972" s="105"/>
      <c r="CG972" s="105"/>
      <c r="CH972" s="105"/>
      <c r="CI972" s="105"/>
      <c r="CJ972" s="105"/>
      <c r="CK972" s="105"/>
      <c r="CL972" s="105"/>
      <c r="CM972" s="105"/>
      <c r="CN972" s="105"/>
      <c r="CO972" s="105"/>
      <c r="CP972" s="105"/>
      <c r="CQ972" s="105"/>
      <c r="CR972" s="105"/>
      <c r="CS972" s="105"/>
      <c r="CT972" s="105"/>
      <c r="CU972" s="105"/>
      <c r="CV972" s="105"/>
      <c r="CW972" s="105"/>
      <c r="CX972" s="105"/>
      <c r="CY972" s="105"/>
      <c r="CZ972" s="105"/>
      <c r="DA972" s="105"/>
    </row>
    <row r="973">
      <c r="B973" s="105"/>
      <c r="F973" s="105"/>
      <c r="G973" s="105"/>
      <c r="H973" s="105"/>
      <c r="I973" s="105"/>
      <c r="J973" s="105"/>
      <c r="K973" s="105"/>
      <c r="L973" s="105"/>
      <c r="M973" s="105"/>
      <c r="N973" s="105"/>
      <c r="O973" s="105"/>
      <c r="P973" s="105"/>
      <c r="Q973" s="105"/>
      <c r="R973" s="105"/>
      <c r="S973" s="105"/>
      <c r="T973" s="105"/>
      <c r="U973" s="105"/>
      <c r="V973" s="105"/>
      <c r="W973" s="105"/>
      <c r="X973" s="105"/>
      <c r="Y973" s="105"/>
      <c r="Z973" s="105"/>
      <c r="AA973" s="105"/>
      <c r="AB973" s="105"/>
      <c r="AC973" s="105"/>
      <c r="AD973" s="105"/>
      <c r="AE973" s="105"/>
      <c r="AF973" s="105"/>
      <c r="AG973" s="105"/>
      <c r="AH973" s="105"/>
      <c r="AI973" s="105"/>
      <c r="AJ973" s="105"/>
      <c r="AK973" s="105"/>
      <c r="AL973" s="105"/>
      <c r="AM973" s="105"/>
      <c r="AN973" s="105"/>
      <c r="AO973" s="105"/>
      <c r="AP973" s="105"/>
      <c r="AQ973" s="105"/>
      <c r="AR973" s="105"/>
      <c r="AS973" s="105"/>
      <c r="AT973" s="105"/>
      <c r="AU973" s="105"/>
      <c r="AV973" s="105"/>
      <c r="AW973" s="105"/>
      <c r="AX973" s="105"/>
      <c r="AY973" s="105"/>
      <c r="AZ973" s="105"/>
      <c r="BA973" s="105"/>
      <c r="BB973" s="105"/>
      <c r="BC973" s="105"/>
      <c r="BD973" s="105"/>
      <c r="BE973" s="105"/>
      <c r="BF973" s="105"/>
      <c r="BG973" s="105"/>
      <c r="BH973" s="105"/>
      <c r="BI973" s="105"/>
      <c r="BJ973" s="105"/>
      <c r="BK973" s="105"/>
      <c r="BL973" s="105"/>
      <c r="BM973" s="105"/>
      <c r="BN973" s="105"/>
      <c r="BO973" s="105"/>
      <c r="BP973" s="105"/>
      <c r="BQ973" s="105"/>
      <c r="BR973" s="105"/>
      <c r="BS973" s="105"/>
      <c r="BT973" s="105"/>
      <c r="BU973" s="105"/>
      <c r="BV973" s="105"/>
      <c r="BW973" s="105"/>
      <c r="BX973" s="105"/>
      <c r="BY973" s="105"/>
      <c r="BZ973" s="105"/>
      <c r="CA973" s="105"/>
      <c r="CB973" s="105"/>
      <c r="CC973" s="105"/>
      <c r="CD973" s="105"/>
      <c r="CE973" s="105"/>
      <c r="CF973" s="105"/>
      <c r="CG973" s="105"/>
      <c r="CH973" s="105"/>
      <c r="CI973" s="105"/>
      <c r="CJ973" s="105"/>
      <c r="CK973" s="105"/>
      <c r="CL973" s="105"/>
      <c r="CM973" s="105"/>
      <c r="CN973" s="105"/>
      <c r="CO973" s="105"/>
      <c r="CP973" s="105"/>
      <c r="CQ973" s="105"/>
      <c r="CR973" s="105"/>
      <c r="CS973" s="105"/>
      <c r="CT973" s="105"/>
      <c r="CU973" s="105"/>
      <c r="CV973" s="105"/>
      <c r="CW973" s="105"/>
      <c r="CX973" s="105"/>
      <c r="CY973" s="105"/>
      <c r="CZ973" s="105"/>
      <c r="DA973" s="105"/>
    </row>
    <row r="974">
      <c r="B974" s="105"/>
      <c r="F974" s="105"/>
      <c r="G974" s="105"/>
      <c r="H974" s="105"/>
      <c r="I974" s="105"/>
      <c r="J974" s="105"/>
      <c r="K974" s="105"/>
      <c r="L974" s="105"/>
      <c r="M974" s="105"/>
      <c r="N974" s="105"/>
      <c r="O974" s="105"/>
      <c r="P974" s="105"/>
      <c r="Q974" s="105"/>
      <c r="R974" s="105"/>
      <c r="S974" s="105"/>
      <c r="T974" s="105"/>
      <c r="U974" s="105"/>
      <c r="V974" s="105"/>
      <c r="W974" s="105"/>
      <c r="X974" s="105"/>
      <c r="Y974" s="105"/>
      <c r="Z974" s="105"/>
      <c r="AA974" s="105"/>
      <c r="AB974" s="105"/>
      <c r="AC974" s="105"/>
      <c r="AD974" s="105"/>
      <c r="AE974" s="105"/>
      <c r="AF974" s="105"/>
      <c r="AG974" s="105"/>
      <c r="AH974" s="105"/>
      <c r="AI974" s="105"/>
      <c r="AJ974" s="105"/>
      <c r="AK974" s="105"/>
      <c r="AL974" s="105"/>
      <c r="AM974" s="105"/>
      <c r="AN974" s="105"/>
      <c r="AO974" s="105"/>
      <c r="AP974" s="105"/>
      <c r="AQ974" s="105"/>
      <c r="AR974" s="105"/>
      <c r="AS974" s="105"/>
      <c r="AT974" s="105"/>
      <c r="AU974" s="105"/>
      <c r="AV974" s="105"/>
      <c r="AW974" s="105"/>
      <c r="AX974" s="105"/>
      <c r="AY974" s="105"/>
      <c r="AZ974" s="105"/>
      <c r="BA974" s="105"/>
      <c r="BB974" s="105"/>
      <c r="BC974" s="105"/>
      <c r="BD974" s="105"/>
      <c r="BE974" s="105"/>
      <c r="BF974" s="105"/>
      <c r="BG974" s="105"/>
      <c r="BH974" s="105"/>
      <c r="BI974" s="105"/>
      <c r="BJ974" s="105"/>
      <c r="BK974" s="105"/>
      <c r="BL974" s="105"/>
      <c r="BM974" s="105"/>
      <c r="BN974" s="105"/>
      <c r="BO974" s="105"/>
      <c r="BP974" s="105"/>
      <c r="BQ974" s="105"/>
      <c r="BR974" s="105"/>
      <c r="BS974" s="105"/>
      <c r="BT974" s="105"/>
      <c r="BU974" s="105"/>
      <c r="BV974" s="105"/>
      <c r="BW974" s="105"/>
      <c r="BX974" s="105"/>
      <c r="BY974" s="105"/>
      <c r="BZ974" s="105"/>
      <c r="CA974" s="105"/>
      <c r="CB974" s="105"/>
      <c r="CC974" s="105"/>
      <c r="CD974" s="105"/>
      <c r="CE974" s="105"/>
      <c r="CF974" s="105"/>
      <c r="CG974" s="105"/>
      <c r="CH974" s="105"/>
      <c r="CI974" s="105"/>
      <c r="CJ974" s="105"/>
      <c r="CK974" s="105"/>
      <c r="CL974" s="105"/>
      <c r="CM974" s="105"/>
      <c r="CN974" s="105"/>
      <c r="CO974" s="105"/>
      <c r="CP974" s="105"/>
      <c r="CQ974" s="105"/>
      <c r="CR974" s="105"/>
      <c r="CS974" s="105"/>
      <c r="CT974" s="105"/>
      <c r="CU974" s="105"/>
      <c r="CV974" s="105"/>
      <c r="CW974" s="105"/>
      <c r="CX974" s="105"/>
      <c r="CY974" s="105"/>
      <c r="CZ974" s="105"/>
      <c r="DA974" s="105"/>
    </row>
    <row r="975">
      <c r="B975" s="105"/>
      <c r="F975" s="105"/>
      <c r="G975" s="105"/>
      <c r="H975" s="105"/>
      <c r="I975" s="105"/>
      <c r="J975" s="105"/>
      <c r="K975" s="105"/>
      <c r="L975" s="105"/>
      <c r="M975" s="105"/>
      <c r="N975" s="105"/>
      <c r="O975" s="105"/>
      <c r="P975" s="105"/>
      <c r="Q975" s="105"/>
      <c r="R975" s="105"/>
      <c r="S975" s="105"/>
      <c r="T975" s="105"/>
      <c r="U975" s="105"/>
      <c r="V975" s="105"/>
      <c r="W975" s="105"/>
      <c r="X975" s="105"/>
      <c r="Y975" s="105"/>
      <c r="Z975" s="105"/>
      <c r="AA975" s="105"/>
      <c r="AB975" s="105"/>
      <c r="AC975" s="105"/>
      <c r="AD975" s="105"/>
      <c r="AE975" s="105"/>
      <c r="AF975" s="105"/>
      <c r="AG975" s="105"/>
      <c r="AH975" s="105"/>
      <c r="AI975" s="105"/>
      <c r="AJ975" s="105"/>
      <c r="AK975" s="105"/>
      <c r="AL975" s="105"/>
      <c r="AM975" s="105"/>
      <c r="AN975" s="105"/>
      <c r="AO975" s="105"/>
      <c r="AP975" s="105"/>
      <c r="AQ975" s="105"/>
      <c r="AR975" s="105"/>
      <c r="AS975" s="105"/>
      <c r="AT975" s="105"/>
      <c r="AU975" s="105"/>
      <c r="AV975" s="105"/>
      <c r="AW975" s="105"/>
      <c r="AX975" s="105"/>
      <c r="AY975" s="105"/>
      <c r="AZ975" s="105"/>
      <c r="BA975" s="105"/>
      <c r="BB975" s="105"/>
      <c r="BC975" s="105"/>
      <c r="BD975" s="105"/>
      <c r="BE975" s="105"/>
      <c r="BF975" s="105"/>
      <c r="BG975" s="105"/>
      <c r="BH975" s="105"/>
      <c r="BI975" s="105"/>
      <c r="BJ975" s="105"/>
      <c r="BK975" s="105"/>
      <c r="BL975" s="105"/>
      <c r="BM975" s="105"/>
      <c r="BN975" s="105"/>
      <c r="BO975" s="105"/>
      <c r="BP975" s="105"/>
      <c r="BQ975" s="105"/>
      <c r="BR975" s="105"/>
      <c r="BS975" s="105"/>
      <c r="BT975" s="105"/>
      <c r="BU975" s="105"/>
      <c r="BV975" s="105"/>
      <c r="BW975" s="105"/>
      <c r="BX975" s="105"/>
      <c r="BY975" s="105"/>
      <c r="BZ975" s="105"/>
      <c r="CA975" s="105"/>
      <c r="CB975" s="105"/>
      <c r="CC975" s="105"/>
      <c r="CD975" s="105"/>
      <c r="CE975" s="105"/>
      <c r="CF975" s="105"/>
      <c r="CG975" s="105"/>
      <c r="CH975" s="105"/>
      <c r="CI975" s="105"/>
      <c r="CJ975" s="105"/>
      <c r="CK975" s="105"/>
      <c r="CL975" s="105"/>
      <c r="CM975" s="105"/>
      <c r="CN975" s="105"/>
      <c r="CO975" s="105"/>
      <c r="CP975" s="105"/>
      <c r="CQ975" s="105"/>
      <c r="CR975" s="105"/>
      <c r="CS975" s="105"/>
      <c r="CT975" s="105"/>
      <c r="CU975" s="105"/>
      <c r="CV975" s="105"/>
      <c r="CW975" s="105"/>
      <c r="CX975" s="105"/>
      <c r="CY975" s="105"/>
      <c r="CZ975" s="105"/>
      <c r="DA975" s="105"/>
    </row>
    <row r="976">
      <c r="B976" s="105"/>
      <c r="F976" s="105"/>
      <c r="G976" s="105"/>
      <c r="H976" s="105"/>
      <c r="I976" s="105"/>
      <c r="J976" s="105"/>
      <c r="K976" s="105"/>
      <c r="L976" s="105"/>
      <c r="M976" s="105"/>
      <c r="N976" s="105"/>
      <c r="O976" s="105"/>
      <c r="P976" s="105"/>
      <c r="Q976" s="105"/>
      <c r="R976" s="105"/>
      <c r="S976" s="105"/>
      <c r="T976" s="105"/>
      <c r="U976" s="105"/>
      <c r="V976" s="105"/>
      <c r="W976" s="105"/>
      <c r="X976" s="105"/>
      <c r="Y976" s="105"/>
      <c r="Z976" s="105"/>
      <c r="AA976" s="105"/>
      <c r="AB976" s="105"/>
      <c r="AC976" s="105"/>
      <c r="AD976" s="105"/>
      <c r="AE976" s="105"/>
      <c r="AF976" s="105"/>
      <c r="AG976" s="105"/>
      <c r="AH976" s="105"/>
      <c r="AI976" s="105"/>
      <c r="AJ976" s="105"/>
      <c r="AK976" s="105"/>
      <c r="AL976" s="105"/>
      <c r="AM976" s="105"/>
      <c r="AN976" s="105"/>
      <c r="AO976" s="105"/>
      <c r="AP976" s="105"/>
      <c r="AQ976" s="105"/>
      <c r="AR976" s="105"/>
      <c r="AS976" s="105"/>
      <c r="AT976" s="105"/>
      <c r="AU976" s="105"/>
      <c r="AV976" s="105"/>
      <c r="AW976" s="105"/>
      <c r="AX976" s="105"/>
      <c r="AY976" s="105"/>
      <c r="AZ976" s="105"/>
      <c r="BA976" s="105"/>
      <c r="BB976" s="105"/>
      <c r="BC976" s="105"/>
      <c r="BD976" s="105"/>
      <c r="BE976" s="105"/>
      <c r="BF976" s="105"/>
      <c r="BG976" s="105"/>
      <c r="BH976" s="105"/>
      <c r="BI976" s="105"/>
      <c r="BJ976" s="105"/>
      <c r="BK976" s="105"/>
      <c r="BL976" s="105"/>
      <c r="BM976" s="105"/>
      <c r="BN976" s="105"/>
      <c r="BO976" s="105"/>
      <c r="BP976" s="105"/>
      <c r="BQ976" s="105"/>
      <c r="BR976" s="105"/>
      <c r="BS976" s="105"/>
      <c r="BT976" s="105"/>
      <c r="BU976" s="105"/>
      <c r="BV976" s="105"/>
      <c r="BW976" s="105"/>
      <c r="BX976" s="105"/>
      <c r="BY976" s="105"/>
      <c r="BZ976" s="105"/>
      <c r="CA976" s="105"/>
      <c r="CB976" s="105"/>
      <c r="CC976" s="105"/>
      <c r="CD976" s="105"/>
      <c r="CE976" s="105"/>
      <c r="CF976" s="105"/>
      <c r="CG976" s="105"/>
      <c r="CH976" s="105"/>
      <c r="CI976" s="105"/>
      <c r="CJ976" s="105"/>
      <c r="CK976" s="105"/>
      <c r="CL976" s="105"/>
      <c r="CM976" s="105"/>
      <c r="CN976" s="105"/>
      <c r="CO976" s="105"/>
      <c r="CP976" s="105"/>
      <c r="CQ976" s="105"/>
      <c r="CR976" s="105"/>
      <c r="CS976" s="105"/>
      <c r="CT976" s="105"/>
      <c r="CU976" s="105"/>
      <c r="CV976" s="105"/>
      <c r="CW976" s="105"/>
      <c r="CX976" s="105"/>
      <c r="CY976" s="105"/>
      <c r="CZ976" s="105"/>
      <c r="DA976" s="105"/>
    </row>
    <row r="977">
      <c r="B977" s="105"/>
      <c r="F977" s="105"/>
      <c r="G977" s="105"/>
      <c r="H977" s="105"/>
      <c r="I977" s="105"/>
      <c r="J977" s="105"/>
      <c r="K977" s="105"/>
      <c r="L977" s="105"/>
      <c r="M977" s="105"/>
      <c r="N977" s="105"/>
      <c r="O977" s="105"/>
      <c r="P977" s="105"/>
      <c r="Q977" s="105"/>
      <c r="R977" s="105"/>
      <c r="S977" s="105"/>
      <c r="T977" s="105"/>
      <c r="U977" s="105"/>
      <c r="V977" s="105"/>
      <c r="W977" s="105"/>
      <c r="X977" s="105"/>
      <c r="Y977" s="105"/>
      <c r="Z977" s="105"/>
      <c r="AA977" s="105"/>
      <c r="AB977" s="105"/>
      <c r="AC977" s="105"/>
      <c r="AD977" s="105"/>
      <c r="AE977" s="105"/>
      <c r="AF977" s="105"/>
      <c r="AG977" s="105"/>
      <c r="AH977" s="105"/>
      <c r="AI977" s="105"/>
      <c r="AJ977" s="105"/>
      <c r="AK977" s="105"/>
      <c r="AL977" s="105"/>
      <c r="AM977" s="105"/>
      <c r="AN977" s="105"/>
      <c r="AO977" s="105"/>
      <c r="AP977" s="105"/>
      <c r="AQ977" s="105"/>
      <c r="AR977" s="105"/>
      <c r="AS977" s="105"/>
      <c r="AT977" s="105"/>
      <c r="AU977" s="105"/>
      <c r="AV977" s="105"/>
      <c r="AW977" s="105"/>
      <c r="AX977" s="105"/>
      <c r="AY977" s="105"/>
      <c r="AZ977" s="105"/>
      <c r="BA977" s="105"/>
      <c r="BB977" s="105"/>
      <c r="BC977" s="105"/>
      <c r="BD977" s="105"/>
      <c r="BE977" s="105"/>
      <c r="BF977" s="105"/>
      <c r="BG977" s="105"/>
      <c r="BH977" s="105"/>
      <c r="BI977" s="105"/>
      <c r="BJ977" s="105"/>
      <c r="BK977" s="105"/>
      <c r="BL977" s="105"/>
      <c r="BM977" s="105"/>
      <c r="BN977" s="105"/>
      <c r="BO977" s="105"/>
      <c r="BP977" s="105"/>
      <c r="BQ977" s="105"/>
      <c r="BR977" s="105"/>
      <c r="BS977" s="105"/>
      <c r="BT977" s="105"/>
      <c r="BU977" s="105"/>
      <c r="BV977" s="105"/>
      <c r="BW977" s="105"/>
      <c r="BX977" s="105"/>
      <c r="BY977" s="105"/>
      <c r="BZ977" s="105"/>
      <c r="CA977" s="105"/>
      <c r="CB977" s="105"/>
      <c r="CC977" s="105"/>
      <c r="CD977" s="105"/>
      <c r="CE977" s="105"/>
      <c r="CF977" s="105"/>
      <c r="CG977" s="105"/>
      <c r="CH977" s="105"/>
      <c r="CI977" s="105"/>
      <c r="CJ977" s="105"/>
      <c r="CK977" s="105"/>
      <c r="CL977" s="105"/>
      <c r="CM977" s="105"/>
      <c r="CN977" s="105"/>
      <c r="CO977" s="105"/>
      <c r="CP977" s="105"/>
      <c r="CQ977" s="105"/>
      <c r="CR977" s="105"/>
      <c r="CS977" s="105"/>
      <c r="CT977" s="105"/>
      <c r="CU977" s="105"/>
      <c r="CV977" s="105"/>
      <c r="CW977" s="105"/>
      <c r="CX977" s="105"/>
      <c r="CY977" s="105"/>
      <c r="CZ977" s="105"/>
      <c r="DA977" s="105"/>
    </row>
    <row r="978">
      <c r="B978" s="105"/>
      <c r="F978" s="105"/>
      <c r="G978" s="105"/>
      <c r="H978" s="105"/>
      <c r="I978" s="105"/>
      <c r="J978" s="105"/>
      <c r="K978" s="105"/>
      <c r="L978" s="105"/>
      <c r="M978" s="105"/>
      <c r="N978" s="105"/>
      <c r="O978" s="105"/>
      <c r="P978" s="105"/>
      <c r="Q978" s="105"/>
      <c r="R978" s="105"/>
      <c r="S978" s="105"/>
      <c r="T978" s="105"/>
      <c r="U978" s="105"/>
      <c r="V978" s="105"/>
      <c r="W978" s="105"/>
      <c r="X978" s="105"/>
      <c r="Y978" s="105"/>
      <c r="Z978" s="105"/>
      <c r="AA978" s="105"/>
      <c r="AB978" s="105"/>
      <c r="AC978" s="105"/>
      <c r="AD978" s="105"/>
      <c r="AE978" s="105"/>
      <c r="AF978" s="105"/>
      <c r="AG978" s="105"/>
      <c r="AH978" s="105"/>
      <c r="AI978" s="105"/>
      <c r="AJ978" s="105"/>
      <c r="AK978" s="105"/>
      <c r="AL978" s="105"/>
      <c r="AM978" s="105"/>
      <c r="AN978" s="105"/>
      <c r="AO978" s="105"/>
      <c r="AP978" s="105"/>
      <c r="AQ978" s="105"/>
      <c r="AR978" s="105"/>
      <c r="AS978" s="105"/>
      <c r="AT978" s="105"/>
      <c r="AU978" s="105"/>
      <c r="AV978" s="105"/>
      <c r="AW978" s="105"/>
      <c r="AX978" s="105"/>
      <c r="AY978" s="105"/>
      <c r="AZ978" s="105"/>
      <c r="BA978" s="105"/>
      <c r="BB978" s="105"/>
      <c r="BC978" s="105"/>
      <c r="BD978" s="105"/>
      <c r="BE978" s="105"/>
      <c r="BF978" s="105"/>
      <c r="BG978" s="105"/>
      <c r="BH978" s="105"/>
      <c r="BI978" s="105"/>
      <c r="BJ978" s="105"/>
      <c r="BK978" s="105"/>
      <c r="BL978" s="105"/>
      <c r="BM978" s="105"/>
      <c r="BN978" s="105"/>
      <c r="BO978" s="105"/>
      <c r="BP978" s="105"/>
      <c r="BQ978" s="105"/>
      <c r="BR978" s="105"/>
      <c r="BS978" s="105"/>
      <c r="BT978" s="105"/>
      <c r="BU978" s="105"/>
      <c r="BV978" s="105"/>
      <c r="BW978" s="105"/>
      <c r="BX978" s="105"/>
      <c r="BY978" s="105"/>
      <c r="BZ978" s="105"/>
      <c r="CA978" s="105"/>
      <c r="CB978" s="105"/>
      <c r="CC978" s="105"/>
      <c r="CD978" s="105"/>
      <c r="CE978" s="105"/>
      <c r="CF978" s="105"/>
      <c r="CG978" s="105"/>
      <c r="CH978" s="105"/>
      <c r="CI978" s="105"/>
      <c r="CJ978" s="105"/>
      <c r="CK978" s="105"/>
      <c r="CL978" s="105"/>
      <c r="CM978" s="105"/>
      <c r="CN978" s="105"/>
      <c r="CO978" s="105"/>
      <c r="CP978" s="105"/>
      <c r="CQ978" s="105"/>
      <c r="CR978" s="105"/>
      <c r="CS978" s="105"/>
      <c r="CT978" s="105"/>
      <c r="CU978" s="105"/>
      <c r="CV978" s="105"/>
      <c r="CW978" s="105"/>
      <c r="CX978" s="105"/>
      <c r="CY978" s="105"/>
      <c r="CZ978" s="105"/>
      <c r="DA978" s="105"/>
    </row>
    <row r="979">
      <c r="B979" s="105"/>
      <c r="F979" s="105"/>
      <c r="G979" s="105"/>
      <c r="H979" s="105"/>
      <c r="I979" s="105"/>
      <c r="J979" s="105"/>
      <c r="K979" s="105"/>
      <c r="L979" s="105"/>
      <c r="M979" s="105"/>
      <c r="N979" s="105"/>
      <c r="O979" s="105"/>
      <c r="P979" s="105"/>
      <c r="Q979" s="105"/>
      <c r="R979" s="105"/>
      <c r="S979" s="105"/>
      <c r="T979" s="105"/>
      <c r="U979" s="105"/>
      <c r="V979" s="105"/>
      <c r="W979" s="105"/>
      <c r="X979" s="105"/>
      <c r="Y979" s="105"/>
      <c r="Z979" s="105"/>
      <c r="AA979" s="105"/>
      <c r="AB979" s="105"/>
      <c r="AC979" s="105"/>
      <c r="AD979" s="105"/>
      <c r="AE979" s="105"/>
      <c r="AF979" s="105"/>
      <c r="AG979" s="105"/>
      <c r="AH979" s="105"/>
      <c r="AI979" s="105"/>
      <c r="AJ979" s="105"/>
      <c r="AK979" s="105"/>
      <c r="AL979" s="105"/>
      <c r="AM979" s="105"/>
      <c r="AN979" s="105"/>
      <c r="AO979" s="105"/>
      <c r="AP979" s="105"/>
      <c r="AQ979" s="105"/>
      <c r="AR979" s="105"/>
      <c r="AS979" s="105"/>
      <c r="AT979" s="105"/>
      <c r="AU979" s="105"/>
      <c r="AV979" s="105"/>
      <c r="AW979" s="105"/>
      <c r="AX979" s="105"/>
      <c r="AY979" s="105"/>
      <c r="AZ979" s="105"/>
      <c r="BA979" s="105"/>
      <c r="BB979" s="105"/>
      <c r="BC979" s="105"/>
      <c r="BD979" s="105"/>
      <c r="BE979" s="105"/>
      <c r="BF979" s="105"/>
      <c r="BG979" s="105"/>
      <c r="BH979" s="105"/>
      <c r="BI979" s="105"/>
      <c r="BJ979" s="105"/>
      <c r="BK979" s="105"/>
      <c r="BL979" s="105"/>
      <c r="BM979" s="105"/>
      <c r="BN979" s="105"/>
      <c r="BO979" s="105"/>
      <c r="BP979" s="105"/>
      <c r="BQ979" s="105"/>
      <c r="BR979" s="105"/>
      <c r="BS979" s="105"/>
      <c r="BT979" s="105"/>
      <c r="BU979" s="105"/>
      <c r="BV979" s="105"/>
      <c r="BW979" s="105"/>
      <c r="BX979" s="105"/>
      <c r="BY979" s="105"/>
      <c r="BZ979" s="105"/>
      <c r="CA979" s="105"/>
      <c r="CB979" s="105"/>
      <c r="CC979" s="105"/>
      <c r="CD979" s="105"/>
      <c r="CE979" s="105"/>
      <c r="CF979" s="105"/>
      <c r="CG979" s="105"/>
      <c r="CH979" s="105"/>
      <c r="CI979" s="105"/>
      <c r="CJ979" s="105"/>
      <c r="CK979" s="105"/>
      <c r="CL979" s="105"/>
      <c r="CM979" s="105"/>
      <c r="CN979" s="105"/>
      <c r="CO979" s="105"/>
      <c r="CP979" s="105"/>
      <c r="CQ979" s="105"/>
      <c r="CR979" s="105"/>
      <c r="CS979" s="105"/>
      <c r="CT979" s="105"/>
      <c r="CU979" s="105"/>
      <c r="CV979" s="105"/>
      <c r="CW979" s="105"/>
      <c r="CX979" s="105"/>
      <c r="CY979" s="105"/>
      <c r="CZ979" s="105"/>
      <c r="DA979" s="105"/>
    </row>
    <row r="980">
      <c r="B980" s="105"/>
      <c r="F980" s="105"/>
      <c r="G980" s="105"/>
      <c r="H980" s="105"/>
      <c r="I980" s="105"/>
      <c r="J980" s="105"/>
      <c r="K980" s="105"/>
      <c r="L980" s="105"/>
      <c r="M980" s="105"/>
      <c r="N980" s="105"/>
      <c r="O980" s="105"/>
      <c r="P980" s="105"/>
      <c r="Q980" s="105"/>
      <c r="R980" s="105"/>
      <c r="S980" s="105"/>
      <c r="T980" s="105"/>
      <c r="U980" s="105"/>
      <c r="V980" s="105"/>
      <c r="W980" s="105"/>
      <c r="X980" s="105"/>
      <c r="Y980" s="105"/>
      <c r="Z980" s="105"/>
      <c r="AA980" s="105"/>
      <c r="AB980" s="105"/>
      <c r="AC980" s="105"/>
      <c r="AD980" s="105"/>
      <c r="AE980" s="105"/>
      <c r="AF980" s="105"/>
      <c r="AG980" s="105"/>
      <c r="AH980" s="105"/>
      <c r="AI980" s="105"/>
      <c r="AJ980" s="105"/>
      <c r="AK980" s="105"/>
      <c r="AL980" s="105"/>
      <c r="AM980" s="105"/>
      <c r="AN980" s="105"/>
      <c r="AO980" s="105"/>
      <c r="AP980" s="105"/>
      <c r="AQ980" s="105"/>
      <c r="AR980" s="105"/>
      <c r="AS980" s="105"/>
      <c r="AT980" s="105"/>
      <c r="AU980" s="105"/>
      <c r="AV980" s="105"/>
      <c r="AW980" s="105"/>
      <c r="AX980" s="105"/>
      <c r="AY980" s="105"/>
      <c r="AZ980" s="105"/>
      <c r="BA980" s="105"/>
      <c r="BB980" s="105"/>
      <c r="BC980" s="105"/>
      <c r="BD980" s="105"/>
      <c r="BE980" s="105"/>
      <c r="BF980" s="105"/>
      <c r="BG980" s="105"/>
      <c r="BH980" s="105"/>
      <c r="BI980" s="105"/>
      <c r="BJ980" s="105"/>
      <c r="BK980" s="105"/>
      <c r="BL980" s="105"/>
      <c r="BM980" s="105"/>
      <c r="BN980" s="105"/>
      <c r="BO980" s="105"/>
      <c r="BP980" s="105"/>
      <c r="BQ980" s="105"/>
      <c r="BR980" s="105"/>
      <c r="BS980" s="105"/>
      <c r="BT980" s="105"/>
      <c r="BU980" s="105"/>
      <c r="BV980" s="105"/>
      <c r="BW980" s="105"/>
      <c r="BX980" s="105"/>
      <c r="BY980" s="105"/>
      <c r="BZ980" s="105"/>
      <c r="CA980" s="105"/>
      <c r="CB980" s="105"/>
      <c r="CC980" s="105"/>
      <c r="CD980" s="105"/>
      <c r="CE980" s="105"/>
      <c r="CF980" s="105"/>
      <c r="CG980" s="105"/>
      <c r="CH980" s="105"/>
      <c r="CI980" s="105"/>
      <c r="CJ980" s="105"/>
      <c r="CK980" s="105"/>
      <c r="CL980" s="105"/>
      <c r="CM980" s="105"/>
      <c r="CN980" s="105"/>
      <c r="CO980" s="105"/>
      <c r="CP980" s="105"/>
      <c r="CQ980" s="105"/>
      <c r="CR980" s="105"/>
      <c r="CS980" s="105"/>
      <c r="CT980" s="105"/>
      <c r="CU980" s="105"/>
      <c r="CV980" s="105"/>
      <c r="CW980" s="105"/>
      <c r="CX980" s="105"/>
      <c r="CY980" s="105"/>
      <c r="CZ980" s="105"/>
      <c r="DA980" s="105"/>
    </row>
    <row r="981">
      <c r="B981" s="105"/>
      <c r="F981" s="105"/>
      <c r="G981" s="105"/>
      <c r="H981" s="105"/>
      <c r="I981" s="105"/>
      <c r="J981" s="105"/>
      <c r="K981" s="105"/>
      <c r="L981" s="105"/>
      <c r="M981" s="105"/>
      <c r="N981" s="105"/>
      <c r="O981" s="105"/>
      <c r="P981" s="105"/>
      <c r="Q981" s="105"/>
      <c r="R981" s="105"/>
      <c r="S981" s="105"/>
      <c r="T981" s="105"/>
      <c r="U981" s="105"/>
      <c r="V981" s="105"/>
      <c r="W981" s="105"/>
      <c r="X981" s="105"/>
      <c r="Y981" s="105"/>
      <c r="Z981" s="105"/>
      <c r="AA981" s="105"/>
      <c r="AB981" s="105"/>
      <c r="AC981" s="105"/>
      <c r="AD981" s="105"/>
      <c r="AE981" s="105"/>
      <c r="AF981" s="105"/>
      <c r="AG981" s="105"/>
      <c r="AH981" s="105"/>
      <c r="AI981" s="105"/>
      <c r="AJ981" s="105"/>
      <c r="AK981" s="105"/>
      <c r="AL981" s="105"/>
      <c r="AM981" s="105"/>
      <c r="AN981" s="105"/>
      <c r="AO981" s="105"/>
      <c r="AP981" s="105"/>
      <c r="AQ981" s="105"/>
      <c r="AR981" s="105"/>
      <c r="AS981" s="105"/>
      <c r="AT981" s="105"/>
      <c r="AU981" s="105"/>
      <c r="AV981" s="105"/>
      <c r="AW981" s="105"/>
      <c r="AX981" s="105"/>
      <c r="AY981" s="105"/>
      <c r="AZ981" s="105"/>
      <c r="BA981" s="105"/>
      <c r="BB981" s="105"/>
      <c r="BC981" s="105"/>
      <c r="BD981" s="105"/>
      <c r="BE981" s="105"/>
      <c r="BF981" s="105"/>
      <c r="BG981" s="105"/>
      <c r="BH981" s="105"/>
      <c r="BI981" s="105"/>
      <c r="BJ981" s="105"/>
      <c r="BK981" s="105"/>
      <c r="BL981" s="105"/>
      <c r="BM981" s="105"/>
      <c r="BN981" s="105"/>
      <c r="BO981" s="105"/>
      <c r="BP981" s="105"/>
      <c r="BQ981" s="105"/>
      <c r="BR981" s="105"/>
      <c r="BS981" s="105"/>
      <c r="BT981" s="105"/>
      <c r="BU981" s="105"/>
      <c r="BV981" s="105"/>
      <c r="BW981" s="105"/>
      <c r="BX981" s="105"/>
      <c r="BY981" s="105"/>
      <c r="BZ981" s="105"/>
      <c r="CA981" s="105"/>
      <c r="CB981" s="105"/>
      <c r="CC981" s="105"/>
      <c r="CD981" s="105"/>
      <c r="CE981" s="105"/>
      <c r="CF981" s="105"/>
      <c r="CG981" s="105"/>
      <c r="CH981" s="105"/>
      <c r="CI981" s="105"/>
      <c r="CJ981" s="105"/>
      <c r="CK981" s="105"/>
      <c r="CL981" s="105"/>
      <c r="CM981" s="105"/>
      <c r="CN981" s="105"/>
      <c r="CO981" s="105"/>
      <c r="CP981" s="105"/>
      <c r="CQ981" s="105"/>
      <c r="CR981" s="105"/>
      <c r="CS981" s="105"/>
      <c r="CT981" s="105"/>
      <c r="CU981" s="105"/>
      <c r="CV981" s="105"/>
      <c r="CW981" s="105"/>
      <c r="CX981" s="105"/>
      <c r="CY981" s="105"/>
      <c r="CZ981" s="105"/>
      <c r="DA981" s="105"/>
    </row>
    <row r="982">
      <c r="B982" s="105"/>
      <c r="F982" s="105"/>
      <c r="G982" s="105"/>
      <c r="H982" s="105"/>
      <c r="I982" s="105"/>
      <c r="J982" s="105"/>
      <c r="K982" s="105"/>
      <c r="L982" s="105"/>
      <c r="M982" s="105"/>
      <c r="N982" s="105"/>
      <c r="O982" s="105"/>
      <c r="P982" s="105"/>
      <c r="Q982" s="105"/>
      <c r="R982" s="105"/>
      <c r="S982" s="105"/>
      <c r="T982" s="105"/>
      <c r="U982" s="105"/>
      <c r="V982" s="105"/>
      <c r="W982" s="105"/>
      <c r="X982" s="105"/>
      <c r="Y982" s="105"/>
      <c r="Z982" s="105"/>
      <c r="AA982" s="105"/>
      <c r="AB982" s="105"/>
      <c r="AC982" s="105"/>
      <c r="AD982" s="105"/>
      <c r="AE982" s="105"/>
      <c r="AF982" s="105"/>
      <c r="AG982" s="105"/>
      <c r="AH982" s="105"/>
      <c r="AI982" s="105"/>
      <c r="AJ982" s="105"/>
      <c r="AK982" s="105"/>
      <c r="AL982" s="105"/>
      <c r="AM982" s="105"/>
      <c r="AN982" s="105"/>
      <c r="AO982" s="105"/>
      <c r="AP982" s="105"/>
      <c r="AQ982" s="105"/>
      <c r="AR982" s="105"/>
      <c r="AS982" s="105"/>
      <c r="AT982" s="105"/>
      <c r="AU982" s="105"/>
      <c r="AV982" s="105"/>
      <c r="AW982" s="105"/>
      <c r="AX982" s="105"/>
      <c r="AY982" s="105"/>
      <c r="AZ982" s="105"/>
      <c r="BA982" s="105"/>
      <c r="BB982" s="105"/>
      <c r="BC982" s="105"/>
      <c r="BD982" s="105"/>
      <c r="BE982" s="105"/>
      <c r="BF982" s="105"/>
      <c r="BG982" s="105"/>
      <c r="BH982" s="105"/>
      <c r="BI982" s="105"/>
      <c r="BJ982" s="105"/>
      <c r="BK982" s="105"/>
      <c r="BL982" s="105"/>
      <c r="BM982" s="105"/>
      <c r="BN982" s="105"/>
      <c r="BO982" s="105"/>
      <c r="BP982" s="105"/>
      <c r="BQ982" s="105"/>
      <c r="BR982" s="105"/>
      <c r="BS982" s="105"/>
      <c r="BT982" s="105"/>
      <c r="BU982" s="105"/>
      <c r="BV982" s="105"/>
      <c r="BW982" s="105"/>
      <c r="BX982" s="105"/>
      <c r="BY982" s="105"/>
      <c r="BZ982" s="105"/>
      <c r="CA982" s="105"/>
      <c r="CB982" s="105"/>
      <c r="CC982" s="105"/>
      <c r="CD982" s="105"/>
      <c r="CE982" s="105"/>
      <c r="CF982" s="105"/>
      <c r="CG982" s="105"/>
      <c r="CH982" s="105"/>
      <c r="CI982" s="105"/>
      <c r="CJ982" s="105"/>
      <c r="CK982" s="105"/>
      <c r="CL982" s="105"/>
      <c r="CM982" s="105"/>
      <c r="CN982" s="105"/>
      <c r="CO982" s="105"/>
      <c r="CP982" s="105"/>
      <c r="CQ982" s="105"/>
      <c r="CR982" s="105"/>
      <c r="CS982" s="105"/>
      <c r="CT982" s="105"/>
      <c r="CU982" s="105"/>
      <c r="CV982" s="105"/>
      <c r="CW982" s="105"/>
      <c r="CX982" s="105"/>
      <c r="CY982" s="105"/>
      <c r="CZ982" s="105"/>
      <c r="DA982" s="105"/>
    </row>
    <row r="983">
      <c r="B983" s="105"/>
      <c r="F983" s="105"/>
      <c r="G983" s="105"/>
      <c r="H983" s="105"/>
      <c r="I983" s="105"/>
      <c r="J983" s="105"/>
      <c r="K983" s="105"/>
      <c r="L983" s="105"/>
      <c r="M983" s="105"/>
      <c r="N983" s="105"/>
      <c r="O983" s="105"/>
      <c r="P983" s="105"/>
      <c r="Q983" s="105"/>
      <c r="R983" s="105"/>
      <c r="S983" s="105"/>
      <c r="T983" s="105"/>
      <c r="U983" s="105"/>
      <c r="V983" s="105"/>
      <c r="W983" s="105"/>
      <c r="X983" s="105"/>
      <c r="Y983" s="105"/>
      <c r="Z983" s="105"/>
      <c r="AA983" s="105"/>
      <c r="AB983" s="105"/>
      <c r="AC983" s="105"/>
      <c r="AD983" s="105"/>
      <c r="AE983" s="105"/>
      <c r="AF983" s="105"/>
      <c r="AG983" s="105"/>
      <c r="AH983" s="105"/>
      <c r="AI983" s="105"/>
      <c r="AJ983" s="105"/>
      <c r="AK983" s="105"/>
      <c r="AL983" s="105"/>
      <c r="AM983" s="105"/>
      <c r="AN983" s="105"/>
      <c r="AO983" s="105"/>
      <c r="AP983" s="105"/>
      <c r="AQ983" s="105"/>
      <c r="AR983" s="105"/>
      <c r="AS983" s="105"/>
      <c r="AT983" s="105"/>
      <c r="AU983" s="105"/>
      <c r="AV983" s="105"/>
      <c r="AW983" s="105"/>
      <c r="AX983" s="105"/>
      <c r="AY983" s="105"/>
      <c r="AZ983" s="105"/>
      <c r="BA983" s="105"/>
      <c r="BB983" s="105"/>
      <c r="BC983" s="105"/>
      <c r="BD983" s="105"/>
      <c r="BE983" s="105"/>
      <c r="BF983" s="105"/>
      <c r="BG983" s="105"/>
      <c r="BH983" s="105"/>
      <c r="BI983" s="105"/>
      <c r="BJ983" s="105"/>
      <c r="BK983" s="105"/>
      <c r="BL983" s="105"/>
      <c r="BM983" s="105"/>
      <c r="BN983" s="105"/>
      <c r="BO983" s="105"/>
      <c r="BP983" s="105"/>
      <c r="BQ983" s="105"/>
      <c r="BR983" s="105"/>
      <c r="BS983" s="105"/>
      <c r="BT983" s="105"/>
      <c r="BU983" s="105"/>
      <c r="BV983" s="105"/>
      <c r="BW983" s="105"/>
      <c r="BX983" s="105"/>
      <c r="BY983" s="105"/>
      <c r="BZ983" s="105"/>
      <c r="CA983" s="105"/>
      <c r="CB983" s="105"/>
      <c r="CC983" s="105"/>
      <c r="CD983" s="105"/>
      <c r="CE983" s="105"/>
      <c r="CF983" s="105"/>
      <c r="CG983" s="105"/>
      <c r="CH983" s="105"/>
      <c r="CI983" s="105"/>
      <c r="CJ983" s="105"/>
      <c r="CK983" s="105"/>
      <c r="CL983" s="105"/>
      <c r="CM983" s="105"/>
      <c r="CN983" s="105"/>
      <c r="CO983" s="105"/>
      <c r="CP983" s="105"/>
      <c r="CQ983" s="105"/>
      <c r="CR983" s="105"/>
      <c r="CS983" s="105"/>
      <c r="CT983" s="105"/>
      <c r="CU983" s="105"/>
      <c r="CV983" s="105"/>
      <c r="CW983" s="105"/>
      <c r="CX983" s="105"/>
      <c r="CY983" s="105"/>
      <c r="CZ983" s="105"/>
      <c r="DA983" s="105"/>
    </row>
    <row r="984">
      <c r="B984" s="105"/>
      <c r="F984" s="105"/>
      <c r="G984" s="105"/>
      <c r="H984" s="105"/>
      <c r="I984" s="105"/>
      <c r="J984" s="105"/>
      <c r="K984" s="105"/>
      <c r="L984" s="105"/>
      <c r="M984" s="105"/>
      <c r="N984" s="105"/>
      <c r="O984" s="105"/>
      <c r="P984" s="105"/>
      <c r="Q984" s="105"/>
      <c r="R984" s="105"/>
      <c r="S984" s="105"/>
      <c r="T984" s="105"/>
      <c r="U984" s="105"/>
      <c r="V984" s="105"/>
      <c r="W984" s="105"/>
      <c r="X984" s="105"/>
      <c r="Y984" s="105"/>
      <c r="Z984" s="105"/>
      <c r="AA984" s="105"/>
      <c r="AB984" s="105"/>
      <c r="AC984" s="105"/>
      <c r="AD984" s="105"/>
      <c r="AE984" s="105"/>
      <c r="AF984" s="105"/>
      <c r="AG984" s="105"/>
      <c r="AH984" s="105"/>
      <c r="AI984" s="105"/>
      <c r="AJ984" s="105"/>
      <c r="AK984" s="105"/>
      <c r="AL984" s="105"/>
      <c r="AM984" s="105"/>
      <c r="AN984" s="105"/>
      <c r="AO984" s="105"/>
      <c r="AP984" s="105"/>
      <c r="AQ984" s="105"/>
      <c r="AR984" s="105"/>
      <c r="AS984" s="105"/>
      <c r="AT984" s="105"/>
      <c r="AU984" s="105"/>
      <c r="AV984" s="105"/>
      <c r="AW984" s="105"/>
      <c r="AX984" s="105"/>
      <c r="AY984" s="105"/>
      <c r="AZ984" s="105"/>
      <c r="BA984" s="105"/>
      <c r="BB984" s="105"/>
      <c r="BC984" s="105"/>
      <c r="BD984" s="105"/>
      <c r="BE984" s="105"/>
      <c r="BF984" s="105"/>
      <c r="BG984" s="105"/>
      <c r="BH984" s="105"/>
      <c r="BI984" s="105"/>
      <c r="BJ984" s="105"/>
      <c r="BK984" s="105"/>
      <c r="BL984" s="105"/>
      <c r="BM984" s="105"/>
      <c r="BN984" s="105"/>
      <c r="BO984" s="105"/>
      <c r="BP984" s="105"/>
      <c r="BQ984" s="105"/>
      <c r="BR984" s="105"/>
      <c r="BS984" s="105"/>
      <c r="BT984" s="105"/>
      <c r="BU984" s="105"/>
      <c r="BV984" s="105"/>
      <c r="BW984" s="105"/>
      <c r="BX984" s="105"/>
      <c r="BY984" s="105"/>
      <c r="BZ984" s="105"/>
      <c r="CA984" s="105"/>
      <c r="CB984" s="105"/>
      <c r="CC984" s="105"/>
      <c r="CD984" s="105"/>
      <c r="CE984" s="105"/>
      <c r="CF984" s="105"/>
      <c r="CG984" s="105"/>
      <c r="CH984" s="105"/>
      <c r="CI984" s="105"/>
      <c r="CJ984" s="105"/>
      <c r="CK984" s="105"/>
      <c r="CL984" s="105"/>
      <c r="CM984" s="105"/>
      <c r="CN984" s="105"/>
      <c r="CO984" s="105"/>
      <c r="CP984" s="105"/>
      <c r="CQ984" s="105"/>
      <c r="CR984" s="105"/>
      <c r="CS984" s="105"/>
      <c r="CT984" s="105"/>
      <c r="CU984" s="105"/>
      <c r="CV984" s="105"/>
      <c r="CW984" s="105"/>
      <c r="CX984" s="105"/>
      <c r="CY984" s="105"/>
      <c r="CZ984" s="105"/>
      <c r="DA984" s="105"/>
    </row>
    <row r="985">
      <c r="B985" s="105"/>
      <c r="F985" s="105"/>
      <c r="G985" s="105"/>
      <c r="H985" s="105"/>
      <c r="I985" s="105"/>
      <c r="J985" s="105"/>
      <c r="K985" s="105"/>
      <c r="L985" s="105"/>
      <c r="M985" s="105"/>
      <c r="N985" s="105"/>
      <c r="O985" s="105"/>
      <c r="P985" s="105"/>
      <c r="Q985" s="105"/>
      <c r="R985" s="105"/>
      <c r="S985" s="105"/>
      <c r="T985" s="105"/>
      <c r="U985" s="105"/>
      <c r="V985" s="105"/>
      <c r="W985" s="105"/>
      <c r="X985" s="105"/>
      <c r="Y985" s="105"/>
      <c r="Z985" s="105"/>
      <c r="AA985" s="105"/>
      <c r="AB985" s="105"/>
      <c r="AC985" s="105"/>
      <c r="AD985" s="105"/>
      <c r="AE985" s="105"/>
      <c r="AF985" s="105"/>
      <c r="AG985" s="105"/>
      <c r="AH985" s="105"/>
      <c r="AI985" s="105"/>
      <c r="AJ985" s="105"/>
      <c r="AK985" s="105"/>
      <c r="AL985" s="105"/>
      <c r="AM985" s="105"/>
      <c r="AN985" s="105"/>
      <c r="AO985" s="105"/>
      <c r="AP985" s="105"/>
      <c r="AQ985" s="105"/>
      <c r="AR985" s="105"/>
      <c r="AS985" s="105"/>
      <c r="AT985" s="105"/>
      <c r="AU985" s="105"/>
      <c r="AV985" s="105"/>
      <c r="AW985" s="105"/>
      <c r="AX985" s="105"/>
      <c r="AY985" s="105"/>
      <c r="AZ985" s="105"/>
      <c r="BA985" s="105"/>
      <c r="BB985" s="105"/>
      <c r="BC985" s="105"/>
      <c r="BD985" s="105"/>
      <c r="BE985" s="105"/>
      <c r="BF985" s="105"/>
      <c r="BG985" s="105"/>
      <c r="BH985" s="105"/>
      <c r="BI985" s="105"/>
      <c r="BJ985" s="105"/>
      <c r="BK985" s="105"/>
      <c r="BL985" s="105"/>
      <c r="BM985" s="105"/>
      <c r="BN985" s="105"/>
      <c r="BO985" s="105"/>
      <c r="BP985" s="105"/>
      <c r="BQ985" s="105"/>
      <c r="BR985" s="105"/>
      <c r="BS985" s="105"/>
      <c r="BT985" s="105"/>
      <c r="BU985" s="105"/>
      <c r="BV985" s="105"/>
      <c r="BW985" s="105"/>
      <c r="BX985" s="105"/>
      <c r="BY985" s="105"/>
      <c r="BZ985" s="105"/>
      <c r="CA985" s="105"/>
      <c r="CB985" s="105"/>
      <c r="CC985" s="105"/>
      <c r="CD985" s="105"/>
      <c r="CE985" s="105"/>
      <c r="CF985" s="105"/>
      <c r="CG985" s="105"/>
      <c r="CH985" s="105"/>
      <c r="CI985" s="105"/>
      <c r="CJ985" s="105"/>
      <c r="CK985" s="105"/>
      <c r="CL985" s="105"/>
      <c r="CM985" s="105"/>
      <c r="CN985" s="105"/>
      <c r="CO985" s="105"/>
      <c r="CP985" s="105"/>
      <c r="CQ985" s="105"/>
      <c r="CR985" s="105"/>
      <c r="CS985" s="105"/>
      <c r="CT985" s="105"/>
      <c r="CU985" s="105"/>
      <c r="CV985" s="105"/>
      <c r="CW985" s="105"/>
      <c r="CX985" s="105"/>
      <c r="CY985" s="105"/>
      <c r="CZ985" s="105"/>
      <c r="DA985" s="105"/>
    </row>
    <row r="986">
      <c r="B986" s="105"/>
      <c r="F986" s="105"/>
      <c r="G986" s="105"/>
      <c r="H986" s="105"/>
      <c r="I986" s="105"/>
      <c r="J986" s="105"/>
      <c r="K986" s="105"/>
      <c r="L986" s="105"/>
      <c r="M986" s="105"/>
      <c r="N986" s="105"/>
      <c r="O986" s="105"/>
      <c r="P986" s="105"/>
      <c r="Q986" s="105"/>
      <c r="R986" s="105"/>
      <c r="S986" s="105"/>
      <c r="T986" s="105"/>
      <c r="U986" s="105"/>
      <c r="V986" s="105"/>
      <c r="W986" s="105"/>
      <c r="X986" s="105"/>
      <c r="Y986" s="105"/>
      <c r="Z986" s="105"/>
      <c r="AA986" s="105"/>
      <c r="AB986" s="105"/>
      <c r="AC986" s="105"/>
      <c r="AD986" s="105"/>
      <c r="AE986" s="105"/>
      <c r="AF986" s="105"/>
      <c r="AG986" s="105"/>
      <c r="AH986" s="105"/>
      <c r="AI986" s="105"/>
      <c r="AJ986" s="105"/>
      <c r="AK986" s="105"/>
      <c r="AL986" s="105"/>
      <c r="AM986" s="105"/>
      <c r="AN986" s="105"/>
      <c r="AO986" s="105"/>
      <c r="AP986" s="105"/>
      <c r="AQ986" s="105"/>
      <c r="AR986" s="105"/>
      <c r="AS986" s="105"/>
      <c r="AT986" s="105"/>
      <c r="AU986" s="105"/>
      <c r="AV986" s="105"/>
      <c r="AW986" s="105"/>
      <c r="AX986" s="105"/>
      <c r="AY986" s="105"/>
      <c r="AZ986" s="105"/>
      <c r="BA986" s="105"/>
      <c r="BB986" s="105"/>
      <c r="BC986" s="105"/>
      <c r="BD986" s="105"/>
      <c r="BE986" s="105"/>
      <c r="BF986" s="105"/>
      <c r="BG986" s="105"/>
      <c r="BH986" s="105"/>
      <c r="BI986" s="105"/>
      <c r="BJ986" s="105"/>
      <c r="BK986" s="105"/>
      <c r="BL986" s="105"/>
      <c r="BM986" s="105"/>
      <c r="BN986" s="105"/>
      <c r="BO986" s="105"/>
      <c r="BP986" s="105"/>
      <c r="BQ986" s="105"/>
      <c r="BR986" s="105"/>
      <c r="BS986" s="105"/>
      <c r="BT986" s="105"/>
      <c r="BU986" s="105"/>
      <c r="BV986" s="105"/>
      <c r="BW986" s="105"/>
      <c r="BX986" s="105"/>
      <c r="BY986" s="105"/>
      <c r="BZ986" s="105"/>
      <c r="CA986" s="105"/>
      <c r="CB986" s="105"/>
      <c r="CC986" s="105"/>
      <c r="CD986" s="105"/>
      <c r="CE986" s="105"/>
      <c r="CF986" s="105"/>
      <c r="CG986" s="105"/>
      <c r="CH986" s="105"/>
      <c r="CI986" s="105"/>
      <c r="CJ986" s="105"/>
      <c r="CK986" s="105"/>
      <c r="CL986" s="105"/>
      <c r="CM986" s="105"/>
      <c r="CN986" s="105"/>
      <c r="CO986" s="105"/>
      <c r="CP986" s="105"/>
      <c r="CQ986" s="105"/>
      <c r="CR986" s="105"/>
      <c r="CS986" s="105"/>
      <c r="CT986" s="105"/>
      <c r="CU986" s="105"/>
      <c r="CV986" s="105"/>
      <c r="CW986" s="105"/>
      <c r="CX986" s="105"/>
      <c r="CY986" s="105"/>
      <c r="CZ986" s="105"/>
      <c r="DA986" s="105"/>
    </row>
    <row r="987">
      <c r="B987" s="105"/>
      <c r="F987" s="105"/>
      <c r="G987" s="105"/>
      <c r="H987" s="105"/>
      <c r="I987" s="105"/>
      <c r="J987" s="105"/>
      <c r="K987" s="105"/>
      <c r="L987" s="105"/>
      <c r="M987" s="105"/>
      <c r="N987" s="105"/>
      <c r="O987" s="105"/>
      <c r="P987" s="105"/>
      <c r="Q987" s="105"/>
      <c r="R987" s="105"/>
      <c r="S987" s="105"/>
      <c r="T987" s="105"/>
      <c r="U987" s="105"/>
      <c r="V987" s="105"/>
      <c r="W987" s="105"/>
      <c r="X987" s="105"/>
      <c r="Y987" s="105"/>
      <c r="Z987" s="105"/>
      <c r="AA987" s="105"/>
      <c r="AB987" s="105"/>
      <c r="AC987" s="105"/>
      <c r="AD987" s="105"/>
      <c r="AE987" s="105"/>
      <c r="AF987" s="105"/>
      <c r="AG987" s="105"/>
      <c r="AH987" s="105"/>
      <c r="AI987" s="105"/>
      <c r="AJ987" s="105"/>
      <c r="AK987" s="105"/>
      <c r="AL987" s="105"/>
      <c r="AM987" s="105"/>
      <c r="AN987" s="105"/>
      <c r="AO987" s="105"/>
      <c r="AP987" s="105"/>
      <c r="AQ987" s="105"/>
      <c r="AR987" s="105"/>
      <c r="AS987" s="105"/>
      <c r="AT987" s="105"/>
      <c r="AU987" s="105"/>
      <c r="AV987" s="105"/>
      <c r="AW987" s="105"/>
      <c r="AX987" s="105"/>
      <c r="AY987" s="105"/>
      <c r="AZ987" s="105"/>
      <c r="BA987" s="105"/>
      <c r="BB987" s="105"/>
      <c r="BC987" s="105"/>
      <c r="BD987" s="105"/>
      <c r="BE987" s="105"/>
      <c r="BF987" s="105"/>
      <c r="BG987" s="105"/>
      <c r="BH987" s="105"/>
      <c r="BI987" s="105"/>
      <c r="BJ987" s="105"/>
      <c r="BK987" s="105"/>
      <c r="BL987" s="105"/>
      <c r="BM987" s="105"/>
      <c r="BN987" s="105"/>
      <c r="BO987" s="105"/>
      <c r="BP987" s="105"/>
      <c r="BQ987" s="105"/>
      <c r="BR987" s="105"/>
      <c r="BS987" s="105"/>
      <c r="BT987" s="105"/>
      <c r="BU987" s="105"/>
      <c r="BV987" s="105"/>
      <c r="BW987" s="105"/>
      <c r="BX987" s="105"/>
      <c r="BY987" s="105"/>
      <c r="BZ987" s="105"/>
      <c r="CA987" s="105"/>
      <c r="CB987" s="105"/>
      <c r="CC987" s="105"/>
      <c r="CD987" s="105"/>
      <c r="CE987" s="105"/>
      <c r="CF987" s="105"/>
      <c r="CG987" s="105"/>
      <c r="CH987" s="105"/>
      <c r="CI987" s="105"/>
      <c r="CJ987" s="105"/>
      <c r="CK987" s="105"/>
      <c r="CL987" s="105"/>
      <c r="CM987" s="105"/>
      <c r="CN987" s="105"/>
      <c r="CO987" s="105"/>
      <c r="CP987" s="105"/>
      <c r="CQ987" s="105"/>
      <c r="CR987" s="105"/>
      <c r="CS987" s="105"/>
      <c r="CT987" s="105"/>
      <c r="CU987" s="105"/>
      <c r="CV987" s="105"/>
      <c r="CW987" s="105"/>
      <c r="CX987" s="105"/>
      <c r="CY987" s="105"/>
      <c r="CZ987" s="105"/>
      <c r="DA987" s="105"/>
    </row>
    <row r="988">
      <c r="B988" s="105"/>
      <c r="F988" s="105"/>
      <c r="G988" s="105"/>
      <c r="H988" s="105"/>
      <c r="I988" s="105"/>
      <c r="J988" s="105"/>
      <c r="K988" s="105"/>
      <c r="L988" s="105"/>
      <c r="M988" s="105"/>
      <c r="N988" s="105"/>
      <c r="O988" s="105"/>
      <c r="P988" s="105"/>
      <c r="Q988" s="105"/>
      <c r="R988" s="105"/>
      <c r="S988" s="105"/>
      <c r="T988" s="105"/>
      <c r="U988" s="105"/>
      <c r="V988" s="105"/>
      <c r="W988" s="105"/>
      <c r="X988" s="105"/>
      <c r="Y988" s="105"/>
      <c r="Z988" s="105"/>
      <c r="AA988" s="105"/>
      <c r="AB988" s="105"/>
      <c r="AC988" s="105"/>
      <c r="AD988" s="105"/>
      <c r="AE988" s="105"/>
      <c r="AF988" s="105"/>
      <c r="AG988" s="105"/>
      <c r="AH988" s="105"/>
      <c r="AI988" s="105"/>
      <c r="AJ988" s="105"/>
      <c r="AK988" s="105"/>
      <c r="AL988" s="105"/>
      <c r="AM988" s="105"/>
      <c r="AN988" s="105"/>
      <c r="AO988" s="105"/>
      <c r="AP988" s="105"/>
      <c r="AQ988" s="105"/>
      <c r="AR988" s="105"/>
      <c r="AS988" s="105"/>
      <c r="AT988" s="105"/>
      <c r="AU988" s="105"/>
      <c r="AV988" s="105"/>
      <c r="AW988" s="105"/>
      <c r="AX988" s="105"/>
      <c r="AY988" s="105"/>
      <c r="AZ988" s="105"/>
      <c r="BA988" s="105"/>
      <c r="BB988" s="105"/>
      <c r="BC988" s="105"/>
      <c r="BD988" s="105"/>
      <c r="BE988" s="105"/>
      <c r="BF988" s="105"/>
      <c r="BG988" s="105"/>
      <c r="BH988" s="105"/>
      <c r="BI988" s="105"/>
      <c r="BJ988" s="105"/>
      <c r="BK988" s="105"/>
      <c r="BL988" s="105"/>
      <c r="BM988" s="105"/>
      <c r="BN988" s="105"/>
      <c r="BO988" s="105"/>
      <c r="BP988" s="105"/>
      <c r="BQ988" s="105"/>
      <c r="BR988" s="105"/>
      <c r="BS988" s="105"/>
      <c r="BT988" s="105"/>
      <c r="BU988" s="105"/>
      <c r="BV988" s="105"/>
      <c r="BW988" s="105"/>
      <c r="BX988" s="105"/>
      <c r="BY988" s="105"/>
      <c r="BZ988" s="105"/>
      <c r="CA988" s="105"/>
      <c r="CB988" s="105"/>
      <c r="CC988" s="105"/>
      <c r="CD988" s="105"/>
      <c r="CE988" s="105"/>
      <c r="CF988" s="105"/>
      <c r="CG988" s="105"/>
      <c r="CH988" s="105"/>
      <c r="CI988" s="105"/>
      <c r="CJ988" s="105"/>
      <c r="CK988" s="105"/>
      <c r="CL988" s="105"/>
      <c r="CM988" s="105"/>
      <c r="CN988" s="105"/>
      <c r="CO988" s="105"/>
      <c r="CP988" s="105"/>
      <c r="CQ988" s="105"/>
      <c r="CR988" s="105"/>
      <c r="CS988" s="105"/>
      <c r="CT988" s="105"/>
      <c r="CU988" s="105"/>
      <c r="CV988" s="105"/>
      <c r="CW988" s="105"/>
      <c r="CX988" s="105"/>
      <c r="CY988" s="105"/>
      <c r="CZ988" s="105"/>
      <c r="DA988" s="105"/>
    </row>
    <row r="989">
      <c r="B989" s="105"/>
      <c r="F989" s="105"/>
      <c r="G989" s="105"/>
      <c r="H989" s="105"/>
      <c r="I989" s="105"/>
      <c r="J989" s="105"/>
      <c r="K989" s="105"/>
      <c r="L989" s="105"/>
      <c r="M989" s="105"/>
      <c r="N989" s="105"/>
      <c r="O989" s="105"/>
      <c r="P989" s="105"/>
      <c r="Q989" s="105"/>
      <c r="R989" s="105"/>
      <c r="S989" s="105"/>
      <c r="T989" s="105"/>
      <c r="U989" s="105"/>
      <c r="V989" s="105"/>
      <c r="W989" s="105"/>
      <c r="X989" s="105"/>
      <c r="Y989" s="105"/>
      <c r="Z989" s="105"/>
      <c r="AA989" s="105"/>
      <c r="AB989" s="105"/>
      <c r="AC989" s="105"/>
      <c r="AD989" s="105"/>
      <c r="AE989" s="105"/>
      <c r="AF989" s="105"/>
      <c r="AG989" s="105"/>
      <c r="AH989" s="105"/>
      <c r="AI989" s="105"/>
      <c r="AJ989" s="105"/>
      <c r="AK989" s="105"/>
      <c r="AL989" s="105"/>
      <c r="AM989" s="105"/>
      <c r="AN989" s="105"/>
      <c r="AO989" s="105"/>
      <c r="AP989" s="105"/>
      <c r="AQ989" s="105"/>
      <c r="AR989" s="105"/>
      <c r="AS989" s="105"/>
      <c r="AT989" s="105"/>
      <c r="AU989" s="105"/>
      <c r="AV989" s="105"/>
      <c r="AW989" s="105"/>
      <c r="AX989" s="105"/>
      <c r="AY989" s="105"/>
      <c r="AZ989" s="105"/>
      <c r="BA989" s="105"/>
      <c r="BB989" s="105"/>
      <c r="BC989" s="105"/>
      <c r="BD989" s="105"/>
      <c r="BE989" s="105"/>
      <c r="BF989" s="105"/>
      <c r="BG989" s="105"/>
      <c r="BH989" s="105"/>
      <c r="BI989" s="105"/>
      <c r="BJ989" s="105"/>
      <c r="BK989" s="105"/>
      <c r="BL989" s="105"/>
      <c r="BM989" s="105"/>
      <c r="BN989" s="105"/>
      <c r="BO989" s="105"/>
      <c r="BP989" s="105"/>
      <c r="BQ989" s="105"/>
      <c r="BR989" s="105"/>
      <c r="BS989" s="105"/>
      <c r="BT989" s="105"/>
      <c r="BU989" s="105"/>
      <c r="BV989" s="105"/>
      <c r="BW989" s="105"/>
      <c r="BX989" s="105"/>
      <c r="BY989" s="105"/>
      <c r="BZ989" s="105"/>
      <c r="CA989" s="105"/>
      <c r="CB989" s="105"/>
      <c r="CC989" s="105"/>
      <c r="CD989" s="105"/>
      <c r="CE989" s="105"/>
      <c r="CF989" s="105"/>
      <c r="CG989" s="105"/>
      <c r="CH989" s="105"/>
      <c r="CI989" s="105"/>
      <c r="CJ989" s="105"/>
      <c r="CK989" s="105"/>
      <c r="CL989" s="105"/>
      <c r="CM989" s="105"/>
      <c r="CN989" s="105"/>
      <c r="CO989" s="105"/>
      <c r="CP989" s="105"/>
      <c r="CQ989" s="105"/>
      <c r="CR989" s="105"/>
      <c r="CS989" s="105"/>
      <c r="CT989" s="105"/>
      <c r="CU989" s="105"/>
      <c r="CV989" s="105"/>
      <c r="CW989" s="105"/>
      <c r="CX989" s="105"/>
      <c r="CY989" s="105"/>
      <c r="CZ989" s="105"/>
      <c r="DA989" s="105"/>
    </row>
    <row r="990">
      <c r="B990" s="105"/>
      <c r="F990" s="105"/>
      <c r="G990" s="105"/>
      <c r="H990" s="105"/>
      <c r="I990" s="105"/>
      <c r="J990" s="105"/>
      <c r="K990" s="105"/>
      <c r="L990" s="105"/>
      <c r="M990" s="105"/>
      <c r="N990" s="105"/>
      <c r="O990" s="105"/>
      <c r="P990" s="105"/>
      <c r="Q990" s="105"/>
      <c r="R990" s="105"/>
      <c r="S990" s="105"/>
      <c r="T990" s="105"/>
      <c r="U990" s="105"/>
      <c r="V990" s="105"/>
      <c r="W990" s="105"/>
      <c r="X990" s="105"/>
      <c r="Y990" s="105"/>
      <c r="Z990" s="105"/>
      <c r="AA990" s="105"/>
      <c r="AB990" s="105"/>
      <c r="AC990" s="105"/>
      <c r="AD990" s="105"/>
      <c r="AE990" s="105"/>
      <c r="AF990" s="105"/>
      <c r="AG990" s="105"/>
      <c r="AH990" s="105"/>
      <c r="AI990" s="105"/>
      <c r="AJ990" s="105"/>
      <c r="AK990" s="105"/>
      <c r="AL990" s="105"/>
      <c r="AM990" s="105"/>
      <c r="AN990" s="105"/>
      <c r="AO990" s="105"/>
      <c r="AP990" s="105"/>
      <c r="AQ990" s="105"/>
      <c r="AR990" s="105"/>
      <c r="AS990" s="105"/>
      <c r="AT990" s="105"/>
      <c r="AU990" s="105"/>
      <c r="AV990" s="105"/>
      <c r="AW990" s="105"/>
      <c r="AX990" s="105"/>
      <c r="AY990" s="105"/>
      <c r="AZ990" s="105"/>
      <c r="BA990" s="105"/>
      <c r="BB990" s="105"/>
      <c r="BC990" s="105"/>
      <c r="BD990" s="105"/>
      <c r="BE990" s="105"/>
      <c r="BF990" s="105"/>
      <c r="BG990" s="105"/>
      <c r="BH990" s="105"/>
      <c r="BI990" s="105"/>
      <c r="BJ990" s="105"/>
      <c r="BK990" s="105"/>
      <c r="BL990" s="105"/>
      <c r="BM990" s="105"/>
      <c r="BN990" s="105"/>
      <c r="BO990" s="105"/>
      <c r="BP990" s="105"/>
      <c r="BQ990" s="105"/>
      <c r="BR990" s="105"/>
      <c r="BS990" s="105"/>
      <c r="BT990" s="105"/>
      <c r="BU990" s="105"/>
      <c r="BV990" s="105"/>
      <c r="BW990" s="105"/>
      <c r="BX990" s="105"/>
      <c r="BY990" s="105"/>
      <c r="BZ990" s="105"/>
      <c r="CA990" s="105"/>
      <c r="CB990" s="105"/>
      <c r="CC990" s="105"/>
      <c r="CD990" s="105"/>
      <c r="CE990" s="105"/>
      <c r="CF990" s="105"/>
      <c r="CG990" s="105"/>
      <c r="CH990" s="105"/>
      <c r="CI990" s="105"/>
      <c r="CJ990" s="105"/>
      <c r="CK990" s="105"/>
      <c r="CL990" s="105"/>
      <c r="CM990" s="105"/>
      <c r="CN990" s="105"/>
      <c r="CO990" s="105"/>
      <c r="CP990" s="105"/>
      <c r="CQ990" s="105"/>
      <c r="CR990" s="105"/>
      <c r="CS990" s="105"/>
      <c r="CT990" s="105"/>
      <c r="CU990" s="105"/>
      <c r="CV990" s="105"/>
      <c r="CW990" s="105"/>
      <c r="CX990" s="105"/>
      <c r="CY990" s="105"/>
      <c r="CZ990" s="105"/>
      <c r="DA990" s="105"/>
    </row>
    <row r="991">
      <c r="B991" s="105"/>
      <c r="F991" s="105"/>
      <c r="G991" s="105"/>
      <c r="H991" s="105"/>
      <c r="I991" s="105"/>
      <c r="J991" s="105"/>
      <c r="K991" s="105"/>
      <c r="L991" s="105"/>
      <c r="M991" s="105"/>
      <c r="N991" s="105"/>
      <c r="O991" s="105"/>
      <c r="P991" s="105"/>
      <c r="Q991" s="105"/>
      <c r="R991" s="105"/>
      <c r="S991" s="105"/>
      <c r="T991" s="105"/>
      <c r="U991" s="105"/>
      <c r="V991" s="105"/>
      <c r="W991" s="105"/>
      <c r="X991" s="105"/>
      <c r="Y991" s="105"/>
      <c r="Z991" s="105"/>
      <c r="AA991" s="105"/>
      <c r="AB991" s="105"/>
      <c r="AC991" s="105"/>
      <c r="AD991" s="105"/>
      <c r="AE991" s="105"/>
      <c r="AF991" s="105"/>
      <c r="AG991" s="105"/>
      <c r="AH991" s="105"/>
      <c r="AI991" s="105"/>
      <c r="AJ991" s="105"/>
      <c r="AK991" s="105"/>
      <c r="AL991" s="105"/>
      <c r="AM991" s="105"/>
      <c r="AN991" s="105"/>
      <c r="AO991" s="105"/>
      <c r="AP991" s="105"/>
      <c r="AQ991" s="105"/>
      <c r="AR991" s="105"/>
      <c r="AS991" s="105"/>
      <c r="AT991" s="105"/>
      <c r="AU991" s="105"/>
      <c r="AV991" s="105"/>
      <c r="AW991" s="105"/>
      <c r="AX991" s="105"/>
      <c r="AY991" s="105"/>
      <c r="AZ991" s="105"/>
      <c r="BA991" s="105"/>
      <c r="BB991" s="105"/>
      <c r="BC991" s="105"/>
      <c r="BD991" s="105"/>
      <c r="BE991" s="105"/>
      <c r="BF991" s="105"/>
      <c r="BG991" s="105"/>
      <c r="BH991" s="105"/>
      <c r="BI991" s="105"/>
      <c r="BJ991" s="105"/>
      <c r="BK991" s="105"/>
      <c r="BL991" s="105"/>
      <c r="BM991" s="105"/>
      <c r="BN991" s="105"/>
      <c r="BO991" s="105"/>
      <c r="BP991" s="105"/>
      <c r="BQ991" s="105"/>
      <c r="BR991" s="105"/>
      <c r="BS991" s="105"/>
      <c r="BT991" s="105"/>
      <c r="BU991" s="105"/>
      <c r="BV991" s="105"/>
      <c r="BW991" s="105"/>
      <c r="BX991" s="105"/>
      <c r="BY991" s="105"/>
      <c r="BZ991" s="105"/>
      <c r="CA991" s="105"/>
      <c r="CB991" s="105"/>
      <c r="CC991" s="105"/>
      <c r="CD991" s="105"/>
      <c r="CE991" s="105"/>
      <c r="CF991" s="105"/>
      <c r="CG991" s="105"/>
      <c r="CH991" s="105"/>
      <c r="CI991" s="105"/>
      <c r="CJ991" s="105"/>
      <c r="CK991" s="105"/>
      <c r="CL991" s="105"/>
      <c r="CM991" s="105"/>
      <c r="CN991" s="105"/>
      <c r="CO991" s="105"/>
      <c r="CP991" s="105"/>
      <c r="CQ991" s="105"/>
      <c r="CR991" s="105"/>
      <c r="CS991" s="105"/>
      <c r="CT991" s="105"/>
      <c r="CU991" s="105"/>
      <c r="CV991" s="105"/>
      <c r="CW991" s="105"/>
      <c r="CX991" s="105"/>
      <c r="CY991" s="105"/>
      <c r="CZ991" s="105"/>
      <c r="DA991" s="105"/>
    </row>
    <row r="992">
      <c r="B992" s="105"/>
      <c r="F992" s="105"/>
      <c r="G992" s="105"/>
      <c r="H992" s="105"/>
      <c r="I992" s="105"/>
      <c r="J992" s="105"/>
      <c r="K992" s="105"/>
      <c r="L992" s="105"/>
      <c r="M992" s="105"/>
      <c r="N992" s="105"/>
      <c r="O992" s="105"/>
      <c r="P992" s="105"/>
      <c r="Q992" s="105"/>
      <c r="R992" s="105"/>
      <c r="S992" s="105"/>
      <c r="T992" s="105"/>
      <c r="U992" s="105"/>
      <c r="V992" s="105"/>
      <c r="W992" s="105"/>
      <c r="X992" s="105"/>
      <c r="Y992" s="105"/>
      <c r="Z992" s="105"/>
      <c r="AA992" s="105"/>
      <c r="AB992" s="105"/>
      <c r="AC992" s="105"/>
      <c r="AD992" s="105"/>
      <c r="AE992" s="105"/>
      <c r="AF992" s="105"/>
      <c r="AG992" s="105"/>
      <c r="AH992" s="105"/>
      <c r="AI992" s="105"/>
      <c r="AJ992" s="105"/>
      <c r="AK992" s="105"/>
      <c r="AL992" s="105"/>
      <c r="AM992" s="105"/>
      <c r="AN992" s="105"/>
      <c r="AO992" s="105"/>
      <c r="AP992" s="105"/>
      <c r="AQ992" s="105"/>
      <c r="AR992" s="105"/>
      <c r="AS992" s="105"/>
      <c r="AT992" s="105"/>
      <c r="AU992" s="105"/>
      <c r="AV992" s="105"/>
      <c r="AW992" s="105"/>
      <c r="AX992" s="105"/>
      <c r="AY992" s="105"/>
      <c r="AZ992" s="105"/>
      <c r="BA992" s="105"/>
      <c r="BB992" s="105"/>
      <c r="BC992" s="105"/>
      <c r="BD992" s="105"/>
      <c r="BE992" s="105"/>
      <c r="BF992" s="105"/>
      <c r="BG992" s="105"/>
      <c r="BH992" s="105"/>
      <c r="BI992" s="105"/>
      <c r="BJ992" s="105"/>
      <c r="BK992" s="105"/>
      <c r="BL992" s="105"/>
      <c r="BM992" s="105"/>
      <c r="BN992" s="105"/>
      <c r="BO992" s="105"/>
      <c r="BP992" s="105"/>
      <c r="BQ992" s="105"/>
      <c r="BR992" s="105"/>
      <c r="BS992" s="105"/>
      <c r="BT992" s="105"/>
      <c r="BU992" s="105"/>
      <c r="BV992" s="105"/>
      <c r="BW992" s="105"/>
      <c r="BX992" s="105"/>
      <c r="BY992" s="105"/>
      <c r="BZ992" s="105"/>
      <c r="CA992" s="105"/>
      <c r="CB992" s="105"/>
      <c r="CC992" s="105"/>
      <c r="CD992" s="105"/>
      <c r="CE992" s="105"/>
      <c r="CF992" s="105"/>
      <c r="CG992" s="105"/>
      <c r="CH992" s="105"/>
      <c r="CI992" s="105"/>
      <c r="CJ992" s="105"/>
      <c r="CK992" s="105"/>
      <c r="CL992" s="105"/>
      <c r="CM992" s="105"/>
      <c r="CN992" s="105"/>
      <c r="CO992" s="105"/>
      <c r="CP992" s="105"/>
      <c r="CQ992" s="105"/>
      <c r="CR992" s="105"/>
      <c r="CS992" s="105"/>
      <c r="CT992" s="105"/>
      <c r="CU992" s="105"/>
      <c r="CV992" s="105"/>
      <c r="CW992" s="105"/>
      <c r="CX992" s="105"/>
      <c r="CY992" s="105"/>
      <c r="CZ992" s="105"/>
      <c r="DA992" s="105"/>
    </row>
    <row r="993">
      <c r="B993" s="105"/>
      <c r="F993" s="105"/>
      <c r="G993" s="105"/>
      <c r="H993" s="105"/>
      <c r="I993" s="105"/>
      <c r="J993" s="105"/>
      <c r="K993" s="105"/>
      <c r="L993" s="105"/>
      <c r="M993" s="105"/>
      <c r="N993" s="105"/>
      <c r="O993" s="105"/>
      <c r="P993" s="105"/>
      <c r="Q993" s="105"/>
      <c r="R993" s="105"/>
      <c r="S993" s="105"/>
      <c r="T993" s="105"/>
      <c r="U993" s="105"/>
      <c r="V993" s="105"/>
      <c r="W993" s="105"/>
      <c r="X993" s="105"/>
      <c r="Y993" s="105"/>
      <c r="Z993" s="105"/>
      <c r="AA993" s="105"/>
      <c r="AB993" s="105"/>
      <c r="AC993" s="105"/>
      <c r="AD993" s="105"/>
      <c r="AE993" s="105"/>
      <c r="AF993" s="105"/>
      <c r="AG993" s="105"/>
      <c r="AH993" s="105"/>
      <c r="AI993" s="105"/>
      <c r="AJ993" s="105"/>
      <c r="AK993" s="105"/>
      <c r="AL993" s="105"/>
      <c r="AM993" s="105"/>
      <c r="AN993" s="105"/>
      <c r="AO993" s="105"/>
      <c r="AP993" s="105"/>
      <c r="AQ993" s="105"/>
      <c r="AR993" s="105"/>
      <c r="AS993" s="105"/>
      <c r="AT993" s="105"/>
      <c r="AU993" s="105"/>
      <c r="AV993" s="105"/>
      <c r="AW993" s="105"/>
      <c r="AX993" s="105"/>
      <c r="AY993" s="105"/>
      <c r="AZ993" s="105"/>
      <c r="BA993" s="105"/>
      <c r="BB993" s="105"/>
      <c r="BC993" s="105"/>
      <c r="BD993" s="105"/>
      <c r="BE993" s="105"/>
      <c r="BF993" s="105"/>
      <c r="BG993" s="105"/>
      <c r="BH993" s="105"/>
      <c r="BI993" s="105"/>
      <c r="BJ993" s="105"/>
      <c r="BK993" s="105"/>
      <c r="BL993" s="105"/>
      <c r="BM993" s="105"/>
      <c r="BN993" s="105"/>
      <c r="BO993" s="105"/>
      <c r="BP993" s="105"/>
      <c r="BQ993" s="105"/>
      <c r="BR993" s="105"/>
      <c r="BS993" s="105"/>
      <c r="BT993" s="105"/>
      <c r="BU993" s="105"/>
      <c r="BV993" s="105"/>
      <c r="BW993" s="105"/>
      <c r="BX993" s="105"/>
      <c r="BY993" s="105"/>
      <c r="BZ993" s="105"/>
      <c r="CA993" s="105"/>
      <c r="CB993" s="105"/>
      <c r="CC993" s="105"/>
      <c r="CD993" s="105"/>
      <c r="CE993" s="105"/>
      <c r="CF993" s="105"/>
      <c r="CG993" s="105"/>
      <c r="CH993" s="105"/>
      <c r="CI993" s="105"/>
      <c r="CJ993" s="105"/>
      <c r="CK993" s="105"/>
      <c r="CL993" s="105"/>
      <c r="CM993" s="105"/>
      <c r="CN993" s="105"/>
      <c r="CO993" s="105"/>
      <c r="CP993" s="105"/>
      <c r="CQ993" s="105"/>
      <c r="CR993" s="105"/>
      <c r="CS993" s="105"/>
      <c r="CT993" s="105"/>
      <c r="CU993" s="105"/>
      <c r="CV993" s="105"/>
      <c r="CW993" s="105"/>
      <c r="CX993" s="105"/>
      <c r="CY993" s="105"/>
      <c r="CZ993" s="105"/>
      <c r="DA993" s="105"/>
    </row>
    <row r="994">
      <c r="B994" s="105"/>
      <c r="F994" s="105"/>
      <c r="G994" s="105"/>
      <c r="H994" s="105"/>
      <c r="I994" s="105"/>
      <c r="J994" s="105"/>
      <c r="K994" s="105"/>
      <c r="L994" s="105"/>
      <c r="M994" s="105"/>
      <c r="N994" s="105"/>
      <c r="O994" s="105"/>
      <c r="P994" s="105"/>
      <c r="Q994" s="105"/>
      <c r="R994" s="105"/>
      <c r="S994" s="105"/>
      <c r="T994" s="105"/>
      <c r="U994" s="105"/>
      <c r="V994" s="105"/>
      <c r="W994" s="105"/>
      <c r="X994" s="105"/>
      <c r="Y994" s="105"/>
      <c r="Z994" s="105"/>
      <c r="AA994" s="105"/>
      <c r="AB994" s="105"/>
      <c r="AC994" s="105"/>
      <c r="AD994" s="105"/>
      <c r="AE994" s="105"/>
      <c r="AF994" s="105"/>
      <c r="AG994" s="105"/>
      <c r="AH994" s="105"/>
      <c r="AI994" s="105"/>
      <c r="AJ994" s="105"/>
      <c r="AK994" s="105"/>
      <c r="AL994" s="105"/>
      <c r="AM994" s="105"/>
      <c r="AN994" s="105"/>
      <c r="AO994" s="105"/>
      <c r="AP994" s="105"/>
      <c r="AQ994" s="105"/>
      <c r="AR994" s="105"/>
      <c r="AS994" s="105"/>
      <c r="AT994" s="105"/>
      <c r="AU994" s="105"/>
      <c r="AV994" s="105"/>
      <c r="AW994" s="105"/>
      <c r="AX994" s="105"/>
      <c r="AY994" s="105"/>
      <c r="AZ994" s="105"/>
      <c r="BA994" s="105"/>
      <c r="BB994" s="105"/>
      <c r="BC994" s="105"/>
      <c r="BD994" s="105"/>
      <c r="BE994" s="105"/>
      <c r="BF994" s="105"/>
      <c r="BG994" s="105"/>
      <c r="BH994" s="105"/>
      <c r="BI994" s="105"/>
      <c r="BJ994" s="105"/>
      <c r="BK994" s="105"/>
      <c r="BL994" s="105"/>
      <c r="BM994" s="105"/>
      <c r="BN994" s="105"/>
      <c r="BO994" s="105"/>
      <c r="BP994" s="105"/>
      <c r="BQ994" s="105"/>
      <c r="BR994" s="105"/>
      <c r="BS994" s="105"/>
      <c r="BT994" s="105"/>
      <c r="BU994" s="105"/>
      <c r="BV994" s="105"/>
      <c r="BW994" s="105"/>
      <c r="BX994" s="105"/>
      <c r="BY994" s="105"/>
      <c r="BZ994" s="105"/>
      <c r="CA994" s="105"/>
      <c r="CB994" s="105"/>
      <c r="CC994" s="105"/>
      <c r="CD994" s="105"/>
      <c r="CE994" s="105"/>
      <c r="CF994" s="105"/>
      <c r="CG994" s="105"/>
      <c r="CH994" s="105"/>
      <c r="CI994" s="105"/>
      <c r="CJ994" s="105"/>
      <c r="CK994" s="105"/>
      <c r="CL994" s="105"/>
      <c r="CM994" s="105"/>
      <c r="CN994" s="105"/>
      <c r="CO994" s="105"/>
      <c r="CP994" s="105"/>
      <c r="CQ994" s="105"/>
      <c r="CR994" s="105"/>
      <c r="CS994" s="105"/>
      <c r="CT994" s="105"/>
      <c r="CU994" s="105"/>
      <c r="CV994" s="105"/>
      <c r="CW994" s="105"/>
      <c r="CX994" s="105"/>
      <c r="CY994" s="105"/>
      <c r="CZ994" s="105"/>
      <c r="DA994" s="105"/>
    </row>
    <row r="995">
      <c r="B995" s="105"/>
      <c r="F995" s="105"/>
      <c r="G995" s="105"/>
      <c r="H995" s="105"/>
      <c r="I995" s="105"/>
      <c r="J995" s="105"/>
      <c r="K995" s="105"/>
      <c r="L995" s="105"/>
      <c r="M995" s="105"/>
      <c r="N995" s="105"/>
      <c r="O995" s="105"/>
      <c r="P995" s="105"/>
      <c r="Q995" s="105"/>
      <c r="R995" s="105"/>
      <c r="S995" s="105"/>
      <c r="T995" s="105"/>
      <c r="U995" s="105"/>
      <c r="V995" s="105"/>
      <c r="W995" s="105"/>
      <c r="X995" s="105"/>
      <c r="Y995" s="105"/>
      <c r="Z995" s="105"/>
      <c r="AA995" s="105"/>
      <c r="AB995" s="105"/>
      <c r="AC995" s="105"/>
      <c r="AD995" s="105"/>
      <c r="AE995" s="105"/>
      <c r="AF995" s="105"/>
      <c r="AG995" s="105"/>
      <c r="AH995" s="105"/>
      <c r="AI995" s="105"/>
      <c r="AJ995" s="105"/>
      <c r="AK995" s="105"/>
      <c r="AL995" s="105"/>
      <c r="AM995" s="105"/>
      <c r="AN995" s="105"/>
      <c r="AO995" s="105"/>
      <c r="AP995" s="105"/>
      <c r="AQ995" s="105"/>
      <c r="AR995" s="105"/>
      <c r="AS995" s="105"/>
      <c r="AT995" s="105"/>
      <c r="AU995" s="105"/>
      <c r="AV995" s="105"/>
      <c r="AW995" s="105"/>
      <c r="AX995" s="105"/>
      <c r="AY995" s="105"/>
      <c r="AZ995" s="105"/>
      <c r="BA995" s="105"/>
      <c r="BB995" s="105"/>
      <c r="BC995" s="105"/>
      <c r="BD995" s="105"/>
      <c r="BE995" s="105"/>
      <c r="BF995" s="105"/>
      <c r="BG995" s="105"/>
      <c r="BH995" s="105"/>
      <c r="BI995" s="105"/>
      <c r="BJ995" s="105"/>
      <c r="BK995" s="105"/>
      <c r="BL995" s="105"/>
      <c r="BM995" s="105"/>
      <c r="BN995" s="105"/>
      <c r="BO995" s="105"/>
      <c r="BP995" s="105"/>
      <c r="BQ995" s="105"/>
      <c r="BR995" s="105"/>
      <c r="BS995" s="105"/>
      <c r="BT995" s="105"/>
      <c r="BU995" s="105"/>
      <c r="BV995" s="105"/>
      <c r="BW995" s="105"/>
      <c r="BX995" s="105"/>
      <c r="BY995" s="105"/>
      <c r="BZ995" s="105"/>
      <c r="CA995" s="105"/>
      <c r="CB995" s="105"/>
      <c r="CC995" s="105"/>
      <c r="CD995" s="105"/>
      <c r="CE995" s="105"/>
      <c r="CF995" s="105"/>
      <c r="CG995" s="105"/>
      <c r="CH995" s="105"/>
      <c r="CI995" s="105"/>
      <c r="CJ995" s="105"/>
      <c r="CK995" s="105"/>
      <c r="CL995" s="105"/>
      <c r="CM995" s="105"/>
      <c r="CN995" s="105"/>
      <c r="CO995" s="105"/>
      <c r="CP995" s="105"/>
      <c r="CQ995" s="105"/>
      <c r="CR995" s="105"/>
      <c r="CS995" s="105"/>
      <c r="CT995" s="105"/>
      <c r="CU995" s="105"/>
      <c r="CV995" s="105"/>
      <c r="CW995" s="105"/>
      <c r="CX995" s="105"/>
      <c r="CY995" s="105"/>
      <c r="CZ995" s="105"/>
      <c r="DA995" s="105"/>
    </row>
    <row r="996">
      <c r="B996" s="105"/>
      <c r="F996" s="105"/>
      <c r="G996" s="105"/>
      <c r="H996" s="105"/>
      <c r="I996" s="105"/>
      <c r="J996" s="105"/>
      <c r="K996" s="105"/>
      <c r="L996" s="105"/>
      <c r="M996" s="105"/>
      <c r="N996" s="105"/>
      <c r="O996" s="105"/>
      <c r="P996" s="105"/>
      <c r="Q996" s="105"/>
      <c r="R996" s="105"/>
      <c r="S996" s="105"/>
      <c r="T996" s="105"/>
      <c r="U996" s="105"/>
      <c r="V996" s="105"/>
      <c r="W996" s="105"/>
      <c r="X996" s="105"/>
      <c r="Y996" s="105"/>
      <c r="Z996" s="105"/>
      <c r="AA996" s="105"/>
      <c r="AB996" s="105"/>
      <c r="AC996" s="105"/>
      <c r="AD996" s="105"/>
      <c r="AE996" s="105"/>
      <c r="AF996" s="105"/>
      <c r="AG996" s="105"/>
      <c r="AH996" s="105"/>
      <c r="AI996" s="105"/>
      <c r="AJ996" s="105"/>
      <c r="AK996" s="105"/>
      <c r="AL996" s="105"/>
      <c r="AM996" s="105"/>
      <c r="AN996" s="105"/>
      <c r="AO996" s="105"/>
      <c r="AP996" s="105"/>
      <c r="AQ996" s="105"/>
      <c r="AR996" s="105"/>
      <c r="AS996" s="105"/>
      <c r="AT996" s="105"/>
      <c r="AU996" s="105"/>
      <c r="AV996" s="105"/>
      <c r="AW996" s="105"/>
      <c r="AX996" s="105"/>
      <c r="AY996" s="105"/>
      <c r="AZ996" s="105"/>
      <c r="BA996" s="105"/>
      <c r="BB996" s="105"/>
      <c r="BC996" s="105"/>
      <c r="BD996" s="105"/>
      <c r="BE996" s="105"/>
      <c r="BF996" s="105"/>
      <c r="BG996" s="105"/>
      <c r="BH996" s="105"/>
      <c r="BI996" s="105"/>
      <c r="BJ996" s="105"/>
      <c r="BK996" s="105"/>
      <c r="BL996" s="105"/>
      <c r="BM996" s="105"/>
      <c r="BN996" s="105"/>
      <c r="BO996" s="105"/>
      <c r="BP996" s="105"/>
      <c r="BQ996" s="105"/>
      <c r="BR996" s="105"/>
      <c r="BS996" s="105"/>
      <c r="BT996" s="105"/>
      <c r="BU996" s="105"/>
      <c r="BV996" s="105"/>
      <c r="BW996" s="105"/>
      <c r="BX996" s="105"/>
      <c r="BY996" s="105"/>
      <c r="BZ996" s="105"/>
      <c r="CA996" s="105"/>
      <c r="CB996" s="105"/>
      <c r="CC996" s="105"/>
      <c r="CD996" s="105"/>
      <c r="CE996" s="105"/>
      <c r="CF996" s="105"/>
      <c r="CG996" s="105"/>
      <c r="CH996" s="105"/>
      <c r="CI996" s="105"/>
      <c r="CJ996" s="105"/>
      <c r="CK996" s="105"/>
      <c r="CL996" s="105"/>
      <c r="CM996" s="105"/>
      <c r="CN996" s="105"/>
      <c r="CO996" s="105"/>
      <c r="CP996" s="105"/>
      <c r="CQ996" s="105"/>
      <c r="CR996" s="105"/>
      <c r="CS996" s="105"/>
      <c r="CT996" s="105"/>
      <c r="CU996" s="105"/>
      <c r="CV996" s="105"/>
      <c r="CW996" s="105"/>
      <c r="CX996" s="105"/>
      <c r="CY996" s="105"/>
      <c r="CZ996" s="105"/>
      <c r="DA996" s="105"/>
    </row>
    <row r="997">
      <c r="B997" s="105"/>
      <c r="F997" s="105"/>
      <c r="G997" s="105"/>
      <c r="H997" s="105"/>
      <c r="I997" s="105"/>
      <c r="J997" s="105"/>
      <c r="K997" s="105"/>
      <c r="L997" s="105"/>
      <c r="M997" s="105"/>
      <c r="N997" s="105"/>
      <c r="O997" s="105"/>
      <c r="P997" s="105"/>
      <c r="Q997" s="105"/>
      <c r="R997" s="105"/>
      <c r="S997" s="105"/>
      <c r="T997" s="105"/>
      <c r="U997" s="105"/>
      <c r="V997" s="105"/>
      <c r="W997" s="105"/>
      <c r="X997" s="105"/>
      <c r="Y997" s="105"/>
      <c r="Z997" s="105"/>
      <c r="AA997" s="105"/>
      <c r="AB997" s="105"/>
      <c r="AC997" s="105"/>
      <c r="AD997" s="105"/>
      <c r="AE997" s="105"/>
      <c r="AF997" s="105"/>
      <c r="AG997" s="105"/>
      <c r="AH997" s="105"/>
      <c r="AI997" s="105"/>
      <c r="AJ997" s="105"/>
      <c r="AK997" s="105"/>
      <c r="AL997" s="105"/>
      <c r="AM997" s="105"/>
      <c r="AN997" s="105"/>
      <c r="AO997" s="105"/>
      <c r="AP997" s="105"/>
      <c r="AQ997" s="105"/>
      <c r="AR997" s="105"/>
      <c r="AS997" s="105"/>
      <c r="AT997" s="105"/>
      <c r="AU997" s="105"/>
      <c r="AV997" s="105"/>
      <c r="AW997" s="105"/>
      <c r="AX997" s="105"/>
      <c r="AY997" s="105"/>
      <c r="AZ997" s="105"/>
      <c r="BA997" s="105"/>
      <c r="BB997" s="105"/>
      <c r="BC997" s="105"/>
      <c r="BD997" s="105"/>
      <c r="BE997" s="105"/>
      <c r="BF997" s="105"/>
      <c r="BG997" s="105"/>
      <c r="BH997" s="105"/>
      <c r="BI997" s="105"/>
      <c r="BJ997" s="105"/>
      <c r="BK997" s="105"/>
      <c r="BL997" s="105"/>
      <c r="BM997" s="105"/>
      <c r="BN997" s="105"/>
      <c r="BO997" s="105"/>
      <c r="BP997" s="105"/>
      <c r="BQ997" s="105"/>
      <c r="BR997" s="105"/>
      <c r="BS997" s="105"/>
      <c r="BT997" s="105"/>
      <c r="BU997" s="105"/>
      <c r="BV997" s="105"/>
      <c r="BW997" s="105"/>
      <c r="BX997" s="105"/>
      <c r="BY997" s="105"/>
      <c r="BZ997" s="105"/>
      <c r="CA997" s="105"/>
      <c r="CB997" s="105"/>
      <c r="CC997" s="105"/>
      <c r="CD997" s="105"/>
      <c r="CE997" s="105"/>
      <c r="CF997" s="105"/>
      <c r="CG997" s="105"/>
      <c r="CH997" s="105"/>
      <c r="CI997" s="105"/>
      <c r="CJ997" s="105"/>
      <c r="CK997" s="105"/>
      <c r="CL997" s="105"/>
      <c r="CM997" s="105"/>
      <c r="CN997" s="105"/>
      <c r="CO997" s="105"/>
      <c r="CP997" s="105"/>
      <c r="CQ997" s="105"/>
      <c r="CR997" s="105"/>
      <c r="CS997" s="105"/>
      <c r="CT997" s="105"/>
      <c r="CU997" s="105"/>
      <c r="CV997" s="105"/>
      <c r="CW997" s="105"/>
      <c r="CX997" s="105"/>
      <c r="CY997" s="105"/>
      <c r="CZ997" s="105"/>
      <c r="DA997" s="105"/>
    </row>
    <row r="998">
      <c r="B998" s="105"/>
      <c r="F998" s="105"/>
      <c r="G998" s="105"/>
      <c r="H998" s="105"/>
      <c r="I998" s="105"/>
      <c r="J998" s="105"/>
      <c r="K998" s="105"/>
      <c r="L998" s="105"/>
      <c r="M998" s="105"/>
      <c r="N998" s="105"/>
      <c r="O998" s="105"/>
      <c r="P998" s="105"/>
      <c r="Q998" s="105"/>
      <c r="R998" s="105"/>
      <c r="S998" s="105"/>
      <c r="T998" s="105"/>
      <c r="U998" s="105"/>
      <c r="V998" s="105"/>
      <c r="W998" s="105"/>
      <c r="X998" s="105"/>
      <c r="Y998" s="105"/>
      <c r="Z998" s="105"/>
      <c r="AA998" s="105"/>
      <c r="AB998" s="105"/>
      <c r="AC998" s="105"/>
      <c r="AD998" s="105"/>
      <c r="AE998" s="105"/>
      <c r="AF998" s="105"/>
      <c r="AG998" s="105"/>
      <c r="AH998" s="105"/>
      <c r="AI998" s="105"/>
      <c r="AJ998" s="105"/>
      <c r="AK998" s="105"/>
      <c r="AL998" s="105"/>
      <c r="AM998" s="105"/>
      <c r="AN998" s="105"/>
      <c r="AO998" s="105"/>
      <c r="AP998" s="105"/>
      <c r="AQ998" s="105"/>
      <c r="AR998" s="105"/>
      <c r="AS998" s="105"/>
      <c r="AT998" s="105"/>
      <c r="AU998" s="105"/>
      <c r="AV998" s="105"/>
      <c r="AW998" s="105"/>
      <c r="AX998" s="105"/>
      <c r="AY998" s="105"/>
      <c r="AZ998" s="105"/>
      <c r="BA998" s="105"/>
      <c r="BB998" s="105"/>
      <c r="BC998" s="105"/>
      <c r="BD998" s="105"/>
      <c r="BE998" s="105"/>
      <c r="BF998" s="105"/>
      <c r="BG998" s="105"/>
      <c r="BH998" s="105"/>
      <c r="BI998" s="105"/>
      <c r="BJ998" s="105"/>
      <c r="BK998" s="105"/>
      <c r="BL998" s="105"/>
      <c r="BM998" s="105"/>
      <c r="BN998" s="105"/>
      <c r="BO998" s="105"/>
      <c r="BP998" s="105"/>
      <c r="BQ998" s="105"/>
      <c r="BR998" s="105"/>
      <c r="BS998" s="105"/>
      <c r="BT998" s="105"/>
      <c r="BU998" s="105"/>
      <c r="BV998" s="105"/>
      <c r="BW998" s="105"/>
      <c r="BX998" s="105"/>
      <c r="BY998" s="105"/>
      <c r="BZ998" s="105"/>
      <c r="CA998" s="105"/>
      <c r="CB998" s="105"/>
      <c r="CC998" s="105"/>
      <c r="CD998" s="105"/>
      <c r="CE998" s="105"/>
      <c r="CF998" s="105"/>
      <c r="CG998" s="105"/>
      <c r="CH998" s="105"/>
      <c r="CI998" s="105"/>
      <c r="CJ998" s="105"/>
      <c r="CK998" s="105"/>
      <c r="CL998" s="105"/>
      <c r="CM998" s="105"/>
      <c r="CN998" s="105"/>
      <c r="CO998" s="105"/>
      <c r="CP998" s="105"/>
      <c r="CQ998" s="105"/>
      <c r="CR998" s="105"/>
      <c r="CS998" s="105"/>
      <c r="CT998" s="105"/>
      <c r="CU998" s="105"/>
      <c r="CV998" s="105"/>
      <c r="CW998" s="105"/>
      <c r="CX998" s="105"/>
      <c r="CY998" s="105"/>
      <c r="CZ998" s="105"/>
      <c r="DA998" s="105"/>
    </row>
    <row r="999">
      <c r="B999" s="105"/>
      <c r="F999" s="105"/>
      <c r="G999" s="105"/>
      <c r="H999" s="105"/>
      <c r="I999" s="105"/>
      <c r="J999" s="105"/>
      <c r="K999" s="105"/>
      <c r="L999" s="105"/>
      <c r="M999" s="105"/>
      <c r="N999" s="105"/>
      <c r="O999" s="105"/>
      <c r="P999" s="105"/>
      <c r="Q999" s="105"/>
      <c r="R999" s="105"/>
      <c r="S999" s="105"/>
      <c r="T999" s="105"/>
      <c r="U999" s="105"/>
      <c r="V999" s="105"/>
      <c r="W999" s="105"/>
      <c r="X999" s="105"/>
      <c r="Y999" s="105"/>
      <c r="Z999" s="105"/>
      <c r="AA999" s="105"/>
      <c r="AB999" s="105"/>
      <c r="AC999" s="105"/>
      <c r="AD999" s="105"/>
      <c r="AE999" s="105"/>
      <c r="AF999" s="105"/>
      <c r="AG999" s="105"/>
      <c r="AH999" s="105"/>
      <c r="AI999" s="105"/>
      <c r="AJ999" s="105"/>
      <c r="AK999" s="105"/>
      <c r="AL999" s="105"/>
      <c r="AM999" s="105"/>
      <c r="AN999" s="105"/>
      <c r="AO999" s="105"/>
      <c r="AP999" s="105"/>
      <c r="AQ999" s="105"/>
      <c r="AR999" s="105"/>
      <c r="AS999" s="105"/>
      <c r="AT999" s="105"/>
      <c r="AU999" s="105"/>
      <c r="AV999" s="105"/>
      <c r="AW999" s="105"/>
      <c r="AX999" s="105"/>
      <c r="AY999" s="105"/>
      <c r="AZ999" s="105"/>
      <c r="BA999" s="105"/>
      <c r="BB999" s="105"/>
      <c r="BC999" s="105"/>
      <c r="BD999" s="105"/>
      <c r="BE999" s="105"/>
      <c r="BF999" s="105"/>
      <c r="BG999" s="105"/>
      <c r="BH999" s="105"/>
      <c r="BI999" s="105"/>
      <c r="BJ999" s="105"/>
      <c r="BK999" s="105"/>
      <c r="BL999" s="105"/>
      <c r="BM999" s="105"/>
      <c r="BN999" s="105"/>
      <c r="BO999" s="105"/>
      <c r="BP999" s="105"/>
      <c r="BQ999" s="105"/>
      <c r="BR999" s="105"/>
      <c r="BS999" s="105"/>
      <c r="BT999" s="105"/>
      <c r="BU999" s="105"/>
      <c r="BV999" s="105"/>
      <c r="BW999" s="105"/>
      <c r="BX999" s="105"/>
      <c r="BY999" s="105"/>
      <c r="BZ999" s="105"/>
      <c r="CA999" s="105"/>
      <c r="CB999" s="105"/>
      <c r="CC999" s="105"/>
      <c r="CD999" s="105"/>
      <c r="CE999" s="105"/>
      <c r="CF999" s="105"/>
      <c r="CG999" s="105"/>
      <c r="CH999" s="105"/>
      <c r="CI999" s="105"/>
      <c r="CJ999" s="105"/>
      <c r="CK999" s="105"/>
      <c r="CL999" s="105"/>
      <c r="CM999" s="105"/>
      <c r="CN999" s="105"/>
      <c r="CO999" s="105"/>
      <c r="CP999" s="105"/>
      <c r="CQ999" s="105"/>
      <c r="CR999" s="105"/>
      <c r="CS999" s="105"/>
      <c r="CT999" s="105"/>
      <c r="CU999" s="105"/>
      <c r="CV999" s="105"/>
      <c r="CW999" s="105"/>
      <c r="CX999" s="105"/>
      <c r="CY999" s="105"/>
      <c r="CZ999" s="105"/>
      <c r="DA999" s="105"/>
    </row>
  </sheetData>
  <mergeCells count="16">
    <mergeCell ref="A1:A2"/>
    <mergeCell ref="B1:B2"/>
    <mergeCell ref="C1:C2"/>
    <mergeCell ref="D1:D2"/>
    <mergeCell ref="E1:E2"/>
    <mergeCell ref="GZ1:HB1"/>
    <mergeCell ref="HD1:HF1"/>
    <mergeCell ref="IJ1:IL1"/>
    <mergeCell ref="IN1:IP1"/>
    <mergeCell ref="HH1:HJ1"/>
    <mergeCell ref="HL1:HN1"/>
    <mergeCell ref="HP1:HR1"/>
    <mergeCell ref="HT1:HV1"/>
    <mergeCell ref="HX1:HZ1"/>
    <mergeCell ref="IB1:ID1"/>
    <mergeCell ref="IF1:IH1"/>
  </mergeCells>
  <conditionalFormatting sqref="IS3:IW170">
    <cfRule type="cellIs" dxfId="0" priority="1" operator="lessThanOrEqual">
      <formula>5</formula>
    </cfRule>
  </conditionalFormatting>
  <conditionalFormatting sqref="IX3:JB170">
    <cfRule type="cellIs" dxfId="4" priority="2" operator="greaterThanOrEqual">
      <formula>14</formula>
    </cfRule>
  </conditionalFormatting>
  <conditionalFormatting sqref="IX3:JB170">
    <cfRule type="cellIs" dxfId="0" priority="3" operator="between">
      <formula>10</formula>
      <formula>13</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5" max="20" width="3.25"/>
    <col customWidth="1" min="21" max="21" width="7.63"/>
    <col customWidth="1" min="22" max="22" width="9.25"/>
    <col customWidth="1" min="23" max="23" width="32.75"/>
    <col customWidth="1" min="24" max="24" width="3.5"/>
    <col customWidth="1" min="25" max="25" width="9.63"/>
    <col customWidth="1" min="26" max="26" width="32.75"/>
  </cols>
  <sheetData>
    <row r="1" ht="27.75" customHeight="1">
      <c r="A1" s="116" t="str">
        <f>IFERROR(__xludf.DUMMYFUNCTION("importrange(""https://docs.google.com/spreadsheets/d/1mFrEDFavbDWM83o0Q758SNbWfAj89Ndexii0Rf6wlzw/edit?resourcekey=&amp;gid=7709019#gid=7709019"",""Form Responses 1!A1:T1000"")"),"Timestamp")</f>
        <v>Timestamp</v>
      </c>
      <c r="B1" s="117" t="str">
        <f>IFERROR(__xludf.DUMMYFUNCTION("""COMPUTED_VALUE"""),"Nama Lengkap")</f>
        <v>Nama Lengkap</v>
      </c>
      <c r="C1" s="117" t="str">
        <f>IFERROR(__xludf.DUMMYFUNCTION("""COMPUTED_VALUE"""),"No. Pendaftaran")</f>
        <v>No. Pendaftaran</v>
      </c>
      <c r="D1" s="117" t="str">
        <f>IFERROR(__xludf.DUMMYFUNCTION("""COMPUTED_VALUE"""),"Jenjang Pendaftaran")</f>
        <v>Jenjang Pendaftaran</v>
      </c>
      <c r="E1" s="117" t="str">
        <f>IFERROR(__xludf.DUMMYFUNCTION("""COMPUTED_VALUE"""),"Saya menyatakan siap menjawab pertanyaan-pertanyaan dengan sejujur-jujurnya.")</f>
        <v>Saya menyatakan siap menjawab pertanyaan-pertanyaan dengan sejujur-jujurnya.</v>
      </c>
      <c r="F1" s="117" t="str">
        <f>IFERROR(__xludf.DUMMYFUNCTION("""COMPUTED_VALUE"""),"Saya berusaha patuh terhadap perintah orang tua dan guru. ")</f>
        <v>Saya berusaha patuh terhadap perintah orang tua dan guru. </v>
      </c>
      <c r="G1" s="117" t="str">
        <f>IFERROR(__xludf.DUMMYFUNCTION("""COMPUTED_VALUE"""),"Saya memandang perintah guru atau orang yang lebih tua sebagai hal yang penting untuk ditaati. ")</f>
        <v>Saya memandang perintah guru atau orang yang lebih tua sebagai hal yang penting untuk ditaati. </v>
      </c>
      <c r="H1" s="117" t="str">
        <f>IFERROR(__xludf.DUMMYFUNCTION("""COMPUTED_VALUE"""),"Jika melanggar aturan, saya siap menerima konsekuensinya termasuk hukuman.  ")</f>
        <v>Jika melanggar aturan, saya siap menerima konsekuensinya termasuk hukuman.  </v>
      </c>
      <c r="I1" s="117" t="str">
        <f>IFERROR(__xludf.DUMMYFUNCTION("""COMPUTED_VALUE"""),"Saya merasa senang dan termotivasi bila di pesantren diwajibkan membaca Al-Qur’an dan mengulang hafalan setelah shalat.  ")</f>
        <v>Saya merasa senang dan termotivasi bila di pesantren diwajibkan membaca Al-Qur’an dan mengulang hafalan setelah shalat.  </v>
      </c>
      <c r="J1" s="117" t="str">
        <f>IFERROR(__xludf.DUMMYFUNCTION("""COMPUTED_VALUE"""),"Jika ada benturan antara kegiatan keluarga (misalnya jalan-jalan) dengan kewajiban belajar, saya lebih memilih menjalankan kewajiban belajar.  ")</f>
        <v>Jika ada benturan antara kegiatan keluarga (misalnya jalan-jalan) dengan kewajiban belajar, saya lebih memilih menjalankan kewajiban belajar.  </v>
      </c>
      <c r="K1" s="117" t="str">
        <f>IFERROR(__xludf.DUMMYFUNCTION("""COMPUTED_VALUE"""),"Saya memilih pesantren sebagai tempat belajar karena dorongan dan keinginan yang kuat.  ")</f>
        <v>Saya memilih pesantren sebagai tempat belajar karena dorongan dan keinginan yang kuat.  </v>
      </c>
      <c r="L1" s="117" t="str">
        <f>IFERROR(__xludf.DUMMYFUNCTION("""COMPUTED_VALUE"""),"Saya merasa Pesantren Ulul Albaab Sukabumi adalah tempat belajar yang sesuai dengan harapan saya. ")</f>
        <v>Saya merasa Pesantren Ulul Albaab Sukabumi adalah tempat belajar yang sesuai dengan harapan saya. </v>
      </c>
      <c r="M1" s="117" t="str">
        <f>IFERROR(__xludf.DUMMYFUNCTION("""COMPUTED_VALUE"""),"Ada tokoh atau seseorang yang membuat saya semangat dalam belajar. ")</f>
        <v>Ada tokoh atau seseorang yang membuat saya semangat dalam belajar. </v>
      </c>
      <c r="N1" s="117" t="str">
        <f>IFERROR(__xludf.DUMMYFUNCTION("""COMPUTED_VALUE"""),"Saya tetap semangat belajar meskipun dalam kondisi sulit (misalnya sakit ringan, rindu orang tua, atau merasa jenuh). ")</f>
        <v>Saya tetap semangat belajar meskipun dalam kondisi sulit (misalnya sakit ringan, rindu orang tua, atau merasa jenuh). </v>
      </c>
      <c r="O1" s="117" t="str">
        <f>IFERROR(__xludf.DUMMYFUNCTION("""COMPUTED_VALUE"""),"Saya lebih menyukai pelajaran agama dibanding pelajaran umum. ")</f>
        <v>Saya lebih menyukai pelajaran agama dibanding pelajaran umum. </v>
      </c>
      <c r="P1" s="117" t="str">
        <f>IFERROR(__xludf.DUMMYFUNCTION("""COMPUTED_VALUE"""),"Saya merasa siap ditinggalkan orang tua saat masuk pesantren.  ")</f>
        <v>Saya merasa siap ditinggalkan orang tua saat masuk pesantren.  </v>
      </c>
      <c r="Q1" s="117" t="str">
        <f>IFERROR(__xludf.DUMMYFUNCTION("""COMPUTED_VALUE"""),"Saya bisa beradaptasi dengan lingkungan baru (asrama, teman, aturan) dalam waktu singkat. ")</f>
        <v>Saya bisa beradaptasi dengan lingkungan baru (asrama, teman, aturan) dalam waktu singkat. </v>
      </c>
      <c r="R1" s="117" t="str">
        <f>IFERROR(__xludf.DUMMYFUNCTION("""COMPUTED_VALUE"""),"Jika saya sakit di pesantren, saya bisa mengatasi dengan sabar dan melapor kepada ustadz/ustadzah. ")</f>
        <v>Jika saya sakit di pesantren, saya bisa mengatasi dengan sabar dan melapor kepada ustadz/ustadzah. </v>
      </c>
      <c r="S1" s="117" t="str">
        <f>IFERROR(__xludf.DUMMYFUNCTION("""COMPUTED_VALUE"""),"Ketika kesulitan belajar, saya terbiasa berusaha mencari solusi (misalnya bertanya pada guru/teman atau belajar lebih giat). ")</f>
        <v>Ketika kesulitan belajar, saya terbiasa berusaha mencari solusi (misalnya bertanya pada guru/teman atau belajar lebih giat). </v>
      </c>
      <c r="T1" s="117" t="str">
        <f>IFERROR(__xludf.DUMMYFUNCTION("""COMPUTED_VALUE"""),"Jika uang jajan saya habis sementara orang tua belum memberi tambahan, saya bisa bersabar dan mengatur diri. ")</f>
        <v>Jika uang jajan saya habis sementara orang tua belum memberi tambahan, saya bisa bersabar dan mengatur diri. </v>
      </c>
      <c r="U1" s="118" t="s">
        <v>24</v>
      </c>
      <c r="V1" s="117"/>
      <c r="W1" s="117"/>
      <c r="X1" s="117"/>
      <c r="Y1" s="117"/>
      <c r="Z1" s="117"/>
    </row>
    <row r="2">
      <c r="A2" s="8"/>
      <c r="B2" s="8"/>
      <c r="C2" s="8"/>
      <c r="D2" s="8"/>
      <c r="E2" s="8"/>
      <c r="F2" s="8"/>
      <c r="G2" s="8"/>
      <c r="H2" s="8"/>
      <c r="I2" s="8"/>
      <c r="J2" s="8"/>
      <c r="K2" s="8"/>
      <c r="L2" s="8"/>
      <c r="M2" s="8"/>
      <c r="N2" s="8"/>
      <c r="O2" s="8"/>
      <c r="P2" s="8"/>
      <c r="Q2" s="8"/>
      <c r="R2" s="8"/>
      <c r="S2" s="8"/>
      <c r="T2" s="8"/>
      <c r="U2" s="8">
        <f t="shared" ref="U2:U159" si="1">sum(F2:T2)</f>
        <v>0</v>
      </c>
      <c r="V2" s="119" t="str">
        <f>IF(U2&lt;=38,"Belum Siap",IF(U2&lt;=45, "Cukup Siap", "Siap"))</f>
        <v>Belum Siap</v>
      </c>
      <c r="W2" s="119" t="str">
        <f t="shared" ref="W2:W159" si="2">vlookup(V2,$Y$2:$Z$4,2,0)</f>
        <v>butuh bimbingan intensif</v>
      </c>
      <c r="X2" s="120"/>
      <c r="Y2" s="121" t="s">
        <v>39</v>
      </c>
      <c r="Z2" s="122" t="s">
        <v>40</v>
      </c>
    </row>
    <row r="3">
      <c r="A3" s="123">
        <f>IFERROR(__xludf.DUMMYFUNCTION("""COMPUTED_VALUE"""),45918.224074467595)</f>
        <v>45918.22407</v>
      </c>
      <c r="B3" s="8" t="str">
        <f>IFERROR(__xludf.DUMMYFUNCTION("""COMPUTED_VALUE"""),"Syabban ghozy al'fathan")</f>
        <v>Syabban ghozy al'fathan</v>
      </c>
      <c r="C3" s="8" t="str">
        <f>IFERROR(__xludf.DUMMYFUNCTION("""COMPUTED_VALUE"""),"B250025")</f>
        <v>B250025</v>
      </c>
      <c r="D3" s="8" t="str">
        <f>IFERROR(__xludf.DUMMYFUNCTION("""COMPUTED_VALUE"""),"I'dad Lughawiy Putra")</f>
        <v>I'dad Lughawiy Putra</v>
      </c>
      <c r="E3" s="8" t="str">
        <f>IFERROR(__xludf.DUMMYFUNCTION("""COMPUTED_VALUE"""),"Ya")</f>
        <v>Ya</v>
      </c>
      <c r="F3" s="8">
        <f>IFERROR(__xludf.DUMMYFUNCTION("""COMPUTED_VALUE"""),3.0)</f>
        <v>3</v>
      </c>
      <c r="G3" s="8">
        <f>IFERROR(__xludf.DUMMYFUNCTION("""COMPUTED_VALUE"""),4.0)</f>
        <v>4</v>
      </c>
      <c r="H3" s="8">
        <f>IFERROR(__xludf.DUMMYFUNCTION("""COMPUTED_VALUE"""),2.0)</f>
        <v>2</v>
      </c>
      <c r="I3" s="8">
        <f>IFERROR(__xludf.DUMMYFUNCTION("""COMPUTED_VALUE"""),3.0)</f>
        <v>3</v>
      </c>
      <c r="J3" s="8">
        <f>IFERROR(__xludf.DUMMYFUNCTION("""COMPUTED_VALUE"""),2.0)</f>
        <v>2</v>
      </c>
      <c r="K3" s="8">
        <f>IFERROR(__xludf.DUMMYFUNCTION("""COMPUTED_VALUE"""),3.0)</f>
        <v>3</v>
      </c>
      <c r="L3" s="8">
        <f>IFERROR(__xludf.DUMMYFUNCTION("""COMPUTED_VALUE"""),1.0)</f>
        <v>1</v>
      </c>
      <c r="M3" s="8">
        <f>IFERROR(__xludf.DUMMYFUNCTION("""COMPUTED_VALUE"""),2.0)</f>
        <v>2</v>
      </c>
      <c r="N3" s="8">
        <f>IFERROR(__xludf.DUMMYFUNCTION("""COMPUTED_VALUE"""),2.0)</f>
        <v>2</v>
      </c>
      <c r="O3" s="8">
        <f>IFERROR(__xludf.DUMMYFUNCTION("""COMPUTED_VALUE"""),2.0)</f>
        <v>2</v>
      </c>
      <c r="P3" s="8">
        <f>IFERROR(__xludf.DUMMYFUNCTION("""COMPUTED_VALUE"""),2.0)</f>
        <v>2</v>
      </c>
      <c r="Q3" s="8">
        <f>IFERROR(__xludf.DUMMYFUNCTION("""COMPUTED_VALUE"""),3.0)</f>
        <v>3</v>
      </c>
      <c r="R3" s="8">
        <f>IFERROR(__xludf.DUMMYFUNCTION("""COMPUTED_VALUE"""),2.0)</f>
        <v>2</v>
      </c>
      <c r="S3" s="8">
        <f>IFERROR(__xludf.DUMMYFUNCTION("""COMPUTED_VALUE"""),3.0)</f>
        <v>3</v>
      </c>
      <c r="T3" s="8">
        <f>IFERROR(__xludf.DUMMYFUNCTION("""COMPUTED_VALUE"""),4.0)</f>
        <v>4</v>
      </c>
      <c r="U3" s="8">
        <f t="shared" si="1"/>
        <v>38</v>
      </c>
      <c r="V3" s="119" t="str">
        <f t="shared" ref="V3:V159" si="3">IF(U3&lt;=44,"Belum Siap",IF(U3&lt;=45, "Cukup Siap", "Siap"))</f>
        <v>Belum Siap</v>
      </c>
      <c r="W3" s="119" t="str">
        <f t="shared" si="2"/>
        <v>butuh bimbingan intensif</v>
      </c>
      <c r="X3" s="120"/>
      <c r="Y3" s="121" t="s">
        <v>41</v>
      </c>
      <c r="Z3" s="122" t="s">
        <v>42</v>
      </c>
    </row>
    <row r="4">
      <c r="A4" s="123">
        <f>IFERROR(__xludf.DUMMYFUNCTION("""COMPUTED_VALUE"""),45918.69011434028)</f>
        <v>45918.69011</v>
      </c>
      <c r="B4" s="8" t="str">
        <f>IFERROR(__xludf.DUMMYFUNCTION("""COMPUTED_VALUE"""),"Aviccena syahdan haqqani ")</f>
        <v>Aviccena syahdan haqqani </v>
      </c>
      <c r="C4" s="8" t="str">
        <f>IFERROR(__xludf.DUMMYFUNCTION("""COMPUTED_VALUE"""),"A250060")</f>
        <v>A250060</v>
      </c>
      <c r="D4" s="8" t="str">
        <f>IFERROR(__xludf.DUMMYFUNCTION("""COMPUTED_VALUE"""),"MTs Putra")</f>
        <v>MTs Putra</v>
      </c>
      <c r="E4" s="8" t="str">
        <f>IFERROR(__xludf.DUMMYFUNCTION("""COMPUTED_VALUE"""),"Ya")</f>
        <v>Ya</v>
      </c>
      <c r="F4" s="8">
        <f>IFERROR(__xludf.DUMMYFUNCTION("""COMPUTED_VALUE"""),5.0)</f>
        <v>5</v>
      </c>
      <c r="G4" s="8">
        <f>IFERROR(__xludf.DUMMYFUNCTION("""COMPUTED_VALUE"""),5.0)</f>
        <v>5</v>
      </c>
      <c r="H4" s="8">
        <f>IFERROR(__xludf.DUMMYFUNCTION("""COMPUTED_VALUE"""),3.0)</f>
        <v>3</v>
      </c>
      <c r="I4" s="8">
        <f>IFERROR(__xludf.DUMMYFUNCTION("""COMPUTED_VALUE"""),5.0)</f>
        <v>5</v>
      </c>
      <c r="J4" s="8">
        <f>IFERROR(__xludf.DUMMYFUNCTION("""COMPUTED_VALUE"""),3.0)</f>
        <v>3</v>
      </c>
      <c r="K4" s="8">
        <f>IFERROR(__xludf.DUMMYFUNCTION("""COMPUTED_VALUE"""),3.0)</f>
        <v>3</v>
      </c>
      <c r="L4" s="8">
        <f>IFERROR(__xludf.DUMMYFUNCTION("""COMPUTED_VALUE"""),4.0)</f>
        <v>4</v>
      </c>
      <c r="M4" s="8">
        <f>IFERROR(__xludf.DUMMYFUNCTION("""COMPUTED_VALUE"""),3.0)</f>
        <v>3</v>
      </c>
      <c r="N4" s="8">
        <f>IFERROR(__xludf.DUMMYFUNCTION("""COMPUTED_VALUE"""),3.0)</f>
        <v>3</v>
      </c>
      <c r="O4" s="8">
        <f>IFERROR(__xludf.DUMMYFUNCTION("""COMPUTED_VALUE"""),3.0)</f>
        <v>3</v>
      </c>
      <c r="P4" s="8">
        <f>IFERROR(__xludf.DUMMYFUNCTION("""COMPUTED_VALUE"""),3.0)</f>
        <v>3</v>
      </c>
      <c r="Q4" s="8">
        <f>IFERROR(__xludf.DUMMYFUNCTION("""COMPUTED_VALUE"""),3.0)</f>
        <v>3</v>
      </c>
      <c r="R4" s="8">
        <f>IFERROR(__xludf.DUMMYFUNCTION("""COMPUTED_VALUE"""),3.0)</f>
        <v>3</v>
      </c>
      <c r="S4" s="8">
        <f>IFERROR(__xludf.DUMMYFUNCTION("""COMPUTED_VALUE"""),3.0)</f>
        <v>3</v>
      </c>
      <c r="T4" s="8">
        <f>IFERROR(__xludf.DUMMYFUNCTION("""COMPUTED_VALUE"""),4.0)</f>
        <v>4</v>
      </c>
      <c r="U4" s="8">
        <f t="shared" si="1"/>
        <v>53</v>
      </c>
      <c r="V4" s="119" t="str">
        <f t="shared" si="3"/>
        <v>Siap</v>
      </c>
      <c r="W4" s="119" t="str">
        <f t="shared" si="2"/>
        <v>bisa mengikuti pola pesantren dengan baik</v>
      </c>
      <c r="X4" s="120"/>
      <c r="Y4" s="121" t="s">
        <v>22</v>
      </c>
      <c r="Z4" s="122" t="s">
        <v>43</v>
      </c>
    </row>
    <row r="5">
      <c r="A5" s="123">
        <f>IFERROR(__xludf.DUMMYFUNCTION("""COMPUTED_VALUE"""),45919.84552671296)</f>
        <v>45919.84553</v>
      </c>
      <c r="B5" s="8" t="str">
        <f>IFERROR(__xludf.DUMMYFUNCTION("""COMPUTED_VALUE"""),"Daffa Taamir Alfarizi ")</f>
        <v>Daffa Taamir Alfarizi </v>
      </c>
      <c r="C5" s="8" t="str">
        <f>IFERROR(__xludf.DUMMYFUNCTION("""COMPUTED_VALUE"""),"A250008")</f>
        <v>A250008</v>
      </c>
      <c r="D5" s="8" t="str">
        <f>IFERROR(__xludf.DUMMYFUNCTION("""COMPUTED_VALUE"""),"MTs Putra")</f>
        <v>MTs Putra</v>
      </c>
      <c r="E5" s="8" t="str">
        <f>IFERROR(__xludf.DUMMYFUNCTION("""COMPUTED_VALUE"""),"Ya")</f>
        <v>Ya</v>
      </c>
      <c r="F5" s="8">
        <f>IFERROR(__xludf.DUMMYFUNCTION("""COMPUTED_VALUE"""),5.0)</f>
        <v>5</v>
      </c>
      <c r="G5" s="8">
        <f>IFERROR(__xludf.DUMMYFUNCTION("""COMPUTED_VALUE"""),5.0)</f>
        <v>5</v>
      </c>
      <c r="H5" s="8">
        <f>IFERROR(__xludf.DUMMYFUNCTION("""COMPUTED_VALUE"""),4.0)</f>
        <v>4</v>
      </c>
      <c r="I5" s="8">
        <f>IFERROR(__xludf.DUMMYFUNCTION("""COMPUTED_VALUE"""),4.0)</f>
        <v>4</v>
      </c>
      <c r="J5" s="8">
        <f>IFERROR(__xludf.DUMMYFUNCTION("""COMPUTED_VALUE"""),4.0)</f>
        <v>4</v>
      </c>
      <c r="K5" s="8">
        <f>IFERROR(__xludf.DUMMYFUNCTION("""COMPUTED_VALUE"""),4.0)</f>
        <v>4</v>
      </c>
      <c r="L5" s="8">
        <f>IFERROR(__xludf.DUMMYFUNCTION("""COMPUTED_VALUE"""),5.0)</f>
        <v>5</v>
      </c>
      <c r="M5" s="8">
        <f>IFERROR(__xludf.DUMMYFUNCTION("""COMPUTED_VALUE"""),5.0)</f>
        <v>5</v>
      </c>
      <c r="N5" s="8">
        <f>IFERROR(__xludf.DUMMYFUNCTION("""COMPUTED_VALUE"""),3.0)</f>
        <v>3</v>
      </c>
      <c r="O5" s="8">
        <f>IFERROR(__xludf.DUMMYFUNCTION("""COMPUTED_VALUE"""),5.0)</f>
        <v>5</v>
      </c>
      <c r="P5" s="8">
        <f>IFERROR(__xludf.DUMMYFUNCTION("""COMPUTED_VALUE"""),4.0)</f>
        <v>4</v>
      </c>
      <c r="Q5" s="8">
        <f>IFERROR(__xludf.DUMMYFUNCTION("""COMPUTED_VALUE"""),4.0)</f>
        <v>4</v>
      </c>
      <c r="R5" s="8">
        <f>IFERROR(__xludf.DUMMYFUNCTION("""COMPUTED_VALUE"""),5.0)</f>
        <v>5</v>
      </c>
      <c r="S5" s="8">
        <f>IFERROR(__xludf.DUMMYFUNCTION("""COMPUTED_VALUE"""),5.0)</f>
        <v>5</v>
      </c>
      <c r="T5" s="8">
        <f>IFERROR(__xludf.DUMMYFUNCTION("""COMPUTED_VALUE"""),4.0)</f>
        <v>4</v>
      </c>
      <c r="U5" s="8">
        <f t="shared" si="1"/>
        <v>66</v>
      </c>
      <c r="V5" s="119" t="str">
        <f t="shared" si="3"/>
        <v>Siap</v>
      </c>
      <c r="W5" s="119" t="str">
        <f t="shared" si="2"/>
        <v>bisa mengikuti pola pesantren dengan baik</v>
      </c>
      <c r="X5" s="8"/>
      <c r="Y5" s="8"/>
      <c r="Z5" s="8"/>
    </row>
    <row r="6">
      <c r="A6" s="123">
        <f>IFERROR(__xludf.DUMMYFUNCTION("""COMPUTED_VALUE"""),45920.364402384264)</f>
        <v>45920.3644</v>
      </c>
      <c r="B6" s="8" t="str">
        <f>IFERROR(__xludf.DUMMYFUNCTION("""COMPUTED_VALUE"""),"keyza qaireen")</f>
        <v>keyza qaireen</v>
      </c>
      <c r="C6" s="8" t="str">
        <f>IFERROR(__xludf.DUMMYFUNCTION("""COMPUTED_VALUE"""),"D250009")</f>
        <v>D250009</v>
      </c>
      <c r="D6" s="8" t="str">
        <f>IFERROR(__xludf.DUMMYFUNCTION("""COMPUTED_VALUE"""),"MTs Putri")</f>
        <v>MTs Putri</v>
      </c>
      <c r="E6" s="8" t="str">
        <f>IFERROR(__xludf.DUMMYFUNCTION("""COMPUTED_VALUE"""),"Ya")</f>
        <v>Ya</v>
      </c>
      <c r="F6" s="8">
        <f>IFERROR(__xludf.DUMMYFUNCTION("""COMPUTED_VALUE"""),4.0)</f>
        <v>4</v>
      </c>
      <c r="G6" s="8">
        <f>IFERROR(__xludf.DUMMYFUNCTION("""COMPUTED_VALUE"""),5.0)</f>
        <v>5</v>
      </c>
      <c r="H6" s="8">
        <f>IFERROR(__xludf.DUMMYFUNCTION("""COMPUTED_VALUE"""),4.0)</f>
        <v>4</v>
      </c>
      <c r="I6" s="8">
        <f>IFERROR(__xludf.DUMMYFUNCTION("""COMPUTED_VALUE"""),4.0)</f>
        <v>4</v>
      </c>
      <c r="J6" s="8">
        <f>IFERROR(__xludf.DUMMYFUNCTION("""COMPUTED_VALUE"""),4.0)</f>
        <v>4</v>
      </c>
      <c r="K6" s="8">
        <f>IFERROR(__xludf.DUMMYFUNCTION("""COMPUTED_VALUE"""),4.0)</f>
        <v>4</v>
      </c>
      <c r="L6" s="8">
        <f>IFERROR(__xludf.DUMMYFUNCTION("""COMPUTED_VALUE"""),4.0)</f>
        <v>4</v>
      </c>
      <c r="M6" s="8">
        <f>IFERROR(__xludf.DUMMYFUNCTION("""COMPUTED_VALUE"""),3.0)</f>
        <v>3</v>
      </c>
      <c r="N6" s="8">
        <f>IFERROR(__xludf.DUMMYFUNCTION("""COMPUTED_VALUE"""),4.0)</f>
        <v>4</v>
      </c>
      <c r="O6" s="8">
        <f>IFERROR(__xludf.DUMMYFUNCTION("""COMPUTED_VALUE"""),4.0)</f>
        <v>4</v>
      </c>
      <c r="P6" s="8">
        <f>IFERROR(__xludf.DUMMYFUNCTION("""COMPUTED_VALUE"""),3.0)</f>
        <v>3</v>
      </c>
      <c r="Q6" s="8">
        <f>IFERROR(__xludf.DUMMYFUNCTION("""COMPUTED_VALUE"""),3.0)</f>
        <v>3</v>
      </c>
      <c r="R6" s="8">
        <f>IFERROR(__xludf.DUMMYFUNCTION("""COMPUTED_VALUE"""),3.0)</f>
        <v>3</v>
      </c>
      <c r="S6" s="8">
        <f>IFERROR(__xludf.DUMMYFUNCTION("""COMPUTED_VALUE"""),4.0)</f>
        <v>4</v>
      </c>
      <c r="T6" s="8">
        <f>IFERROR(__xludf.DUMMYFUNCTION("""COMPUTED_VALUE"""),4.0)</f>
        <v>4</v>
      </c>
      <c r="U6" s="8">
        <f t="shared" si="1"/>
        <v>57</v>
      </c>
      <c r="V6" s="119" t="str">
        <f t="shared" si="3"/>
        <v>Siap</v>
      </c>
      <c r="W6" s="119" t="str">
        <f t="shared" si="2"/>
        <v>bisa mengikuti pola pesantren dengan baik</v>
      </c>
      <c r="X6" s="8"/>
      <c r="Y6" s="8"/>
      <c r="Z6" s="8"/>
    </row>
    <row r="7">
      <c r="A7" s="123">
        <f>IFERROR(__xludf.DUMMYFUNCTION("""COMPUTED_VALUE"""),45920.40388212963)</f>
        <v>45920.40388</v>
      </c>
      <c r="B7" s="8" t="str">
        <f>IFERROR(__xludf.DUMMYFUNCTION("""COMPUTED_VALUE"""),"Siti Azizah")</f>
        <v>Siti Azizah</v>
      </c>
      <c r="C7" s="8" t="str">
        <f>IFERROR(__xludf.DUMMYFUNCTION("""COMPUTED_VALUE"""),"D250007")</f>
        <v>D250007</v>
      </c>
      <c r="D7" s="8" t="str">
        <f>IFERROR(__xludf.DUMMYFUNCTION("""COMPUTED_VALUE"""),"MTs Putri")</f>
        <v>MTs Putri</v>
      </c>
      <c r="E7" s="8" t="str">
        <f>IFERROR(__xludf.DUMMYFUNCTION("""COMPUTED_VALUE"""),"Ya")</f>
        <v>Ya</v>
      </c>
      <c r="F7" s="8">
        <f>IFERROR(__xludf.DUMMYFUNCTION("""COMPUTED_VALUE"""),5.0)</f>
        <v>5</v>
      </c>
      <c r="G7" s="8">
        <f>IFERROR(__xludf.DUMMYFUNCTION("""COMPUTED_VALUE"""),5.0)</f>
        <v>5</v>
      </c>
      <c r="H7" s="8">
        <f>IFERROR(__xludf.DUMMYFUNCTION("""COMPUTED_VALUE"""),5.0)</f>
        <v>5</v>
      </c>
      <c r="I7" s="8">
        <f>IFERROR(__xludf.DUMMYFUNCTION("""COMPUTED_VALUE"""),5.0)</f>
        <v>5</v>
      </c>
      <c r="J7" s="8">
        <f>IFERROR(__xludf.DUMMYFUNCTION("""COMPUTED_VALUE"""),5.0)</f>
        <v>5</v>
      </c>
      <c r="K7" s="8">
        <f>IFERROR(__xludf.DUMMYFUNCTION("""COMPUTED_VALUE"""),5.0)</f>
        <v>5</v>
      </c>
      <c r="L7" s="8">
        <f>IFERROR(__xludf.DUMMYFUNCTION("""COMPUTED_VALUE"""),5.0)</f>
        <v>5</v>
      </c>
      <c r="M7" s="8">
        <f>IFERROR(__xludf.DUMMYFUNCTION("""COMPUTED_VALUE"""),5.0)</f>
        <v>5</v>
      </c>
      <c r="N7" s="8">
        <f>IFERROR(__xludf.DUMMYFUNCTION("""COMPUTED_VALUE"""),5.0)</f>
        <v>5</v>
      </c>
      <c r="O7" s="8">
        <f>IFERROR(__xludf.DUMMYFUNCTION("""COMPUTED_VALUE"""),5.0)</f>
        <v>5</v>
      </c>
      <c r="P7" s="8">
        <f>IFERROR(__xludf.DUMMYFUNCTION("""COMPUTED_VALUE"""),5.0)</f>
        <v>5</v>
      </c>
      <c r="Q7" s="8">
        <f>IFERROR(__xludf.DUMMYFUNCTION("""COMPUTED_VALUE"""),5.0)</f>
        <v>5</v>
      </c>
      <c r="R7" s="8">
        <f>IFERROR(__xludf.DUMMYFUNCTION("""COMPUTED_VALUE"""),5.0)</f>
        <v>5</v>
      </c>
      <c r="S7" s="8">
        <f>IFERROR(__xludf.DUMMYFUNCTION("""COMPUTED_VALUE"""),5.0)</f>
        <v>5</v>
      </c>
      <c r="T7" s="8">
        <f>IFERROR(__xludf.DUMMYFUNCTION("""COMPUTED_VALUE"""),5.0)</f>
        <v>5</v>
      </c>
      <c r="U7" s="8">
        <f t="shared" si="1"/>
        <v>75</v>
      </c>
      <c r="V7" s="119" t="str">
        <f t="shared" si="3"/>
        <v>Siap</v>
      </c>
      <c r="W7" s="119" t="str">
        <f t="shared" si="2"/>
        <v>bisa mengikuti pola pesantren dengan baik</v>
      </c>
      <c r="X7" s="8"/>
      <c r="Y7" s="8"/>
      <c r="Z7" s="8"/>
    </row>
    <row r="8">
      <c r="A8" s="123">
        <f>IFERROR(__xludf.DUMMYFUNCTION("""COMPUTED_VALUE"""),45920.47368408565)</f>
        <v>45920.47368</v>
      </c>
      <c r="B8" s="8" t="str">
        <f>IFERROR(__xludf.DUMMYFUNCTION("""COMPUTED_VALUE"""),"Azka Ulinnuha")</f>
        <v>Azka Ulinnuha</v>
      </c>
      <c r="C8" s="8" t="str">
        <f>IFERROR(__xludf.DUMMYFUNCTION("""COMPUTED_VALUE"""),"B250009")</f>
        <v>B250009</v>
      </c>
      <c r="D8" s="8" t="str">
        <f>IFERROR(__xludf.DUMMYFUNCTION("""COMPUTED_VALUE"""),"I'dad Lughawiy Putra")</f>
        <v>I'dad Lughawiy Putra</v>
      </c>
      <c r="E8" s="8" t="str">
        <f>IFERROR(__xludf.DUMMYFUNCTION("""COMPUTED_VALUE"""),"Ya")</f>
        <v>Ya</v>
      </c>
      <c r="F8" s="8">
        <f>IFERROR(__xludf.DUMMYFUNCTION("""COMPUTED_VALUE"""),5.0)</f>
        <v>5</v>
      </c>
      <c r="G8" s="8">
        <f>IFERROR(__xludf.DUMMYFUNCTION("""COMPUTED_VALUE"""),5.0)</f>
        <v>5</v>
      </c>
      <c r="H8" s="8">
        <f>IFERROR(__xludf.DUMMYFUNCTION("""COMPUTED_VALUE"""),4.0)</f>
        <v>4</v>
      </c>
      <c r="I8" s="8">
        <f>IFERROR(__xludf.DUMMYFUNCTION("""COMPUTED_VALUE"""),5.0)</f>
        <v>5</v>
      </c>
      <c r="J8" s="8">
        <f>IFERROR(__xludf.DUMMYFUNCTION("""COMPUTED_VALUE"""),3.0)</f>
        <v>3</v>
      </c>
      <c r="K8" s="8">
        <f>IFERROR(__xludf.DUMMYFUNCTION("""COMPUTED_VALUE"""),5.0)</f>
        <v>5</v>
      </c>
      <c r="L8" s="8">
        <f>IFERROR(__xludf.DUMMYFUNCTION("""COMPUTED_VALUE"""),5.0)</f>
        <v>5</v>
      </c>
      <c r="M8" s="8">
        <f>IFERROR(__xludf.DUMMYFUNCTION("""COMPUTED_VALUE"""),5.0)</f>
        <v>5</v>
      </c>
      <c r="N8" s="8">
        <f>IFERROR(__xludf.DUMMYFUNCTION("""COMPUTED_VALUE"""),5.0)</f>
        <v>5</v>
      </c>
      <c r="O8" s="8">
        <f>IFERROR(__xludf.DUMMYFUNCTION("""COMPUTED_VALUE"""),3.0)</f>
        <v>3</v>
      </c>
      <c r="P8" s="8">
        <f>IFERROR(__xludf.DUMMYFUNCTION("""COMPUTED_VALUE"""),5.0)</f>
        <v>5</v>
      </c>
      <c r="Q8" s="8">
        <f>IFERROR(__xludf.DUMMYFUNCTION("""COMPUTED_VALUE"""),5.0)</f>
        <v>5</v>
      </c>
      <c r="R8" s="8">
        <f>IFERROR(__xludf.DUMMYFUNCTION("""COMPUTED_VALUE"""),5.0)</f>
        <v>5</v>
      </c>
      <c r="S8" s="8">
        <f>IFERROR(__xludf.DUMMYFUNCTION("""COMPUTED_VALUE"""),5.0)</f>
        <v>5</v>
      </c>
      <c r="T8" s="8">
        <f>IFERROR(__xludf.DUMMYFUNCTION("""COMPUTED_VALUE"""),5.0)</f>
        <v>5</v>
      </c>
      <c r="U8" s="8">
        <f t="shared" si="1"/>
        <v>70</v>
      </c>
      <c r="V8" s="119" t="str">
        <f t="shared" si="3"/>
        <v>Siap</v>
      </c>
      <c r="W8" s="119" t="str">
        <f t="shared" si="2"/>
        <v>bisa mengikuti pola pesantren dengan baik</v>
      </c>
      <c r="X8" s="8"/>
      <c r="Y8" s="8"/>
      <c r="Z8" s="8"/>
    </row>
    <row r="9">
      <c r="A9" s="123">
        <f>IFERROR(__xludf.DUMMYFUNCTION("""COMPUTED_VALUE"""),45920.48277070602)</f>
        <v>45920.48277</v>
      </c>
      <c r="B9" s="8" t="str">
        <f>IFERROR(__xludf.DUMMYFUNCTION("""COMPUTED_VALUE"""),"Aina Syahmina Givani")</f>
        <v>Aina Syahmina Givani</v>
      </c>
      <c r="C9" s="8" t="str">
        <f>IFERROR(__xludf.DUMMYFUNCTION("""COMPUTED_VALUE"""),"D250006")</f>
        <v>D250006</v>
      </c>
      <c r="D9" s="8" t="str">
        <f>IFERROR(__xludf.DUMMYFUNCTION("""COMPUTED_VALUE"""),"MTs Putri")</f>
        <v>MTs Putri</v>
      </c>
      <c r="E9" s="8" t="str">
        <f>IFERROR(__xludf.DUMMYFUNCTION("""COMPUTED_VALUE"""),"Ya")</f>
        <v>Ya</v>
      </c>
      <c r="F9" s="8">
        <f>IFERROR(__xludf.DUMMYFUNCTION("""COMPUTED_VALUE"""),5.0)</f>
        <v>5</v>
      </c>
      <c r="G9" s="8">
        <f>IFERROR(__xludf.DUMMYFUNCTION("""COMPUTED_VALUE"""),5.0)</f>
        <v>5</v>
      </c>
      <c r="H9" s="8">
        <f>IFERROR(__xludf.DUMMYFUNCTION("""COMPUTED_VALUE"""),5.0)</f>
        <v>5</v>
      </c>
      <c r="I9" s="8">
        <f>IFERROR(__xludf.DUMMYFUNCTION("""COMPUTED_VALUE"""),5.0)</f>
        <v>5</v>
      </c>
      <c r="J9" s="8">
        <f>IFERROR(__xludf.DUMMYFUNCTION("""COMPUTED_VALUE"""),5.0)</f>
        <v>5</v>
      </c>
      <c r="K9" s="8">
        <f>IFERROR(__xludf.DUMMYFUNCTION("""COMPUTED_VALUE"""),5.0)</f>
        <v>5</v>
      </c>
      <c r="L9" s="8">
        <f>IFERROR(__xludf.DUMMYFUNCTION("""COMPUTED_VALUE"""),5.0)</f>
        <v>5</v>
      </c>
      <c r="M9" s="8">
        <f>IFERROR(__xludf.DUMMYFUNCTION("""COMPUTED_VALUE"""),4.0)</f>
        <v>4</v>
      </c>
      <c r="N9" s="8">
        <f>IFERROR(__xludf.DUMMYFUNCTION("""COMPUTED_VALUE"""),5.0)</f>
        <v>5</v>
      </c>
      <c r="O9" s="8">
        <f>IFERROR(__xludf.DUMMYFUNCTION("""COMPUTED_VALUE"""),5.0)</f>
        <v>5</v>
      </c>
      <c r="P9" s="8">
        <f>IFERROR(__xludf.DUMMYFUNCTION("""COMPUTED_VALUE"""),4.0)</f>
        <v>4</v>
      </c>
      <c r="Q9" s="8">
        <f>IFERROR(__xludf.DUMMYFUNCTION("""COMPUTED_VALUE"""),5.0)</f>
        <v>5</v>
      </c>
      <c r="R9" s="8">
        <f>IFERROR(__xludf.DUMMYFUNCTION("""COMPUTED_VALUE"""),5.0)</f>
        <v>5</v>
      </c>
      <c r="S9" s="8">
        <f>IFERROR(__xludf.DUMMYFUNCTION("""COMPUTED_VALUE"""),5.0)</f>
        <v>5</v>
      </c>
      <c r="T9" s="8">
        <f>IFERROR(__xludf.DUMMYFUNCTION("""COMPUTED_VALUE"""),5.0)</f>
        <v>5</v>
      </c>
      <c r="U9" s="8">
        <f t="shared" si="1"/>
        <v>73</v>
      </c>
      <c r="V9" s="119" t="str">
        <f t="shared" si="3"/>
        <v>Siap</v>
      </c>
      <c r="W9" s="119" t="str">
        <f t="shared" si="2"/>
        <v>bisa mengikuti pola pesantren dengan baik</v>
      </c>
      <c r="X9" s="8"/>
      <c r="Y9" s="8"/>
      <c r="Z9" s="8"/>
    </row>
    <row r="10">
      <c r="A10" s="123">
        <f>IFERROR(__xludf.DUMMYFUNCTION("""COMPUTED_VALUE"""),45920.50067728009)</f>
        <v>45920.50068</v>
      </c>
      <c r="B10" s="8" t="str">
        <f>IFERROR(__xludf.DUMMYFUNCTION("""COMPUTED_VALUE"""),"Aisyah")</f>
        <v>Aisyah</v>
      </c>
      <c r="C10" s="8" t="str">
        <f>IFERROR(__xludf.DUMMYFUNCTION("""COMPUTED_VALUE"""),"D250005")</f>
        <v>D250005</v>
      </c>
      <c r="D10" s="8" t="str">
        <f>IFERROR(__xludf.DUMMYFUNCTION("""COMPUTED_VALUE"""),"MTs Putri")</f>
        <v>MTs Putri</v>
      </c>
      <c r="E10" s="8" t="str">
        <f>IFERROR(__xludf.DUMMYFUNCTION("""COMPUTED_VALUE"""),"Ya")</f>
        <v>Ya</v>
      </c>
      <c r="F10" s="8">
        <f>IFERROR(__xludf.DUMMYFUNCTION("""COMPUTED_VALUE"""),5.0)</f>
        <v>5</v>
      </c>
      <c r="G10" s="8">
        <f>IFERROR(__xludf.DUMMYFUNCTION("""COMPUTED_VALUE"""),5.0)</f>
        <v>5</v>
      </c>
      <c r="H10" s="8">
        <f>IFERROR(__xludf.DUMMYFUNCTION("""COMPUTED_VALUE"""),5.0)</f>
        <v>5</v>
      </c>
      <c r="I10" s="8">
        <f>IFERROR(__xludf.DUMMYFUNCTION("""COMPUTED_VALUE"""),5.0)</f>
        <v>5</v>
      </c>
      <c r="J10" s="8">
        <f>IFERROR(__xludf.DUMMYFUNCTION("""COMPUTED_VALUE"""),4.0)</f>
        <v>4</v>
      </c>
      <c r="K10" s="8">
        <f>IFERROR(__xludf.DUMMYFUNCTION("""COMPUTED_VALUE"""),5.0)</f>
        <v>5</v>
      </c>
      <c r="L10" s="8">
        <f>IFERROR(__xludf.DUMMYFUNCTION("""COMPUTED_VALUE"""),5.0)</f>
        <v>5</v>
      </c>
      <c r="M10" s="8">
        <f>IFERROR(__xludf.DUMMYFUNCTION("""COMPUTED_VALUE"""),5.0)</f>
        <v>5</v>
      </c>
      <c r="N10" s="8">
        <f>IFERROR(__xludf.DUMMYFUNCTION("""COMPUTED_VALUE"""),5.0)</f>
        <v>5</v>
      </c>
      <c r="O10" s="8">
        <f>IFERROR(__xludf.DUMMYFUNCTION("""COMPUTED_VALUE"""),5.0)</f>
        <v>5</v>
      </c>
      <c r="P10" s="8">
        <f>IFERROR(__xludf.DUMMYFUNCTION("""COMPUTED_VALUE"""),5.0)</f>
        <v>5</v>
      </c>
      <c r="Q10" s="8">
        <f>IFERROR(__xludf.DUMMYFUNCTION("""COMPUTED_VALUE"""),4.0)</f>
        <v>4</v>
      </c>
      <c r="R10" s="8">
        <f>IFERROR(__xludf.DUMMYFUNCTION("""COMPUTED_VALUE"""),4.0)</f>
        <v>4</v>
      </c>
      <c r="S10" s="8">
        <f>IFERROR(__xludf.DUMMYFUNCTION("""COMPUTED_VALUE"""),5.0)</f>
        <v>5</v>
      </c>
      <c r="T10" s="8">
        <f>IFERROR(__xludf.DUMMYFUNCTION("""COMPUTED_VALUE"""),5.0)</f>
        <v>5</v>
      </c>
      <c r="U10" s="8">
        <f t="shared" si="1"/>
        <v>72</v>
      </c>
      <c r="V10" s="119" t="str">
        <f t="shared" si="3"/>
        <v>Siap</v>
      </c>
      <c r="W10" s="119" t="str">
        <f t="shared" si="2"/>
        <v>bisa mengikuti pola pesantren dengan baik</v>
      </c>
      <c r="X10" s="8"/>
      <c r="Y10" s="8"/>
      <c r="Z10" s="8"/>
    </row>
    <row r="11">
      <c r="A11" s="123">
        <f>IFERROR(__xludf.DUMMYFUNCTION("""COMPUTED_VALUE"""),45920.667431504626)</f>
        <v>45920.66743</v>
      </c>
      <c r="B11" s="8" t="str">
        <f>IFERROR(__xludf.DUMMYFUNCTION("""COMPUTED_VALUE"""),"Sarah Afifa")</f>
        <v>Sarah Afifa</v>
      </c>
      <c r="C11" s="8" t="str">
        <f>IFERROR(__xludf.DUMMYFUNCTION("""COMPUTED_VALUE"""),"D250015")</f>
        <v>D250015</v>
      </c>
      <c r="D11" s="8" t="str">
        <f>IFERROR(__xludf.DUMMYFUNCTION("""COMPUTED_VALUE"""),"MTs Putri")</f>
        <v>MTs Putri</v>
      </c>
      <c r="E11" s="8" t="str">
        <f>IFERROR(__xludf.DUMMYFUNCTION("""COMPUTED_VALUE"""),"Ya")</f>
        <v>Ya</v>
      </c>
      <c r="F11" s="8">
        <f>IFERROR(__xludf.DUMMYFUNCTION("""COMPUTED_VALUE"""),5.0)</f>
        <v>5</v>
      </c>
      <c r="G11" s="8">
        <f>IFERROR(__xludf.DUMMYFUNCTION("""COMPUTED_VALUE"""),5.0)</f>
        <v>5</v>
      </c>
      <c r="H11" s="8">
        <f>IFERROR(__xludf.DUMMYFUNCTION("""COMPUTED_VALUE"""),5.0)</f>
        <v>5</v>
      </c>
      <c r="I11" s="8">
        <f>IFERROR(__xludf.DUMMYFUNCTION("""COMPUTED_VALUE"""),5.0)</f>
        <v>5</v>
      </c>
      <c r="J11" s="8">
        <f>IFERROR(__xludf.DUMMYFUNCTION("""COMPUTED_VALUE"""),5.0)</f>
        <v>5</v>
      </c>
      <c r="K11" s="8">
        <f>IFERROR(__xludf.DUMMYFUNCTION("""COMPUTED_VALUE"""),5.0)</f>
        <v>5</v>
      </c>
      <c r="L11" s="8">
        <f>IFERROR(__xludf.DUMMYFUNCTION("""COMPUTED_VALUE"""),5.0)</f>
        <v>5</v>
      </c>
      <c r="M11" s="8">
        <f>IFERROR(__xludf.DUMMYFUNCTION("""COMPUTED_VALUE"""),5.0)</f>
        <v>5</v>
      </c>
      <c r="N11" s="8">
        <f>IFERROR(__xludf.DUMMYFUNCTION("""COMPUTED_VALUE"""),5.0)</f>
        <v>5</v>
      </c>
      <c r="O11" s="8">
        <f>IFERROR(__xludf.DUMMYFUNCTION("""COMPUTED_VALUE"""),5.0)</f>
        <v>5</v>
      </c>
      <c r="P11" s="8">
        <f>IFERROR(__xludf.DUMMYFUNCTION("""COMPUTED_VALUE"""),5.0)</f>
        <v>5</v>
      </c>
      <c r="Q11" s="8">
        <f>IFERROR(__xludf.DUMMYFUNCTION("""COMPUTED_VALUE"""),5.0)</f>
        <v>5</v>
      </c>
      <c r="R11" s="8">
        <f>IFERROR(__xludf.DUMMYFUNCTION("""COMPUTED_VALUE"""),5.0)</f>
        <v>5</v>
      </c>
      <c r="S11" s="8">
        <f>IFERROR(__xludf.DUMMYFUNCTION("""COMPUTED_VALUE"""),5.0)</f>
        <v>5</v>
      </c>
      <c r="T11" s="8">
        <f>IFERROR(__xludf.DUMMYFUNCTION("""COMPUTED_VALUE"""),5.0)</f>
        <v>5</v>
      </c>
      <c r="U11" s="8">
        <f t="shared" si="1"/>
        <v>75</v>
      </c>
      <c r="V11" s="119" t="str">
        <f t="shared" si="3"/>
        <v>Siap</v>
      </c>
      <c r="W11" s="119" t="str">
        <f t="shared" si="2"/>
        <v>bisa mengikuti pola pesantren dengan baik</v>
      </c>
      <c r="X11" s="8"/>
      <c r="Y11" s="8"/>
      <c r="Z11" s="8"/>
    </row>
    <row r="12">
      <c r="A12" s="123">
        <f>IFERROR(__xludf.DUMMYFUNCTION("""COMPUTED_VALUE"""),45920.714863877314)</f>
        <v>45920.71486</v>
      </c>
      <c r="B12" s="8" t="str">
        <f>IFERROR(__xludf.DUMMYFUNCTION("""COMPUTED_VALUE"""),"Ambiaaddarruqutnijulpasa")</f>
        <v>Ambiaaddarruqutnijulpasa</v>
      </c>
      <c r="C12" s="8" t="str">
        <f>IFERROR(__xludf.DUMMYFUNCTION("""COMPUTED_VALUE"""),"A250066")</f>
        <v>A250066</v>
      </c>
      <c r="D12" s="8" t="str">
        <f>IFERROR(__xludf.DUMMYFUNCTION("""COMPUTED_VALUE"""),"MTs Putra")</f>
        <v>MTs Putra</v>
      </c>
      <c r="E12" s="8" t="str">
        <f>IFERROR(__xludf.DUMMYFUNCTION("""COMPUTED_VALUE"""),"Ya")</f>
        <v>Ya</v>
      </c>
      <c r="F12" s="8">
        <f>IFERROR(__xludf.DUMMYFUNCTION("""COMPUTED_VALUE"""),5.0)</f>
        <v>5</v>
      </c>
      <c r="G12" s="8">
        <f>IFERROR(__xludf.DUMMYFUNCTION("""COMPUTED_VALUE"""),5.0)</f>
        <v>5</v>
      </c>
      <c r="H12" s="8">
        <f>IFERROR(__xludf.DUMMYFUNCTION("""COMPUTED_VALUE"""),5.0)</f>
        <v>5</v>
      </c>
      <c r="I12" s="8">
        <f>IFERROR(__xludf.DUMMYFUNCTION("""COMPUTED_VALUE"""),5.0)</f>
        <v>5</v>
      </c>
      <c r="J12" s="8">
        <f>IFERROR(__xludf.DUMMYFUNCTION("""COMPUTED_VALUE"""),1.0)</f>
        <v>1</v>
      </c>
      <c r="K12" s="8">
        <f>IFERROR(__xludf.DUMMYFUNCTION("""COMPUTED_VALUE"""),5.0)</f>
        <v>5</v>
      </c>
      <c r="L12" s="8">
        <f>IFERROR(__xludf.DUMMYFUNCTION("""COMPUTED_VALUE"""),5.0)</f>
        <v>5</v>
      </c>
      <c r="M12" s="8">
        <f>IFERROR(__xludf.DUMMYFUNCTION("""COMPUTED_VALUE"""),5.0)</f>
        <v>5</v>
      </c>
      <c r="N12" s="8">
        <f>IFERROR(__xludf.DUMMYFUNCTION("""COMPUTED_VALUE"""),5.0)</f>
        <v>5</v>
      </c>
      <c r="O12" s="8">
        <f>IFERROR(__xludf.DUMMYFUNCTION("""COMPUTED_VALUE"""),5.0)</f>
        <v>5</v>
      </c>
      <c r="P12" s="8">
        <f>IFERROR(__xludf.DUMMYFUNCTION("""COMPUTED_VALUE"""),5.0)</f>
        <v>5</v>
      </c>
      <c r="Q12" s="8">
        <f>IFERROR(__xludf.DUMMYFUNCTION("""COMPUTED_VALUE"""),5.0)</f>
        <v>5</v>
      </c>
      <c r="R12" s="8">
        <f>IFERROR(__xludf.DUMMYFUNCTION("""COMPUTED_VALUE"""),5.0)</f>
        <v>5</v>
      </c>
      <c r="S12" s="8">
        <f>IFERROR(__xludf.DUMMYFUNCTION("""COMPUTED_VALUE"""),5.0)</f>
        <v>5</v>
      </c>
      <c r="T12" s="8">
        <f>IFERROR(__xludf.DUMMYFUNCTION("""COMPUTED_VALUE"""),5.0)</f>
        <v>5</v>
      </c>
      <c r="U12" s="8">
        <f t="shared" si="1"/>
        <v>71</v>
      </c>
      <c r="V12" s="119" t="str">
        <f t="shared" si="3"/>
        <v>Siap</v>
      </c>
      <c r="W12" s="119" t="str">
        <f t="shared" si="2"/>
        <v>bisa mengikuti pola pesantren dengan baik</v>
      </c>
      <c r="X12" s="8"/>
      <c r="Y12" s="8"/>
      <c r="Z12" s="8"/>
    </row>
    <row r="13">
      <c r="A13" s="123">
        <f>IFERROR(__xludf.DUMMYFUNCTION("""COMPUTED_VALUE"""),45921.34856614583)</f>
        <v>45921.34857</v>
      </c>
      <c r="B13" s="8" t="str">
        <f>IFERROR(__xludf.DUMMYFUNCTION("""COMPUTED_VALUE"""),"ABU REIHAN AL FAJRI")</f>
        <v>ABU REIHAN AL FAJRI</v>
      </c>
      <c r="C13" s="8" t="str">
        <f>IFERROR(__xludf.DUMMYFUNCTION("""COMPUTED_VALUE"""),"A250025")</f>
        <v>A250025</v>
      </c>
      <c r="D13" s="8" t="str">
        <f>IFERROR(__xludf.DUMMYFUNCTION("""COMPUTED_VALUE"""),"MTs Putra")</f>
        <v>MTs Putra</v>
      </c>
      <c r="E13" s="8" t="str">
        <f>IFERROR(__xludf.DUMMYFUNCTION("""COMPUTED_VALUE"""),"Ya")</f>
        <v>Ya</v>
      </c>
      <c r="F13" s="8">
        <f>IFERROR(__xludf.DUMMYFUNCTION("""COMPUTED_VALUE"""),5.0)</f>
        <v>5</v>
      </c>
      <c r="G13" s="8">
        <f>IFERROR(__xludf.DUMMYFUNCTION("""COMPUTED_VALUE"""),5.0)</f>
        <v>5</v>
      </c>
      <c r="H13" s="8">
        <f>IFERROR(__xludf.DUMMYFUNCTION("""COMPUTED_VALUE"""),5.0)</f>
        <v>5</v>
      </c>
      <c r="I13" s="8">
        <f>IFERROR(__xludf.DUMMYFUNCTION("""COMPUTED_VALUE"""),5.0)</f>
        <v>5</v>
      </c>
      <c r="J13" s="8">
        <f>IFERROR(__xludf.DUMMYFUNCTION("""COMPUTED_VALUE"""),5.0)</f>
        <v>5</v>
      </c>
      <c r="K13" s="8">
        <f>IFERROR(__xludf.DUMMYFUNCTION("""COMPUTED_VALUE"""),5.0)</f>
        <v>5</v>
      </c>
      <c r="L13" s="8">
        <f>IFERROR(__xludf.DUMMYFUNCTION("""COMPUTED_VALUE"""),5.0)</f>
        <v>5</v>
      </c>
      <c r="M13" s="8">
        <f>IFERROR(__xludf.DUMMYFUNCTION("""COMPUTED_VALUE"""),5.0)</f>
        <v>5</v>
      </c>
      <c r="N13" s="8">
        <f>IFERROR(__xludf.DUMMYFUNCTION("""COMPUTED_VALUE"""),5.0)</f>
        <v>5</v>
      </c>
      <c r="O13" s="8">
        <f>IFERROR(__xludf.DUMMYFUNCTION("""COMPUTED_VALUE"""),5.0)</f>
        <v>5</v>
      </c>
      <c r="P13" s="8">
        <f>IFERROR(__xludf.DUMMYFUNCTION("""COMPUTED_VALUE"""),5.0)</f>
        <v>5</v>
      </c>
      <c r="Q13" s="8">
        <f>IFERROR(__xludf.DUMMYFUNCTION("""COMPUTED_VALUE"""),5.0)</f>
        <v>5</v>
      </c>
      <c r="R13" s="8">
        <f>IFERROR(__xludf.DUMMYFUNCTION("""COMPUTED_VALUE"""),5.0)</f>
        <v>5</v>
      </c>
      <c r="S13" s="8">
        <f>IFERROR(__xludf.DUMMYFUNCTION("""COMPUTED_VALUE"""),5.0)</f>
        <v>5</v>
      </c>
      <c r="T13" s="8">
        <f>IFERROR(__xludf.DUMMYFUNCTION("""COMPUTED_VALUE"""),5.0)</f>
        <v>5</v>
      </c>
      <c r="U13" s="8">
        <f t="shared" si="1"/>
        <v>75</v>
      </c>
      <c r="V13" s="119" t="str">
        <f t="shared" si="3"/>
        <v>Siap</v>
      </c>
      <c r="W13" s="119" t="str">
        <f t="shared" si="2"/>
        <v>bisa mengikuti pola pesantren dengan baik</v>
      </c>
      <c r="X13" s="8"/>
      <c r="Y13" s="8"/>
      <c r="Z13" s="8"/>
    </row>
    <row r="14">
      <c r="A14" s="123">
        <f>IFERROR(__xludf.DUMMYFUNCTION("""COMPUTED_VALUE"""),45921.36240399306)</f>
        <v>45921.3624</v>
      </c>
      <c r="B14" s="8" t="str">
        <f>IFERROR(__xludf.DUMMYFUNCTION("""COMPUTED_VALUE"""),"Adibah saefulloh")</f>
        <v>Adibah saefulloh</v>
      </c>
      <c r="C14" s="8" t="str">
        <f>IFERROR(__xludf.DUMMYFUNCTION("""COMPUTED_VALUE"""),"D250003")</f>
        <v>D250003</v>
      </c>
      <c r="D14" s="8" t="str">
        <f>IFERROR(__xludf.DUMMYFUNCTION("""COMPUTED_VALUE"""),"MTs Putri")</f>
        <v>MTs Putri</v>
      </c>
      <c r="E14" s="8" t="str">
        <f>IFERROR(__xludf.DUMMYFUNCTION("""COMPUTED_VALUE"""),"Ya")</f>
        <v>Ya</v>
      </c>
      <c r="F14" s="8">
        <f>IFERROR(__xludf.DUMMYFUNCTION("""COMPUTED_VALUE"""),4.0)</f>
        <v>4</v>
      </c>
      <c r="G14" s="8">
        <f>IFERROR(__xludf.DUMMYFUNCTION("""COMPUTED_VALUE"""),5.0)</f>
        <v>5</v>
      </c>
      <c r="H14" s="8">
        <f>IFERROR(__xludf.DUMMYFUNCTION("""COMPUTED_VALUE"""),5.0)</f>
        <v>5</v>
      </c>
      <c r="I14" s="8">
        <f>IFERROR(__xludf.DUMMYFUNCTION("""COMPUTED_VALUE"""),5.0)</f>
        <v>5</v>
      </c>
      <c r="J14" s="8">
        <f>IFERROR(__xludf.DUMMYFUNCTION("""COMPUTED_VALUE"""),3.0)</f>
        <v>3</v>
      </c>
      <c r="K14" s="8">
        <f>IFERROR(__xludf.DUMMYFUNCTION("""COMPUTED_VALUE"""),5.0)</f>
        <v>5</v>
      </c>
      <c r="L14" s="8">
        <f>IFERROR(__xludf.DUMMYFUNCTION("""COMPUTED_VALUE"""),5.0)</f>
        <v>5</v>
      </c>
      <c r="M14" s="8">
        <f>IFERROR(__xludf.DUMMYFUNCTION("""COMPUTED_VALUE"""),2.0)</f>
        <v>2</v>
      </c>
      <c r="N14" s="8">
        <f>IFERROR(__xludf.DUMMYFUNCTION("""COMPUTED_VALUE"""),5.0)</f>
        <v>5</v>
      </c>
      <c r="O14" s="8">
        <f>IFERROR(__xludf.DUMMYFUNCTION("""COMPUTED_VALUE"""),1.0)</f>
        <v>1</v>
      </c>
      <c r="P14" s="8">
        <f>IFERROR(__xludf.DUMMYFUNCTION("""COMPUTED_VALUE"""),5.0)</f>
        <v>5</v>
      </c>
      <c r="Q14" s="8">
        <f>IFERROR(__xludf.DUMMYFUNCTION("""COMPUTED_VALUE"""),3.0)</f>
        <v>3</v>
      </c>
      <c r="R14" s="8">
        <f>IFERROR(__xludf.DUMMYFUNCTION("""COMPUTED_VALUE"""),4.0)</f>
        <v>4</v>
      </c>
      <c r="S14" s="8">
        <f>IFERROR(__xludf.DUMMYFUNCTION("""COMPUTED_VALUE"""),4.0)</f>
        <v>4</v>
      </c>
      <c r="T14" s="8">
        <f>IFERROR(__xludf.DUMMYFUNCTION("""COMPUTED_VALUE"""),5.0)</f>
        <v>5</v>
      </c>
      <c r="U14" s="8">
        <f t="shared" si="1"/>
        <v>61</v>
      </c>
      <c r="V14" s="119" t="str">
        <f t="shared" si="3"/>
        <v>Siap</v>
      </c>
      <c r="W14" s="119" t="str">
        <f t="shared" si="2"/>
        <v>bisa mengikuti pola pesantren dengan baik</v>
      </c>
      <c r="X14" s="8"/>
      <c r="Y14" s="8"/>
      <c r="Z14" s="8"/>
    </row>
    <row r="15">
      <c r="A15" s="123">
        <f>IFERROR(__xludf.DUMMYFUNCTION("""COMPUTED_VALUE"""),45921.38087702546)</f>
        <v>45921.38088</v>
      </c>
      <c r="B15" s="8" t="str">
        <f>IFERROR(__xludf.DUMMYFUNCTION("""COMPUTED_VALUE"""),"SHAKIRA NUR AISYAH")</f>
        <v>SHAKIRA NUR AISYAH</v>
      </c>
      <c r="C15" s="8" t="str">
        <f>IFERROR(__xludf.DUMMYFUNCTION("""COMPUTED_VALUE"""),"D250008")</f>
        <v>D250008</v>
      </c>
      <c r="D15" s="8" t="str">
        <f>IFERROR(__xludf.DUMMYFUNCTION("""COMPUTED_VALUE"""),"MTs Putri")</f>
        <v>MTs Putri</v>
      </c>
      <c r="E15" s="8" t="str">
        <f>IFERROR(__xludf.DUMMYFUNCTION("""COMPUTED_VALUE"""),"Ya")</f>
        <v>Ya</v>
      </c>
      <c r="F15" s="8">
        <f>IFERROR(__xludf.DUMMYFUNCTION("""COMPUTED_VALUE"""),5.0)</f>
        <v>5</v>
      </c>
      <c r="G15" s="8">
        <f>IFERROR(__xludf.DUMMYFUNCTION("""COMPUTED_VALUE"""),5.0)</f>
        <v>5</v>
      </c>
      <c r="H15" s="8">
        <f>IFERROR(__xludf.DUMMYFUNCTION("""COMPUTED_VALUE"""),5.0)</f>
        <v>5</v>
      </c>
      <c r="I15" s="8">
        <f>IFERROR(__xludf.DUMMYFUNCTION("""COMPUTED_VALUE"""),5.0)</f>
        <v>5</v>
      </c>
      <c r="J15" s="8">
        <f>IFERROR(__xludf.DUMMYFUNCTION("""COMPUTED_VALUE"""),5.0)</f>
        <v>5</v>
      </c>
      <c r="K15" s="8">
        <f>IFERROR(__xludf.DUMMYFUNCTION("""COMPUTED_VALUE"""),5.0)</f>
        <v>5</v>
      </c>
      <c r="L15" s="8">
        <f>IFERROR(__xludf.DUMMYFUNCTION("""COMPUTED_VALUE"""),5.0)</f>
        <v>5</v>
      </c>
      <c r="M15" s="8">
        <f>IFERROR(__xludf.DUMMYFUNCTION("""COMPUTED_VALUE"""),5.0)</f>
        <v>5</v>
      </c>
      <c r="N15" s="8">
        <f>IFERROR(__xludf.DUMMYFUNCTION("""COMPUTED_VALUE"""),5.0)</f>
        <v>5</v>
      </c>
      <c r="O15" s="8">
        <f>IFERROR(__xludf.DUMMYFUNCTION("""COMPUTED_VALUE"""),5.0)</f>
        <v>5</v>
      </c>
      <c r="P15" s="8">
        <f>IFERROR(__xludf.DUMMYFUNCTION("""COMPUTED_VALUE"""),5.0)</f>
        <v>5</v>
      </c>
      <c r="Q15" s="8">
        <f>IFERROR(__xludf.DUMMYFUNCTION("""COMPUTED_VALUE"""),5.0)</f>
        <v>5</v>
      </c>
      <c r="R15" s="8">
        <f>IFERROR(__xludf.DUMMYFUNCTION("""COMPUTED_VALUE"""),5.0)</f>
        <v>5</v>
      </c>
      <c r="S15" s="8">
        <f>IFERROR(__xludf.DUMMYFUNCTION("""COMPUTED_VALUE"""),5.0)</f>
        <v>5</v>
      </c>
      <c r="T15" s="8">
        <f>IFERROR(__xludf.DUMMYFUNCTION("""COMPUTED_VALUE"""),5.0)</f>
        <v>5</v>
      </c>
      <c r="U15" s="8">
        <f t="shared" si="1"/>
        <v>75</v>
      </c>
      <c r="V15" s="119" t="str">
        <f t="shared" si="3"/>
        <v>Siap</v>
      </c>
      <c r="W15" s="119" t="str">
        <f t="shared" si="2"/>
        <v>bisa mengikuti pola pesantren dengan baik</v>
      </c>
      <c r="X15" s="8"/>
      <c r="Y15" s="8"/>
      <c r="Z15" s="8"/>
    </row>
    <row r="16">
      <c r="A16" s="123">
        <f>IFERROR(__xludf.DUMMYFUNCTION("""COMPUTED_VALUE"""),45921.41305346065)</f>
        <v>45921.41305</v>
      </c>
      <c r="B16" s="8" t="str">
        <f>IFERROR(__xludf.DUMMYFUNCTION("""COMPUTED_VALUE"""),"Adya Wiguna")</f>
        <v>Adya Wiguna</v>
      </c>
      <c r="C16" s="8" t="str">
        <f>IFERROR(__xludf.DUMMYFUNCTION("""COMPUTED_VALUE"""),"A250013")</f>
        <v>A250013</v>
      </c>
      <c r="D16" s="8" t="str">
        <f>IFERROR(__xludf.DUMMYFUNCTION("""COMPUTED_VALUE"""),"MTs Putra")</f>
        <v>MTs Putra</v>
      </c>
      <c r="E16" s="8" t="str">
        <f>IFERROR(__xludf.DUMMYFUNCTION("""COMPUTED_VALUE"""),"Ya")</f>
        <v>Ya</v>
      </c>
      <c r="F16" s="8">
        <f>IFERROR(__xludf.DUMMYFUNCTION("""COMPUTED_VALUE"""),5.0)</f>
        <v>5</v>
      </c>
      <c r="G16" s="8">
        <f>IFERROR(__xludf.DUMMYFUNCTION("""COMPUTED_VALUE"""),5.0)</f>
        <v>5</v>
      </c>
      <c r="H16" s="8">
        <f>IFERROR(__xludf.DUMMYFUNCTION("""COMPUTED_VALUE"""),4.0)</f>
        <v>4</v>
      </c>
      <c r="I16" s="8">
        <f>IFERROR(__xludf.DUMMYFUNCTION("""COMPUTED_VALUE"""),5.0)</f>
        <v>5</v>
      </c>
      <c r="J16" s="8">
        <f>IFERROR(__xludf.DUMMYFUNCTION("""COMPUTED_VALUE"""),3.0)</f>
        <v>3</v>
      </c>
      <c r="K16" s="8">
        <f>IFERROR(__xludf.DUMMYFUNCTION("""COMPUTED_VALUE"""),5.0)</f>
        <v>5</v>
      </c>
      <c r="L16" s="8">
        <f>IFERROR(__xludf.DUMMYFUNCTION("""COMPUTED_VALUE"""),5.0)</f>
        <v>5</v>
      </c>
      <c r="M16" s="8">
        <f>IFERROR(__xludf.DUMMYFUNCTION("""COMPUTED_VALUE"""),5.0)</f>
        <v>5</v>
      </c>
      <c r="N16" s="8">
        <f>IFERROR(__xludf.DUMMYFUNCTION("""COMPUTED_VALUE"""),4.0)</f>
        <v>4</v>
      </c>
      <c r="O16" s="8">
        <f>IFERROR(__xludf.DUMMYFUNCTION("""COMPUTED_VALUE"""),1.0)</f>
        <v>1</v>
      </c>
      <c r="P16" s="8">
        <f>IFERROR(__xludf.DUMMYFUNCTION("""COMPUTED_VALUE"""),5.0)</f>
        <v>5</v>
      </c>
      <c r="Q16" s="8">
        <f>IFERROR(__xludf.DUMMYFUNCTION("""COMPUTED_VALUE"""),5.0)</f>
        <v>5</v>
      </c>
      <c r="R16" s="8">
        <f>IFERROR(__xludf.DUMMYFUNCTION("""COMPUTED_VALUE"""),5.0)</f>
        <v>5</v>
      </c>
      <c r="S16" s="8">
        <f>IFERROR(__xludf.DUMMYFUNCTION("""COMPUTED_VALUE"""),5.0)</f>
        <v>5</v>
      </c>
      <c r="T16" s="8">
        <f>IFERROR(__xludf.DUMMYFUNCTION("""COMPUTED_VALUE"""),4.0)</f>
        <v>4</v>
      </c>
      <c r="U16" s="8">
        <f t="shared" si="1"/>
        <v>66</v>
      </c>
      <c r="V16" s="119" t="str">
        <f t="shared" si="3"/>
        <v>Siap</v>
      </c>
      <c r="W16" s="119" t="str">
        <f t="shared" si="2"/>
        <v>bisa mengikuti pola pesantren dengan baik</v>
      </c>
      <c r="X16" s="8"/>
      <c r="Y16" s="8"/>
      <c r="Z16" s="8"/>
    </row>
    <row r="17">
      <c r="A17" s="123">
        <f>IFERROR(__xludf.DUMMYFUNCTION("""COMPUTED_VALUE"""),45921.47171913194)</f>
        <v>45921.47172</v>
      </c>
      <c r="B17" s="8" t="str">
        <f>IFERROR(__xludf.DUMMYFUNCTION("""COMPUTED_VALUE"""),"Muhamad Umar Ali")</f>
        <v>Muhamad Umar Ali</v>
      </c>
      <c r="C17" s="8" t="str">
        <f>IFERROR(__xludf.DUMMYFUNCTION("""COMPUTED_VALUE"""),"A250020")</f>
        <v>A250020</v>
      </c>
      <c r="D17" s="8" t="str">
        <f>IFERROR(__xludf.DUMMYFUNCTION("""COMPUTED_VALUE"""),"MTs Putra")</f>
        <v>MTs Putra</v>
      </c>
      <c r="E17" s="8" t="str">
        <f>IFERROR(__xludf.DUMMYFUNCTION("""COMPUTED_VALUE"""),"Ya")</f>
        <v>Ya</v>
      </c>
      <c r="F17" s="8">
        <f>IFERROR(__xludf.DUMMYFUNCTION("""COMPUTED_VALUE"""),4.0)</f>
        <v>4</v>
      </c>
      <c r="G17" s="8">
        <f>IFERROR(__xludf.DUMMYFUNCTION("""COMPUTED_VALUE"""),4.0)</f>
        <v>4</v>
      </c>
      <c r="H17" s="8">
        <f>IFERROR(__xludf.DUMMYFUNCTION("""COMPUTED_VALUE"""),5.0)</f>
        <v>5</v>
      </c>
      <c r="I17" s="8">
        <f>IFERROR(__xludf.DUMMYFUNCTION("""COMPUTED_VALUE"""),3.0)</f>
        <v>3</v>
      </c>
      <c r="J17" s="8">
        <f>IFERROR(__xludf.DUMMYFUNCTION("""COMPUTED_VALUE"""),3.0)</f>
        <v>3</v>
      </c>
      <c r="K17" s="8">
        <f>IFERROR(__xludf.DUMMYFUNCTION("""COMPUTED_VALUE"""),5.0)</f>
        <v>5</v>
      </c>
      <c r="L17" s="8">
        <f>IFERROR(__xludf.DUMMYFUNCTION("""COMPUTED_VALUE"""),5.0)</f>
        <v>5</v>
      </c>
      <c r="M17" s="8">
        <f>IFERROR(__xludf.DUMMYFUNCTION("""COMPUTED_VALUE"""),5.0)</f>
        <v>5</v>
      </c>
      <c r="N17" s="8">
        <f>IFERROR(__xludf.DUMMYFUNCTION("""COMPUTED_VALUE"""),4.0)</f>
        <v>4</v>
      </c>
      <c r="O17" s="8">
        <f>IFERROR(__xludf.DUMMYFUNCTION("""COMPUTED_VALUE"""),2.0)</f>
        <v>2</v>
      </c>
      <c r="P17" s="8">
        <f>IFERROR(__xludf.DUMMYFUNCTION("""COMPUTED_VALUE"""),5.0)</f>
        <v>5</v>
      </c>
      <c r="Q17" s="8">
        <f>IFERROR(__xludf.DUMMYFUNCTION("""COMPUTED_VALUE"""),5.0)</f>
        <v>5</v>
      </c>
      <c r="R17" s="8">
        <f>IFERROR(__xludf.DUMMYFUNCTION("""COMPUTED_VALUE"""),5.0)</f>
        <v>5</v>
      </c>
      <c r="S17" s="8">
        <f>IFERROR(__xludf.DUMMYFUNCTION("""COMPUTED_VALUE"""),5.0)</f>
        <v>5</v>
      </c>
      <c r="T17" s="8">
        <f>IFERROR(__xludf.DUMMYFUNCTION("""COMPUTED_VALUE"""),5.0)</f>
        <v>5</v>
      </c>
      <c r="U17" s="8">
        <f t="shared" si="1"/>
        <v>65</v>
      </c>
      <c r="V17" s="119" t="str">
        <f t="shared" si="3"/>
        <v>Siap</v>
      </c>
      <c r="W17" s="119" t="str">
        <f t="shared" si="2"/>
        <v>bisa mengikuti pola pesantren dengan baik</v>
      </c>
      <c r="X17" s="8"/>
      <c r="Y17" s="8"/>
      <c r="Z17" s="8"/>
    </row>
    <row r="18">
      <c r="A18" s="123">
        <f>IFERROR(__xludf.DUMMYFUNCTION("""COMPUTED_VALUE"""),45921.48668128472)</f>
        <v>45921.48668</v>
      </c>
      <c r="B18" s="8" t="str">
        <f>IFERROR(__xludf.DUMMYFUNCTION("""COMPUTED_VALUE"""),"Muhamad Usman Ali")</f>
        <v>Muhamad Usman Ali</v>
      </c>
      <c r="C18" s="8" t="str">
        <f>IFERROR(__xludf.DUMMYFUNCTION("""COMPUTED_VALUE"""),"A250018")</f>
        <v>A250018</v>
      </c>
      <c r="D18" s="8" t="str">
        <f>IFERROR(__xludf.DUMMYFUNCTION("""COMPUTED_VALUE"""),"MTs Putra")</f>
        <v>MTs Putra</v>
      </c>
      <c r="E18" s="8" t="str">
        <f>IFERROR(__xludf.DUMMYFUNCTION("""COMPUTED_VALUE"""),"Ya")</f>
        <v>Ya</v>
      </c>
      <c r="F18" s="8">
        <f>IFERROR(__xludf.DUMMYFUNCTION("""COMPUTED_VALUE"""),5.0)</f>
        <v>5</v>
      </c>
      <c r="G18" s="8">
        <f>IFERROR(__xludf.DUMMYFUNCTION("""COMPUTED_VALUE"""),5.0)</f>
        <v>5</v>
      </c>
      <c r="H18" s="8">
        <f>IFERROR(__xludf.DUMMYFUNCTION("""COMPUTED_VALUE"""),5.0)</f>
        <v>5</v>
      </c>
      <c r="I18" s="8">
        <f>IFERROR(__xludf.DUMMYFUNCTION("""COMPUTED_VALUE"""),5.0)</f>
        <v>5</v>
      </c>
      <c r="J18" s="8">
        <f>IFERROR(__xludf.DUMMYFUNCTION("""COMPUTED_VALUE"""),5.0)</f>
        <v>5</v>
      </c>
      <c r="K18" s="8">
        <f>IFERROR(__xludf.DUMMYFUNCTION("""COMPUTED_VALUE"""),5.0)</f>
        <v>5</v>
      </c>
      <c r="L18" s="8">
        <f>IFERROR(__xludf.DUMMYFUNCTION("""COMPUTED_VALUE"""),5.0)</f>
        <v>5</v>
      </c>
      <c r="M18" s="8">
        <f>IFERROR(__xludf.DUMMYFUNCTION("""COMPUTED_VALUE"""),5.0)</f>
        <v>5</v>
      </c>
      <c r="N18" s="8">
        <f>IFERROR(__xludf.DUMMYFUNCTION("""COMPUTED_VALUE"""),5.0)</f>
        <v>5</v>
      </c>
      <c r="O18" s="8">
        <f>IFERROR(__xludf.DUMMYFUNCTION("""COMPUTED_VALUE"""),5.0)</f>
        <v>5</v>
      </c>
      <c r="P18" s="8">
        <f>IFERROR(__xludf.DUMMYFUNCTION("""COMPUTED_VALUE"""),5.0)</f>
        <v>5</v>
      </c>
      <c r="Q18" s="8">
        <f>IFERROR(__xludf.DUMMYFUNCTION("""COMPUTED_VALUE"""),5.0)</f>
        <v>5</v>
      </c>
      <c r="R18" s="8">
        <f>IFERROR(__xludf.DUMMYFUNCTION("""COMPUTED_VALUE"""),5.0)</f>
        <v>5</v>
      </c>
      <c r="S18" s="8">
        <f>IFERROR(__xludf.DUMMYFUNCTION("""COMPUTED_VALUE"""),5.0)</f>
        <v>5</v>
      </c>
      <c r="T18" s="8">
        <f>IFERROR(__xludf.DUMMYFUNCTION("""COMPUTED_VALUE"""),5.0)</f>
        <v>5</v>
      </c>
      <c r="U18" s="8">
        <f t="shared" si="1"/>
        <v>75</v>
      </c>
      <c r="V18" s="119" t="str">
        <f t="shared" si="3"/>
        <v>Siap</v>
      </c>
      <c r="W18" s="119" t="str">
        <f t="shared" si="2"/>
        <v>bisa mengikuti pola pesantren dengan baik</v>
      </c>
      <c r="X18" s="8"/>
      <c r="Y18" s="8"/>
      <c r="Z18" s="8"/>
    </row>
    <row r="19">
      <c r="A19" s="123">
        <f>IFERROR(__xludf.DUMMYFUNCTION("""COMPUTED_VALUE"""),45922.88202822917)</f>
        <v>45922.88203</v>
      </c>
      <c r="B19" s="8" t="str">
        <f>IFERROR(__xludf.DUMMYFUNCTION("""COMPUTED_VALUE"""),"Donli Caesar Norton")</f>
        <v>Donli Caesar Norton</v>
      </c>
      <c r="C19" s="8" t="str">
        <f>IFERROR(__xludf.DUMMYFUNCTION("""COMPUTED_VALUE"""),"B250001")</f>
        <v>B250001</v>
      </c>
      <c r="D19" s="8" t="str">
        <f>IFERROR(__xludf.DUMMYFUNCTION("""COMPUTED_VALUE"""),"I'dad Lughawiy Putra")</f>
        <v>I'dad Lughawiy Putra</v>
      </c>
      <c r="E19" s="8" t="str">
        <f>IFERROR(__xludf.DUMMYFUNCTION("""COMPUTED_VALUE"""),"Ya")</f>
        <v>Ya</v>
      </c>
      <c r="F19" s="8">
        <f>IFERROR(__xludf.DUMMYFUNCTION("""COMPUTED_VALUE"""),5.0)</f>
        <v>5</v>
      </c>
      <c r="G19" s="8">
        <f>IFERROR(__xludf.DUMMYFUNCTION("""COMPUTED_VALUE"""),5.0)</f>
        <v>5</v>
      </c>
      <c r="H19" s="8">
        <f>IFERROR(__xludf.DUMMYFUNCTION("""COMPUTED_VALUE"""),5.0)</f>
        <v>5</v>
      </c>
      <c r="I19" s="8">
        <f>IFERROR(__xludf.DUMMYFUNCTION("""COMPUTED_VALUE"""),5.0)</f>
        <v>5</v>
      </c>
      <c r="J19" s="8">
        <f>IFERROR(__xludf.DUMMYFUNCTION("""COMPUTED_VALUE"""),5.0)</f>
        <v>5</v>
      </c>
      <c r="K19" s="8">
        <f>IFERROR(__xludf.DUMMYFUNCTION("""COMPUTED_VALUE"""),5.0)</f>
        <v>5</v>
      </c>
      <c r="L19" s="8">
        <f>IFERROR(__xludf.DUMMYFUNCTION("""COMPUTED_VALUE"""),5.0)</f>
        <v>5</v>
      </c>
      <c r="M19" s="8">
        <f>IFERROR(__xludf.DUMMYFUNCTION("""COMPUTED_VALUE"""),5.0)</f>
        <v>5</v>
      </c>
      <c r="N19" s="8">
        <f>IFERROR(__xludf.DUMMYFUNCTION("""COMPUTED_VALUE"""),5.0)</f>
        <v>5</v>
      </c>
      <c r="O19" s="8">
        <f>IFERROR(__xludf.DUMMYFUNCTION("""COMPUTED_VALUE"""),5.0)</f>
        <v>5</v>
      </c>
      <c r="P19" s="8">
        <f>IFERROR(__xludf.DUMMYFUNCTION("""COMPUTED_VALUE"""),5.0)</f>
        <v>5</v>
      </c>
      <c r="Q19" s="8">
        <f>IFERROR(__xludf.DUMMYFUNCTION("""COMPUTED_VALUE"""),5.0)</f>
        <v>5</v>
      </c>
      <c r="R19" s="8">
        <f>IFERROR(__xludf.DUMMYFUNCTION("""COMPUTED_VALUE"""),5.0)</f>
        <v>5</v>
      </c>
      <c r="S19" s="8">
        <f>IFERROR(__xludf.DUMMYFUNCTION("""COMPUTED_VALUE"""),5.0)</f>
        <v>5</v>
      </c>
      <c r="T19" s="8">
        <f>IFERROR(__xludf.DUMMYFUNCTION("""COMPUTED_VALUE"""),5.0)</f>
        <v>5</v>
      </c>
      <c r="U19" s="8">
        <f t="shared" si="1"/>
        <v>75</v>
      </c>
      <c r="V19" s="119" t="str">
        <f t="shared" si="3"/>
        <v>Siap</v>
      </c>
      <c r="W19" s="119" t="str">
        <f t="shared" si="2"/>
        <v>bisa mengikuti pola pesantren dengan baik</v>
      </c>
      <c r="X19" s="8"/>
      <c r="Y19" s="8"/>
      <c r="Z19" s="8"/>
    </row>
    <row r="20">
      <c r="A20" s="123">
        <f>IFERROR(__xludf.DUMMYFUNCTION("""COMPUTED_VALUE"""),45923.76935707176)</f>
        <v>45923.76936</v>
      </c>
      <c r="B20" s="8" t="str">
        <f>IFERROR(__xludf.DUMMYFUNCTION("""COMPUTED_VALUE"""),"Faeyza Izzatul Khairy")</f>
        <v>Faeyza Izzatul Khairy</v>
      </c>
      <c r="C20" s="8" t="str">
        <f>IFERROR(__xludf.DUMMYFUNCTION("""COMPUTED_VALUE"""),"A250016")</f>
        <v>A250016</v>
      </c>
      <c r="D20" s="8" t="str">
        <f>IFERROR(__xludf.DUMMYFUNCTION("""COMPUTED_VALUE"""),"MTs Putra")</f>
        <v>MTs Putra</v>
      </c>
      <c r="E20" s="8" t="str">
        <f>IFERROR(__xludf.DUMMYFUNCTION("""COMPUTED_VALUE"""),"Ya")</f>
        <v>Ya</v>
      </c>
      <c r="F20" s="8">
        <f>IFERROR(__xludf.DUMMYFUNCTION("""COMPUTED_VALUE"""),4.0)</f>
        <v>4</v>
      </c>
      <c r="G20" s="8">
        <f>IFERROR(__xludf.DUMMYFUNCTION("""COMPUTED_VALUE"""),3.0)</f>
        <v>3</v>
      </c>
      <c r="H20" s="8">
        <f>IFERROR(__xludf.DUMMYFUNCTION("""COMPUTED_VALUE"""),5.0)</f>
        <v>5</v>
      </c>
      <c r="I20" s="8">
        <f>IFERROR(__xludf.DUMMYFUNCTION("""COMPUTED_VALUE"""),5.0)</f>
        <v>5</v>
      </c>
      <c r="J20" s="8">
        <f>IFERROR(__xludf.DUMMYFUNCTION("""COMPUTED_VALUE"""),4.0)</f>
        <v>4</v>
      </c>
      <c r="K20" s="8">
        <f>IFERROR(__xludf.DUMMYFUNCTION("""COMPUTED_VALUE"""),5.0)</f>
        <v>5</v>
      </c>
      <c r="L20" s="8">
        <f>IFERROR(__xludf.DUMMYFUNCTION("""COMPUTED_VALUE"""),5.0)</f>
        <v>5</v>
      </c>
      <c r="M20" s="8">
        <f>IFERROR(__xludf.DUMMYFUNCTION("""COMPUTED_VALUE"""),4.0)</f>
        <v>4</v>
      </c>
      <c r="N20" s="8">
        <f>IFERROR(__xludf.DUMMYFUNCTION("""COMPUTED_VALUE"""),4.0)</f>
        <v>4</v>
      </c>
      <c r="O20" s="8">
        <f>IFERROR(__xludf.DUMMYFUNCTION("""COMPUTED_VALUE"""),4.0)</f>
        <v>4</v>
      </c>
      <c r="P20" s="8">
        <f>IFERROR(__xludf.DUMMYFUNCTION("""COMPUTED_VALUE"""),5.0)</f>
        <v>5</v>
      </c>
      <c r="Q20" s="8">
        <f>IFERROR(__xludf.DUMMYFUNCTION("""COMPUTED_VALUE"""),4.0)</f>
        <v>4</v>
      </c>
      <c r="R20" s="8">
        <f>IFERROR(__xludf.DUMMYFUNCTION("""COMPUTED_VALUE"""),4.0)</f>
        <v>4</v>
      </c>
      <c r="S20" s="8">
        <f>IFERROR(__xludf.DUMMYFUNCTION("""COMPUTED_VALUE"""),5.0)</f>
        <v>5</v>
      </c>
      <c r="T20" s="8">
        <f>IFERROR(__xludf.DUMMYFUNCTION("""COMPUTED_VALUE"""),5.0)</f>
        <v>5</v>
      </c>
      <c r="U20" s="8">
        <f t="shared" si="1"/>
        <v>66</v>
      </c>
      <c r="V20" s="119" t="str">
        <f t="shared" si="3"/>
        <v>Siap</v>
      </c>
      <c r="W20" s="119" t="str">
        <f t="shared" si="2"/>
        <v>bisa mengikuti pola pesantren dengan baik</v>
      </c>
      <c r="X20" s="8"/>
      <c r="Y20" s="8"/>
      <c r="Z20" s="8"/>
    </row>
    <row r="21">
      <c r="A21" s="123">
        <f>IFERROR(__xludf.DUMMYFUNCTION("""COMPUTED_VALUE"""),45924.41840767361)</f>
        <v>45924.41841</v>
      </c>
      <c r="B21" s="8" t="str">
        <f>IFERROR(__xludf.DUMMYFUNCTION("""COMPUTED_VALUE"""),"Haneef Abdurahman")</f>
        <v>Haneef Abdurahman</v>
      </c>
      <c r="C21" s="8" t="str">
        <f>IFERROR(__xludf.DUMMYFUNCTION("""COMPUTED_VALUE"""),"A250012")</f>
        <v>A250012</v>
      </c>
      <c r="D21" s="8" t="str">
        <f>IFERROR(__xludf.DUMMYFUNCTION("""COMPUTED_VALUE"""),"MTs Putra")</f>
        <v>MTs Putra</v>
      </c>
      <c r="E21" s="8" t="str">
        <f>IFERROR(__xludf.DUMMYFUNCTION("""COMPUTED_VALUE"""),"Ya")</f>
        <v>Ya</v>
      </c>
      <c r="F21" s="8">
        <f>IFERROR(__xludf.DUMMYFUNCTION("""COMPUTED_VALUE"""),5.0)</f>
        <v>5</v>
      </c>
      <c r="G21" s="8">
        <f>IFERROR(__xludf.DUMMYFUNCTION("""COMPUTED_VALUE"""),5.0)</f>
        <v>5</v>
      </c>
      <c r="H21" s="8">
        <f>IFERROR(__xludf.DUMMYFUNCTION("""COMPUTED_VALUE"""),5.0)</f>
        <v>5</v>
      </c>
      <c r="I21" s="8">
        <f>IFERROR(__xludf.DUMMYFUNCTION("""COMPUTED_VALUE"""),5.0)</f>
        <v>5</v>
      </c>
      <c r="J21" s="8">
        <f>IFERROR(__xludf.DUMMYFUNCTION("""COMPUTED_VALUE"""),4.0)</f>
        <v>4</v>
      </c>
      <c r="K21" s="8">
        <f>IFERROR(__xludf.DUMMYFUNCTION("""COMPUTED_VALUE"""),5.0)</f>
        <v>5</v>
      </c>
      <c r="L21" s="8">
        <f>IFERROR(__xludf.DUMMYFUNCTION("""COMPUTED_VALUE"""),5.0)</f>
        <v>5</v>
      </c>
      <c r="M21" s="8">
        <f>IFERROR(__xludf.DUMMYFUNCTION("""COMPUTED_VALUE"""),5.0)</f>
        <v>5</v>
      </c>
      <c r="N21" s="8">
        <f>IFERROR(__xludf.DUMMYFUNCTION("""COMPUTED_VALUE"""),5.0)</f>
        <v>5</v>
      </c>
      <c r="O21" s="8">
        <f>IFERROR(__xludf.DUMMYFUNCTION("""COMPUTED_VALUE"""),5.0)</f>
        <v>5</v>
      </c>
      <c r="P21" s="8">
        <f>IFERROR(__xludf.DUMMYFUNCTION("""COMPUTED_VALUE"""),5.0)</f>
        <v>5</v>
      </c>
      <c r="Q21" s="8">
        <f>IFERROR(__xludf.DUMMYFUNCTION("""COMPUTED_VALUE"""),5.0)</f>
        <v>5</v>
      </c>
      <c r="R21" s="8">
        <f>IFERROR(__xludf.DUMMYFUNCTION("""COMPUTED_VALUE"""),5.0)</f>
        <v>5</v>
      </c>
      <c r="S21" s="8">
        <f>IFERROR(__xludf.DUMMYFUNCTION("""COMPUTED_VALUE"""),5.0)</f>
        <v>5</v>
      </c>
      <c r="T21" s="8">
        <f>IFERROR(__xludf.DUMMYFUNCTION("""COMPUTED_VALUE"""),5.0)</f>
        <v>5</v>
      </c>
      <c r="U21" s="8">
        <f t="shared" si="1"/>
        <v>74</v>
      </c>
      <c r="V21" s="119" t="str">
        <f t="shared" si="3"/>
        <v>Siap</v>
      </c>
      <c r="W21" s="119" t="str">
        <f t="shared" si="2"/>
        <v>bisa mengikuti pola pesantren dengan baik</v>
      </c>
      <c r="X21" s="8"/>
      <c r="Y21" s="8"/>
      <c r="Z21" s="8"/>
    </row>
    <row r="22">
      <c r="A22" s="123">
        <f>IFERROR(__xludf.DUMMYFUNCTION("""COMPUTED_VALUE"""),45924.82084743056)</f>
        <v>45924.82085</v>
      </c>
      <c r="B22" s="8" t="str">
        <f>IFERROR(__xludf.DUMMYFUNCTION("""COMPUTED_VALUE"""),"PUTRA PERDANA")</f>
        <v>PUTRA PERDANA</v>
      </c>
      <c r="C22" s="8" t="str">
        <f>IFERROR(__xludf.DUMMYFUNCTION("""COMPUTED_VALUE"""),"A250003")</f>
        <v>A250003</v>
      </c>
      <c r="D22" s="8" t="str">
        <f>IFERROR(__xludf.DUMMYFUNCTION("""COMPUTED_VALUE"""),"MTs Putra")</f>
        <v>MTs Putra</v>
      </c>
      <c r="E22" s="8" t="str">
        <f>IFERROR(__xludf.DUMMYFUNCTION("""COMPUTED_VALUE"""),"Ya")</f>
        <v>Ya</v>
      </c>
      <c r="F22" s="8">
        <f>IFERROR(__xludf.DUMMYFUNCTION("""COMPUTED_VALUE"""),5.0)</f>
        <v>5</v>
      </c>
      <c r="G22" s="8">
        <f>IFERROR(__xludf.DUMMYFUNCTION("""COMPUTED_VALUE"""),5.0)</f>
        <v>5</v>
      </c>
      <c r="H22" s="8">
        <f>IFERROR(__xludf.DUMMYFUNCTION("""COMPUTED_VALUE"""),5.0)</f>
        <v>5</v>
      </c>
      <c r="I22" s="8">
        <f>IFERROR(__xludf.DUMMYFUNCTION("""COMPUTED_VALUE"""),5.0)</f>
        <v>5</v>
      </c>
      <c r="J22" s="8">
        <f>IFERROR(__xludf.DUMMYFUNCTION("""COMPUTED_VALUE"""),5.0)</f>
        <v>5</v>
      </c>
      <c r="K22" s="8">
        <f>IFERROR(__xludf.DUMMYFUNCTION("""COMPUTED_VALUE"""),5.0)</f>
        <v>5</v>
      </c>
      <c r="L22" s="8">
        <f>IFERROR(__xludf.DUMMYFUNCTION("""COMPUTED_VALUE"""),5.0)</f>
        <v>5</v>
      </c>
      <c r="M22" s="8">
        <f>IFERROR(__xludf.DUMMYFUNCTION("""COMPUTED_VALUE"""),1.0)</f>
        <v>1</v>
      </c>
      <c r="N22" s="8">
        <f>IFERROR(__xludf.DUMMYFUNCTION("""COMPUTED_VALUE"""),5.0)</f>
        <v>5</v>
      </c>
      <c r="O22" s="8">
        <f>IFERROR(__xludf.DUMMYFUNCTION("""COMPUTED_VALUE"""),5.0)</f>
        <v>5</v>
      </c>
      <c r="P22" s="8">
        <f>IFERROR(__xludf.DUMMYFUNCTION("""COMPUTED_VALUE"""),3.0)</f>
        <v>3</v>
      </c>
      <c r="Q22" s="8">
        <f>IFERROR(__xludf.DUMMYFUNCTION("""COMPUTED_VALUE"""),4.0)</f>
        <v>4</v>
      </c>
      <c r="R22" s="8">
        <f>IFERROR(__xludf.DUMMYFUNCTION("""COMPUTED_VALUE"""),5.0)</f>
        <v>5</v>
      </c>
      <c r="S22" s="8">
        <f>IFERROR(__xludf.DUMMYFUNCTION("""COMPUTED_VALUE"""),5.0)</f>
        <v>5</v>
      </c>
      <c r="T22" s="8">
        <f>IFERROR(__xludf.DUMMYFUNCTION("""COMPUTED_VALUE"""),5.0)</f>
        <v>5</v>
      </c>
      <c r="U22" s="8">
        <f t="shared" si="1"/>
        <v>68</v>
      </c>
      <c r="V22" s="119" t="str">
        <f t="shared" si="3"/>
        <v>Siap</v>
      </c>
      <c r="W22" s="119" t="str">
        <f t="shared" si="2"/>
        <v>bisa mengikuti pola pesantren dengan baik</v>
      </c>
      <c r="X22" s="8"/>
      <c r="Y22" s="8"/>
      <c r="Z22" s="8"/>
    </row>
    <row r="23">
      <c r="A23" s="123">
        <f>IFERROR(__xludf.DUMMYFUNCTION("""COMPUTED_VALUE"""),45925.419902951384)</f>
        <v>45925.4199</v>
      </c>
      <c r="B23" s="8" t="str">
        <f>IFERROR(__xludf.DUMMYFUNCTION("""COMPUTED_VALUE"""),"Abudzar Al Mahbub")</f>
        <v>Abudzar Al Mahbub</v>
      </c>
      <c r="C23" s="8" t="str">
        <f>IFERROR(__xludf.DUMMYFUNCTION("""COMPUTED_VALUE"""),"A250034")</f>
        <v>A250034</v>
      </c>
      <c r="D23" s="8" t="str">
        <f>IFERROR(__xludf.DUMMYFUNCTION("""COMPUTED_VALUE"""),"MTs Putra")</f>
        <v>MTs Putra</v>
      </c>
      <c r="E23" s="8" t="str">
        <f>IFERROR(__xludf.DUMMYFUNCTION("""COMPUTED_VALUE"""),"Ya")</f>
        <v>Ya</v>
      </c>
      <c r="F23" s="8">
        <f>IFERROR(__xludf.DUMMYFUNCTION("""COMPUTED_VALUE"""),5.0)</f>
        <v>5</v>
      </c>
      <c r="G23" s="8">
        <f>IFERROR(__xludf.DUMMYFUNCTION("""COMPUTED_VALUE"""),5.0)</f>
        <v>5</v>
      </c>
      <c r="H23" s="8">
        <f>IFERROR(__xludf.DUMMYFUNCTION("""COMPUTED_VALUE"""),5.0)</f>
        <v>5</v>
      </c>
      <c r="I23" s="8">
        <f>IFERROR(__xludf.DUMMYFUNCTION("""COMPUTED_VALUE"""),5.0)</f>
        <v>5</v>
      </c>
      <c r="J23" s="8">
        <f>IFERROR(__xludf.DUMMYFUNCTION("""COMPUTED_VALUE"""),5.0)</f>
        <v>5</v>
      </c>
      <c r="K23" s="8">
        <f>IFERROR(__xludf.DUMMYFUNCTION("""COMPUTED_VALUE"""),5.0)</f>
        <v>5</v>
      </c>
      <c r="L23" s="8">
        <f>IFERROR(__xludf.DUMMYFUNCTION("""COMPUTED_VALUE"""),5.0)</f>
        <v>5</v>
      </c>
      <c r="M23" s="8">
        <f>IFERROR(__xludf.DUMMYFUNCTION("""COMPUTED_VALUE"""),5.0)</f>
        <v>5</v>
      </c>
      <c r="N23" s="8">
        <f>IFERROR(__xludf.DUMMYFUNCTION("""COMPUTED_VALUE"""),5.0)</f>
        <v>5</v>
      </c>
      <c r="O23" s="8">
        <f>IFERROR(__xludf.DUMMYFUNCTION("""COMPUTED_VALUE"""),5.0)</f>
        <v>5</v>
      </c>
      <c r="P23" s="8">
        <f>IFERROR(__xludf.DUMMYFUNCTION("""COMPUTED_VALUE"""),5.0)</f>
        <v>5</v>
      </c>
      <c r="Q23" s="8">
        <f>IFERROR(__xludf.DUMMYFUNCTION("""COMPUTED_VALUE"""),5.0)</f>
        <v>5</v>
      </c>
      <c r="R23" s="8">
        <f>IFERROR(__xludf.DUMMYFUNCTION("""COMPUTED_VALUE"""),5.0)</f>
        <v>5</v>
      </c>
      <c r="S23" s="8">
        <f>IFERROR(__xludf.DUMMYFUNCTION("""COMPUTED_VALUE"""),5.0)</f>
        <v>5</v>
      </c>
      <c r="T23" s="8">
        <f>IFERROR(__xludf.DUMMYFUNCTION("""COMPUTED_VALUE"""),5.0)</f>
        <v>5</v>
      </c>
      <c r="U23" s="8">
        <f t="shared" si="1"/>
        <v>75</v>
      </c>
      <c r="V23" s="119" t="str">
        <f t="shared" si="3"/>
        <v>Siap</v>
      </c>
      <c r="W23" s="119" t="str">
        <f t="shared" si="2"/>
        <v>bisa mengikuti pola pesantren dengan baik</v>
      </c>
      <c r="X23" s="8"/>
      <c r="Y23" s="8"/>
      <c r="Z23" s="8"/>
    </row>
    <row r="24">
      <c r="A24" s="123">
        <f>IFERROR(__xludf.DUMMYFUNCTION("""COMPUTED_VALUE"""),45925.47945106481)</f>
        <v>45925.47945</v>
      </c>
      <c r="B24" s="8" t="str">
        <f>IFERROR(__xludf.DUMMYFUNCTION("""COMPUTED_VALUE"""),"Ksatria Hudzaifah Al Mizzi")</f>
        <v>Ksatria Hudzaifah Al Mizzi</v>
      </c>
      <c r="C24" s="8" t="str">
        <f>IFERROR(__xludf.DUMMYFUNCTION("""COMPUTED_VALUE"""),"B250010")</f>
        <v>B250010</v>
      </c>
      <c r="D24" s="8" t="str">
        <f>IFERROR(__xludf.DUMMYFUNCTION("""COMPUTED_VALUE"""),"I'dad Lughawiy Putra")</f>
        <v>I'dad Lughawiy Putra</v>
      </c>
      <c r="E24" s="8" t="str">
        <f>IFERROR(__xludf.DUMMYFUNCTION("""COMPUTED_VALUE"""),"Ya")</f>
        <v>Ya</v>
      </c>
      <c r="F24" s="8">
        <f>IFERROR(__xludf.DUMMYFUNCTION("""COMPUTED_VALUE"""),5.0)</f>
        <v>5</v>
      </c>
      <c r="G24" s="8">
        <f>IFERROR(__xludf.DUMMYFUNCTION("""COMPUTED_VALUE"""),5.0)</f>
        <v>5</v>
      </c>
      <c r="H24" s="8">
        <f>IFERROR(__xludf.DUMMYFUNCTION("""COMPUTED_VALUE"""),4.0)</f>
        <v>4</v>
      </c>
      <c r="I24" s="8">
        <f>IFERROR(__xludf.DUMMYFUNCTION("""COMPUTED_VALUE"""),5.0)</f>
        <v>5</v>
      </c>
      <c r="J24" s="8">
        <f>IFERROR(__xludf.DUMMYFUNCTION("""COMPUTED_VALUE"""),5.0)</f>
        <v>5</v>
      </c>
      <c r="K24" s="8">
        <f>IFERROR(__xludf.DUMMYFUNCTION("""COMPUTED_VALUE"""),5.0)</f>
        <v>5</v>
      </c>
      <c r="L24" s="8">
        <f>IFERROR(__xludf.DUMMYFUNCTION("""COMPUTED_VALUE"""),5.0)</f>
        <v>5</v>
      </c>
      <c r="M24" s="8">
        <f>IFERROR(__xludf.DUMMYFUNCTION("""COMPUTED_VALUE"""),5.0)</f>
        <v>5</v>
      </c>
      <c r="N24" s="8">
        <f>IFERROR(__xludf.DUMMYFUNCTION("""COMPUTED_VALUE"""),5.0)</f>
        <v>5</v>
      </c>
      <c r="O24" s="8">
        <f>IFERROR(__xludf.DUMMYFUNCTION("""COMPUTED_VALUE"""),1.0)</f>
        <v>1</v>
      </c>
      <c r="P24" s="8">
        <f>IFERROR(__xludf.DUMMYFUNCTION("""COMPUTED_VALUE"""),5.0)</f>
        <v>5</v>
      </c>
      <c r="Q24" s="8">
        <f>IFERROR(__xludf.DUMMYFUNCTION("""COMPUTED_VALUE"""),5.0)</f>
        <v>5</v>
      </c>
      <c r="R24" s="8">
        <f>IFERROR(__xludf.DUMMYFUNCTION("""COMPUTED_VALUE"""),5.0)</f>
        <v>5</v>
      </c>
      <c r="S24" s="8">
        <f>IFERROR(__xludf.DUMMYFUNCTION("""COMPUTED_VALUE"""),5.0)</f>
        <v>5</v>
      </c>
      <c r="T24" s="8">
        <f>IFERROR(__xludf.DUMMYFUNCTION("""COMPUTED_VALUE"""),5.0)</f>
        <v>5</v>
      </c>
      <c r="U24" s="8">
        <f t="shared" si="1"/>
        <v>70</v>
      </c>
      <c r="V24" s="119" t="str">
        <f t="shared" si="3"/>
        <v>Siap</v>
      </c>
      <c r="W24" s="119" t="str">
        <f t="shared" si="2"/>
        <v>bisa mengikuti pola pesantren dengan baik</v>
      </c>
      <c r="X24" s="8"/>
      <c r="Y24" s="8"/>
      <c r="Z24" s="8"/>
    </row>
    <row r="25">
      <c r="A25" s="123">
        <f>IFERROR(__xludf.DUMMYFUNCTION("""COMPUTED_VALUE"""),45925.643923090276)</f>
        <v>45925.64392</v>
      </c>
      <c r="B25" s="8" t="str">
        <f>IFERROR(__xludf.DUMMYFUNCTION("""COMPUTED_VALUE"""),"Kafie Arkan Rafiqi ")</f>
        <v>Kafie Arkan Rafiqi </v>
      </c>
      <c r="C25" s="8" t="str">
        <f>IFERROR(__xludf.DUMMYFUNCTION("""COMPUTED_VALUE"""),"A250055")</f>
        <v>A250055</v>
      </c>
      <c r="D25" s="8" t="str">
        <f>IFERROR(__xludf.DUMMYFUNCTION("""COMPUTED_VALUE"""),"MTs Putra")</f>
        <v>MTs Putra</v>
      </c>
      <c r="E25" s="8" t="str">
        <f>IFERROR(__xludf.DUMMYFUNCTION("""COMPUTED_VALUE"""),"Ya")</f>
        <v>Ya</v>
      </c>
      <c r="F25" s="8">
        <f>IFERROR(__xludf.DUMMYFUNCTION("""COMPUTED_VALUE"""),5.0)</f>
        <v>5</v>
      </c>
      <c r="G25" s="8">
        <f>IFERROR(__xludf.DUMMYFUNCTION("""COMPUTED_VALUE"""),5.0)</f>
        <v>5</v>
      </c>
      <c r="H25" s="8">
        <f>IFERROR(__xludf.DUMMYFUNCTION("""COMPUTED_VALUE"""),4.0)</f>
        <v>4</v>
      </c>
      <c r="I25" s="8">
        <f>IFERROR(__xludf.DUMMYFUNCTION("""COMPUTED_VALUE"""),4.0)</f>
        <v>4</v>
      </c>
      <c r="J25" s="8">
        <f>IFERROR(__xludf.DUMMYFUNCTION("""COMPUTED_VALUE"""),4.0)</f>
        <v>4</v>
      </c>
      <c r="K25" s="8">
        <f>IFERROR(__xludf.DUMMYFUNCTION("""COMPUTED_VALUE"""),5.0)</f>
        <v>5</v>
      </c>
      <c r="L25" s="8">
        <f>IFERROR(__xludf.DUMMYFUNCTION("""COMPUTED_VALUE"""),5.0)</f>
        <v>5</v>
      </c>
      <c r="M25" s="8">
        <f>IFERROR(__xludf.DUMMYFUNCTION("""COMPUTED_VALUE"""),5.0)</f>
        <v>5</v>
      </c>
      <c r="N25" s="8">
        <f>IFERROR(__xludf.DUMMYFUNCTION("""COMPUTED_VALUE"""),3.0)</f>
        <v>3</v>
      </c>
      <c r="O25" s="8">
        <f>IFERROR(__xludf.DUMMYFUNCTION("""COMPUTED_VALUE"""),3.0)</f>
        <v>3</v>
      </c>
      <c r="P25" s="8">
        <f>IFERROR(__xludf.DUMMYFUNCTION("""COMPUTED_VALUE"""),5.0)</f>
        <v>5</v>
      </c>
      <c r="Q25" s="8">
        <f>IFERROR(__xludf.DUMMYFUNCTION("""COMPUTED_VALUE"""),3.0)</f>
        <v>3</v>
      </c>
      <c r="R25" s="8">
        <f>IFERROR(__xludf.DUMMYFUNCTION("""COMPUTED_VALUE"""),4.0)</f>
        <v>4</v>
      </c>
      <c r="S25" s="8">
        <f>IFERROR(__xludf.DUMMYFUNCTION("""COMPUTED_VALUE"""),4.0)</f>
        <v>4</v>
      </c>
      <c r="T25" s="8">
        <f>IFERROR(__xludf.DUMMYFUNCTION("""COMPUTED_VALUE"""),5.0)</f>
        <v>5</v>
      </c>
      <c r="U25" s="8">
        <f t="shared" si="1"/>
        <v>64</v>
      </c>
      <c r="V25" s="119" t="str">
        <f t="shared" si="3"/>
        <v>Siap</v>
      </c>
      <c r="W25" s="119" t="str">
        <f t="shared" si="2"/>
        <v>bisa mengikuti pola pesantren dengan baik</v>
      </c>
      <c r="X25" s="8"/>
      <c r="Y25" s="8"/>
      <c r="Z25" s="8"/>
    </row>
    <row r="26">
      <c r="A26" s="123">
        <f>IFERROR(__xludf.DUMMYFUNCTION("""COMPUTED_VALUE"""),45925.73903892361)</f>
        <v>45925.73904</v>
      </c>
      <c r="B26" s="8" t="str">
        <f>IFERROR(__xludf.DUMMYFUNCTION("""COMPUTED_VALUE"""),"Shafwan Iyadh Addarimy")</f>
        <v>Shafwan Iyadh Addarimy</v>
      </c>
      <c r="C26" s="8" t="str">
        <f>IFERROR(__xludf.DUMMYFUNCTION("""COMPUTED_VALUE"""),"A250024")</f>
        <v>A250024</v>
      </c>
      <c r="D26" s="8" t="str">
        <f>IFERROR(__xludf.DUMMYFUNCTION("""COMPUTED_VALUE"""),"MTs Putra")</f>
        <v>MTs Putra</v>
      </c>
      <c r="E26" s="8" t="str">
        <f>IFERROR(__xludf.DUMMYFUNCTION("""COMPUTED_VALUE"""),"Ya")</f>
        <v>Ya</v>
      </c>
      <c r="F26" s="8">
        <f>IFERROR(__xludf.DUMMYFUNCTION("""COMPUTED_VALUE"""),4.0)</f>
        <v>4</v>
      </c>
      <c r="G26" s="8">
        <f>IFERROR(__xludf.DUMMYFUNCTION("""COMPUTED_VALUE"""),4.0)</f>
        <v>4</v>
      </c>
      <c r="H26" s="8">
        <f>IFERROR(__xludf.DUMMYFUNCTION("""COMPUTED_VALUE"""),3.0)</f>
        <v>3</v>
      </c>
      <c r="I26" s="8">
        <f>IFERROR(__xludf.DUMMYFUNCTION("""COMPUTED_VALUE"""),4.0)</f>
        <v>4</v>
      </c>
      <c r="J26" s="8">
        <f>IFERROR(__xludf.DUMMYFUNCTION("""COMPUTED_VALUE"""),5.0)</f>
        <v>5</v>
      </c>
      <c r="K26" s="8">
        <f>IFERROR(__xludf.DUMMYFUNCTION("""COMPUTED_VALUE"""),4.0)</f>
        <v>4</v>
      </c>
      <c r="L26" s="8">
        <f>IFERROR(__xludf.DUMMYFUNCTION("""COMPUTED_VALUE"""),5.0)</f>
        <v>5</v>
      </c>
      <c r="M26" s="8">
        <f>IFERROR(__xludf.DUMMYFUNCTION("""COMPUTED_VALUE"""),5.0)</f>
        <v>5</v>
      </c>
      <c r="N26" s="8">
        <f>IFERROR(__xludf.DUMMYFUNCTION("""COMPUTED_VALUE"""),4.0)</f>
        <v>4</v>
      </c>
      <c r="O26" s="8">
        <f>IFERROR(__xludf.DUMMYFUNCTION("""COMPUTED_VALUE"""),3.0)</f>
        <v>3</v>
      </c>
      <c r="P26" s="8">
        <f>IFERROR(__xludf.DUMMYFUNCTION("""COMPUTED_VALUE"""),5.0)</f>
        <v>5</v>
      </c>
      <c r="Q26" s="8">
        <f>IFERROR(__xludf.DUMMYFUNCTION("""COMPUTED_VALUE"""),4.0)</f>
        <v>4</v>
      </c>
      <c r="R26" s="8">
        <f>IFERROR(__xludf.DUMMYFUNCTION("""COMPUTED_VALUE"""),4.0)</f>
        <v>4</v>
      </c>
      <c r="S26" s="8">
        <f>IFERROR(__xludf.DUMMYFUNCTION("""COMPUTED_VALUE"""),4.0)</f>
        <v>4</v>
      </c>
      <c r="T26" s="8">
        <f>IFERROR(__xludf.DUMMYFUNCTION("""COMPUTED_VALUE"""),4.0)</f>
        <v>4</v>
      </c>
      <c r="U26" s="8">
        <f t="shared" si="1"/>
        <v>62</v>
      </c>
      <c r="V26" s="119" t="str">
        <f t="shared" si="3"/>
        <v>Siap</v>
      </c>
      <c r="W26" s="119" t="str">
        <f t="shared" si="2"/>
        <v>bisa mengikuti pola pesantren dengan baik</v>
      </c>
      <c r="X26" s="8"/>
      <c r="Y26" s="8"/>
      <c r="Z26" s="8"/>
    </row>
    <row r="27">
      <c r="A27" s="123">
        <f>IFERROR(__xludf.DUMMYFUNCTION("""COMPUTED_VALUE"""),45925.84341934028)</f>
        <v>45925.84342</v>
      </c>
      <c r="B27" s="8" t="str">
        <f>IFERROR(__xludf.DUMMYFUNCTION("""COMPUTED_VALUE"""),"Hana Dwi Rinjani")</f>
        <v>Hana Dwi Rinjani</v>
      </c>
      <c r="C27" s="8" t="str">
        <f>IFERROR(__xludf.DUMMYFUNCTION("""COMPUTED_VALUE"""),"D250024")</f>
        <v>D250024</v>
      </c>
      <c r="D27" s="8" t="str">
        <f>IFERROR(__xludf.DUMMYFUNCTION("""COMPUTED_VALUE"""),"MTs Putri")</f>
        <v>MTs Putri</v>
      </c>
      <c r="E27" s="8" t="str">
        <f>IFERROR(__xludf.DUMMYFUNCTION("""COMPUTED_VALUE"""),"Ya")</f>
        <v>Ya</v>
      </c>
      <c r="F27" s="8">
        <f>IFERROR(__xludf.DUMMYFUNCTION("""COMPUTED_VALUE"""),5.0)</f>
        <v>5</v>
      </c>
      <c r="G27" s="8">
        <f>IFERROR(__xludf.DUMMYFUNCTION("""COMPUTED_VALUE"""),4.0)</f>
        <v>4</v>
      </c>
      <c r="H27" s="8">
        <f>IFERROR(__xludf.DUMMYFUNCTION("""COMPUTED_VALUE"""),4.0)</f>
        <v>4</v>
      </c>
      <c r="I27" s="8">
        <f>IFERROR(__xludf.DUMMYFUNCTION("""COMPUTED_VALUE"""),4.0)</f>
        <v>4</v>
      </c>
      <c r="J27" s="8">
        <f>IFERROR(__xludf.DUMMYFUNCTION("""COMPUTED_VALUE"""),5.0)</f>
        <v>5</v>
      </c>
      <c r="K27" s="8">
        <f>IFERROR(__xludf.DUMMYFUNCTION("""COMPUTED_VALUE"""),5.0)</f>
        <v>5</v>
      </c>
      <c r="L27" s="8">
        <f>IFERROR(__xludf.DUMMYFUNCTION("""COMPUTED_VALUE"""),5.0)</f>
        <v>5</v>
      </c>
      <c r="M27" s="8">
        <f>IFERROR(__xludf.DUMMYFUNCTION("""COMPUTED_VALUE"""),1.0)</f>
        <v>1</v>
      </c>
      <c r="N27" s="8">
        <f>IFERROR(__xludf.DUMMYFUNCTION("""COMPUTED_VALUE"""),4.0)</f>
        <v>4</v>
      </c>
      <c r="O27" s="8">
        <f>IFERROR(__xludf.DUMMYFUNCTION("""COMPUTED_VALUE"""),5.0)</f>
        <v>5</v>
      </c>
      <c r="P27" s="8">
        <f>IFERROR(__xludf.DUMMYFUNCTION("""COMPUTED_VALUE"""),4.0)</f>
        <v>4</v>
      </c>
      <c r="Q27" s="8">
        <f>IFERROR(__xludf.DUMMYFUNCTION("""COMPUTED_VALUE"""),4.0)</f>
        <v>4</v>
      </c>
      <c r="R27" s="8">
        <f>IFERROR(__xludf.DUMMYFUNCTION("""COMPUTED_VALUE"""),5.0)</f>
        <v>5</v>
      </c>
      <c r="S27" s="8">
        <f>IFERROR(__xludf.DUMMYFUNCTION("""COMPUTED_VALUE"""),5.0)</f>
        <v>5</v>
      </c>
      <c r="T27" s="8">
        <f>IFERROR(__xludf.DUMMYFUNCTION("""COMPUTED_VALUE"""),4.0)</f>
        <v>4</v>
      </c>
      <c r="U27" s="8">
        <f t="shared" si="1"/>
        <v>64</v>
      </c>
      <c r="V27" s="119" t="str">
        <f t="shared" si="3"/>
        <v>Siap</v>
      </c>
      <c r="W27" s="119" t="str">
        <f t="shared" si="2"/>
        <v>bisa mengikuti pola pesantren dengan baik</v>
      </c>
      <c r="X27" s="8"/>
      <c r="Y27" s="8"/>
      <c r="Z27" s="8"/>
    </row>
    <row r="28">
      <c r="A28" s="123">
        <f>IFERROR(__xludf.DUMMYFUNCTION("""COMPUTED_VALUE"""),45926.47540016204)</f>
        <v>45926.4754</v>
      </c>
      <c r="B28" s="8" t="str">
        <f>IFERROR(__xludf.DUMMYFUNCTION("""COMPUTED_VALUE"""),"Muhammad Hilmy Ilyasa Rizal")</f>
        <v>Muhammad Hilmy Ilyasa Rizal</v>
      </c>
      <c r="C28" s="8" t="str">
        <f>IFERROR(__xludf.DUMMYFUNCTION("""COMPUTED_VALUE"""),"A250014")</f>
        <v>A250014</v>
      </c>
      <c r="D28" s="8" t="str">
        <f>IFERROR(__xludf.DUMMYFUNCTION("""COMPUTED_VALUE"""),"MTs Putra")</f>
        <v>MTs Putra</v>
      </c>
      <c r="E28" s="8" t="str">
        <f>IFERROR(__xludf.DUMMYFUNCTION("""COMPUTED_VALUE"""),"Ya")</f>
        <v>Ya</v>
      </c>
      <c r="F28" s="8">
        <f>IFERROR(__xludf.DUMMYFUNCTION("""COMPUTED_VALUE"""),4.0)</f>
        <v>4</v>
      </c>
      <c r="G28" s="8">
        <f>IFERROR(__xludf.DUMMYFUNCTION("""COMPUTED_VALUE"""),4.0)</f>
        <v>4</v>
      </c>
      <c r="H28" s="8">
        <f>IFERROR(__xludf.DUMMYFUNCTION("""COMPUTED_VALUE"""),4.0)</f>
        <v>4</v>
      </c>
      <c r="I28" s="8">
        <f>IFERROR(__xludf.DUMMYFUNCTION("""COMPUTED_VALUE"""),4.0)</f>
        <v>4</v>
      </c>
      <c r="J28" s="8">
        <f>IFERROR(__xludf.DUMMYFUNCTION("""COMPUTED_VALUE"""),3.0)</f>
        <v>3</v>
      </c>
      <c r="K28" s="8">
        <f>IFERROR(__xludf.DUMMYFUNCTION("""COMPUTED_VALUE"""),4.0)</f>
        <v>4</v>
      </c>
      <c r="L28" s="8">
        <f>IFERROR(__xludf.DUMMYFUNCTION("""COMPUTED_VALUE"""),5.0)</f>
        <v>5</v>
      </c>
      <c r="M28" s="8">
        <f>IFERROR(__xludf.DUMMYFUNCTION("""COMPUTED_VALUE"""),4.0)</f>
        <v>4</v>
      </c>
      <c r="N28" s="8">
        <f>IFERROR(__xludf.DUMMYFUNCTION("""COMPUTED_VALUE"""),4.0)</f>
        <v>4</v>
      </c>
      <c r="O28" s="8">
        <f>IFERROR(__xludf.DUMMYFUNCTION("""COMPUTED_VALUE"""),4.0)</f>
        <v>4</v>
      </c>
      <c r="P28" s="8">
        <f>IFERROR(__xludf.DUMMYFUNCTION("""COMPUTED_VALUE"""),4.0)</f>
        <v>4</v>
      </c>
      <c r="Q28" s="8">
        <f>IFERROR(__xludf.DUMMYFUNCTION("""COMPUTED_VALUE"""),3.0)</f>
        <v>3</v>
      </c>
      <c r="R28" s="8">
        <f>IFERROR(__xludf.DUMMYFUNCTION("""COMPUTED_VALUE"""),4.0)</f>
        <v>4</v>
      </c>
      <c r="S28" s="8">
        <f>IFERROR(__xludf.DUMMYFUNCTION("""COMPUTED_VALUE"""),4.0)</f>
        <v>4</v>
      </c>
      <c r="T28" s="8">
        <f>IFERROR(__xludf.DUMMYFUNCTION("""COMPUTED_VALUE"""),4.0)</f>
        <v>4</v>
      </c>
      <c r="U28" s="8">
        <f t="shared" si="1"/>
        <v>59</v>
      </c>
      <c r="V28" s="119" t="str">
        <f t="shared" si="3"/>
        <v>Siap</v>
      </c>
      <c r="W28" s="119" t="str">
        <f t="shared" si="2"/>
        <v>bisa mengikuti pola pesantren dengan baik</v>
      </c>
      <c r="X28" s="8"/>
      <c r="Y28" s="8"/>
      <c r="Z28" s="8"/>
    </row>
    <row r="29">
      <c r="A29" s="123">
        <f>IFERROR(__xludf.DUMMYFUNCTION("""COMPUTED_VALUE"""),45926.57487300926)</f>
        <v>45926.57487</v>
      </c>
      <c r="B29" s="8" t="str">
        <f>IFERROR(__xludf.DUMMYFUNCTION("""COMPUTED_VALUE"""),"Khotibul Syafiiq")</f>
        <v>Khotibul Syafiiq</v>
      </c>
      <c r="C29" s="8" t="str">
        <f>IFERROR(__xludf.DUMMYFUNCTION("""COMPUTED_VALUE"""),"A250036")</f>
        <v>A250036</v>
      </c>
      <c r="D29" s="8" t="str">
        <f>IFERROR(__xludf.DUMMYFUNCTION("""COMPUTED_VALUE"""),"MTs Putra")</f>
        <v>MTs Putra</v>
      </c>
      <c r="E29" s="8" t="str">
        <f>IFERROR(__xludf.DUMMYFUNCTION("""COMPUTED_VALUE"""),"Ya")</f>
        <v>Ya</v>
      </c>
      <c r="F29" s="8">
        <f>IFERROR(__xludf.DUMMYFUNCTION("""COMPUTED_VALUE"""),5.0)</f>
        <v>5</v>
      </c>
      <c r="G29" s="8">
        <f>IFERROR(__xludf.DUMMYFUNCTION("""COMPUTED_VALUE"""),5.0)</f>
        <v>5</v>
      </c>
      <c r="H29" s="8">
        <f>IFERROR(__xludf.DUMMYFUNCTION("""COMPUTED_VALUE"""),5.0)</f>
        <v>5</v>
      </c>
      <c r="I29" s="8">
        <f>IFERROR(__xludf.DUMMYFUNCTION("""COMPUTED_VALUE"""),5.0)</f>
        <v>5</v>
      </c>
      <c r="J29" s="8">
        <f>IFERROR(__xludf.DUMMYFUNCTION("""COMPUTED_VALUE"""),5.0)</f>
        <v>5</v>
      </c>
      <c r="K29" s="8">
        <f>IFERROR(__xludf.DUMMYFUNCTION("""COMPUTED_VALUE"""),5.0)</f>
        <v>5</v>
      </c>
      <c r="L29" s="8">
        <f>IFERROR(__xludf.DUMMYFUNCTION("""COMPUTED_VALUE"""),5.0)</f>
        <v>5</v>
      </c>
      <c r="M29" s="8">
        <f>IFERROR(__xludf.DUMMYFUNCTION("""COMPUTED_VALUE"""),5.0)</f>
        <v>5</v>
      </c>
      <c r="N29" s="8">
        <f>IFERROR(__xludf.DUMMYFUNCTION("""COMPUTED_VALUE"""),5.0)</f>
        <v>5</v>
      </c>
      <c r="O29" s="8">
        <f>IFERROR(__xludf.DUMMYFUNCTION("""COMPUTED_VALUE"""),5.0)</f>
        <v>5</v>
      </c>
      <c r="P29" s="8">
        <f>IFERROR(__xludf.DUMMYFUNCTION("""COMPUTED_VALUE"""),5.0)</f>
        <v>5</v>
      </c>
      <c r="Q29" s="8">
        <f>IFERROR(__xludf.DUMMYFUNCTION("""COMPUTED_VALUE"""),5.0)</f>
        <v>5</v>
      </c>
      <c r="R29" s="8">
        <f>IFERROR(__xludf.DUMMYFUNCTION("""COMPUTED_VALUE"""),5.0)</f>
        <v>5</v>
      </c>
      <c r="S29" s="8">
        <f>IFERROR(__xludf.DUMMYFUNCTION("""COMPUTED_VALUE"""),5.0)</f>
        <v>5</v>
      </c>
      <c r="T29" s="8">
        <f>IFERROR(__xludf.DUMMYFUNCTION("""COMPUTED_VALUE"""),5.0)</f>
        <v>5</v>
      </c>
      <c r="U29" s="8">
        <f t="shared" si="1"/>
        <v>75</v>
      </c>
      <c r="V29" s="119" t="str">
        <f t="shared" si="3"/>
        <v>Siap</v>
      </c>
      <c r="W29" s="119" t="str">
        <f t="shared" si="2"/>
        <v>bisa mengikuti pola pesantren dengan baik</v>
      </c>
      <c r="X29" s="8"/>
      <c r="Y29" s="8"/>
      <c r="Z29" s="8"/>
    </row>
    <row r="30">
      <c r="A30" s="123">
        <f>IFERROR(__xludf.DUMMYFUNCTION("""COMPUTED_VALUE"""),45926.655480312504)</f>
        <v>45926.65548</v>
      </c>
      <c r="B30" s="8" t="str">
        <f>IFERROR(__xludf.DUMMYFUNCTION("""COMPUTED_VALUE"""),"Widya Meilani Zahra")</f>
        <v>Widya Meilani Zahra</v>
      </c>
      <c r="C30" s="8" t="str">
        <f>IFERROR(__xludf.DUMMYFUNCTION("""COMPUTED_VALUE"""),"E250001")</f>
        <v>E250001</v>
      </c>
      <c r="D30" s="8" t="str">
        <f>IFERROR(__xludf.DUMMYFUNCTION("""COMPUTED_VALUE"""),"I'dad Lughawiy Putri")</f>
        <v>I'dad Lughawiy Putri</v>
      </c>
      <c r="E30" s="8" t="str">
        <f>IFERROR(__xludf.DUMMYFUNCTION("""COMPUTED_VALUE"""),"Ya")</f>
        <v>Ya</v>
      </c>
      <c r="F30" s="8">
        <f>IFERROR(__xludf.DUMMYFUNCTION("""COMPUTED_VALUE"""),5.0)</f>
        <v>5</v>
      </c>
      <c r="G30" s="8">
        <f>IFERROR(__xludf.DUMMYFUNCTION("""COMPUTED_VALUE"""),5.0)</f>
        <v>5</v>
      </c>
      <c r="H30" s="8">
        <f>IFERROR(__xludf.DUMMYFUNCTION("""COMPUTED_VALUE"""),5.0)</f>
        <v>5</v>
      </c>
      <c r="I30" s="8">
        <f>IFERROR(__xludf.DUMMYFUNCTION("""COMPUTED_VALUE"""),5.0)</f>
        <v>5</v>
      </c>
      <c r="J30" s="8">
        <f>IFERROR(__xludf.DUMMYFUNCTION("""COMPUTED_VALUE"""),5.0)</f>
        <v>5</v>
      </c>
      <c r="K30" s="8">
        <f>IFERROR(__xludf.DUMMYFUNCTION("""COMPUTED_VALUE"""),5.0)</f>
        <v>5</v>
      </c>
      <c r="L30" s="8">
        <f>IFERROR(__xludf.DUMMYFUNCTION("""COMPUTED_VALUE"""),5.0)</f>
        <v>5</v>
      </c>
      <c r="M30" s="8">
        <f>IFERROR(__xludf.DUMMYFUNCTION("""COMPUTED_VALUE"""),1.0)</f>
        <v>1</v>
      </c>
      <c r="N30" s="8">
        <f>IFERROR(__xludf.DUMMYFUNCTION("""COMPUTED_VALUE"""),5.0)</f>
        <v>5</v>
      </c>
      <c r="O30" s="8">
        <f>IFERROR(__xludf.DUMMYFUNCTION("""COMPUTED_VALUE"""),5.0)</f>
        <v>5</v>
      </c>
      <c r="P30" s="8">
        <f>IFERROR(__xludf.DUMMYFUNCTION("""COMPUTED_VALUE"""),5.0)</f>
        <v>5</v>
      </c>
      <c r="Q30" s="8">
        <f>IFERROR(__xludf.DUMMYFUNCTION("""COMPUTED_VALUE"""),4.0)</f>
        <v>4</v>
      </c>
      <c r="R30" s="8">
        <f>IFERROR(__xludf.DUMMYFUNCTION("""COMPUTED_VALUE"""),5.0)</f>
        <v>5</v>
      </c>
      <c r="S30" s="8">
        <f>IFERROR(__xludf.DUMMYFUNCTION("""COMPUTED_VALUE"""),5.0)</f>
        <v>5</v>
      </c>
      <c r="T30" s="8">
        <f>IFERROR(__xludf.DUMMYFUNCTION("""COMPUTED_VALUE"""),5.0)</f>
        <v>5</v>
      </c>
      <c r="U30" s="8">
        <f t="shared" si="1"/>
        <v>70</v>
      </c>
      <c r="V30" s="119" t="str">
        <f t="shared" si="3"/>
        <v>Siap</v>
      </c>
      <c r="W30" s="119" t="str">
        <f t="shared" si="2"/>
        <v>bisa mengikuti pola pesantren dengan baik</v>
      </c>
      <c r="X30" s="8"/>
      <c r="Y30" s="8"/>
      <c r="Z30" s="8"/>
    </row>
    <row r="31">
      <c r="A31" s="123">
        <f>IFERROR(__xludf.DUMMYFUNCTION("""COMPUTED_VALUE"""),45926.66274409722)</f>
        <v>45926.66274</v>
      </c>
      <c r="B31" s="8" t="str">
        <f>IFERROR(__xludf.DUMMYFUNCTION("""COMPUTED_VALUE"""),"Siti hafshoh sholihah")</f>
        <v>Siti hafshoh sholihah</v>
      </c>
      <c r="C31" s="8" t="str">
        <f>IFERROR(__xludf.DUMMYFUNCTION("""COMPUTED_VALUE"""),"E250005")</f>
        <v>E250005</v>
      </c>
      <c r="D31" s="8" t="str">
        <f>IFERROR(__xludf.DUMMYFUNCTION("""COMPUTED_VALUE"""),"I'dad Lughawiy Putri")</f>
        <v>I'dad Lughawiy Putri</v>
      </c>
      <c r="E31" s="8" t="str">
        <f>IFERROR(__xludf.DUMMYFUNCTION("""COMPUTED_VALUE"""),"Ya")</f>
        <v>Ya</v>
      </c>
      <c r="F31" s="8">
        <f>IFERROR(__xludf.DUMMYFUNCTION("""COMPUTED_VALUE"""),5.0)</f>
        <v>5</v>
      </c>
      <c r="G31" s="8">
        <f>IFERROR(__xludf.DUMMYFUNCTION("""COMPUTED_VALUE"""),5.0)</f>
        <v>5</v>
      </c>
      <c r="H31" s="8">
        <f>IFERROR(__xludf.DUMMYFUNCTION("""COMPUTED_VALUE"""),5.0)</f>
        <v>5</v>
      </c>
      <c r="I31" s="8">
        <f>IFERROR(__xludf.DUMMYFUNCTION("""COMPUTED_VALUE"""),5.0)</f>
        <v>5</v>
      </c>
      <c r="J31" s="8">
        <f>IFERROR(__xludf.DUMMYFUNCTION("""COMPUTED_VALUE"""),5.0)</f>
        <v>5</v>
      </c>
      <c r="K31" s="8">
        <f>IFERROR(__xludf.DUMMYFUNCTION("""COMPUTED_VALUE"""),5.0)</f>
        <v>5</v>
      </c>
      <c r="L31" s="8">
        <f>IFERROR(__xludf.DUMMYFUNCTION("""COMPUTED_VALUE"""),4.0)</f>
        <v>4</v>
      </c>
      <c r="M31" s="8">
        <f>IFERROR(__xludf.DUMMYFUNCTION("""COMPUTED_VALUE"""),5.0)</f>
        <v>5</v>
      </c>
      <c r="N31" s="8">
        <f>IFERROR(__xludf.DUMMYFUNCTION("""COMPUTED_VALUE"""),4.0)</f>
        <v>4</v>
      </c>
      <c r="O31" s="8">
        <f>IFERROR(__xludf.DUMMYFUNCTION("""COMPUTED_VALUE"""),5.0)</f>
        <v>5</v>
      </c>
      <c r="P31" s="8">
        <f>IFERROR(__xludf.DUMMYFUNCTION("""COMPUTED_VALUE"""),5.0)</f>
        <v>5</v>
      </c>
      <c r="Q31" s="8">
        <f>IFERROR(__xludf.DUMMYFUNCTION("""COMPUTED_VALUE"""),4.0)</f>
        <v>4</v>
      </c>
      <c r="R31" s="8">
        <f>IFERROR(__xludf.DUMMYFUNCTION("""COMPUTED_VALUE"""),5.0)</f>
        <v>5</v>
      </c>
      <c r="S31" s="8">
        <f>IFERROR(__xludf.DUMMYFUNCTION("""COMPUTED_VALUE"""),5.0)</f>
        <v>5</v>
      </c>
      <c r="T31" s="8">
        <f>IFERROR(__xludf.DUMMYFUNCTION("""COMPUTED_VALUE"""),5.0)</f>
        <v>5</v>
      </c>
      <c r="U31" s="8">
        <f t="shared" si="1"/>
        <v>72</v>
      </c>
      <c r="V31" s="119" t="str">
        <f t="shared" si="3"/>
        <v>Siap</v>
      </c>
      <c r="W31" s="119" t="str">
        <f t="shared" si="2"/>
        <v>bisa mengikuti pola pesantren dengan baik</v>
      </c>
      <c r="X31" s="8"/>
      <c r="Y31" s="8"/>
      <c r="Z31" s="8"/>
    </row>
    <row r="32">
      <c r="A32" s="123">
        <f>IFERROR(__xludf.DUMMYFUNCTION("""COMPUTED_VALUE"""),45926.66905975694)</f>
        <v>45926.66906</v>
      </c>
      <c r="B32" s="8" t="str">
        <f>IFERROR(__xludf.DUMMYFUNCTION("""COMPUTED_VALUE"""),"Nahnurizko nabhan farghali ")</f>
        <v>Nahnurizko nabhan farghali </v>
      </c>
      <c r="C32" s="8" t="str">
        <f>IFERROR(__xludf.DUMMYFUNCTION("""COMPUTED_VALUE"""),"A250009")</f>
        <v>A250009</v>
      </c>
      <c r="D32" s="8" t="str">
        <f>IFERROR(__xludf.DUMMYFUNCTION("""COMPUTED_VALUE"""),"MTs Putra")</f>
        <v>MTs Putra</v>
      </c>
      <c r="E32" s="8" t="str">
        <f>IFERROR(__xludf.DUMMYFUNCTION("""COMPUTED_VALUE"""),"Ya")</f>
        <v>Ya</v>
      </c>
      <c r="F32" s="8">
        <f>IFERROR(__xludf.DUMMYFUNCTION("""COMPUTED_VALUE"""),5.0)</f>
        <v>5</v>
      </c>
      <c r="G32" s="8">
        <f>IFERROR(__xludf.DUMMYFUNCTION("""COMPUTED_VALUE"""),5.0)</f>
        <v>5</v>
      </c>
      <c r="H32" s="8">
        <f>IFERROR(__xludf.DUMMYFUNCTION("""COMPUTED_VALUE"""),5.0)</f>
        <v>5</v>
      </c>
      <c r="I32" s="8">
        <f>IFERROR(__xludf.DUMMYFUNCTION("""COMPUTED_VALUE"""),5.0)</f>
        <v>5</v>
      </c>
      <c r="J32" s="8">
        <f>IFERROR(__xludf.DUMMYFUNCTION("""COMPUTED_VALUE"""),5.0)</f>
        <v>5</v>
      </c>
      <c r="K32" s="8">
        <f>IFERROR(__xludf.DUMMYFUNCTION("""COMPUTED_VALUE"""),5.0)</f>
        <v>5</v>
      </c>
      <c r="L32" s="8">
        <f>IFERROR(__xludf.DUMMYFUNCTION("""COMPUTED_VALUE"""),5.0)</f>
        <v>5</v>
      </c>
      <c r="M32" s="8">
        <f>IFERROR(__xludf.DUMMYFUNCTION("""COMPUTED_VALUE"""),5.0)</f>
        <v>5</v>
      </c>
      <c r="N32" s="8">
        <f>IFERROR(__xludf.DUMMYFUNCTION("""COMPUTED_VALUE"""),5.0)</f>
        <v>5</v>
      </c>
      <c r="O32" s="8">
        <f>IFERROR(__xludf.DUMMYFUNCTION("""COMPUTED_VALUE"""),5.0)</f>
        <v>5</v>
      </c>
      <c r="P32" s="8">
        <f>IFERROR(__xludf.DUMMYFUNCTION("""COMPUTED_VALUE"""),5.0)</f>
        <v>5</v>
      </c>
      <c r="Q32" s="8">
        <f>IFERROR(__xludf.DUMMYFUNCTION("""COMPUTED_VALUE"""),5.0)</f>
        <v>5</v>
      </c>
      <c r="R32" s="8">
        <f>IFERROR(__xludf.DUMMYFUNCTION("""COMPUTED_VALUE"""),5.0)</f>
        <v>5</v>
      </c>
      <c r="S32" s="8">
        <f>IFERROR(__xludf.DUMMYFUNCTION("""COMPUTED_VALUE"""),5.0)</f>
        <v>5</v>
      </c>
      <c r="T32" s="8">
        <f>IFERROR(__xludf.DUMMYFUNCTION("""COMPUTED_VALUE"""),5.0)</f>
        <v>5</v>
      </c>
      <c r="U32" s="8">
        <f t="shared" si="1"/>
        <v>75</v>
      </c>
      <c r="V32" s="119" t="str">
        <f t="shared" si="3"/>
        <v>Siap</v>
      </c>
      <c r="W32" s="119" t="str">
        <f t="shared" si="2"/>
        <v>bisa mengikuti pola pesantren dengan baik</v>
      </c>
      <c r="X32" s="8"/>
      <c r="Y32" s="8"/>
      <c r="Z32" s="8"/>
    </row>
    <row r="33">
      <c r="A33" s="123">
        <f>IFERROR(__xludf.DUMMYFUNCTION("""COMPUTED_VALUE"""),45926.71549793982)</f>
        <v>45926.7155</v>
      </c>
      <c r="B33" s="8" t="str">
        <f>IFERROR(__xludf.DUMMYFUNCTION("""COMPUTED_VALUE"""),"Nadira Salsabila apriliani ")</f>
        <v>Nadira Salsabila apriliani </v>
      </c>
      <c r="C33" s="8" t="str">
        <f>IFERROR(__xludf.DUMMYFUNCTION("""COMPUTED_VALUE"""),"E250007")</f>
        <v>E250007</v>
      </c>
      <c r="D33" s="8" t="str">
        <f>IFERROR(__xludf.DUMMYFUNCTION("""COMPUTED_VALUE"""),"I'dad Lughawiy Putri")</f>
        <v>I'dad Lughawiy Putri</v>
      </c>
      <c r="E33" s="8" t="str">
        <f>IFERROR(__xludf.DUMMYFUNCTION("""COMPUTED_VALUE"""),"Ya")</f>
        <v>Ya</v>
      </c>
      <c r="F33" s="8">
        <f>IFERROR(__xludf.DUMMYFUNCTION("""COMPUTED_VALUE"""),5.0)</f>
        <v>5</v>
      </c>
      <c r="G33" s="8">
        <f>IFERROR(__xludf.DUMMYFUNCTION("""COMPUTED_VALUE"""),5.0)</f>
        <v>5</v>
      </c>
      <c r="H33" s="8">
        <f>IFERROR(__xludf.DUMMYFUNCTION("""COMPUTED_VALUE"""),5.0)</f>
        <v>5</v>
      </c>
      <c r="I33" s="8">
        <f>IFERROR(__xludf.DUMMYFUNCTION("""COMPUTED_VALUE"""),5.0)</f>
        <v>5</v>
      </c>
      <c r="J33" s="8">
        <f>IFERROR(__xludf.DUMMYFUNCTION("""COMPUTED_VALUE"""),5.0)</f>
        <v>5</v>
      </c>
      <c r="K33" s="8">
        <f>IFERROR(__xludf.DUMMYFUNCTION("""COMPUTED_VALUE"""),1.0)</f>
        <v>1</v>
      </c>
      <c r="L33" s="8">
        <f>IFERROR(__xludf.DUMMYFUNCTION("""COMPUTED_VALUE"""),5.0)</f>
        <v>5</v>
      </c>
      <c r="M33" s="8">
        <f>IFERROR(__xludf.DUMMYFUNCTION("""COMPUTED_VALUE"""),5.0)</f>
        <v>5</v>
      </c>
      <c r="N33" s="8">
        <f>IFERROR(__xludf.DUMMYFUNCTION("""COMPUTED_VALUE"""),5.0)</f>
        <v>5</v>
      </c>
      <c r="O33" s="8">
        <f>IFERROR(__xludf.DUMMYFUNCTION("""COMPUTED_VALUE"""),5.0)</f>
        <v>5</v>
      </c>
      <c r="P33" s="8">
        <f>IFERROR(__xludf.DUMMYFUNCTION("""COMPUTED_VALUE"""),4.0)</f>
        <v>4</v>
      </c>
      <c r="Q33" s="8">
        <f>IFERROR(__xludf.DUMMYFUNCTION("""COMPUTED_VALUE"""),5.0)</f>
        <v>5</v>
      </c>
      <c r="R33" s="8">
        <f>IFERROR(__xludf.DUMMYFUNCTION("""COMPUTED_VALUE"""),5.0)</f>
        <v>5</v>
      </c>
      <c r="S33" s="8">
        <f>IFERROR(__xludf.DUMMYFUNCTION("""COMPUTED_VALUE"""),5.0)</f>
        <v>5</v>
      </c>
      <c r="T33" s="8">
        <f>IFERROR(__xludf.DUMMYFUNCTION("""COMPUTED_VALUE"""),5.0)</f>
        <v>5</v>
      </c>
      <c r="U33" s="8">
        <f t="shared" si="1"/>
        <v>70</v>
      </c>
      <c r="V33" s="119" t="str">
        <f t="shared" si="3"/>
        <v>Siap</v>
      </c>
      <c r="W33" s="119" t="str">
        <f t="shared" si="2"/>
        <v>bisa mengikuti pola pesantren dengan baik</v>
      </c>
      <c r="X33" s="8"/>
      <c r="Y33" s="8"/>
      <c r="Z33" s="8"/>
    </row>
    <row r="34">
      <c r="A34" s="123">
        <f>IFERROR(__xludf.DUMMYFUNCTION("""COMPUTED_VALUE"""),45926.816202256945)</f>
        <v>45926.8162</v>
      </c>
      <c r="B34" s="8" t="str">
        <f>IFERROR(__xludf.DUMMYFUNCTION("""COMPUTED_VALUE"""),"Satria Panca Desmara")</f>
        <v>Satria Panca Desmara</v>
      </c>
      <c r="C34" s="8" t="str">
        <f>IFERROR(__xludf.DUMMYFUNCTION("""COMPUTED_VALUE"""),"A250028")</f>
        <v>A250028</v>
      </c>
      <c r="D34" s="8" t="str">
        <f>IFERROR(__xludf.DUMMYFUNCTION("""COMPUTED_VALUE"""),"MTs Putra")</f>
        <v>MTs Putra</v>
      </c>
      <c r="E34" s="8" t="str">
        <f>IFERROR(__xludf.DUMMYFUNCTION("""COMPUTED_VALUE"""),"Ya")</f>
        <v>Ya</v>
      </c>
      <c r="F34" s="8">
        <f>IFERROR(__xludf.DUMMYFUNCTION("""COMPUTED_VALUE"""),5.0)</f>
        <v>5</v>
      </c>
      <c r="G34" s="8">
        <f>IFERROR(__xludf.DUMMYFUNCTION("""COMPUTED_VALUE"""),5.0)</f>
        <v>5</v>
      </c>
      <c r="H34" s="8">
        <f>IFERROR(__xludf.DUMMYFUNCTION("""COMPUTED_VALUE"""),4.0)</f>
        <v>4</v>
      </c>
      <c r="I34" s="8">
        <f>IFERROR(__xludf.DUMMYFUNCTION("""COMPUTED_VALUE"""),5.0)</f>
        <v>5</v>
      </c>
      <c r="J34" s="8">
        <f>IFERROR(__xludf.DUMMYFUNCTION("""COMPUTED_VALUE"""),5.0)</f>
        <v>5</v>
      </c>
      <c r="K34" s="8">
        <f>IFERROR(__xludf.DUMMYFUNCTION("""COMPUTED_VALUE"""),5.0)</f>
        <v>5</v>
      </c>
      <c r="L34" s="8">
        <f>IFERROR(__xludf.DUMMYFUNCTION("""COMPUTED_VALUE"""),5.0)</f>
        <v>5</v>
      </c>
      <c r="M34" s="8">
        <f>IFERROR(__xludf.DUMMYFUNCTION("""COMPUTED_VALUE"""),5.0)</f>
        <v>5</v>
      </c>
      <c r="N34" s="8">
        <f>IFERROR(__xludf.DUMMYFUNCTION("""COMPUTED_VALUE"""),5.0)</f>
        <v>5</v>
      </c>
      <c r="O34" s="8">
        <f>IFERROR(__xludf.DUMMYFUNCTION("""COMPUTED_VALUE"""),5.0)</f>
        <v>5</v>
      </c>
      <c r="P34" s="8">
        <f>IFERROR(__xludf.DUMMYFUNCTION("""COMPUTED_VALUE"""),5.0)</f>
        <v>5</v>
      </c>
      <c r="Q34" s="8">
        <f>IFERROR(__xludf.DUMMYFUNCTION("""COMPUTED_VALUE"""),4.0)</f>
        <v>4</v>
      </c>
      <c r="R34" s="8">
        <f>IFERROR(__xludf.DUMMYFUNCTION("""COMPUTED_VALUE"""),5.0)</f>
        <v>5</v>
      </c>
      <c r="S34" s="8">
        <f>IFERROR(__xludf.DUMMYFUNCTION("""COMPUTED_VALUE"""),5.0)</f>
        <v>5</v>
      </c>
      <c r="T34" s="8">
        <f>IFERROR(__xludf.DUMMYFUNCTION("""COMPUTED_VALUE"""),5.0)</f>
        <v>5</v>
      </c>
      <c r="U34" s="8">
        <f t="shared" si="1"/>
        <v>73</v>
      </c>
      <c r="V34" s="119" t="str">
        <f t="shared" si="3"/>
        <v>Siap</v>
      </c>
      <c r="W34" s="119" t="str">
        <f t="shared" si="2"/>
        <v>bisa mengikuti pola pesantren dengan baik</v>
      </c>
      <c r="X34" s="8"/>
      <c r="Y34" s="8"/>
      <c r="Z34" s="8"/>
    </row>
    <row r="35">
      <c r="A35" s="123">
        <f>IFERROR(__xludf.DUMMYFUNCTION("""COMPUTED_VALUE"""),45926.85962834491)</f>
        <v>45926.85963</v>
      </c>
      <c r="B35" s="8" t="str">
        <f>IFERROR(__xludf.DUMMYFUNCTION("""COMPUTED_VALUE"""),"Hanifah Qurrotul 'Ain ")</f>
        <v>Hanifah Qurrotul 'Ain </v>
      </c>
      <c r="C35" s="8" t="str">
        <f>IFERROR(__xludf.DUMMYFUNCTION("""COMPUTED_VALUE"""),"D250002")</f>
        <v>D250002</v>
      </c>
      <c r="D35" s="8" t="str">
        <f>IFERROR(__xludf.DUMMYFUNCTION("""COMPUTED_VALUE"""),"MTs Putri")</f>
        <v>MTs Putri</v>
      </c>
      <c r="E35" s="8" t="str">
        <f>IFERROR(__xludf.DUMMYFUNCTION("""COMPUTED_VALUE"""),"Ya")</f>
        <v>Ya</v>
      </c>
      <c r="F35" s="8">
        <f>IFERROR(__xludf.DUMMYFUNCTION("""COMPUTED_VALUE"""),5.0)</f>
        <v>5</v>
      </c>
      <c r="G35" s="8">
        <f>IFERROR(__xludf.DUMMYFUNCTION("""COMPUTED_VALUE"""),5.0)</f>
        <v>5</v>
      </c>
      <c r="H35" s="8">
        <f>IFERROR(__xludf.DUMMYFUNCTION("""COMPUTED_VALUE"""),4.0)</f>
        <v>4</v>
      </c>
      <c r="I35" s="8">
        <f>IFERROR(__xludf.DUMMYFUNCTION("""COMPUTED_VALUE"""),4.0)</f>
        <v>4</v>
      </c>
      <c r="J35" s="8">
        <f>IFERROR(__xludf.DUMMYFUNCTION("""COMPUTED_VALUE"""),3.0)</f>
        <v>3</v>
      </c>
      <c r="K35" s="8">
        <f>IFERROR(__xludf.DUMMYFUNCTION("""COMPUTED_VALUE"""),3.0)</f>
        <v>3</v>
      </c>
      <c r="L35" s="8">
        <f>IFERROR(__xludf.DUMMYFUNCTION("""COMPUTED_VALUE"""),4.0)</f>
        <v>4</v>
      </c>
      <c r="M35" s="8">
        <f>IFERROR(__xludf.DUMMYFUNCTION("""COMPUTED_VALUE"""),4.0)</f>
        <v>4</v>
      </c>
      <c r="N35" s="8">
        <f>IFERROR(__xludf.DUMMYFUNCTION("""COMPUTED_VALUE"""),5.0)</f>
        <v>5</v>
      </c>
      <c r="O35" s="8">
        <f>IFERROR(__xludf.DUMMYFUNCTION("""COMPUTED_VALUE"""),5.0)</f>
        <v>5</v>
      </c>
      <c r="P35" s="8">
        <f>IFERROR(__xludf.DUMMYFUNCTION("""COMPUTED_VALUE"""),4.0)</f>
        <v>4</v>
      </c>
      <c r="Q35" s="8">
        <f>IFERROR(__xludf.DUMMYFUNCTION("""COMPUTED_VALUE"""),4.0)</f>
        <v>4</v>
      </c>
      <c r="R35" s="8">
        <f>IFERROR(__xludf.DUMMYFUNCTION("""COMPUTED_VALUE"""),5.0)</f>
        <v>5</v>
      </c>
      <c r="S35" s="8">
        <f>IFERROR(__xludf.DUMMYFUNCTION("""COMPUTED_VALUE"""),5.0)</f>
        <v>5</v>
      </c>
      <c r="T35" s="8">
        <f>IFERROR(__xludf.DUMMYFUNCTION("""COMPUTED_VALUE"""),4.0)</f>
        <v>4</v>
      </c>
      <c r="U35" s="8">
        <f t="shared" si="1"/>
        <v>64</v>
      </c>
      <c r="V35" s="119" t="str">
        <f t="shared" si="3"/>
        <v>Siap</v>
      </c>
      <c r="W35" s="119" t="str">
        <f t="shared" si="2"/>
        <v>bisa mengikuti pola pesantren dengan baik</v>
      </c>
      <c r="X35" s="8"/>
      <c r="Y35" s="8"/>
      <c r="Z35" s="8"/>
    </row>
    <row r="36">
      <c r="A36" s="123">
        <f>IFERROR(__xludf.DUMMYFUNCTION("""COMPUTED_VALUE"""),45926.86135402777)</f>
        <v>45926.86135</v>
      </c>
      <c r="B36" s="8" t="str">
        <f>IFERROR(__xludf.DUMMYFUNCTION("""COMPUTED_VALUE"""),"Muhammad Asyam Abdullah ")</f>
        <v>Muhammad Asyam Abdullah </v>
      </c>
      <c r="C36" s="8" t="str">
        <f>IFERROR(__xludf.DUMMYFUNCTION("""COMPUTED_VALUE"""),"A250010")</f>
        <v>A250010</v>
      </c>
      <c r="D36" s="8" t="str">
        <f>IFERROR(__xludf.DUMMYFUNCTION("""COMPUTED_VALUE"""),"MTs Putra")</f>
        <v>MTs Putra</v>
      </c>
      <c r="E36" s="8" t="str">
        <f>IFERROR(__xludf.DUMMYFUNCTION("""COMPUTED_VALUE"""),"Ya")</f>
        <v>Ya</v>
      </c>
      <c r="F36" s="8">
        <f>IFERROR(__xludf.DUMMYFUNCTION("""COMPUTED_VALUE"""),5.0)</f>
        <v>5</v>
      </c>
      <c r="G36" s="8">
        <f>IFERROR(__xludf.DUMMYFUNCTION("""COMPUTED_VALUE"""),4.0)</f>
        <v>4</v>
      </c>
      <c r="H36" s="8">
        <f>IFERROR(__xludf.DUMMYFUNCTION("""COMPUTED_VALUE"""),3.0)</f>
        <v>3</v>
      </c>
      <c r="I36" s="8">
        <f>IFERROR(__xludf.DUMMYFUNCTION("""COMPUTED_VALUE"""),3.0)</f>
        <v>3</v>
      </c>
      <c r="J36" s="8">
        <f>IFERROR(__xludf.DUMMYFUNCTION("""COMPUTED_VALUE"""),4.0)</f>
        <v>4</v>
      </c>
      <c r="K36" s="8">
        <f>IFERROR(__xludf.DUMMYFUNCTION("""COMPUTED_VALUE"""),4.0)</f>
        <v>4</v>
      </c>
      <c r="L36" s="8">
        <f>IFERROR(__xludf.DUMMYFUNCTION("""COMPUTED_VALUE"""),4.0)</f>
        <v>4</v>
      </c>
      <c r="M36" s="8">
        <f>IFERROR(__xludf.DUMMYFUNCTION("""COMPUTED_VALUE"""),4.0)</f>
        <v>4</v>
      </c>
      <c r="N36" s="8">
        <f>IFERROR(__xludf.DUMMYFUNCTION("""COMPUTED_VALUE"""),3.0)</f>
        <v>3</v>
      </c>
      <c r="O36" s="8">
        <f>IFERROR(__xludf.DUMMYFUNCTION("""COMPUTED_VALUE"""),4.0)</f>
        <v>4</v>
      </c>
      <c r="P36" s="8">
        <f>IFERROR(__xludf.DUMMYFUNCTION("""COMPUTED_VALUE"""),4.0)</f>
        <v>4</v>
      </c>
      <c r="Q36" s="8">
        <f>IFERROR(__xludf.DUMMYFUNCTION("""COMPUTED_VALUE"""),4.0)</f>
        <v>4</v>
      </c>
      <c r="R36" s="8">
        <f>IFERROR(__xludf.DUMMYFUNCTION("""COMPUTED_VALUE"""),4.0)</f>
        <v>4</v>
      </c>
      <c r="S36" s="8">
        <f>IFERROR(__xludf.DUMMYFUNCTION("""COMPUTED_VALUE"""),4.0)</f>
        <v>4</v>
      </c>
      <c r="T36" s="8">
        <f>IFERROR(__xludf.DUMMYFUNCTION("""COMPUTED_VALUE"""),4.0)</f>
        <v>4</v>
      </c>
      <c r="U36" s="8">
        <f t="shared" si="1"/>
        <v>58</v>
      </c>
      <c r="V36" s="119" t="str">
        <f t="shared" si="3"/>
        <v>Siap</v>
      </c>
      <c r="W36" s="119" t="str">
        <f t="shared" si="2"/>
        <v>bisa mengikuti pola pesantren dengan baik</v>
      </c>
      <c r="X36" s="8"/>
      <c r="Y36" s="8"/>
      <c r="Z36" s="8"/>
    </row>
    <row r="37">
      <c r="A37" s="123">
        <f>IFERROR(__xludf.DUMMYFUNCTION("""COMPUTED_VALUE"""),45927.30095143519)</f>
        <v>45927.30095</v>
      </c>
      <c r="B37" s="8" t="str">
        <f>IFERROR(__xludf.DUMMYFUNCTION("""COMPUTED_VALUE"""),"MUHAMMAD HANIF ASH SHIDDIQ")</f>
        <v>MUHAMMAD HANIF ASH SHIDDIQ</v>
      </c>
      <c r="C37" s="8" t="str">
        <f>IFERROR(__xludf.DUMMYFUNCTION("""COMPUTED_VALUE"""),"A250048")</f>
        <v>A250048</v>
      </c>
      <c r="D37" s="8" t="str">
        <f>IFERROR(__xludf.DUMMYFUNCTION("""COMPUTED_VALUE"""),"MTs Putra")</f>
        <v>MTs Putra</v>
      </c>
      <c r="E37" s="8" t="str">
        <f>IFERROR(__xludf.DUMMYFUNCTION("""COMPUTED_VALUE"""),"Ya")</f>
        <v>Ya</v>
      </c>
      <c r="F37" s="8">
        <f>IFERROR(__xludf.DUMMYFUNCTION("""COMPUTED_VALUE"""),4.0)</f>
        <v>4</v>
      </c>
      <c r="G37" s="8">
        <f>IFERROR(__xludf.DUMMYFUNCTION("""COMPUTED_VALUE"""),5.0)</f>
        <v>5</v>
      </c>
      <c r="H37" s="8">
        <f>IFERROR(__xludf.DUMMYFUNCTION("""COMPUTED_VALUE"""),5.0)</f>
        <v>5</v>
      </c>
      <c r="I37" s="8">
        <f>IFERROR(__xludf.DUMMYFUNCTION("""COMPUTED_VALUE"""),4.0)</f>
        <v>4</v>
      </c>
      <c r="J37" s="8">
        <f>IFERROR(__xludf.DUMMYFUNCTION("""COMPUTED_VALUE"""),3.0)</f>
        <v>3</v>
      </c>
      <c r="K37" s="8">
        <f>IFERROR(__xludf.DUMMYFUNCTION("""COMPUTED_VALUE"""),5.0)</f>
        <v>5</v>
      </c>
      <c r="L37" s="8">
        <f>IFERROR(__xludf.DUMMYFUNCTION("""COMPUTED_VALUE"""),5.0)</f>
        <v>5</v>
      </c>
      <c r="M37" s="8">
        <f>IFERROR(__xludf.DUMMYFUNCTION("""COMPUTED_VALUE"""),5.0)</f>
        <v>5</v>
      </c>
      <c r="N37" s="8">
        <f>IFERROR(__xludf.DUMMYFUNCTION("""COMPUTED_VALUE"""),5.0)</f>
        <v>5</v>
      </c>
      <c r="O37" s="8">
        <f>IFERROR(__xludf.DUMMYFUNCTION("""COMPUTED_VALUE"""),5.0)</f>
        <v>5</v>
      </c>
      <c r="P37" s="8">
        <f>IFERROR(__xludf.DUMMYFUNCTION("""COMPUTED_VALUE"""),4.0)</f>
        <v>4</v>
      </c>
      <c r="Q37" s="8">
        <f>IFERROR(__xludf.DUMMYFUNCTION("""COMPUTED_VALUE"""),4.0)</f>
        <v>4</v>
      </c>
      <c r="R37" s="8">
        <f>IFERROR(__xludf.DUMMYFUNCTION("""COMPUTED_VALUE"""),5.0)</f>
        <v>5</v>
      </c>
      <c r="S37" s="8">
        <f>IFERROR(__xludf.DUMMYFUNCTION("""COMPUTED_VALUE"""),5.0)</f>
        <v>5</v>
      </c>
      <c r="T37" s="8">
        <f>IFERROR(__xludf.DUMMYFUNCTION("""COMPUTED_VALUE"""),4.0)</f>
        <v>4</v>
      </c>
      <c r="U37" s="8">
        <f t="shared" si="1"/>
        <v>68</v>
      </c>
      <c r="V37" s="119" t="str">
        <f t="shared" si="3"/>
        <v>Siap</v>
      </c>
      <c r="W37" s="119" t="str">
        <f t="shared" si="2"/>
        <v>bisa mengikuti pola pesantren dengan baik</v>
      </c>
      <c r="X37" s="8"/>
      <c r="Y37" s="8"/>
      <c r="Z37" s="8"/>
    </row>
    <row r="38">
      <c r="A38" s="123">
        <f>IFERROR(__xludf.DUMMYFUNCTION("""COMPUTED_VALUE"""),45927.42062710648)</f>
        <v>45927.42063</v>
      </c>
      <c r="B38" s="8" t="str">
        <f>IFERROR(__xludf.DUMMYFUNCTION("""COMPUTED_VALUE"""),"Alesha az zahra saputra")</f>
        <v>Alesha az zahra saputra</v>
      </c>
      <c r="C38" s="8" t="str">
        <f>IFERROR(__xludf.DUMMYFUNCTION("""COMPUTED_VALUE"""),"D250011")</f>
        <v>D250011</v>
      </c>
      <c r="D38" s="8" t="str">
        <f>IFERROR(__xludf.DUMMYFUNCTION("""COMPUTED_VALUE"""),"MTs Putri")</f>
        <v>MTs Putri</v>
      </c>
      <c r="E38" s="8" t="str">
        <f>IFERROR(__xludf.DUMMYFUNCTION("""COMPUTED_VALUE"""),"Ya")</f>
        <v>Ya</v>
      </c>
      <c r="F38" s="8">
        <f>IFERROR(__xludf.DUMMYFUNCTION("""COMPUTED_VALUE"""),5.0)</f>
        <v>5</v>
      </c>
      <c r="G38" s="8">
        <f>IFERROR(__xludf.DUMMYFUNCTION("""COMPUTED_VALUE"""),5.0)</f>
        <v>5</v>
      </c>
      <c r="H38" s="8">
        <f>IFERROR(__xludf.DUMMYFUNCTION("""COMPUTED_VALUE"""),5.0)</f>
        <v>5</v>
      </c>
      <c r="I38" s="8">
        <f>IFERROR(__xludf.DUMMYFUNCTION("""COMPUTED_VALUE"""),5.0)</f>
        <v>5</v>
      </c>
      <c r="J38" s="8">
        <f>IFERROR(__xludf.DUMMYFUNCTION("""COMPUTED_VALUE"""),5.0)</f>
        <v>5</v>
      </c>
      <c r="K38" s="8">
        <f>IFERROR(__xludf.DUMMYFUNCTION("""COMPUTED_VALUE"""),4.0)</f>
        <v>4</v>
      </c>
      <c r="L38" s="8">
        <f>IFERROR(__xludf.DUMMYFUNCTION("""COMPUTED_VALUE"""),5.0)</f>
        <v>5</v>
      </c>
      <c r="M38" s="8">
        <f>IFERROR(__xludf.DUMMYFUNCTION("""COMPUTED_VALUE"""),5.0)</f>
        <v>5</v>
      </c>
      <c r="N38" s="8">
        <f>IFERROR(__xludf.DUMMYFUNCTION("""COMPUTED_VALUE"""),5.0)</f>
        <v>5</v>
      </c>
      <c r="O38" s="8">
        <f>IFERROR(__xludf.DUMMYFUNCTION("""COMPUTED_VALUE"""),4.0)</f>
        <v>4</v>
      </c>
      <c r="P38" s="8">
        <f>IFERROR(__xludf.DUMMYFUNCTION("""COMPUTED_VALUE"""),5.0)</f>
        <v>5</v>
      </c>
      <c r="Q38" s="8">
        <f>IFERROR(__xludf.DUMMYFUNCTION("""COMPUTED_VALUE"""),4.0)</f>
        <v>4</v>
      </c>
      <c r="R38" s="8">
        <f>IFERROR(__xludf.DUMMYFUNCTION("""COMPUTED_VALUE"""),5.0)</f>
        <v>5</v>
      </c>
      <c r="S38" s="8">
        <f>IFERROR(__xludf.DUMMYFUNCTION("""COMPUTED_VALUE"""),5.0)</f>
        <v>5</v>
      </c>
      <c r="T38" s="8">
        <f>IFERROR(__xludf.DUMMYFUNCTION("""COMPUTED_VALUE"""),5.0)</f>
        <v>5</v>
      </c>
      <c r="U38" s="8">
        <f t="shared" si="1"/>
        <v>72</v>
      </c>
      <c r="V38" s="119" t="str">
        <f t="shared" si="3"/>
        <v>Siap</v>
      </c>
      <c r="W38" s="119" t="str">
        <f t="shared" si="2"/>
        <v>bisa mengikuti pola pesantren dengan baik</v>
      </c>
      <c r="X38" s="8"/>
      <c r="Y38" s="8"/>
      <c r="Z38" s="8"/>
    </row>
    <row r="39">
      <c r="A39" s="123">
        <f>IFERROR(__xludf.DUMMYFUNCTION("""COMPUTED_VALUE"""),45927.431759178246)</f>
        <v>45927.43176</v>
      </c>
      <c r="B39" s="8" t="str">
        <f>IFERROR(__xludf.DUMMYFUNCTION("""COMPUTED_VALUE"""),"Janeeta Candy Hinata")</f>
        <v>Janeeta Candy Hinata</v>
      </c>
      <c r="C39" s="8" t="str">
        <f>IFERROR(__xludf.DUMMYFUNCTION("""COMPUTED_VALUE"""),"D250004")</f>
        <v>D250004</v>
      </c>
      <c r="D39" s="8" t="str">
        <f>IFERROR(__xludf.DUMMYFUNCTION("""COMPUTED_VALUE"""),"MTs Putri")</f>
        <v>MTs Putri</v>
      </c>
      <c r="E39" s="8" t="str">
        <f>IFERROR(__xludf.DUMMYFUNCTION("""COMPUTED_VALUE"""),"Ya")</f>
        <v>Ya</v>
      </c>
      <c r="F39" s="8">
        <f>IFERROR(__xludf.DUMMYFUNCTION("""COMPUTED_VALUE"""),5.0)</f>
        <v>5</v>
      </c>
      <c r="G39" s="8">
        <f>IFERROR(__xludf.DUMMYFUNCTION("""COMPUTED_VALUE"""),5.0)</f>
        <v>5</v>
      </c>
      <c r="H39" s="8">
        <f>IFERROR(__xludf.DUMMYFUNCTION("""COMPUTED_VALUE"""),5.0)</f>
        <v>5</v>
      </c>
      <c r="I39" s="8">
        <f>IFERROR(__xludf.DUMMYFUNCTION("""COMPUTED_VALUE"""),5.0)</f>
        <v>5</v>
      </c>
      <c r="J39" s="8">
        <f>IFERROR(__xludf.DUMMYFUNCTION("""COMPUTED_VALUE"""),5.0)</f>
        <v>5</v>
      </c>
      <c r="K39" s="8">
        <f>IFERROR(__xludf.DUMMYFUNCTION("""COMPUTED_VALUE"""),5.0)</f>
        <v>5</v>
      </c>
      <c r="L39" s="8">
        <f>IFERROR(__xludf.DUMMYFUNCTION("""COMPUTED_VALUE"""),5.0)</f>
        <v>5</v>
      </c>
      <c r="M39" s="8">
        <f>IFERROR(__xludf.DUMMYFUNCTION("""COMPUTED_VALUE"""),5.0)</f>
        <v>5</v>
      </c>
      <c r="N39" s="8">
        <f>IFERROR(__xludf.DUMMYFUNCTION("""COMPUTED_VALUE"""),5.0)</f>
        <v>5</v>
      </c>
      <c r="O39" s="8">
        <f>IFERROR(__xludf.DUMMYFUNCTION("""COMPUTED_VALUE"""),5.0)</f>
        <v>5</v>
      </c>
      <c r="P39" s="8">
        <f>IFERROR(__xludf.DUMMYFUNCTION("""COMPUTED_VALUE"""),5.0)</f>
        <v>5</v>
      </c>
      <c r="Q39" s="8">
        <f>IFERROR(__xludf.DUMMYFUNCTION("""COMPUTED_VALUE"""),5.0)</f>
        <v>5</v>
      </c>
      <c r="R39" s="8">
        <f>IFERROR(__xludf.DUMMYFUNCTION("""COMPUTED_VALUE"""),5.0)</f>
        <v>5</v>
      </c>
      <c r="S39" s="8">
        <f>IFERROR(__xludf.DUMMYFUNCTION("""COMPUTED_VALUE"""),5.0)</f>
        <v>5</v>
      </c>
      <c r="T39" s="8">
        <f>IFERROR(__xludf.DUMMYFUNCTION("""COMPUTED_VALUE"""),4.0)</f>
        <v>4</v>
      </c>
      <c r="U39" s="8">
        <f t="shared" si="1"/>
        <v>74</v>
      </c>
      <c r="V39" s="119" t="str">
        <f t="shared" si="3"/>
        <v>Siap</v>
      </c>
      <c r="W39" s="119" t="str">
        <f t="shared" si="2"/>
        <v>bisa mengikuti pola pesantren dengan baik</v>
      </c>
      <c r="X39" s="8"/>
      <c r="Y39" s="8"/>
      <c r="Z39" s="8"/>
    </row>
    <row r="40">
      <c r="A40" s="123">
        <f>IFERROR(__xludf.DUMMYFUNCTION("""COMPUTED_VALUE"""),45927.481688831016)</f>
        <v>45927.48169</v>
      </c>
      <c r="B40" s="8" t="str">
        <f>IFERROR(__xludf.DUMMYFUNCTION("""COMPUTED_VALUE"""),"NOUVALLDY FARZANI PRAYOGA")</f>
        <v>NOUVALLDY FARZANI PRAYOGA</v>
      </c>
      <c r="C40" s="8" t="str">
        <f>IFERROR(__xludf.DUMMYFUNCTION("""COMPUTED_VALUE"""),"A250023")</f>
        <v>A250023</v>
      </c>
      <c r="D40" s="8" t="str">
        <f>IFERROR(__xludf.DUMMYFUNCTION("""COMPUTED_VALUE"""),"MTs Putra")</f>
        <v>MTs Putra</v>
      </c>
      <c r="E40" s="8" t="str">
        <f>IFERROR(__xludf.DUMMYFUNCTION("""COMPUTED_VALUE"""),"Ya")</f>
        <v>Ya</v>
      </c>
      <c r="F40" s="8">
        <f>IFERROR(__xludf.DUMMYFUNCTION("""COMPUTED_VALUE"""),4.0)</f>
        <v>4</v>
      </c>
      <c r="G40" s="8">
        <f>IFERROR(__xludf.DUMMYFUNCTION("""COMPUTED_VALUE"""),5.0)</f>
        <v>5</v>
      </c>
      <c r="H40" s="8">
        <f>IFERROR(__xludf.DUMMYFUNCTION("""COMPUTED_VALUE"""),5.0)</f>
        <v>5</v>
      </c>
      <c r="I40" s="8">
        <f>IFERROR(__xludf.DUMMYFUNCTION("""COMPUTED_VALUE"""),5.0)</f>
        <v>5</v>
      </c>
      <c r="J40" s="8">
        <f>IFERROR(__xludf.DUMMYFUNCTION("""COMPUTED_VALUE"""),5.0)</f>
        <v>5</v>
      </c>
      <c r="K40" s="8">
        <f>IFERROR(__xludf.DUMMYFUNCTION("""COMPUTED_VALUE"""),4.0)</f>
        <v>4</v>
      </c>
      <c r="L40" s="8">
        <f>IFERROR(__xludf.DUMMYFUNCTION("""COMPUTED_VALUE"""),5.0)</f>
        <v>5</v>
      </c>
      <c r="M40" s="8">
        <f>IFERROR(__xludf.DUMMYFUNCTION("""COMPUTED_VALUE"""),5.0)</f>
        <v>5</v>
      </c>
      <c r="N40" s="8">
        <f>IFERROR(__xludf.DUMMYFUNCTION("""COMPUTED_VALUE"""),4.0)</f>
        <v>4</v>
      </c>
      <c r="O40" s="8">
        <f>IFERROR(__xludf.DUMMYFUNCTION("""COMPUTED_VALUE"""),5.0)</f>
        <v>5</v>
      </c>
      <c r="P40" s="8">
        <f>IFERROR(__xludf.DUMMYFUNCTION("""COMPUTED_VALUE"""),4.0)</f>
        <v>4</v>
      </c>
      <c r="Q40" s="8">
        <f>IFERROR(__xludf.DUMMYFUNCTION("""COMPUTED_VALUE"""),5.0)</f>
        <v>5</v>
      </c>
      <c r="R40" s="8">
        <f>IFERROR(__xludf.DUMMYFUNCTION("""COMPUTED_VALUE"""),5.0)</f>
        <v>5</v>
      </c>
      <c r="S40" s="8">
        <f>IFERROR(__xludf.DUMMYFUNCTION("""COMPUTED_VALUE"""),4.0)</f>
        <v>4</v>
      </c>
      <c r="T40" s="8">
        <f>IFERROR(__xludf.DUMMYFUNCTION("""COMPUTED_VALUE"""),5.0)</f>
        <v>5</v>
      </c>
      <c r="U40" s="8">
        <f t="shared" si="1"/>
        <v>70</v>
      </c>
      <c r="V40" s="119" t="str">
        <f t="shared" si="3"/>
        <v>Siap</v>
      </c>
      <c r="W40" s="119" t="str">
        <f t="shared" si="2"/>
        <v>bisa mengikuti pola pesantren dengan baik</v>
      </c>
      <c r="X40" s="8"/>
      <c r="Y40" s="8"/>
      <c r="Z40" s="8"/>
    </row>
    <row r="41">
      <c r="A41" s="123">
        <f>IFERROR(__xludf.DUMMYFUNCTION("""COMPUTED_VALUE"""),45927.63791449074)</f>
        <v>45927.63791</v>
      </c>
      <c r="B41" s="8" t="str">
        <f>IFERROR(__xludf.DUMMYFUNCTION("""COMPUTED_VALUE"""),"Muhammad Kamil Athaillah Rizki")</f>
        <v>Muhammad Kamil Athaillah Rizki</v>
      </c>
      <c r="C41" s="8" t="str">
        <f>IFERROR(__xludf.DUMMYFUNCTION("""COMPUTED_VALUE"""),"A250053")</f>
        <v>A250053</v>
      </c>
      <c r="D41" s="8" t="str">
        <f>IFERROR(__xludf.DUMMYFUNCTION("""COMPUTED_VALUE"""),"MTs Putra")</f>
        <v>MTs Putra</v>
      </c>
      <c r="E41" s="8" t="str">
        <f>IFERROR(__xludf.DUMMYFUNCTION("""COMPUTED_VALUE"""),"Ya")</f>
        <v>Ya</v>
      </c>
      <c r="F41" s="8">
        <f>IFERROR(__xludf.DUMMYFUNCTION("""COMPUTED_VALUE"""),4.0)</f>
        <v>4</v>
      </c>
      <c r="G41" s="8">
        <f>IFERROR(__xludf.DUMMYFUNCTION("""COMPUTED_VALUE"""),3.0)</f>
        <v>3</v>
      </c>
      <c r="H41" s="8">
        <f>IFERROR(__xludf.DUMMYFUNCTION("""COMPUTED_VALUE"""),5.0)</f>
        <v>5</v>
      </c>
      <c r="I41" s="8">
        <f>IFERROR(__xludf.DUMMYFUNCTION("""COMPUTED_VALUE"""),4.0)</f>
        <v>4</v>
      </c>
      <c r="J41" s="8">
        <f>IFERROR(__xludf.DUMMYFUNCTION("""COMPUTED_VALUE"""),3.0)</f>
        <v>3</v>
      </c>
      <c r="K41" s="8">
        <f>IFERROR(__xludf.DUMMYFUNCTION("""COMPUTED_VALUE"""),5.0)</f>
        <v>5</v>
      </c>
      <c r="L41" s="8">
        <f>IFERROR(__xludf.DUMMYFUNCTION("""COMPUTED_VALUE"""),4.0)</f>
        <v>4</v>
      </c>
      <c r="M41" s="8">
        <f>IFERROR(__xludf.DUMMYFUNCTION("""COMPUTED_VALUE"""),5.0)</f>
        <v>5</v>
      </c>
      <c r="N41" s="8">
        <f>IFERROR(__xludf.DUMMYFUNCTION("""COMPUTED_VALUE"""),5.0)</f>
        <v>5</v>
      </c>
      <c r="O41" s="8">
        <f>IFERROR(__xludf.DUMMYFUNCTION("""COMPUTED_VALUE"""),4.0)</f>
        <v>4</v>
      </c>
      <c r="P41" s="8">
        <f>IFERROR(__xludf.DUMMYFUNCTION("""COMPUTED_VALUE"""),5.0)</f>
        <v>5</v>
      </c>
      <c r="Q41" s="8">
        <f>IFERROR(__xludf.DUMMYFUNCTION("""COMPUTED_VALUE"""),5.0)</f>
        <v>5</v>
      </c>
      <c r="R41" s="8">
        <f>IFERROR(__xludf.DUMMYFUNCTION("""COMPUTED_VALUE"""),4.0)</f>
        <v>4</v>
      </c>
      <c r="S41" s="8">
        <f>IFERROR(__xludf.DUMMYFUNCTION("""COMPUTED_VALUE"""),5.0)</f>
        <v>5</v>
      </c>
      <c r="T41" s="8">
        <f>IFERROR(__xludf.DUMMYFUNCTION("""COMPUTED_VALUE"""),3.0)</f>
        <v>3</v>
      </c>
      <c r="U41" s="8">
        <f t="shared" si="1"/>
        <v>64</v>
      </c>
      <c r="V41" s="119" t="str">
        <f t="shared" si="3"/>
        <v>Siap</v>
      </c>
      <c r="W41" s="119" t="str">
        <f t="shared" si="2"/>
        <v>bisa mengikuti pola pesantren dengan baik</v>
      </c>
      <c r="X41" s="8"/>
      <c r="Y41" s="8"/>
      <c r="Z41" s="8"/>
    </row>
    <row r="42">
      <c r="A42" s="123">
        <f>IFERROR(__xludf.DUMMYFUNCTION("""COMPUTED_VALUE"""),45927.64291527778)</f>
        <v>45927.64292</v>
      </c>
      <c r="B42" s="8" t="str">
        <f>IFERROR(__xludf.DUMMYFUNCTION("""COMPUTED_VALUE"""),"Hibban hibaturrahman")</f>
        <v>Hibban hibaturrahman</v>
      </c>
      <c r="C42" s="8" t="str">
        <f>IFERROR(__xludf.DUMMYFUNCTION("""COMPUTED_VALUE"""),"C250003")</f>
        <v>C250003</v>
      </c>
      <c r="D42" s="8" t="str">
        <f>IFERROR(__xludf.DUMMYFUNCTION("""COMPUTED_VALUE"""),"SMA")</f>
        <v>SMA</v>
      </c>
      <c r="E42" s="8" t="str">
        <f>IFERROR(__xludf.DUMMYFUNCTION("""COMPUTED_VALUE"""),"Ya")</f>
        <v>Ya</v>
      </c>
      <c r="F42" s="8">
        <f>IFERROR(__xludf.DUMMYFUNCTION("""COMPUTED_VALUE"""),4.0)</f>
        <v>4</v>
      </c>
      <c r="G42" s="8">
        <f>IFERROR(__xludf.DUMMYFUNCTION("""COMPUTED_VALUE"""),5.0)</f>
        <v>5</v>
      </c>
      <c r="H42" s="8">
        <f>IFERROR(__xludf.DUMMYFUNCTION("""COMPUTED_VALUE"""),4.0)</f>
        <v>4</v>
      </c>
      <c r="I42" s="8">
        <f>IFERROR(__xludf.DUMMYFUNCTION("""COMPUTED_VALUE"""),3.0)</f>
        <v>3</v>
      </c>
      <c r="J42" s="8">
        <f>IFERROR(__xludf.DUMMYFUNCTION("""COMPUTED_VALUE"""),4.0)</f>
        <v>4</v>
      </c>
      <c r="K42" s="8">
        <f>IFERROR(__xludf.DUMMYFUNCTION("""COMPUTED_VALUE"""),4.0)</f>
        <v>4</v>
      </c>
      <c r="L42" s="8">
        <f>IFERROR(__xludf.DUMMYFUNCTION("""COMPUTED_VALUE"""),4.0)</f>
        <v>4</v>
      </c>
      <c r="M42" s="8">
        <f>IFERROR(__xludf.DUMMYFUNCTION("""COMPUTED_VALUE"""),4.0)</f>
        <v>4</v>
      </c>
      <c r="N42" s="8">
        <f>IFERROR(__xludf.DUMMYFUNCTION("""COMPUTED_VALUE"""),4.0)</f>
        <v>4</v>
      </c>
      <c r="O42" s="8">
        <f>IFERROR(__xludf.DUMMYFUNCTION("""COMPUTED_VALUE"""),5.0)</f>
        <v>5</v>
      </c>
      <c r="P42" s="8">
        <f>IFERROR(__xludf.DUMMYFUNCTION("""COMPUTED_VALUE"""),4.0)</f>
        <v>4</v>
      </c>
      <c r="Q42" s="8">
        <f>IFERROR(__xludf.DUMMYFUNCTION("""COMPUTED_VALUE"""),3.0)</f>
        <v>3</v>
      </c>
      <c r="R42" s="8">
        <f>IFERROR(__xludf.DUMMYFUNCTION("""COMPUTED_VALUE"""),4.0)</f>
        <v>4</v>
      </c>
      <c r="S42" s="8">
        <f>IFERROR(__xludf.DUMMYFUNCTION("""COMPUTED_VALUE"""),4.0)</f>
        <v>4</v>
      </c>
      <c r="T42" s="8">
        <f>IFERROR(__xludf.DUMMYFUNCTION("""COMPUTED_VALUE"""),5.0)</f>
        <v>5</v>
      </c>
      <c r="U42" s="8">
        <f t="shared" si="1"/>
        <v>61</v>
      </c>
      <c r="V42" s="119" t="str">
        <f t="shared" si="3"/>
        <v>Siap</v>
      </c>
      <c r="W42" s="119" t="str">
        <f t="shared" si="2"/>
        <v>bisa mengikuti pola pesantren dengan baik</v>
      </c>
      <c r="X42" s="8"/>
      <c r="Y42" s="8"/>
      <c r="Z42" s="8"/>
    </row>
    <row r="43">
      <c r="A43" s="123">
        <f>IFERROR(__xludf.DUMMYFUNCTION("""COMPUTED_VALUE"""),45927.661619861115)</f>
        <v>45927.66162</v>
      </c>
      <c r="B43" s="8" t="str">
        <f>IFERROR(__xludf.DUMMYFUNCTION("""COMPUTED_VALUE"""),"Lazuardi Akbar Narendra ")</f>
        <v>Lazuardi Akbar Narendra </v>
      </c>
      <c r="C43" s="8" t="str">
        <f>IFERROR(__xludf.DUMMYFUNCTION("""COMPUTED_VALUE"""),"A250007")</f>
        <v>A250007</v>
      </c>
      <c r="D43" s="8" t="str">
        <f>IFERROR(__xludf.DUMMYFUNCTION("""COMPUTED_VALUE"""),"MTs Putra")</f>
        <v>MTs Putra</v>
      </c>
      <c r="E43" s="8" t="str">
        <f>IFERROR(__xludf.DUMMYFUNCTION("""COMPUTED_VALUE"""),"Ya")</f>
        <v>Ya</v>
      </c>
      <c r="F43" s="8">
        <f>IFERROR(__xludf.DUMMYFUNCTION("""COMPUTED_VALUE"""),4.0)</f>
        <v>4</v>
      </c>
      <c r="G43" s="8">
        <f>IFERROR(__xludf.DUMMYFUNCTION("""COMPUTED_VALUE"""),4.0)</f>
        <v>4</v>
      </c>
      <c r="H43" s="8">
        <f>IFERROR(__xludf.DUMMYFUNCTION("""COMPUTED_VALUE"""),5.0)</f>
        <v>5</v>
      </c>
      <c r="I43" s="8">
        <f>IFERROR(__xludf.DUMMYFUNCTION("""COMPUTED_VALUE"""),5.0)</f>
        <v>5</v>
      </c>
      <c r="J43" s="8">
        <f>IFERROR(__xludf.DUMMYFUNCTION("""COMPUTED_VALUE"""),5.0)</f>
        <v>5</v>
      </c>
      <c r="K43" s="8">
        <f>IFERROR(__xludf.DUMMYFUNCTION("""COMPUTED_VALUE"""),5.0)</f>
        <v>5</v>
      </c>
      <c r="L43" s="8">
        <f>IFERROR(__xludf.DUMMYFUNCTION("""COMPUTED_VALUE"""),5.0)</f>
        <v>5</v>
      </c>
      <c r="M43" s="8">
        <f>IFERROR(__xludf.DUMMYFUNCTION("""COMPUTED_VALUE"""),5.0)</f>
        <v>5</v>
      </c>
      <c r="N43" s="8">
        <f>IFERROR(__xludf.DUMMYFUNCTION("""COMPUTED_VALUE"""),4.0)</f>
        <v>4</v>
      </c>
      <c r="O43" s="8">
        <f>IFERROR(__xludf.DUMMYFUNCTION("""COMPUTED_VALUE"""),5.0)</f>
        <v>5</v>
      </c>
      <c r="P43" s="8">
        <f>IFERROR(__xludf.DUMMYFUNCTION("""COMPUTED_VALUE"""),5.0)</f>
        <v>5</v>
      </c>
      <c r="Q43" s="8">
        <f>IFERROR(__xludf.DUMMYFUNCTION("""COMPUTED_VALUE"""),4.0)</f>
        <v>4</v>
      </c>
      <c r="R43" s="8">
        <f>IFERROR(__xludf.DUMMYFUNCTION("""COMPUTED_VALUE"""),5.0)</f>
        <v>5</v>
      </c>
      <c r="S43" s="8">
        <f>IFERROR(__xludf.DUMMYFUNCTION("""COMPUTED_VALUE"""),5.0)</f>
        <v>5</v>
      </c>
      <c r="T43" s="8">
        <f>IFERROR(__xludf.DUMMYFUNCTION("""COMPUTED_VALUE"""),5.0)</f>
        <v>5</v>
      </c>
      <c r="U43" s="8">
        <f t="shared" si="1"/>
        <v>71</v>
      </c>
      <c r="V43" s="119" t="str">
        <f t="shared" si="3"/>
        <v>Siap</v>
      </c>
      <c r="W43" s="119" t="str">
        <f t="shared" si="2"/>
        <v>bisa mengikuti pola pesantren dengan baik</v>
      </c>
      <c r="X43" s="8"/>
      <c r="Y43" s="8"/>
      <c r="Z43" s="8"/>
    </row>
    <row r="44">
      <c r="A44" s="123">
        <f>IFERROR(__xludf.DUMMYFUNCTION("""COMPUTED_VALUE"""),45927.728937708336)</f>
        <v>45927.72894</v>
      </c>
      <c r="B44" s="8" t="str">
        <f>IFERROR(__xludf.DUMMYFUNCTION("""COMPUTED_VALUE"""),"Muhammad Al Fatih Fadhly")</f>
        <v>Muhammad Al Fatih Fadhly</v>
      </c>
      <c r="C44" s="8" t="str">
        <f>IFERROR(__xludf.DUMMYFUNCTION("""COMPUTED_VALUE"""),"A250054")</f>
        <v>A250054</v>
      </c>
      <c r="D44" s="8" t="str">
        <f>IFERROR(__xludf.DUMMYFUNCTION("""COMPUTED_VALUE"""),"MTs Putra")</f>
        <v>MTs Putra</v>
      </c>
      <c r="E44" s="8" t="str">
        <f>IFERROR(__xludf.DUMMYFUNCTION("""COMPUTED_VALUE"""),"Ya")</f>
        <v>Ya</v>
      </c>
      <c r="F44" s="8">
        <f>IFERROR(__xludf.DUMMYFUNCTION("""COMPUTED_VALUE"""),4.0)</f>
        <v>4</v>
      </c>
      <c r="G44" s="8">
        <f>IFERROR(__xludf.DUMMYFUNCTION("""COMPUTED_VALUE"""),3.0)</f>
        <v>3</v>
      </c>
      <c r="H44" s="8">
        <f>IFERROR(__xludf.DUMMYFUNCTION("""COMPUTED_VALUE"""),4.0)</f>
        <v>4</v>
      </c>
      <c r="I44" s="8">
        <f>IFERROR(__xludf.DUMMYFUNCTION("""COMPUTED_VALUE"""),4.0)</f>
        <v>4</v>
      </c>
      <c r="J44" s="8">
        <f>IFERROR(__xludf.DUMMYFUNCTION("""COMPUTED_VALUE"""),3.0)</f>
        <v>3</v>
      </c>
      <c r="K44" s="8">
        <f>IFERROR(__xludf.DUMMYFUNCTION("""COMPUTED_VALUE"""),4.0)</f>
        <v>4</v>
      </c>
      <c r="L44" s="8">
        <f>IFERROR(__xludf.DUMMYFUNCTION("""COMPUTED_VALUE"""),3.0)</f>
        <v>3</v>
      </c>
      <c r="M44" s="8">
        <f>IFERROR(__xludf.DUMMYFUNCTION("""COMPUTED_VALUE"""),4.0)</f>
        <v>4</v>
      </c>
      <c r="N44" s="8">
        <f>IFERROR(__xludf.DUMMYFUNCTION("""COMPUTED_VALUE"""),3.0)</f>
        <v>3</v>
      </c>
      <c r="O44" s="8">
        <f>IFERROR(__xludf.DUMMYFUNCTION("""COMPUTED_VALUE"""),4.0)</f>
        <v>4</v>
      </c>
      <c r="P44" s="8">
        <f>IFERROR(__xludf.DUMMYFUNCTION("""COMPUTED_VALUE"""),3.0)</f>
        <v>3</v>
      </c>
      <c r="Q44" s="8">
        <f>IFERROR(__xludf.DUMMYFUNCTION("""COMPUTED_VALUE"""),2.0)</f>
        <v>2</v>
      </c>
      <c r="R44" s="8">
        <f>IFERROR(__xludf.DUMMYFUNCTION("""COMPUTED_VALUE"""),4.0)</f>
        <v>4</v>
      </c>
      <c r="S44" s="8">
        <f>IFERROR(__xludf.DUMMYFUNCTION("""COMPUTED_VALUE"""),4.0)</f>
        <v>4</v>
      </c>
      <c r="T44" s="8">
        <f>IFERROR(__xludf.DUMMYFUNCTION("""COMPUTED_VALUE"""),3.0)</f>
        <v>3</v>
      </c>
      <c r="U44" s="8">
        <f t="shared" si="1"/>
        <v>52</v>
      </c>
      <c r="V44" s="119" t="str">
        <f t="shared" si="3"/>
        <v>Siap</v>
      </c>
      <c r="W44" s="119" t="str">
        <f t="shared" si="2"/>
        <v>bisa mengikuti pola pesantren dengan baik</v>
      </c>
      <c r="X44" s="8"/>
      <c r="Y44" s="8"/>
      <c r="Z44" s="8"/>
    </row>
    <row r="45">
      <c r="A45" s="123">
        <f>IFERROR(__xludf.DUMMYFUNCTION("""COMPUTED_VALUE"""),45927.76389138889)</f>
        <v>45927.76389</v>
      </c>
      <c r="B45" s="8" t="str">
        <f>IFERROR(__xludf.DUMMYFUNCTION("""COMPUTED_VALUE"""),"M. Rezza Putra Darma")</f>
        <v>M. Rezza Putra Darma</v>
      </c>
      <c r="C45" s="8" t="str">
        <f>IFERROR(__xludf.DUMMYFUNCTION("""COMPUTED_VALUE"""),"A250038")</f>
        <v>A250038</v>
      </c>
      <c r="D45" s="8" t="str">
        <f>IFERROR(__xludf.DUMMYFUNCTION("""COMPUTED_VALUE"""),"MTs Putra")</f>
        <v>MTs Putra</v>
      </c>
      <c r="E45" s="8" t="str">
        <f>IFERROR(__xludf.DUMMYFUNCTION("""COMPUTED_VALUE"""),"Ya")</f>
        <v>Ya</v>
      </c>
      <c r="F45" s="8">
        <f>IFERROR(__xludf.DUMMYFUNCTION("""COMPUTED_VALUE"""),5.0)</f>
        <v>5</v>
      </c>
      <c r="G45" s="8">
        <f>IFERROR(__xludf.DUMMYFUNCTION("""COMPUTED_VALUE"""),5.0)</f>
        <v>5</v>
      </c>
      <c r="H45" s="8">
        <f>IFERROR(__xludf.DUMMYFUNCTION("""COMPUTED_VALUE"""),5.0)</f>
        <v>5</v>
      </c>
      <c r="I45" s="8">
        <f>IFERROR(__xludf.DUMMYFUNCTION("""COMPUTED_VALUE"""),5.0)</f>
        <v>5</v>
      </c>
      <c r="J45" s="8">
        <f>IFERROR(__xludf.DUMMYFUNCTION("""COMPUTED_VALUE"""),5.0)</f>
        <v>5</v>
      </c>
      <c r="K45" s="8">
        <f>IFERROR(__xludf.DUMMYFUNCTION("""COMPUTED_VALUE"""),5.0)</f>
        <v>5</v>
      </c>
      <c r="L45" s="8">
        <f>IFERROR(__xludf.DUMMYFUNCTION("""COMPUTED_VALUE"""),5.0)</f>
        <v>5</v>
      </c>
      <c r="M45" s="8">
        <f>IFERROR(__xludf.DUMMYFUNCTION("""COMPUTED_VALUE"""),5.0)</f>
        <v>5</v>
      </c>
      <c r="N45" s="8">
        <f>IFERROR(__xludf.DUMMYFUNCTION("""COMPUTED_VALUE"""),4.0)</f>
        <v>4</v>
      </c>
      <c r="O45" s="8">
        <f>IFERROR(__xludf.DUMMYFUNCTION("""COMPUTED_VALUE"""),5.0)</f>
        <v>5</v>
      </c>
      <c r="P45" s="8">
        <f>IFERROR(__xludf.DUMMYFUNCTION("""COMPUTED_VALUE"""),5.0)</f>
        <v>5</v>
      </c>
      <c r="Q45" s="8">
        <f>IFERROR(__xludf.DUMMYFUNCTION("""COMPUTED_VALUE"""),5.0)</f>
        <v>5</v>
      </c>
      <c r="R45" s="8">
        <f>IFERROR(__xludf.DUMMYFUNCTION("""COMPUTED_VALUE"""),5.0)</f>
        <v>5</v>
      </c>
      <c r="S45" s="8">
        <f>IFERROR(__xludf.DUMMYFUNCTION("""COMPUTED_VALUE"""),5.0)</f>
        <v>5</v>
      </c>
      <c r="T45" s="8">
        <f>IFERROR(__xludf.DUMMYFUNCTION("""COMPUTED_VALUE"""),5.0)</f>
        <v>5</v>
      </c>
      <c r="U45" s="8">
        <f t="shared" si="1"/>
        <v>74</v>
      </c>
      <c r="V45" s="119" t="str">
        <f t="shared" si="3"/>
        <v>Siap</v>
      </c>
      <c r="W45" s="119" t="str">
        <f t="shared" si="2"/>
        <v>bisa mengikuti pola pesantren dengan baik</v>
      </c>
      <c r="X45" s="8"/>
      <c r="Y45" s="8"/>
      <c r="Z45" s="8"/>
    </row>
    <row r="46">
      <c r="A46" s="123">
        <f>IFERROR(__xludf.DUMMYFUNCTION("""COMPUTED_VALUE"""),45928.3800200463)</f>
        <v>45928.38002</v>
      </c>
      <c r="B46" s="8" t="str">
        <f>IFERROR(__xludf.DUMMYFUNCTION("""COMPUTED_VALUE"""),"Maryam Al-Kayyisah ")</f>
        <v>Maryam Al-Kayyisah </v>
      </c>
      <c r="C46" s="8" t="str">
        <f>IFERROR(__xludf.DUMMYFUNCTION("""COMPUTED_VALUE"""),"D250019")</f>
        <v>D250019</v>
      </c>
      <c r="D46" s="8" t="str">
        <f>IFERROR(__xludf.DUMMYFUNCTION("""COMPUTED_VALUE"""),"MTs Putri")</f>
        <v>MTs Putri</v>
      </c>
      <c r="E46" s="8" t="str">
        <f>IFERROR(__xludf.DUMMYFUNCTION("""COMPUTED_VALUE"""),"Ya")</f>
        <v>Ya</v>
      </c>
      <c r="F46" s="8">
        <f>IFERROR(__xludf.DUMMYFUNCTION("""COMPUTED_VALUE"""),4.0)</f>
        <v>4</v>
      </c>
      <c r="G46" s="8">
        <f>IFERROR(__xludf.DUMMYFUNCTION("""COMPUTED_VALUE"""),4.0)</f>
        <v>4</v>
      </c>
      <c r="H46" s="8">
        <f>IFERROR(__xludf.DUMMYFUNCTION("""COMPUTED_VALUE"""),5.0)</f>
        <v>5</v>
      </c>
      <c r="I46" s="8">
        <f>IFERROR(__xludf.DUMMYFUNCTION("""COMPUTED_VALUE"""),4.0)</f>
        <v>4</v>
      </c>
      <c r="J46" s="8">
        <f>IFERROR(__xludf.DUMMYFUNCTION("""COMPUTED_VALUE"""),4.0)</f>
        <v>4</v>
      </c>
      <c r="K46" s="8">
        <f>IFERROR(__xludf.DUMMYFUNCTION("""COMPUTED_VALUE"""),5.0)</f>
        <v>5</v>
      </c>
      <c r="L46" s="8">
        <f>IFERROR(__xludf.DUMMYFUNCTION("""COMPUTED_VALUE"""),5.0)</f>
        <v>5</v>
      </c>
      <c r="M46" s="8">
        <f>IFERROR(__xludf.DUMMYFUNCTION("""COMPUTED_VALUE"""),4.0)</f>
        <v>4</v>
      </c>
      <c r="N46" s="8">
        <f>IFERROR(__xludf.DUMMYFUNCTION("""COMPUTED_VALUE"""),4.0)</f>
        <v>4</v>
      </c>
      <c r="O46" s="8">
        <f>IFERROR(__xludf.DUMMYFUNCTION("""COMPUTED_VALUE"""),5.0)</f>
        <v>5</v>
      </c>
      <c r="P46" s="8">
        <f>IFERROR(__xludf.DUMMYFUNCTION("""COMPUTED_VALUE"""),5.0)</f>
        <v>5</v>
      </c>
      <c r="Q46" s="8">
        <f>IFERROR(__xludf.DUMMYFUNCTION("""COMPUTED_VALUE"""),3.0)</f>
        <v>3</v>
      </c>
      <c r="R46" s="8">
        <f>IFERROR(__xludf.DUMMYFUNCTION("""COMPUTED_VALUE"""),5.0)</f>
        <v>5</v>
      </c>
      <c r="S46" s="8">
        <f>IFERROR(__xludf.DUMMYFUNCTION("""COMPUTED_VALUE"""),5.0)</f>
        <v>5</v>
      </c>
      <c r="T46" s="8">
        <f>IFERROR(__xludf.DUMMYFUNCTION("""COMPUTED_VALUE"""),4.0)</f>
        <v>4</v>
      </c>
      <c r="U46" s="8">
        <f t="shared" si="1"/>
        <v>66</v>
      </c>
      <c r="V46" s="119" t="str">
        <f t="shared" si="3"/>
        <v>Siap</v>
      </c>
      <c r="W46" s="119" t="str">
        <f t="shared" si="2"/>
        <v>bisa mengikuti pola pesantren dengan baik</v>
      </c>
      <c r="X46" s="8"/>
      <c r="Y46" s="8"/>
      <c r="Z46" s="8"/>
    </row>
    <row r="47">
      <c r="A47" s="123">
        <f>IFERROR(__xludf.DUMMYFUNCTION("""COMPUTED_VALUE"""),45928.437538171296)</f>
        <v>45928.43754</v>
      </c>
      <c r="B47" s="8" t="str">
        <f>IFERROR(__xludf.DUMMYFUNCTION("""COMPUTED_VALUE"""),"Qaesyara Siti Zafna Fitriyadi")</f>
        <v>Qaesyara Siti Zafna Fitriyadi</v>
      </c>
      <c r="C47" s="8" t="str">
        <f>IFERROR(__xludf.DUMMYFUNCTION("""COMPUTED_VALUE"""),"D250017")</f>
        <v>D250017</v>
      </c>
      <c r="D47" s="8" t="str">
        <f>IFERROR(__xludf.DUMMYFUNCTION("""COMPUTED_VALUE"""),"MTs Putri")</f>
        <v>MTs Putri</v>
      </c>
      <c r="E47" s="8" t="str">
        <f>IFERROR(__xludf.DUMMYFUNCTION("""COMPUTED_VALUE"""),"Ya")</f>
        <v>Ya</v>
      </c>
      <c r="F47" s="8">
        <f>IFERROR(__xludf.DUMMYFUNCTION("""COMPUTED_VALUE"""),5.0)</f>
        <v>5</v>
      </c>
      <c r="G47" s="8">
        <f>IFERROR(__xludf.DUMMYFUNCTION("""COMPUTED_VALUE"""),5.0)</f>
        <v>5</v>
      </c>
      <c r="H47" s="8">
        <f>IFERROR(__xludf.DUMMYFUNCTION("""COMPUTED_VALUE"""),5.0)</f>
        <v>5</v>
      </c>
      <c r="I47" s="8">
        <f>IFERROR(__xludf.DUMMYFUNCTION("""COMPUTED_VALUE"""),5.0)</f>
        <v>5</v>
      </c>
      <c r="J47" s="8">
        <f>IFERROR(__xludf.DUMMYFUNCTION("""COMPUTED_VALUE"""),5.0)</f>
        <v>5</v>
      </c>
      <c r="K47" s="8">
        <f>IFERROR(__xludf.DUMMYFUNCTION("""COMPUTED_VALUE"""),5.0)</f>
        <v>5</v>
      </c>
      <c r="L47" s="8">
        <f>IFERROR(__xludf.DUMMYFUNCTION("""COMPUTED_VALUE"""),5.0)</f>
        <v>5</v>
      </c>
      <c r="M47" s="8">
        <f>IFERROR(__xludf.DUMMYFUNCTION("""COMPUTED_VALUE"""),5.0)</f>
        <v>5</v>
      </c>
      <c r="N47" s="8">
        <f>IFERROR(__xludf.DUMMYFUNCTION("""COMPUTED_VALUE"""),5.0)</f>
        <v>5</v>
      </c>
      <c r="O47" s="8">
        <f>IFERROR(__xludf.DUMMYFUNCTION("""COMPUTED_VALUE"""),4.0)</f>
        <v>4</v>
      </c>
      <c r="P47" s="8">
        <f>IFERROR(__xludf.DUMMYFUNCTION("""COMPUTED_VALUE"""),5.0)</f>
        <v>5</v>
      </c>
      <c r="Q47" s="8">
        <f>IFERROR(__xludf.DUMMYFUNCTION("""COMPUTED_VALUE"""),5.0)</f>
        <v>5</v>
      </c>
      <c r="R47" s="8">
        <f>IFERROR(__xludf.DUMMYFUNCTION("""COMPUTED_VALUE"""),5.0)</f>
        <v>5</v>
      </c>
      <c r="S47" s="8">
        <f>IFERROR(__xludf.DUMMYFUNCTION("""COMPUTED_VALUE"""),5.0)</f>
        <v>5</v>
      </c>
      <c r="T47" s="8">
        <f>IFERROR(__xludf.DUMMYFUNCTION("""COMPUTED_VALUE"""),5.0)</f>
        <v>5</v>
      </c>
      <c r="U47" s="8">
        <f t="shared" si="1"/>
        <v>74</v>
      </c>
      <c r="V47" s="119" t="str">
        <f t="shared" si="3"/>
        <v>Siap</v>
      </c>
      <c r="W47" s="119" t="str">
        <f t="shared" si="2"/>
        <v>bisa mengikuti pola pesantren dengan baik</v>
      </c>
      <c r="X47" s="8"/>
      <c r="Y47" s="8"/>
      <c r="Z47" s="8"/>
    </row>
    <row r="48">
      <c r="A48" s="123">
        <f>IFERROR(__xludf.DUMMYFUNCTION("""COMPUTED_VALUE"""),45928.44765803241)</f>
        <v>45928.44766</v>
      </c>
      <c r="B48" s="8" t="str">
        <f>IFERROR(__xludf.DUMMYFUNCTION("""COMPUTED_VALUE"""),"HILDA SAHLANNISA ")</f>
        <v>HILDA SAHLANNISA </v>
      </c>
      <c r="C48" s="8" t="str">
        <f>IFERROR(__xludf.DUMMYFUNCTION("""COMPUTED_VALUE"""),"E250002")</f>
        <v>E250002</v>
      </c>
      <c r="D48" s="8" t="str">
        <f>IFERROR(__xludf.DUMMYFUNCTION("""COMPUTED_VALUE"""),"I'dad Lughawiy Putri")</f>
        <v>I'dad Lughawiy Putri</v>
      </c>
      <c r="E48" s="8" t="str">
        <f>IFERROR(__xludf.DUMMYFUNCTION("""COMPUTED_VALUE"""),"Ya")</f>
        <v>Ya</v>
      </c>
      <c r="F48" s="8">
        <f>IFERROR(__xludf.DUMMYFUNCTION("""COMPUTED_VALUE"""),5.0)</f>
        <v>5</v>
      </c>
      <c r="G48" s="8">
        <f>IFERROR(__xludf.DUMMYFUNCTION("""COMPUTED_VALUE"""),5.0)</f>
        <v>5</v>
      </c>
      <c r="H48" s="8">
        <f>IFERROR(__xludf.DUMMYFUNCTION("""COMPUTED_VALUE"""),5.0)</f>
        <v>5</v>
      </c>
      <c r="I48" s="8">
        <f>IFERROR(__xludf.DUMMYFUNCTION("""COMPUTED_VALUE"""),5.0)</f>
        <v>5</v>
      </c>
      <c r="J48" s="8">
        <f>IFERROR(__xludf.DUMMYFUNCTION("""COMPUTED_VALUE"""),4.0)</f>
        <v>4</v>
      </c>
      <c r="K48" s="8">
        <f>IFERROR(__xludf.DUMMYFUNCTION("""COMPUTED_VALUE"""),5.0)</f>
        <v>5</v>
      </c>
      <c r="L48" s="8">
        <f>IFERROR(__xludf.DUMMYFUNCTION("""COMPUTED_VALUE"""),4.0)</f>
        <v>4</v>
      </c>
      <c r="M48" s="8">
        <f>IFERROR(__xludf.DUMMYFUNCTION("""COMPUTED_VALUE"""),4.0)</f>
        <v>4</v>
      </c>
      <c r="N48" s="8">
        <f>IFERROR(__xludf.DUMMYFUNCTION("""COMPUTED_VALUE"""),5.0)</f>
        <v>5</v>
      </c>
      <c r="O48" s="8">
        <f>IFERROR(__xludf.DUMMYFUNCTION("""COMPUTED_VALUE"""),5.0)</f>
        <v>5</v>
      </c>
      <c r="P48" s="8">
        <f>IFERROR(__xludf.DUMMYFUNCTION("""COMPUTED_VALUE"""),4.0)</f>
        <v>4</v>
      </c>
      <c r="Q48" s="8">
        <f>IFERROR(__xludf.DUMMYFUNCTION("""COMPUTED_VALUE"""),3.0)</f>
        <v>3</v>
      </c>
      <c r="R48" s="8">
        <f>IFERROR(__xludf.DUMMYFUNCTION("""COMPUTED_VALUE"""),5.0)</f>
        <v>5</v>
      </c>
      <c r="S48" s="8">
        <f>IFERROR(__xludf.DUMMYFUNCTION("""COMPUTED_VALUE"""),5.0)</f>
        <v>5</v>
      </c>
      <c r="T48" s="8">
        <f>IFERROR(__xludf.DUMMYFUNCTION("""COMPUTED_VALUE"""),5.0)</f>
        <v>5</v>
      </c>
      <c r="U48" s="8">
        <f t="shared" si="1"/>
        <v>69</v>
      </c>
      <c r="V48" s="119" t="str">
        <f t="shared" si="3"/>
        <v>Siap</v>
      </c>
      <c r="W48" s="119" t="str">
        <f t="shared" si="2"/>
        <v>bisa mengikuti pola pesantren dengan baik</v>
      </c>
      <c r="X48" s="8"/>
      <c r="Y48" s="8"/>
      <c r="Z48" s="8"/>
    </row>
    <row r="49">
      <c r="A49" s="123">
        <f>IFERROR(__xludf.DUMMYFUNCTION("""COMPUTED_VALUE"""),45928.469259907404)</f>
        <v>45928.46926</v>
      </c>
      <c r="B49" s="8" t="str">
        <f>IFERROR(__xludf.DUMMYFUNCTION("""COMPUTED_VALUE"""),"keanu azka wibowo")</f>
        <v>keanu azka wibowo</v>
      </c>
      <c r="C49" s="8" t="str">
        <f>IFERROR(__xludf.DUMMYFUNCTION("""COMPUTED_VALUE"""),"B250021")</f>
        <v>B250021</v>
      </c>
      <c r="D49" s="8" t="str">
        <f>IFERROR(__xludf.DUMMYFUNCTION("""COMPUTED_VALUE"""),"I'dad Lughawiy Putra")</f>
        <v>I'dad Lughawiy Putra</v>
      </c>
      <c r="E49" s="8" t="str">
        <f>IFERROR(__xludf.DUMMYFUNCTION("""COMPUTED_VALUE"""),"Ya")</f>
        <v>Ya</v>
      </c>
      <c r="F49" s="8">
        <f>IFERROR(__xludf.DUMMYFUNCTION("""COMPUTED_VALUE"""),5.0)</f>
        <v>5</v>
      </c>
      <c r="G49" s="8">
        <f>IFERROR(__xludf.DUMMYFUNCTION("""COMPUTED_VALUE"""),4.0)</f>
        <v>4</v>
      </c>
      <c r="H49" s="8">
        <f>IFERROR(__xludf.DUMMYFUNCTION("""COMPUTED_VALUE"""),5.0)</f>
        <v>5</v>
      </c>
      <c r="I49" s="8">
        <f>IFERROR(__xludf.DUMMYFUNCTION("""COMPUTED_VALUE"""),5.0)</f>
        <v>5</v>
      </c>
      <c r="J49" s="8">
        <f>IFERROR(__xludf.DUMMYFUNCTION("""COMPUTED_VALUE"""),4.0)</f>
        <v>4</v>
      </c>
      <c r="K49" s="8">
        <f>IFERROR(__xludf.DUMMYFUNCTION("""COMPUTED_VALUE"""),4.0)</f>
        <v>4</v>
      </c>
      <c r="L49" s="8">
        <f>IFERROR(__xludf.DUMMYFUNCTION("""COMPUTED_VALUE"""),5.0)</f>
        <v>5</v>
      </c>
      <c r="M49" s="8">
        <f>IFERROR(__xludf.DUMMYFUNCTION("""COMPUTED_VALUE"""),5.0)</f>
        <v>5</v>
      </c>
      <c r="N49" s="8">
        <f>IFERROR(__xludf.DUMMYFUNCTION("""COMPUTED_VALUE"""),5.0)</f>
        <v>5</v>
      </c>
      <c r="O49" s="8">
        <f>IFERROR(__xludf.DUMMYFUNCTION("""COMPUTED_VALUE"""),2.0)</f>
        <v>2</v>
      </c>
      <c r="P49" s="8">
        <f>IFERROR(__xludf.DUMMYFUNCTION("""COMPUTED_VALUE"""),5.0)</f>
        <v>5</v>
      </c>
      <c r="Q49" s="8">
        <f>IFERROR(__xludf.DUMMYFUNCTION("""COMPUTED_VALUE"""),5.0)</f>
        <v>5</v>
      </c>
      <c r="R49" s="8">
        <f>IFERROR(__xludf.DUMMYFUNCTION("""COMPUTED_VALUE"""),5.0)</f>
        <v>5</v>
      </c>
      <c r="S49" s="8">
        <f>IFERROR(__xludf.DUMMYFUNCTION("""COMPUTED_VALUE"""),5.0)</f>
        <v>5</v>
      </c>
      <c r="T49" s="8">
        <f>IFERROR(__xludf.DUMMYFUNCTION("""COMPUTED_VALUE"""),5.0)</f>
        <v>5</v>
      </c>
      <c r="U49" s="8">
        <f t="shared" si="1"/>
        <v>69</v>
      </c>
      <c r="V49" s="119" t="str">
        <f t="shared" si="3"/>
        <v>Siap</v>
      </c>
      <c r="W49" s="119" t="str">
        <f t="shared" si="2"/>
        <v>bisa mengikuti pola pesantren dengan baik</v>
      </c>
      <c r="X49" s="8"/>
      <c r="Y49" s="8"/>
      <c r="Z49" s="8"/>
    </row>
    <row r="50">
      <c r="A50" s="123">
        <f>IFERROR(__xludf.DUMMYFUNCTION("""COMPUTED_VALUE"""),45929.38239291667)</f>
        <v>45929.38239</v>
      </c>
      <c r="B50" s="8" t="str">
        <f>IFERROR(__xludf.DUMMYFUNCTION("""COMPUTED_VALUE"""),"Abdurrahman umar")</f>
        <v>Abdurrahman umar</v>
      </c>
      <c r="C50" s="8" t="str">
        <f>IFERROR(__xludf.DUMMYFUNCTION("""COMPUTED_VALUE"""),"C250004")</f>
        <v>C250004</v>
      </c>
      <c r="D50" s="8" t="str">
        <f>IFERROR(__xludf.DUMMYFUNCTION("""COMPUTED_VALUE"""),"SMA")</f>
        <v>SMA</v>
      </c>
      <c r="E50" s="8" t="str">
        <f>IFERROR(__xludf.DUMMYFUNCTION("""COMPUTED_VALUE"""),"Ya")</f>
        <v>Ya</v>
      </c>
      <c r="F50" s="8">
        <f>IFERROR(__xludf.DUMMYFUNCTION("""COMPUTED_VALUE"""),4.0)</f>
        <v>4</v>
      </c>
      <c r="G50" s="8">
        <f>IFERROR(__xludf.DUMMYFUNCTION("""COMPUTED_VALUE"""),3.0)</f>
        <v>3</v>
      </c>
      <c r="H50" s="8">
        <f>IFERROR(__xludf.DUMMYFUNCTION("""COMPUTED_VALUE"""),5.0)</f>
        <v>5</v>
      </c>
      <c r="I50" s="8">
        <f>IFERROR(__xludf.DUMMYFUNCTION("""COMPUTED_VALUE"""),5.0)</f>
        <v>5</v>
      </c>
      <c r="J50" s="8">
        <f>IFERROR(__xludf.DUMMYFUNCTION("""COMPUTED_VALUE"""),5.0)</f>
        <v>5</v>
      </c>
      <c r="K50" s="8">
        <f>IFERROR(__xludf.DUMMYFUNCTION("""COMPUTED_VALUE"""),1.0)</f>
        <v>1</v>
      </c>
      <c r="L50" s="8">
        <f>IFERROR(__xludf.DUMMYFUNCTION("""COMPUTED_VALUE"""),4.0)</f>
        <v>4</v>
      </c>
      <c r="M50" s="8">
        <f>IFERROR(__xludf.DUMMYFUNCTION("""COMPUTED_VALUE"""),3.0)</f>
        <v>3</v>
      </c>
      <c r="N50" s="8">
        <f>IFERROR(__xludf.DUMMYFUNCTION("""COMPUTED_VALUE"""),4.0)</f>
        <v>4</v>
      </c>
      <c r="O50" s="8">
        <f>IFERROR(__xludf.DUMMYFUNCTION("""COMPUTED_VALUE"""),4.0)</f>
        <v>4</v>
      </c>
      <c r="P50" s="8">
        <f>IFERROR(__xludf.DUMMYFUNCTION("""COMPUTED_VALUE"""),5.0)</f>
        <v>5</v>
      </c>
      <c r="Q50" s="8">
        <f>IFERROR(__xludf.DUMMYFUNCTION("""COMPUTED_VALUE"""),5.0)</f>
        <v>5</v>
      </c>
      <c r="R50" s="8">
        <f>IFERROR(__xludf.DUMMYFUNCTION("""COMPUTED_VALUE"""),4.0)</f>
        <v>4</v>
      </c>
      <c r="S50" s="8">
        <f>IFERROR(__xludf.DUMMYFUNCTION("""COMPUTED_VALUE"""),4.0)</f>
        <v>4</v>
      </c>
      <c r="T50" s="8">
        <f>IFERROR(__xludf.DUMMYFUNCTION("""COMPUTED_VALUE"""),5.0)</f>
        <v>5</v>
      </c>
      <c r="U50" s="8">
        <f t="shared" si="1"/>
        <v>61</v>
      </c>
      <c r="V50" s="119" t="str">
        <f t="shared" si="3"/>
        <v>Siap</v>
      </c>
      <c r="W50" s="119" t="str">
        <f t="shared" si="2"/>
        <v>bisa mengikuti pola pesantren dengan baik</v>
      </c>
      <c r="X50" s="8"/>
      <c r="Y50" s="8"/>
      <c r="Z50" s="8"/>
    </row>
    <row r="51">
      <c r="A51" s="123">
        <f>IFERROR(__xludf.DUMMYFUNCTION("""COMPUTED_VALUE"""),45929.599170636575)</f>
        <v>45929.59917</v>
      </c>
      <c r="B51" s="8" t="str">
        <f>IFERROR(__xludf.DUMMYFUNCTION("""COMPUTED_VALUE"""),"Sulthan Faqih Al Hadziq")</f>
        <v>Sulthan Faqih Al Hadziq</v>
      </c>
      <c r="C51" s="8" t="str">
        <f>IFERROR(__xludf.DUMMYFUNCTION("""COMPUTED_VALUE"""),"A250046")</f>
        <v>A250046</v>
      </c>
      <c r="D51" s="8" t="str">
        <f>IFERROR(__xludf.DUMMYFUNCTION("""COMPUTED_VALUE"""),"MTs Putra")</f>
        <v>MTs Putra</v>
      </c>
      <c r="E51" s="8" t="str">
        <f>IFERROR(__xludf.DUMMYFUNCTION("""COMPUTED_VALUE"""),"Ya")</f>
        <v>Ya</v>
      </c>
      <c r="F51" s="8">
        <f>IFERROR(__xludf.DUMMYFUNCTION("""COMPUTED_VALUE"""),5.0)</f>
        <v>5</v>
      </c>
      <c r="G51" s="8">
        <f>IFERROR(__xludf.DUMMYFUNCTION("""COMPUTED_VALUE"""),5.0)</f>
        <v>5</v>
      </c>
      <c r="H51" s="8">
        <f>IFERROR(__xludf.DUMMYFUNCTION("""COMPUTED_VALUE"""),5.0)</f>
        <v>5</v>
      </c>
      <c r="I51" s="8">
        <f>IFERROR(__xludf.DUMMYFUNCTION("""COMPUTED_VALUE"""),5.0)</f>
        <v>5</v>
      </c>
      <c r="J51" s="8">
        <f>IFERROR(__xludf.DUMMYFUNCTION("""COMPUTED_VALUE"""),5.0)</f>
        <v>5</v>
      </c>
      <c r="K51" s="8">
        <f>IFERROR(__xludf.DUMMYFUNCTION("""COMPUTED_VALUE"""),5.0)</f>
        <v>5</v>
      </c>
      <c r="L51" s="8">
        <f>IFERROR(__xludf.DUMMYFUNCTION("""COMPUTED_VALUE"""),4.0)</f>
        <v>4</v>
      </c>
      <c r="M51" s="8">
        <f>IFERROR(__xludf.DUMMYFUNCTION("""COMPUTED_VALUE"""),5.0)</f>
        <v>5</v>
      </c>
      <c r="N51" s="8">
        <f>IFERROR(__xludf.DUMMYFUNCTION("""COMPUTED_VALUE"""),5.0)</f>
        <v>5</v>
      </c>
      <c r="O51" s="8">
        <f>IFERROR(__xludf.DUMMYFUNCTION("""COMPUTED_VALUE"""),5.0)</f>
        <v>5</v>
      </c>
      <c r="P51" s="8">
        <f>IFERROR(__xludf.DUMMYFUNCTION("""COMPUTED_VALUE"""),5.0)</f>
        <v>5</v>
      </c>
      <c r="Q51" s="8">
        <f>IFERROR(__xludf.DUMMYFUNCTION("""COMPUTED_VALUE"""),5.0)</f>
        <v>5</v>
      </c>
      <c r="R51" s="8">
        <f>IFERROR(__xludf.DUMMYFUNCTION("""COMPUTED_VALUE"""),5.0)</f>
        <v>5</v>
      </c>
      <c r="S51" s="8">
        <f>IFERROR(__xludf.DUMMYFUNCTION("""COMPUTED_VALUE"""),4.0)</f>
        <v>4</v>
      </c>
      <c r="T51" s="8">
        <f>IFERROR(__xludf.DUMMYFUNCTION("""COMPUTED_VALUE"""),3.0)</f>
        <v>3</v>
      </c>
      <c r="U51" s="8">
        <f t="shared" si="1"/>
        <v>71</v>
      </c>
      <c r="V51" s="119" t="str">
        <f t="shared" si="3"/>
        <v>Siap</v>
      </c>
      <c r="W51" s="119" t="str">
        <f t="shared" si="2"/>
        <v>bisa mengikuti pola pesantren dengan baik</v>
      </c>
      <c r="X51" s="8"/>
      <c r="Y51" s="8"/>
      <c r="Z51" s="8"/>
    </row>
    <row r="52">
      <c r="A52" s="123">
        <f>IFERROR(__xludf.DUMMYFUNCTION("""COMPUTED_VALUE"""),45929.60360829861)</f>
        <v>45929.60361</v>
      </c>
      <c r="B52" s="8" t="str">
        <f>IFERROR(__xludf.DUMMYFUNCTION("""COMPUTED_VALUE"""),"Muhammad Arkan")</f>
        <v>Muhammad Arkan</v>
      </c>
      <c r="C52" s="8" t="str">
        <f>IFERROR(__xludf.DUMMYFUNCTION("""COMPUTED_VALUE"""),"A250037")</f>
        <v>A250037</v>
      </c>
      <c r="D52" s="8" t="str">
        <f>IFERROR(__xludf.DUMMYFUNCTION("""COMPUTED_VALUE"""),"MTs Putra")</f>
        <v>MTs Putra</v>
      </c>
      <c r="E52" s="8" t="str">
        <f>IFERROR(__xludf.DUMMYFUNCTION("""COMPUTED_VALUE"""),"Ya")</f>
        <v>Ya</v>
      </c>
      <c r="F52" s="8">
        <f>IFERROR(__xludf.DUMMYFUNCTION("""COMPUTED_VALUE"""),5.0)</f>
        <v>5</v>
      </c>
      <c r="G52" s="8">
        <f>IFERROR(__xludf.DUMMYFUNCTION("""COMPUTED_VALUE"""),5.0)</f>
        <v>5</v>
      </c>
      <c r="H52" s="8">
        <f>IFERROR(__xludf.DUMMYFUNCTION("""COMPUTED_VALUE"""),5.0)</f>
        <v>5</v>
      </c>
      <c r="I52" s="8">
        <f>IFERROR(__xludf.DUMMYFUNCTION("""COMPUTED_VALUE"""),5.0)</f>
        <v>5</v>
      </c>
      <c r="J52" s="8">
        <f>IFERROR(__xludf.DUMMYFUNCTION("""COMPUTED_VALUE"""),5.0)</f>
        <v>5</v>
      </c>
      <c r="K52" s="8">
        <f>IFERROR(__xludf.DUMMYFUNCTION("""COMPUTED_VALUE"""),5.0)</f>
        <v>5</v>
      </c>
      <c r="L52" s="8">
        <f>IFERROR(__xludf.DUMMYFUNCTION("""COMPUTED_VALUE"""),5.0)</f>
        <v>5</v>
      </c>
      <c r="M52" s="8">
        <f>IFERROR(__xludf.DUMMYFUNCTION("""COMPUTED_VALUE"""),5.0)</f>
        <v>5</v>
      </c>
      <c r="N52" s="8">
        <f>IFERROR(__xludf.DUMMYFUNCTION("""COMPUTED_VALUE"""),5.0)</f>
        <v>5</v>
      </c>
      <c r="O52" s="8">
        <f>IFERROR(__xludf.DUMMYFUNCTION("""COMPUTED_VALUE"""),5.0)</f>
        <v>5</v>
      </c>
      <c r="P52" s="8">
        <f>IFERROR(__xludf.DUMMYFUNCTION("""COMPUTED_VALUE"""),5.0)</f>
        <v>5</v>
      </c>
      <c r="Q52" s="8">
        <f>IFERROR(__xludf.DUMMYFUNCTION("""COMPUTED_VALUE"""),5.0)</f>
        <v>5</v>
      </c>
      <c r="R52" s="8">
        <f>IFERROR(__xludf.DUMMYFUNCTION("""COMPUTED_VALUE"""),5.0)</f>
        <v>5</v>
      </c>
      <c r="S52" s="8">
        <f>IFERROR(__xludf.DUMMYFUNCTION("""COMPUTED_VALUE"""),5.0)</f>
        <v>5</v>
      </c>
      <c r="T52" s="8">
        <f>IFERROR(__xludf.DUMMYFUNCTION("""COMPUTED_VALUE"""),5.0)</f>
        <v>5</v>
      </c>
      <c r="U52" s="8">
        <f t="shared" si="1"/>
        <v>75</v>
      </c>
      <c r="V52" s="119" t="str">
        <f t="shared" si="3"/>
        <v>Siap</v>
      </c>
      <c r="W52" s="119" t="str">
        <f t="shared" si="2"/>
        <v>bisa mengikuti pola pesantren dengan baik</v>
      </c>
      <c r="X52" s="8"/>
      <c r="Y52" s="8"/>
      <c r="Z52" s="8"/>
    </row>
    <row r="53">
      <c r="A53" s="123">
        <f>IFERROR(__xludf.DUMMYFUNCTION("""COMPUTED_VALUE"""),45929.675999722225)</f>
        <v>45929.676</v>
      </c>
      <c r="B53" s="8" t="str">
        <f>IFERROR(__xludf.DUMMYFUNCTION("""COMPUTED_VALUE"""),"Wahid Ahmad Nugraha")</f>
        <v>Wahid Ahmad Nugraha</v>
      </c>
      <c r="C53" s="8" t="str">
        <f>IFERROR(__xludf.DUMMYFUNCTION("""COMPUTED_VALUE"""),"A250043")</f>
        <v>A250043</v>
      </c>
      <c r="D53" s="8" t="str">
        <f>IFERROR(__xludf.DUMMYFUNCTION("""COMPUTED_VALUE"""),"MTs Putra")</f>
        <v>MTs Putra</v>
      </c>
      <c r="E53" s="8" t="str">
        <f>IFERROR(__xludf.DUMMYFUNCTION("""COMPUTED_VALUE"""),"Ya")</f>
        <v>Ya</v>
      </c>
      <c r="F53" s="8">
        <f>IFERROR(__xludf.DUMMYFUNCTION("""COMPUTED_VALUE"""),3.0)</f>
        <v>3</v>
      </c>
      <c r="G53" s="8">
        <f>IFERROR(__xludf.DUMMYFUNCTION("""COMPUTED_VALUE"""),5.0)</f>
        <v>5</v>
      </c>
      <c r="H53" s="8">
        <f>IFERROR(__xludf.DUMMYFUNCTION("""COMPUTED_VALUE"""),4.0)</f>
        <v>4</v>
      </c>
      <c r="I53" s="8">
        <f>IFERROR(__xludf.DUMMYFUNCTION("""COMPUTED_VALUE"""),3.0)</f>
        <v>3</v>
      </c>
      <c r="J53" s="8">
        <f>IFERROR(__xludf.DUMMYFUNCTION("""COMPUTED_VALUE"""),4.0)</f>
        <v>4</v>
      </c>
      <c r="K53" s="8">
        <f>IFERROR(__xludf.DUMMYFUNCTION("""COMPUTED_VALUE"""),1.0)</f>
        <v>1</v>
      </c>
      <c r="L53" s="8">
        <f>IFERROR(__xludf.DUMMYFUNCTION("""COMPUTED_VALUE"""),5.0)</f>
        <v>5</v>
      </c>
      <c r="M53" s="8">
        <f>IFERROR(__xludf.DUMMYFUNCTION("""COMPUTED_VALUE"""),5.0)</f>
        <v>5</v>
      </c>
      <c r="N53" s="8">
        <f>IFERROR(__xludf.DUMMYFUNCTION("""COMPUTED_VALUE"""),4.0)</f>
        <v>4</v>
      </c>
      <c r="O53" s="8">
        <f>IFERROR(__xludf.DUMMYFUNCTION("""COMPUTED_VALUE"""),5.0)</f>
        <v>5</v>
      </c>
      <c r="P53" s="8">
        <f>IFERROR(__xludf.DUMMYFUNCTION("""COMPUTED_VALUE"""),5.0)</f>
        <v>5</v>
      </c>
      <c r="Q53" s="8">
        <f>IFERROR(__xludf.DUMMYFUNCTION("""COMPUTED_VALUE"""),5.0)</f>
        <v>5</v>
      </c>
      <c r="R53" s="8">
        <f>IFERROR(__xludf.DUMMYFUNCTION("""COMPUTED_VALUE"""),5.0)</f>
        <v>5</v>
      </c>
      <c r="S53" s="8">
        <f>IFERROR(__xludf.DUMMYFUNCTION("""COMPUTED_VALUE"""),4.0)</f>
        <v>4</v>
      </c>
      <c r="T53" s="8">
        <f>IFERROR(__xludf.DUMMYFUNCTION("""COMPUTED_VALUE"""),5.0)</f>
        <v>5</v>
      </c>
      <c r="U53" s="8">
        <f t="shared" si="1"/>
        <v>63</v>
      </c>
      <c r="V53" s="119" t="str">
        <f t="shared" si="3"/>
        <v>Siap</v>
      </c>
      <c r="W53" s="119" t="str">
        <f t="shared" si="2"/>
        <v>bisa mengikuti pola pesantren dengan baik</v>
      </c>
      <c r="X53" s="8"/>
      <c r="Y53" s="8"/>
      <c r="Z53" s="8"/>
    </row>
    <row r="54">
      <c r="A54" s="123">
        <f>IFERROR(__xludf.DUMMYFUNCTION("""COMPUTED_VALUE"""),45929.933857129625)</f>
        <v>45929.93386</v>
      </c>
      <c r="B54" s="8" t="str">
        <f>IFERROR(__xludf.DUMMYFUNCTION("""COMPUTED_VALUE"""),"Rezvan Zhian Agusto")</f>
        <v>Rezvan Zhian Agusto</v>
      </c>
      <c r="C54" s="8" t="str">
        <f>IFERROR(__xludf.DUMMYFUNCTION("""COMPUTED_VALUE"""),"B250006")</f>
        <v>B250006</v>
      </c>
      <c r="D54" s="8" t="str">
        <f>IFERROR(__xludf.DUMMYFUNCTION("""COMPUTED_VALUE"""),"I'dad Lughawiy Putra")</f>
        <v>I'dad Lughawiy Putra</v>
      </c>
      <c r="E54" s="8" t="str">
        <f>IFERROR(__xludf.DUMMYFUNCTION("""COMPUTED_VALUE"""),"Ya")</f>
        <v>Ya</v>
      </c>
      <c r="F54" s="8">
        <f>IFERROR(__xludf.DUMMYFUNCTION("""COMPUTED_VALUE"""),4.0)</f>
        <v>4</v>
      </c>
      <c r="G54" s="8">
        <f>IFERROR(__xludf.DUMMYFUNCTION("""COMPUTED_VALUE"""),5.0)</f>
        <v>5</v>
      </c>
      <c r="H54" s="8">
        <f>IFERROR(__xludf.DUMMYFUNCTION("""COMPUTED_VALUE"""),4.0)</f>
        <v>4</v>
      </c>
      <c r="I54" s="8">
        <f>IFERROR(__xludf.DUMMYFUNCTION("""COMPUTED_VALUE"""),3.0)</f>
        <v>3</v>
      </c>
      <c r="J54" s="8">
        <f>IFERROR(__xludf.DUMMYFUNCTION("""COMPUTED_VALUE"""),3.0)</f>
        <v>3</v>
      </c>
      <c r="K54" s="8">
        <f>IFERROR(__xludf.DUMMYFUNCTION("""COMPUTED_VALUE"""),3.0)</f>
        <v>3</v>
      </c>
      <c r="L54" s="8">
        <f>IFERROR(__xludf.DUMMYFUNCTION("""COMPUTED_VALUE"""),4.0)</f>
        <v>4</v>
      </c>
      <c r="M54" s="8">
        <f>IFERROR(__xludf.DUMMYFUNCTION("""COMPUTED_VALUE"""),3.0)</f>
        <v>3</v>
      </c>
      <c r="N54" s="8">
        <f>IFERROR(__xludf.DUMMYFUNCTION("""COMPUTED_VALUE"""),4.0)</f>
        <v>4</v>
      </c>
      <c r="O54" s="8">
        <f>IFERROR(__xludf.DUMMYFUNCTION("""COMPUTED_VALUE"""),3.0)</f>
        <v>3</v>
      </c>
      <c r="P54" s="8">
        <f>IFERROR(__xludf.DUMMYFUNCTION("""COMPUTED_VALUE"""),2.0)</f>
        <v>2</v>
      </c>
      <c r="Q54" s="8">
        <f>IFERROR(__xludf.DUMMYFUNCTION("""COMPUTED_VALUE"""),4.0)</f>
        <v>4</v>
      </c>
      <c r="R54" s="8">
        <f>IFERROR(__xludf.DUMMYFUNCTION("""COMPUTED_VALUE"""),4.0)</f>
        <v>4</v>
      </c>
      <c r="S54" s="8">
        <f>IFERROR(__xludf.DUMMYFUNCTION("""COMPUTED_VALUE"""),4.0)</f>
        <v>4</v>
      </c>
      <c r="T54" s="8">
        <f>IFERROR(__xludf.DUMMYFUNCTION("""COMPUTED_VALUE"""),3.0)</f>
        <v>3</v>
      </c>
      <c r="U54" s="8">
        <f t="shared" si="1"/>
        <v>53</v>
      </c>
      <c r="V54" s="119" t="str">
        <f t="shared" si="3"/>
        <v>Siap</v>
      </c>
      <c r="W54" s="119" t="str">
        <f t="shared" si="2"/>
        <v>bisa mengikuti pola pesantren dengan baik</v>
      </c>
      <c r="X54" s="8"/>
      <c r="Y54" s="8"/>
      <c r="Z54" s="8"/>
    </row>
    <row r="55">
      <c r="A55" s="123">
        <f>IFERROR(__xludf.DUMMYFUNCTION("""COMPUTED_VALUE"""),45930.38961493055)</f>
        <v>45930.38961</v>
      </c>
      <c r="B55" s="8" t="str">
        <f>IFERROR(__xludf.DUMMYFUNCTION("""COMPUTED_VALUE"""),"Satria Ibrahim Tamaoki")</f>
        <v>Satria Ibrahim Tamaoki</v>
      </c>
      <c r="C55" s="8" t="str">
        <f>IFERROR(__xludf.DUMMYFUNCTION("""COMPUTED_VALUE"""),"A250072")</f>
        <v>A250072</v>
      </c>
      <c r="D55" s="8" t="str">
        <f>IFERROR(__xludf.DUMMYFUNCTION("""COMPUTED_VALUE"""),"MTs Putra")</f>
        <v>MTs Putra</v>
      </c>
      <c r="E55" s="8" t="str">
        <f>IFERROR(__xludf.DUMMYFUNCTION("""COMPUTED_VALUE"""),"Ya")</f>
        <v>Ya</v>
      </c>
      <c r="F55" s="8">
        <f>IFERROR(__xludf.DUMMYFUNCTION("""COMPUTED_VALUE"""),5.0)</f>
        <v>5</v>
      </c>
      <c r="G55" s="8">
        <f>IFERROR(__xludf.DUMMYFUNCTION("""COMPUTED_VALUE"""),5.0)</f>
        <v>5</v>
      </c>
      <c r="H55" s="8">
        <f>IFERROR(__xludf.DUMMYFUNCTION("""COMPUTED_VALUE"""),5.0)</f>
        <v>5</v>
      </c>
      <c r="I55" s="8">
        <f>IFERROR(__xludf.DUMMYFUNCTION("""COMPUTED_VALUE"""),3.0)</f>
        <v>3</v>
      </c>
      <c r="J55" s="8">
        <f>IFERROR(__xludf.DUMMYFUNCTION("""COMPUTED_VALUE"""),5.0)</f>
        <v>5</v>
      </c>
      <c r="K55" s="8">
        <f>IFERROR(__xludf.DUMMYFUNCTION("""COMPUTED_VALUE"""),5.0)</f>
        <v>5</v>
      </c>
      <c r="L55" s="8">
        <f>IFERROR(__xludf.DUMMYFUNCTION("""COMPUTED_VALUE"""),5.0)</f>
        <v>5</v>
      </c>
      <c r="M55" s="8">
        <f>IFERROR(__xludf.DUMMYFUNCTION("""COMPUTED_VALUE"""),5.0)</f>
        <v>5</v>
      </c>
      <c r="N55" s="8">
        <f>IFERROR(__xludf.DUMMYFUNCTION("""COMPUTED_VALUE"""),4.0)</f>
        <v>4</v>
      </c>
      <c r="O55" s="8">
        <f>IFERROR(__xludf.DUMMYFUNCTION("""COMPUTED_VALUE"""),5.0)</f>
        <v>5</v>
      </c>
      <c r="P55" s="8">
        <f>IFERROR(__xludf.DUMMYFUNCTION("""COMPUTED_VALUE"""),5.0)</f>
        <v>5</v>
      </c>
      <c r="Q55" s="8">
        <f>IFERROR(__xludf.DUMMYFUNCTION("""COMPUTED_VALUE"""),5.0)</f>
        <v>5</v>
      </c>
      <c r="R55" s="8">
        <f>IFERROR(__xludf.DUMMYFUNCTION("""COMPUTED_VALUE"""),5.0)</f>
        <v>5</v>
      </c>
      <c r="S55" s="8">
        <f>IFERROR(__xludf.DUMMYFUNCTION("""COMPUTED_VALUE"""),5.0)</f>
        <v>5</v>
      </c>
      <c r="T55" s="8">
        <f>IFERROR(__xludf.DUMMYFUNCTION("""COMPUTED_VALUE"""),5.0)</f>
        <v>5</v>
      </c>
      <c r="U55" s="8">
        <f t="shared" si="1"/>
        <v>72</v>
      </c>
      <c r="V55" s="119" t="str">
        <f t="shared" si="3"/>
        <v>Siap</v>
      </c>
      <c r="W55" s="119" t="str">
        <f t="shared" si="2"/>
        <v>bisa mengikuti pola pesantren dengan baik</v>
      </c>
      <c r="X55" s="8"/>
      <c r="Y55" s="8"/>
      <c r="Z55" s="8"/>
    </row>
    <row r="56">
      <c r="A56" s="123">
        <f>IFERROR(__xludf.DUMMYFUNCTION("""COMPUTED_VALUE"""),45930.76097822917)</f>
        <v>45930.76098</v>
      </c>
      <c r="B56" s="8" t="str">
        <f>IFERROR(__xludf.DUMMYFUNCTION("""COMPUTED_VALUE"""),"Ulfia Nurfauziah ")</f>
        <v>Ulfia Nurfauziah </v>
      </c>
      <c r="C56" s="8" t="str">
        <f>IFERROR(__xludf.DUMMYFUNCTION("""COMPUTED_VALUE"""),"D250027")</f>
        <v>D250027</v>
      </c>
      <c r="D56" s="8" t="str">
        <f>IFERROR(__xludf.DUMMYFUNCTION("""COMPUTED_VALUE"""),"MTs Putri")</f>
        <v>MTs Putri</v>
      </c>
      <c r="E56" s="8" t="str">
        <f>IFERROR(__xludf.DUMMYFUNCTION("""COMPUTED_VALUE"""),"Ya")</f>
        <v>Ya</v>
      </c>
      <c r="F56" s="8">
        <f>IFERROR(__xludf.DUMMYFUNCTION("""COMPUTED_VALUE"""),5.0)</f>
        <v>5</v>
      </c>
      <c r="G56" s="8">
        <f>IFERROR(__xludf.DUMMYFUNCTION("""COMPUTED_VALUE"""),5.0)</f>
        <v>5</v>
      </c>
      <c r="H56" s="8">
        <f>IFERROR(__xludf.DUMMYFUNCTION("""COMPUTED_VALUE"""),4.0)</f>
        <v>4</v>
      </c>
      <c r="I56" s="8">
        <f>IFERROR(__xludf.DUMMYFUNCTION("""COMPUTED_VALUE"""),5.0)</f>
        <v>5</v>
      </c>
      <c r="J56" s="8">
        <f>IFERROR(__xludf.DUMMYFUNCTION("""COMPUTED_VALUE"""),4.0)</f>
        <v>4</v>
      </c>
      <c r="K56" s="8">
        <f>IFERROR(__xludf.DUMMYFUNCTION("""COMPUTED_VALUE"""),5.0)</f>
        <v>5</v>
      </c>
      <c r="L56" s="8">
        <f>IFERROR(__xludf.DUMMYFUNCTION("""COMPUTED_VALUE"""),5.0)</f>
        <v>5</v>
      </c>
      <c r="M56" s="8">
        <f>IFERROR(__xludf.DUMMYFUNCTION("""COMPUTED_VALUE"""),4.0)</f>
        <v>4</v>
      </c>
      <c r="N56" s="8">
        <f>IFERROR(__xludf.DUMMYFUNCTION("""COMPUTED_VALUE"""),4.0)</f>
        <v>4</v>
      </c>
      <c r="O56" s="8">
        <f>IFERROR(__xludf.DUMMYFUNCTION("""COMPUTED_VALUE"""),5.0)</f>
        <v>5</v>
      </c>
      <c r="P56" s="8">
        <f>IFERROR(__xludf.DUMMYFUNCTION("""COMPUTED_VALUE"""),5.0)</f>
        <v>5</v>
      </c>
      <c r="Q56" s="8">
        <f>IFERROR(__xludf.DUMMYFUNCTION("""COMPUTED_VALUE"""),4.0)</f>
        <v>4</v>
      </c>
      <c r="R56" s="8">
        <f>IFERROR(__xludf.DUMMYFUNCTION("""COMPUTED_VALUE"""),5.0)</f>
        <v>5</v>
      </c>
      <c r="S56" s="8">
        <f>IFERROR(__xludf.DUMMYFUNCTION("""COMPUTED_VALUE"""),5.0)</f>
        <v>5</v>
      </c>
      <c r="T56" s="8">
        <f>IFERROR(__xludf.DUMMYFUNCTION("""COMPUTED_VALUE"""),5.0)</f>
        <v>5</v>
      </c>
      <c r="U56" s="8">
        <f t="shared" si="1"/>
        <v>70</v>
      </c>
      <c r="V56" s="119" t="str">
        <f t="shared" si="3"/>
        <v>Siap</v>
      </c>
      <c r="W56" s="119" t="str">
        <f t="shared" si="2"/>
        <v>bisa mengikuti pola pesantren dengan baik</v>
      </c>
      <c r="X56" s="8"/>
      <c r="Y56" s="8"/>
      <c r="Z56" s="8"/>
    </row>
    <row r="57">
      <c r="A57" s="123">
        <f>IFERROR(__xludf.DUMMYFUNCTION("""COMPUTED_VALUE"""),45930.82313229167)</f>
        <v>45930.82313</v>
      </c>
      <c r="B57" s="8" t="str">
        <f>IFERROR(__xludf.DUMMYFUNCTION("""COMPUTED_VALUE"""),"Siti Fatimah Azzahra ")</f>
        <v>Siti Fatimah Azzahra </v>
      </c>
      <c r="C57" s="8" t="str">
        <f>IFERROR(__xludf.DUMMYFUNCTION("""COMPUTED_VALUE"""),"D250010")</f>
        <v>D250010</v>
      </c>
      <c r="D57" s="8" t="str">
        <f>IFERROR(__xludf.DUMMYFUNCTION("""COMPUTED_VALUE"""),"MTs Putri")</f>
        <v>MTs Putri</v>
      </c>
      <c r="E57" s="8" t="str">
        <f>IFERROR(__xludf.DUMMYFUNCTION("""COMPUTED_VALUE"""),"Ya")</f>
        <v>Ya</v>
      </c>
      <c r="F57" s="8">
        <f>IFERROR(__xludf.DUMMYFUNCTION("""COMPUTED_VALUE"""),5.0)</f>
        <v>5</v>
      </c>
      <c r="G57" s="8">
        <f>IFERROR(__xludf.DUMMYFUNCTION("""COMPUTED_VALUE"""),5.0)</f>
        <v>5</v>
      </c>
      <c r="H57" s="8">
        <f>IFERROR(__xludf.DUMMYFUNCTION("""COMPUTED_VALUE"""),4.0)</f>
        <v>4</v>
      </c>
      <c r="I57" s="8">
        <f>IFERROR(__xludf.DUMMYFUNCTION("""COMPUTED_VALUE"""),5.0)</f>
        <v>5</v>
      </c>
      <c r="J57" s="8">
        <f>IFERROR(__xludf.DUMMYFUNCTION("""COMPUTED_VALUE"""),5.0)</f>
        <v>5</v>
      </c>
      <c r="K57" s="8">
        <f>IFERROR(__xludf.DUMMYFUNCTION("""COMPUTED_VALUE"""),5.0)</f>
        <v>5</v>
      </c>
      <c r="L57" s="8">
        <f>IFERROR(__xludf.DUMMYFUNCTION("""COMPUTED_VALUE"""),5.0)</f>
        <v>5</v>
      </c>
      <c r="M57" s="8">
        <f>IFERROR(__xludf.DUMMYFUNCTION("""COMPUTED_VALUE"""),5.0)</f>
        <v>5</v>
      </c>
      <c r="N57" s="8">
        <f>IFERROR(__xludf.DUMMYFUNCTION("""COMPUTED_VALUE"""),5.0)</f>
        <v>5</v>
      </c>
      <c r="O57" s="8">
        <f>IFERROR(__xludf.DUMMYFUNCTION("""COMPUTED_VALUE"""),5.0)</f>
        <v>5</v>
      </c>
      <c r="P57" s="8">
        <f>IFERROR(__xludf.DUMMYFUNCTION("""COMPUTED_VALUE"""),4.0)</f>
        <v>4</v>
      </c>
      <c r="Q57" s="8">
        <f>IFERROR(__xludf.DUMMYFUNCTION("""COMPUTED_VALUE"""),4.0)</f>
        <v>4</v>
      </c>
      <c r="R57" s="8">
        <f>IFERROR(__xludf.DUMMYFUNCTION("""COMPUTED_VALUE"""),5.0)</f>
        <v>5</v>
      </c>
      <c r="S57" s="8">
        <f>IFERROR(__xludf.DUMMYFUNCTION("""COMPUTED_VALUE"""),5.0)</f>
        <v>5</v>
      </c>
      <c r="T57" s="8">
        <f>IFERROR(__xludf.DUMMYFUNCTION("""COMPUTED_VALUE"""),5.0)</f>
        <v>5</v>
      </c>
      <c r="U57" s="8">
        <f t="shared" si="1"/>
        <v>72</v>
      </c>
      <c r="V57" s="119" t="str">
        <f t="shared" si="3"/>
        <v>Siap</v>
      </c>
      <c r="W57" s="119" t="str">
        <f t="shared" si="2"/>
        <v>bisa mengikuti pola pesantren dengan baik</v>
      </c>
      <c r="X57" s="8"/>
      <c r="Y57" s="8"/>
      <c r="Z57" s="8"/>
    </row>
    <row r="58">
      <c r="A58" s="123">
        <f>IFERROR(__xludf.DUMMYFUNCTION("""COMPUTED_VALUE"""),45931.37004746527)</f>
        <v>45931.37005</v>
      </c>
      <c r="B58" s="8" t="str">
        <f>IFERROR(__xludf.DUMMYFUNCTION("""COMPUTED_VALUE"""),"FAIZ ABDUSSALAM TASLIM BUDIDOYO")</f>
        <v>FAIZ ABDUSSALAM TASLIM BUDIDOYO</v>
      </c>
      <c r="C58" s="8" t="str">
        <f>IFERROR(__xludf.DUMMYFUNCTION("""COMPUTED_VALUE"""),"B250014")</f>
        <v>B250014</v>
      </c>
      <c r="D58" s="8" t="str">
        <f>IFERROR(__xludf.DUMMYFUNCTION("""COMPUTED_VALUE"""),"I'dad Lughawiy Putra")</f>
        <v>I'dad Lughawiy Putra</v>
      </c>
      <c r="E58" s="8" t="str">
        <f>IFERROR(__xludf.DUMMYFUNCTION("""COMPUTED_VALUE"""),"Ya")</f>
        <v>Ya</v>
      </c>
      <c r="F58" s="8">
        <f>IFERROR(__xludf.DUMMYFUNCTION("""COMPUTED_VALUE"""),5.0)</f>
        <v>5</v>
      </c>
      <c r="G58" s="8">
        <f>IFERROR(__xludf.DUMMYFUNCTION("""COMPUTED_VALUE"""),4.0)</f>
        <v>4</v>
      </c>
      <c r="H58" s="8">
        <f>IFERROR(__xludf.DUMMYFUNCTION("""COMPUTED_VALUE"""),5.0)</f>
        <v>5</v>
      </c>
      <c r="I58" s="8">
        <f>IFERROR(__xludf.DUMMYFUNCTION("""COMPUTED_VALUE"""),4.0)</f>
        <v>4</v>
      </c>
      <c r="J58" s="8">
        <f>IFERROR(__xludf.DUMMYFUNCTION("""COMPUTED_VALUE"""),3.0)</f>
        <v>3</v>
      </c>
      <c r="K58" s="8">
        <f>IFERROR(__xludf.DUMMYFUNCTION("""COMPUTED_VALUE"""),5.0)</f>
        <v>5</v>
      </c>
      <c r="L58" s="8">
        <f>IFERROR(__xludf.DUMMYFUNCTION("""COMPUTED_VALUE"""),4.0)</f>
        <v>4</v>
      </c>
      <c r="M58" s="8">
        <f>IFERROR(__xludf.DUMMYFUNCTION("""COMPUTED_VALUE"""),5.0)</f>
        <v>5</v>
      </c>
      <c r="N58" s="8">
        <f>IFERROR(__xludf.DUMMYFUNCTION("""COMPUTED_VALUE"""),4.0)</f>
        <v>4</v>
      </c>
      <c r="O58" s="8">
        <f>IFERROR(__xludf.DUMMYFUNCTION("""COMPUTED_VALUE"""),5.0)</f>
        <v>5</v>
      </c>
      <c r="P58" s="8">
        <f>IFERROR(__xludf.DUMMYFUNCTION("""COMPUTED_VALUE"""),4.0)</f>
        <v>4</v>
      </c>
      <c r="Q58" s="8">
        <f>IFERROR(__xludf.DUMMYFUNCTION("""COMPUTED_VALUE"""),3.0)</f>
        <v>3</v>
      </c>
      <c r="R58" s="8">
        <f>IFERROR(__xludf.DUMMYFUNCTION("""COMPUTED_VALUE"""),4.0)</f>
        <v>4</v>
      </c>
      <c r="S58" s="8">
        <f>IFERROR(__xludf.DUMMYFUNCTION("""COMPUTED_VALUE"""),5.0)</f>
        <v>5</v>
      </c>
      <c r="T58" s="8">
        <f>IFERROR(__xludf.DUMMYFUNCTION("""COMPUTED_VALUE"""),4.0)</f>
        <v>4</v>
      </c>
      <c r="U58" s="8">
        <f t="shared" si="1"/>
        <v>64</v>
      </c>
      <c r="V58" s="119" t="str">
        <f t="shared" si="3"/>
        <v>Siap</v>
      </c>
      <c r="W58" s="119" t="str">
        <f t="shared" si="2"/>
        <v>bisa mengikuti pola pesantren dengan baik</v>
      </c>
      <c r="X58" s="8"/>
      <c r="Y58" s="8"/>
      <c r="Z58" s="8"/>
    </row>
    <row r="59">
      <c r="A59" s="123">
        <f>IFERROR(__xludf.DUMMYFUNCTION("""COMPUTED_VALUE"""),45933.58170821759)</f>
        <v>45933.58171</v>
      </c>
      <c r="B59" s="8" t="str">
        <f>IFERROR(__xludf.DUMMYFUNCTION("""COMPUTED_VALUE"""),"Farhan ibadurrohman ")</f>
        <v>Farhan ibadurrohman </v>
      </c>
      <c r="C59" s="8" t="str">
        <f>IFERROR(__xludf.DUMMYFUNCTION("""COMPUTED_VALUE"""),"B250018")</f>
        <v>B250018</v>
      </c>
      <c r="D59" s="8" t="str">
        <f>IFERROR(__xludf.DUMMYFUNCTION("""COMPUTED_VALUE"""),"I'dad Lughawiy Putra")</f>
        <v>I'dad Lughawiy Putra</v>
      </c>
      <c r="E59" s="8" t="str">
        <f>IFERROR(__xludf.DUMMYFUNCTION("""COMPUTED_VALUE"""),"Ya")</f>
        <v>Ya</v>
      </c>
      <c r="F59" s="8">
        <f>IFERROR(__xludf.DUMMYFUNCTION("""COMPUTED_VALUE"""),5.0)</f>
        <v>5</v>
      </c>
      <c r="G59" s="8">
        <f>IFERROR(__xludf.DUMMYFUNCTION("""COMPUTED_VALUE"""),5.0)</f>
        <v>5</v>
      </c>
      <c r="H59" s="8">
        <f>IFERROR(__xludf.DUMMYFUNCTION("""COMPUTED_VALUE"""),5.0)</f>
        <v>5</v>
      </c>
      <c r="I59" s="8">
        <f>IFERROR(__xludf.DUMMYFUNCTION("""COMPUTED_VALUE"""),4.0)</f>
        <v>4</v>
      </c>
      <c r="J59" s="8">
        <f>IFERROR(__xludf.DUMMYFUNCTION("""COMPUTED_VALUE"""),3.0)</f>
        <v>3</v>
      </c>
      <c r="K59" s="8">
        <f>IFERROR(__xludf.DUMMYFUNCTION("""COMPUTED_VALUE"""),5.0)</f>
        <v>5</v>
      </c>
      <c r="L59" s="8">
        <f>IFERROR(__xludf.DUMMYFUNCTION("""COMPUTED_VALUE"""),4.0)</f>
        <v>4</v>
      </c>
      <c r="M59" s="8">
        <f>IFERROR(__xludf.DUMMYFUNCTION("""COMPUTED_VALUE"""),4.0)</f>
        <v>4</v>
      </c>
      <c r="N59" s="8">
        <f>IFERROR(__xludf.DUMMYFUNCTION("""COMPUTED_VALUE"""),4.0)</f>
        <v>4</v>
      </c>
      <c r="O59" s="8">
        <f>IFERROR(__xludf.DUMMYFUNCTION("""COMPUTED_VALUE"""),4.0)</f>
        <v>4</v>
      </c>
      <c r="P59" s="8">
        <f>IFERROR(__xludf.DUMMYFUNCTION("""COMPUTED_VALUE"""),5.0)</f>
        <v>5</v>
      </c>
      <c r="Q59" s="8">
        <f>IFERROR(__xludf.DUMMYFUNCTION("""COMPUTED_VALUE"""),3.0)</f>
        <v>3</v>
      </c>
      <c r="R59" s="8">
        <f>IFERROR(__xludf.DUMMYFUNCTION("""COMPUTED_VALUE"""),5.0)</f>
        <v>5</v>
      </c>
      <c r="S59" s="8">
        <f>IFERROR(__xludf.DUMMYFUNCTION("""COMPUTED_VALUE"""),5.0)</f>
        <v>5</v>
      </c>
      <c r="T59" s="8">
        <f>IFERROR(__xludf.DUMMYFUNCTION("""COMPUTED_VALUE"""),5.0)</f>
        <v>5</v>
      </c>
      <c r="U59" s="8">
        <f t="shared" si="1"/>
        <v>66</v>
      </c>
      <c r="V59" s="119" t="str">
        <f t="shared" si="3"/>
        <v>Siap</v>
      </c>
      <c r="W59" s="119" t="str">
        <f t="shared" si="2"/>
        <v>bisa mengikuti pola pesantren dengan baik</v>
      </c>
      <c r="X59" s="8"/>
      <c r="Y59" s="8"/>
      <c r="Z59" s="8"/>
    </row>
    <row r="60">
      <c r="A60" s="123">
        <f>IFERROR(__xludf.DUMMYFUNCTION("""COMPUTED_VALUE"""),45933.61085387731)</f>
        <v>45933.61085</v>
      </c>
      <c r="B60" s="8" t="str">
        <f>IFERROR(__xludf.DUMMYFUNCTION("""COMPUTED_VALUE"""),"Siti Arafah ")</f>
        <v>Siti Arafah </v>
      </c>
      <c r="C60" s="8" t="str">
        <f>IFERROR(__xludf.DUMMYFUNCTION("""COMPUTED_VALUE"""),"E250008")</f>
        <v>E250008</v>
      </c>
      <c r="D60" s="8" t="str">
        <f>IFERROR(__xludf.DUMMYFUNCTION("""COMPUTED_VALUE"""),"I'dad Lughawiy Putri")</f>
        <v>I'dad Lughawiy Putri</v>
      </c>
      <c r="E60" s="8" t="str">
        <f>IFERROR(__xludf.DUMMYFUNCTION("""COMPUTED_VALUE"""),"Ya")</f>
        <v>Ya</v>
      </c>
      <c r="F60" s="8">
        <f>IFERROR(__xludf.DUMMYFUNCTION("""COMPUTED_VALUE"""),5.0)</f>
        <v>5</v>
      </c>
      <c r="G60" s="8">
        <f>IFERROR(__xludf.DUMMYFUNCTION("""COMPUTED_VALUE"""),5.0)</f>
        <v>5</v>
      </c>
      <c r="H60" s="8">
        <f>IFERROR(__xludf.DUMMYFUNCTION("""COMPUTED_VALUE"""),4.0)</f>
        <v>4</v>
      </c>
      <c r="I60" s="8">
        <f>IFERROR(__xludf.DUMMYFUNCTION("""COMPUTED_VALUE"""),5.0)</f>
        <v>5</v>
      </c>
      <c r="J60" s="8">
        <f>IFERROR(__xludf.DUMMYFUNCTION("""COMPUTED_VALUE"""),4.0)</f>
        <v>4</v>
      </c>
      <c r="K60" s="8">
        <f>IFERROR(__xludf.DUMMYFUNCTION("""COMPUTED_VALUE"""),4.0)</f>
        <v>4</v>
      </c>
      <c r="L60" s="8">
        <f>IFERROR(__xludf.DUMMYFUNCTION("""COMPUTED_VALUE"""),5.0)</f>
        <v>5</v>
      </c>
      <c r="M60" s="8">
        <f>IFERROR(__xludf.DUMMYFUNCTION("""COMPUTED_VALUE"""),4.0)</f>
        <v>4</v>
      </c>
      <c r="N60" s="8">
        <f>IFERROR(__xludf.DUMMYFUNCTION("""COMPUTED_VALUE"""),4.0)</f>
        <v>4</v>
      </c>
      <c r="O60" s="8">
        <f>IFERROR(__xludf.DUMMYFUNCTION("""COMPUTED_VALUE"""),4.0)</f>
        <v>4</v>
      </c>
      <c r="P60" s="8">
        <f>IFERROR(__xludf.DUMMYFUNCTION("""COMPUTED_VALUE"""),5.0)</f>
        <v>5</v>
      </c>
      <c r="Q60" s="8">
        <f>IFERROR(__xludf.DUMMYFUNCTION("""COMPUTED_VALUE"""),5.0)</f>
        <v>5</v>
      </c>
      <c r="R60" s="8">
        <f>IFERROR(__xludf.DUMMYFUNCTION("""COMPUTED_VALUE"""),5.0)</f>
        <v>5</v>
      </c>
      <c r="S60" s="8">
        <f>IFERROR(__xludf.DUMMYFUNCTION("""COMPUTED_VALUE"""),5.0)</f>
        <v>5</v>
      </c>
      <c r="T60" s="8">
        <f>IFERROR(__xludf.DUMMYFUNCTION("""COMPUTED_VALUE"""),3.0)</f>
        <v>3</v>
      </c>
      <c r="U60" s="8">
        <f t="shared" si="1"/>
        <v>67</v>
      </c>
      <c r="V60" s="119" t="str">
        <f t="shared" si="3"/>
        <v>Siap</v>
      </c>
      <c r="W60" s="119" t="str">
        <f t="shared" si="2"/>
        <v>bisa mengikuti pola pesantren dengan baik</v>
      </c>
      <c r="X60" s="8"/>
      <c r="Y60" s="8"/>
      <c r="Z60" s="8"/>
    </row>
    <row r="61">
      <c r="A61" s="123">
        <f>IFERROR(__xludf.DUMMYFUNCTION("""COMPUTED_VALUE"""),45933.63287755787)</f>
        <v>45933.63288</v>
      </c>
      <c r="B61" s="8" t="str">
        <f>IFERROR(__xludf.DUMMYFUNCTION("""COMPUTED_VALUE"""),"adinda humaira")</f>
        <v>adinda humaira</v>
      </c>
      <c r="C61" s="8" t="str">
        <f>IFERROR(__xludf.DUMMYFUNCTION("""COMPUTED_VALUE"""),"E250004")</f>
        <v>E250004</v>
      </c>
      <c r="D61" s="8" t="str">
        <f>IFERROR(__xludf.DUMMYFUNCTION("""COMPUTED_VALUE"""),"I'dad Lughawiy Putri")</f>
        <v>I'dad Lughawiy Putri</v>
      </c>
      <c r="E61" s="8" t="str">
        <f>IFERROR(__xludf.DUMMYFUNCTION("""COMPUTED_VALUE"""),"Ya")</f>
        <v>Ya</v>
      </c>
      <c r="F61" s="8">
        <f>IFERROR(__xludf.DUMMYFUNCTION("""COMPUTED_VALUE"""),5.0)</f>
        <v>5</v>
      </c>
      <c r="G61" s="8">
        <f>IFERROR(__xludf.DUMMYFUNCTION("""COMPUTED_VALUE"""),5.0)</f>
        <v>5</v>
      </c>
      <c r="H61" s="8">
        <f>IFERROR(__xludf.DUMMYFUNCTION("""COMPUTED_VALUE"""),4.0)</f>
        <v>4</v>
      </c>
      <c r="I61" s="8">
        <f>IFERROR(__xludf.DUMMYFUNCTION("""COMPUTED_VALUE"""),5.0)</f>
        <v>5</v>
      </c>
      <c r="J61" s="8">
        <f>IFERROR(__xludf.DUMMYFUNCTION("""COMPUTED_VALUE"""),3.0)</f>
        <v>3</v>
      </c>
      <c r="K61" s="8">
        <f>IFERROR(__xludf.DUMMYFUNCTION("""COMPUTED_VALUE"""),5.0)</f>
        <v>5</v>
      </c>
      <c r="L61" s="8">
        <f>IFERROR(__xludf.DUMMYFUNCTION("""COMPUTED_VALUE"""),3.0)</f>
        <v>3</v>
      </c>
      <c r="M61" s="8">
        <f>IFERROR(__xludf.DUMMYFUNCTION("""COMPUTED_VALUE"""),2.0)</f>
        <v>2</v>
      </c>
      <c r="N61" s="8">
        <f>IFERROR(__xludf.DUMMYFUNCTION("""COMPUTED_VALUE"""),4.0)</f>
        <v>4</v>
      </c>
      <c r="O61" s="8">
        <f>IFERROR(__xludf.DUMMYFUNCTION("""COMPUTED_VALUE"""),5.0)</f>
        <v>5</v>
      </c>
      <c r="P61" s="8">
        <f>IFERROR(__xludf.DUMMYFUNCTION("""COMPUTED_VALUE"""),5.0)</f>
        <v>5</v>
      </c>
      <c r="Q61" s="8">
        <f>IFERROR(__xludf.DUMMYFUNCTION("""COMPUTED_VALUE"""),3.0)</f>
        <v>3</v>
      </c>
      <c r="R61" s="8">
        <f>IFERROR(__xludf.DUMMYFUNCTION("""COMPUTED_VALUE"""),5.0)</f>
        <v>5</v>
      </c>
      <c r="S61" s="8">
        <f>IFERROR(__xludf.DUMMYFUNCTION("""COMPUTED_VALUE"""),5.0)</f>
        <v>5</v>
      </c>
      <c r="T61" s="8">
        <f>IFERROR(__xludf.DUMMYFUNCTION("""COMPUTED_VALUE"""),3.0)</f>
        <v>3</v>
      </c>
      <c r="U61" s="8">
        <f t="shared" si="1"/>
        <v>62</v>
      </c>
      <c r="V61" s="119" t="str">
        <f t="shared" si="3"/>
        <v>Siap</v>
      </c>
      <c r="W61" s="119" t="str">
        <f t="shared" si="2"/>
        <v>bisa mengikuti pola pesantren dengan baik</v>
      </c>
      <c r="X61" s="8"/>
      <c r="Y61" s="8"/>
      <c r="Z61" s="8"/>
    </row>
    <row r="62">
      <c r="A62" s="123">
        <f>IFERROR(__xludf.DUMMYFUNCTION("""COMPUTED_VALUE"""),45933.66764009259)</f>
        <v>45933.66764</v>
      </c>
      <c r="B62" s="8" t="str">
        <f>IFERROR(__xludf.DUMMYFUNCTION("""COMPUTED_VALUE"""),"Artka hasbina azhuary")</f>
        <v>Artka hasbina azhuary</v>
      </c>
      <c r="C62" s="8" t="str">
        <f>IFERROR(__xludf.DUMMYFUNCTION("""COMPUTED_VALUE"""),"A250032")</f>
        <v>A250032</v>
      </c>
      <c r="D62" s="8" t="str">
        <f>IFERROR(__xludf.DUMMYFUNCTION("""COMPUTED_VALUE"""),"MTs Putra")</f>
        <v>MTs Putra</v>
      </c>
      <c r="E62" s="8" t="str">
        <f>IFERROR(__xludf.DUMMYFUNCTION("""COMPUTED_VALUE"""),"Ya")</f>
        <v>Ya</v>
      </c>
      <c r="F62" s="8">
        <f>IFERROR(__xludf.DUMMYFUNCTION("""COMPUTED_VALUE"""),4.0)</f>
        <v>4</v>
      </c>
      <c r="G62" s="8">
        <f>IFERROR(__xludf.DUMMYFUNCTION("""COMPUTED_VALUE"""),5.0)</f>
        <v>5</v>
      </c>
      <c r="H62" s="8">
        <f>IFERROR(__xludf.DUMMYFUNCTION("""COMPUTED_VALUE"""),4.0)</f>
        <v>4</v>
      </c>
      <c r="I62" s="8">
        <f>IFERROR(__xludf.DUMMYFUNCTION("""COMPUTED_VALUE"""),5.0)</f>
        <v>5</v>
      </c>
      <c r="J62" s="8">
        <f>IFERROR(__xludf.DUMMYFUNCTION("""COMPUTED_VALUE"""),4.0)</f>
        <v>4</v>
      </c>
      <c r="K62" s="8">
        <f>IFERROR(__xludf.DUMMYFUNCTION("""COMPUTED_VALUE"""),4.0)</f>
        <v>4</v>
      </c>
      <c r="L62" s="8">
        <f>IFERROR(__xludf.DUMMYFUNCTION("""COMPUTED_VALUE"""),5.0)</f>
        <v>5</v>
      </c>
      <c r="M62" s="8">
        <f>IFERROR(__xludf.DUMMYFUNCTION("""COMPUTED_VALUE"""),4.0)</f>
        <v>4</v>
      </c>
      <c r="N62" s="8">
        <f>IFERROR(__xludf.DUMMYFUNCTION("""COMPUTED_VALUE"""),5.0)</f>
        <v>5</v>
      </c>
      <c r="O62" s="8">
        <f>IFERROR(__xludf.DUMMYFUNCTION("""COMPUTED_VALUE"""),5.0)</f>
        <v>5</v>
      </c>
      <c r="P62" s="8">
        <f>IFERROR(__xludf.DUMMYFUNCTION("""COMPUTED_VALUE"""),4.0)</f>
        <v>4</v>
      </c>
      <c r="Q62" s="8">
        <f>IFERROR(__xludf.DUMMYFUNCTION("""COMPUTED_VALUE"""),4.0)</f>
        <v>4</v>
      </c>
      <c r="R62" s="8">
        <f>IFERROR(__xludf.DUMMYFUNCTION("""COMPUTED_VALUE"""),4.0)</f>
        <v>4</v>
      </c>
      <c r="S62" s="8">
        <f>IFERROR(__xludf.DUMMYFUNCTION("""COMPUTED_VALUE"""),5.0)</f>
        <v>5</v>
      </c>
      <c r="T62" s="8">
        <f>IFERROR(__xludf.DUMMYFUNCTION("""COMPUTED_VALUE"""),4.0)</f>
        <v>4</v>
      </c>
      <c r="U62" s="8">
        <f t="shared" si="1"/>
        <v>66</v>
      </c>
      <c r="V62" s="119" t="str">
        <f t="shared" si="3"/>
        <v>Siap</v>
      </c>
      <c r="W62" s="119" t="str">
        <f t="shared" si="2"/>
        <v>bisa mengikuti pola pesantren dengan baik</v>
      </c>
      <c r="X62" s="8"/>
      <c r="Y62" s="8"/>
      <c r="Z62" s="8"/>
    </row>
    <row r="63">
      <c r="A63" s="123">
        <f>IFERROR(__xludf.DUMMYFUNCTION("""COMPUTED_VALUE"""),45934.40550237268)</f>
        <v>45934.4055</v>
      </c>
      <c r="B63" s="8" t="str">
        <f>IFERROR(__xludf.DUMMYFUNCTION("""COMPUTED_VALUE"""),"Muhammad Raihan Alfawwaz")</f>
        <v>Muhammad Raihan Alfawwaz</v>
      </c>
      <c r="C63" s="8" t="str">
        <f>IFERROR(__xludf.DUMMYFUNCTION("""COMPUTED_VALUE"""),"A250005")</f>
        <v>A250005</v>
      </c>
      <c r="D63" s="8" t="str">
        <f>IFERROR(__xludf.DUMMYFUNCTION("""COMPUTED_VALUE"""),"MTs Putra")</f>
        <v>MTs Putra</v>
      </c>
      <c r="E63" s="8" t="str">
        <f>IFERROR(__xludf.DUMMYFUNCTION("""COMPUTED_VALUE"""),"Ya")</f>
        <v>Ya</v>
      </c>
      <c r="F63" s="8">
        <f>IFERROR(__xludf.DUMMYFUNCTION("""COMPUTED_VALUE"""),5.0)</f>
        <v>5</v>
      </c>
      <c r="G63" s="8">
        <f>IFERROR(__xludf.DUMMYFUNCTION("""COMPUTED_VALUE"""),5.0)</f>
        <v>5</v>
      </c>
      <c r="H63" s="8">
        <f>IFERROR(__xludf.DUMMYFUNCTION("""COMPUTED_VALUE"""),5.0)</f>
        <v>5</v>
      </c>
      <c r="I63" s="8">
        <f>IFERROR(__xludf.DUMMYFUNCTION("""COMPUTED_VALUE"""),5.0)</f>
        <v>5</v>
      </c>
      <c r="J63" s="8">
        <f>IFERROR(__xludf.DUMMYFUNCTION("""COMPUTED_VALUE"""),5.0)</f>
        <v>5</v>
      </c>
      <c r="K63" s="8">
        <f>IFERROR(__xludf.DUMMYFUNCTION("""COMPUTED_VALUE"""),5.0)</f>
        <v>5</v>
      </c>
      <c r="L63" s="8">
        <f>IFERROR(__xludf.DUMMYFUNCTION("""COMPUTED_VALUE"""),5.0)</f>
        <v>5</v>
      </c>
      <c r="M63" s="8">
        <f>IFERROR(__xludf.DUMMYFUNCTION("""COMPUTED_VALUE"""),4.0)</f>
        <v>4</v>
      </c>
      <c r="N63" s="8">
        <f>IFERROR(__xludf.DUMMYFUNCTION("""COMPUTED_VALUE"""),5.0)</f>
        <v>5</v>
      </c>
      <c r="O63" s="8">
        <f>IFERROR(__xludf.DUMMYFUNCTION("""COMPUTED_VALUE"""),5.0)</f>
        <v>5</v>
      </c>
      <c r="P63" s="8">
        <f>IFERROR(__xludf.DUMMYFUNCTION("""COMPUTED_VALUE"""),5.0)</f>
        <v>5</v>
      </c>
      <c r="Q63" s="8">
        <f>IFERROR(__xludf.DUMMYFUNCTION("""COMPUTED_VALUE"""),5.0)</f>
        <v>5</v>
      </c>
      <c r="R63" s="8">
        <f>IFERROR(__xludf.DUMMYFUNCTION("""COMPUTED_VALUE"""),4.0)</f>
        <v>4</v>
      </c>
      <c r="S63" s="8">
        <f>IFERROR(__xludf.DUMMYFUNCTION("""COMPUTED_VALUE"""),4.0)</f>
        <v>4</v>
      </c>
      <c r="T63" s="8">
        <f>IFERROR(__xludf.DUMMYFUNCTION("""COMPUTED_VALUE"""),4.0)</f>
        <v>4</v>
      </c>
      <c r="U63" s="8">
        <f t="shared" si="1"/>
        <v>71</v>
      </c>
      <c r="V63" s="119" t="str">
        <f t="shared" si="3"/>
        <v>Siap</v>
      </c>
      <c r="W63" s="119" t="str">
        <f t="shared" si="2"/>
        <v>bisa mengikuti pola pesantren dengan baik</v>
      </c>
      <c r="X63" s="8"/>
      <c r="Y63" s="8"/>
      <c r="Z63" s="8"/>
    </row>
    <row r="64">
      <c r="A64" s="123">
        <f>IFERROR(__xludf.DUMMYFUNCTION("""COMPUTED_VALUE"""),45934.42071493056)</f>
        <v>45934.42071</v>
      </c>
      <c r="B64" s="8" t="str">
        <f>IFERROR(__xludf.DUMMYFUNCTION("""COMPUTED_VALUE"""),"NIZAR")</f>
        <v>NIZAR</v>
      </c>
      <c r="C64" s="8" t="str">
        <f>IFERROR(__xludf.DUMMYFUNCTION("""COMPUTED_VALUE"""),"C250009")</f>
        <v>C250009</v>
      </c>
      <c r="D64" s="8" t="str">
        <f>IFERROR(__xludf.DUMMYFUNCTION("""COMPUTED_VALUE"""),"SMA")</f>
        <v>SMA</v>
      </c>
      <c r="E64" s="8" t="str">
        <f>IFERROR(__xludf.DUMMYFUNCTION("""COMPUTED_VALUE"""),"Ya")</f>
        <v>Ya</v>
      </c>
      <c r="F64" s="8">
        <f>IFERROR(__xludf.DUMMYFUNCTION("""COMPUTED_VALUE"""),5.0)</f>
        <v>5</v>
      </c>
      <c r="G64" s="8">
        <f>IFERROR(__xludf.DUMMYFUNCTION("""COMPUTED_VALUE"""),5.0)</f>
        <v>5</v>
      </c>
      <c r="H64" s="8">
        <f>IFERROR(__xludf.DUMMYFUNCTION("""COMPUTED_VALUE"""),5.0)</f>
        <v>5</v>
      </c>
      <c r="I64" s="8">
        <f>IFERROR(__xludf.DUMMYFUNCTION("""COMPUTED_VALUE"""),5.0)</f>
        <v>5</v>
      </c>
      <c r="J64" s="8">
        <f>IFERROR(__xludf.DUMMYFUNCTION("""COMPUTED_VALUE"""),3.0)</f>
        <v>3</v>
      </c>
      <c r="K64" s="8">
        <f>IFERROR(__xludf.DUMMYFUNCTION("""COMPUTED_VALUE"""),5.0)</f>
        <v>5</v>
      </c>
      <c r="L64" s="8">
        <f>IFERROR(__xludf.DUMMYFUNCTION("""COMPUTED_VALUE"""),5.0)</f>
        <v>5</v>
      </c>
      <c r="M64" s="8">
        <f>IFERROR(__xludf.DUMMYFUNCTION("""COMPUTED_VALUE"""),5.0)</f>
        <v>5</v>
      </c>
      <c r="N64" s="8">
        <f>IFERROR(__xludf.DUMMYFUNCTION("""COMPUTED_VALUE"""),4.0)</f>
        <v>4</v>
      </c>
      <c r="O64" s="8">
        <f>IFERROR(__xludf.DUMMYFUNCTION("""COMPUTED_VALUE"""),4.0)</f>
        <v>4</v>
      </c>
      <c r="P64" s="8">
        <f>IFERROR(__xludf.DUMMYFUNCTION("""COMPUTED_VALUE"""),5.0)</f>
        <v>5</v>
      </c>
      <c r="Q64" s="8">
        <f>IFERROR(__xludf.DUMMYFUNCTION("""COMPUTED_VALUE"""),5.0)</f>
        <v>5</v>
      </c>
      <c r="R64" s="8">
        <f>IFERROR(__xludf.DUMMYFUNCTION("""COMPUTED_VALUE"""),5.0)</f>
        <v>5</v>
      </c>
      <c r="S64" s="8">
        <f>IFERROR(__xludf.DUMMYFUNCTION("""COMPUTED_VALUE"""),5.0)</f>
        <v>5</v>
      </c>
      <c r="T64" s="8">
        <f>IFERROR(__xludf.DUMMYFUNCTION("""COMPUTED_VALUE"""),5.0)</f>
        <v>5</v>
      </c>
      <c r="U64" s="8">
        <f t="shared" si="1"/>
        <v>71</v>
      </c>
      <c r="V64" s="119" t="str">
        <f t="shared" si="3"/>
        <v>Siap</v>
      </c>
      <c r="W64" s="119" t="str">
        <f t="shared" si="2"/>
        <v>bisa mengikuti pola pesantren dengan baik</v>
      </c>
      <c r="X64" s="8"/>
      <c r="Y64" s="8"/>
      <c r="Z64" s="8"/>
    </row>
    <row r="65">
      <c r="A65" s="123">
        <f>IFERROR(__xludf.DUMMYFUNCTION("""COMPUTED_VALUE"""),45934.431737430554)</f>
        <v>45934.43174</v>
      </c>
      <c r="B65" s="8" t="str">
        <f>IFERROR(__xludf.DUMMYFUNCTION("""COMPUTED_VALUE"""),"Ihsan Abdul Hakim ")</f>
        <v>Ihsan Abdul Hakim </v>
      </c>
      <c r="C65" s="8" t="str">
        <f>IFERROR(__xludf.DUMMYFUNCTION("""COMPUTED_VALUE"""),"B250003")</f>
        <v>B250003</v>
      </c>
      <c r="D65" s="8" t="str">
        <f>IFERROR(__xludf.DUMMYFUNCTION("""COMPUTED_VALUE"""),"I'dad Lughawiy Putra")</f>
        <v>I'dad Lughawiy Putra</v>
      </c>
      <c r="E65" s="8" t="str">
        <f>IFERROR(__xludf.DUMMYFUNCTION("""COMPUTED_VALUE"""),"Ya")</f>
        <v>Ya</v>
      </c>
      <c r="F65" s="8">
        <f>IFERROR(__xludf.DUMMYFUNCTION("""COMPUTED_VALUE"""),4.0)</f>
        <v>4</v>
      </c>
      <c r="G65" s="8">
        <f>IFERROR(__xludf.DUMMYFUNCTION("""COMPUTED_VALUE"""),4.0)</f>
        <v>4</v>
      </c>
      <c r="H65" s="8">
        <f>IFERROR(__xludf.DUMMYFUNCTION("""COMPUTED_VALUE"""),4.0)</f>
        <v>4</v>
      </c>
      <c r="I65" s="8">
        <f>IFERROR(__xludf.DUMMYFUNCTION("""COMPUTED_VALUE"""),4.0)</f>
        <v>4</v>
      </c>
      <c r="J65" s="8">
        <f>IFERROR(__xludf.DUMMYFUNCTION("""COMPUTED_VALUE"""),3.0)</f>
        <v>3</v>
      </c>
      <c r="K65" s="8">
        <f>IFERROR(__xludf.DUMMYFUNCTION("""COMPUTED_VALUE"""),4.0)</f>
        <v>4</v>
      </c>
      <c r="L65" s="8">
        <f>IFERROR(__xludf.DUMMYFUNCTION("""COMPUTED_VALUE"""),4.0)</f>
        <v>4</v>
      </c>
      <c r="M65" s="8">
        <f>IFERROR(__xludf.DUMMYFUNCTION("""COMPUTED_VALUE"""),5.0)</f>
        <v>5</v>
      </c>
      <c r="N65" s="8">
        <f>IFERROR(__xludf.DUMMYFUNCTION("""COMPUTED_VALUE"""),4.0)</f>
        <v>4</v>
      </c>
      <c r="O65" s="8">
        <f>IFERROR(__xludf.DUMMYFUNCTION("""COMPUTED_VALUE"""),1.0)</f>
        <v>1</v>
      </c>
      <c r="P65" s="8">
        <f>IFERROR(__xludf.DUMMYFUNCTION("""COMPUTED_VALUE"""),5.0)</f>
        <v>5</v>
      </c>
      <c r="Q65" s="8">
        <f>IFERROR(__xludf.DUMMYFUNCTION("""COMPUTED_VALUE"""),5.0)</f>
        <v>5</v>
      </c>
      <c r="R65" s="8">
        <f>IFERROR(__xludf.DUMMYFUNCTION("""COMPUTED_VALUE"""),5.0)</f>
        <v>5</v>
      </c>
      <c r="S65" s="8">
        <f>IFERROR(__xludf.DUMMYFUNCTION("""COMPUTED_VALUE"""),5.0)</f>
        <v>5</v>
      </c>
      <c r="T65" s="8">
        <f>IFERROR(__xludf.DUMMYFUNCTION("""COMPUTED_VALUE"""),4.0)</f>
        <v>4</v>
      </c>
      <c r="U65" s="8">
        <f t="shared" si="1"/>
        <v>61</v>
      </c>
      <c r="V65" s="119" t="str">
        <f t="shared" si="3"/>
        <v>Siap</v>
      </c>
      <c r="W65" s="119" t="str">
        <f t="shared" si="2"/>
        <v>bisa mengikuti pola pesantren dengan baik</v>
      </c>
      <c r="X65" s="8"/>
      <c r="Y65" s="8"/>
      <c r="Z65" s="8"/>
    </row>
    <row r="66">
      <c r="A66" s="123">
        <f>IFERROR(__xludf.DUMMYFUNCTION("""COMPUTED_VALUE"""),45934.44662188657)</f>
        <v>45934.44662</v>
      </c>
      <c r="B66" s="8" t="str">
        <f>IFERROR(__xludf.DUMMYFUNCTION("""COMPUTED_VALUE"""),"Raihan Farzin ")</f>
        <v>Raihan Farzin </v>
      </c>
      <c r="C66" s="8" t="str">
        <f>IFERROR(__xludf.DUMMYFUNCTION("""COMPUTED_VALUE"""),"B250005")</f>
        <v>B250005</v>
      </c>
      <c r="D66" s="8" t="str">
        <f>IFERROR(__xludf.DUMMYFUNCTION("""COMPUTED_VALUE"""),"I'dad Lughawiy Putra")</f>
        <v>I'dad Lughawiy Putra</v>
      </c>
      <c r="E66" s="8" t="str">
        <f>IFERROR(__xludf.DUMMYFUNCTION("""COMPUTED_VALUE"""),"Ya")</f>
        <v>Ya</v>
      </c>
      <c r="F66" s="8">
        <f>IFERROR(__xludf.DUMMYFUNCTION("""COMPUTED_VALUE"""),4.0)</f>
        <v>4</v>
      </c>
      <c r="G66" s="8">
        <f>IFERROR(__xludf.DUMMYFUNCTION("""COMPUTED_VALUE"""),4.0)</f>
        <v>4</v>
      </c>
      <c r="H66" s="8">
        <f>IFERROR(__xludf.DUMMYFUNCTION("""COMPUTED_VALUE"""),4.0)</f>
        <v>4</v>
      </c>
      <c r="I66" s="8">
        <f>IFERROR(__xludf.DUMMYFUNCTION("""COMPUTED_VALUE"""),4.0)</f>
        <v>4</v>
      </c>
      <c r="J66" s="8">
        <f>IFERROR(__xludf.DUMMYFUNCTION("""COMPUTED_VALUE"""),4.0)</f>
        <v>4</v>
      </c>
      <c r="K66" s="8">
        <f>IFERROR(__xludf.DUMMYFUNCTION("""COMPUTED_VALUE"""),4.0)</f>
        <v>4</v>
      </c>
      <c r="L66" s="8">
        <f>IFERROR(__xludf.DUMMYFUNCTION("""COMPUTED_VALUE"""),4.0)</f>
        <v>4</v>
      </c>
      <c r="M66" s="8">
        <f>IFERROR(__xludf.DUMMYFUNCTION("""COMPUTED_VALUE"""),4.0)</f>
        <v>4</v>
      </c>
      <c r="N66" s="8">
        <f>IFERROR(__xludf.DUMMYFUNCTION("""COMPUTED_VALUE"""),4.0)</f>
        <v>4</v>
      </c>
      <c r="O66" s="8">
        <f>IFERROR(__xludf.DUMMYFUNCTION("""COMPUTED_VALUE"""),3.0)</f>
        <v>3</v>
      </c>
      <c r="P66" s="8">
        <f>IFERROR(__xludf.DUMMYFUNCTION("""COMPUTED_VALUE"""),4.0)</f>
        <v>4</v>
      </c>
      <c r="Q66" s="8">
        <f>IFERROR(__xludf.DUMMYFUNCTION("""COMPUTED_VALUE"""),4.0)</f>
        <v>4</v>
      </c>
      <c r="R66" s="8">
        <f>IFERROR(__xludf.DUMMYFUNCTION("""COMPUTED_VALUE"""),4.0)</f>
        <v>4</v>
      </c>
      <c r="S66" s="8">
        <f>IFERROR(__xludf.DUMMYFUNCTION("""COMPUTED_VALUE"""),4.0)</f>
        <v>4</v>
      </c>
      <c r="T66" s="8">
        <f>IFERROR(__xludf.DUMMYFUNCTION("""COMPUTED_VALUE"""),3.0)</f>
        <v>3</v>
      </c>
      <c r="U66" s="8">
        <f t="shared" si="1"/>
        <v>58</v>
      </c>
      <c r="V66" s="119" t="str">
        <f t="shared" si="3"/>
        <v>Siap</v>
      </c>
      <c r="W66" s="119" t="str">
        <f t="shared" si="2"/>
        <v>bisa mengikuti pola pesantren dengan baik</v>
      </c>
      <c r="X66" s="8"/>
      <c r="Y66" s="8"/>
      <c r="Z66" s="8"/>
    </row>
    <row r="67">
      <c r="A67" s="123">
        <f>IFERROR(__xludf.DUMMYFUNCTION("""COMPUTED_VALUE"""),45934.5190000463)</f>
        <v>45934.519</v>
      </c>
      <c r="B67" s="8" t="str">
        <f>IFERROR(__xludf.DUMMYFUNCTION("""COMPUTED_VALUE"""),"SULTHON ABRISAM KARIM")</f>
        <v>SULTHON ABRISAM KARIM</v>
      </c>
      <c r="C67" s="8" t="str">
        <f>IFERROR(__xludf.DUMMYFUNCTION("""COMPUTED_VALUE"""),"A250041")</f>
        <v>A250041</v>
      </c>
      <c r="D67" s="8" t="str">
        <f>IFERROR(__xludf.DUMMYFUNCTION("""COMPUTED_VALUE"""),"MTs Putra")</f>
        <v>MTs Putra</v>
      </c>
      <c r="E67" s="8" t="str">
        <f>IFERROR(__xludf.DUMMYFUNCTION("""COMPUTED_VALUE"""),"Ya")</f>
        <v>Ya</v>
      </c>
      <c r="F67" s="8">
        <f>IFERROR(__xludf.DUMMYFUNCTION("""COMPUTED_VALUE"""),5.0)</f>
        <v>5</v>
      </c>
      <c r="G67" s="8">
        <f>IFERROR(__xludf.DUMMYFUNCTION("""COMPUTED_VALUE"""),5.0)</f>
        <v>5</v>
      </c>
      <c r="H67" s="8">
        <f>IFERROR(__xludf.DUMMYFUNCTION("""COMPUTED_VALUE"""),5.0)</f>
        <v>5</v>
      </c>
      <c r="I67" s="8">
        <f>IFERROR(__xludf.DUMMYFUNCTION("""COMPUTED_VALUE"""),4.0)</f>
        <v>4</v>
      </c>
      <c r="J67" s="8">
        <f>IFERROR(__xludf.DUMMYFUNCTION("""COMPUTED_VALUE"""),4.0)</f>
        <v>4</v>
      </c>
      <c r="K67" s="8">
        <f>IFERROR(__xludf.DUMMYFUNCTION("""COMPUTED_VALUE"""),5.0)</f>
        <v>5</v>
      </c>
      <c r="L67" s="8">
        <f>IFERROR(__xludf.DUMMYFUNCTION("""COMPUTED_VALUE"""),5.0)</f>
        <v>5</v>
      </c>
      <c r="M67" s="8">
        <f>IFERROR(__xludf.DUMMYFUNCTION("""COMPUTED_VALUE"""),5.0)</f>
        <v>5</v>
      </c>
      <c r="N67" s="8">
        <f>IFERROR(__xludf.DUMMYFUNCTION("""COMPUTED_VALUE"""),4.0)</f>
        <v>4</v>
      </c>
      <c r="O67" s="8">
        <f>IFERROR(__xludf.DUMMYFUNCTION("""COMPUTED_VALUE"""),5.0)</f>
        <v>5</v>
      </c>
      <c r="P67" s="8">
        <f>IFERROR(__xludf.DUMMYFUNCTION("""COMPUTED_VALUE"""),4.0)</f>
        <v>4</v>
      </c>
      <c r="Q67" s="8">
        <f>IFERROR(__xludf.DUMMYFUNCTION("""COMPUTED_VALUE"""),5.0)</f>
        <v>5</v>
      </c>
      <c r="R67" s="8">
        <f>IFERROR(__xludf.DUMMYFUNCTION("""COMPUTED_VALUE"""),5.0)</f>
        <v>5</v>
      </c>
      <c r="S67" s="8">
        <f>IFERROR(__xludf.DUMMYFUNCTION("""COMPUTED_VALUE"""),5.0)</f>
        <v>5</v>
      </c>
      <c r="T67" s="8">
        <f>IFERROR(__xludf.DUMMYFUNCTION("""COMPUTED_VALUE"""),5.0)</f>
        <v>5</v>
      </c>
      <c r="U67" s="8">
        <f t="shared" si="1"/>
        <v>71</v>
      </c>
      <c r="V67" s="119" t="str">
        <f t="shared" si="3"/>
        <v>Siap</v>
      </c>
      <c r="W67" s="119" t="str">
        <f t="shared" si="2"/>
        <v>bisa mengikuti pola pesantren dengan baik</v>
      </c>
      <c r="X67" s="8"/>
      <c r="Y67" s="8"/>
      <c r="Z67" s="8"/>
    </row>
    <row r="68">
      <c r="A68" s="123">
        <f>IFERROR(__xludf.DUMMYFUNCTION("""COMPUTED_VALUE"""),45934.523602974536)</f>
        <v>45934.5236</v>
      </c>
      <c r="B68" s="8" t="str">
        <f>IFERROR(__xludf.DUMMYFUNCTION("""COMPUTED_VALUE"""),"Riyadi wirawan")</f>
        <v>Riyadi wirawan</v>
      </c>
      <c r="C68" s="8" t="str">
        <f>IFERROR(__xludf.DUMMYFUNCTION("""COMPUTED_VALUE"""),"A250040")</f>
        <v>A250040</v>
      </c>
      <c r="D68" s="8" t="str">
        <f>IFERROR(__xludf.DUMMYFUNCTION("""COMPUTED_VALUE"""),"MTs Putra")</f>
        <v>MTs Putra</v>
      </c>
      <c r="E68" s="8" t="str">
        <f>IFERROR(__xludf.DUMMYFUNCTION("""COMPUTED_VALUE"""),"Ya")</f>
        <v>Ya</v>
      </c>
      <c r="F68" s="8">
        <f>IFERROR(__xludf.DUMMYFUNCTION("""COMPUTED_VALUE"""),5.0)</f>
        <v>5</v>
      </c>
      <c r="G68" s="8">
        <f>IFERROR(__xludf.DUMMYFUNCTION("""COMPUTED_VALUE"""),3.0)</f>
        <v>3</v>
      </c>
      <c r="H68" s="8">
        <f>IFERROR(__xludf.DUMMYFUNCTION("""COMPUTED_VALUE"""),4.0)</f>
        <v>4</v>
      </c>
      <c r="I68" s="8">
        <f>IFERROR(__xludf.DUMMYFUNCTION("""COMPUTED_VALUE"""),5.0)</f>
        <v>5</v>
      </c>
      <c r="J68" s="8">
        <f>IFERROR(__xludf.DUMMYFUNCTION("""COMPUTED_VALUE"""),4.0)</f>
        <v>4</v>
      </c>
      <c r="K68" s="8">
        <f>IFERROR(__xludf.DUMMYFUNCTION("""COMPUTED_VALUE"""),5.0)</f>
        <v>5</v>
      </c>
      <c r="L68" s="8">
        <f>IFERROR(__xludf.DUMMYFUNCTION("""COMPUTED_VALUE"""),5.0)</f>
        <v>5</v>
      </c>
      <c r="M68" s="8">
        <f>IFERROR(__xludf.DUMMYFUNCTION("""COMPUTED_VALUE"""),5.0)</f>
        <v>5</v>
      </c>
      <c r="N68" s="8">
        <f>IFERROR(__xludf.DUMMYFUNCTION("""COMPUTED_VALUE"""),3.0)</f>
        <v>3</v>
      </c>
      <c r="O68" s="8">
        <f>IFERROR(__xludf.DUMMYFUNCTION("""COMPUTED_VALUE"""),5.0)</f>
        <v>5</v>
      </c>
      <c r="P68" s="8">
        <f>IFERROR(__xludf.DUMMYFUNCTION("""COMPUTED_VALUE"""),5.0)</f>
        <v>5</v>
      </c>
      <c r="Q68" s="8">
        <f>IFERROR(__xludf.DUMMYFUNCTION("""COMPUTED_VALUE"""),5.0)</f>
        <v>5</v>
      </c>
      <c r="R68" s="8">
        <f>IFERROR(__xludf.DUMMYFUNCTION("""COMPUTED_VALUE"""),5.0)</f>
        <v>5</v>
      </c>
      <c r="S68" s="8">
        <f>IFERROR(__xludf.DUMMYFUNCTION("""COMPUTED_VALUE"""),5.0)</f>
        <v>5</v>
      </c>
      <c r="T68" s="8">
        <f>IFERROR(__xludf.DUMMYFUNCTION("""COMPUTED_VALUE"""),3.0)</f>
        <v>3</v>
      </c>
      <c r="U68" s="8">
        <f t="shared" si="1"/>
        <v>67</v>
      </c>
      <c r="V68" s="119" t="str">
        <f t="shared" si="3"/>
        <v>Siap</v>
      </c>
      <c r="W68" s="119" t="str">
        <f t="shared" si="2"/>
        <v>bisa mengikuti pola pesantren dengan baik</v>
      </c>
      <c r="X68" s="8"/>
      <c r="Y68" s="8"/>
      <c r="Z68" s="8"/>
    </row>
    <row r="69">
      <c r="A69" s="123">
        <f>IFERROR(__xludf.DUMMYFUNCTION("""COMPUTED_VALUE"""),45934.6600559375)</f>
        <v>45934.66006</v>
      </c>
      <c r="B69" s="8" t="str">
        <f>IFERROR(__xludf.DUMMYFUNCTION("""COMPUTED_VALUE"""),"Arrayyan Abdur Rashid")</f>
        <v>Arrayyan Abdur Rashid</v>
      </c>
      <c r="C69" s="8" t="str">
        <f>IFERROR(__xludf.DUMMYFUNCTION("""COMPUTED_VALUE"""),"A250015")</f>
        <v>A250015</v>
      </c>
      <c r="D69" s="8" t="str">
        <f>IFERROR(__xludf.DUMMYFUNCTION("""COMPUTED_VALUE"""),"MTs Putra")</f>
        <v>MTs Putra</v>
      </c>
      <c r="E69" s="8" t="str">
        <f>IFERROR(__xludf.DUMMYFUNCTION("""COMPUTED_VALUE"""),"Ya")</f>
        <v>Ya</v>
      </c>
      <c r="F69" s="8">
        <f>IFERROR(__xludf.DUMMYFUNCTION("""COMPUTED_VALUE"""),4.0)</f>
        <v>4</v>
      </c>
      <c r="G69" s="8">
        <f>IFERROR(__xludf.DUMMYFUNCTION("""COMPUTED_VALUE"""),4.0)</f>
        <v>4</v>
      </c>
      <c r="H69" s="8">
        <f>IFERROR(__xludf.DUMMYFUNCTION("""COMPUTED_VALUE"""),2.0)</f>
        <v>2</v>
      </c>
      <c r="I69" s="8">
        <f>IFERROR(__xludf.DUMMYFUNCTION("""COMPUTED_VALUE"""),4.0)</f>
        <v>4</v>
      </c>
      <c r="J69" s="8">
        <f>IFERROR(__xludf.DUMMYFUNCTION("""COMPUTED_VALUE"""),4.0)</f>
        <v>4</v>
      </c>
      <c r="K69" s="8">
        <f>IFERROR(__xludf.DUMMYFUNCTION("""COMPUTED_VALUE"""),4.0)</f>
        <v>4</v>
      </c>
      <c r="L69" s="8">
        <f>IFERROR(__xludf.DUMMYFUNCTION("""COMPUTED_VALUE"""),5.0)</f>
        <v>5</v>
      </c>
      <c r="M69" s="8">
        <f>IFERROR(__xludf.DUMMYFUNCTION("""COMPUTED_VALUE"""),4.0)</f>
        <v>4</v>
      </c>
      <c r="N69" s="8">
        <f>IFERROR(__xludf.DUMMYFUNCTION("""COMPUTED_VALUE"""),4.0)</f>
        <v>4</v>
      </c>
      <c r="O69" s="8">
        <f>IFERROR(__xludf.DUMMYFUNCTION("""COMPUTED_VALUE"""),4.0)</f>
        <v>4</v>
      </c>
      <c r="P69" s="8">
        <f>IFERROR(__xludf.DUMMYFUNCTION("""COMPUTED_VALUE"""),5.0)</f>
        <v>5</v>
      </c>
      <c r="Q69" s="8">
        <f>IFERROR(__xludf.DUMMYFUNCTION("""COMPUTED_VALUE"""),4.0)</f>
        <v>4</v>
      </c>
      <c r="R69" s="8">
        <f>IFERROR(__xludf.DUMMYFUNCTION("""COMPUTED_VALUE"""),4.0)</f>
        <v>4</v>
      </c>
      <c r="S69" s="8">
        <f>IFERROR(__xludf.DUMMYFUNCTION("""COMPUTED_VALUE"""),4.0)</f>
        <v>4</v>
      </c>
      <c r="T69" s="8">
        <f>IFERROR(__xludf.DUMMYFUNCTION("""COMPUTED_VALUE"""),4.0)</f>
        <v>4</v>
      </c>
      <c r="U69" s="8">
        <f t="shared" si="1"/>
        <v>60</v>
      </c>
      <c r="V69" s="119" t="str">
        <f t="shared" si="3"/>
        <v>Siap</v>
      </c>
      <c r="W69" s="119" t="str">
        <f t="shared" si="2"/>
        <v>bisa mengikuti pola pesantren dengan baik</v>
      </c>
      <c r="X69" s="8"/>
      <c r="Y69" s="8"/>
      <c r="Z69" s="8"/>
    </row>
    <row r="70">
      <c r="A70" s="123">
        <f>IFERROR(__xludf.DUMMYFUNCTION("""COMPUTED_VALUE"""),45935.37370650463)</f>
        <v>45935.37371</v>
      </c>
      <c r="B70" s="8" t="str">
        <f>IFERROR(__xludf.DUMMYFUNCTION("""COMPUTED_VALUE"""),"Yahya Azka Ya'sub ")</f>
        <v>Yahya Azka Ya'sub </v>
      </c>
      <c r="C70" s="8" t="str">
        <f>IFERROR(__xludf.DUMMYFUNCTION("""COMPUTED_VALUE"""),"A250058")</f>
        <v>A250058</v>
      </c>
      <c r="D70" s="8" t="str">
        <f>IFERROR(__xludf.DUMMYFUNCTION("""COMPUTED_VALUE"""),"MTs Putra")</f>
        <v>MTs Putra</v>
      </c>
      <c r="E70" s="8" t="str">
        <f>IFERROR(__xludf.DUMMYFUNCTION("""COMPUTED_VALUE"""),"Ya")</f>
        <v>Ya</v>
      </c>
      <c r="F70" s="8">
        <f>IFERROR(__xludf.DUMMYFUNCTION("""COMPUTED_VALUE"""),5.0)</f>
        <v>5</v>
      </c>
      <c r="G70" s="8">
        <f>IFERROR(__xludf.DUMMYFUNCTION("""COMPUTED_VALUE"""),5.0)</f>
        <v>5</v>
      </c>
      <c r="H70" s="8">
        <f>IFERROR(__xludf.DUMMYFUNCTION("""COMPUTED_VALUE"""),5.0)</f>
        <v>5</v>
      </c>
      <c r="I70" s="8">
        <f>IFERROR(__xludf.DUMMYFUNCTION("""COMPUTED_VALUE"""),5.0)</f>
        <v>5</v>
      </c>
      <c r="J70" s="8">
        <f>IFERROR(__xludf.DUMMYFUNCTION("""COMPUTED_VALUE"""),5.0)</f>
        <v>5</v>
      </c>
      <c r="K70" s="8">
        <f>IFERROR(__xludf.DUMMYFUNCTION("""COMPUTED_VALUE"""),5.0)</f>
        <v>5</v>
      </c>
      <c r="L70" s="8">
        <f>IFERROR(__xludf.DUMMYFUNCTION("""COMPUTED_VALUE"""),5.0)</f>
        <v>5</v>
      </c>
      <c r="M70" s="8">
        <f>IFERROR(__xludf.DUMMYFUNCTION("""COMPUTED_VALUE"""),4.0)</f>
        <v>4</v>
      </c>
      <c r="N70" s="8">
        <f>IFERROR(__xludf.DUMMYFUNCTION("""COMPUTED_VALUE"""),5.0)</f>
        <v>5</v>
      </c>
      <c r="O70" s="8">
        <f>IFERROR(__xludf.DUMMYFUNCTION("""COMPUTED_VALUE"""),4.0)</f>
        <v>4</v>
      </c>
      <c r="P70" s="8">
        <f>IFERROR(__xludf.DUMMYFUNCTION("""COMPUTED_VALUE"""),5.0)</f>
        <v>5</v>
      </c>
      <c r="Q70" s="8">
        <f>IFERROR(__xludf.DUMMYFUNCTION("""COMPUTED_VALUE"""),5.0)</f>
        <v>5</v>
      </c>
      <c r="R70" s="8">
        <f>IFERROR(__xludf.DUMMYFUNCTION("""COMPUTED_VALUE"""),5.0)</f>
        <v>5</v>
      </c>
      <c r="S70" s="8">
        <f>IFERROR(__xludf.DUMMYFUNCTION("""COMPUTED_VALUE"""),5.0)</f>
        <v>5</v>
      </c>
      <c r="T70" s="8">
        <f>IFERROR(__xludf.DUMMYFUNCTION("""COMPUTED_VALUE"""),4.0)</f>
        <v>4</v>
      </c>
      <c r="U70" s="8">
        <f t="shared" si="1"/>
        <v>72</v>
      </c>
      <c r="V70" s="119" t="str">
        <f t="shared" si="3"/>
        <v>Siap</v>
      </c>
      <c r="W70" s="119" t="str">
        <f t="shared" si="2"/>
        <v>bisa mengikuti pola pesantren dengan baik</v>
      </c>
      <c r="X70" s="8"/>
      <c r="Y70" s="8"/>
      <c r="Z70" s="8"/>
    </row>
    <row r="71">
      <c r="A71" s="123">
        <f>IFERROR(__xludf.DUMMYFUNCTION("""COMPUTED_VALUE"""),45935.43794469908)</f>
        <v>45935.43794</v>
      </c>
      <c r="B71" s="8" t="str">
        <f>IFERROR(__xludf.DUMMYFUNCTION("""COMPUTED_VALUE"""),"M Azzam AL hafizh")</f>
        <v>M Azzam AL hafizh</v>
      </c>
      <c r="C71" s="8" t="str">
        <f>IFERROR(__xludf.DUMMYFUNCTION("""COMPUTED_VALUE"""),"A250076")</f>
        <v>A250076</v>
      </c>
      <c r="D71" s="8" t="str">
        <f>IFERROR(__xludf.DUMMYFUNCTION("""COMPUTED_VALUE"""),"MTs Putra")</f>
        <v>MTs Putra</v>
      </c>
      <c r="E71" s="8" t="str">
        <f>IFERROR(__xludf.DUMMYFUNCTION("""COMPUTED_VALUE"""),"Ya")</f>
        <v>Ya</v>
      </c>
      <c r="F71" s="8">
        <f>IFERROR(__xludf.DUMMYFUNCTION("""COMPUTED_VALUE"""),5.0)</f>
        <v>5</v>
      </c>
      <c r="G71" s="8">
        <f>IFERROR(__xludf.DUMMYFUNCTION("""COMPUTED_VALUE"""),5.0)</f>
        <v>5</v>
      </c>
      <c r="H71" s="8">
        <f>IFERROR(__xludf.DUMMYFUNCTION("""COMPUTED_VALUE"""),5.0)</f>
        <v>5</v>
      </c>
      <c r="I71" s="8">
        <f>IFERROR(__xludf.DUMMYFUNCTION("""COMPUTED_VALUE"""),5.0)</f>
        <v>5</v>
      </c>
      <c r="J71" s="8">
        <f>IFERROR(__xludf.DUMMYFUNCTION("""COMPUTED_VALUE"""),5.0)</f>
        <v>5</v>
      </c>
      <c r="K71" s="8">
        <f>IFERROR(__xludf.DUMMYFUNCTION("""COMPUTED_VALUE"""),5.0)</f>
        <v>5</v>
      </c>
      <c r="L71" s="8">
        <f>IFERROR(__xludf.DUMMYFUNCTION("""COMPUTED_VALUE"""),5.0)</f>
        <v>5</v>
      </c>
      <c r="M71" s="8">
        <f>IFERROR(__xludf.DUMMYFUNCTION("""COMPUTED_VALUE"""),5.0)</f>
        <v>5</v>
      </c>
      <c r="N71" s="8">
        <f>IFERROR(__xludf.DUMMYFUNCTION("""COMPUTED_VALUE"""),5.0)</f>
        <v>5</v>
      </c>
      <c r="O71" s="8">
        <f>IFERROR(__xludf.DUMMYFUNCTION("""COMPUTED_VALUE"""),1.0)</f>
        <v>1</v>
      </c>
      <c r="P71" s="8">
        <f>IFERROR(__xludf.DUMMYFUNCTION("""COMPUTED_VALUE"""),5.0)</f>
        <v>5</v>
      </c>
      <c r="Q71" s="8">
        <f>IFERROR(__xludf.DUMMYFUNCTION("""COMPUTED_VALUE"""),5.0)</f>
        <v>5</v>
      </c>
      <c r="R71" s="8">
        <f>IFERROR(__xludf.DUMMYFUNCTION("""COMPUTED_VALUE"""),5.0)</f>
        <v>5</v>
      </c>
      <c r="S71" s="8">
        <f>IFERROR(__xludf.DUMMYFUNCTION("""COMPUTED_VALUE"""),5.0)</f>
        <v>5</v>
      </c>
      <c r="T71" s="8">
        <f>IFERROR(__xludf.DUMMYFUNCTION("""COMPUTED_VALUE"""),5.0)</f>
        <v>5</v>
      </c>
      <c r="U71" s="8">
        <f t="shared" si="1"/>
        <v>71</v>
      </c>
      <c r="V71" s="119" t="str">
        <f t="shared" si="3"/>
        <v>Siap</v>
      </c>
      <c r="W71" s="119" t="str">
        <f t="shared" si="2"/>
        <v>bisa mengikuti pola pesantren dengan baik</v>
      </c>
      <c r="X71" s="8"/>
      <c r="Y71" s="8"/>
      <c r="Z71" s="8"/>
    </row>
    <row r="72">
      <c r="A72" s="123">
        <f>IFERROR(__xludf.DUMMYFUNCTION("""COMPUTED_VALUE"""),45935.44046233797)</f>
        <v>45935.44046</v>
      </c>
      <c r="B72" s="8" t="str">
        <f>IFERROR(__xludf.DUMMYFUNCTION("""COMPUTED_VALUE"""),"RUWAIFI ")</f>
        <v>RUWAIFI </v>
      </c>
      <c r="C72" s="8" t="str">
        <f>IFERROR(__xludf.DUMMYFUNCTION("""COMPUTED_VALUE"""),"A250071")</f>
        <v>A250071</v>
      </c>
      <c r="D72" s="8" t="str">
        <f>IFERROR(__xludf.DUMMYFUNCTION("""COMPUTED_VALUE"""),"MTs Putra")</f>
        <v>MTs Putra</v>
      </c>
      <c r="E72" s="8" t="str">
        <f>IFERROR(__xludf.DUMMYFUNCTION("""COMPUTED_VALUE"""),"Ya")</f>
        <v>Ya</v>
      </c>
      <c r="F72" s="8">
        <f>IFERROR(__xludf.DUMMYFUNCTION("""COMPUTED_VALUE"""),3.0)</f>
        <v>3</v>
      </c>
      <c r="G72" s="8">
        <f>IFERROR(__xludf.DUMMYFUNCTION("""COMPUTED_VALUE"""),5.0)</f>
        <v>5</v>
      </c>
      <c r="H72" s="8">
        <f>IFERROR(__xludf.DUMMYFUNCTION("""COMPUTED_VALUE"""),2.0)</f>
        <v>2</v>
      </c>
      <c r="I72" s="8">
        <f>IFERROR(__xludf.DUMMYFUNCTION("""COMPUTED_VALUE"""),3.0)</f>
        <v>3</v>
      </c>
      <c r="J72" s="8">
        <f>IFERROR(__xludf.DUMMYFUNCTION("""COMPUTED_VALUE"""),4.0)</f>
        <v>4</v>
      </c>
      <c r="K72" s="8">
        <f>IFERROR(__xludf.DUMMYFUNCTION("""COMPUTED_VALUE"""),4.0)</f>
        <v>4</v>
      </c>
      <c r="L72" s="8">
        <f>IFERROR(__xludf.DUMMYFUNCTION("""COMPUTED_VALUE"""),5.0)</f>
        <v>5</v>
      </c>
      <c r="M72" s="8">
        <f>IFERROR(__xludf.DUMMYFUNCTION("""COMPUTED_VALUE"""),1.0)</f>
        <v>1</v>
      </c>
      <c r="N72" s="8">
        <f>IFERROR(__xludf.DUMMYFUNCTION("""COMPUTED_VALUE"""),3.0)</f>
        <v>3</v>
      </c>
      <c r="O72" s="8">
        <f>IFERROR(__xludf.DUMMYFUNCTION("""COMPUTED_VALUE"""),5.0)</f>
        <v>5</v>
      </c>
      <c r="P72" s="8">
        <f>IFERROR(__xludf.DUMMYFUNCTION("""COMPUTED_VALUE"""),3.0)</f>
        <v>3</v>
      </c>
      <c r="Q72" s="8">
        <f>IFERROR(__xludf.DUMMYFUNCTION("""COMPUTED_VALUE"""),1.0)</f>
        <v>1</v>
      </c>
      <c r="R72" s="8">
        <f>IFERROR(__xludf.DUMMYFUNCTION("""COMPUTED_VALUE"""),3.0)</f>
        <v>3</v>
      </c>
      <c r="S72" s="8">
        <f>IFERROR(__xludf.DUMMYFUNCTION("""COMPUTED_VALUE"""),3.0)</f>
        <v>3</v>
      </c>
      <c r="T72" s="8">
        <f>IFERROR(__xludf.DUMMYFUNCTION("""COMPUTED_VALUE"""),5.0)</f>
        <v>5</v>
      </c>
      <c r="U72" s="8">
        <f t="shared" si="1"/>
        <v>50</v>
      </c>
      <c r="V72" s="119" t="str">
        <f t="shared" si="3"/>
        <v>Siap</v>
      </c>
      <c r="W72" s="119" t="str">
        <f t="shared" si="2"/>
        <v>bisa mengikuti pola pesantren dengan baik</v>
      </c>
      <c r="X72" s="8"/>
      <c r="Y72" s="8"/>
      <c r="Z72" s="8"/>
    </row>
    <row r="73">
      <c r="A73" s="123">
        <f>IFERROR(__xludf.DUMMYFUNCTION("""COMPUTED_VALUE"""),45935.51677145834)</f>
        <v>45935.51677</v>
      </c>
      <c r="B73" s="8" t="str">
        <f>IFERROR(__xludf.DUMMYFUNCTION("""COMPUTED_VALUE"""),"Hanifah Azahra Putri")</f>
        <v>Hanifah Azahra Putri</v>
      </c>
      <c r="C73" s="8" t="str">
        <f>IFERROR(__xludf.DUMMYFUNCTION("""COMPUTED_VALUE"""),"D250022")</f>
        <v>D250022</v>
      </c>
      <c r="D73" s="8" t="str">
        <f>IFERROR(__xludf.DUMMYFUNCTION("""COMPUTED_VALUE"""),"MTs Putri")</f>
        <v>MTs Putri</v>
      </c>
      <c r="E73" s="8" t="str">
        <f>IFERROR(__xludf.DUMMYFUNCTION("""COMPUTED_VALUE"""),"Ya")</f>
        <v>Ya</v>
      </c>
      <c r="F73" s="8">
        <f>IFERROR(__xludf.DUMMYFUNCTION("""COMPUTED_VALUE"""),5.0)</f>
        <v>5</v>
      </c>
      <c r="G73" s="8">
        <f>IFERROR(__xludf.DUMMYFUNCTION("""COMPUTED_VALUE"""),5.0)</f>
        <v>5</v>
      </c>
      <c r="H73" s="8">
        <f>IFERROR(__xludf.DUMMYFUNCTION("""COMPUTED_VALUE"""),5.0)</f>
        <v>5</v>
      </c>
      <c r="I73" s="8">
        <f>IFERROR(__xludf.DUMMYFUNCTION("""COMPUTED_VALUE"""),5.0)</f>
        <v>5</v>
      </c>
      <c r="J73" s="8">
        <f>IFERROR(__xludf.DUMMYFUNCTION("""COMPUTED_VALUE"""),5.0)</f>
        <v>5</v>
      </c>
      <c r="K73" s="8">
        <f>IFERROR(__xludf.DUMMYFUNCTION("""COMPUTED_VALUE"""),5.0)</f>
        <v>5</v>
      </c>
      <c r="L73" s="8">
        <f>IFERROR(__xludf.DUMMYFUNCTION("""COMPUTED_VALUE"""),5.0)</f>
        <v>5</v>
      </c>
      <c r="M73" s="8">
        <f>IFERROR(__xludf.DUMMYFUNCTION("""COMPUTED_VALUE"""),4.0)</f>
        <v>4</v>
      </c>
      <c r="N73" s="8">
        <f>IFERROR(__xludf.DUMMYFUNCTION("""COMPUTED_VALUE"""),5.0)</f>
        <v>5</v>
      </c>
      <c r="O73" s="8">
        <f>IFERROR(__xludf.DUMMYFUNCTION("""COMPUTED_VALUE"""),1.0)</f>
        <v>1</v>
      </c>
      <c r="P73" s="8">
        <f>IFERROR(__xludf.DUMMYFUNCTION("""COMPUTED_VALUE"""),5.0)</f>
        <v>5</v>
      </c>
      <c r="Q73" s="8">
        <f>IFERROR(__xludf.DUMMYFUNCTION("""COMPUTED_VALUE"""),4.0)</f>
        <v>4</v>
      </c>
      <c r="R73" s="8">
        <f>IFERROR(__xludf.DUMMYFUNCTION("""COMPUTED_VALUE"""),4.0)</f>
        <v>4</v>
      </c>
      <c r="S73" s="8">
        <f>IFERROR(__xludf.DUMMYFUNCTION("""COMPUTED_VALUE"""),4.0)</f>
        <v>4</v>
      </c>
      <c r="T73" s="8">
        <f>IFERROR(__xludf.DUMMYFUNCTION("""COMPUTED_VALUE"""),5.0)</f>
        <v>5</v>
      </c>
      <c r="U73" s="8">
        <f t="shared" si="1"/>
        <v>67</v>
      </c>
      <c r="V73" s="119" t="str">
        <f t="shared" si="3"/>
        <v>Siap</v>
      </c>
      <c r="W73" s="119" t="str">
        <f t="shared" si="2"/>
        <v>bisa mengikuti pola pesantren dengan baik</v>
      </c>
      <c r="X73" s="8"/>
      <c r="Y73" s="8"/>
      <c r="Z73" s="8"/>
    </row>
    <row r="74">
      <c r="A74" s="123">
        <f>IFERROR(__xludf.DUMMYFUNCTION("""COMPUTED_VALUE"""),45935.522869085646)</f>
        <v>45935.52287</v>
      </c>
      <c r="B74" s="8" t="str">
        <f>IFERROR(__xludf.DUMMYFUNCTION("""COMPUTED_VALUE"""),"Hafizh Abdurrahman ")</f>
        <v>Hafizh Abdurrahman </v>
      </c>
      <c r="C74" s="8" t="str">
        <f>IFERROR(__xludf.DUMMYFUNCTION("""COMPUTED_VALUE"""),"B250004")</f>
        <v>B250004</v>
      </c>
      <c r="D74" s="8" t="str">
        <f>IFERROR(__xludf.DUMMYFUNCTION("""COMPUTED_VALUE"""),"I'dad Lughawiy Putra")</f>
        <v>I'dad Lughawiy Putra</v>
      </c>
      <c r="E74" s="8" t="str">
        <f>IFERROR(__xludf.DUMMYFUNCTION("""COMPUTED_VALUE"""),"Ya")</f>
        <v>Ya</v>
      </c>
      <c r="F74" s="8">
        <f>IFERROR(__xludf.DUMMYFUNCTION("""COMPUTED_VALUE"""),5.0)</f>
        <v>5</v>
      </c>
      <c r="G74" s="8">
        <f>IFERROR(__xludf.DUMMYFUNCTION("""COMPUTED_VALUE"""),5.0)</f>
        <v>5</v>
      </c>
      <c r="H74" s="8">
        <f>IFERROR(__xludf.DUMMYFUNCTION("""COMPUTED_VALUE"""),5.0)</f>
        <v>5</v>
      </c>
      <c r="I74" s="8">
        <f>IFERROR(__xludf.DUMMYFUNCTION("""COMPUTED_VALUE"""),5.0)</f>
        <v>5</v>
      </c>
      <c r="J74" s="8">
        <f>IFERROR(__xludf.DUMMYFUNCTION("""COMPUTED_VALUE"""),3.0)</f>
        <v>3</v>
      </c>
      <c r="K74" s="8">
        <f>IFERROR(__xludf.DUMMYFUNCTION("""COMPUTED_VALUE"""),5.0)</f>
        <v>5</v>
      </c>
      <c r="L74" s="8">
        <f>IFERROR(__xludf.DUMMYFUNCTION("""COMPUTED_VALUE"""),5.0)</f>
        <v>5</v>
      </c>
      <c r="M74" s="8">
        <f>IFERROR(__xludf.DUMMYFUNCTION("""COMPUTED_VALUE"""),2.0)</f>
        <v>2</v>
      </c>
      <c r="N74" s="8">
        <f>IFERROR(__xludf.DUMMYFUNCTION("""COMPUTED_VALUE"""),5.0)</f>
        <v>5</v>
      </c>
      <c r="O74" s="8">
        <f>IFERROR(__xludf.DUMMYFUNCTION("""COMPUTED_VALUE"""),4.0)</f>
        <v>4</v>
      </c>
      <c r="P74" s="8">
        <f>IFERROR(__xludf.DUMMYFUNCTION("""COMPUTED_VALUE"""),5.0)</f>
        <v>5</v>
      </c>
      <c r="Q74" s="8">
        <f>IFERROR(__xludf.DUMMYFUNCTION("""COMPUTED_VALUE"""),2.0)</f>
        <v>2</v>
      </c>
      <c r="R74" s="8">
        <f>IFERROR(__xludf.DUMMYFUNCTION("""COMPUTED_VALUE"""),4.0)</f>
        <v>4</v>
      </c>
      <c r="S74" s="8">
        <f>IFERROR(__xludf.DUMMYFUNCTION("""COMPUTED_VALUE"""),4.0)</f>
        <v>4</v>
      </c>
      <c r="T74" s="8">
        <f>IFERROR(__xludf.DUMMYFUNCTION("""COMPUTED_VALUE"""),5.0)</f>
        <v>5</v>
      </c>
      <c r="U74" s="8">
        <f t="shared" si="1"/>
        <v>64</v>
      </c>
      <c r="V74" s="119" t="str">
        <f t="shared" si="3"/>
        <v>Siap</v>
      </c>
      <c r="W74" s="119" t="str">
        <f t="shared" si="2"/>
        <v>bisa mengikuti pola pesantren dengan baik</v>
      </c>
      <c r="X74" s="8"/>
      <c r="Y74" s="8"/>
      <c r="Z74" s="8"/>
    </row>
    <row r="75">
      <c r="A75" s="123">
        <f>IFERROR(__xludf.DUMMYFUNCTION("""COMPUTED_VALUE"""),45935.52447333334)</f>
        <v>45935.52447</v>
      </c>
      <c r="B75" s="8" t="str">
        <f>IFERROR(__xludf.DUMMYFUNCTION("""COMPUTED_VALUE"""),"Fatih kenzie dzulian anado")</f>
        <v>Fatih kenzie dzulian anado</v>
      </c>
      <c r="C75" s="8" t="str">
        <f>IFERROR(__xludf.DUMMYFUNCTION("""COMPUTED_VALUE"""),"A250019")</f>
        <v>A250019</v>
      </c>
      <c r="D75" s="8" t="str">
        <f>IFERROR(__xludf.DUMMYFUNCTION("""COMPUTED_VALUE"""),"MTs Putra")</f>
        <v>MTs Putra</v>
      </c>
      <c r="E75" s="8" t="str">
        <f>IFERROR(__xludf.DUMMYFUNCTION("""COMPUTED_VALUE"""),"Ya")</f>
        <v>Ya</v>
      </c>
      <c r="F75" s="8">
        <f>IFERROR(__xludf.DUMMYFUNCTION("""COMPUTED_VALUE"""),5.0)</f>
        <v>5</v>
      </c>
      <c r="G75" s="8">
        <f>IFERROR(__xludf.DUMMYFUNCTION("""COMPUTED_VALUE"""),5.0)</f>
        <v>5</v>
      </c>
      <c r="H75" s="8">
        <f>IFERROR(__xludf.DUMMYFUNCTION("""COMPUTED_VALUE"""),5.0)</f>
        <v>5</v>
      </c>
      <c r="I75" s="8">
        <f>IFERROR(__xludf.DUMMYFUNCTION("""COMPUTED_VALUE"""),4.0)</f>
        <v>4</v>
      </c>
      <c r="J75" s="8">
        <f>IFERROR(__xludf.DUMMYFUNCTION("""COMPUTED_VALUE"""),4.0)</f>
        <v>4</v>
      </c>
      <c r="K75" s="8">
        <f>IFERROR(__xludf.DUMMYFUNCTION("""COMPUTED_VALUE"""),5.0)</f>
        <v>5</v>
      </c>
      <c r="L75" s="8">
        <f>IFERROR(__xludf.DUMMYFUNCTION("""COMPUTED_VALUE"""),5.0)</f>
        <v>5</v>
      </c>
      <c r="M75" s="8">
        <f>IFERROR(__xludf.DUMMYFUNCTION("""COMPUTED_VALUE"""),3.0)</f>
        <v>3</v>
      </c>
      <c r="N75" s="8">
        <f>IFERROR(__xludf.DUMMYFUNCTION("""COMPUTED_VALUE"""),5.0)</f>
        <v>5</v>
      </c>
      <c r="O75" s="8">
        <f>IFERROR(__xludf.DUMMYFUNCTION("""COMPUTED_VALUE"""),5.0)</f>
        <v>5</v>
      </c>
      <c r="P75" s="8">
        <f>IFERROR(__xludf.DUMMYFUNCTION("""COMPUTED_VALUE"""),4.0)</f>
        <v>4</v>
      </c>
      <c r="Q75" s="8">
        <f>IFERROR(__xludf.DUMMYFUNCTION("""COMPUTED_VALUE"""),4.0)</f>
        <v>4</v>
      </c>
      <c r="R75" s="8">
        <f>IFERROR(__xludf.DUMMYFUNCTION("""COMPUTED_VALUE"""),5.0)</f>
        <v>5</v>
      </c>
      <c r="S75" s="8">
        <f>IFERROR(__xludf.DUMMYFUNCTION("""COMPUTED_VALUE"""),5.0)</f>
        <v>5</v>
      </c>
      <c r="T75" s="8">
        <f>IFERROR(__xludf.DUMMYFUNCTION("""COMPUTED_VALUE"""),4.0)</f>
        <v>4</v>
      </c>
      <c r="U75" s="8">
        <f t="shared" si="1"/>
        <v>68</v>
      </c>
      <c r="V75" s="119" t="str">
        <f t="shared" si="3"/>
        <v>Siap</v>
      </c>
      <c r="W75" s="119" t="str">
        <f t="shared" si="2"/>
        <v>bisa mengikuti pola pesantren dengan baik</v>
      </c>
      <c r="X75" s="8"/>
      <c r="Y75" s="8"/>
      <c r="Z75" s="8"/>
    </row>
    <row r="76">
      <c r="A76" s="123">
        <f>IFERROR(__xludf.DUMMYFUNCTION("""COMPUTED_VALUE"""),45935.59181666667)</f>
        <v>45935.59182</v>
      </c>
      <c r="B76" s="8" t="str">
        <f>IFERROR(__xludf.DUMMYFUNCTION("""COMPUTED_VALUE"""),"Muhammad Al Fathih")</f>
        <v>Muhammad Al Fathih</v>
      </c>
      <c r="C76" s="8" t="str">
        <f>IFERROR(__xludf.DUMMYFUNCTION("""COMPUTED_VALUE"""),"C250019")</f>
        <v>C250019</v>
      </c>
      <c r="D76" s="8" t="str">
        <f>IFERROR(__xludf.DUMMYFUNCTION("""COMPUTED_VALUE"""),"SMA")</f>
        <v>SMA</v>
      </c>
      <c r="E76" s="8" t="str">
        <f>IFERROR(__xludf.DUMMYFUNCTION("""COMPUTED_VALUE"""),"Ya")</f>
        <v>Ya</v>
      </c>
      <c r="F76" s="8">
        <f>IFERROR(__xludf.DUMMYFUNCTION("""COMPUTED_VALUE"""),5.0)</f>
        <v>5</v>
      </c>
      <c r="G76" s="8">
        <f>IFERROR(__xludf.DUMMYFUNCTION("""COMPUTED_VALUE"""),5.0)</f>
        <v>5</v>
      </c>
      <c r="H76" s="8">
        <f>IFERROR(__xludf.DUMMYFUNCTION("""COMPUTED_VALUE"""),5.0)</f>
        <v>5</v>
      </c>
      <c r="I76" s="8">
        <f>IFERROR(__xludf.DUMMYFUNCTION("""COMPUTED_VALUE"""),5.0)</f>
        <v>5</v>
      </c>
      <c r="J76" s="8">
        <f>IFERROR(__xludf.DUMMYFUNCTION("""COMPUTED_VALUE"""),5.0)</f>
        <v>5</v>
      </c>
      <c r="K76" s="8">
        <f>IFERROR(__xludf.DUMMYFUNCTION("""COMPUTED_VALUE"""),5.0)</f>
        <v>5</v>
      </c>
      <c r="L76" s="8">
        <f>IFERROR(__xludf.DUMMYFUNCTION("""COMPUTED_VALUE"""),5.0)</f>
        <v>5</v>
      </c>
      <c r="M76" s="8">
        <f>IFERROR(__xludf.DUMMYFUNCTION("""COMPUTED_VALUE"""),5.0)</f>
        <v>5</v>
      </c>
      <c r="N76" s="8">
        <f>IFERROR(__xludf.DUMMYFUNCTION("""COMPUTED_VALUE"""),5.0)</f>
        <v>5</v>
      </c>
      <c r="O76" s="8">
        <f>IFERROR(__xludf.DUMMYFUNCTION("""COMPUTED_VALUE"""),4.0)</f>
        <v>4</v>
      </c>
      <c r="P76" s="8">
        <f>IFERROR(__xludf.DUMMYFUNCTION("""COMPUTED_VALUE"""),4.0)</f>
        <v>4</v>
      </c>
      <c r="Q76" s="8">
        <f>IFERROR(__xludf.DUMMYFUNCTION("""COMPUTED_VALUE"""),3.0)</f>
        <v>3</v>
      </c>
      <c r="R76" s="8">
        <f>IFERROR(__xludf.DUMMYFUNCTION("""COMPUTED_VALUE"""),5.0)</f>
        <v>5</v>
      </c>
      <c r="S76" s="8">
        <f>IFERROR(__xludf.DUMMYFUNCTION("""COMPUTED_VALUE"""),5.0)</f>
        <v>5</v>
      </c>
      <c r="T76" s="8">
        <f>IFERROR(__xludf.DUMMYFUNCTION("""COMPUTED_VALUE"""),4.0)</f>
        <v>4</v>
      </c>
      <c r="U76" s="8">
        <f t="shared" si="1"/>
        <v>70</v>
      </c>
      <c r="V76" s="119" t="str">
        <f t="shared" si="3"/>
        <v>Siap</v>
      </c>
      <c r="W76" s="119" t="str">
        <f t="shared" si="2"/>
        <v>bisa mengikuti pola pesantren dengan baik</v>
      </c>
      <c r="X76" s="8"/>
      <c r="Y76" s="8"/>
      <c r="Z76" s="8"/>
    </row>
    <row r="77">
      <c r="A77" s="123">
        <f>IFERROR(__xludf.DUMMYFUNCTION("""COMPUTED_VALUE"""),45936.53023662037)</f>
        <v>45936.53024</v>
      </c>
      <c r="B77" s="8" t="str">
        <f>IFERROR(__xludf.DUMMYFUNCTION("""COMPUTED_VALUE"""),"Granada Khansa El Qibtiya")</f>
        <v>Granada Khansa El Qibtiya</v>
      </c>
      <c r="C77" s="8" t="str">
        <f>IFERROR(__xludf.DUMMYFUNCTION("""COMPUTED_VALUE"""),"D250026")</f>
        <v>D250026</v>
      </c>
      <c r="D77" s="8" t="str">
        <f>IFERROR(__xludf.DUMMYFUNCTION("""COMPUTED_VALUE"""),"MTs Putri")</f>
        <v>MTs Putri</v>
      </c>
      <c r="E77" s="8" t="str">
        <f>IFERROR(__xludf.DUMMYFUNCTION("""COMPUTED_VALUE"""),"Ya")</f>
        <v>Ya</v>
      </c>
      <c r="F77" s="8">
        <f>IFERROR(__xludf.DUMMYFUNCTION("""COMPUTED_VALUE"""),5.0)</f>
        <v>5</v>
      </c>
      <c r="G77" s="8">
        <f>IFERROR(__xludf.DUMMYFUNCTION("""COMPUTED_VALUE"""),5.0)</f>
        <v>5</v>
      </c>
      <c r="H77" s="8">
        <f>IFERROR(__xludf.DUMMYFUNCTION("""COMPUTED_VALUE"""),5.0)</f>
        <v>5</v>
      </c>
      <c r="I77" s="8">
        <f>IFERROR(__xludf.DUMMYFUNCTION("""COMPUTED_VALUE"""),5.0)</f>
        <v>5</v>
      </c>
      <c r="J77" s="8">
        <f>IFERROR(__xludf.DUMMYFUNCTION("""COMPUTED_VALUE"""),5.0)</f>
        <v>5</v>
      </c>
      <c r="K77" s="8">
        <f>IFERROR(__xludf.DUMMYFUNCTION("""COMPUTED_VALUE"""),5.0)</f>
        <v>5</v>
      </c>
      <c r="L77" s="8">
        <f>IFERROR(__xludf.DUMMYFUNCTION("""COMPUTED_VALUE"""),5.0)</f>
        <v>5</v>
      </c>
      <c r="M77" s="8">
        <f>IFERROR(__xludf.DUMMYFUNCTION("""COMPUTED_VALUE"""),5.0)</f>
        <v>5</v>
      </c>
      <c r="N77" s="8">
        <f>IFERROR(__xludf.DUMMYFUNCTION("""COMPUTED_VALUE"""),5.0)</f>
        <v>5</v>
      </c>
      <c r="O77" s="8">
        <f>IFERROR(__xludf.DUMMYFUNCTION("""COMPUTED_VALUE"""),5.0)</f>
        <v>5</v>
      </c>
      <c r="P77" s="8">
        <f>IFERROR(__xludf.DUMMYFUNCTION("""COMPUTED_VALUE"""),4.0)</f>
        <v>4</v>
      </c>
      <c r="Q77" s="8">
        <f>IFERROR(__xludf.DUMMYFUNCTION("""COMPUTED_VALUE"""),5.0)</f>
        <v>5</v>
      </c>
      <c r="R77" s="8">
        <f>IFERROR(__xludf.DUMMYFUNCTION("""COMPUTED_VALUE"""),5.0)</f>
        <v>5</v>
      </c>
      <c r="S77" s="8">
        <f>IFERROR(__xludf.DUMMYFUNCTION("""COMPUTED_VALUE"""),5.0)</f>
        <v>5</v>
      </c>
      <c r="T77" s="8">
        <f>IFERROR(__xludf.DUMMYFUNCTION("""COMPUTED_VALUE"""),4.0)</f>
        <v>4</v>
      </c>
      <c r="U77" s="8">
        <f t="shared" si="1"/>
        <v>73</v>
      </c>
      <c r="V77" s="119" t="str">
        <f t="shared" si="3"/>
        <v>Siap</v>
      </c>
      <c r="W77" s="119" t="str">
        <f t="shared" si="2"/>
        <v>bisa mengikuti pola pesantren dengan baik</v>
      </c>
      <c r="X77" s="8"/>
      <c r="Y77" s="8"/>
      <c r="Z77" s="8"/>
    </row>
    <row r="78">
      <c r="A78" s="123">
        <f>IFERROR(__xludf.DUMMYFUNCTION("""COMPUTED_VALUE"""),45936.657000439816)</f>
        <v>45936.657</v>
      </c>
      <c r="B78" s="8" t="str">
        <f>IFERROR(__xludf.DUMMYFUNCTION("""COMPUTED_VALUE"""),"SuhailAiman")</f>
        <v>SuhailAiman</v>
      </c>
      <c r="C78" s="8" t="str">
        <f>IFERROR(__xludf.DUMMYFUNCTION("""COMPUTED_VALUE"""),"A250045")</f>
        <v>A250045</v>
      </c>
      <c r="D78" s="8" t="str">
        <f>IFERROR(__xludf.DUMMYFUNCTION("""COMPUTED_VALUE"""),"MTs Putra")</f>
        <v>MTs Putra</v>
      </c>
      <c r="E78" s="8" t="str">
        <f>IFERROR(__xludf.DUMMYFUNCTION("""COMPUTED_VALUE"""),"Ya")</f>
        <v>Ya</v>
      </c>
      <c r="F78" s="8">
        <f>IFERROR(__xludf.DUMMYFUNCTION("""COMPUTED_VALUE"""),5.0)</f>
        <v>5</v>
      </c>
      <c r="G78" s="8">
        <f>IFERROR(__xludf.DUMMYFUNCTION("""COMPUTED_VALUE"""),5.0)</f>
        <v>5</v>
      </c>
      <c r="H78" s="8">
        <f>IFERROR(__xludf.DUMMYFUNCTION("""COMPUTED_VALUE"""),4.0)</f>
        <v>4</v>
      </c>
      <c r="I78" s="8">
        <f>IFERROR(__xludf.DUMMYFUNCTION("""COMPUTED_VALUE"""),5.0)</f>
        <v>5</v>
      </c>
      <c r="J78" s="8">
        <f>IFERROR(__xludf.DUMMYFUNCTION("""COMPUTED_VALUE"""),4.0)</f>
        <v>4</v>
      </c>
      <c r="K78" s="8">
        <f>IFERROR(__xludf.DUMMYFUNCTION("""COMPUTED_VALUE"""),5.0)</f>
        <v>5</v>
      </c>
      <c r="L78" s="8">
        <f>IFERROR(__xludf.DUMMYFUNCTION("""COMPUTED_VALUE"""),5.0)</f>
        <v>5</v>
      </c>
      <c r="M78" s="8">
        <f>IFERROR(__xludf.DUMMYFUNCTION("""COMPUTED_VALUE"""),1.0)</f>
        <v>1</v>
      </c>
      <c r="N78" s="8">
        <f>IFERROR(__xludf.DUMMYFUNCTION("""COMPUTED_VALUE"""),5.0)</f>
        <v>5</v>
      </c>
      <c r="O78" s="8">
        <f>IFERROR(__xludf.DUMMYFUNCTION("""COMPUTED_VALUE"""),5.0)</f>
        <v>5</v>
      </c>
      <c r="P78" s="8">
        <f>IFERROR(__xludf.DUMMYFUNCTION("""COMPUTED_VALUE"""),4.0)</f>
        <v>4</v>
      </c>
      <c r="Q78" s="8">
        <f>IFERROR(__xludf.DUMMYFUNCTION("""COMPUTED_VALUE"""),4.0)</f>
        <v>4</v>
      </c>
      <c r="R78" s="8">
        <f>IFERROR(__xludf.DUMMYFUNCTION("""COMPUTED_VALUE"""),5.0)</f>
        <v>5</v>
      </c>
      <c r="S78" s="8">
        <f>IFERROR(__xludf.DUMMYFUNCTION("""COMPUTED_VALUE"""),5.0)</f>
        <v>5</v>
      </c>
      <c r="T78" s="8">
        <f>IFERROR(__xludf.DUMMYFUNCTION("""COMPUTED_VALUE"""),4.0)</f>
        <v>4</v>
      </c>
      <c r="U78" s="8">
        <f t="shared" si="1"/>
        <v>66</v>
      </c>
      <c r="V78" s="119" t="str">
        <f t="shared" si="3"/>
        <v>Siap</v>
      </c>
      <c r="W78" s="119" t="str">
        <f t="shared" si="2"/>
        <v>bisa mengikuti pola pesantren dengan baik</v>
      </c>
      <c r="X78" s="8"/>
      <c r="Y78" s="8"/>
      <c r="Z78" s="8"/>
    </row>
    <row r="79">
      <c r="A79" s="123">
        <f>IFERROR(__xludf.DUMMYFUNCTION("""COMPUTED_VALUE"""),45937.452113125)</f>
        <v>45937.45211</v>
      </c>
      <c r="B79" s="8" t="str">
        <f>IFERROR(__xludf.DUMMYFUNCTION("""COMPUTED_VALUE"""),"Fathi Fahlevi Fahmi")</f>
        <v>Fathi Fahlevi Fahmi</v>
      </c>
      <c r="C79" s="8" t="str">
        <f>IFERROR(__xludf.DUMMYFUNCTION("""COMPUTED_VALUE"""),"A250011")</f>
        <v>A250011</v>
      </c>
      <c r="D79" s="8" t="str">
        <f>IFERROR(__xludf.DUMMYFUNCTION("""COMPUTED_VALUE"""),"MTs Putra")</f>
        <v>MTs Putra</v>
      </c>
      <c r="E79" s="8" t="str">
        <f>IFERROR(__xludf.DUMMYFUNCTION("""COMPUTED_VALUE"""),"Ya")</f>
        <v>Ya</v>
      </c>
      <c r="F79" s="8">
        <f>IFERROR(__xludf.DUMMYFUNCTION("""COMPUTED_VALUE"""),5.0)</f>
        <v>5</v>
      </c>
      <c r="G79" s="8">
        <f>IFERROR(__xludf.DUMMYFUNCTION("""COMPUTED_VALUE"""),5.0)</f>
        <v>5</v>
      </c>
      <c r="H79" s="8">
        <f>IFERROR(__xludf.DUMMYFUNCTION("""COMPUTED_VALUE"""),4.0)</f>
        <v>4</v>
      </c>
      <c r="I79" s="8">
        <f>IFERROR(__xludf.DUMMYFUNCTION("""COMPUTED_VALUE"""),5.0)</f>
        <v>5</v>
      </c>
      <c r="J79" s="8">
        <f>IFERROR(__xludf.DUMMYFUNCTION("""COMPUTED_VALUE"""),5.0)</f>
        <v>5</v>
      </c>
      <c r="K79" s="8">
        <f>IFERROR(__xludf.DUMMYFUNCTION("""COMPUTED_VALUE"""),5.0)</f>
        <v>5</v>
      </c>
      <c r="L79" s="8">
        <f>IFERROR(__xludf.DUMMYFUNCTION("""COMPUTED_VALUE"""),4.0)</f>
        <v>4</v>
      </c>
      <c r="M79" s="8">
        <f>IFERROR(__xludf.DUMMYFUNCTION("""COMPUTED_VALUE"""),4.0)</f>
        <v>4</v>
      </c>
      <c r="N79" s="8">
        <f>IFERROR(__xludf.DUMMYFUNCTION("""COMPUTED_VALUE"""),5.0)</f>
        <v>5</v>
      </c>
      <c r="O79" s="8">
        <f>IFERROR(__xludf.DUMMYFUNCTION("""COMPUTED_VALUE"""),5.0)</f>
        <v>5</v>
      </c>
      <c r="P79" s="8">
        <f>IFERROR(__xludf.DUMMYFUNCTION("""COMPUTED_VALUE"""),5.0)</f>
        <v>5</v>
      </c>
      <c r="Q79" s="8">
        <f>IFERROR(__xludf.DUMMYFUNCTION("""COMPUTED_VALUE"""),5.0)</f>
        <v>5</v>
      </c>
      <c r="R79" s="8">
        <f>IFERROR(__xludf.DUMMYFUNCTION("""COMPUTED_VALUE"""),5.0)</f>
        <v>5</v>
      </c>
      <c r="S79" s="8">
        <f>IFERROR(__xludf.DUMMYFUNCTION("""COMPUTED_VALUE"""),5.0)</f>
        <v>5</v>
      </c>
      <c r="T79" s="8">
        <f>IFERROR(__xludf.DUMMYFUNCTION("""COMPUTED_VALUE"""),5.0)</f>
        <v>5</v>
      </c>
      <c r="U79" s="8">
        <f t="shared" si="1"/>
        <v>72</v>
      </c>
      <c r="V79" s="119" t="str">
        <f t="shared" si="3"/>
        <v>Siap</v>
      </c>
      <c r="W79" s="119" t="str">
        <f t="shared" si="2"/>
        <v>bisa mengikuti pola pesantren dengan baik</v>
      </c>
      <c r="X79" s="8"/>
      <c r="Y79" s="8"/>
      <c r="Z79" s="8"/>
    </row>
    <row r="80">
      <c r="A80" s="123">
        <f>IFERROR(__xludf.DUMMYFUNCTION("""COMPUTED_VALUE"""),45938.85156642361)</f>
        <v>45938.85157</v>
      </c>
      <c r="B80" s="8" t="str">
        <f>IFERROR(__xludf.DUMMYFUNCTION("""COMPUTED_VALUE"""),"Angga saputra")</f>
        <v>Angga saputra</v>
      </c>
      <c r="C80" s="8" t="str">
        <f>IFERROR(__xludf.DUMMYFUNCTION("""COMPUTED_VALUE"""),"B250017")</f>
        <v>B250017</v>
      </c>
      <c r="D80" s="8" t="str">
        <f>IFERROR(__xludf.DUMMYFUNCTION("""COMPUTED_VALUE"""),"I'dad Lughawiy Putra")</f>
        <v>I'dad Lughawiy Putra</v>
      </c>
      <c r="E80" s="8" t="str">
        <f>IFERROR(__xludf.DUMMYFUNCTION("""COMPUTED_VALUE"""),"Ya")</f>
        <v>Ya</v>
      </c>
      <c r="F80" s="8">
        <f>IFERROR(__xludf.DUMMYFUNCTION("""COMPUTED_VALUE"""),4.0)</f>
        <v>4</v>
      </c>
      <c r="G80" s="8">
        <f>IFERROR(__xludf.DUMMYFUNCTION("""COMPUTED_VALUE"""),4.0)</f>
        <v>4</v>
      </c>
      <c r="H80" s="8">
        <f>IFERROR(__xludf.DUMMYFUNCTION("""COMPUTED_VALUE"""),3.0)</f>
        <v>3</v>
      </c>
      <c r="I80" s="8">
        <f>IFERROR(__xludf.DUMMYFUNCTION("""COMPUTED_VALUE"""),4.0)</f>
        <v>4</v>
      </c>
      <c r="J80" s="8">
        <f>IFERROR(__xludf.DUMMYFUNCTION("""COMPUTED_VALUE"""),4.0)</f>
        <v>4</v>
      </c>
      <c r="K80" s="8">
        <f>IFERROR(__xludf.DUMMYFUNCTION("""COMPUTED_VALUE"""),4.0)</f>
        <v>4</v>
      </c>
      <c r="L80" s="8">
        <f>IFERROR(__xludf.DUMMYFUNCTION("""COMPUTED_VALUE"""),4.0)</f>
        <v>4</v>
      </c>
      <c r="M80" s="8">
        <f>IFERROR(__xludf.DUMMYFUNCTION("""COMPUTED_VALUE"""),5.0)</f>
        <v>5</v>
      </c>
      <c r="N80" s="8">
        <f>IFERROR(__xludf.DUMMYFUNCTION("""COMPUTED_VALUE"""),4.0)</f>
        <v>4</v>
      </c>
      <c r="O80" s="8">
        <f>IFERROR(__xludf.DUMMYFUNCTION("""COMPUTED_VALUE"""),4.0)</f>
        <v>4</v>
      </c>
      <c r="P80" s="8">
        <f>IFERROR(__xludf.DUMMYFUNCTION("""COMPUTED_VALUE"""),4.0)</f>
        <v>4</v>
      </c>
      <c r="Q80" s="8">
        <f>IFERROR(__xludf.DUMMYFUNCTION("""COMPUTED_VALUE"""),4.0)</f>
        <v>4</v>
      </c>
      <c r="R80" s="8">
        <f>IFERROR(__xludf.DUMMYFUNCTION("""COMPUTED_VALUE"""),4.0)</f>
        <v>4</v>
      </c>
      <c r="S80" s="8">
        <f>IFERROR(__xludf.DUMMYFUNCTION("""COMPUTED_VALUE"""),4.0)</f>
        <v>4</v>
      </c>
      <c r="T80" s="8">
        <f>IFERROR(__xludf.DUMMYFUNCTION("""COMPUTED_VALUE"""),4.0)</f>
        <v>4</v>
      </c>
      <c r="U80" s="8">
        <f t="shared" si="1"/>
        <v>60</v>
      </c>
      <c r="V80" s="119" t="str">
        <f t="shared" si="3"/>
        <v>Siap</v>
      </c>
      <c r="W80" s="119" t="str">
        <f t="shared" si="2"/>
        <v>bisa mengikuti pola pesantren dengan baik</v>
      </c>
      <c r="X80" s="8"/>
      <c r="Y80" s="8"/>
      <c r="Z80" s="8"/>
    </row>
    <row r="81">
      <c r="A81" s="123">
        <f>IFERROR(__xludf.DUMMYFUNCTION("""COMPUTED_VALUE"""),45939.4973044213)</f>
        <v>45939.4973</v>
      </c>
      <c r="B81" s="8" t="str">
        <f>IFERROR(__xludf.DUMMYFUNCTION("""COMPUTED_VALUE"""),"Malka Firdaus Syarif ")</f>
        <v>Malka Firdaus Syarif </v>
      </c>
      <c r="C81" s="8" t="str">
        <f>IFERROR(__xludf.DUMMYFUNCTION("""COMPUTED_VALUE"""),"A250021")</f>
        <v>A250021</v>
      </c>
      <c r="D81" s="8" t="str">
        <f>IFERROR(__xludf.DUMMYFUNCTION("""COMPUTED_VALUE"""),"MTs Putra")</f>
        <v>MTs Putra</v>
      </c>
      <c r="E81" s="8" t="str">
        <f>IFERROR(__xludf.DUMMYFUNCTION("""COMPUTED_VALUE"""),"Ya")</f>
        <v>Ya</v>
      </c>
      <c r="F81" s="8">
        <f>IFERROR(__xludf.DUMMYFUNCTION("""COMPUTED_VALUE"""),3.0)</f>
        <v>3</v>
      </c>
      <c r="G81" s="8">
        <f>IFERROR(__xludf.DUMMYFUNCTION("""COMPUTED_VALUE"""),1.0)</f>
        <v>1</v>
      </c>
      <c r="H81" s="8">
        <f>IFERROR(__xludf.DUMMYFUNCTION("""COMPUTED_VALUE"""),5.0)</f>
        <v>5</v>
      </c>
      <c r="I81" s="8">
        <f>IFERROR(__xludf.DUMMYFUNCTION("""COMPUTED_VALUE"""),4.0)</f>
        <v>4</v>
      </c>
      <c r="J81" s="8">
        <f>IFERROR(__xludf.DUMMYFUNCTION("""COMPUTED_VALUE"""),4.0)</f>
        <v>4</v>
      </c>
      <c r="K81" s="8">
        <f>IFERROR(__xludf.DUMMYFUNCTION("""COMPUTED_VALUE"""),3.0)</f>
        <v>3</v>
      </c>
      <c r="L81" s="8">
        <f>IFERROR(__xludf.DUMMYFUNCTION("""COMPUTED_VALUE"""),3.0)</f>
        <v>3</v>
      </c>
      <c r="M81" s="8">
        <f>IFERROR(__xludf.DUMMYFUNCTION("""COMPUTED_VALUE"""),5.0)</f>
        <v>5</v>
      </c>
      <c r="N81" s="8">
        <f>IFERROR(__xludf.DUMMYFUNCTION("""COMPUTED_VALUE"""),2.0)</f>
        <v>2</v>
      </c>
      <c r="O81" s="8">
        <f>IFERROR(__xludf.DUMMYFUNCTION("""COMPUTED_VALUE"""),1.0)</f>
        <v>1</v>
      </c>
      <c r="P81" s="8">
        <f>IFERROR(__xludf.DUMMYFUNCTION("""COMPUTED_VALUE"""),3.0)</f>
        <v>3</v>
      </c>
      <c r="Q81" s="8">
        <f>IFERROR(__xludf.DUMMYFUNCTION("""COMPUTED_VALUE"""),4.0)</f>
        <v>4</v>
      </c>
      <c r="R81" s="8">
        <f>IFERROR(__xludf.DUMMYFUNCTION("""COMPUTED_VALUE"""),5.0)</f>
        <v>5</v>
      </c>
      <c r="S81" s="8">
        <f>IFERROR(__xludf.DUMMYFUNCTION("""COMPUTED_VALUE"""),5.0)</f>
        <v>5</v>
      </c>
      <c r="T81" s="8">
        <f>IFERROR(__xludf.DUMMYFUNCTION("""COMPUTED_VALUE"""),5.0)</f>
        <v>5</v>
      </c>
      <c r="U81" s="8">
        <f t="shared" si="1"/>
        <v>53</v>
      </c>
      <c r="V81" s="119" t="str">
        <f t="shared" si="3"/>
        <v>Siap</v>
      </c>
      <c r="W81" s="119" t="str">
        <f t="shared" si="2"/>
        <v>bisa mengikuti pola pesantren dengan baik</v>
      </c>
      <c r="X81" s="8"/>
      <c r="Y81" s="8"/>
      <c r="Z81" s="8"/>
    </row>
    <row r="82">
      <c r="A82" s="123">
        <f>IFERROR(__xludf.DUMMYFUNCTION("""COMPUTED_VALUE"""),45939.61583289352)</f>
        <v>45939.61583</v>
      </c>
      <c r="B82" s="8" t="str">
        <f>IFERROR(__xludf.DUMMYFUNCTION("""COMPUTED_VALUE"""),"Muhamad Hamudi Alfariji")</f>
        <v>Muhamad Hamudi Alfariji</v>
      </c>
      <c r="C82" s="8" t="str">
        <f>IFERROR(__xludf.DUMMYFUNCTION("""COMPUTED_VALUE"""),"A250062")</f>
        <v>A250062</v>
      </c>
      <c r="D82" s="8" t="str">
        <f>IFERROR(__xludf.DUMMYFUNCTION("""COMPUTED_VALUE"""),"MTs Putra")</f>
        <v>MTs Putra</v>
      </c>
      <c r="E82" s="8" t="str">
        <f>IFERROR(__xludf.DUMMYFUNCTION("""COMPUTED_VALUE"""),"Ya")</f>
        <v>Ya</v>
      </c>
      <c r="F82" s="8">
        <f>IFERROR(__xludf.DUMMYFUNCTION("""COMPUTED_VALUE"""),5.0)</f>
        <v>5</v>
      </c>
      <c r="G82" s="8">
        <f>IFERROR(__xludf.DUMMYFUNCTION("""COMPUTED_VALUE"""),5.0)</f>
        <v>5</v>
      </c>
      <c r="H82" s="8">
        <f>IFERROR(__xludf.DUMMYFUNCTION("""COMPUTED_VALUE"""),5.0)</f>
        <v>5</v>
      </c>
      <c r="I82" s="8">
        <f>IFERROR(__xludf.DUMMYFUNCTION("""COMPUTED_VALUE"""),5.0)</f>
        <v>5</v>
      </c>
      <c r="J82" s="8">
        <f>IFERROR(__xludf.DUMMYFUNCTION("""COMPUTED_VALUE"""),5.0)</f>
        <v>5</v>
      </c>
      <c r="K82" s="8">
        <f>IFERROR(__xludf.DUMMYFUNCTION("""COMPUTED_VALUE"""),5.0)</f>
        <v>5</v>
      </c>
      <c r="L82" s="8">
        <f>IFERROR(__xludf.DUMMYFUNCTION("""COMPUTED_VALUE"""),5.0)</f>
        <v>5</v>
      </c>
      <c r="M82" s="8">
        <f>IFERROR(__xludf.DUMMYFUNCTION("""COMPUTED_VALUE"""),5.0)</f>
        <v>5</v>
      </c>
      <c r="N82" s="8">
        <f>IFERROR(__xludf.DUMMYFUNCTION("""COMPUTED_VALUE"""),5.0)</f>
        <v>5</v>
      </c>
      <c r="O82" s="8">
        <f>IFERROR(__xludf.DUMMYFUNCTION("""COMPUTED_VALUE"""),5.0)</f>
        <v>5</v>
      </c>
      <c r="P82" s="8">
        <f>IFERROR(__xludf.DUMMYFUNCTION("""COMPUTED_VALUE"""),5.0)</f>
        <v>5</v>
      </c>
      <c r="Q82" s="8">
        <f>IFERROR(__xludf.DUMMYFUNCTION("""COMPUTED_VALUE"""),5.0)</f>
        <v>5</v>
      </c>
      <c r="R82" s="8">
        <f>IFERROR(__xludf.DUMMYFUNCTION("""COMPUTED_VALUE"""),5.0)</f>
        <v>5</v>
      </c>
      <c r="S82" s="8">
        <f>IFERROR(__xludf.DUMMYFUNCTION("""COMPUTED_VALUE"""),5.0)</f>
        <v>5</v>
      </c>
      <c r="T82" s="8">
        <f>IFERROR(__xludf.DUMMYFUNCTION("""COMPUTED_VALUE"""),5.0)</f>
        <v>5</v>
      </c>
      <c r="U82" s="8">
        <f t="shared" si="1"/>
        <v>75</v>
      </c>
      <c r="V82" s="119" t="str">
        <f t="shared" si="3"/>
        <v>Siap</v>
      </c>
      <c r="W82" s="119" t="str">
        <f t="shared" si="2"/>
        <v>bisa mengikuti pola pesantren dengan baik</v>
      </c>
      <c r="X82" s="8"/>
      <c r="Y82" s="8"/>
      <c r="Z82" s="8"/>
    </row>
    <row r="83">
      <c r="A83" s="123">
        <f>IFERROR(__xludf.DUMMYFUNCTION("""COMPUTED_VALUE"""),45941.39942689815)</f>
        <v>45941.39943</v>
      </c>
      <c r="B83" s="8" t="str">
        <f>IFERROR(__xludf.DUMMYFUNCTION("""COMPUTED_VALUE"""),"Ahmad Al Ghifary")</f>
        <v>Ahmad Al Ghifary</v>
      </c>
      <c r="C83" s="8" t="str">
        <f>IFERROR(__xludf.DUMMYFUNCTION("""COMPUTED_VALUE"""),"B250022")</f>
        <v>B250022</v>
      </c>
      <c r="D83" s="8" t="str">
        <f>IFERROR(__xludf.DUMMYFUNCTION("""COMPUTED_VALUE"""),"SMA")</f>
        <v>SMA</v>
      </c>
      <c r="E83" s="8" t="str">
        <f>IFERROR(__xludf.DUMMYFUNCTION("""COMPUTED_VALUE"""),"Ya")</f>
        <v>Ya</v>
      </c>
      <c r="F83" s="8">
        <f>IFERROR(__xludf.DUMMYFUNCTION("""COMPUTED_VALUE"""),5.0)</f>
        <v>5</v>
      </c>
      <c r="G83" s="8">
        <f>IFERROR(__xludf.DUMMYFUNCTION("""COMPUTED_VALUE"""),5.0)</f>
        <v>5</v>
      </c>
      <c r="H83" s="8">
        <f>IFERROR(__xludf.DUMMYFUNCTION("""COMPUTED_VALUE"""),5.0)</f>
        <v>5</v>
      </c>
      <c r="I83" s="8">
        <f>IFERROR(__xludf.DUMMYFUNCTION("""COMPUTED_VALUE"""),5.0)</f>
        <v>5</v>
      </c>
      <c r="J83" s="8">
        <f>IFERROR(__xludf.DUMMYFUNCTION("""COMPUTED_VALUE"""),4.0)</f>
        <v>4</v>
      </c>
      <c r="K83" s="8">
        <f>IFERROR(__xludf.DUMMYFUNCTION("""COMPUTED_VALUE"""),4.0)</f>
        <v>4</v>
      </c>
      <c r="L83" s="8">
        <f>IFERROR(__xludf.DUMMYFUNCTION("""COMPUTED_VALUE"""),3.0)</f>
        <v>3</v>
      </c>
      <c r="M83" s="8">
        <f>IFERROR(__xludf.DUMMYFUNCTION("""COMPUTED_VALUE"""),5.0)</f>
        <v>5</v>
      </c>
      <c r="N83" s="8">
        <f>IFERROR(__xludf.DUMMYFUNCTION("""COMPUTED_VALUE"""),4.0)</f>
        <v>4</v>
      </c>
      <c r="O83" s="8">
        <f>IFERROR(__xludf.DUMMYFUNCTION("""COMPUTED_VALUE"""),4.0)</f>
        <v>4</v>
      </c>
      <c r="P83" s="8">
        <f>IFERROR(__xludf.DUMMYFUNCTION("""COMPUTED_VALUE"""),5.0)</f>
        <v>5</v>
      </c>
      <c r="Q83" s="8">
        <f>IFERROR(__xludf.DUMMYFUNCTION("""COMPUTED_VALUE"""),3.0)</f>
        <v>3</v>
      </c>
      <c r="R83" s="8">
        <f>IFERROR(__xludf.DUMMYFUNCTION("""COMPUTED_VALUE"""),5.0)</f>
        <v>5</v>
      </c>
      <c r="S83" s="8">
        <f>IFERROR(__xludf.DUMMYFUNCTION("""COMPUTED_VALUE"""),5.0)</f>
        <v>5</v>
      </c>
      <c r="T83" s="8">
        <f>IFERROR(__xludf.DUMMYFUNCTION("""COMPUTED_VALUE"""),5.0)</f>
        <v>5</v>
      </c>
      <c r="U83" s="8">
        <f t="shared" si="1"/>
        <v>67</v>
      </c>
      <c r="V83" s="119" t="str">
        <f t="shared" si="3"/>
        <v>Siap</v>
      </c>
      <c r="W83" s="119" t="str">
        <f t="shared" si="2"/>
        <v>bisa mengikuti pola pesantren dengan baik</v>
      </c>
      <c r="X83" s="8"/>
      <c r="Y83" s="8"/>
      <c r="Z83" s="8"/>
    </row>
    <row r="84">
      <c r="A84" s="123">
        <f>IFERROR(__xludf.DUMMYFUNCTION("""COMPUTED_VALUE"""),45941.408188217596)</f>
        <v>45941.40819</v>
      </c>
      <c r="B84" s="8" t="str">
        <f>IFERROR(__xludf.DUMMYFUNCTION("""COMPUTED_VALUE"""),"FATAN IHYA AS-SUNNAH")</f>
        <v>FATAN IHYA AS-SUNNAH</v>
      </c>
      <c r="C84" s="8" t="str">
        <f>IFERROR(__xludf.DUMMYFUNCTION("""COMPUTED_VALUE"""),"A250031")</f>
        <v>A250031</v>
      </c>
      <c r="D84" s="8" t="str">
        <f>IFERROR(__xludf.DUMMYFUNCTION("""COMPUTED_VALUE"""),"MTs Putra")</f>
        <v>MTs Putra</v>
      </c>
      <c r="E84" s="8" t="str">
        <f>IFERROR(__xludf.DUMMYFUNCTION("""COMPUTED_VALUE"""),"Ya")</f>
        <v>Ya</v>
      </c>
      <c r="F84" s="8">
        <f>IFERROR(__xludf.DUMMYFUNCTION("""COMPUTED_VALUE"""),5.0)</f>
        <v>5</v>
      </c>
      <c r="G84" s="8">
        <f>IFERROR(__xludf.DUMMYFUNCTION("""COMPUTED_VALUE"""),4.0)</f>
        <v>4</v>
      </c>
      <c r="H84" s="8">
        <f>IFERROR(__xludf.DUMMYFUNCTION("""COMPUTED_VALUE"""),5.0)</f>
        <v>5</v>
      </c>
      <c r="I84" s="8">
        <f>IFERROR(__xludf.DUMMYFUNCTION("""COMPUTED_VALUE"""),5.0)</f>
        <v>5</v>
      </c>
      <c r="J84" s="8">
        <f>IFERROR(__xludf.DUMMYFUNCTION("""COMPUTED_VALUE"""),4.0)</f>
        <v>4</v>
      </c>
      <c r="K84" s="8">
        <f>IFERROR(__xludf.DUMMYFUNCTION("""COMPUTED_VALUE"""),5.0)</f>
        <v>5</v>
      </c>
      <c r="L84" s="8">
        <f>IFERROR(__xludf.DUMMYFUNCTION("""COMPUTED_VALUE"""),5.0)</f>
        <v>5</v>
      </c>
      <c r="M84" s="8">
        <f>IFERROR(__xludf.DUMMYFUNCTION("""COMPUTED_VALUE"""),5.0)</f>
        <v>5</v>
      </c>
      <c r="N84" s="8">
        <f>IFERROR(__xludf.DUMMYFUNCTION("""COMPUTED_VALUE"""),4.0)</f>
        <v>4</v>
      </c>
      <c r="O84" s="8">
        <f>IFERROR(__xludf.DUMMYFUNCTION("""COMPUTED_VALUE"""),5.0)</f>
        <v>5</v>
      </c>
      <c r="P84" s="8">
        <f>IFERROR(__xludf.DUMMYFUNCTION("""COMPUTED_VALUE"""),4.0)</f>
        <v>4</v>
      </c>
      <c r="Q84" s="8">
        <f>IFERROR(__xludf.DUMMYFUNCTION("""COMPUTED_VALUE"""),3.0)</f>
        <v>3</v>
      </c>
      <c r="R84" s="8">
        <f>IFERROR(__xludf.DUMMYFUNCTION("""COMPUTED_VALUE"""),4.0)</f>
        <v>4</v>
      </c>
      <c r="S84" s="8">
        <f>IFERROR(__xludf.DUMMYFUNCTION("""COMPUTED_VALUE"""),4.0)</f>
        <v>4</v>
      </c>
      <c r="T84" s="8">
        <f>IFERROR(__xludf.DUMMYFUNCTION("""COMPUTED_VALUE"""),4.0)</f>
        <v>4</v>
      </c>
      <c r="U84" s="8">
        <f t="shared" si="1"/>
        <v>66</v>
      </c>
      <c r="V84" s="119" t="str">
        <f t="shared" si="3"/>
        <v>Siap</v>
      </c>
      <c r="W84" s="119" t="str">
        <f t="shared" si="2"/>
        <v>bisa mengikuti pola pesantren dengan baik</v>
      </c>
      <c r="X84" s="8"/>
      <c r="Y84" s="8"/>
      <c r="Z84" s="8"/>
    </row>
    <row r="85">
      <c r="A85" s="123">
        <f>IFERROR(__xludf.DUMMYFUNCTION("""COMPUTED_VALUE"""),45941.43522584491)</f>
        <v>45941.43523</v>
      </c>
      <c r="B85" s="8" t="str">
        <f>IFERROR(__xludf.DUMMYFUNCTION("""COMPUTED_VALUE"""),"Umar fawwaz")</f>
        <v>Umar fawwaz</v>
      </c>
      <c r="C85" s="8" t="str">
        <f>IFERROR(__xludf.DUMMYFUNCTION("""COMPUTED_VALUE"""),"A250002")</f>
        <v>A250002</v>
      </c>
      <c r="D85" s="8" t="str">
        <f>IFERROR(__xludf.DUMMYFUNCTION("""COMPUTED_VALUE"""),"MTs Putra")</f>
        <v>MTs Putra</v>
      </c>
      <c r="E85" s="8" t="str">
        <f>IFERROR(__xludf.DUMMYFUNCTION("""COMPUTED_VALUE"""),"Ya")</f>
        <v>Ya</v>
      </c>
      <c r="F85" s="8">
        <f>IFERROR(__xludf.DUMMYFUNCTION("""COMPUTED_VALUE"""),5.0)</f>
        <v>5</v>
      </c>
      <c r="G85" s="8">
        <f>IFERROR(__xludf.DUMMYFUNCTION("""COMPUTED_VALUE"""),5.0)</f>
        <v>5</v>
      </c>
      <c r="H85" s="8">
        <f>IFERROR(__xludf.DUMMYFUNCTION("""COMPUTED_VALUE"""),5.0)</f>
        <v>5</v>
      </c>
      <c r="I85" s="8">
        <f>IFERROR(__xludf.DUMMYFUNCTION("""COMPUTED_VALUE"""),5.0)</f>
        <v>5</v>
      </c>
      <c r="J85" s="8">
        <f>IFERROR(__xludf.DUMMYFUNCTION("""COMPUTED_VALUE"""),5.0)</f>
        <v>5</v>
      </c>
      <c r="K85" s="8">
        <f>IFERROR(__xludf.DUMMYFUNCTION("""COMPUTED_VALUE"""),5.0)</f>
        <v>5</v>
      </c>
      <c r="L85" s="8">
        <f>IFERROR(__xludf.DUMMYFUNCTION("""COMPUTED_VALUE"""),5.0)</f>
        <v>5</v>
      </c>
      <c r="M85" s="8">
        <f>IFERROR(__xludf.DUMMYFUNCTION("""COMPUTED_VALUE"""),5.0)</f>
        <v>5</v>
      </c>
      <c r="N85" s="8">
        <f>IFERROR(__xludf.DUMMYFUNCTION("""COMPUTED_VALUE"""),5.0)</f>
        <v>5</v>
      </c>
      <c r="O85" s="8">
        <f>IFERROR(__xludf.DUMMYFUNCTION("""COMPUTED_VALUE"""),3.0)</f>
        <v>3</v>
      </c>
      <c r="P85" s="8">
        <f>IFERROR(__xludf.DUMMYFUNCTION("""COMPUTED_VALUE"""),4.0)</f>
        <v>4</v>
      </c>
      <c r="Q85" s="8">
        <f>IFERROR(__xludf.DUMMYFUNCTION("""COMPUTED_VALUE"""),5.0)</f>
        <v>5</v>
      </c>
      <c r="R85" s="8">
        <f>IFERROR(__xludf.DUMMYFUNCTION("""COMPUTED_VALUE"""),5.0)</f>
        <v>5</v>
      </c>
      <c r="S85" s="8">
        <f>IFERROR(__xludf.DUMMYFUNCTION("""COMPUTED_VALUE"""),5.0)</f>
        <v>5</v>
      </c>
      <c r="T85" s="8">
        <f>IFERROR(__xludf.DUMMYFUNCTION("""COMPUTED_VALUE"""),5.0)</f>
        <v>5</v>
      </c>
      <c r="U85" s="8">
        <f t="shared" si="1"/>
        <v>72</v>
      </c>
      <c r="V85" s="119" t="str">
        <f t="shared" si="3"/>
        <v>Siap</v>
      </c>
      <c r="W85" s="119" t="str">
        <f t="shared" si="2"/>
        <v>bisa mengikuti pola pesantren dengan baik</v>
      </c>
      <c r="X85" s="8"/>
      <c r="Y85" s="8"/>
      <c r="Z85" s="8"/>
    </row>
    <row r="86">
      <c r="A86" s="123">
        <f>IFERROR(__xludf.DUMMYFUNCTION("""COMPUTED_VALUE"""),45941.46832363426)</f>
        <v>45941.46832</v>
      </c>
      <c r="B86" s="8" t="str">
        <f>IFERROR(__xludf.DUMMYFUNCTION("""COMPUTED_VALUE"""),"Qisya Rahma Kamila ")</f>
        <v>Qisya Rahma Kamila </v>
      </c>
      <c r="C86" s="8" t="str">
        <f>IFERROR(__xludf.DUMMYFUNCTION("""COMPUTED_VALUE"""),"D250001")</f>
        <v>D250001</v>
      </c>
      <c r="D86" s="8" t="str">
        <f>IFERROR(__xludf.DUMMYFUNCTION("""COMPUTED_VALUE"""),"MTs Putri")</f>
        <v>MTs Putri</v>
      </c>
      <c r="E86" s="8" t="str">
        <f>IFERROR(__xludf.DUMMYFUNCTION("""COMPUTED_VALUE"""),"Ya")</f>
        <v>Ya</v>
      </c>
      <c r="F86" s="8">
        <f>IFERROR(__xludf.DUMMYFUNCTION("""COMPUTED_VALUE"""),5.0)</f>
        <v>5</v>
      </c>
      <c r="G86" s="8">
        <f>IFERROR(__xludf.DUMMYFUNCTION("""COMPUTED_VALUE"""),5.0)</f>
        <v>5</v>
      </c>
      <c r="H86" s="8">
        <f>IFERROR(__xludf.DUMMYFUNCTION("""COMPUTED_VALUE"""),4.0)</f>
        <v>4</v>
      </c>
      <c r="I86" s="8">
        <f>IFERROR(__xludf.DUMMYFUNCTION("""COMPUTED_VALUE"""),5.0)</f>
        <v>5</v>
      </c>
      <c r="J86" s="8">
        <f>IFERROR(__xludf.DUMMYFUNCTION("""COMPUTED_VALUE"""),4.0)</f>
        <v>4</v>
      </c>
      <c r="K86" s="8">
        <f>IFERROR(__xludf.DUMMYFUNCTION("""COMPUTED_VALUE"""),4.0)</f>
        <v>4</v>
      </c>
      <c r="L86" s="8">
        <f>IFERROR(__xludf.DUMMYFUNCTION("""COMPUTED_VALUE"""),5.0)</f>
        <v>5</v>
      </c>
      <c r="M86" s="8">
        <f>IFERROR(__xludf.DUMMYFUNCTION("""COMPUTED_VALUE"""),3.0)</f>
        <v>3</v>
      </c>
      <c r="N86" s="8">
        <f>IFERROR(__xludf.DUMMYFUNCTION("""COMPUTED_VALUE"""),4.0)</f>
        <v>4</v>
      </c>
      <c r="O86" s="8">
        <f>IFERROR(__xludf.DUMMYFUNCTION("""COMPUTED_VALUE"""),4.0)</f>
        <v>4</v>
      </c>
      <c r="P86" s="8">
        <f>IFERROR(__xludf.DUMMYFUNCTION("""COMPUTED_VALUE"""),4.0)</f>
        <v>4</v>
      </c>
      <c r="Q86" s="8">
        <f>IFERROR(__xludf.DUMMYFUNCTION("""COMPUTED_VALUE"""),4.0)</f>
        <v>4</v>
      </c>
      <c r="R86" s="8">
        <f>IFERROR(__xludf.DUMMYFUNCTION("""COMPUTED_VALUE"""),4.0)</f>
        <v>4</v>
      </c>
      <c r="S86" s="8">
        <f>IFERROR(__xludf.DUMMYFUNCTION("""COMPUTED_VALUE"""),4.0)</f>
        <v>4</v>
      </c>
      <c r="T86" s="8">
        <f>IFERROR(__xludf.DUMMYFUNCTION("""COMPUTED_VALUE"""),4.0)</f>
        <v>4</v>
      </c>
      <c r="U86" s="8">
        <f t="shared" si="1"/>
        <v>63</v>
      </c>
      <c r="V86" s="119" t="str">
        <f t="shared" si="3"/>
        <v>Siap</v>
      </c>
      <c r="W86" s="119" t="str">
        <f t="shared" si="2"/>
        <v>bisa mengikuti pola pesantren dengan baik</v>
      </c>
      <c r="X86" s="8"/>
      <c r="Y86" s="8"/>
      <c r="Z86" s="8"/>
    </row>
    <row r="87">
      <c r="A87" s="123">
        <f>IFERROR(__xludf.DUMMYFUNCTION("""COMPUTED_VALUE"""),45941.47368186343)</f>
        <v>45941.47368</v>
      </c>
      <c r="B87" s="8" t="str">
        <f>IFERROR(__xludf.DUMMYFUNCTION("""COMPUTED_VALUE"""),"Umar")</f>
        <v>Umar</v>
      </c>
      <c r="C87" s="8" t="str">
        <f>IFERROR(__xludf.DUMMYFUNCTION("""COMPUTED_VALUE"""),"A250027")</f>
        <v>A250027</v>
      </c>
      <c r="D87" s="8" t="str">
        <f>IFERROR(__xludf.DUMMYFUNCTION("""COMPUTED_VALUE"""),"MTs Putra")</f>
        <v>MTs Putra</v>
      </c>
      <c r="E87" s="8" t="str">
        <f>IFERROR(__xludf.DUMMYFUNCTION("""COMPUTED_VALUE"""),"Ya")</f>
        <v>Ya</v>
      </c>
      <c r="F87" s="8">
        <f>IFERROR(__xludf.DUMMYFUNCTION("""COMPUTED_VALUE"""),5.0)</f>
        <v>5</v>
      </c>
      <c r="G87" s="8">
        <f>IFERROR(__xludf.DUMMYFUNCTION("""COMPUTED_VALUE"""),5.0)</f>
        <v>5</v>
      </c>
      <c r="H87" s="8">
        <f>IFERROR(__xludf.DUMMYFUNCTION("""COMPUTED_VALUE"""),5.0)</f>
        <v>5</v>
      </c>
      <c r="I87" s="8">
        <f>IFERROR(__xludf.DUMMYFUNCTION("""COMPUTED_VALUE"""),5.0)</f>
        <v>5</v>
      </c>
      <c r="J87" s="8">
        <f>IFERROR(__xludf.DUMMYFUNCTION("""COMPUTED_VALUE"""),5.0)</f>
        <v>5</v>
      </c>
      <c r="K87" s="8">
        <f>IFERROR(__xludf.DUMMYFUNCTION("""COMPUTED_VALUE"""),5.0)</f>
        <v>5</v>
      </c>
      <c r="L87" s="8">
        <f>IFERROR(__xludf.DUMMYFUNCTION("""COMPUTED_VALUE"""),5.0)</f>
        <v>5</v>
      </c>
      <c r="M87" s="8">
        <f>IFERROR(__xludf.DUMMYFUNCTION("""COMPUTED_VALUE"""),5.0)</f>
        <v>5</v>
      </c>
      <c r="N87" s="8">
        <f>IFERROR(__xludf.DUMMYFUNCTION("""COMPUTED_VALUE"""),4.0)</f>
        <v>4</v>
      </c>
      <c r="O87" s="8">
        <f>IFERROR(__xludf.DUMMYFUNCTION("""COMPUTED_VALUE"""),4.0)</f>
        <v>4</v>
      </c>
      <c r="P87" s="8">
        <f>IFERROR(__xludf.DUMMYFUNCTION("""COMPUTED_VALUE"""),5.0)</f>
        <v>5</v>
      </c>
      <c r="Q87" s="8">
        <f>IFERROR(__xludf.DUMMYFUNCTION("""COMPUTED_VALUE"""),3.0)</f>
        <v>3</v>
      </c>
      <c r="R87" s="8">
        <f>IFERROR(__xludf.DUMMYFUNCTION("""COMPUTED_VALUE"""),5.0)</f>
        <v>5</v>
      </c>
      <c r="S87" s="8">
        <f>IFERROR(__xludf.DUMMYFUNCTION("""COMPUTED_VALUE"""),5.0)</f>
        <v>5</v>
      </c>
      <c r="T87" s="8">
        <f>IFERROR(__xludf.DUMMYFUNCTION("""COMPUTED_VALUE"""),5.0)</f>
        <v>5</v>
      </c>
      <c r="U87" s="8">
        <f t="shared" si="1"/>
        <v>71</v>
      </c>
      <c r="V87" s="119" t="str">
        <f t="shared" si="3"/>
        <v>Siap</v>
      </c>
      <c r="W87" s="119" t="str">
        <f t="shared" si="2"/>
        <v>bisa mengikuti pola pesantren dengan baik</v>
      </c>
      <c r="X87" s="8"/>
      <c r="Y87" s="8"/>
      <c r="Z87" s="8"/>
    </row>
    <row r="88">
      <c r="A88" s="123">
        <f>IFERROR(__xludf.DUMMYFUNCTION("""COMPUTED_VALUE"""),45941.473992175925)</f>
        <v>45941.47399</v>
      </c>
      <c r="B88" s="8" t="str">
        <f>IFERROR(__xludf.DUMMYFUNCTION("""COMPUTED_VALUE"""),"ALIFADHILAH IRHAB HAUZAN")</f>
        <v>ALIFADHILAH IRHAB HAUZAN</v>
      </c>
      <c r="C88" s="8" t="str">
        <f>IFERROR(__xludf.DUMMYFUNCTION("""COMPUTED_VALUE"""),"C250020")</f>
        <v>C250020</v>
      </c>
      <c r="D88" s="8" t="str">
        <f>IFERROR(__xludf.DUMMYFUNCTION("""COMPUTED_VALUE"""),"SMA")</f>
        <v>SMA</v>
      </c>
      <c r="E88" s="8" t="str">
        <f>IFERROR(__xludf.DUMMYFUNCTION("""COMPUTED_VALUE"""),"Ya")</f>
        <v>Ya</v>
      </c>
      <c r="F88" s="8">
        <f>IFERROR(__xludf.DUMMYFUNCTION("""COMPUTED_VALUE"""),5.0)</f>
        <v>5</v>
      </c>
      <c r="G88" s="8">
        <f>IFERROR(__xludf.DUMMYFUNCTION("""COMPUTED_VALUE"""),5.0)</f>
        <v>5</v>
      </c>
      <c r="H88" s="8">
        <f>IFERROR(__xludf.DUMMYFUNCTION("""COMPUTED_VALUE"""),5.0)</f>
        <v>5</v>
      </c>
      <c r="I88" s="8">
        <f>IFERROR(__xludf.DUMMYFUNCTION("""COMPUTED_VALUE"""),5.0)</f>
        <v>5</v>
      </c>
      <c r="J88" s="8">
        <f>IFERROR(__xludf.DUMMYFUNCTION("""COMPUTED_VALUE"""),1.0)</f>
        <v>1</v>
      </c>
      <c r="K88" s="8">
        <f>IFERROR(__xludf.DUMMYFUNCTION("""COMPUTED_VALUE"""),5.0)</f>
        <v>5</v>
      </c>
      <c r="L88" s="8">
        <f>IFERROR(__xludf.DUMMYFUNCTION("""COMPUTED_VALUE"""),5.0)</f>
        <v>5</v>
      </c>
      <c r="M88" s="8">
        <f>IFERROR(__xludf.DUMMYFUNCTION("""COMPUTED_VALUE"""),5.0)</f>
        <v>5</v>
      </c>
      <c r="N88" s="8">
        <f>IFERROR(__xludf.DUMMYFUNCTION("""COMPUTED_VALUE"""),5.0)</f>
        <v>5</v>
      </c>
      <c r="O88" s="8">
        <f>IFERROR(__xludf.DUMMYFUNCTION("""COMPUTED_VALUE"""),3.0)</f>
        <v>3</v>
      </c>
      <c r="P88" s="8">
        <f>IFERROR(__xludf.DUMMYFUNCTION("""COMPUTED_VALUE"""),5.0)</f>
        <v>5</v>
      </c>
      <c r="Q88" s="8">
        <f>IFERROR(__xludf.DUMMYFUNCTION("""COMPUTED_VALUE"""),4.0)</f>
        <v>4</v>
      </c>
      <c r="R88" s="8">
        <f>IFERROR(__xludf.DUMMYFUNCTION("""COMPUTED_VALUE"""),5.0)</f>
        <v>5</v>
      </c>
      <c r="S88" s="8">
        <f>IFERROR(__xludf.DUMMYFUNCTION("""COMPUTED_VALUE"""),5.0)</f>
        <v>5</v>
      </c>
      <c r="T88" s="8">
        <f>IFERROR(__xludf.DUMMYFUNCTION("""COMPUTED_VALUE"""),4.0)</f>
        <v>4</v>
      </c>
      <c r="U88" s="8">
        <f t="shared" si="1"/>
        <v>67</v>
      </c>
      <c r="V88" s="119" t="str">
        <f t="shared" si="3"/>
        <v>Siap</v>
      </c>
      <c r="W88" s="119" t="str">
        <f t="shared" si="2"/>
        <v>bisa mengikuti pola pesantren dengan baik</v>
      </c>
      <c r="X88" s="8"/>
      <c r="Y88" s="8"/>
      <c r="Z88" s="8"/>
    </row>
    <row r="89">
      <c r="A89" s="123">
        <f>IFERROR(__xludf.DUMMYFUNCTION("""COMPUTED_VALUE"""),45941.47470178241)</f>
        <v>45941.4747</v>
      </c>
      <c r="B89" s="8" t="str">
        <f>IFERROR(__xludf.DUMMYFUNCTION("""COMPUTED_VALUE"""),"AZKA KHAIRUL ICHSAN HASUGIAN")</f>
        <v>AZKA KHAIRUL ICHSAN HASUGIAN</v>
      </c>
      <c r="C89" s="8" t="str">
        <f>IFERROR(__xludf.DUMMYFUNCTION("""COMPUTED_VALUE"""),"A250033")</f>
        <v>A250033</v>
      </c>
      <c r="D89" s="8" t="str">
        <f>IFERROR(__xludf.DUMMYFUNCTION("""COMPUTED_VALUE"""),"MTs Putra")</f>
        <v>MTs Putra</v>
      </c>
      <c r="E89" s="8" t="str">
        <f>IFERROR(__xludf.DUMMYFUNCTION("""COMPUTED_VALUE"""),"Ya")</f>
        <v>Ya</v>
      </c>
      <c r="F89" s="8">
        <f>IFERROR(__xludf.DUMMYFUNCTION("""COMPUTED_VALUE"""),5.0)</f>
        <v>5</v>
      </c>
      <c r="G89" s="8">
        <f>IFERROR(__xludf.DUMMYFUNCTION("""COMPUTED_VALUE"""),5.0)</f>
        <v>5</v>
      </c>
      <c r="H89" s="8">
        <f>IFERROR(__xludf.DUMMYFUNCTION("""COMPUTED_VALUE"""),4.0)</f>
        <v>4</v>
      </c>
      <c r="I89" s="8">
        <f>IFERROR(__xludf.DUMMYFUNCTION("""COMPUTED_VALUE"""),5.0)</f>
        <v>5</v>
      </c>
      <c r="J89" s="8">
        <f>IFERROR(__xludf.DUMMYFUNCTION("""COMPUTED_VALUE"""),4.0)</f>
        <v>4</v>
      </c>
      <c r="K89" s="8">
        <f>IFERROR(__xludf.DUMMYFUNCTION("""COMPUTED_VALUE"""),5.0)</f>
        <v>5</v>
      </c>
      <c r="L89" s="8">
        <f>IFERROR(__xludf.DUMMYFUNCTION("""COMPUTED_VALUE"""),5.0)</f>
        <v>5</v>
      </c>
      <c r="M89" s="8">
        <f>IFERROR(__xludf.DUMMYFUNCTION("""COMPUTED_VALUE"""),4.0)</f>
        <v>4</v>
      </c>
      <c r="N89" s="8">
        <f>IFERROR(__xludf.DUMMYFUNCTION("""COMPUTED_VALUE"""),4.0)</f>
        <v>4</v>
      </c>
      <c r="O89" s="8">
        <f>IFERROR(__xludf.DUMMYFUNCTION("""COMPUTED_VALUE"""),5.0)</f>
        <v>5</v>
      </c>
      <c r="P89" s="8">
        <f>IFERROR(__xludf.DUMMYFUNCTION("""COMPUTED_VALUE"""),4.0)</f>
        <v>4</v>
      </c>
      <c r="Q89" s="8">
        <f>IFERROR(__xludf.DUMMYFUNCTION("""COMPUTED_VALUE"""),4.0)</f>
        <v>4</v>
      </c>
      <c r="R89" s="8">
        <f>IFERROR(__xludf.DUMMYFUNCTION("""COMPUTED_VALUE"""),5.0)</f>
        <v>5</v>
      </c>
      <c r="S89" s="8">
        <f>IFERROR(__xludf.DUMMYFUNCTION("""COMPUTED_VALUE"""),5.0)</f>
        <v>5</v>
      </c>
      <c r="T89" s="8">
        <f>IFERROR(__xludf.DUMMYFUNCTION("""COMPUTED_VALUE"""),5.0)</f>
        <v>5</v>
      </c>
      <c r="U89" s="8">
        <f t="shared" si="1"/>
        <v>69</v>
      </c>
      <c r="V89" s="119" t="str">
        <f t="shared" si="3"/>
        <v>Siap</v>
      </c>
      <c r="W89" s="119" t="str">
        <f t="shared" si="2"/>
        <v>bisa mengikuti pola pesantren dengan baik</v>
      </c>
      <c r="X89" s="8"/>
      <c r="Y89" s="8"/>
      <c r="Z89" s="8"/>
    </row>
    <row r="90">
      <c r="A90" s="123">
        <f>IFERROR(__xludf.DUMMYFUNCTION("""COMPUTED_VALUE"""),45941.512824143516)</f>
        <v>45941.51282</v>
      </c>
      <c r="B90" s="8" t="str">
        <f>IFERROR(__xludf.DUMMYFUNCTION("""COMPUTED_VALUE"""),"Akhdan Azkiya Mahdy")</f>
        <v>Akhdan Azkiya Mahdy</v>
      </c>
      <c r="C90" s="8" t="str">
        <f>IFERROR(__xludf.DUMMYFUNCTION("""COMPUTED_VALUE"""),"A250017")</f>
        <v>A250017</v>
      </c>
      <c r="D90" s="8" t="str">
        <f>IFERROR(__xludf.DUMMYFUNCTION("""COMPUTED_VALUE"""),"MTs Putra")</f>
        <v>MTs Putra</v>
      </c>
      <c r="E90" s="8" t="str">
        <f>IFERROR(__xludf.DUMMYFUNCTION("""COMPUTED_VALUE"""),"Ya")</f>
        <v>Ya</v>
      </c>
      <c r="F90" s="8">
        <f>IFERROR(__xludf.DUMMYFUNCTION("""COMPUTED_VALUE"""),4.0)</f>
        <v>4</v>
      </c>
      <c r="G90" s="8">
        <f>IFERROR(__xludf.DUMMYFUNCTION("""COMPUTED_VALUE"""),4.0)</f>
        <v>4</v>
      </c>
      <c r="H90" s="8">
        <f>IFERROR(__xludf.DUMMYFUNCTION("""COMPUTED_VALUE"""),5.0)</f>
        <v>5</v>
      </c>
      <c r="I90" s="8">
        <f>IFERROR(__xludf.DUMMYFUNCTION("""COMPUTED_VALUE"""),5.0)</f>
        <v>5</v>
      </c>
      <c r="J90" s="8">
        <f>IFERROR(__xludf.DUMMYFUNCTION("""COMPUTED_VALUE"""),4.0)</f>
        <v>4</v>
      </c>
      <c r="K90" s="8">
        <f>IFERROR(__xludf.DUMMYFUNCTION("""COMPUTED_VALUE"""),4.0)</f>
        <v>4</v>
      </c>
      <c r="L90" s="8">
        <f>IFERROR(__xludf.DUMMYFUNCTION("""COMPUTED_VALUE"""),5.0)</f>
        <v>5</v>
      </c>
      <c r="M90" s="8">
        <f>IFERROR(__xludf.DUMMYFUNCTION("""COMPUTED_VALUE"""),4.0)</f>
        <v>4</v>
      </c>
      <c r="N90" s="8">
        <f>IFERROR(__xludf.DUMMYFUNCTION("""COMPUTED_VALUE"""),4.0)</f>
        <v>4</v>
      </c>
      <c r="O90" s="8">
        <f>IFERROR(__xludf.DUMMYFUNCTION("""COMPUTED_VALUE"""),3.0)</f>
        <v>3</v>
      </c>
      <c r="P90" s="8">
        <f>IFERROR(__xludf.DUMMYFUNCTION("""COMPUTED_VALUE"""),5.0)</f>
        <v>5</v>
      </c>
      <c r="Q90" s="8">
        <f>IFERROR(__xludf.DUMMYFUNCTION("""COMPUTED_VALUE"""),5.0)</f>
        <v>5</v>
      </c>
      <c r="R90" s="8">
        <f>IFERROR(__xludf.DUMMYFUNCTION("""COMPUTED_VALUE"""),5.0)</f>
        <v>5</v>
      </c>
      <c r="S90" s="8">
        <f>IFERROR(__xludf.DUMMYFUNCTION("""COMPUTED_VALUE"""),4.0)</f>
        <v>4</v>
      </c>
      <c r="T90" s="8">
        <f>IFERROR(__xludf.DUMMYFUNCTION("""COMPUTED_VALUE"""),4.0)</f>
        <v>4</v>
      </c>
      <c r="U90" s="8">
        <f t="shared" si="1"/>
        <v>65</v>
      </c>
      <c r="V90" s="119" t="str">
        <f t="shared" si="3"/>
        <v>Siap</v>
      </c>
      <c r="W90" s="119" t="str">
        <f t="shared" si="2"/>
        <v>bisa mengikuti pola pesantren dengan baik</v>
      </c>
      <c r="X90" s="8"/>
      <c r="Y90" s="8"/>
      <c r="Z90" s="8"/>
    </row>
    <row r="91">
      <c r="A91" s="123">
        <f>IFERROR(__xludf.DUMMYFUNCTION("""COMPUTED_VALUE"""),45941.59513047454)</f>
        <v>45941.59513</v>
      </c>
      <c r="B91" s="8" t="str">
        <f>IFERROR(__xludf.DUMMYFUNCTION("""COMPUTED_VALUE"""),"Muhammad Nizar")</f>
        <v>Muhammad Nizar</v>
      </c>
      <c r="C91" s="8" t="str">
        <f>IFERROR(__xludf.DUMMYFUNCTION("""COMPUTED_VALUE"""),"A250061")</f>
        <v>A250061</v>
      </c>
      <c r="D91" s="8" t="str">
        <f>IFERROR(__xludf.DUMMYFUNCTION("""COMPUTED_VALUE"""),"MTs Putra")</f>
        <v>MTs Putra</v>
      </c>
      <c r="E91" s="8" t="str">
        <f>IFERROR(__xludf.DUMMYFUNCTION("""COMPUTED_VALUE"""),"Ya")</f>
        <v>Ya</v>
      </c>
      <c r="F91" s="8">
        <f>IFERROR(__xludf.DUMMYFUNCTION("""COMPUTED_VALUE"""),3.0)</f>
        <v>3</v>
      </c>
      <c r="G91" s="8">
        <f>IFERROR(__xludf.DUMMYFUNCTION("""COMPUTED_VALUE"""),4.0)</f>
        <v>4</v>
      </c>
      <c r="H91" s="8">
        <f>IFERROR(__xludf.DUMMYFUNCTION("""COMPUTED_VALUE"""),4.0)</f>
        <v>4</v>
      </c>
      <c r="I91" s="8">
        <f>IFERROR(__xludf.DUMMYFUNCTION("""COMPUTED_VALUE"""),4.0)</f>
        <v>4</v>
      </c>
      <c r="J91" s="8">
        <f>IFERROR(__xludf.DUMMYFUNCTION("""COMPUTED_VALUE"""),3.0)</f>
        <v>3</v>
      </c>
      <c r="K91" s="8">
        <f>IFERROR(__xludf.DUMMYFUNCTION("""COMPUTED_VALUE"""),4.0)</f>
        <v>4</v>
      </c>
      <c r="L91" s="8">
        <f>IFERROR(__xludf.DUMMYFUNCTION("""COMPUTED_VALUE"""),4.0)</f>
        <v>4</v>
      </c>
      <c r="M91" s="8">
        <f>IFERROR(__xludf.DUMMYFUNCTION("""COMPUTED_VALUE"""),5.0)</f>
        <v>5</v>
      </c>
      <c r="N91" s="8">
        <f>IFERROR(__xludf.DUMMYFUNCTION("""COMPUTED_VALUE"""),4.0)</f>
        <v>4</v>
      </c>
      <c r="O91" s="8">
        <f>IFERROR(__xludf.DUMMYFUNCTION("""COMPUTED_VALUE"""),5.0)</f>
        <v>5</v>
      </c>
      <c r="P91" s="8">
        <f>IFERROR(__xludf.DUMMYFUNCTION("""COMPUTED_VALUE"""),4.0)</f>
        <v>4</v>
      </c>
      <c r="Q91" s="8">
        <f>IFERROR(__xludf.DUMMYFUNCTION("""COMPUTED_VALUE"""),5.0)</f>
        <v>5</v>
      </c>
      <c r="R91" s="8">
        <f>IFERROR(__xludf.DUMMYFUNCTION("""COMPUTED_VALUE"""),5.0)</f>
        <v>5</v>
      </c>
      <c r="S91" s="8">
        <f>IFERROR(__xludf.DUMMYFUNCTION("""COMPUTED_VALUE"""),5.0)</f>
        <v>5</v>
      </c>
      <c r="T91" s="8">
        <f>IFERROR(__xludf.DUMMYFUNCTION("""COMPUTED_VALUE"""),4.0)</f>
        <v>4</v>
      </c>
      <c r="U91" s="8">
        <f t="shared" si="1"/>
        <v>63</v>
      </c>
      <c r="V91" s="119" t="str">
        <f t="shared" si="3"/>
        <v>Siap</v>
      </c>
      <c r="W91" s="119" t="str">
        <f t="shared" si="2"/>
        <v>bisa mengikuti pola pesantren dengan baik</v>
      </c>
      <c r="X91" s="8"/>
      <c r="Y91" s="8"/>
      <c r="Z91" s="8"/>
    </row>
    <row r="92">
      <c r="A92" s="123">
        <f>IFERROR(__xludf.DUMMYFUNCTION("""COMPUTED_VALUE"""),45941.722113020835)</f>
        <v>45941.72211</v>
      </c>
      <c r="B92" s="8" t="str">
        <f>IFERROR(__xludf.DUMMYFUNCTION("""COMPUTED_VALUE"""),"ANASTASYA PUTRI")</f>
        <v>ANASTASYA PUTRI</v>
      </c>
      <c r="C92" s="8" t="str">
        <f>IFERROR(__xludf.DUMMYFUNCTION("""COMPUTED_VALUE"""),"D250012")</f>
        <v>D250012</v>
      </c>
      <c r="D92" s="8" t="str">
        <f>IFERROR(__xludf.DUMMYFUNCTION("""COMPUTED_VALUE"""),"MTs Putri")</f>
        <v>MTs Putri</v>
      </c>
      <c r="E92" s="8" t="str">
        <f>IFERROR(__xludf.DUMMYFUNCTION("""COMPUTED_VALUE"""),"Ya")</f>
        <v>Ya</v>
      </c>
      <c r="F92" s="8">
        <f>IFERROR(__xludf.DUMMYFUNCTION("""COMPUTED_VALUE"""),5.0)</f>
        <v>5</v>
      </c>
      <c r="G92" s="8">
        <f>IFERROR(__xludf.DUMMYFUNCTION("""COMPUTED_VALUE"""),5.0)</f>
        <v>5</v>
      </c>
      <c r="H92" s="8">
        <f>IFERROR(__xludf.DUMMYFUNCTION("""COMPUTED_VALUE"""),5.0)</f>
        <v>5</v>
      </c>
      <c r="I92" s="8">
        <f>IFERROR(__xludf.DUMMYFUNCTION("""COMPUTED_VALUE"""),5.0)</f>
        <v>5</v>
      </c>
      <c r="J92" s="8">
        <f>IFERROR(__xludf.DUMMYFUNCTION("""COMPUTED_VALUE"""),5.0)</f>
        <v>5</v>
      </c>
      <c r="K92" s="8">
        <f>IFERROR(__xludf.DUMMYFUNCTION("""COMPUTED_VALUE"""),5.0)</f>
        <v>5</v>
      </c>
      <c r="L92" s="8">
        <f>IFERROR(__xludf.DUMMYFUNCTION("""COMPUTED_VALUE"""),5.0)</f>
        <v>5</v>
      </c>
      <c r="M92" s="8">
        <f>IFERROR(__xludf.DUMMYFUNCTION("""COMPUTED_VALUE"""),5.0)</f>
        <v>5</v>
      </c>
      <c r="N92" s="8">
        <f>IFERROR(__xludf.DUMMYFUNCTION("""COMPUTED_VALUE"""),5.0)</f>
        <v>5</v>
      </c>
      <c r="O92" s="8">
        <f>IFERROR(__xludf.DUMMYFUNCTION("""COMPUTED_VALUE"""),5.0)</f>
        <v>5</v>
      </c>
      <c r="P92" s="8">
        <f>IFERROR(__xludf.DUMMYFUNCTION("""COMPUTED_VALUE"""),5.0)</f>
        <v>5</v>
      </c>
      <c r="Q92" s="8">
        <f>IFERROR(__xludf.DUMMYFUNCTION("""COMPUTED_VALUE"""),5.0)</f>
        <v>5</v>
      </c>
      <c r="R92" s="8">
        <f>IFERROR(__xludf.DUMMYFUNCTION("""COMPUTED_VALUE"""),5.0)</f>
        <v>5</v>
      </c>
      <c r="S92" s="8">
        <f>IFERROR(__xludf.DUMMYFUNCTION("""COMPUTED_VALUE"""),5.0)</f>
        <v>5</v>
      </c>
      <c r="T92" s="8">
        <f>IFERROR(__xludf.DUMMYFUNCTION("""COMPUTED_VALUE"""),5.0)</f>
        <v>5</v>
      </c>
      <c r="U92" s="8">
        <f t="shared" si="1"/>
        <v>75</v>
      </c>
      <c r="V92" s="119" t="str">
        <f t="shared" si="3"/>
        <v>Siap</v>
      </c>
      <c r="W92" s="119" t="str">
        <f t="shared" si="2"/>
        <v>bisa mengikuti pola pesantren dengan baik</v>
      </c>
      <c r="X92" s="8"/>
      <c r="Y92" s="8"/>
      <c r="Z92" s="8"/>
    </row>
    <row r="93">
      <c r="A93" s="123">
        <f>IFERROR(__xludf.DUMMYFUNCTION("""COMPUTED_VALUE"""),45941.796234270834)</f>
        <v>45941.79623</v>
      </c>
      <c r="B93" s="8" t="str">
        <f>IFERROR(__xludf.DUMMYFUNCTION("""COMPUTED_VALUE"""),"NISRINA QURROTA AINI ")</f>
        <v>NISRINA QURROTA AINI </v>
      </c>
      <c r="C93" s="8" t="str">
        <f>IFERROR(__xludf.DUMMYFUNCTION("""COMPUTED_VALUE"""),"E250003")</f>
        <v>E250003</v>
      </c>
      <c r="D93" s="8" t="str">
        <f>IFERROR(__xludf.DUMMYFUNCTION("""COMPUTED_VALUE"""),"I'dad Lughawiy Putri")</f>
        <v>I'dad Lughawiy Putri</v>
      </c>
      <c r="E93" s="8" t="str">
        <f>IFERROR(__xludf.DUMMYFUNCTION("""COMPUTED_VALUE"""),"Ya")</f>
        <v>Ya</v>
      </c>
      <c r="F93" s="8">
        <f>IFERROR(__xludf.DUMMYFUNCTION("""COMPUTED_VALUE"""),5.0)</f>
        <v>5</v>
      </c>
      <c r="G93" s="8">
        <f>IFERROR(__xludf.DUMMYFUNCTION("""COMPUTED_VALUE"""),5.0)</f>
        <v>5</v>
      </c>
      <c r="H93" s="8">
        <f>IFERROR(__xludf.DUMMYFUNCTION("""COMPUTED_VALUE"""),5.0)</f>
        <v>5</v>
      </c>
      <c r="I93" s="8">
        <f>IFERROR(__xludf.DUMMYFUNCTION("""COMPUTED_VALUE"""),5.0)</f>
        <v>5</v>
      </c>
      <c r="J93" s="8">
        <f>IFERROR(__xludf.DUMMYFUNCTION("""COMPUTED_VALUE"""),5.0)</f>
        <v>5</v>
      </c>
      <c r="K93" s="8">
        <f>IFERROR(__xludf.DUMMYFUNCTION("""COMPUTED_VALUE"""),5.0)</f>
        <v>5</v>
      </c>
      <c r="L93" s="8">
        <f>IFERROR(__xludf.DUMMYFUNCTION("""COMPUTED_VALUE"""),5.0)</f>
        <v>5</v>
      </c>
      <c r="M93" s="8">
        <f>IFERROR(__xludf.DUMMYFUNCTION("""COMPUTED_VALUE"""),5.0)</f>
        <v>5</v>
      </c>
      <c r="N93" s="8">
        <f>IFERROR(__xludf.DUMMYFUNCTION("""COMPUTED_VALUE"""),5.0)</f>
        <v>5</v>
      </c>
      <c r="O93" s="8">
        <f>IFERROR(__xludf.DUMMYFUNCTION("""COMPUTED_VALUE"""),5.0)</f>
        <v>5</v>
      </c>
      <c r="P93" s="8">
        <f>IFERROR(__xludf.DUMMYFUNCTION("""COMPUTED_VALUE"""),5.0)</f>
        <v>5</v>
      </c>
      <c r="Q93" s="8">
        <f>IFERROR(__xludf.DUMMYFUNCTION("""COMPUTED_VALUE"""),5.0)</f>
        <v>5</v>
      </c>
      <c r="R93" s="8">
        <f>IFERROR(__xludf.DUMMYFUNCTION("""COMPUTED_VALUE"""),5.0)</f>
        <v>5</v>
      </c>
      <c r="S93" s="8">
        <f>IFERROR(__xludf.DUMMYFUNCTION("""COMPUTED_VALUE"""),5.0)</f>
        <v>5</v>
      </c>
      <c r="T93" s="8">
        <f>IFERROR(__xludf.DUMMYFUNCTION("""COMPUTED_VALUE"""),5.0)</f>
        <v>5</v>
      </c>
      <c r="U93" s="8">
        <f t="shared" si="1"/>
        <v>75</v>
      </c>
      <c r="V93" s="119" t="str">
        <f t="shared" si="3"/>
        <v>Siap</v>
      </c>
      <c r="W93" s="119" t="str">
        <f t="shared" si="2"/>
        <v>bisa mengikuti pola pesantren dengan baik</v>
      </c>
      <c r="X93" s="8"/>
      <c r="Y93" s="8"/>
      <c r="Z93" s="8"/>
    </row>
    <row r="94">
      <c r="A94" s="123">
        <f>IFERROR(__xludf.DUMMYFUNCTION("""COMPUTED_VALUE"""),45942.44426792824)</f>
        <v>45942.44427</v>
      </c>
      <c r="B94" s="8" t="str">
        <f>IFERROR(__xludf.DUMMYFUNCTION("""COMPUTED_VALUE"""),"Abdurrahman hafizh ayyasi")</f>
        <v>Abdurrahman hafizh ayyasi</v>
      </c>
      <c r="C94" s="8" t="str">
        <f>IFERROR(__xludf.DUMMYFUNCTION("""COMPUTED_VALUE"""),"B250013")</f>
        <v>B250013</v>
      </c>
      <c r="D94" s="8" t="str">
        <f>IFERROR(__xludf.DUMMYFUNCTION("""COMPUTED_VALUE"""),"I'dad Lughawiy Putra")</f>
        <v>I'dad Lughawiy Putra</v>
      </c>
      <c r="E94" s="8" t="str">
        <f>IFERROR(__xludf.DUMMYFUNCTION("""COMPUTED_VALUE"""),"Ya")</f>
        <v>Ya</v>
      </c>
      <c r="F94" s="8">
        <f>IFERROR(__xludf.DUMMYFUNCTION("""COMPUTED_VALUE"""),4.0)</f>
        <v>4</v>
      </c>
      <c r="G94" s="8">
        <f>IFERROR(__xludf.DUMMYFUNCTION("""COMPUTED_VALUE"""),4.0)</f>
        <v>4</v>
      </c>
      <c r="H94" s="8">
        <f>IFERROR(__xludf.DUMMYFUNCTION("""COMPUTED_VALUE"""),4.0)</f>
        <v>4</v>
      </c>
      <c r="I94" s="8">
        <f>IFERROR(__xludf.DUMMYFUNCTION("""COMPUTED_VALUE"""),4.0)</f>
        <v>4</v>
      </c>
      <c r="J94" s="8">
        <f>IFERROR(__xludf.DUMMYFUNCTION("""COMPUTED_VALUE"""),3.0)</f>
        <v>3</v>
      </c>
      <c r="K94" s="8">
        <f>IFERROR(__xludf.DUMMYFUNCTION("""COMPUTED_VALUE"""),5.0)</f>
        <v>5</v>
      </c>
      <c r="L94" s="8">
        <f>IFERROR(__xludf.DUMMYFUNCTION("""COMPUTED_VALUE"""),5.0)</f>
        <v>5</v>
      </c>
      <c r="M94" s="8">
        <f>IFERROR(__xludf.DUMMYFUNCTION("""COMPUTED_VALUE"""),5.0)</f>
        <v>5</v>
      </c>
      <c r="N94" s="8">
        <f>IFERROR(__xludf.DUMMYFUNCTION("""COMPUTED_VALUE"""),4.0)</f>
        <v>4</v>
      </c>
      <c r="O94" s="8">
        <f>IFERROR(__xludf.DUMMYFUNCTION("""COMPUTED_VALUE"""),4.0)</f>
        <v>4</v>
      </c>
      <c r="P94" s="8">
        <f>IFERROR(__xludf.DUMMYFUNCTION("""COMPUTED_VALUE"""),5.0)</f>
        <v>5</v>
      </c>
      <c r="Q94" s="8">
        <f>IFERROR(__xludf.DUMMYFUNCTION("""COMPUTED_VALUE"""),4.0)</f>
        <v>4</v>
      </c>
      <c r="R94" s="8">
        <f>IFERROR(__xludf.DUMMYFUNCTION("""COMPUTED_VALUE"""),4.0)</f>
        <v>4</v>
      </c>
      <c r="S94" s="8">
        <f>IFERROR(__xludf.DUMMYFUNCTION("""COMPUTED_VALUE"""),5.0)</f>
        <v>5</v>
      </c>
      <c r="T94" s="8">
        <f>IFERROR(__xludf.DUMMYFUNCTION("""COMPUTED_VALUE"""),4.0)</f>
        <v>4</v>
      </c>
      <c r="U94" s="8">
        <f t="shared" si="1"/>
        <v>64</v>
      </c>
      <c r="V94" s="119" t="str">
        <f t="shared" si="3"/>
        <v>Siap</v>
      </c>
      <c r="W94" s="119" t="str">
        <f t="shared" si="2"/>
        <v>bisa mengikuti pola pesantren dengan baik</v>
      </c>
      <c r="X94" s="8"/>
      <c r="Y94" s="8"/>
      <c r="Z94" s="8"/>
    </row>
    <row r="95">
      <c r="A95" s="123">
        <f>IFERROR(__xludf.DUMMYFUNCTION("""COMPUTED_VALUE"""),45942.477619791665)</f>
        <v>45942.47762</v>
      </c>
      <c r="B95" s="8" t="str">
        <f>IFERROR(__xludf.DUMMYFUNCTION("""COMPUTED_VALUE"""),"Adhyasta widyadhana")</f>
        <v>Adhyasta widyadhana</v>
      </c>
      <c r="C95" s="8" t="str">
        <f>IFERROR(__xludf.DUMMYFUNCTION("""COMPUTED_VALUE"""),"C250014")</f>
        <v>C250014</v>
      </c>
      <c r="D95" s="8" t="str">
        <f>IFERROR(__xludf.DUMMYFUNCTION("""COMPUTED_VALUE"""),"SMA")</f>
        <v>SMA</v>
      </c>
      <c r="E95" s="8" t="str">
        <f>IFERROR(__xludf.DUMMYFUNCTION("""COMPUTED_VALUE"""),"Ya")</f>
        <v>Ya</v>
      </c>
      <c r="F95" s="8">
        <f>IFERROR(__xludf.DUMMYFUNCTION("""COMPUTED_VALUE"""),5.0)</f>
        <v>5</v>
      </c>
      <c r="G95" s="8">
        <f>IFERROR(__xludf.DUMMYFUNCTION("""COMPUTED_VALUE"""),4.0)</f>
        <v>4</v>
      </c>
      <c r="H95" s="8">
        <f>IFERROR(__xludf.DUMMYFUNCTION("""COMPUTED_VALUE"""),5.0)</f>
        <v>5</v>
      </c>
      <c r="I95" s="8">
        <f>IFERROR(__xludf.DUMMYFUNCTION("""COMPUTED_VALUE"""),5.0)</f>
        <v>5</v>
      </c>
      <c r="J95" s="8">
        <f>IFERROR(__xludf.DUMMYFUNCTION("""COMPUTED_VALUE"""),4.0)</f>
        <v>4</v>
      </c>
      <c r="K95" s="8">
        <f>IFERROR(__xludf.DUMMYFUNCTION("""COMPUTED_VALUE"""),5.0)</f>
        <v>5</v>
      </c>
      <c r="L95" s="8">
        <f>IFERROR(__xludf.DUMMYFUNCTION("""COMPUTED_VALUE"""),5.0)</f>
        <v>5</v>
      </c>
      <c r="M95" s="8">
        <f>IFERROR(__xludf.DUMMYFUNCTION("""COMPUTED_VALUE"""),3.0)</f>
        <v>3</v>
      </c>
      <c r="N95" s="8">
        <f>IFERROR(__xludf.DUMMYFUNCTION("""COMPUTED_VALUE"""),5.0)</f>
        <v>5</v>
      </c>
      <c r="O95" s="8">
        <f>IFERROR(__xludf.DUMMYFUNCTION("""COMPUTED_VALUE"""),1.0)</f>
        <v>1</v>
      </c>
      <c r="P95" s="8">
        <f>IFERROR(__xludf.DUMMYFUNCTION("""COMPUTED_VALUE"""),5.0)</f>
        <v>5</v>
      </c>
      <c r="Q95" s="8">
        <f>IFERROR(__xludf.DUMMYFUNCTION("""COMPUTED_VALUE"""),5.0)</f>
        <v>5</v>
      </c>
      <c r="R95" s="8">
        <f>IFERROR(__xludf.DUMMYFUNCTION("""COMPUTED_VALUE"""),5.0)</f>
        <v>5</v>
      </c>
      <c r="S95" s="8">
        <f>IFERROR(__xludf.DUMMYFUNCTION("""COMPUTED_VALUE"""),5.0)</f>
        <v>5</v>
      </c>
      <c r="T95" s="8">
        <f>IFERROR(__xludf.DUMMYFUNCTION("""COMPUTED_VALUE"""),5.0)</f>
        <v>5</v>
      </c>
      <c r="U95" s="8">
        <f t="shared" si="1"/>
        <v>67</v>
      </c>
      <c r="V95" s="119" t="str">
        <f t="shared" si="3"/>
        <v>Siap</v>
      </c>
      <c r="W95" s="119" t="str">
        <f t="shared" si="2"/>
        <v>bisa mengikuti pola pesantren dengan baik</v>
      </c>
      <c r="X95" s="8"/>
      <c r="Y95" s="8"/>
      <c r="Z95" s="8"/>
    </row>
    <row r="96">
      <c r="A96" s="123">
        <f>IFERROR(__xludf.DUMMYFUNCTION("""COMPUTED_VALUE"""),45942.609323310186)</f>
        <v>45942.60932</v>
      </c>
      <c r="B96" s="8" t="str">
        <f>IFERROR(__xludf.DUMMYFUNCTION("""COMPUTED_VALUE"""),"salman alfarizi alamsyah")</f>
        <v>salman alfarizi alamsyah</v>
      </c>
      <c r="C96" s="8" t="str">
        <f>IFERROR(__xludf.DUMMYFUNCTION("""COMPUTED_VALUE"""),"B250012")</f>
        <v>B250012</v>
      </c>
      <c r="D96" s="8" t="str">
        <f>IFERROR(__xludf.DUMMYFUNCTION("""COMPUTED_VALUE"""),"I'dad Lughawiy Putra")</f>
        <v>I'dad Lughawiy Putra</v>
      </c>
      <c r="E96" s="8" t="str">
        <f>IFERROR(__xludf.DUMMYFUNCTION("""COMPUTED_VALUE"""),"Ya")</f>
        <v>Ya</v>
      </c>
      <c r="F96" s="8">
        <f>IFERROR(__xludf.DUMMYFUNCTION("""COMPUTED_VALUE"""),5.0)</f>
        <v>5</v>
      </c>
      <c r="G96" s="8">
        <f>IFERROR(__xludf.DUMMYFUNCTION("""COMPUTED_VALUE"""),5.0)</f>
        <v>5</v>
      </c>
      <c r="H96" s="8">
        <f>IFERROR(__xludf.DUMMYFUNCTION("""COMPUTED_VALUE"""),5.0)</f>
        <v>5</v>
      </c>
      <c r="I96" s="8">
        <f>IFERROR(__xludf.DUMMYFUNCTION("""COMPUTED_VALUE"""),5.0)</f>
        <v>5</v>
      </c>
      <c r="J96" s="8">
        <f>IFERROR(__xludf.DUMMYFUNCTION("""COMPUTED_VALUE"""),4.0)</f>
        <v>4</v>
      </c>
      <c r="K96" s="8">
        <f>IFERROR(__xludf.DUMMYFUNCTION("""COMPUTED_VALUE"""),5.0)</f>
        <v>5</v>
      </c>
      <c r="L96" s="8">
        <f>IFERROR(__xludf.DUMMYFUNCTION("""COMPUTED_VALUE"""),5.0)</f>
        <v>5</v>
      </c>
      <c r="M96" s="8">
        <f>IFERROR(__xludf.DUMMYFUNCTION("""COMPUTED_VALUE"""),5.0)</f>
        <v>5</v>
      </c>
      <c r="N96" s="8">
        <f>IFERROR(__xludf.DUMMYFUNCTION("""COMPUTED_VALUE"""),5.0)</f>
        <v>5</v>
      </c>
      <c r="O96" s="8">
        <f>IFERROR(__xludf.DUMMYFUNCTION("""COMPUTED_VALUE"""),4.0)</f>
        <v>4</v>
      </c>
      <c r="P96" s="8">
        <f>IFERROR(__xludf.DUMMYFUNCTION("""COMPUTED_VALUE"""),5.0)</f>
        <v>5</v>
      </c>
      <c r="Q96" s="8">
        <f>IFERROR(__xludf.DUMMYFUNCTION("""COMPUTED_VALUE"""),5.0)</f>
        <v>5</v>
      </c>
      <c r="R96" s="8">
        <f>IFERROR(__xludf.DUMMYFUNCTION("""COMPUTED_VALUE"""),4.0)</f>
        <v>4</v>
      </c>
      <c r="S96" s="8">
        <f>IFERROR(__xludf.DUMMYFUNCTION("""COMPUTED_VALUE"""),4.0)</f>
        <v>4</v>
      </c>
      <c r="T96" s="8">
        <f>IFERROR(__xludf.DUMMYFUNCTION("""COMPUTED_VALUE"""),4.0)</f>
        <v>4</v>
      </c>
      <c r="U96" s="8">
        <f t="shared" si="1"/>
        <v>70</v>
      </c>
      <c r="V96" s="119" t="str">
        <f t="shared" si="3"/>
        <v>Siap</v>
      </c>
      <c r="W96" s="119" t="str">
        <f t="shared" si="2"/>
        <v>bisa mengikuti pola pesantren dengan baik</v>
      </c>
      <c r="X96" s="8"/>
      <c r="Y96" s="8"/>
      <c r="Z96" s="8"/>
    </row>
    <row r="97">
      <c r="A97" s="123">
        <f>IFERROR(__xludf.DUMMYFUNCTION("""COMPUTED_VALUE"""),45943.632346087965)</f>
        <v>45943.63235</v>
      </c>
      <c r="B97" s="8" t="str">
        <f>IFERROR(__xludf.DUMMYFUNCTION("""COMPUTED_VALUE"""),"Azkia Salsabila")</f>
        <v>Azkia Salsabila</v>
      </c>
      <c r="C97" s="8" t="str">
        <f>IFERROR(__xludf.DUMMYFUNCTION("""COMPUTED_VALUE"""),"E250006")</f>
        <v>E250006</v>
      </c>
      <c r="D97" s="8" t="str">
        <f>IFERROR(__xludf.DUMMYFUNCTION("""COMPUTED_VALUE"""),"I'dad Lughawiy Putri")</f>
        <v>I'dad Lughawiy Putri</v>
      </c>
      <c r="E97" s="8" t="str">
        <f>IFERROR(__xludf.DUMMYFUNCTION("""COMPUTED_VALUE"""),"Ya")</f>
        <v>Ya</v>
      </c>
      <c r="F97" s="8">
        <f>IFERROR(__xludf.DUMMYFUNCTION("""COMPUTED_VALUE"""),5.0)</f>
        <v>5</v>
      </c>
      <c r="G97" s="8">
        <f>IFERROR(__xludf.DUMMYFUNCTION("""COMPUTED_VALUE"""),5.0)</f>
        <v>5</v>
      </c>
      <c r="H97" s="8">
        <f>IFERROR(__xludf.DUMMYFUNCTION("""COMPUTED_VALUE"""),5.0)</f>
        <v>5</v>
      </c>
      <c r="I97" s="8">
        <f>IFERROR(__xludf.DUMMYFUNCTION("""COMPUTED_VALUE"""),5.0)</f>
        <v>5</v>
      </c>
      <c r="J97" s="8">
        <f>IFERROR(__xludf.DUMMYFUNCTION("""COMPUTED_VALUE"""),4.0)</f>
        <v>4</v>
      </c>
      <c r="K97" s="8">
        <f>IFERROR(__xludf.DUMMYFUNCTION("""COMPUTED_VALUE"""),5.0)</f>
        <v>5</v>
      </c>
      <c r="L97" s="8">
        <f>IFERROR(__xludf.DUMMYFUNCTION("""COMPUTED_VALUE"""),5.0)</f>
        <v>5</v>
      </c>
      <c r="M97" s="8">
        <f>IFERROR(__xludf.DUMMYFUNCTION("""COMPUTED_VALUE"""),5.0)</f>
        <v>5</v>
      </c>
      <c r="N97" s="8">
        <f>IFERROR(__xludf.DUMMYFUNCTION("""COMPUTED_VALUE"""),4.0)</f>
        <v>4</v>
      </c>
      <c r="O97" s="8">
        <f>IFERROR(__xludf.DUMMYFUNCTION("""COMPUTED_VALUE"""),3.0)</f>
        <v>3</v>
      </c>
      <c r="P97" s="8">
        <f>IFERROR(__xludf.DUMMYFUNCTION("""COMPUTED_VALUE"""),5.0)</f>
        <v>5</v>
      </c>
      <c r="Q97" s="8">
        <f>IFERROR(__xludf.DUMMYFUNCTION("""COMPUTED_VALUE"""),4.0)</f>
        <v>4</v>
      </c>
      <c r="R97" s="8">
        <f>IFERROR(__xludf.DUMMYFUNCTION("""COMPUTED_VALUE"""),5.0)</f>
        <v>5</v>
      </c>
      <c r="S97" s="8">
        <f>IFERROR(__xludf.DUMMYFUNCTION("""COMPUTED_VALUE"""),5.0)</f>
        <v>5</v>
      </c>
      <c r="T97" s="8">
        <f>IFERROR(__xludf.DUMMYFUNCTION("""COMPUTED_VALUE"""),5.0)</f>
        <v>5</v>
      </c>
      <c r="U97" s="8">
        <f t="shared" si="1"/>
        <v>70</v>
      </c>
      <c r="V97" s="119" t="str">
        <f t="shared" si="3"/>
        <v>Siap</v>
      </c>
      <c r="W97" s="119" t="str">
        <f t="shared" si="2"/>
        <v>bisa mengikuti pola pesantren dengan baik</v>
      </c>
      <c r="X97" s="8"/>
      <c r="Y97" s="8"/>
      <c r="Z97" s="8"/>
    </row>
    <row r="98">
      <c r="A98" s="123">
        <f>IFERROR(__xludf.DUMMYFUNCTION("""COMPUTED_VALUE"""),45946.64899539352)</f>
        <v>45946.649</v>
      </c>
      <c r="B98" s="8" t="str">
        <f>IFERROR(__xludf.DUMMYFUNCTION("""COMPUTED_VALUE"""),"Hamzah aqil")</f>
        <v>Hamzah aqil</v>
      </c>
      <c r="C98" s="8" t="str">
        <f>IFERROR(__xludf.DUMMYFUNCTION("""COMPUTED_VALUE"""),"A250057")</f>
        <v>A250057</v>
      </c>
      <c r="D98" s="8" t="str">
        <f>IFERROR(__xludf.DUMMYFUNCTION("""COMPUTED_VALUE"""),"MTs Putra")</f>
        <v>MTs Putra</v>
      </c>
      <c r="E98" s="8" t="str">
        <f>IFERROR(__xludf.DUMMYFUNCTION("""COMPUTED_VALUE"""),"Ya")</f>
        <v>Ya</v>
      </c>
      <c r="F98" s="8">
        <f>IFERROR(__xludf.DUMMYFUNCTION("""COMPUTED_VALUE"""),5.0)</f>
        <v>5</v>
      </c>
      <c r="G98" s="8">
        <f>IFERROR(__xludf.DUMMYFUNCTION("""COMPUTED_VALUE"""),5.0)</f>
        <v>5</v>
      </c>
      <c r="H98" s="8">
        <f>IFERROR(__xludf.DUMMYFUNCTION("""COMPUTED_VALUE"""),4.0)</f>
        <v>4</v>
      </c>
      <c r="I98" s="8">
        <f>IFERROR(__xludf.DUMMYFUNCTION("""COMPUTED_VALUE"""),5.0)</f>
        <v>5</v>
      </c>
      <c r="J98" s="8">
        <f>IFERROR(__xludf.DUMMYFUNCTION("""COMPUTED_VALUE"""),3.0)</f>
        <v>3</v>
      </c>
      <c r="K98" s="8">
        <f>IFERROR(__xludf.DUMMYFUNCTION("""COMPUTED_VALUE"""),5.0)</f>
        <v>5</v>
      </c>
      <c r="L98" s="8">
        <f>IFERROR(__xludf.DUMMYFUNCTION("""COMPUTED_VALUE"""),5.0)</f>
        <v>5</v>
      </c>
      <c r="M98" s="8">
        <f>IFERROR(__xludf.DUMMYFUNCTION("""COMPUTED_VALUE"""),4.0)</f>
        <v>4</v>
      </c>
      <c r="N98" s="8">
        <f>IFERROR(__xludf.DUMMYFUNCTION("""COMPUTED_VALUE"""),4.0)</f>
        <v>4</v>
      </c>
      <c r="O98" s="8">
        <f>IFERROR(__xludf.DUMMYFUNCTION("""COMPUTED_VALUE"""),5.0)</f>
        <v>5</v>
      </c>
      <c r="P98" s="8">
        <f>IFERROR(__xludf.DUMMYFUNCTION("""COMPUTED_VALUE"""),5.0)</f>
        <v>5</v>
      </c>
      <c r="Q98" s="8">
        <f>IFERROR(__xludf.DUMMYFUNCTION("""COMPUTED_VALUE"""),4.0)</f>
        <v>4</v>
      </c>
      <c r="R98" s="8">
        <f>IFERROR(__xludf.DUMMYFUNCTION("""COMPUTED_VALUE"""),5.0)</f>
        <v>5</v>
      </c>
      <c r="S98" s="8">
        <f>IFERROR(__xludf.DUMMYFUNCTION("""COMPUTED_VALUE"""),4.0)</f>
        <v>4</v>
      </c>
      <c r="T98" s="8">
        <f>IFERROR(__xludf.DUMMYFUNCTION("""COMPUTED_VALUE"""),4.0)</f>
        <v>4</v>
      </c>
      <c r="U98" s="8">
        <f t="shared" si="1"/>
        <v>67</v>
      </c>
      <c r="V98" s="119" t="str">
        <f t="shared" si="3"/>
        <v>Siap</v>
      </c>
      <c r="W98" s="119" t="str">
        <f t="shared" si="2"/>
        <v>bisa mengikuti pola pesantren dengan baik</v>
      </c>
      <c r="X98" s="8"/>
      <c r="Y98" s="8"/>
      <c r="Z98" s="8"/>
    </row>
    <row r="99">
      <c r="A99" s="123">
        <f>IFERROR(__xludf.DUMMYFUNCTION("""COMPUTED_VALUE"""),45947.428751562504)</f>
        <v>45947.42875</v>
      </c>
      <c r="B99" s="8" t="str">
        <f>IFERROR(__xludf.DUMMYFUNCTION("""COMPUTED_VALUE"""),"Ahadan Nazka Harits")</f>
        <v>Ahadan Nazka Harits</v>
      </c>
      <c r="C99" s="8" t="str">
        <f>IFERROR(__xludf.DUMMYFUNCTION("""COMPUTED_VALUE"""),"B250024")</f>
        <v>B250024</v>
      </c>
      <c r="D99" s="8" t="str">
        <f>IFERROR(__xludf.DUMMYFUNCTION("""COMPUTED_VALUE"""),"I'dad Lughawiy Putra")</f>
        <v>I'dad Lughawiy Putra</v>
      </c>
      <c r="E99" s="8" t="str">
        <f>IFERROR(__xludf.DUMMYFUNCTION("""COMPUTED_VALUE"""),"Ya")</f>
        <v>Ya</v>
      </c>
      <c r="F99" s="8">
        <f>IFERROR(__xludf.DUMMYFUNCTION("""COMPUTED_VALUE"""),5.0)</f>
        <v>5</v>
      </c>
      <c r="G99" s="8">
        <f>IFERROR(__xludf.DUMMYFUNCTION("""COMPUTED_VALUE"""),5.0)</f>
        <v>5</v>
      </c>
      <c r="H99" s="8">
        <f>IFERROR(__xludf.DUMMYFUNCTION("""COMPUTED_VALUE"""),5.0)</f>
        <v>5</v>
      </c>
      <c r="I99" s="8">
        <f>IFERROR(__xludf.DUMMYFUNCTION("""COMPUTED_VALUE"""),5.0)</f>
        <v>5</v>
      </c>
      <c r="J99" s="8">
        <f>IFERROR(__xludf.DUMMYFUNCTION("""COMPUTED_VALUE"""),3.0)</f>
        <v>3</v>
      </c>
      <c r="K99" s="8">
        <f>IFERROR(__xludf.DUMMYFUNCTION("""COMPUTED_VALUE"""),5.0)</f>
        <v>5</v>
      </c>
      <c r="L99" s="8">
        <f>IFERROR(__xludf.DUMMYFUNCTION("""COMPUTED_VALUE"""),5.0)</f>
        <v>5</v>
      </c>
      <c r="M99" s="8">
        <f>IFERROR(__xludf.DUMMYFUNCTION("""COMPUTED_VALUE"""),5.0)</f>
        <v>5</v>
      </c>
      <c r="N99" s="8">
        <f>IFERROR(__xludf.DUMMYFUNCTION("""COMPUTED_VALUE"""),5.0)</f>
        <v>5</v>
      </c>
      <c r="O99" s="8">
        <f>IFERROR(__xludf.DUMMYFUNCTION("""COMPUTED_VALUE"""),3.0)</f>
        <v>3</v>
      </c>
      <c r="P99" s="8">
        <f>IFERROR(__xludf.DUMMYFUNCTION("""COMPUTED_VALUE"""),5.0)</f>
        <v>5</v>
      </c>
      <c r="Q99" s="8">
        <f>IFERROR(__xludf.DUMMYFUNCTION("""COMPUTED_VALUE"""),5.0)</f>
        <v>5</v>
      </c>
      <c r="R99" s="8">
        <f>IFERROR(__xludf.DUMMYFUNCTION("""COMPUTED_VALUE"""),5.0)</f>
        <v>5</v>
      </c>
      <c r="S99" s="8">
        <f>IFERROR(__xludf.DUMMYFUNCTION("""COMPUTED_VALUE"""),5.0)</f>
        <v>5</v>
      </c>
      <c r="T99" s="8">
        <f>IFERROR(__xludf.DUMMYFUNCTION("""COMPUTED_VALUE"""),5.0)</f>
        <v>5</v>
      </c>
      <c r="U99" s="8">
        <f t="shared" si="1"/>
        <v>71</v>
      </c>
      <c r="V99" s="119" t="str">
        <f t="shared" si="3"/>
        <v>Siap</v>
      </c>
      <c r="W99" s="119" t="str">
        <f t="shared" si="2"/>
        <v>bisa mengikuti pola pesantren dengan baik</v>
      </c>
      <c r="X99" s="8"/>
      <c r="Y99" s="8"/>
      <c r="Z99" s="8"/>
    </row>
    <row r="100">
      <c r="A100" s="123">
        <f>IFERROR(__xludf.DUMMYFUNCTION("""COMPUTED_VALUE"""),45947.7667259838)</f>
        <v>45947.76673</v>
      </c>
      <c r="B100" s="8" t="str">
        <f>IFERROR(__xludf.DUMMYFUNCTION("""COMPUTED_VALUE"""),"Ali Barqi As-Saif")</f>
        <v>Ali Barqi As-Saif</v>
      </c>
      <c r="C100" s="8" t="str">
        <f>IFERROR(__xludf.DUMMYFUNCTION("""COMPUTED_VALUE"""),"B250007")</f>
        <v>B250007</v>
      </c>
      <c r="D100" s="8" t="str">
        <f>IFERROR(__xludf.DUMMYFUNCTION("""COMPUTED_VALUE"""),"SMA")</f>
        <v>SMA</v>
      </c>
      <c r="E100" s="8" t="str">
        <f>IFERROR(__xludf.DUMMYFUNCTION("""COMPUTED_VALUE"""),"Ya")</f>
        <v>Ya</v>
      </c>
      <c r="F100" s="8">
        <f>IFERROR(__xludf.DUMMYFUNCTION("""COMPUTED_VALUE"""),4.0)</f>
        <v>4</v>
      </c>
      <c r="G100" s="8">
        <f>IFERROR(__xludf.DUMMYFUNCTION("""COMPUTED_VALUE"""),4.0)</f>
        <v>4</v>
      </c>
      <c r="H100" s="8">
        <f>IFERROR(__xludf.DUMMYFUNCTION("""COMPUTED_VALUE"""),4.0)</f>
        <v>4</v>
      </c>
      <c r="I100" s="8">
        <f>IFERROR(__xludf.DUMMYFUNCTION("""COMPUTED_VALUE"""),4.0)</f>
        <v>4</v>
      </c>
      <c r="J100" s="8">
        <f>IFERROR(__xludf.DUMMYFUNCTION("""COMPUTED_VALUE"""),4.0)</f>
        <v>4</v>
      </c>
      <c r="K100" s="8">
        <f>IFERROR(__xludf.DUMMYFUNCTION("""COMPUTED_VALUE"""),1.0)</f>
        <v>1</v>
      </c>
      <c r="L100" s="8">
        <f>IFERROR(__xludf.DUMMYFUNCTION("""COMPUTED_VALUE"""),3.0)</f>
        <v>3</v>
      </c>
      <c r="M100" s="8">
        <f>IFERROR(__xludf.DUMMYFUNCTION("""COMPUTED_VALUE"""),4.0)</f>
        <v>4</v>
      </c>
      <c r="N100" s="8">
        <f>IFERROR(__xludf.DUMMYFUNCTION("""COMPUTED_VALUE"""),4.0)</f>
        <v>4</v>
      </c>
      <c r="O100" s="8">
        <f>IFERROR(__xludf.DUMMYFUNCTION("""COMPUTED_VALUE"""),5.0)</f>
        <v>5</v>
      </c>
      <c r="P100" s="8">
        <f>IFERROR(__xludf.DUMMYFUNCTION("""COMPUTED_VALUE"""),1.0)</f>
        <v>1</v>
      </c>
      <c r="Q100" s="8">
        <f>IFERROR(__xludf.DUMMYFUNCTION("""COMPUTED_VALUE"""),4.0)</f>
        <v>4</v>
      </c>
      <c r="R100" s="8">
        <f>IFERROR(__xludf.DUMMYFUNCTION("""COMPUTED_VALUE"""),5.0)</f>
        <v>5</v>
      </c>
      <c r="S100" s="8">
        <f>IFERROR(__xludf.DUMMYFUNCTION("""COMPUTED_VALUE"""),5.0)</f>
        <v>5</v>
      </c>
      <c r="T100" s="8">
        <f>IFERROR(__xludf.DUMMYFUNCTION("""COMPUTED_VALUE"""),3.0)</f>
        <v>3</v>
      </c>
      <c r="U100" s="8">
        <f t="shared" si="1"/>
        <v>55</v>
      </c>
      <c r="V100" s="119" t="str">
        <f t="shared" si="3"/>
        <v>Siap</v>
      </c>
      <c r="W100" s="119" t="str">
        <f t="shared" si="2"/>
        <v>bisa mengikuti pola pesantren dengan baik</v>
      </c>
      <c r="X100" s="8"/>
      <c r="Y100" s="8"/>
      <c r="Z100" s="8"/>
    </row>
    <row r="101">
      <c r="A101" s="123">
        <f>IFERROR(__xludf.DUMMYFUNCTION("""COMPUTED_VALUE"""),45948.49071637732)</f>
        <v>45948.49072</v>
      </c>
      <c r="B101" s="8" t="str">
        <f>IFERROR(__xludf.DUMMYFUNCTION("""COMPUTED_VALUE"""),"Abbas Raihan")</f>
        <v>Abbas Raihan</v>
      </c>
      <c r="C101" s="8" t="str">
        <f>IFERROR(__xludf.DUMMYFUNCTION("""COMPUTED_VALUE"""),"B250019")</f>
        <v>B250019</v>
      </c>
      <c r="D101" s="8" t="str">
        <f>IFERROR(__xludf.DUMMYFUNCTION("""COMPUTED_VALUE"""),"I'dad Lughawiy Putra")</f>
        <v>I'dad Lughawiy Putra</v>
      </c>
      <c r="E101" s="8" t="str">
        <f>IFERROR(__xludf.DUMMYFUNCTION("""COMPUTED_VALUE"""),"Ya")</f>
        <v>Ya</v>
      </c>
      <c r="F101" s="8">
        <f>IFERROR(__xludf.DUMMYFUNCTION("""COMPUTED_VALUE"""),3.0)</f>
        <v>3</v>
      </c>
      <c r="G101" s="8">
        <f>IFERROR(__xludf.DUMMYFUNCTION("""COMPUTED_VALUE"""),3.0)</f>
        <v>3</v>
      </c>
      <c r="H101" s="8">
        <f>IFERROR(__xludf.DUMMYFUNCTION("""COMPUTED_VALUE"""),4.0)</f>
        <v>4</v>
      </c>
      <c r="I101" s="8">
        <f>IFERROR(__xludf.DUMMYFUNCTION("""COMPUTED_VALUE"""),3.0)</f>
        <v>3</v>
      </c>
      <c r="J101" s="8">
        <f>IFERROR(__xludf.DUMMYFUNCTION("""COMPUTED_VALUE"""),3.0)</f>
        <v>3</v>
      </c>
      <c r="K101" s="8">
        <f>IFERROR(__xludf.DUMMYFUNCTION("""COMPUTED_VALUE"""),1.0)</f>
        <v>1</v>
      </c>
      <c r="L101" s="8">
        <f>IFERROR(__xludf.DUMMYFUNCTION("""COMPUTED_VALUE"""),1.0)</f>
        <v>1</v>
      </c>
      <c r="M101" s="8">
        <f>IFERROR(__xludf.DUMMYFUNCTION("""COMPUTED_VALUE"""),4.0)</f>
        <v>4</v>
      </c>
      <c r="N101" s="8">
        <f>IFERROR(__xludf.DUMMYFUNCTION("""COMPUTED_VALUE"""),3.0)</f>
        <v>3</v>
      </c>
      <c r="O101" s="8">
        <f>IFERROR(__xludf.DUMMYFUNCTION("""COMPUTED_VALUE"""),4.0)</f>
        <v>4</v>
      </c>
      <c r="P101" s="8">
        <f>IFERROR(__xludf.DUMMYFUNCTION("""COMPUTED_VALUE"""),4.0)</f>
        <v>4</v>
      </c>
      <c r="Q101" s="8">
        <f>IFERROR(__xludf.DUMMYFUNCTION("""COMPUTED_VALUE"""),1.0)</f>
        <v>1</v>
      </c>
      <c r="R101" s="8">
        <f>IFERROR(__xludf.DUMMYFUNCTION("""COMPUTED_VALUE"""),3.0)</f>
        <v>3</v>
      </c>
      <c r="S101" s="8">
        <f>IFERROR(__xludf.DUMMYFUNCTION("""COMPUTED_VALUE"""),2.0)</f>
        <v>2</v>
      </c>
      <c r="T101" s="8">
        <f>IFERROR(__xludf.DUMMYFUNCTION("""COMPUTED_VALUE"""),4.0)</f>
        <v>4</v>
      </c>
      <c r="U101" s="8">
        <f t="shared" si="1"/>
        <v>43</v>
      </c>
      <c r="V101" s="119" t="str">
        <f t="shared" si="3"/>
        <v>Belum Siap</v>
      </c>
      <c r="W101" s="119" t="str">
        <f t="shared" si="2"/>
        <v>butuh bimbingan intensif</v>
      </c>
      <c r="X101" s="8"/>
      <c r="Y101" s="8"/>
      <c r="Z101" s="8"/>
    </row>
    <row r="102">
      <c r="A102" s="123">
        <f>IFERROR(__xludf.DUMMYFUNCTION("""COMPUTED_VALUE"""),45948.64101173611)</f>
        <v>45948.64101</v>
      </c>
      <c r="B102" s="8" t="str">
        <f>IFERROR(__xludf.DUMMYFUNCTION("""COMPUTED_VALUE"""),"Khalid muhammad affiq")</f>
        <v>Khalid muhammad affiq</v>
      </c>
      <c r="C102" s="8" t="str">
        <f>IFERROR(__xludf.DUMMYFUNCTION("""COMPUTED_VALUE"""),"A250051")</f>
        <v>A250051</v>
      </c>
      <c r="D102" s="8" t="str">
        <f>IFERROR(__xludf.DUMMYFUNCTION("""COMPUTED_VALUE"""),"MTs Putra")</f>
        <v>MTs Putra</v>
      </c>
      <c r="E102" s="8" t="str">
        <f>IFERROR(__xludf.DUMMYFUNCTION("""COMPUTED_VALUE"""),"Ya")</f>
        <v>Ya</v>
      </c>
      <c r="F102" s="8">
        <f>IFERROR(__xludf.DUMMYFUNCTION("""COMPUTED_VALUE"""),3.0)</f>
        <v>3</v>
      </c>
      <c r="G102" s="8">
        <f>IFERROR(__xludf.DUMMYFUNCTION("""COMPUTED_VALUE"""),5.0)</f>
        <v>5</v>
      </c>
      <c r="H102" s="8">
        <f>IFERROR(__xludf.DUMMYFUNCTION("""COMPUTED_VALUE"""),4.0)</f>
        <v>4</v>
      </c>
      <c r="I102" s="8">
        <f>IFERROR(__xludf.DUMMYFUNCTION("""COMPUTED_VALUE"""),4.0)</f>
        <v>4</v>
      </c>
      <c r="J102" s="8">
        <f>IFERROR(__xludf.DUMMYFUNCTION("""COMPUTED_VALUE"""),3.0)</f>
        <v>3</v>
      </c>
      <c r="K102" s="8">
        <f>IFERROR(__xludf.DUMMYFUNCTION("""COMPUTED_VALUE"""),4.0)</f>
        <v>4</v>
      </c>
      <c r="L102" s="8">
        <f>IFERROR(__xludf.DUMMYFUNCTION("""COMPUTED_VALUE"""),5.0)</f>
        <v>5</v>
      </c>
      <c r="M102" s="8">
        <f>IFERROR(__xludf.DUMMYFUNCTION("""COMPUTED_VALUE"""),3.0)</f>
        <v>3</v>
      </c>
      <c r="N102" s="8">
        <f>IFERROR(__xludf.DUMMYFUNCTION("""COMPUTED_VALUE"""),4.0)</f>
        <v>4</v>
      </c>
      <c r="O102" s="8">
        <f>IFERROR(__xludf.DUMMYFUNCTION("""COMPUTED_VALUE"""),5.0)</f>
        <v>5</v>
      </c>
      <c r="P102" s="8">
        <f>IFERROR(__xludf.DUMMYFUNCTION("""COMPUTED_VALUE"""),4.0)</f>
        <v>4</v>
      </c>
      <c r="Q102" s="8">
        <f>IFERROR(__xludf.DUMMYFUNCTION("""COMPUTED_VALUE"""),3.0)</f>
        <v>3</v>
      </c>
      <c r="R102" s="8">
        <f>IFERROR(__xludf.DUMMYFUNCTION("""COMPUTED_VALUE"""),4.0)</f>
        <v>4</v>
      </c>
      <c r="S102" s="8">
        <f>IFERROR(__xludf.DUMMYFUNCTION("""COMPUTED_VALUE"""),5.0)</f>
        <v>5</v>
      </c>
      <c r="T102" s="8">
        <f>IFERROR(__xludf.DUMMYFUNCTION("""COMPUTED_VALUE"""),5.0)</f>
        <v>5</v>
      </c>
      <c r="U102" s="8">
        <f t="shared" si="1"/>
        <v>61</v>
      </c>
      <c r="V102" s="119" t="str">
        <f t="shared" si="3"/>
        <v>Siap</v>
      </c>
      <c r="W102" s="119" t="str">
        <f t="shared" si="2"/>
        <v>bisa mengikuti pola pesantren dengan baik</v>
      </c>
      <c r="X102" s="8"/>
      <c r="Y102" s="8"/>
      <c r="Z102" s="8"/>
    </row>
    <row r="103">
      <c r="A103" s="123">
        <f>IFERROR(__xludf.DUMMYFUNCTION("""COMPUTED_VALUE"""),45948.82217636574)</f>
        <v>45948.82218</v>
      </c>
      <c r="B103" s="8" t="str">
        <f>IFERROR(__xludf.DUMMYFUNCTION("""COMPUTED_VALUE"""),"Rizkia Aulia Az zahra ")</f>
        <v>Rizkia Aulia Az zahra </v>
      </c>
      <c r="C103" s="8" t="str">
        <f>IFERROR(__xludf.DUMMYFUNCTION("""COMPUTED_VALUE"""),"D250013")</f>
        <v>D250013</v>
      </c>
      <c r="D103" s="8" t="str">
        <f>IFERROR(__xludf.DUMMYFUNCTION("""COMPUTED_VALUE"""),"MTs Putri")</f>
        <v>MTs Putri</v>
      </c>
      <c r="E103" s="8" t="str">
        <f>IFERROR(__xludf.DUMMYFUNCTION("""COMPUTED_VALUE"""),"Ya")</f>
        <v>Ya</v>
      </c>
      <c r="F103" s="8">
        <f>IFERROR(__xludf.DUMMYFUNCTION("""COMPUTED_VALUE"""),5.0)</f>
        <v>5</v>
      </c>
      <c r="G103" s="8">
        <f>IFERROR(__xludf.DUMMYFUNCTION("""COMPUTED_VALUE"""),5.0)</f>
        <v>5</v>
      </c>
      <c r="H103" s="8">
        <f>IFERROR(__xludf.DUMMYFUNCTION("""COMPUTED_VALUE"""),5.0)</f>
        <v>5</v>
      </c>
      <c r="I103" s="8">
        <f>IFERROR(__xludf.DUMMYFUNCTION("""COMPUTED_VALUE"""),5.0)</f>
        <v>5</v>
      </c>
      <c r="J103" s="8">
        <f>IFERROR(__xludf.DUMMYFUNCTION("""COMPUTED_VALUE"""),5.0)</f>
        <v>5</v>
      </c>
      <c r="K103" s="8">
        <f>IFERROR(__xludf.DUMMYFUNCTION("""COMPUTED_VALUE"""),5.0)</f>
        <v>5</v>
      </c>
      <c r="L103" s="8">
        <f>IFERROR(__xludf.DUMMYFUNCTION("""COMPUTED_VALUE"""),5.0)</f>
        <v>5</v>
      </c>
      <c r="M103" s="8">
        <f>IFERROR(__xludf.DUMMYFUNCTION("""COMPUTED_VALUE"""),5.0)</f>
        <v>5</v>
      </c>
      <c r="N103" s="8">
        <f>IFERROR(__xludf.DUMMYFUNCTION("""COMPUTED_VALUE"""),5.0)</f>
        <v>5</v>
      </c>
      <c r="O103" s="8">
        <f>IFERROR(__xludf.DUMMYFUNCTION("""COMPUTED_VALUE"""),5.0)</f>
        <v>5</v>
      </c>
      <c r="P103" s="8">
        <f>IFERROR(__xludf.DUMMYFUNCTION("""COMPUTED_VALUE"""),5.0)</f>
        <v>5</v>
      </c>
      <c r="Q103" s="8">
        <f>IFERROR(__xludf.DUMMYFUNCTION("""COMPUTED_VALUE"""),5.0)</f>
        <v>5</v>
      </c>
      <c r="R103" s="8">
        <f>IFERROR(__xludf.DUMMYFUNCTION("""COMPUTED_VALUE"""),5.0)</f>
        <v>5</v>
      </c>
      <c r="S103" s="8">
        <f>IFERROR(__xludf.DUMMYFUNCTION("""COMPUTED_VALUE"""),5.0)</f>
        <v>5</v>
      </c>
      <c r="T103" s="8">
        <f>IFERROR(__xludf.DUMMYFUNCTION("""COMPUTED_VALUE"""),5.0)</f>
        <v>5</v>
      </c>
      <c r="U103" s="8">
        <f t="shared" si="1"/>
        <v>75</v>
      </c>
      <c r="V103" s="119" t="str">
        <f t="shared" si="3"/>
        <v>Siap</v>
      </c>
      <c r="W103" s="119" t="str">
        <f t="shared" si="2"/>
        <v>bisa mengikuti pola pesantren dengan baik</v>
      </c>
      <c r="X103" s="8"/>
      <c r="Y103" s="8"/>
      <c r="Z103" s="8"/>
    </row>
    <row r="104">
      <c r="A104" s="123">
        <f>IFERROR(__xludf.DUMMYFUNCTION("""COMPUTED_VALUE"""),45949.47402576389)</f>
        <v>45949.47403</v>
      </c>
      <c r="B104" s="8" t="str">
        <f>IFERROR(__xludf.DUMMYFUNCTION("""COMPUTED_VALUE"""),"Umar Syahid")</f>
        <v>Umar Syahid</v>
      </c>
      <c r="C104" s="8" t="str">
        <f>IFERROR(__xludf.DUMMYFUNCTION("""COMPUTED_VALUE"""),"A250078")</f>
        <v>A250078</v>
      </c>
      <c r="D104" s="8" t="str">
        <f>IFERROR(__xludf.DUMMYFUNCTION("""COMPUTED_VALUE"""),"MTs Putra")</f>
        <v>MTs Putra</v>
      </c>
      <c r="E104" s="8" t="str">
        <f>IFERROR(__xludf.DUMMYFUNCTION("""COMPUTED_VALUE"""),"Ya")</f>
        <v>Ya</v>
      </c>
      <c r="F104" s="8">
        <f>IFERROR(__xludf.DUMMYFUNCTION("""COMPUTED_VALUE"""),4.0)</f>
        <v>4</v>
      </c>
      <c r="G104" s="8">
        <f>IFERROR(__xludf.DUMMYFUNCTION("""COMPUTED_VALUE"""),4.0)</f>
        <v>4</v>
      </c>
      <c r="H104" s="8">
        <f>IFERROR(__xludf.DUMMYFUNCTION("""COMPUTED_VALUE"""),3.0)</f>
        <v>3</v>
      </c>
      <c r="I104" s="8">
        <f>IFERROR(__xludf.DUMMYFUNCTION("""COMPUTED_VALUE"""),3.0)</f>
        <v>3</v>
      </c>
      <c r="J104" s="8">
        <f>IFERROR(__xludf.DUMMYFUNCTION("""COMPUTED_VALUE"""),2.0)</f>
        <v>2</v>
      </c>
      <c r="K104" s="8">
        <f>IFERROR(__xludf.DUMMYFUNCTION("""COMPUTED_VALUE"""),5.0)</f>
        <v>5</v>
      </c>
      <c r="L104" s="8">
        <f>IFERROR(__xludf.DUMMYFUNCTION("""COMPUTED_VALUE"""),4.0)</f>
        <v>4</v>
      </c>
      <c r="M104" s="8">
        <f>IFERROR(__xludf.DUMMYFUNCTION("""COMPUTED_VALUE"""),4.0)</f>
        <v>4</v>
      </c>
      <c r="N104" s="8">
        <f>IFERROR(__xludf.DUMMYFUNCTION("""COMPUTED_VALUE"""),3.0)</f>
        <v>3</v>
      </c>
      <c r="O104" s="8">
        <f>IFERROR(__xludf.DUMMYFUNCTION("""COMPUTED_VALUE"""),5.0)</f>
        <v>5</v>
      </c>
      <c r="P104" s="8">
        <f>IFERROR(__xludf.DUMMYFUNCTION("""COMPUTED_VALUE"""),4.0)</f>
        <v>4</v>
      </c>
      <c r="Q104" s="8">
        <f>IFERROR(__xludf.DUMMYFUNCTION("""COMPUTED_VALUE"""),2.0)</f>
        <v>2</v>
      </c>
      <c r="R104" s="8">
        <f>IFERROR(__xludf.DUMMYFUNCTION("""COMPUTED_VALUE"""),2.0)</f>
        <v>2</v>
      </c>
      <c r="S104" s="8">
        <f>IFERROR(__xludf.DUMMYFUNCTION("""COMPUTED_VALUE"""),4.0)</f>
        <v>4</v>
      </c>
      <c r="T104" s="8">
        <f>IFERROR(__xludf.DUMMYFUNCTION("""COMPUTED_VALUE"""),4.0)</f>
        <v>4</v>
      </c>
      <c r="U104" s="8">
        <f t="shared" si="1"/>
        <v>53</v>
      </c>
      <c r="V104" s="119" t="str">
        <f t="shared" si="3"/>
        <v>Siap</v>
      </c>
      <c r="W104" s="119" t="str">
        <f t="shared" si="2"/>
        <v>bisa mengikuti pola pesantren dengan baik</v>
      </c>
      <c r="X104" s="8"/>
      <c r="Y104" s="8"/>
      <c r="Z104" s="8"/>
    </row>
    <row r="105">
      <c r="A105" s="123">
        <f>IFERROR(__xludf.DUMMYFUNCTION("""COMPUTED_VALUE"""),45949.64025327546)</f>
        <v>45949.64025</v>
      </c>
      <c r="B105" s="8" t="str">
        <f>IFERROR(__xludf.DUMMYFUNCTION("""COMPUTED_VALUE"""),"Farid")</f>
        <v>Farid</v>
      </c>
      <c r="C105" s="8" t="str">
        <f>IFERROR(__xludf.DUMMYFUNCTION("""COMPUTED_VALUE"""),"B250027")</f>
        <v>B250027</v>
      </c>
      <c r="D105" s="8" t="str">
        <f>IFERROR(__xludf.DUMMYFUNCTION("""COMPUTED_VALUE"""),"I'dad Lughawiy Putra")</f>
        <v>I'dad Lughawiy Putra</v>
      </c>
      <c r="E105" s="8" t="str">
        <f>IFERROR(__xludf.DUMMYFUNCTION("""COMPUTED_VALUE"""),"Ya")</f>
        <v>Ya</v>
      </c>
      <c r="F105" s="8">
        <f>IFERROR(__xludf.DUMMYFUNCTION("""COMPUTED_VALUE"""),5.0)</f>
        <v>5</v>
      </c>
      <c r="G105" s="8">
        <f>IFERROR(__xludf.DUMMYFUNCTION("""COMPUTED_VALUE"""),5.0)</f>
        <v>5</v>
      </c>
      <c r="H105" s="8">
        <f>IFERROR(__xludf.DUMMYFUNCTION("""COMPUTED_VALUE"""),5.0)</f>
        <v>5</v>
      </c>
      <c r="I105" s="8">
        <f>IFERROR(__xludf.DUMMYFUNCTION("""COMPUTED_VALUE"""),5.0)</f>
        <v>5</v>
      </c>
      <c r="J105" s="8">
        <f>IFERROR(__xludf.DUMMYFUNCTION("""COMPUTED_VALUE"""),5.0)</f>
        <v>5</v>
      </c>
      <c r="K105" s="8">
        <f>IFERROR(__xludf.DUMMYFUNCTION("""COMPUTED_VALUE"""),5.0)</f>
        <v>5</v>
      </c>
      <c r="L105" s="8">
        <f>IFERROR(__xludf.DUMMYFUNCTION("""COMPUTED_VALUE"""),4.0)</f>
        <v>4</v>
      </c>
      <c r="M105" s="8">
        <f>IFERROR(__xludf.DUMMYFUNCTION("""COMPUTED_VALUE"""),3.0)</f>
        <v>3</v>
      </c>
      <c r="N105" s="8">
        <f>IFERROR(__xludf.DUMMYFUNCTION("""COMPUTED_VALUE"""),5.0)</f>
        <v>5</v>
      </c>
      <c r="O105" s="8">
        <f>IFERROR(__xludf.DUMMYFUNCTION("""COMPUTED_VALUE"""),4.0)</f>
        <v>4</v>
      </c>
      <c r="P105" s="8">
        <f>IFERROR(__xludf.DUMMYFUNCTION("""COMPUTED_VALUE"""),5.0)</f>
        <v>5</v>
      </c>
      <c r="Q105" s="8">
        <f>IFERROR(__xludf.DUMMYFUNCTION("""COMPUTED_VALUE"""),5.0)</f>
        <v>5</v>
      </c>
      <c r="R105" s="8">
        <f>IFERROR(__xludf.DUMMYFUNCTION("""COMPUTED_VALUE"""),5.0)</f>
        <v>5</v>
      </c>
      <c r="S105" s="8">
        <f>IFERROR(__xludf.DUMMYFUNCTION("""COMPUTED_VALUE"""),5.0)</f>
        <v>5</v>
      </c>
      <c r="T105" s="8">
        <f>IFERROR(__xludf.DUMMYFUNCTION("""COMPUTED_VALUE"""),5.0)</f>
        <v>5</v>
      </c>
      <c r="U105" s="8">
        <f t="shared" si="1"/>
        <v>71</v>
      </c>
      <c r="V105" s="119" t="str">
        <f t="shared" si="3"/>
        <v>Siap</v>
      </c>
      <c r="W105" s="119" t="str">
        <f t="shared" si="2"/>
        <v>bisa mengikuti pola pesantren dengan baik</v>
      </c>
      <c r="X105" s="8"/>
      <c r="Y105" s="8"/>
      <c r="Z105" s="8"/>
    </row>
    <row r="106">
      <c r="A106" s="123">
        <f>IFERROR(__xludf.DUMMYFUNCTION("""COMPUTED_VALUE"""),45950.42576679398)</f>
        <v>45950.42577</v>
      </c>
      <c r="B106" s="8" t="str">
        <f>IFERROR(__xludf.DUMMYFUNCTION("""COMPUTED_VALUE"""),"Muhammad Dafa Athallah")</f>
        <v>Muhammad Dafa Athallah</v>
      </c>
      <c r="C106" s="8" t="str">
        <f>IFERROR(__xludf.DUMMYFUNCTION("""COMPUTED_VALUE"""),"B250023")</f>
        <v>B250023</v>
      </c>
      <c r="D106" s="8" t="str">
        <f>IFERROR(__xludf.DUMMYFUNCTION("""COMPUTED_VALUE"""),"I'dad Lughawiy Putra")</f>
        <v>I'dad Lughawiy Putra</v>
      </c>
      <c r="E106" s="8" t="str">
        <f>IFERROR(__xludf.DUMMYFUNCTION("""COMPUTED_VALUE"""),"Ya")</f>
        <v>Ya</v>
      </c>
      <c r="F106" s="8">
        <f>IFERROR(__xludf.DUMMYFUNCTION("""COMPUTED_VALUE"""),5.0)</f>
        <v>5</v>
      </c>
      <c r="G106" s="8">
        <f>IFERROR(__xludf.DUMMYFUNCTION("""COMPUTED_VALUE"""),5.0)</f>
        <v>5</v>
      </c>
      <c r="H106" s="8">
        <f>IFERROR(__xludf.DUMMYFUNCTION("""COMPUTED_VALUE"""),5.0)</f>
        <v>5</v>
      </c>
      <c r="I106" s="8">
        <f>IFERROR(__xludf.DUMMYFUNCTION("""COMPUTED_VALUE"""),5.0)</f>
        <v>5</v>
      </c>
      <c r="J106" s="8">
        <f>IFERROR(__xludf.DUMMYFUNCTION("""COMPUTED_VALUE"""),3.0)</f>
        <v>3</v>
      </c>
      <c r="K106" s="8">
        <f>IFERROR(__xludf.DUMMYFUNCTION("""COMPUTED_VALUE"""),4.0)</f>
        <v>4</v>
      </c>
      <c r="L106" s="8">
        <f>IFERROR(__xludf.DUMMYFUNCTION("""COMPUTED_VALUE"""),4.0)</f>
        <v>4</v>
      </c>
      <c r="M106" s="8">
        <f>IFERROR(__xludf.DUMMYFUNCTION("""COMPUTED_VALUE"""),4.0)</f>
        <v>4</v>
      </c>
      <c r="N106" s="8">
        <f>IFERROR(__xludf.DUMMYFUNCTION("""COMPUTED_VALUE"""),3.0)</f>
        <v>3</v>
      </c>
      <c r="O106" s="8">
        <f>IFERROR(__xludf.DUMMYFUNCTION("""COMPUTED_VALUE"""),3.0)</f>
        <v>3</v>
      </c>
      <c r="P106" s="8">
        <f>IFERROR(__xludf.DUMMYFUNCTION("""COMPUTED_VALUE"""),5.0)</f>
        <v>5</v>
      </c>
      <c r="Q106" s="8">
        <f>IFERROR(__xludf.DUMMYFUNCTION("""COMPUTED_VALUE"""),5.0)</f>
        <v>5</v>
      </c>
      <c r="R106" s="8">
        <f>IFERROR(__xludf.DUMMYFUNCTION("""COMPUTED_VALUE"""),5.0)</f>
        <v>5</v>
      </c>
      <c r="S106" s="8">
        <f>IFERROR(__xludf.DUMMYFUNCTION("""COMPUTED_VALUE"""),4.0)</f>
        <v>4</v>
      </c>
      <c r="T106" s="8">
        <f>IFERROR(__xludf.DUMMYFUNCTION("""COMPUTED_VALUE"""),5.0)</f>
        <v>5</v>
      </c>
      <c r="U106" s="8">
        <f t="shared" si="1"/>
        <v>65</v>
      </c>
      <c r="V106" s="119" t="str">
        <f t="shared" si="3"/>
        <v>Siap</v>
      </c>
      <c r="W106" s="119" t="str">
        <f t="shared" si="2"/>
        <v>bisa mengikuti pola pesantren dengan baik</v>
      </c>
      <c r="X106" s="8"/>
      <c r="Y106" s="8"/>
      <c r="Z106" s="8"/>
    </row>
    <row r="107">
      <c r="A107" s="123">
        <f>IFERROR(__xludf.DUMMYFUNCTION("""COMPUTED_VALUE"""),45950.911851620374)</f>
        <v>45950.91185</v>
      </c>
      <c r="B107" s="8" t="str">
        <f>IFERROR(__xludf.DUMMYFUNCTION("""COMPUTED_VALUE"""),"Abdurrahman ")</f>
        <v>Abdurrahman </v>
      </c>
      <c r="C107" s="8" t="str">
        <f>IFERROR(__xludf.DUMMYFUNCTION("""COMPUTED_VALUE"""),"A250077")</f>
        <v>A250077</v>
      </c>
      <c r="D107" s="8" t="str">
        <f>IFERROR(__xludf.DUMMYFUNCTION("""COMPUTED_VALUE"""),"MTs Putra")</f>
        <v>MTs Putra</v>
      </c>
      <c r="E107" s="8" t="str">
        <f>IFERROR(__xludf.DUMMYFUNCTION("""COMPUTED_VALUE"""),"Ya")</f>
        <v>Ya</v>
      </c>
      <c r="F107" s="8">
        <f>IFERROR(__xludf.DUMMYFUNCTION("""COMPUTED_VALUE"""),5.0)</f>
        <v>5</v>
      </c>
      <c r="G107" s="8">
        <f>IFERROR(__xludf.DUMMYFUNCTION("""COMPUTED_VALUE"""),5.0)</f>
        <v>5</v>
      </c>
      <c r="H107" s="8">
        <f>IFERROR(__xludf.DUMMYFUNCTION("""COMPUTED_VALUE"""),5.0)</f>
        <v>5</v>
      </c>
      <c r="I107" s="8">
        <f>IFERROR(__xludf.DUMMYFUNCTION("""COMPUTED_VALUE"""),5.0)</f>
        <v>5</v>
      </c>
      <c r="J107" s="8">
        <f>IFERROR(__xludf.DUMMYFUNCTION("""COMPUTED_VALUE"""),4.0)</f>
        <v>4</v>
      </c>
      <c r="K107" s="8">
        <f>IFERROR(__xludf.DUMMYFUNCTION("""COMPUTED_VALUE"""),5.0)</f>
        <v>5</v>
      </c>
      <c r="L107" s="8">
        <f>IFERROR(__xludf.DUMMYFUNCTION("""COMPUTED_VALUE"""),4.0)</f>
        <v>4</v>
      </c>
      <c r="M107" s="8">
        <f>IFERROR(__xludf.DUMMYFUNCTION("""COMPUTED_VALUE"""),3.0)</f>
        <v>3</v>
      </c>
      <c r="N107" s="8">
        <f>IFERROR(__xludf.DUMMYFUNCTION("""COMPUTED_VALUE"""),4.0)</f>
        <v>4</v>
      </c>
      <c r="O107" s="8">
        <f>IFERROR(__xludf.DUMMYFUNCTION("""COMPUTED_VALUE"""),4.0)</f>
        <v>4</v>
      </c>
      <c r="P107" s="8">
        <f>IFERROR(__xludf.DUMMYFUNCTION("""COMPUTED_VALUE"""),4.0)</f>
        <v>4</v>
      </c>
      <c r="Q107" s="8">
        <f>IFERROR(__xludf.DUMMYFUNCTION("""COMPUTED_VALUE"""),4.0)</f>
        <v>4</v>
      </c>
      <c r="R107" s="8">
        <f>IFERROR(__xludf.DUMMYFUNCTION("""COMPUTED_VALUE"""),5.0)</f>
        <v>5</v>
      </c>
      <c r="S107" s="8">
        <f>IFERROR(__xludf.DUMMYFUNCTION("""COMPUTED_VALUE"""),5.0)</f>
        <v>5</v>
      </c>
      <c r="T107" s="8">
        <f>IFERROR(__xludf.DUMMYFUNCTION("""COMPUTED_VALUE"""),4.0)</f>
        <v>4</v>
      </c>
      <c r="U107" s="8">
        <f t="shared" si="1"/>
        <v>66</v>
      </c>
      <c r="V107" s="119" t="str">
        <f t="shared" si="3"/>
        <v>Siap</v>
      </c>
      <c r="W107" s="119" t="str">
        <f t="shared" si="2"/>
        <v>bisa mengikuti pola pesantren dengan baik</v>
      </c>
      <c r="X107" s="8"/>
      <c r="Y107" s="8"/>
      <c r="Z107" s="8"/>
    </row>
    <row r="108">
      <c r="A108" s="123">
        <f>IFERROR(__xludf.DUMMYFUNCTION("""COMPUTED_VALUE"""),45953.51590417824)</f>
        <v>45953.5159</v>
      </c>
      <c r="B108" s="8" t="str">
        <f>IFERROR(__xludf.DUMMYFUNCTION("""COMPUTED_VALUE"""),"Eshan Kazim")</f>
        <v>Eshan Kazim</v>
      </c>
      <c r="C108" s="8" t="str">
        <f>IFERROR(__xludf.DUMMYFUNCTION("""COMPUTED_VALUE"""),"A250074")</f>
        <v>A250074</v>
      </c>
      <c r="D108" s="8" t="str">
        <f>IFERROR(__xludf.DUMMYFUNCTION("""COMPUTED_VALUE"""),"MTs Putra")</f>
        <v>MTs Putra</v>
      </c>
      <c r="E108" s="8" t="str">
        <f>IFERROR(__xludf.DUMMYFUNCTION("""COMPUTED_VALUE"""),"Ya")</f>
        <v>Ya</v>
      </c>
      <c r="F108" s="8">
        <f>IFERROR(__xludf.DUMMYFUNCTION("""COMPUTED_VALUE"""),5.0)</f>
        <v>5</v>
      </c>
      <c r="G108" s="8">
        <f>IFERROR(__xludf.DUMMYFUNCTION("""COMPUTED_VALUE"""),5.0)</f>
        <v>5</v>
      </c>
      <c r="H108" s="8">
        <f>IFERROR(__xludf.DUMMYFUNCTION("""COMPUTED_VALUE"""),5.0)</f>
        <v>5</v>
      </c>
      <c r="I108" s="8">
        <f>IFERROR(__xludf.DUMMYFUNCTION("""COMPUTED_VALUE"""),5.0)</f>
        <v>5</v>
      </c>
      <c r="J108" s="8">
        <f>IFERROR(__xludf.DUMMYFUNCTION("""COMPUTED_VALUE"""),5.0)</f>
        <v>5</v>
      </c>
      <c r="K108" s="8">
        <f>IFERROR(__xludf.DUMMYFUNCTION("""COMPUTED_VALUE"""),5.0)</f>
        <v>5</v>
      </c>
      <c r="L108" s="8">
        <f>IFERROR(__xludf.DUMMYFUNCTION("""COMPUTED_VALUE"""),5.0)</f>
        <v>5</v>
      </c>
      <c r="M108" s="8">
        <f>IFERROR(__xludf.DUMMYFUNCTION("""COMPUTED_VALUE"""),5.0)</f>
        <v>5</v>
      </c>
      <c r="N108" s="8">
        <f>IFERROR(__xludf.DUMMYFUNCTION("""COMPUTED_VALUE"""),5.0)</f>
        <v>5</v>
      </c>
      <c r="O108" s="8">
        <f>IFERROR(__xludf.DUMMYFUNCTION("""COMPUTED_VALUE"""),3.0)</f>
        <v>3</v>
      </c>
      <c r="P108" s="8">
        <f>IFERROR(__xludf.DUMMYFUNCTION("""COMPUTED_VALUE"""),5.0)</f>
        <v>5</v>
      </c>
      <c r="Q108" s="8">
        <f>IFERROR(__xludf.DUMMYFUNCTION("""COMPUTED_VALUE"""),4.0)</f>
        <v>4</v>
      </c>
      <c r="R108" s="8">
        <f>IFERROR(__xludf.DUMMYFUNCTION("""COMPUTED_VALUE"""),5.0)</f>
        <v>5</v>
      </c>
      <c r="S108" s="8">
        <f>IFERROR(__xludf.DUMMYFUNCTION("""COMPUTED_VALUE"""),5.0)</f>
        <v>5</v>
      </c>
      <c r="T108" s="8">
        <f>IFERROR(__xludf.DUMMYFUNCTION("""COMPUTED_VALUE"""),5.0)</f>
        <v>5</v>
      </c>
      <c r="U108" s="8">
        <f t="shared" si="1"/>
        <v>72</v>
      </c>
      <c r="V108" s="119" t="str">
        <f t="shared" si="3"/>
        <v>Siap</v>
      </c>
      <c r="W108" s="119" t="str">
        <f t="shared" si="2"/>
        <v>bisa mengikuti pola pesantren dengan baik</v>
      </c>
      <c r="X108" s="8"/>
      <c r="Y108" s="8"/>
      <c r="Z108" s="8"/>
    </row>
    <row r="109">
      <c r="A109" s="123">
        <f>IFERROR(__xludf.DUMMYFUNCTION("""COMPUTED_VALUE"""),45955.42988241898)</f>
        <v>45955.42988</v>
      </c>
      <c r="B109" s="8" t="str">
        <f>IFERROR(__xludf.DUMMYFUNCTION("""COMPUTED_VALUE"""),"Aditya Afhan Dhiyualhaq Ilham")</f>
        <v>Aditya Afhan Dhiyualhaq Ilham</v>
      </c>
      <c r="C109" s="8" t="str">
        <f>IFERROR(__xludf.DUMMYFUNCTION("""COMPUTED_VALUE"""),"C250021")</f>
        <v>C250021</v>
      </c>
      <c r="D109" s="8" t="str">
        <f>IFERROR(__xludf.DUMMYFUNCTION("""COMPUTED_VALUE"""),"SMA")</f>
        <v>SMA</v>
      </c>
      <c r="E109" s="8" t="str">
        <f>IFERROR(__xludf.DUMMYFUNCTION("""COMPUTED_VALUE"""),"Ya")</f>
        <v>Ya</v>
      </c>
      <c r="F109" s="8">
        <f>IFERROR(__xludf.DUMMYFUNCTION("""COMPUTED_VALUE"""),5.0)</f>
        <v>5</v>
      </c>
      <c r="G109" s="8">
        <f>IFERROR(__xludf.DUMMYFUNCTION("""COMPUTED_VALUE"""),5.0)</f>
        <v>5</v>
      </c>
      <c r="H109" s="8">
        <f>IFERROR(__xludf.DUMMYFUNCTION("""COMPUTED_VALUE"""),5.0)</f>
        <v>5</v>
      </c>
      <c r="I109" s="8">
        <f>IFERROR(__xludf.DUMMYFUNCTION("""COMPUTED_VALUE"""),5.0)</f>
        <v>5</v>
      </c>
      <c r="J109" s="8">
        <f>IFERROR(__xludf.DUMMYFUNCTION("""COMPUTED_VALUE"""),4.0)</f>
        <v>4</v>
      </c>
      <c r="K109" s="8">
        <f>IFERROR(__xludf.DUMMYFUNCTION("""COMPUTED_VALUE"""),5.0)</f>
        <v>5</v>
      </c>
      <c r="L109" s="8">
        <f>IFERROR(__xludf.DUMMYFUNCTION("""COMPUTED_VALUE"""),5.0)</f>
        <v>5</v>
      </c>
      <c r="M109" s="8">
        <f>IFERROR(__xludf.DUMMYFUNCTION("""COMPUTED_VALUE"""),5.0)</f>
        <v>5</v>
      </c>
      <c r="N109" s="8">
        <f>IFERROR(__xludf.DUMMYFUNCTION("""COMPUTED_VALUE"""),5.0)</f>
        <v>5</v>
      </c>
      <c r="O109" s="8">
        <f>IFERROR(__xludf.DUMMYFUNCTION("""COMPUTED_VALUE"""),2.0)</f>
        <v>2</v>
      </c>
      <c r="P109" s="8">
        <f>IFERROR(__xludf.DUMMYFUNCTION("""COMPUTED_VALUE"""),5.0)</f>
        <v>5</v>
      </c>
      <c r="Q109" s="8">
        <f>IFERROR(__xludf.DUMMYFUNCTION("""COMPUTED_VALUE"""),5.0)</f>
        <v>5</v>
      </c>
      <c r="R109" s="8">
        <f>IFERROR(__xludf.DUMMYFUNCTION("""COMPUTED_VALUE"""),5.0)</f>
        <v>5</v>
      </c>
      <c r="S109" s="8">
        <f>IFERROR(__xludf.DUMMYFUNCTION("""COMPUTED_VALUE"""),5.0)</f>
        <v>5</v>
      </c>
      <c r="T109" s="8">
        <f>IFERROR(__xludf.DUMMYFUNCTION("""COMPUTED_VALUE"""),5.0)</f>
        <v>5</v>
      </c>
      <c r="U109" s="8">
        <f t="shared" si="1"/>
        <v>71</v>
      </c>
      <c r="V109" s="119" t="str">
        <f t="shared" si="3"/>
        <v>Siap</v>
      </c>
      <c r="W109" s="119" t="str">
        <f t="shared" si="2"/>
        <v>bisa mengikuti pola pesantren dengan baik</v>
      </c>
      <c r="X109" s="8"/>
      <c r="Y109" s="8"/>
      <c r="Z109" s="8"/>
    </row>
    <row r="110">
      <c r="A110" s="123">
        <f>IFERROR(__xludf.DUMMYFUNCTION("""COMPUTED_VALUE"""),45955.853996261576)</f>
        <v>45955.854</v>
      </c>
      <c r="B110" s="8" t="str">
        <f>IFERROR(__xludf.DUMMYFUNCTION("""COMPUTED_VALUE"""),"Muhammad irsyad ")</f>
        <v>Muhammad irsyad </v>
      </c>
      <c r="C110" s="8" t="str">
        <f>IFERROR(__xludf.DUMMYFUNCTION("""COMPUTED_VALUE"""),"C250023")</f>
        <v>C250023</v>
      </c>
      <c r="D110" s="8" t="str">
        <f>IFERROR(__xludf.DUMMYFUNCTION("""COMPUTED_VALUE"""),"SMA")</f>
        <v>SMA</v>
      </c>
      <c r="E110" s="8" t="str">
        <f>IFERROR(__xludf.DUMMYFUNCTION("""COMPUTED_VALUE"""),"Ya")</f>
        <v>Ya</v>
      </c>
      <c r="F110" s="8">
        <f>IFERROR(__xludf.DUMMYFUNCTION("""COMPUTED_VALUE"""),5.0)</f>
        <v>5</v>
      </c>
      <c r="G110" s="8">
        <f>IFERROR(__xludf.DUMMYFUNCTION("""COMPUTED_VALUE"""),5.0)</f>
        <v>5</v>
      </c>
      <c r="H110" s="8">
        <f>IFERROR(__xludf.DUMMYFUNCTION("""COMPUTED_VALUE"""),4.0)</f>
        <v>4</v>
      </c>
      <c r="I110" s="8">
        <f>IFERROR(__xludf.DUMMYFUNCTION("""COMPUTED_VALUE"""),5.0)</f>
        <v>5</v>
      </c>
      <c r="J110" s="8">
        <f>IFERROR(__xludf.DUMMYFUNCTION("""COMPUTED_VALUE"""),4.0)</f>
        <v>4</v>
      </c>
      <c r="K110" s="8">
        <f>IFERROR(__xludf.DUMMYFUNCTION("""COMPUTED_VALUE"""),5.0)</f>
        <v>5</v>
      </c>
      <c r="L110" s="8">
        <f>IFERROR(__xludf.DUMMYFUNCTION("""COMPUTED_VALUE"""),5.0)</f>
        <v>5</v>
      </c>
      <c r="M110" s="8">
        <f>IFERROR(__xludf.DUMMYFUNCTION("""COMPUTED_VALUE"""),5.0)</f>
        <v>5</v>
      </c>
      <c r="N110" s="8">
        <f>IFERROR(__xludf.DUMMYFUNCTION("""COMPUTED_VALUE"""),5.0)</f>
        <v>5</v>
      </c>
      <c r="O110" s="8">
        <f>IFERROR(__xludf.DUMMYFUNCTION("""COMPUTED_VALUE"""),4.0)</f>
        <v>4</v>
      </c>
      <c r="P110" s="8">
        <f>IFERROR(__xludf.DUMMYFUNCTION("""COMPUTED_VALUE"""),5.0)</f>
        <v>5</v>
      </c>
      <c r="Q110" s="8">
        <f>IFERROR(__xludf.DUMMYFUNCTION("""COMPUTED_VALUE"""),5.0)</f>
        <v>5</v>
      </c>
      <c r="R110" s="8">
        <f>IFERROR(__xludf.DUMMYFUNCTION("""COMPUTED_VALUE"""),5.0)</f>
        <v>5</v>
      </c>
      <c r="S110" s="8">
        <f>IFERROR(__xludf.DUMMYFUNCTION("""COMPUTED_VALUE"""),4.0)</f>
        <v>4</v>
      </c>
      <c r="T110" s="8">
        <f>IFERROR(__xludf.DUMMYFUNCTION("""COMPUTED_VALUE"""),5.0)</f>
        <v>5</v>
      </c>
      <c r="U110" s="8">
        <f t="shared" si="1"/>
        <v>71</v>
      </c>
      <c r="V110" s="119" t="str">
        <f t="shared" si="3"/>
        <v>Siap</v>
      </c>
      <c r="W110" s="119" t="str">
        <f t="shared" si="2"/>
        <v>bisa mengikuti pola pesantren dengan baik</v>
      </c>
      <c r="X110" s="8"/>
      <c r="Y110" s="8"/>
      <c r="Z110" s="8"/>
    </row>
    <row r="111">
      <c r="A111" s="123">
        <f>IFERROR(__xludf.DUMMYFUNCTION("""COMPUTED_VALUE"""),45956.54593221065)</f>
        <v>45956.54593</v>
      </c>
      <c r="B111" s="8" t="str">
        <f>IFERROR(__xludf.DUMMYFUNCTION("""COMPUTED_VALUE"""),"Kamil iskandar")</f>
        <v>Kamil iskandar</v>
      </c>
      <c r="C111" s="8" t="str">
        <f>IFERROR(__xludf.DUMMYFUNCTION("""COMPUTED_VALUE"""),"C250018")</f>
        <v>C250018</v>
      </c>
      <c r="D111" s="8" t="str">
        <f>IFERROR(__xludf.DUMMYFUNCTION("""COMPUTED_VALUE"""),"SMA")</f>
        <v>SMA</v>
      </c>
      <c r="E111" s="8" t="str">
        <f>IFERROR(__xludf.DUMMYFUNCTION("""COMPUTED_VALUE"""),"Ya")</f>
        <v>Ya</v>
      </c>
      <c r="F111" s="8">
        <f>IFERROR(__xludf.DUMMYFUNCTION("""COMPUTED_VALUE"""),4.0)</f>
        <v>4</v>
      </c>
      <c r="G111" s="8">
        <f>IFERROR(__xludf.DUMMYFUNCTION("""COMPUTED_VALUE"""),4.0)</f>
        <v>4</v>
      </c>
      <c r="H111" s="8">
        <f>IFERROR(__xludf.DUMMYFUNCTION("""COMPUTED_VALUE"""),4.0)</f>
        <v>4</v>
      </c>
      <c r="I111" s="8">
        <f>IFERROR(__xludf.DUMMYFUNCTION("""COMPUTED_VALUE"""),5.0)</f>
        <v>5</v>
      </c>
      <c r="J111" s="8">
        <f>IFERROR(__xludf.DUMMYFUNCTION("""COMPUTED_VALUE"""),2.0)</f>
        <v>2</v>
      </c>
      <c r="K111" s="8">
        <f>IFERROR(__xludf.DUMMYFUNCTION("""COMPUTED_VALUE"""),4.0)</f>
        <v>4</v>
      </c>
      <c r="L111" s="8">
        <f>IFERROR(__xludf.DUMMYFUNCTION("""COMPUTED_VALUE"""),5.0)</f>
        <v>5</v>
      </c>
      <c r="M111" s="8">
        <f>IFERROR(__xludf.DUMMYFUNCTION("""COMPUTED_VALUE"""),5.0)</f>
        <v>5</v>
      </c>
      <c r="N111" s="8">
        <f>IFERROR(__xludf.DUMMYFUNCTION("""COMPUTED_VALUE"""),5.0)</f>
        <v>5</v>
      </c>
      <c r="O111" s="8">
        <f>IFERROR(__xludf.DUMMYFUNCTION("""COMPUTED_VALUE"""),5.0)</f>
        <v>5</v>
      </c>
      <c r="P111" s="8">
        <f>IFERROR(__xludf.DUMMYFUNCTION("""COMPUTED_VALUE"""),5.0)</f>
        <v>5</v>
      </c>
      <c r="Q111" s="8">
        <f>IFERROR(__xludf.DUMMYFUNCTION("""COMPUTED_VALUE"""),2.0)</f>
        <v>2</v>
      </c>
      <c r="R111" s="8">
        <f>IFERROR(__xludf.DUMMYFUNCTION("""COMPUTED_VALUE"""),3.0)</f>
        <v>3</v>
      </c>
      <c r="S111" s="8">
        <f>IFERROR(__xludf.DUMMYFUNCTION("""COMPUTED_VALUE"""),4.0)</f>
        <v>4</v>
      </c>
      <c r="T111" s="8">
        <f>IFERROR(__xludf.DUMMYFUNCTION("""COMPUTED_VALUE"""),5.0)</f>
        <v>5</v>
      </c>
      <c r="U111" s="8">
        <f t="shared" si="1"/>
        <v>62</v>
      </c>
      <c r="V111" s="119" t="str">
        <f t="shared" si="3"/>
        <v>Siap</v>
      </c>
      <c r="W111" s="119" t="str">
        <f t="shared" si="2"/>
        <v>bisa mengikuti pola pesantren dengan baik</v>
      </c>
      <c r="X111" s="8"/>
      <c r="Y111" s="8"/>
      <c r="Z111" s="8"/>
    </row>
    <row r="112">
      <c r="A112" s="123">
        <f>IFERROR(__xludf.DUMMYFUNCTION("""COMPUTED_VALUE"""),45956.89298225695)</f>
        <v>45956.89298</v>
      </c>
      <c r="B112" s="8" t="str">
        <f>IFERROR(__xludf.DUMMYFUNCTION("""COMPUTED_VALUE"""),"FATHAN SYAHRIL SUSENO")</f>
        <v>FATHAN SYAHRIL SUSENO</v>
      </c>
      <c r="C112" s="8" t="str">
        <f>IFERROR(__xludf.DUMMYFUNCTION("""COMPUTED_VALUE"""),"C250016")</f>
        <v>C250016</v>
      </c>
      <c r="D112" s="8" t="str">
        <f>IFERROR(__xludf.DUMMYFUNCTION("""COMPUTED_VALUE"""),"SMA")</f>
        <v>SMA</v>
      </c>
      <c r="E112" s="8" t="str">
        <f>IFERROR(__xludf.DUMMYFUNCTION("""COMPUTED_VALUE"""),"Ya")</f>
        <v>Ya</v>
      </c>
      <c r="F112" s="8">
        <f>IFERROR(__xludf.DUMMYFUNCTION("""COMPUTED_VALUE"""),4.0)</f>
        <v>4</v>
      </c>
      <c r="G112" s="8">
        <f>IFERROR(__xludf.DUMMYFUNCTION("""COMPUTED_VALUE"""),5.0)</f>
        <v>5</v>
      </c>
      <c r="H112" s="8">
        <f>IFERROR(__xludf.DUMMYFUNCTION("""COMPUTED_VALUE"""),5.0)</f>
        <v>5</v>
      </c>
      <c r="I112" s="8">
        <f>IFERROR(__xludf.DUMMYFUNCTION("""COMPUTED_VALUE"""),4.0)</f>
        <v>4</v>
      </c>
      <c r="J112" s="8">
        <f>IFERROR(__xludf.DUMMYFUNCTION("""COMPUTED_VALUE"""),3.0)</f>
        <v>3</v>
      </c>
      <c r="K112" s="8">
        <f>IFERROR(__xludf.DUMMYFUNCTION("""COMPUTED_VALUE"""),5.0)</f>
        <v>5</v>
      </c>
      <c r="L112" s="8">
        <f>IFERROR(__xludf.DUMMYFUNCTION("""COMPUTED_VALUE"""),4.0)</f>
        <v>4</v>
      </c>
      <c r="M112" s="8">
        <f>IFERROR(__xludf.DUMMYFUNCTION("""COMPUTED_VALUE"""),3.0)</f>
        <v>3</v>
      </c>
      <c r="N112" s="8">
        <f>IFERROR(__xludf.DUMMYFUNCTION("""COMPUTED_VALUE"""),5.0)</f>
        <v>5</v>
      </c>
      <c r="O112" s="8">
        <f>IFERROR(__xludf.DUMMYFUNCTION("""COMPUTED_VALUE"""),1.0)</f>
        <v>1</v>
      </c>
      <c r="P112" s="8">
        <f>IFERROR(__xludf.DUMMYFUNCTION("""COMPUTED_VALUE"""),5.0)</f>
        <v>5</v>
      </c>
      <c r="Q112" s="8">
        <f>IFERROR(__xludf.DUMMYFUNCTION("""COMPUTED_VALUE"""),5.0)</f>
        <v>5</v>
      </c>
      <c r="R112" s="8">
        <f>IFERROR(__xludf.DUMMYFUNCTION("""COMPUTED_VALUE"""),5.0)</f>
        <v>5</v>
      </c>
      <c r="S112" s="8">
        <f>IFERROR(__xludf.DUMMYFUNCTION("""COMPUTED_VALUE"""),4.0)</f>
        <v>4</v>
      </c>
      <c r="T112" s="8">
        <f>IFERROR(__xludf.DUMMYFUNCTION("""COMPUTED_VALUE"""),5.0)</f>
        <v>5</v>
      </c>
      <c r="U112" s="8">
        <f t="shared" si="1"/>
        <v>63</v>
      </c>
      <c r="V112" s="119" t="str">
        <f t="shared" si="3"/>
        <v>Siap</v>
      </c>
      <c r="W112" s="119" t="str">
        <f t="shared" si="2"/>
        <v>bisa mengikuti pola pesantren dengan baik</v>
      </c>
      <c r="X112" s="8"/>
      <c r="Y112" s="8"/>
      <c r="Z112" s="8"/>
    </row>
    <row r="113">
      <c r="A113" s="123">
        <f>IFERROR(__xludf.DUMMYFUNCTION("""COMPUTED_VALUE"""),45959.472673842596)</f>
        <v>45959.47267</v>
      </c>
      <c r="B113" s="8" t="str">
        <f>IFERROR(__xludf.DUMMYFUNCTION("""COMPUTED_VALUE"""),"Muhammad risky sapin")</f>
        <v>Muhammad risky sapin</v>
      </c>
      <c r="C113" s="8" t="str">
        <f>IFERROR(__xludf.DUMMYFUNCTION("""COMPUTED_VALUE"""),"B250011")</f>
        <v>B250011</v>
      </c>
      <c r="D113" s="8" t="str">
        <f>IFERROR(__xludf.DUMMYFUNCTION("""COMPUTED_VALUE"""),"I'dad Lughawiy Putra")</f>
        <v>I'dad Lughawiy Putra</v>
      </c>
      <c r="E113" s="8" t="str">
        <f>IFERROR(__xludf.DUMMYFUNCTION("""COMPUTED_VALUE"""),"Ya")</f>
        <v>Ya</v>
      </c>
      <c r="F113" s="8">
        <f>IFERROR(__xludf.DUMMYFUNCTION("""COMPUTED_VALUE"""),5.0)</f>
        <v>5</v>
      </c>
      <c r="G113" s="8">
        <f>IFERROR(__xludf.DUMMYFUNCTION("""COMPUTED_VALUE"""),3.0)</f>
        <v>3</v>
      </c>
      <c r="H113" s="8">
        <f>IFERROR(__xludf.DUMMYFUNCTION("""COMPUTED_VALUE"""),3.0)</f>
        <v>3</v>
      </c>
      <c r="I113" s="8">
        <f>IFERROR(__xludf.DUMMYFUNCTION("""COMPUTED_VALUE"""),3.0)</f>
        <v>3</v>
      </c>
      <c r="J113" s="8">
        <f>IFERROR(__xludf.DUMMYFUNCTION("""COMPUTED_VALUE"""),3.0)</f>
        <v>3</v>
      </c>
      <c r="K113" s="8">
        <f>IFERROR(__xludf.DUMMYFUNCTION("""COMPUTED_VALUE"""),1.0)</f>
        <v>1</v>
      </c>
      <c r="L113" s="8">
        <f>IFERROR(__xludf.DUMMYFUNCTION("""COMPUTED_VALUE"""),3.0)</f>
        <v>3</v>
      </c>
      <c r="M113" s="8">
        <f>IFERROR(__xludf.DUMMYFUNCTION("""COMPUTED_VALUE"""),3.0)</f>
        <v>3</v>
      </c>
      <c r="N113" s="8">
        <f>IFERROR(__xludf.DUMMYFUNCTION("""COMPUTED_VALUE"""),3.0)</f>
        <v>3</v>
      </c>
      <c r="O113" s="8">
        <f>IFERROR(__xludf.DUMMYFUNCTION("""COMPUTED_VALUE"""),1.0)</f>
        <v>1</v>
      </c>
      <c r="P113" s="8">
        <f>IFERROR(__xludf.DUMMYFUNCTION("""COMPUTED_VALUE"""),3.0)</f>
        <v>3</v>
      </c>
      <c r="Q113" s="8">
        <f>IFERROR(__xludf.DUMMYFUNCTION("""COMPUTED_VALUE"""),3.0)</f>
        <v>3</v>
      </c>
      <c r="R113" s="8">
        <f>IFERROR(__xludf.DUMMYFUNCTION("""COMPUTED_VALUE"""),3.0)</f>
        <v>3</v>
      </c>
      <c r="S113" s="8">
        <f>IFERROR(__xludf.DUMMYFUNCTION("""COMPUTED_VALUE"""),4.0)</f>
        <v>4</v>
      </c>
      <c r="T113" s="8">
        <f>IFERROR(__xludf.DUMMYFUNCTION("""COMPUTED_VALUE"""),5.0)</f>
        <v>5</v>
      </c>
      <c r="U113" s="8">
        <f t="shared" si="1"/>
        <v>46</v>
      </c>
      <c r="V113" s="119" t="str">
        <f t="shared" si="3"/>
        <v>Siap</v>
      </c>
      <c r="W113" s="119" t="str">
        <f t="shared" si="2"/>
        <v>bisa mengikuti pola pesantren dengan baik</v>
      </c>
      <c r="X113" s="8"/>
      <c r="Y113" s="8"/>
      <c r="Z113" s="8"/>
    </row>
    <row r="114">
      <c r="A114" s="123">
        <f>IFERROR(__xludf.DUMMYFUNCTION("""COMPUTED_VALUE"""),45961.64365145833)</f>
        <v>45961.64365</v>
      </c>
      <c r="B114" s="8" t="str">
        <f>IFERROR(__xludf.DUMMYFUNCTION("""COMPUTED_VALUE"""),"MUHAMMAD HILMAN ALFARISI ")</f>
        <v>MUHAMMAD HILMAN ALFARISI </v>
      </c>
      <c r="C114" s="8" t="str">
        <f>IFERROR(__xludf.DUMMYFUNCTION("""COMPUTED_VALUE"""),"C250010")</f>
        <v>C250010</v>
      </c>
      <c r="D114" s="8" t="str">
        <f>IFERROR(__xludf.DUMMYFUNCTION("""COMPUTED_VALUE"""),"SMA")</f>
        <v>SMA</v>
      </c>
      <c r="E114" s="8" t="str">
        <f>IFERROR(__xludf.DUMMYFUNCTION("""COMPUTED_VALUE"""),"Ya")</f>
        <v>Ya</v>
      </c>
      <c r="F114" s="8">
        <f>IFERROR(__xludf.DUMMYFUNCTION("""COMPUTED_VALUE"""),5.0)</f>
        <v>5</v>
      </c>
      <c r="G114" s="8">
        <f>IFERROR(__xludf.DUMMYFUNCTION("""COMPUTED_VALUE"""),5.0)</f>
        <v>5</v>
      </c>
      <c r="H114" s="8">
        <f>IFERROR(__xludf.DUMMYFUNCTION("""COMPUTED_VALUE"""),5.0)</f>
        <v>5</v>
      </c>
      <c r="I114" s="8">
        <f>IFERROR(__xludf.DUMMYFUNCTION("""COMPUTED_VALUE"""),5.0)</f>
        <v>5</v>
      </c>
      <c r="J114" s="8">
        <f>IFERROR(__xludf.DUMMYFUNCTION("""COMPUTED_VALUE"""),4.0)</f>
        <v>4</v>
      </c>
      <c r="K114" s="8">
        <f>IFERROR(__xludf.DUMMYFUNCTION("""COMPUTED_VALUE"""),5.0)</f>
        <v>5</v>
      </c>
      <c r="L114" s="8">
        <f>IFERROR(__xludf.DUMMYFUNCTION("""COMPUTED_VALUE"""),5.0)</f>
        <v>5</v>
      </c>
      <c r="M114" s="8">
        <f>IFERROR(__xludf.DUMMYFUNCTION("""COMPUTED_VALUE"""),5.0)</f>
        <v>5</v>
      </c>
      <c r="N114" s="8">
        <f>IFERROR(__xludf.DUMMYFUNCTION("""COMPUTED_VALUE"""),5.0)</f>
        <v>5</v>
      </c>
      <c r="O114" s="8">
        <f>IFERROR(__xludf.DUMMYFUNCTION("""COMPUTED_VALUE"""),1.0)</f>
        <v>1</v>
      </c>
      <c r="P114" s="8">
        <f>IFERROR(__xludf.DUMMYFUNCTION("""COMPUTED_VALUE"""),5.0)</f>
        <v>5</v>
      </c>
      <c r="Q114" s="8">
        <f>IFERROR(__xludf.DUMMYFUNCTION("""COMPUTED_VALUE"""),3.0)</f>
        <v>3</v>
      </c>
      <c r="R114" s="8">
        <f>IFERROR(__xludf.DUMMYFUNCTION("""COMPUTED_VALUE"""),5.0)</f>
        <v>5</v>
      </c>
      <c r="S114" s="8">
        <f>IFERROR(__xludf.DUMMYFUNCTION("""COMPUTED_VALUE"""),5.0)</f>
        <v>5</v>
      </c>
      <c r="T114" s="8">
        <f>IFERROR(__xludf.DUMMYFUNCTION("""COMPUTED_VALUE"""),5.0)</f>
        <v>5</v>
      </c>
      <c r="U114" s="8">
        <f t="shared" si="1"/>
        <v>68</v>
      </c>
      <c r="V114" s="119" t="str">
        <f t="shared" si="3"/>
        <v>Siap</v>
      </c>
      <c r="W114" s="119" t="str">
        <f t="shared" si="2"/>
        <v>bisa mengikuti pola pesantren dengan baik</v>
      </c>
      <c r="X114" s="8"/>
      <c r="Y114" s="8"/>
      <c r="Z114" s="8"/>
    </row>
    <row r="115">
      <c r="A115" s="123">
        <f>IFERROR(__xludf.DUMMYFUNCTION("""COMPUTED_VALUE"""),45961.80056819445)</f>
        <v>45961.80057</v>
      </c>
      <c r="B115" s="8" t="str">
        <f>IFERROR(__xludf.DUMMYFUNCTION("""COMPUTED_VALUE"""),"Arjuna Permana putra ")</f>
        <v>Arjuna Permana putra </v>
      </c>
      <c r="C115" s="8" t="str">
        <f>IFERROR(__xludf.DUMMYFUNCTION("""COMPUTED_VALUE"""),"A250022")</f>
        <v>A250022</v>
      </c>
      <c r="D115" s="8" t="str">
        <f>IFERROR(__xludf.DUMMYFUNCTION("""COMPUTED_VALUE"""),"MTs Putra")</f>
        <v>MTs Putra</v>
      </c>
      <c r="E115" s="8" t="str">
        <f>IFERROR(__xludf.DUMMYFUNCTION("""COMPUTED_VALUE"""),"Ya")</f>
        <v>Ya</v>
      </c>
      <c r="F115" s="8">
        <f>IFERROR(__xludf.DUMMYFUNCTION("""COMPUTED_VALUE"""),3.0)</f>
        <v>3</v>
      </c>
      <c r="G115" s="8">
        <f>IFERROR(__xludf.DUMMYFUNCTION("""COMPUTED_VALUE"""),4.0)</f>
        <v>4</v>
      </c>
      <c r="H115" s="8">
        <f>IFERROR(__xludf.DUMMYFUNCTION("""COMPUTED_VALUE"""),4.0)</f>
        <v>4</v>
      </c>
      <c r="I115" s="8">
        <f>IFERROR(__xludf.DUMMYFUNCTION("""COMPUTED_VALUE"""),4.0)</f>
        <v>4</v>
      </c>
      <c r="J115" s="8">
        <f>IFERROR(__xludf.DUMMYFUNCTION("""COMPUTED_VALUE"""),3.0)</f>
        <v>3</v>
      </c>
      <c r="K115" s="8">
        <f>IFERROR(__xludf.DUMMYFUNCTION("""COMPUTED_VALUE"""),4.0)</f>
        <v>4</v>
      </c>
      <c r="L115" s="8">
        <f>IFERROR(__xludf.DUMMYFUNCTION("""COMPUTED_VALUE"""),3.0)</f>
        <v>3</v>
      </c>
      <c r="M115" s="8">
        <f>IFERROR(__xludf.DUMMYFUNCTION("""COMPUTED_VALUE"""),5.0)</f>
        <v>5</v>
      </c>
      <c r="N115" s="8">
        <f>IFERROR(__xludf.DUMMYFUNCTION("""COMPUTED_VALUE"""),3.0)</f>
        <v>3</v>
      </c>
      <c r="O115" s="8">
        <f>IFERROR(__xludf.DUMMYFUNCTION("""COMPUTED_VALUE"""),4.0)</f>
        <v>4</v>
      </c>
      <c r="P115" s="8">
        <f>IFERROR(__xludf.DUMMYFUNCTION("""COMPUTED_VALUE"""),4.0)</f>
        <v>4</v>
      </c>
      <c r="Q115" s="8">
        <f>IFERROR(__xludf.DUMMYFUNCTION("""COMPUTED_VALUE"""),4.0)</f>
        <v>4</v>
      </c>
      <c r="R115" s="8">
        <f>IFERROR(__xludf.DUMMYFUNCTION("""COMPUTED_VALUE"""),4.0)</f>
        <v>4</v>
      </c>
      <c r="S115" s="8">
        <f>IFERROR(__xludf.DUMMYFUNCTION("""COMPUTED_VALUE"""),4.0)</f>
        <v>4</v>
      </c>
      <c r="T115" s="8">
        <f>IFERROR(__xludf.DUMMYFUNCTION("""COMPUTED_VALUE"""),3.0)</f>
        <v>3</v>
      </c>
      <c r="U115" s="8">
        <f t="shared" si="1"/>
        <v>56</v>
      </c>
      <c r="V115" s="119" t="str">
        <f t="shared" si="3"/>
        <v>Siap</v>
      </c>
      <c r="W115" s="119" t="str">
        <f t="shared" si="2"/>
        <v>bisa mengikuti pola pesantren dengan baik</v>
      </c>
      <c r="X115" s="8"/>
      <c r="Y115" s="8"/>
      <c r="Z115" s="8"/>
    </row>
    <row r="116">
      <c r="A116" s="123">
        <f>IFERROR(__xludf.DUMMYFUNCTION("""COMPUTED_VALUE"""),45961.8301431713)</f>
        <v>45961.83014</v>
      </c>
      <c r="B116" s="8" t="str">
        <f>IFERROR(__xludf.DUMMYFUNCTION("""COMPUTED_VALUE"""),"Syahira Zahratul Islam ")</f>
        <v>Syahira Zahratul Islam </v>
      </c>
      <c r="C116" s="8" t="str">
        <f>IFERROR(__xludf.DUMMYFUNCTION("""COMPUTED_VALUE"""),"D250018")</f>
        <v>D250018</v>
      </c>
      <c r="D116" s="8" t="str">
        <f>IFERROR(__xludf.DUMMYFUNCTION("""COMPUTED_VALUE"""),"MTs Putri")</f>
        <v>MTs Putri</v>
      </c>
      <c r="E116" s="8" t="str">
        <f>IFERROR(__xludf.DUMMYFUNCTION("""COMPUTED_VALUE"""),"Ya")</f>
        <v>Ya</v>
      </c>
      <c r="F116" s="8">
        <f>IFERROR(__xludf.DUMMYFUNCTION("""COMPUTED_VALUE"""),5.0)</f>
        <v>5</v>
      </c>
      <c r="G116" s="8">
        <f>IFERROR(__xludf.DUMMYFUNCTION("""COMPUTED_VALUE"""),5.0)</f>
        <v>5</v>
      </c>
      <c r="H116" s="8">
        <f>IFERROR(__xludf.DUMMYFUNCTION("""COMPUTED_VALUE"""),5.0)</f>
        <v>5</v>
      </c>
      <c r="I116" s="8">
        <f>IFERROR(__xludf.DUMMYFUNCTION("""COMPUTED_VALUE"""),5.0)</f>
        <v>5</v>
      </c>
      <c r="J116" s="8">
        <f>IFERROR(__xludf.DUMMYFUNCTION("""COMPUTED_VALUE"""),5.0)</f>
        <v>5</v>
      </c>
      <c r="K116" s="8">
        <f>IFERROR(__xludf.DUMMYFUNCTION("""COMPUTED_VALUE"""),5.0)</f>
        <v>5</v>
      </c>
      <c r="L116" s="8">
        <f>IFERROR(__xludf.DUMMYFUNCTION("""COMPUTED_VALUE"""),5.0)</f>
        <v>5</v>
      </c>
      <c r="M116" s="8">
        <f>IFERROR(__xludf.DUMMYFUNCTION("""COMPUTED_VALUE"""),5.0)</f>
        <v>5</v>
      </c>
      <c r="N116" s="8">
        <f>IFERROR(__xludf.DUMMYFUNCTION("""COMPUTED_VALUE"""),5.0)</f>
        <v>5</v>
      </c>
      <c r="O116" s="8">
        <f>IFERROR(__xludf.DUMMYFUNCTION("""COMPUTED_VALUE"""),5.0)</f>
        <v>5</v>
      </c>
      <c r="P116" s="8">
        <f>IFERROR(__xludf.DUMMYFUNCTION("""COMPUTED_VALUE"""),5.0)</f>
        <v>5</v>
      </c>
      <c r="Q116" s="8">
        <f>IFERROR(__xludf.DUMMYFUNCTION("""COMPUTED_VALUE"""),4.0)</f>
        <v>4</v>
      </c>
      <c r="R116" s="8">
        <f>IFERROR(__xludf.DUMMYFUNCTION("""COMPUTED_VALUE"""),5.0)</f>
        <v>5</v>
      </c>
      <c r="S116" s="8">
        <f>IFERROR(__xludf.DUMMYFUNCTION("""COMPUTED_VALUE"""),5.0)</f>
        <v>5</v>
      </c>
      <c r="T116" s="8">
        <f>IFERROR(__xludf.DUMMYFUNCTION("""COMPUTED_VALUE"""),5.0)</f>
        <v>5</v>
      </c>
      <c r="U116" s="8">
        <f t="shared" si="1"/>
        <v>74</v>
      </c>
      <c r="V116" s="119" t="str">
        <f t="shared" si="3"/>
        <v>Siap</v>
      </c>
      <c r="W116" s="119" t="str">
        <f t="shared" si="2"/>
        <v>bisa mengikuti pola pesantren dengan baik</v>
      </c>
      <c r="X116" s="8"/>
      <c r="Y116" s="8"/>
      <c r="Z116" s="8"/>
    </row>
    <row r="117">
      <c r="A117" s="123">
        <f>IFERROR(__xludf.DUMMYFUNCTION("""COMPUTED_VALUE"""),45961.850585092594)</f>
        <v>45961.85059</v>
      </c>
      <c r="B117" s="8" t="str">
        <f>IFERROR(__xludf.DUMMYFUNCTION("""COMPUTED_VALUE"""),"Alika Aisyah Putri ")</f>
        <v>Alika Aisyah Putri </v>
      </c>
      <c r="C117" s="8" t="str">
        <f>IFERROR(__xludf.DUMMYFUNCTION("""COMPUTED_VALUE"""),"D250021")</f>
        <v>D250021</v>
      </c>
      <c r="D117" s="8" t="str">
        <f>IFERROR(__xludf.DUMMYFUNCTION("""COMPUTED_VALUE"""),"MTs Putri")</f>
        <v>MTs Putri</v>
      </c>
      <c r="E117" s="8" t="str">
        <f>IFERROR(__xludf.DUMMYFUNCTION("""COMPUTED_VALUE"""),"Ya")</f>
        <v>Ya</v>
      </c>
      <c r="F117" s="8">
        <f>IFERROR(__xludf.DUMMYFUNCTION("""COMPUTED_VALUE"""),4.0)</f>
        <v>4</v>
      </c>
      <c r="G117" s="8">
        <f>IFERROR(__xludf.DUMMYFUNCTION("""COMPUTED_VALUE"""),5.0)</f>
        <v>5</v>
      </c>
      <c r="H117" s="8">
        <f>IFERROR(__xludf.DUMMYFUNCTION("""COMPUTED_VALUE"""),4.0)</f>
        <v>4</v>
      </c>
      <c r="I117" s="8">
        <f>IFERROR(__xludf.DUMMYFUNCTION("""COMPUTED_VALUE"""),5.0)</f>
        <v>5</v>
      </c>
      <c r="J117" s="8">
        <f>IFERROR(__xludf.DUMMYFUNCTION("""COMPUTED_VALUE"""),4.0)</f>
        <v>4</v>
      </c>
      <c r="K117" s="8">
        <f>IFERROR(__xludf.DUMMYFUNCTION("""COMPUTED_VALUE"""),5.0)</f>
        <v>5</v>
      </c>
      <c r="L117" s="8">
        <f>IFERROR(__xludf.DUMMYFUNCTION("""COMPUTED_VALUE"""),4.0)</f>
        <v>4</v>
      </c>
      <c r="M117" s="8">
        <f>IFERROR(__xludf.DUMMYFUNCTION("""COMPUTED_VALUE"""),5.0)</f>
        <v>5</v>
      </c>
      <c r="N117" s="8">
        <f>IFERROR(__xludf.DUMMYFUNCTION("""COMPUTED_VALUE"""),5.0)</f>
        <v>5</v>
      </c>
      <c r="O117" s="8">
        <f>IFERROR(__xludf.DUMMYFUNCTION("""COMPUTED_VALUE"""),5.0)</f>
        <v>5</v>
      </c>
      <c r="P117" s="8">
        <f>IFERROR(__xludf.DUMMYFUNCTION("""COMPUTED_VALUE"""),5.0)</f>
        <v>5</v>
      </c>
      <c r="Q117" s="8">
        <f>IFERROR(__xludf.DUMMYFUNCTION("""COMPUTED_VALUE"""),5.0)</f>
        <v>5</v>
      </c>
      <c r="R117" s="8">
        <f>IFERROR(__xludf.DUMMYFUNCTION("""COMPUTED_VALUE"""),5.0)</f>
        <v>5</v>
      </c>
      <c r="S117" s="8">
        <f>IFERROR(__xludf.DUMMYFUNCTION("""COMPUTED_VALUE"""),4.0)</f>
        <v>4</v>
      </c>
      <c r="T117" s="8">
        <f>IFERROR(__xludf.DUMMYFUNCTION("""COMPUTED_VALUE"""),4.0)</f>
        <v>4</v>
      </c>
      <c r="U117" s="8">
        <f t="shared" si="1"/>
        <v>69</v>
      </c>
      <c r="V117" s="119" t="str">
        <f t="shared" si="3"/>
        <v>Siap</v>
      </c>
      <c r="W117" s="119" t="str">
        <f t="shared" si="2"/>
        <v>bisa mengikuti pola pesantren dengan baik</v>
      </c>
      <c r="X117" s="8"/>
      <c r="Y117" s="8"/>
      <c r="Z117" s="8"/>
    </row>
    <row r="118">
      <c r="A118" s="123">
        <f>IFERROR(__xludf.DUMMYFUNCTION("""COMPUTED_VALUE"""),45961.89127047454)</f>
        <v>45961.89127</v>
      </c>
      <c r="B118" s="8" t="str">
        <f>IFERROR(__xludf.DUMMYFUNCTION("""COMPUTED_VALUE"""),"M. Daffa barokah ")</f>
        <v>M. Daffa barokah </v>
      </c>
      <c r="C118" s="8" t="str">
        <f>IFERROR(__xludf.DUMMYFUNCTION("""COMPUTED_VALUE"""),"C250006")</f>
        <v>C250006</v>
      </c>
      <c r="D118" s="8" t="str">
        <f>IFERROR(__xludf.DUMMYFUNCTION("""COMPUTED_VALUE"""),"I'dad Lughawiy Putra")</f>
        <v>I'dad Lughawiy Putra</v>
      </c>
      <c r="E118" s="8" t="str">
        <f>IFERROR(__xludf.DUMMYFUNCTION("""COMPUTED_VALUE"""),"Ya")</f>
        <v>Ya</v>
      </c>
      <c r="F118" s="8">
        <f>IFERROR(__xludf.DUMMYFUNCTION("""COMPUTED_VALUE"""),5.0)</f>
        <v>5</v>
      </c>
      <c r="G118" s="8">
        <f>IFERROR(__xludf.DUMMYFUNCTION("""COMPUTED_VALUE"""),5.0)</f>
        <v>5</v>
      </c>
      <c r="H118" s="8">
        <f>IFERROR(__xludf.DUMMYFUNCTION("""COMPUTED_VALUE"""),5.0)</f>
        <v>5</v>
      </c>
      <c r="I118" s="8">
        <f>IFERROR(__xludf.DUMMYFUNCTION("""COMPUTED_VALUE"""),5.0)</f>
        <v>5</v>
      </c>
      <c r="J118" s="8">
        <f>IFERROR(__xludf.DUMMYFUNCTION("""COMPUTED_VALUE"""),5.0)</f>
        <v>5</v>
      </c>
      <c r="K118" s="8">
        <f>IFERROR(__xludf.DUMMYFUNCTION("""COMPUTED_VALUE"""),5.0)</f>
        <v>5</v>
      </c>
      <c r="L118" s="8">
        <f>IFERROR(__xludf.DUMMYFUNCTION("""COMPUTED_VALUE"""),5.0)</f>
        <v>5</v>
      </c>
      <c r="M118" s="8">
        <f>IFERROR(__xludf.DUMMYFUNCTION("""COMPUTED_VALUE"""),5.0)</f>
        <v>5</v>
      </c>
      <c r="N118" s="8">
        <f>IFERROR(__xludf.DUMMYFUNCTION("""COMPUTED_VALUE"""),5.0)</f>
        <v>5</v>
      </c>
      <c r="O118" s="8">
        <f>IFERROR(__xludf.DUMMYFUNCTION("""COMPUTED_VALUE"""),5.0)</f>
        <v>5</v>
      </c>
      <c r="P118" s="8">
        <f>IFERROR(__xludf.DUMMYFUNCTION("""COMPUTED_VALUE"""),5.0)</f>
        <v>5</v>
      </c>
      <c r="Q118" s="8">
        <f>IFERROR(__xludf.DUMMYFUNCTION("""COMPUTED_VALUE"""),5.0)</f>
        <v>5</v>
      </c>
      <c r="R118" s="8">
        <f>IFERROR(__xludf.DUMMYFUNCTION("""COMPUTED_VALUE"""),5.0)</f>
        <v>5</v>
      </c>
      <c r="S118" s="8">
        <f>IFERROR(__xludf.DUMMYFUNCTION("""COMPUTED_VALUE"""),5.0)</f>
        <v>5</v>
      </c>
      <c r="T118" s="8">
        <f>IFERROR(__xludf.DUMMYFUNCTION("""COMPUTED_VALUE"""),5.0)</f>
        <v>5</v>
      </c>
      <c r="U118" s="8">
        <f t="shared" si="1"/>
        <v>75</v>
      </c>
      <c r="V118" s="119" t="str">
        <f t="shared" si="3"/>
        <v>Siap</v>
      </c>
      <c r="W118" s="119" t="str">
        <f t="shared" si="2"/>
        <v>bisa mengikuti pola pesantren dengan baik</v>
      </c>
      <c r="X118" s="8"/>
      <c r="Y118" s="8"/>
      <c r="Z118" s="8"/>
    </row>
    <row r="119">
      <c r="A119" s="123">
        <f>IFERROR(__xludf.DUMMYFUNCTION("""COMPUTED_VALUE"""),45962.46710913195)</f>
        <v>45962.46711</v>
      </c>
      <c r="B119" s="8" t="str">
        <f>IFERROR(__xludf.DUMMYFUNCTION("""COMPUTED_VALUE"""),"Alfarizy Fauzan Wijaya")</f>
        <v>Alfarizy Fauzan Wijaya</v>
      </c>
      <c r="C119" s="8" t="str">
        <f>IFERROR(__xludf.DUMMYFUNCTION("""COMPUTED_VALUE"""),"A250068")</f>
        <v>A250068</v>
      </c>
      <c r="D119" s="8" t="str">
        <f>IFERROR(__xludf.DUMMYFUNCTION("""COMPUTED_VALUE"""),"MTs Putra")</f>
        <v>MTs Putra</v>
      </c>
      <c r="E119" s="8" t="str">
        <f>IFERROR(__xludf.DUMMYFUNCTION("""COMPUTED_VALUE"""),"Ya")</f>
        <v>Ya</v>
      </c>
      <c r="F119" s="8">
        <f>IFERROR(__xludf.DUMMYFUNCTION("""COMPUTED_VALUE"""),5.0)</f>
        <v>5</v>
      </c>
      <c r="G119" s="8">
        <f>IFERROR(__xludf.DUMMYFUNCTION("""COMPUTED_VALUE"""),5.0)</f>
        <v>5</v>
      </c>
      <c r="H119" s="8">
        <f>IFERROR(__xludf.DUMMYFUNCTION("""COMPUTED_VALUE"""),5.0)</f>
        <v>5</v>
      </c>
      <c r="I119" s="8">
        <f>IFERROR(__xludf.DUMMYFUNCTION("""COMPUTED_VALUE"""),4.0)</f>
        <v>4</v>
      </c>
      <c r="J119" s="8">
        <f>IFERROR(__xludf.DUMMYFUNCTION("""COMPUTED_VALUE"""),2.0)</f>
        <v>2</v>
      </c>
      <c r="K119" s="8">
        <f>IFERROR(__xludf.DUMMYFUNCTION("""COMPUTED_VALUE"""),4.0)</f>
        <v>4</v>
      </c>
      <c r="L119" s="8">
        <f>IFERROR(__xludf.DUMMYFUNCTION("""COMPUTED_VALUE"""),5.0)</f>
        <v>5</v>
      </c>
      <c r="M119" s="8">
        <f>IFERROR(__xludf.DUMMYFUNCTION("""COMPUTED_VALUE"""),1.0)</f>
        <v>1</v>
      </c>
      <c r="N119" s="8">
        <f>IFERROR(__xludf.DUMMYFUNCTION("""COMPUTED_VALUE"""),4.0)</f>
        <v>4</v>
      </c>
      <c r="O119" s="8">
        <f>IFERROR(__xludf.DUMMYFUNCTION("""COMPUTED_VALUE"""),5.0)</f>
        <v>5</v>
      </c>
      <c r="P119" s="8">
        <f>IFERROR(__xludf.DUMMYFUNCTION("""COMPUTED_VALUE"""),5.0)</f>
        <v>5</v>
      </c>
      <c r="Q119" s="8">
        <f>IFERROR(__xludf.DUMMYFUNCTION("""COMPUTED_VALUE"""),4.0)</f>
        <v>4</v>
      </c>
      <c r="R119" s="8">
        <f>IFERROR(__xludf.DUMMYFUNCTION("""COMPUTED_VALUE"""),5.0)</f>
        <v>5</v>
      </c>
      <c r="S119" s="8">
        <f>IFERROR(__xludf.DUMMYFUNCTION("""COMPUTED_VALUE"""),5.0)</f>
        <v>5</v>
      </c>
      <c r="T119" s="8">
        <f>IFERROR(__xludf.DUMMYFUNCTION("""COMPUTED_VALUE"""),5.0)</f>
        <v>5</v>
      </c>
      <c r="U119" s="8">
        <f t="shared" si="1"/>
        <v>64</v>
      </c>
      <c r="V119" s="119" t="str">
        <f t="shared" si="3"/>
        <v>Siap</v>
      </c>
      <c r="W119" s="119" t="str">
        <f t="shared" si="2"/>
        <v>bisa mengikuti pola pesantren dengan baik</v>
      </c>
      <c r="X119" s="8"/>
      <c r="Y119" s="8"/>
      <c r="Z119" s="8"/>
    </row>
    <row r="120">
      <c r="A120" s="123">
        <f>IFERROR(__xludf.DUMMYFUNCTION("""COMPUTED_VALUE"""),45962.67594069445)</f>
        <v>45962.67594</v>
      </c>
      <c r="B120" s="8" t="str">
        <f>IFERROR(__xludf.DUMMYFUNCTION("""COMPUTED_VALUE"""),"Ahmad kamaludin")</f>
        <v>Ahmad kamaludin</v>
      </c>
      <c r="C120" s="8" t="str">
        <f>IFERROR(__xludf.DUMMYFUNCTION("""COMPUTED_VALUE"""),"A250030")</f>
        <v>A250030</v>
      </c>
      <c r="D120" s="8" t="str">
        <f>IFERROR(__xludf.DUMMYFUNCTION("""COMPUTED_VALUE"""),"MTs Putra")</f>
        <v>MTs Putra</v>
      </c>
      <c r="E120" s="8" t="str">
        <f>IFERROR(__xludf.DUMMYFUNCTION("""COMPUTED_VALUE"""),"Ya")</f>
        <v>Ya</v>
      </c>
      <c r="F120" s="8">
        <f>IFERROR(__xludf.DUMMYFUNCTION("""COMPUTED_VALUE"""),4.0)</f>
        <v>4</v>
      </c>
      <c r="G120" s="8">
        <f>IFERROR(__xludf.DUMMYFUNCTION("""COMPUTED_VALUE"""),4.0)</f>
        <v>4</v>
      </c>
      <c r="H120" s="8">
        <f>IFERROR(__xludf.DUMMYFUNCTION("""COMPUTED_VALUE"""),4.0)</f>
        <v>4</v>
      </c>
      <c r="I120" s="8">
        <f>IFERROR(__xludf.DUMMYFUNCTION("""COMPUTED_VALUE"""),3.0)</f>
        <v>3</v>
      </c>
      <c r="J120" s="8">
        <f>IFERROR(__xludf.DUMMYFUNCTION("""COMPUTED_VALUE"""),4.0)</f>
        <v>4</v>
      </c>
      <c r="K120" s="8">
        <f>IFERROR(__xludf.DUMMYFUNCTION("""COMPUTED_VALUE"""),4.0)</f>
        <v>4</v>
      </c>
      <c r="L120" s="8">
        <f>IFERROR(__xludf.DUMMYFUNCTION("""COMPUTED_VALUE"""),5.0)</f>
        <v>5</v>
      </c>
      <c r="M120" s="8">
        <f>IFERROR(__xludf.DUMMYFUNCTION("""COMPUTED_VALUE"""),2.0)</f>
        <v>2</v>
      </c>
      <c r="N120" s="8">
        <f>IFERROR(__xludf.DUMMYFUNCTION("""COMPUTED_VALUE"""),4.0)</f>
        <v>4</v>
      </c>
      <c r="O120" s="8">
        <f>IFERROR(__xludf.DUMMYFUNCTION("""COMPUTED_VALUE"""),3.0)</f>
        <v>3</v>
      </c>
      <c r="P120" s="8">
        <f>IFERROR(__xludf.DUMMYFUNCTION("""COMPUTED_VALUE"""),5.0)</f>
        <v>5</v>
      </c>
      <c r="Q120" s="8">
        <f>IFERROR(__xludf.DUMMYFUNCTION("""COMPUTED_VALUE"""),3.0)</f>
        <v>3</v>
      </c>
      <c r="R120" s="8">
        <f>IFERROR(__xludf.DUMMYFUNCTION("""COMPUTED_VALUE"""),3.0)</f>
        <v>3</v>
      </c>
      <c r="S120" s="8">
        <f>IFERROR(__xludf.DUMMYFUNCTION("""COMPUTED_VALUE"""),3.0)</f>
        <v>3</v>
      </c>
      <c r="T120" s="8">
        <f>IFERROR(__xludf.DUMMYFUNCTION("""COMPUTED_VALUE"""),4.0)</f>
        <v>4</v>
      </c>
      <c r="U120" s="8">
        <f t="shared" si="1"/>
        <v>55</v>
      </c>
      <c r="V120" s="119" t="str">
        <f t="shared" si="3"/>
        <v>Siap</v>
      </c>
      <c r="W120" s="119" t="str">
        <f t="shared" si="2"/>
        <v>bisa mengikuti pola pesantren dengan baik</v>
      </c>
      <c r="X120" s="8"/>
      <c r="Y120" s="8"/>
      <c r="Z120" s="8"/>
    </row>
    <row r="121">
      <c r="A121" s="123">
        <f>IFERROR(__xludf.DUMMYFUNCTION("""COMPUTED_VALUE"""),45963.31504053241)</f>
        <v>45963.31504</v>
      </c>
      <c r="B121" s="8" t="str">
        <f>IFERROR(__xludf.DUMMYFUNCTION("""COMPUTED_VALUE"""),"Fadlan waldi zamzami")</f>
        <v>Fadlan waldi zamzami</v>
      </c>
      <c r="C121" s="8" t="str">
        <f>IFERROR(__xludf.DUMMYFUNCTION("""COMPUTED_VALUE"""),"C250005")</f>
        <v>C250005</v>
      </c>
      <c r="D121" s="8" t="str">
        <f>IFERROR(__xludf.DUMMYFUNCTION("""COMPUTED_VALUE"""),"SMA")</f>
        <v>SMA</v>
      </c>
      <c r="E121" s="8" t="str">
        <f>IFERROR(__xludf.DUMMYFUNCTION("""COMPUTED_VALUE"""),"Ya")</f>
        <v>Ya</v>
      </c>
      <c r="F121" s="8">
        <f>IFERROR(__xludf.DUMMYFUNCTION("""COMPUTED_VALUE"""),3.0)</f>
        <v>3</v>
      </c>
      <c r="G121" s="8">
        <f>IFERROR(__xludf.DUMMYFUNCTION("""COMPUTED_VALUE"""),4.0)</f>
        <v>4</v>
      </c>
      <c r="H121" s="8">
        <f>IFERROR(__xludf.DUMMYFUNCTION("""COMPUTED_VALUE"""),3.0)</f>
        <v>3</v>
      </c>
      <c r="I121" s="8">
        <f>IFERROR(__xludf.DUMMYFUNCTION("""COMPUTED_VALUE"""),3.0)</f>
        <v>3</v>
      </c>
      <c r="J121" s="8">
        <f>IFERROR(__xludf.DUMMYFUNCTION("""COMPUTED_VALUE"""),2.0)</f>
        <v>2</v>
      </c>
      <c r="K121" s="8">
        <f>IFERROR(__xludf.DUMMYFUNCTION("""COMPUTED_VALUE"""),5.0)</f>
        <v>5</v>
      </c>
      <c r="L121" s="8">
        <f>IFERROR(__xludf.DUMMYFUNCTION("""COMPUTED_VALUE"""),5.0)</f>
        <v>5</v>
      </c>
      <c r="M121" s="8">
        <f>IFERROR(__xludf.DUMMYFUNCTION("""COMPUTED_VALUE"""),5.0)</f>
        <v>5</v>
      </c>
      <c r="N121" s="8">
        <f>IFERROR(__xludf.DUMMYFUNCTION("""COMPUTED_VALUE"""),5.0)</f>
        <v>5</v>
      </c>
      <c r="O121" s="8">
        <f>IFERROR(__xludf.DUMMYFUNCTION("""COMPUTED_VALUE"""),5.0)</f>
        <v>5</v>
      </c>
      <c r="P121" s="8">
        <f>IFERROR(__xludf.DUMMYFUNCTION("""COMPUTED_VALUE"""),5.0)</f>
        <v>5</v>
      </c>
      <c r="Q121" s="8">
        <f>IFERROR(__xludf.DUMMYFUNCTION("""COMPUTED_VALUE"""),4.0)</f>
        <v>4</v>
      </c>
      <c r="R121" s="8">
        <f>IFERROR(__xludf.DUMMYFUNCTION("""COMPUTED_VALUE"""),5.0)</f>
        <v>5</v>
      </c>
      <c r="S121" s="8">
        <f>IFERROR(__xludf.DUMMYFUNCTION("""COMPUTED_VALUE"""),4.0)</f>
        <v>4</v>
      </c>
      <c r="T121" s="8">
        <f>IFERROR(__xludf.DUMMYFUNCTION("""COMPUTED_VALUE"""),5.0)</f>
        <v>5</v>
      </c>
      <c r="U121" s="8">
        <f t="shared" si="1"/>
        <v>63</v>
      </c>
      <c r="V121" s="119" t="str">
        <f t="shared" si="3"/>
        <v>Siap</v>
      </c>
      <c r="W121" s="119" t="str">
        <f t="shared" si="2"/>
        <v>bisa mengikuti pola pesantren dengan baik</v>
      </c>
      <c r="X121" s="8"/>
      <c r="Y121" s="8"/>
      <c r="Z121" s="8"/>
    </row>
    <row r="122">
      <c r="A122" s="123">
        <f>IFERROR(__xludf.DUMMYFUNCTION("""COMPUTED_VALUE"""),45964.78649167824)</f>
        <v>45964.78649</v>
      </c>
      <c r="B122" s="8" t="str">
        <f>IFERROR(__xludf.DUMMYFUNCTION("""COMPUTED_VALUE"""),"adlin ar rihaily")</f>
        <v>adlin ar rihaily</v>
      </c>
      <c r="C122" s="8" t="str">
        <f>IFERROR(__xludf.DUMMYFUNCTION("""COMPUTED_VALUE"""),"D250020")</f>
        <v>D250020</v>
      </c>
      <c r="D122" s="8" t="str">
        <f>IFERROR(__xludf.DUMMYFUNCTION("""COMPUTED_VALUE"""),"MTs Putri")</f>
        <v>MTs Putri</v>
      </c>
      <c r="E122" s="8" t="str">
        <f>IFERROR(__xludf.DUMMYFUNCTION("""COMPUTED_VALUE"""),"Ya")</f>
        <v>Ya</v>
      </c>
      <c r="F122" s="8">
        <f>IFERROR(__xludf.DUMMYFUNCTION("""COMPUTED_VALUE"""),5.0)</f>
        <v>5</v>
      </c>
      <c r="G122" s="8">
        <f>IFERROR(__xludf.DUMMYFUNCTION("""COMPUTED_VALUE"""),4.0)</f>
        <v>4</v>
      </c>
      <c r="H122" s="8">
        <f>IFERROR(__xludf.DUMMYFUNCTION("""COMPUTED_VALUE"""),5.0)</f>
        <v>5</v>
      </c>
      <c r="I122" s="8">
        <f>IFERROR(__xludf.DUMMYFUNCTION("""COMPUTED_VALUE"""),4.0)</f>
        <v>4</v>
      </c>
      <c r="J122" s="8">
        <f>IFERROR(__xludf.DUMMYFUNCTION("""COMPUTED_VALUE"""),4.0)</f>
        <v>4</v>
      </c>
      <c r="K122" s="8">
        <f>IFERROR(__xludf.DUMMYFUNCTION("""COMPUTED_VALUE"""),5.0)</f>
        <v>5</v>
      </c>
      <c r="L122" s="8">
        <f>IFERROR(__xludf.DUMMYFUNCTION("""COMPUTED_VALUE"""),5.0)</f>
        <v>5</v>
      </c>
      <c r="M122" s="8">
        <f>IFERROR(__xludf.DUMMYFUNCTION("""COMPUTED_VALUE"""),4.0)</f>
        <v>4</v>
      </c>
      <c r="N122" s="8">
        <f>IFERROR(__xludf.DUMMYFUNCTION("""COMPUTED_VALUE"""),3.0)</f>
        <v>3</v>
      </c>
      <c r="O122" s="8">
        <f>IFERROR(__xludf.DUMMYFUNCTION("""COMPUTED_VALUE"""),5.0)</f>
        <v>5</v>
      </c>
      <c r="P122" s="8">
        <f>IFERROR(__xludf.DUMMYFUNCTION("""COMPUTED_VALUE"""),5.0)</f>
        <v>5</v>
      </c>
      <c r="Q122" s="8">
        <f>IFERROR(__xludf.DUMMYFUNCTION("""COMPUTED_VALUE"""),5.0)</f>
        <v>5</v>
      </c>
      <c r="R122" s="8">
        <f>IFERROR(__xludf.DUMMYFUNCTION("""COMPUTED_VALUE"""),5.0)</f>
        <v>5</v>
      </c>
      <c r="S122" s="8">
        <f>IFERROR(__xludf.DUMMYFUNCTION("""COMPUTED_VALUE"""),4.0)</f>
        <v>4</v>
      </c>
      <c r="T122" s="8">
        <f>IFERROR(__xludf.DUMMYFUNCTION("""COMPUTED_VALUE"""),4.0)</f>
        <v>4</v>
      </c>
      <c r="U122" s="8">
        <f t="shared" si="1"/>
        <v>67</v>
      </c>
      <c r="V122" s="119" t="str">
        <f t="shared" si="3"/>
        <v>Siap</v>
      </c>
      <c r="W122" s="119" t="str">
        <f t="shared" si="2"/>
        <v>bisa mengikuti pola pesantren dengan baik</v>
      </c>
      <c r="X122" s="8"/>
      <c r="Y122" s="8"/>
      <c r="Z122" s="8"/>
    </row>
    <row r="123">
      <c r="A123" s="123">
        <f>IFERROR(__xludf.DUMMYFUNCTION("""COMPUTED_VALUE"""),45966.57383775463)</f>
        <v>45966.57384</v>
      </c>
      <c r="B123" s="8" t="str">
        <f>IFERROR(__xludf.DUMMYFUNCTION("""COMPUTED_VALUE"""),"Khotibul syafiiq")</f>
        <v>Khotibul syafiiq</v>
      </c>
      <c r="C123" s="8" t="str">
        <f>IFERROR(__xludf.DUMMYFUNCTION("""COMPUTED_VALUE"""),"A250036")</f>
        <v>A250036</v>
      </c>
      <c r="D123" s="8" t="str">
        <f>IFERROR(__xludf.DUMMYFUNCTION("""COMPUTED_VALUE"""),"MTs Putra")</f>
        <v>MTs Putra</v>
      </c>
      <c r="E123" s="8" t="str">
        <f>IFERROR(__xludf.DUMMYFUNCTION("""COMPUTED_VALUE"""),"Ya")</f>
        <v>Ya</v>
      </c>
      <c r="F123" s="8">
        <f>IFERROR(__xludf.DUMMYFUNCTION("""COMPUTED_VALUE"""),4.0)</f>
        <v>4</v>
      </c>
      <c r="G123" s="8">
        <f>IFERROR(__xludf.DUMMYFUNCTION("""COMPUTED_VALUE"""),5.0)</f>
        <v>5</v>
      </c>
      <c r="H123" s="8">
        <f>IFERROR(__xludf.DUMMYFUNCTION("""COMPUTED_VALUE"""),5.0)</f>
        <v>5</v>
      </c>
      <c r="I123" s="8">
        <f>IFERROR(__xludf.DUMMYFUNCTION("""COMPUTED_VALUE"""),5.0)</f>
        <v>5</v>
      </c>
      <c r="J123" s="8">
        <f>IFERROR(__xludf.DUMMYFUNCTION("""COMPUTED_VALUE"""),5.0)</f>
        <v>5</v>
      </c>
      <c r="K123" s="8">
        <f>IFERROR(__xludf.DUMMYFUNCTION("""COMPUTED_VALUE"""),5.0)</f>
        <v>5</v>
      </c>
      <c r="L123" s="8">
        <f>IFERROR(__xludf.DUMMYFUNCTION("""COMPUTED_VALUE"""),5.0)</f>
        <v>5</v>
      </c>
      <c r="M123" s="8">
        <f>IFERROR(__xludf.DUMMYFUNCTION("""COMPUTED_VALUE"""),5.0)</f>
        <v>5</v>
      </c>
      <c r="N123" s="8">
        <f>IFERROR(__xludf.DUMMYFUNCTION("""COMPUTED_VALUE"""),5.0)</f>
        <v>5</v>
      </c>
      <c r="O123" s="8">
        <f>IFERROR(__xludf.DUMMYFUNCTION("""COMPUTED_VALUE"""),5.0)</f>
        <v>5</v>
      </c>
      <c r="P123" s="8">
        <f>IFERROR(__xludf.DUMMYFUNCTION("""COMPUTED_VALUE"""),5.0)</f>
        <v>5</v>
      </c>
      <c r="Q123" s="8">
        <f>IFERROR(__xludf.DUMMYFUNCTION("""COMPUTED_VALUE"""),4.0)</f>
        <v>4</v>
      </c>
      <c r="R123" s="8">
        <f>IFERROR(__xludf.DUMMYFUNCTION("""COMPUTED_VALUE"""),5.0)</f>
        <v>5</v>
      </c>
      <c r="S123" s="8">
        <f>IFERROR(__xludf.DUMMYFUNCTION("""COMPUTED_VALUE"""),5.0)</f>
        <v>5</v>
      </c>
      <c r="T123" s="8">
        <f>IFERROR(__xludf.DUMMYFUNCTION("""COMPUTED_VALUE"""),5.0)</f>
        <v>5</v>
      </c>
      <c r="U123" s="8">
        <f t="shared" si="1"/>
        <v>73</v>
      </c>
      <c r="V123" s="119" t="str">
        <f t="shared" si="3"/>
        <v>Siap</v>
      </c>
      <c r="W123" s="119" t="str">
        <f t="shared" si="2"/>
        <v>bisa mengikuti pola pesantren dengan baik</v>
      </c>
      <c r="X123" s="8"/>
      <c r="Y123" s="8"/>
      <c r="Z123" s="8"/>
    </row>
    <row r="124">
      <c r="A124" s="123">
        <f>IFERROR(__xludf.DUMMYFUNCTION("""COMPUTED_VALUE"""),45967.73417872685)</f>
        <v>45967.73418</v>
      </c>
      <c r="B124" s="8" t="str">
        <f>IFERROR(__xludf.DUMMYFUNCTION("""COMPUTED_VALUE"""),"Naisya Tazqia Qolbi ")</f>
        <v>Naisya Tazqia Qolbi </v>
      </c>
      <c r="C124" s="8" t="str">
        <f>IFERROR(__xludf.DUMMYFUNCTION("""COMPUTED_VALUE"""),"F250001")</f>
        <v>F250001</v>
      </c>
      <c r="D124" s="8" t="str">
        <f>IFERROR(__xludf.DUMMYFUNCTION("""COMPUTED_VALUE"""),"SMA")</f>
        <v>SMA</v>
      </c>
      <c r="E124" s="8" t="str">
        <f>IFERROR(__xludf.DUMMYFUNCTION("""COMPUTED_VALUE"""),"Ya")</f>
        <v>Ya</v>
      </c>
      <c r="F124" s="8">
        <f>IFERROR(__xludf.DUMMYFUNCTION("""COMPUTED_VALUE"""),5.0)</f>
        <v>5</v>
      </c>
      <c r="G124" s="8">
        <f>IFERROR(__xludf.DUMMYFUNCTION("""COMPUTED_VALUE"""),5.0)</f>
        <v>5</v>
      </c>
      <c r="H124" s="8">
        <f>IFERROR(__xludf.DUMMYFUNCTION("""COMPUTED_VALUE"""),4.0)</f>
        <v>4</v>
      </c>
      <c r="I124" s="8">
        <f>IFERROR(__xludf.DUMMYFUNCTION("""COMPUTED_VALUE"""),4.0)</f>
        <v>4</v>
      </c>
      <c r="J124" s="8">
        <f>IFERROR(__xludf.DUMMYFUNCTION("""COMPUTED_VALUE"""),4.0)</f>
        <v>4</v>
      </c>
      <c r="K124" s="8">
        <f>IFERROR(__xludf.DUMMYFUNCTION("""COMPUTED_VALUE"""),5.0)</f>
        <v>5</v>
      </c>
      <c r="L124" s="8">
        <f>IFERROR(__xludf.DUMMYFUNCTION("""COMPUTED_VALUE"""),5.0)</f>
        <v>5</v>
      </c>
      <c r="M124" s="8">
        <f>IFERROR(__xludf.DUMMYFUNCTION("""COMPUTED_VALUE"""),5.0)</f>
        <v>5</v>
      </c>
      <c r="N124" s="8">
        <f>IFERROR(__xludf.DUMMYFUNCTION("""COMPUTED_VALUE"""),5.0)</f>
        <v>5</v>
      </c>
      <c r="O124" s="8">
        <f>IFERROR(__xludf.DUMMYFUNCTION("""COMPUTED_VALUE"""),5.0)</f>
        <v>5</v>
      </c>
      <c r="P124" s="8">
        <f>IFERROR(__xludf.DUMMYFUNCTION("""COMPUTED_VALUE"""),5.0)</f>
        <v>5</v>
      </c>
      <c r="Q124" s="8">
        <f>IFERROR(__xludf.DUMMYFUNCTION("""COMPUTED_VALUE"""),3.0)</f>
        <v>3</v>
      </c>
      <c r="R124" s="8">
        <f>IFERROR(__xludf.DUMMYFUNCTION("""COMPUTED_VALUE"""),4.0)</f>
        <v>4</v>
      </c>
      <c r="S124" s="8">
        <f>IFERROR(__xludf.DUMMYFUNCTION("""COMPUTED_VALUE"""),4.0)</f>
        <v>4</v>
      </c>
      <c r="T124" s="8">
        <f>IFERROR(__xludf.DUMMYFUNCTION("""COMPUTED_VALUE"""),4.0)</f>
        <v>4</v>
      </c>
      <c r="U124" s="8">
        <f t="shared" si="1"/>
        <v>67</v>
      </c>
      <c r="V124" s="119" t="str">
        <f t="shared" si="3"/>
        <v>Siap</v>
      </c>
      <c r="W124" s="119" t="str">
        <f t="shared" si="2"/>
        <v>bisa mengikuti pola pesantren dengan baik</v>
      </c>
      <c r="X124" s="8"/>
      <c r="Y124" s="8"/>
      <c r="Z124" s="8"/>
    </row>
    <row r="125">
      <c r="A125" s="123">
        <f>IFERROR(__xludf.DUMMYFUNCTION("""COMPUTED_VALUE"""),45967.82631510417)</f>
        <v>45967.82632</v>
      </c>
      <c r="B125" s="8" t="str">
        <f>IFERROR(__xludf.DUMMYFUNCTION("""COMPUTED_VALUE"""),"Syabil Al Fachrizzi")</f>
        <v>Syabil Al Fachrizzi</v>
      </c>
      <c r="C125" s="8" t="str">
        <f>IFERROR(__xludf.DUMMYFUNCTION("""COMPUTED_VALUE"""),"A25007")</f>
        <v>A25007</v>
      </c>
      <c r="D125" s="8" t="str">
        <f>IFERROR(__xludf.DUMMYFUNCTION("""COMPUTED_VALUE"""),"MTs Putra")</f>
        <v>MTs Putra</v>
      </c>
      <c r="E125" s="8" t="str">
        <f>IFERROR(__xludf.DUMMYFUNCTION("""COMPUTED_VALUE"""),"Ya")</f>
        <v>Ya</v>
      </c>
      <c r="F125" s="8">
        <f>IFERROR(__xludf.DUMMYFUNCTION("""COMPUTED_VALUE"""),5.0)</f>
        <v>5</v>
      </c>
      <c r="G125" s="8">
        <f>IFERROR(__xludf.DUMMYFUNCTION("""COMPUTED_VALUE"""),5.0)</f>
        <v>5</v>
      </c>
      <c r="H125" s="8">
        <f>IFERROR(__xludf.DUMMYFUNCTION("""COMPUTED_VALUE"""),5.0)</f>
        <v>5</v>
      </c>
      <c r="I125" s="8">
        <f>IFERROR(__xludf.DUMMYFUNCTION("""COMPUTED_VALUE"""),4.0)</f>
        <v>4</v>
      </c>
      <c r="J125" s="8">
        <f>IFERROR(__xludf.DUMMYFUNCTION("""COMPUTED_VALUE"""),4.0)</f>
        <v>4</v>
      </c>
      <c r="K125" s="8">
        <f>IFERROR(__xludf.DUMMYFUNCTION("""COMPUTED_VALUE"""),5.0)</f>
        <v>5</v>
      </c>
      <c r="L125" s="8">
        <f>IFERROR(__xludf.DUMMYFUNCTION("""COMPUTED_VALUE"""),5.0)</f>
        <v>5</v>
      </c>
      <c r="M125" s="8">
        <f>IFERROR(__xludf.DUMMYFUNCTION("""COMPUTED_VALUE"""),5.0)</f>
        <v>5</v>
      </c>
      <c r="N125" s="8">
        <f>IFERROR(__xludf.DUMMYFUNCTION("""COMPUTED_VALUE"""),4.0)</f>
        <v>4</v>
      </c>
      <c r="O125" s="8">
        <f>IFERROR(__xludf.DUMMYFUNCTION("""COMPUTED_VALUE"""),5.0)</f>
        <v>5</v>
      </c>
      <c r="P125" s="8">
        <f>IFERROR(__xludf.DUMMYFUNCTION("""COMPUTED_VALUE"""),5.0)</f>
        <v>5</v>
      </c>
      <c r="Q125" s="8">
        <f>IFERROR(__xludf.DUMMYFUNCTION("""COMPUTED_VALUE"""),4.0)</f>
        <v>4</v>
      </c>
      <c r="R125" s="8">
        <f>IFERROR(__xludf.DUMMYFUNCTION("""COMPUTED_VALUE"""),5.0)</f>
        <v>5</v>
      </c>
      <c r="S125" s="8">
        <f>IFERROR(__xludf.DUMMYFUNCTION("""COMPUTED_VALUE"""),5.0)</f>
        <v>5</v>
      </c>
      <c r="T125" s="8">
        <f>IFERROR(__xludf.DUMMYFUNCTION("""COMPUTED_VALUE"""),5.0)</f>
        <v>5</v>
      </c>
      <c r="U125" s="8">
        <f t="shared" si="1"/>
        <v>71</v>
      </c>
      <c r="V125" s="119" t="str">
        <f t="shared" si="3"/>
        <v>Siap</v>
      </c>
      <c r="W125" s="119" t="str">
        <f t="shared" si="2"/>
        <v>bisa mengikuti pola pesantren dengan baik</v>
      </c>
      <c r="X125" s="8"/>
      <c r="Y125" s="8"/>
      <c r="Z125" s="8"/>
    </row>
    <row r="126">
      <c r="A126" s="123">
        <f>IFERROR(__xludf.DUMMYFUNCTION("""COMPUTED_VALUE"""),45968.624579282405)</f>
        <v>45968.62458</v>
      </c>
      <c r="B126" s="8" t="str">
        <f>IFERROR(__xludf.DUMMYFUNCTION("""COMPUTED_VALUE"""),"M Nadhif Raisyauqy")</f>
        <v>M Nadhif Raisyauqy</v>
      </c>
      <c r="C126" s="8" t="str">
        <f>IFERROR(__xludf.DUMMYFUNCTION("""COMPUTED_VALUE"""),"A250075")</f>
        <v>A250075</v>
      </c>
      <c r="D126" s="8" t="str">
        <f>IFERROR(__xludf.DUMMYFUNCTION("""COMPUTED_VALUE"""),"MTs Putra")</f>
        <v>MTs Putra</v>
      </c>
      <c r="E126" s="8" t="str">
        <f>IFERROR(__xludf.DUMMYFUNCTION("""COMPUTED_VALUE"""),"Ya")</f>
        <v>Ya</v>
      </c>
      <c r="F126" s="8">
        <f>IFERROR(__xludf.DUMMYFUNCTION("""COMPUTED_VALUE"""),4.0)</f>
        <v>4</v>
      </c>
      <c r="G126" s="8">
        <f>IFERROR(__xludf.DUMMYFUNCTION("""COMPUTED_VALUE"""),5.0)</f>
        <v>5</v>
      </c>
      <c r="H126" s="8">
        <f>IFERROR(__xludf.DUMMYFUNCTION("""COMPUTED_VALUE"""),3.0)</f>
        <v>3</v>
      </c>
      <c r="I126" s="8">
        <f>IFERROR(__xludf.DUMMYFUNCTION("""COMPUTED_VALUE"""),4.0)</f>
        <v>4</v>
      </c>
      <c r="J126" s="8">
        <f>IFERROR(__xludf.DUMMYFUNCTION("""COMPUTED_VALUE"""),4.0)</f>
        <v>4</v>
      </c>
      <c r="K126" s="8">
        <f>IFERROR(__xludf.DUMMYFUNCTION("""COMPUTED_VALUE"""),5.0)</f>
        <v>5</v>
      </c>
      <c r="L126" s="8">
        <f>IFERROR(__xludf.DUMMYFUNCTION("""COMPUTED_VALUE"""),4.0)</f>
        <v>4</v>
      </c>
      <c r="M126" s="8">
        <f>IFERROR(__xludf.DUMMYFUNCTION("""COMPUTED_VALUE"""),5.0)</f>
        <v>5</v>
      </c>
      <c r="N126" s="8">
        <f>IFERROR(__xludf.DUMMYFUNCTION("""COMPUTED_VALUE"""),4.0)</f>
        <v>4</v>
      </c>
      <c r="O126" s="8">
        <f>IFERROR(__xludf.DUMMYFUNCTION("""COMPUTED_VALUE"""),5.0)</f>
        <v>5</v>
      </c>
      <c r="P126" s="8">
        <f>IFERROR(__xludf.DUMMYFUNCTION("""COMPUTED_VALUE"""),4.0)</f>
        <v>4</v>
      </c>
      <c r="Q126" s="8">
        <f>IFERROR(__xludf.DUMMYFUNCTION("""COMPUTED_VALUE"""),4.0)</f>
        <v>4</v>
      </c>
      <c r="R126" s="8">
        <f>IFERROR(__xludf.DUMMYFUNCTION("""COMPUTED_VALUE"""),5.0)</f>
        <v>5</v>
      </c>
      <c r="S126" s="8">
        <f>IFERROR(__xludf.DUMMYFUNCTION("""COMPUTED_VALUE"""),5.0)</f>
        <v>5</v>
      </c>
      <c r="T126" s="8">
        <f>IFERROR(__xludf.DUMMYFUNCTION("""COMPUTED_VALUE"""),4.0)</f>
        <v>4</v>
      </c>
      <c r="U126" s="8">
        <f t="shared" si="1"/>
        <v>65</v>
      </c>
      <c r="V126" s="119" t="str">
        <f t="shared" si="3"/>
        <v>Siap</v>
      </c>
      <c r="W126" s="119" t="str">
        <f t="shared" si="2"/>
        <v>bisa mengikuti pola pesantren dengan baik</v>
      </c>
      <c r="X126" s="8"/>
      <c r="Y126" s="8"/>
      <c r="Z126" s="8"/>
    </row>
    <row r="127">
      <c r="A127" s="123">
        <f>IFERROR(__xludf.DUMMYFUNCTION("""COMPUTED_VALUE"""),45969.40000934028)</f>
        <v>45969.40001</v>
      </c>
      <c r="B127" s="8" t="str">
        <f>IFERROR(__xludf.DUMMYFUNCTION("""COMPUTED_VALUE"""),"Mizan alghifary dizlilar")</f>
        <v>Mizan alghifary dizlilar</v>
      </c>
      <c r="C127" s="8" t="str">
        <f>IFERROR(__xludf.DUMMYFUNCTION("""COMPUTED_VALUE"""),"B250008")</f>
        <v>B250008</v>
      </c>
      <c r="D127" s="8" t="str">
        <f>IFERROR(__xludf.DUMMYFUNCTION("""COMPUTED_VALUE"""),"I'dad Lughawiy Putra")</f>
        <v>I'dad Lughawiy Putra</v>
      </c>
      <c r="E127" s="8" t="str">
        <f>IFERROR(__xludf.DUMMYFUNCTION("""COMPUTED_VALUE"""),"Ya")</f>
        <v>Ya</v>
      </c>
      <c r="F127" s="8">
        <f>IFERROR(__xludf.DUMMYFUNCTION("""COMPUTED_VALUE"""),4.0)</f>
        <v>4</v>
      </c>
      <c r="G127" s="8">
        <f>IFERROR(__xludf.DUMMYFUNCTION("""COMPUTED_VALUE"""),4.0)</f>
        <v>4</v>
      </c>
      <c r="H127" s="8">
        <f>IFERROR(__xludf.DUMMYFUNCTION("""COMPUTED_VALUE"""),4.0)</f>
        <v>4</v>
      </c>
      <c r="I127" s="8">
        <f>IFERROR(__xludf.DUMMYFUNCTION("""COMPUTED_VALUE"""),4.0)</f>
        <v>4</v>
      </c>
      <c r="J127" s="8">
        <f>IFERROR(__xludf.DUMMYFUNCTION("""COMPUTED_VALUE"""),3.0)</f>
        <v>3</v>
      </c>
      <c r="K127" s="8">
        <f>IFERROR(__xludf.DUMMYFUNCTION("""COMPUTED_VALUE"""),4.0)</f>
        <v>4</v>
      </c>
      <c r="L127" s="8">
        <f>IFERROR(__xludf.DUMMYFUNCTION("""COMPUTED_VALUE"""),5.0)</f>
        <v>5</v>
      </c>
      <c r="M127" s="8">
        <f>IFERROR(__xludf.DUMMYFUNCTION("""COMPUTED_VALUE"""),5.0)</f>
        <v>5</v>
      </c>
      <c r="N127" s="8">
        <f>IFERROR(__xludf.DUMMYFUNCTION("""COMPUTED_VALUE"""),4.0)</f>
        <v>4</v>
      </c>
      <c r="O127" s="8">
        <f>IFERROR(__xludf.DUMMYFUNCTION("""COMPUTED_VALUE"""),3.0)</f>
        <v>3</v>
      </c>
      <c r="P127" s="8">
        <f>IFERROR(__xludf.DUMMYFUNCTION("""COMPUTED_VALUE"""),5.0)</f>
        <v>5</v>
      </c>
      <c r="Q127" s="8">
        <f>IFERROR(__xludf.DUMMYFUNCTION("""COMPUTED_VALUE"""),3.0)</f>
        <v>3</v>
      </c>
      <c r="R127" s="8">
        <f>IFERROR(__xludf.DUMMYFUNCTION("""COMPUTED_VALUE"""),5.0)</f>
        <v>5</v>
      </c>
      <c r="S127" s="8">
        <f>IFERROR(__xludf.DUMMYFUNCTION("""COMPUTED_VALUE"""),4.0)</f>
        <v>4</v>
      </c>
      <c r="T127" s="8">
        <f>IFERROR(__xludf.DUMMYFUNCTION("""COMPUTED_VALUE"""),5.0)</f>
        <v>5</v>
      </c>
      <c r="U127" s="8">
        <f t="shared" si="1"/>
        <v>62</v>
      </c>
      <c r="V127" s="119" t="str">
        <f t="shared" si="3"/>
        <v>Siap</v>
      </c>
      <c r="W127" s="119" t="str">
        <f t="shared" si="2"/>
        <v>bisa mengikuti pola pesantren dengan baik</v>
      </c>
      <c r="X127" s="8"/>
      <c r="Y127" s="8"/>
      <c r="Z127" s="8"/>
    </row>
    <row r="128">
      <c r="A128" s="123">
        <f>IFERROR(__xludf.DUMMYFUNCTION("""COMPUTED_VALUE"""),45969.43762726852)</f>
        <v>45969.43763</v>
      </c>
      <c r="B128" s="8" t="str">
        <f>IFERROR(__xludf.DUMMYFUNCTION("""COMPUTED_VALUE"""),"Naufal Taqqy hafifurrahman ")</f>
        <v>Naufal Taqqy hafifurrahman </v>
      </c>
      <c r="C128" s="8" t="str">
        <f>IFERROR(__xludf.DUMMYFUNCTION("""COMPUTED_VALUE"""),"B250029")</f>
        <v>B250029</v>
      </c>
      <c r="D128" s="8" t="str">
        <f>IFERROR(__xludf.DUMMYFUNCTION("""COMPUTED_VALUE"""),"SMA")</f>
        <v>SMA</v>
      </c>
      <c r="E128" s="8" t="str">
        <f>IFERROR(__xludf.DUMMYFUNCTION("""COMPUTED_VALUE"""),"Ya")</f>
        <v>Ya</v>
      </c>
      <c r="F128" s="8">
        <f>IFERROR(__xludf.DUMMYFUNCTION("""COMPUTED_VALUE"""),5.0)</f>
        <v>5</v>
      </c>
      <c r="G128" s="8">
        <f>IFERROR(__xludf.DUMMYFUNCTION("""COMPUTED_VALUE"""),5.0)</f>
        <v>5</v>
      </c>
      <c r="H128" s="8">
        <f>IFERROR(__xludf.DUMMYFUNCTION("""COMPUTED_VALUE"""),4.0)</f>
        <v>4</v>
      </c>
      <c r="I128" s="8">
        <f>IFERROR(__xludf.DUMMYFUNCTION("""COMPUTED_VALUE"""),5.0)</f>
        <v>5</v>
      </c>
      <c r="J128" s="8">
        <f>IFERROR(__xludf.DUMMYFUNCTION("""COMPUTED_VALUE"""),4.0)</f>
        <v>4</v>
      </c>
      <c r="K128" s="8">
        <f>IFERROR(__xludf.DUMMYFUNCTION("""COMPUTED_VALUE"""),5.0)</f>
        <v>5</v>
      </c>
      <c r="L128" s="8">
        <f>IFERROR(__xludf.DUMMYFUNCTION("""COMPUTED_VALUE"""),5.0)</f>
        <v>5</v>
      </c>
      <c r="M128" s="8">
        <f>IFERROR(__xludf.DUMMYFUNCTION("""COMPUTED_VALUE"""),5.0)</f>
        <v>5</v>
      </c>
      <c r="N128" s="8">
        <f>IFERROR(__xludf.DUMMYFUNCTION("""COMPUTED_VALUE"""),4.0)</f>
        <v>4</v>
      </c>
      <c r="O128" s="8">
        <f>IFERROR(__xludf.DUMMYFUNCTION("""COMPUTED_VALUE"""),5.0)</f>
        <v>5</v>
      </c>
      <c r="P128" s="8">
        <f>IFERROR(__xludf.DUMMYFUNCTION("""COMPUTED_VALUE"""),5.0)</f>
        <v>5</v>
      </c>
      <c r="Q128" s="8">
        <f>IFERROR(__xludf.DUMMYFUNCTION("""COMPUTED_VALUE"""),4.0)</f>
        <v>4</v>
      </c>
      <c r="R128" s="8">
        <f>IFERROR(__xludf.DUMMYFUNCTION("""COMPUTED_VALUE"""),5.0)</f>
        <v>5</v>
      </c>
      <c r="S128" s="8">
        <f>IFERROR(__xludf.DUMMYFUNCTION("""COMPUTED_VALUE"""),5.0)</f>
        <v>5</v>
      </c>
      <c r="T128" s="8">
        <f>IFERROR(__xludf.DUMMYFUNCTION("""COMPUTED_VALUE"""),5.0)</f>
        <v>5</v>
      </c>
      <c r="U128" s="8">
        <f t="shared" si="1"/>
        <v>71</v>
      </c>
      <c r="V128" s="119" t="str">
        <f t="shared" si="3"/>
        <v>Siap</v>
      </c>
      <c r="W128" s="119" t="str">
        <f t="shared" si="2"/>
        <v>bisa mengikuti pola pesantren dengan baik</v>
      </c>
      <c r="X128" s="8"/>
      <c r="Y128" s="8"/>
      <c r="Z128" s="8"/>
    </row>
    <row r="129">
      <c r="A129" s="123">
        <f>IFERROR(__xludf.DUMMYFUNCTION("""COMPUTED_VALUE"""),45969.46192427083)</f>
        <v>45969.46192</v>
      </c>
      <c r="B129" s="8" t="str">
        <f>IFERROR(__xludf.DUMMYFUNCTION("""COMPUTED_VALUE"""),"Alfarizy Fauzan wijaya")</f>
        <v>Alfarizy Fauzan wijaya</v>
      </c>
      <c r="C129" s="8" t="str">
        <f>IFERROR(__xludf.DUMMYFUNCTION("""COMPUTED_VALUE"""),"A250068")</f>
        <v>A250068</v>
      </c>
      <c r="D129" s="8" t="str">
        <f>IFERROR(__xludf.DUMMYFUNCTION("""COMPUTED_VALUE"""),"MTs Putra")</f>
        <v>MTs Putra</v>
      </c>
      <c r="E129" s="8" t="str">
        <f>IFERROR(__xludf.DUMMYFUNCTION("""COMPUTED_VALUE"""),"Ya")</f>
        <v>Ya</v>
      </c>
      <c r="F129" s="8">
        <f>IFERROR(__xludf.DUMMYFUNCTION("""COMPUTED_VALUE"""),4.0)</f>
        <v>4</v>
      </c>
      <c r="G129" s="8">
        <f>IFERROR(__xludf.DUMMYFUNCTION("""COMPUTED_VALUE"""),5.0)</f>
        <v>5</v>
      </c>
      <c r="H129" s="8">
        <f>IFERROR(__xludf.DUMMYFUNCTION("""COMPUTED_VALUE"""),4.0)</f>
        <v>4</v>
      </c>
      <c r="I129" s="8">
        <f>IFERROR(__xludf.DUMMYFUNCTION("""COMPUTED_VALUE"""),5.0)</f>
        <v>5</v>
      </c>
      <c r="J129" s="8">
        <f>IFERROR(__xludf.DUMMYFUNCTION("""COMPUTED_VALUE"""),3.0)</f>
        <v>3</v>
      </c>
      <c r="K129" s="8">
        <f>IFERROR(__xludf.DUMMYFUNCTION("""COMPUTED_VALUE"""),4.0)</f>
        <v>4</v>
      </c>
      <c r="L129" s="8">
        <f>IFERROR(__xludf.DUMMYFUNCTION("""COMPUTED_VALUE"""),5.0)</f>
        <v>5</v>
      </c>
      <c r="M129" s="8">
        <f>IFERROR(__xludf.DUMMYFUNCTION("""COMPUTED_VALUE"""),3.0)</f>
        <v>3</v>
      </c>
      <c r="N129" s="8">
        <f>IFERROR(__xludf.DUMMYFUNCTION("""COMPUTED_VALUE"""),4.0)</f>
        <v>4</v>
      </c>
      <c r="O129" s="8">
        <f>IFERROR(__xludf.DUMMYFUNCTION("""COMPUTED_VALUE"""),5.0)</f>
        <v>5</v>
      </c>
      <c r="P129" s="8">
        <f>IFERROR(__xludf.DUMMYFUNCTION("""COMPUTED_VALUE"""),3.0)</f>
        <v>3</v>
      </c>
      <c r="Q129" s="8">
        <f>IFERROR(__xludf.DUMMYFUNCTION("""COMPUTED_VALUE"""),4.0)</f>
        <v>4</v>
      </c>
      <c r="R129" s="8">
        <f>IFERROR(__xludf.DUMMYFUNCTION("""COMPUTED_VALUE"""),5.0)</f>
        <v>5</v>
      </c>
      <c r="S129" s="8">
        <f>IFERROR(__xludf.DUMMYFUNCTION("""COMPUTED_VALUE"""),4.0)</f>
        <v>4</v>
      </c>
      <c r="T129" s="8">
        <f>IFERROR(__xludf.DUMMYFUNCTION("""COMPUTED_VALUE"""),4.0)</f>
        <v>4</v>
      </c>
      <c r="U129" s="8">
        <f t="shared" si="1"/>
        <v>62</v>
      </c>
      <c r="V129" s="119" t="str">
        <f t="shared" si="3"/>
        <v>Siap</v>
      </c>
      <c r="W129" s="119" t="str">
        <f t="shared" si="2"/>
        <v>bisa mengikuti pola pesantren dengan baik</v>
      </c>
      <c r="X129" s="8"/>
      <c r="Y129" s="8"/>
      <c r="Z129" s="8"/>
    </row>
    <row r="130">
      <c r="A130" s="123">
        <f>IFERROR(__xludf.DUMMYFUNCTION("""COMPUTED_VALUE"""),45969.93385361111)</f>
        <v>45969.93385</v>
      </c>
      <c r="B130" s="8" t="str">
        <f>IFERROR(__xludf.DUMMYFUNCTION("""COMPUTED_VALUE"""),"Unaysah")</f>
        <v>Unaysah</v>
      </c>
      <c r="C130" s="8" t="str">
        <f>IFERROR(__xludf.DUMMYFUNCTION("""COMPUTED_VALUE"""),"F250002")</f>
        <v>F250002</v>
      </c>
      <c r="D130" s="8" t="str">
        <f>IFERROR(__xludf.DUMMYFUNCTION("""COMPUTED_VALUE"""),"I'dad Lughawiy Putri")</f>
        <v>I'dad Lughawiy Putri</v>
      </c>
      <c r="E130" s="8" t="str">
        <f>IFERROR(__xludf.DUMMYFUNCTION("""COMPUTED_VALUE"""),"Ya")</f>
        <v>Ya</v>
      </c>
      <c r="F130" s="8">
        <f>IFERROR(__xludf.DUMMYFUNCTION("""COMPUTED_VALUE"""),4.0)</f>
        <v>4</v>
      </c>
      <c r="G130" s="8">
        <f>IFERROR(__xludf.DUMMYFUNCTION("""COMPUTED_VALUE"""),5.0)</f>
        <v>5</v>
      </c>
      <c r="H130" s="8">
        <f>IFERROR(__xludf.DUMMYFUNCTION("""COMPUTED_VALUE"""),4.0)</f>
        <v>4</v>
      </c>
      <c r="I130" s="8">
        <f>IFERROR(__xludf.DUMMYFUNCTION("""COMPUTED_VALUE"""),5.0)</f>
        <v>5</v>
      </c>
      <c r="J130" s="8">
        <f>IFERROR(__xludf.DUMMYFUNCTION("""COMPUTED_VALUE"""),4.0)</f>
        <v>4</v>
      </c>
      <c r="K130" s="8">
        <f>IFERROR(__xludf.DUMMYFUNCTION("""COMPUTED_VALUE"""),5.0)</f>
        <v>5</v>
      </c>
      <c r="L130" s="8">
        <f>IFERROR(__xludf.DUMMYFUNCTION("""COMPUTED_VALUE"""),5.0)</f>
        <v>5</v>
      </c>
      <c r="M130" s="8">
        <f>IFERROR(__xludf.DUMMYFUNCTION("""COMPUTED_VALUE"""),5.0)</f>
        <v>5</v>
      </c>
      <c r="N130" s="8">
        <f>IFERROR(__xludf.DUMMYFUNCTION("""COMPUTED_VALUE"""),4.0)</f>
        <v>4</v>
      </c>
      <c r="O130" s="8">
        <f>IFERROR(__xludf.DUMMYFUNCTION("""COMPUTED_VALUE"""),5.0)</f>
        <v>5</v>
      </c>
      <c r="P130" s="8">
        <f>IFERROR(__xludf.DUMMYFUNCTION("""COMPUTED_VALUE"""),5.0)</f>
        <v>5</v>
      </c>
      <c r="Q130" s="8">
        <f>IFERROR(__xludf.DUMMYFUNCTION("""COMPUTED_VALUE"""),3.0)</f>
        <v>3</v>
      </c>
      <c r="R130" s="8">
        <f>IFERROR(__xludf.DUMMYFUNCTION("""COMPUTED_VALUE"""),5.0)</f>
        <v>5</v>
      </c>
      <c r="S130" s="8">
        <f>IFERROR(__xludf.DUMMYFUNCTION("""COMPUTED_VALUE"""),5.0)</f>
        <v>5</v>
      </c>
      <c r="T130" s="8">
        <f>IFERROR(__xludf.DUMMYFUNCTION("""COMPUTED_VALUE"""),4.0)</f>
        <v>4</v>
      </c>
      <c r="U130" s="8">
        <f t="shared" si="1"/>
        <v>68</v>
      </c>
      <c r="V130" s="119" t="str">
        <f t="shared" si="3"/>
        <v>Siap</v>
      </c>
      <c r="W130" s="119" t="str">
        <f t="shared" si="2"/>
        <v>bisa mengikuti pola pesantren dengan baik</v>
      </c>
      <c r="X130" s="8"/>
      <c r="Y130" s="8"/>
      <c r="Z130" s="8"/>
    </row>
    <row r="131">
      <c r="A131" s="123">
        <f>IFERROR(__xludf.DUMMYFUNCTION("""COMPUTED_VALUE"""),45970.45727344908)</f>
        <v>45970.45727</v>
      </c>
      <c r="B131" s="8" t="str">
        <f>IFERROR(__xludf.DUMMYFUNCTION("""COMPUTED_VALUE"""),"URWATULWUTSQO")</f>
        <v>URWATULWUTSQO</v>
      </c>
      <c r="C131" s="8" t="str">
        <f>IFERROR(__xludf.DUMMYFUNCTION("""COMPUTED_VALUE"""),"A250082")</f>
        <v>A250082</v>
      </c>
      <c r="D131" s="8" t="str">
        <f>IFERROR(__xludf.DUMMYFUNCTION("""COMPUTED_VALUE"""),"MTs Putra")</f>
        <v>MTs Putra</v>
      </c>
      <c r="E131" s="8" t="str">
        <f>IFERROR(__xludf.DUMMYFUNCTION("""COMPUTED_VALUE"""),"Ya")</f>
        <v>Ya</v>
      </c>
      <c r="F131" s="8">
        <f>IFERROR(__xludf.DUMMYFUNCTION("""COMPUTED_VALUE"""),5.0)</f>
        <v>5</v>
      </c>
      <c r="G131" s="8">
        <f>IFERROR(__xludf.DUMMYFUNCTION("""COMPUTED_VALUE"""),5.0)</f>
        <v>5</v>
      </c>
      <c r="H131" s="8">
        <f>IFERROR(__xludf.DUMMYFUNCTION("""COMPUTED_VALUE"""),5.0)</f>
        <v>5</v>
      </c>
      <c r="I131" s="8">
        <f>IFERROR(__xludf.DUMMYFUNCTION("""COMPUTED_VALUE"""),5.0)</f>
        <v>5</v>
      </c>
      <c r="J131" s="8">
        <f>IFERROR(__xludf.DUMMYFUNCTION("""COMPUTED_VALUE"""),5.0)</f>
        <v>5</v>
      </c>
      <c r="K131" s="8">
        <f>IFERROR(__xludf.DUMMYFUNCTION("""COMPUTED_VALUE"""),5.0)</f>
        <v>5</v>
      </c>
      <c r="L131" s="8">
        <f>IFERROR(__xludf.DUMMYFUNCTION("""COMPUTED_VALUE"""),5.0)</f>
        <v>5</v>
      </c>
      <c r="M131" s="8">
        <f>IFERROR(__xludf.DUMMYFUNCTION("""COMPUTED_VALUE"""),5.0)</f>
        <v>5</v>
      </c>
      <c r="N131" s="8">
        <f>IFERROR(__xludf.DUMMYFUNCTION("""COMPUTED_VALUE"""),5.0)</f>
        <v>5</v>
      </c>
      <c r="O131" s="8">
        <f>IFERROR(__xludf.DUMMYFUNCTION("""COMPUTED_VALUE"""),5.0)</f>
        <v>5</v>
      </c>
      <c r="P131" s="8">
        <f>IFERROR(__xludf.DUMMYFUNCTION("""COMPUTED_VALUE"""),5.0)</f>
        <v>5</v>
      </c>
      <c r="Q131" s="8">
        <f>IFERROR(__xludf.DUMMYFUNCTION("""COMPUTED_VALUE"""),5.0)</f>
        <v>5</v>
      </c>
      <c r="R131" s="8">
        <f>IFERROR(__xludf.DUMMYFUNCTION("""COMPUTED_VALUE"""),5.0)</f>
        <v>5</v>
      </c>
      <c r="S131" s="8">
        <f>IFERROR(__xludf.DUMMYFUNCTION("""COMPUTED_VALUE"""),5.0)</f>
        <v>5</v>
      </c>
      <c r="T131" s="8">
        <f>IFERROR(__xludf.DUMMYFUNCTION("""COMPUTED_VALUE"""),5.0)</f>
        <v>5</v>
      </c>
      <c r="U131" s="8">
        <f t="shared" si="1"/>
        <v>75</v>
      </c>
      <c r="V131" s="119" t="str">
        <f t="shared" si="3"/>
        <v>Siap</v>
      </c>
      <c r="W131" s="119" t="str">
        <f t="shared" si="2"/>
        <v>bisa mengikuti pola pesantren dengan baik</v>
      </c>
      <c r="X131" s="8"/>
      <c r="Y131" s="8"/>
      <c r="Z131" s="8"/>
    </row>
    <row r="132">
      <c r="A132" s="123">
        <f>IFERROR(__xludf.DUMMYFUNCTION("""COMPUTED_VALUE"""),45970.66754386574)</f>
        <v>45970.66754</v>
      </c>
      <c r="B132" s="8" t="str">
        <f>IFERROR(__xludf.DUMMYFUNCTION("""COMPUTED_VALUE"""),"Bisma adhi saputra")</f>
        <v>Bisma adhi saputra</v>
      </c>
      <c r="C132" s="8" t="str">
        <f>IFERROR(__xludf.DUMMYFUNCTION("""COMPUTED_VALUE"""),"B250028")</f>
        <v>B250028</v>
      </c>
      <c r="D132" s="8" t="str">
        <f>IFERROR(__xludf.DUMMYFUNCTION("""COMPUTED_VALUE"""),"I'dad Lughawiy Putra")</f>
        <v>I'dad Lughawiy Putra</v>
      </c>
      <c r="E132" s="8" t="str">
        <f>IFERROR(__xludf.DUMMYFUNCTION("""COMPUTED_VALUE"""),"Ya")</f>
        <v>Ya</v>
      </c>
      <c r="F132" s="8">
        <f>IFERROR(__xludf.DUMMYFUNCTION("""COMPUTED_VALUE"""),5.0)</f>
        <v>5</v>
      </c>
      <c r="G132" s="8">
        <f>IFERROR(__xludf.DUMMYFUNCTION("""COMPUTED_VALUE"""),5.0)</f>
        <v>5</v>
      </c>
      <c r="H132" s="8">
        <f>IFERROR(__xludf.DUMMYFUNCTION("""COMPUTED_VALUE"""),5.0)</f>
        <v>5</v>
      </c>
      <c r="I132" s="8">
        <f>IFERROR(__xludf.DUMMYFUNCTION("""COMPUTED_VALUE"""),5.0)</f>
        <v>5</v>
      </c>
      <c r="J132" s="8">
        <f>IFERROR(__xludf.DUMMYFUNCTION("""COMPUTED_VALUE"""),4.0)</f>
        <v>4</v>
      </c>
      <c r="K132" s="8">
        <f>IFERROR(__xludf.DUMMYFUNCTION("""COMPUTED_VALUE"""),5.0)</f>
        <v>5</v>
      </c>
      <c r="L132" s="8">
        <f>IFERROR(__xludf.DUMMYFUNCTION("""COMPUTED_VALUE"""),5.0)</f>
        <v>5</v>
      </c>
      <c r="M132" s="8">
        <f>IFERROR(__xludf.DUMMYFUNCTION("""COMPUTED_VALUE"""),5.0)</f>
        <v>5</v>
      </c>
      <c r="N132" s="8">
        <f>IFERROR(__xludf.DUMMYFUNCTION("""COMPUTED_VALUE"""),4.0)</f>
        <v>4</v>
      </c>
      <c r="O132" s="8">
        <f>IFERROR(__xludf.DUMMYFUNCTION("""COMPUTED_VALUE"""),1.0)</f>
        <v>1</v>
      </c>
      <c r="P132" s="8">
        <f>IFERROR(__xludf.DUMMYFUNCTION("""COMPUTED_VALUE"""),5.0)</f>
        <v>5</v>
      </c>
      <c r="Q132" s="8">
        <f>IFERROR(__xludf.DUMMYFUNCTION("""COMPUTED_VALUE"""),4.0)</f>
        <v>4</v>
      </c>
      <c r="R132" s="8">
        <f>IFERROR(__xludf.DUMMYFUNCTION("""COMPUTED_VALUE"""),5.0)</f>
        <v>5</v>
      </c>
      <c r="S132" s="8">
        <f>IFERROR(__xludf.DUMMYFUNCTION("""COMPUTED_VALUE"""),4.0)</f>
        <v>4</v>
      </c>
      <c r="T132" s="8">
        <f>IFERROR(__xludf.DUMMYFUNCTION("""COMPUTED_VALUE"""),5.0)</f>
        <v>5</v>
      </c>
      <c r="U132" s="8">
        <f t="shared" si="1"/>
        <v>67</v>
      </c>
      <c r="V132" s="119" t="str">
        <f t="shared" si="3"/>
        <v>Siap</v>
      </c>
      <c r="W132" s="119" t="str">
        <f t="shared" si="2"/>
        <v>bisa mengikuti pola pesantren dengan baik</v>
      </c>
      <c r="X132" s="8"/>
      <c r="Y132" s="8"/>
      <c r="Z132" s="8"/>
    </row>
    <row r="133">
      <c r="A133" s="123">
        <f>IFERROR(__xludf.DUMMYFUNCTION("""COMPUTED_VALUE"""),45970.75085684028)</f>
        <v>45970.75086</v>
      </c>
      <c r="B133" s="8" t="str">
        <f>IFERROR(__xludf.DUMMYFUNCTION("""COMPUTED_VALUE"""),"Aisha Alifa Noor Attarini")</f>
        <v>Aisha Alifa Noor Attarini</v>
      </c>
      <c r="C133" s="8" t="str">
        <f>IFERROR(__xludf.DUMMYFUNCTION("""COMPUTED_VALUE"""),"D250023")</f>
        <v>D250023</v>
      </c>
      <c r="D133" s="8" t="str">
        <f>IFERROR(__xludf.DUMMYFUNCTION("""COMPUTED_VALUE"""),"MTs Putri")</f>
        <v>MTs Putri</v>
      </c>
      <c r="E133" s="8" t="str">
        <f>IFERROR(__xludf.DUMMYFUNCTION("""COMPUTED_VALUE"""),"Ya")</f>
        <v>Ya</v>
      </c>
      <c r="F133" s="8">
        <f>IFERROR(__xludf.DUMMYFUNCTION("""COMPUTED_VALUE"""),5.0)</f>
        <v>5</v>
      </c>
      <c r="G133" s="8">
        <f>IFERROR(__xludf.DUMMYFUNCTION("""COMPUTED_VALUE"""),5.0)</f>
        <v>5</v>
      </c>
      <c r="H133" s="8">
        <f>IFERROR(__xludf.DUMMYFUNCTION("""COMPUTED_VALUE"""),5.0)</f>
        <v>5</v>
      </c>
      <c r="I133" s="8">
        <f>IFERROR(__xludf.DUMMYFUNCTION("""COMPUTED_VALUE"""),5.0)</f>
        <v>5</v>
      </c>
      <c r="J133" s="8">
        <f>IFERROR(__xludf.DUMMYFUNCTION("""COMPUTED_VALUE"""),5.0)</f>
        <v>5</v>
      </c>
      <c r="K133" s="8">
        <f>IFERROR(__xludf.DUMMYFUNCTION("""COMPUTED_VALUE"""),5.0)</f>
        <v>5</v>
      </c>
      <c r="L133" s="8">
        <f>IFERROR(__xludf.DUMMYFUNCTION("""COMPUTED_VALUE"""),5.0)</f>
        <v>5</v>
      </c>
      <c r="M133" s="8">
        <f>IFERROR(__xludf.DUMMYFUNCTION("""COMPUTED_VALUE"""),5.0)</f>
        <v>5</v>
      </c>
      <c r="N133" s="8">
        <f>IFERROR(__xludf.DUMMYFUNCTION("""COMPUTED_VALUE"""),5.0)</f>
        <v>5</v>
      </c>
      <c r="O133" s="8">
        <f>IFERROR(__xludf.DUMMYFUNCTION("""COMPUTED_VALUE"""),5.0)</f>
        <v>5</v>
      </c>
      <c r="P133" s="8">
        <f>IFERROR(__xludf.DUMMYFUNCTION("""COMPUTED_VALUE"""),3.0)</f>
        <v>3</v>
      </c>
      <c r="Q133" s="8">
        <f>IFERROR(__xludf.DUMMYFUNCTION("""COMPUTED_VALUE"""),3.0)</f>
        <v>3</v>
      </c>
      <c r="R133" s="8">
        <f>IFERROR(__xludf.DUMMYFUNCTION("""COMPUTED_VALUE"""),5.0)</f>
        <v>5</v>
      </c>
      <c r="S133" s="8">
        <f>IFERROR(__xludf.DUMMYFUNCTION("""COMPUTED_VALUE"""),5.0)</f>
        <v>5</v>
      </c>
      <c r="T133" s="8">
        <f>IFERROR(__xludf.DUMMYFUNCTION("""COMPUTED_VALUE"""),5.0)</f>
        <v>5</v>
      </c>
      <c r="U133" s="8">
        <f t="shared" si="1"/>
        <v>71</v>
      </c>
      <c r="V133" s="119" t="str">
        <f t="shared" si="3"/>
        <v>Siap</v>
      </c>
      <c r="W133" s="119" t="str">
        <f t="shared" si="2"/>
        <v>bisa mengikuti pola pesantren dengan baik</v>
      </c>
      <c r="X133" s="8"/>
      <c r="Y133" s="8"/>
      <c r="Z133" s="8"/>
    </row>
    <row r="134">
      <c r="A134" s="123">
        <f>IFERROR(__xludf.DUMMYFUNCTION("""COMPUTED_VALUE"""),45971.56467491898)</f>
        <v>45971.56467</v>
      </c>
      <c r="B134" s="8" t="str">
        <f>IFERROR(__xludf.DUMMYFUNCTION("""COMPUTED_VALUE"""),"Muhammad Naufal Rafif Athallah ")</f>
        <v>Muhammad Naufal Rafif Athallah </v>
      </c>
      <c r="C134" s="8" t="str">
        <f>IFERROR(__xludf.DUMMYFUNCTION("""COMPUTED_VALUE"""),"B250016")</f>
        <v>B250016</v>
      </c>
      <c r="D134" s="8" t="str">
        <f>IFERROR(__xludf.DUMMYFUNCTION("""COMPUTED_VALUE"""),"I'dad Lughawiy Putra")</f>
        <v>I'dad Lughawiy Putra</v>
      </c>
      <c r="E134" s="8" t="str">
        <f>IFERROR(__xludf.DUMMYFUNCTION("""COMPUTED_VALUE"""),"Ya")</f>
        <v>Ya</v>
      </c>
      <c r="F134" s="8">
        <f>IFERROR(__xludf.DUMMYFUNCTION("""COMPUTED_VALUE"""),5.0)</f>
        <v>5</v>
      </c>
      <c r="G134" s="8">
        <f>IFERROR(__xludf.DUMMYFUNCTION("""COMPUTED_VALUE"""),5.0)</f>
        <v>5</v>
      </c>
      <c r="H134" s="8">
        <f>IFERROR(__xludf.DUMMYFUNCTION("""COMPUTED_VALUE"""),5.0)</f>
        <v>5</v>
      </c>
      <c r="I134" s="8">
        <f>IFERROR(__xludf.DUMMYFUNCTION("""COMPUTED_VALUE"""),5.0)</f>
        <v>5</v>
      </c>
      <c r="J134" s="8">
        <f>IFERROR(__xludf.DUMMYFUNCTION("""COMPUTED_VALUE"""),5.0)</f>
        <v>5</v>
      </c>
      <c r="K134" s="8">
        <f>IFERROR(__xludf.DUMMYFUNCTION("""COMPUTED_VALUE"""),5.0)</f>
        <v>5</v>
      </c>
      <c r="L134" s="8">
        <f>IFERROR(__xludf.DUMMYFUNCTION("""COMPUTED_VALUE"""),5.0)</f>
        <v>5</v>
      </c>
      <c r="M134" s="8">
        <f>IFERROR(__xludf.DUMMYFUNCTION("""COMPUTED_VALUE"""),5.0)</f>
        <v>5</v>
      </c>
      <c r="N134" s="8">
        <f>IFERROR(__xludf.DUMMYFUNCTION("""COMPUTED_VALUE"""),4.0)</f>
        <v>4</v>
      </c>
      <c r="O134" s="8">
        <f>IFERROR(__xludf.DUMMYFUNCTION("""COMPUTED_VALUE"""),5.0)</f>
        <v>5</v>
      </c>
      <c r="P134" s="8">
        <f>IFERROR(__xludf.DUMMYFUNCTION("""COMPUTED_VALUE"""),5.0)</f>
        <v>5</v>
      </c>
      <c r="Q134" s="8">
        <f>IFERROR(__xludf.DUMMYFUNCTION("""COMPUTED_VALUE"""),5.0)</f>
        <v>5</v>
      </c>
      <c r="R134" s="8">
        <f>IFERROR(__xludf.DUMMYFUNCTION("""COMPUTED_VALUE"""),5.0)</f>
        <v>5</v>
      </c>
      <c r="S134" s="8">
        <f>IFERROR(__xludf.DUMMYFUNCTION("""COMPUTED_VALUE"""),5.0)</f>
        <v>5</v>
      </c>
      <c r="T134" s="8">
        <f>IFERROR(__xludf.DUMMYFUNCTION("""COMPUTED_VALUE"""),5.0)</f>
        <v>5</v>
      </c>
      <c r="U134" s="8">
        <f t="shared" si="1"/>
        <v>74</v>
      </c>
      <c r="V134" s="119" t="str">
        <f t="shared" si="3"/>
        <v>Siap</v>
      </c>
      <c r="W134" s="119" t="str">
        <f t="shared" si="2"/>
        <v>bisa mengikuti pola pesantren dengan baik</v>
      </c>
      <c r="X134" s="8"/>
      <c r="Y134" s="8"/>
      <c r="Z134" s="8"/>
    </row>
    <row r="135">
      <c r="A135" s="123">
        <f>IFERROR(__xludf.DUMMYFUNCTION("""COMPUTED_VALUE"""),45971.6311303125)</f>
        <v>45971.63113</v>
      </c>
      <c r="B135" s="8" t="str">
        <f>IFERROR(__xludf.DUMMYFUNCTION("""COMPUTED_VALUE"""),"Najla ulfa ")</f>
        <v>Najla ulfa </v>
      </c>
      <c r="C135" s="8" t="str">
        <f>IFERROR(__xludf.DUMMYFUNCTION("""COMPUTED_VALUE"""),"E250009")</f>
        <v>E250009</v>
      </c>
      <c r="D135" s="8" t="str">
        <f>IFERROR(__xludf.DUMMYFUNCTION("""COMPUTED_VALUE"""),"I'dad Lughawiy Putri")</f>
        <v>I'dad Lughawiy Putri</v>
      </c>
      <c r="E135" s="8" t="str">
        <f>IFERROR(__xludf.DUMMYFUNCTION("""COMPUTED_VALUE"""),"Ya")</f>
        <v>Ya</v>
      </c>
      <c r="F135" s="8">
        <f>IFERROR(__xludf.DUMMYFUNCTION("""COMPUTED_VALUE"""),5.0)</f>
        <v>5</v>
      </c>
      <c r="G135" s="8">
        <f>IFERROR(__xludf.DUMMYFUNCTION("""COMPUTED_VALUE"""),5.0)</f>
        <v>5</v>
      </c>
      <c r="H135" s="8">
        <f>IFERROR(__xludf.DUMMYFUNCTION("""COMPUTED_VALUE"""),5.0)</f>
        <v>5</v>
      </c>
      <c r="I135" s="8">
        <f>IFERROR(__xludf.DUMMYFUNCTION("""COMPUTED_VALUE"""),5.0)</f>
        <v>5</v>
      </c>
      <c r="J135" s="8">
        <f>IFERROR(__xludf.DUMMYFUNCTION("""COMPUTED_VALUE"""),3.0)</f>
        <v>3</v>
      </c>
      <c r="K135" s="8">
        <f>IFERROR(__xludf.DUMMYFUNCTION("""COMPUTED_VALUE"""),5.0)</f>
        <v>5</v>
      </c>
      <c r="L135" s="8">
        <f>IFERROR(__xludf.DUMMYFUNCTION("""COMPUTED_VALUE"""),5.0)</f>
        <v>5</v>
      </c>
      <c r="M135" s="8">
        <f>IFERROR(__xludf.DUMMYFUNCTION("""COMPUTED_VALUE"""),5.0)</f>
        <v>5</v>
      </c>
      <c r="N135" s="8">
        <f>IFERROR(__xludf.DUMMYFUNCTION("""COMPUTED_VALUE"""),3.0)</f>
        <v>3</v>
      </c>
      <c r="O135" s="8">
        <f>IFERROR(__xludf.DUMMYFUNCTION("""COMPUTED_VALUE"""),2.0)</f>
        <v>2</v>
      </c>
      <c r="P135" s="8">
        <f>IFERROR(__xludf.DUMMYFUNCTION("""COMPUTED_VALUE"""),3.0)</f>
        <v>3</v>
      </c>
      <c r="Q135" s="8">
        <f>IFERROR(__xludf.DUMMYFUNCTION("""COMPUTED_VALUE"""),4.0)</f>
        <v>4</v>
      </c>
      <c r="R135" s="8">
        <f>IFERROR(__xludf.DUMMYFUNCTION("""COMPUTED_VALUE"""),4.0)</f>
        <v>4</v>
      </c>
      <c r="S135" s="8">
        <f>IFERROR(__xludf.DUMMYFUNCTION("""COMPUTED_VALUE"""),5.0)</f>
        <v>5</v>
      </c>
      <c r="T135" s="8">
        <f>IFERROR(__xludf.DUMMYFUNCTION("""COMPUTED_VALUE"""),5.0)</f>
        <v>5</v>
      </c>
      <c r="U135" s="8">
        <f t="shared" si="1"/>
        <v>64</v>
      </c>
      <c r="V135" s="119" t="str">
        <f t="shared" si="3"/>
        <v>Siap</v>
      </c>
      <c r="W135" s="119" t="str">
        <f t="shared" si="2"/>
        <v>bisa mengikuti pola pesantren dengan baik</v>
      </c>
      <c r="X135" s="8"/>
      <c r="Y135" s="8"/>
      <c r="Z135" s="8"/>
    </row>
    <row r="136">
      <c r="A136" s="123">
        <f>IFERROR(__xludf.DUMMYFUNCTION("""COMPUTED_VALUE"""),45971.693502442125)</f>
        <v>45971.6935</v>
      </c>
      <c r="B136" s="8" t="str">
        <f>IFERROR(__xludf.DUMMYFUNCTION("""COMPUTED_VALUE"""),"Rifqi Fathurrohman")</f>
        <v>Rifqi Fathurrohman</v>
      </c>
      <c r="C136" s="8" t="str">
        <f>IFERROR(__xludf.DUMMYFUNCTION("""COMPUTED_VALUE"""),"A250084")</f>
        <v>A250084</v>
      </c>
      <c r="D136" s="8" t="str">
        <f>IFERROR(__xludf.DUMMYFUNCTION("""COMPUTED_VALUE"""),"MTs Putra")</f>
        <v>MTs Putra</v>
      </c>
      <c r="E136" s="8" t="str">
        <f>IFERROR(__xludf.DUMMYFUNCTION("""COMPUTED_VALUE"""),"Ya")</f>
        <v>Ya</v>
      </c>
      <c r="F136" s="8">
        <f>IFERROR(__xludf.DUMMYFUNCTION("""COMPUTED_VALUE"""),5.0)</f>
        <v>5</v>
      </c>
      <c r="G136" s="8">
        <f>IFERROR(__xludf.DUMMYFUNCTION("""COMPUTED_VALUE"""),4.0)</f>
        <v>4</v>
      </c>
      <c r="H136" s="8">
        <f>IFERROR(__xludf.DUMMYFUNCTION("""COMPUTED_VALUE"""),5.0)</f>
        <v>5</v>
      </c>
      <c r="I136" s="8">
        <f>IFERROR(__xludf.DUMMYFUNCTION("""COMPUTED_VALUE"""),4.0)</f>
        <v>4</v>
      </c>
      <c r="J136" s="8">
        <f>IFERROR(__xludf.DUMMYFUNCTION("""COMPUTED_VALUE"""),3.0)</f>
        <v>3</v>
      </c>
      <c r="K136" s="8">
        <f>IFERROR(__xludf.DUMMYFUNCTION("""COMPUTED_VALUE"""),5.0)</f>
        <v>5</v>
      </c>
      <c r="L136" s="8">
        <f>IFERROR(__xludf.DUMMYFUNCTION("""COMPUTED_VALUE"""),4.0)</f>
        <v>4</v>
      </c>
      <c r="M136" s="8">
        <f>IFERROR(__xludf.DUMMYFUNCTION("""COMPUTED_VALUE"""),3.0)</f>
        <v>3</v>
      </c>
      <c r="N136" s="8">
        <f>IFERROR(__xludf.DUMMYFUNCTION("""COMPUTED_VALUE"""),4.0)</f>
        <v>4</v>
      </c>
      <c r="O136" s="8">
        <f>IFERROR(__xludf.DUMMYFUNCTION("""COMPUTED_VALUE"""),4.0)</f>
        <v>4</v>
      </c>
      <c r="P136" s="8">
        <f>IFERROR(__xludf.DUMMYFUNCTION("""COMPUTED_VALUE"""),4.0)</f>
        <v>4</v>
      </c>
      <c r="Q136" s="8">
        <f>IFERROR(__xludf.DUMMYFUNCTION("""COMPUTED_VALUE"""),4.0)</f>
        <v>4</v>
      </c>
      <c r="R136" s="8">
        <f>IFERROR(__xludf.DUMMYFUNCTION("""COMPUTED_VALUE"""),5.0)</f>
        <v>5</v>
      </c>
      <c r="S136" s="8">
        <f>IFERROR(__xludf.DUMMYFUNCTION("""COMPUTED_VALUE"""),5.0)</f>
        <v>5</v>
      </c>
      <c r="T136" s="8">
        <f>IFERROR(__xludf.DUMMYFUNCTION("""COMPUTED_VALUE"""),5.0)</f>
        <v>5</v>
      </c>
      <c r="U136" s="8">
        <f t="shared" si="1"/>
        <v>64</v>
      </c>
      <c r="V136" s="119" t="str">
        <f t="shared" si="3"/>
        <v>Siap</v>
      </c>
      <c r="W136" s="119" t="str">
        <f t="shared" si="2"/>
        <v>bisa mengikuti pola pesantren dengan baik</v>
      </c>
      <c r="X136" s="8"/>
      <c r="Y136" s="8"/>
      <c r="Z136" s="8"/>
    </row>
    <row r="137">
      <c r="A137" s="123">
        <f>IFERROR(__xludf.DUMMYFUNCTION("""COMPUTED_VALUE"""),45971.83268178241)</f>
        <v>45971.83268</v>
      </c>
      <c r="B137" s="8" t="str">
        <f>IFERROR(__xludf.DUMMYFUNCTION("""COMPUTED_VALUE"""),"Zihan Muzainah Zein")</f>
        <v>Zihan Muzainah Zein</v>
      </c>
      <c r="C137" s="8" t="str">
        <f>IFERROR(__xludf.DUMMYFUNCTION("""COMPUTED_VALUE"""),"D250031")</f>
        <v>D250031</v>
      </c>
      <c r="D137" s="8" t="str">
        <f>IFERROR(__xludf.DUMMYFUNCTION("""COMPUTED_VALUE"""),"MTs Putri")</f>
        <v>MTs Putri</v>
      </c>
      <c r="E137" s="8" t="str">
        <f>IFERROR(__xludf.DUMMYFUNCTION("""COMPUTED_VALUE"""),"Ya")</f>
        <v>Ya</v>
      </c>
      <c r="F137" s="8">
        <f>IFERROR(__xludf.DUMMYFUNCTION("""COMPUTED_VALUE"""),5.0)</f>
        <v>5</v>
      </c>
      <c r="G137" s="8">
        <f>IFERROR(__xludf.DUMMYFUNCTION("""COMPUTED_VALUE"""),4.0)</f>
        <v>4</v>
      </c>
      <c r="H137" s="8">
        <f>IFERROR(__xludf.DUMMYFUNCTION("""COMPUTED_VALUE"""),2.0)</f>
        <v>2</v>
      </c>
      <c r="I137" s="8">
        <f>IFERROR(__xludf.DUMMYFUNCTION("""COMPUTED_VALUE"""),5.0)</f>
        <v>5</v>
      </c>
      <c r="J137" s="8">
        <f>IFERROR(__xludf.DUMMYFUNCTION("""COMPUTED_VALUE"""),4.0)</f>
        <v>4</v>
      </c>
      <c r="K137" s="8">
        <f>IFERROR(__xludf.DUMMYFUNCTION("""COMPUTED_VALUE"""),4.0)</f>
        <v>4</v>
      </c>
      <c r="L137" s="8">
        <f>IFERROR(__xludf.DUMMYFUNCTION("""COMPUTED_VALUE"""),4.0)</f>
        <v>4</v>
      </c>
      <c r="M137" s="8">
        <f>IFERROR(__xludf.DUMMYFUNCTION("""COMPUTED_VALUE"""),2.0)</f>
        <v>2</v>
      </c>
      <c r="N137" s="8">
        <f>IFERROR(__xludf.DUMMYFUNCTION("""COMPUTED_VALUE"""),3.0)</f>
        <v>3</v>
      </c>
      <c r="O137" s="8">
        <f>IFERROR(__xludf.DUMMYFUNCTION("""COMPUTED_VALUE"""),5.0)</f>
        <v>5</v>
      </c>
      <c r="P137" s="8">
        <f>IFERROR(__xludf.DUMMYFUNCTION("""COMPUTED_VALUE"""),4.0)</f>
        <v>4</v>
      </c>
      <c r="Q137" s="8">
        <f>IFERROR(__xludf.DUMMYFUNCTION("""COMPUTED_VALUE"""),3.0)</f>
        <v>3</v>
      </c>
      <c r="R137" s="8">
        <f>IFERROR(__xludf.DUMMYFUNCTION("""COMPUTED_VALUE"""),4.0)</f>
        <v>4</v>
      </c>
      <c r="S137" s="8">
        <f>IFERROR(__xludf.DUMMYFUNCTION("""COMPUTED_VALUE"""),4.0)</f>
        <v>4</v>
      </c>
      <c r="T137" s="8">
        <f>IFERROR(__xludf.DUMMYFUNCTION("""COMPUTED_VALUE"""),5.0)</f>
        <v>5</v>
      </c>
      <c r="U137" s="8">
        <f t="shared" si="1"/>
        <v>58</v>
      </c>
      <c r="V137" s="119" t="str">
        <f t="shared" si="3"/>
        <v>Siap</v>
      </c>
      <c r="W137" s="119" t="str">
        <f t="shared" si="2"/>
        <v>bisa mengikuti pola pesantren dengan baik</v>
      </c>
      <c r="X137" s="8"/>
      <c r="Y137" s="8"/>
      <c r="Z137" s="8"/>
    </row>
    <row r="138">
      <c r="A138" s="123">
        <f>IFERROR(__xludf.DUMMYFUNCTION("""COMPUTED_VALUE"""),45972.43925759259)</f>
        <v>45972.43926</v>
      </c>
      <c r="B138" s="8" t="str">
        <f>IFERROR(__xludf.DUMMYFUNCTION("""COMPUTED_VALUE"""),"Muhammad Syauqi Abdul Haq")</f>
        <v>Muhammad Syauqi Abdul Haq</v>
      </c>
      <c r="C138" s="8" t="str">
        <f>IFERROR(__xludf.DUMMYFUNCTION("""COMPUTED_VALUE"""),"A250069")</f>
        <v>A250069</v>
      </c>
      <c r="D138" s="8" t="str">
        <f>IFERROR(__xludf.DUMMYFUNCTION("""COMPUTED_VALUE"""),"MTs Putra")</f>
        <v>MTs Putra</v>
      </c>
      <c r="E138" s="8" t="str">
        <f>IFERROR(__xludf.DUMMYFUNCTION("""COMPUTED_VALUE"""),"Ya")</f>
        <v>Ya</v>
      </c>
      <c r="F138" s="8">
        <f>IFERROR(__xludf.DUMMYFUNCTION("""COMPUTED_VALUE"""),4.0)</f>
        <v>4</v>
      </c>
      <c r="G138" s="8">
        <f>IFERROR(__xludf.DUMMYFUNCTION("""COMPUTED_VALUE"""),5.0)</f>
        <v>5</v>
      </c>
      <c r="H138" s="8">
        <f>IFERROR(__xludf.DUMMYFUNCTION("""COMPUTED_VALUE"""),5.0)</f>
        <v>5</v>
      </c>
      <c r="I138" s="8">
        <f>IFERROR(__xludf.DUMMYFUNCTION("""COMPUTED_VALUE"""),5.0)</f>
        <v>5</v>
      </c>
      <c r="J138" s="8">
        <f>IFERROR(__xludf.DUMMYFUNCTION("""COMPUTED_VALUE"""),5.0)</f>
        <v>5</v>
      </c>
      <c r="K138" s="8">
        <f>IFERROR(__xludf.DUMMYFUNCTION("""COMPUTED_VALUE"""),5.0)</f>
        <v>5</v>
      </c>
      <c r="L138" s="8">
        <f>IFERROR(__xludf.DUMMYFUNCTION("""COMPUTED_VALUE"""),4.0)</f>
        <v>4</v>
      </c>
      <c r="M138" s="8">
        <f>IFERROR(__xludf.DUMMYFUNCTION("""COMPUTED_VALUE"""),4.0)</f>
        <v>4</v>
      </c>
      <c r="N138" s="8">
        <f>IFERROR(__xludf.DUMMYFUNCTION("""COMPUTED_VALUE"""),4.0)</f>
        <v>4</v>
      </c>
      <c r="O138" s="8">
        <f>IFERROR(__xludf.DUMMYFUNCTION("""COMPUTED_VALUE"""),5.0)</f>
        <v>5</v>
      </c>
      <c r="P138" s="8">
        <f>IFERROR(__xludf.DUMMYFUNCTION("""COMPUTED_VALUE"""),4.0)</f>
        <v>4</v>
      </c>
      <c r="Q138" s="8">
        <f>IFERROR(__xludf.DUMMYFUNCTION("""COMPUTED_VALUE"""),4.0)</f>
        <v>4</v>
      </c>
      <c r="R138" s="8">
        <f>IFERROR(__xludf.DUMMYFUNCTION("""COMPUTED_VALUE"""),4.0)</f>
        <v>4</v>
      </c>
      <c r="S138" s="8">
        <f>IFERROR(__xludf.DUMMYFUNCTION("""COMPUTED_VALUE"""),4.0)</f>
        <v>4</v>
      </c>
      <c r="T138" s="8">
        <f>IFERROR(__xludf.DUMMYFUNCTION("""COMPUTED_VALUE"""),4.0)</f>
        <v>4</v>
      </c>
      <c r="U138" s="8">
        <f t="shared" si="1"/>
        <v>66</v>
      </c>
      <c r="V138" s="119" t="str">
        <f t="shared" si="3"/>
        <v>Siap</v>
      </c>
      <c r="W138" s="119" t="str">
        <f t="shared" si="2"/>
        <v>bisa mengikuti pola pesantren dengan baik</v>
      </c>
      <c r="X138" s="8"/>
      <c r="Y138" s="8"/>
      <c r="Z138" s="8"/>
    </row>
    <row r="139">
      <c r="A139" s="123">
        <f>IFERROR(__xludf.DUMMYFUNCTION("""COMPUTED_VALUE"""),45972.608013495366)</f>
        <v>45972.60801</v>
      </c>
      <c r="B139" s="8" t="str">
        <f>IFERROR(__xludf.DUMMYFUNCTION("""COMPUTED_VALUE"""),"AL RAFFI HAFIZH IRHAM ZAKARIA")</f>
        <v>AL RAFFI HAFIZH IRHAM ZAKARIA</v>
      </c>
      <c r="C139" s="8" t="str">
        <f>IFERROR(__xludf.DUMMYFUNCTION("""COMPUTED_VALUE"""),"C250025")</f>
        <v>C250025</v>
      </c>
      <c r="D139" s="8" t="str">
        <f>IFERROR(__xludf.DUMMYFUNCTION("""COMPUTED_VALUE"""),"I'dad Lughawiy Putra")</f>
        <v>I'dad Lughawiy Putra</v>
      </c>
      <c r="E139" s="8" t="str">
        <f>IFERROR(__xludf.DUMMYFUNCTION("""COMPUTED_VALUE"""),"Ya")</f>
        <v>Ya</v>
      </c>
      <c r="F139" s="8">
        <f>IFERROR(__xludf.DUMMYFUNCTION("""COMPUTED_VALUE"""),4.0)</f>
        <v>4</v>
      </c>
      <c r="G139" s="8">
        <f>IFERROR(__xludf.DUMMYFUNCTION("""COMPUTED_VALUE"""),4.0)</f>
        <v>4</v>
      </c>
      <c r="H139" s="8">
        <f>IFERROR(__xludf.DUMMYFUNCTION("""COMPUTED_VALUE"""),4.0)</f>
        <v>4</v>
      </c>
      <c r="I139" s="8">
        <f>IFERROR(__xludf.DUMMYFUNCTION("""COMPUTED_VALUE"""),4.0)</f>
        <v>4</v>
      </c>
      <c r="J139" s="8">
        <f>IFERROR(__xludf.DUMMYFUNCTION("""COMPUTED_VALUE"""),3.0)</f>
        <v>3</v>
      </c>
      <c r="K139" s="8">
        <f>IFERROR(__xludf.DUMMYFUNCTION("""COMPUTED_VALUE"""),4.0)</f>
        <v>4</v>
      </c>
      <c r="L139" s="8">
        <f>IFERROR(__xludf.DUMMYFUNCTION("""COMPUTED_VALUE"""),4.0)</f>
        <v>4</v>
      </c>
      <c r="M139" s="8">
        <f>IFERROR(__xludf.DUMMYFUNCTION("""COMPUTED_VALUE"""),2.0)</f>
        <v>2</v>
      </c>
      <c r="N139" s="8">
        <f>IFERROR(__xludf.DUMMYFUNCTION("""COMPUTED_VALUE"""),3.0)</f>
        <v>3</v>
      </c>
      <c r="O139" s="8">
        <f>IFERROR(__xludf.DUMMYFUNCTION("""COMPUTED_VALUE"""),4.0)</f>
        <v>4</v>
      </c>
      <c r="P139" s="8">
        <f>IFERROR(__xludf.DUMMYFUNCTION("""COMPUTED_VALUE"""),4.0)</f>
        <v>4</v>
      </c>
      <c r="Q139" s="8">
        <f>IFERROR(__xludf.DUMMYFUNCTION("""COMPUTED_VALUE"""),2.0)</f>
        <v>2</v>
      </c>
      <c r="R139" s="8">
        <f>IFERROR(__xludf.DUMMYFUNCTION("""COMPUTED_VALUE"""),4.0)</f>
        <v>4</v>
      </c>
      <c r="S139" s="8">
        <f>IFERROR(__xludf.DUMMYFUNCTION("""COMPUTED_VALUE"""),4.0)</f>
        <v>4</v>
      </c>
      <c r="T139" s="8">
        <f>IFERROR(__xludf.DUMMYFUNCTION("""COMPUTED_VALUE"""),4.0)</f>
        <v>4</v>
      </c>
      <c r="U139" s="8">
        <f t="shared" si="1"/>
        <v>54</v>
      </c>
      <c r="V139" s="119" t="str">
        <f t="shared" si="3"/>
        <v>Siap</v>
      </c>
      <c r="W139" s="119" t="str">
        <f t="shared" si="2"/>
        <v>bisa mengikuti pola pesantren dengan baik</v>
      </c>
      <c r="X139" s="8"/>
      <c r="Y139" s="8"/>
      <c r="Z139" s="8"/>
    </row>
    <row r="140">
      <c r="A140" s="123">
        <f>IFERROR(__xludf.DUMMYFUNCTION("""COMPUTED_VALUE"""),45972.66855446759)</f>
        <v>45972.66855</v>
      </c>
      <c r="B140" s="8" t="str">
        <f>IFERROR(__xludf.DUMMYFUNCTION("""COMPUTED_VALUE"""),"Mohammad ghaza")</f>
        <v>Mohammad ghaza</v>
      </c>
      <c r="C140" s="8" t="str">
        <f>IFERROR(__xludf.DUMMYFUNCTION("""COMPUTED_VALUE"""),"C250013")</f>
        <v>C250013</v>
      </c>
      <c r="D140" s="8" t="str">
        <f>IFERROR(__xludf.DUMMYFUNCTION("""COMPUTED_VALUE"""),"SMA")</f>
        <v>SMA</v>
      </c>
      <c r="E140" s="8" t="str">
        <f>IFERROR(__xludf.DUMMYFUNCTION("""COMPUTED_VALUE"""),"Ya")</f>
        <v>Ya</v>
      </c>
      <c r="F140" s="8">
        <f>IFERROR(__xludf.DUMMYFUNCTION("""COMPUTED_VALUE"""),5.0)</f>
        <v>5</v>
      </c>
      <c r="G140" s="8">
        <f>IFERROR(__xludf.DUMMYFUNCTION("""COMPUTED_VALUE"""),5.0)</f>
        <v>5</v>
      </c>
      <c r="H140" s="8">
        <f>IFERROR(__xludf.DUMMYFUNCTION("""COMPUTED_VALUE"""),5.0)</f>
        <v>5</v>
      </c>
      <c r="I140" s="8">
        <f>IFERROR(__xludf.DUMMYFUNCTION("""COMPUTED_VALUE"""),5.0)</f>
        <v>5</v>
      </c>
      <c r="J140" s="8">
        <f>IFERROR(__xludf.DUMMYFUNCTION("""COMPUTED_VALUE"""),4.0)</f>
        <v>4</v>
      </c>
      <c r="K140" s="8">
        <f>IFERROR(__xludf.DUMMYFUNCTION("""COMPUTED_VALUE"""),5.0)</f>
        <v>5</v>
      </c>
      <c r="L140" s="8">
        <f>IFERROR(__xludf.DUMMYFUNCTION("""COMPUTED_VALUE"""),5.0)</f>
        <v>5</v>
      </c>
      <c r="M140" s="8">
        <f>IFERROR(__xludf.DUMMYFUNCTION("""COMPUTED_VALUE"""),5.0)</f>
        <v>5</v>
      </c>
      <c r="N140" s="8">
        <f>IFERROR(__xludf.DUMMYFUNCTION("""COMPUTED_VALUE"""),5.0)</f>
        <v>5</v>
      </c>
      <c r="O140" s="8">
        <f>IFERROR(__xludf.DUMMYFUNCTION("""COMPUTED_VALUE"""),5.0)</f>
        <v>5</v>
      </c>
      <c r="P140" s="8">
        <f>IFERROR(__xludf.DUMMYFUNCTION("""COMPUTED_VALUE"""),5.0)</f>
        <v>5</v>
      </c>
      <c r="Q140" s="8">
        <f>IFERROR(__xludf.DUMMYFUNCTION("""COMPUTED_VALUE"""),5.0)</f>
        <v>5</v>
      </c>
      <c r="R140" s="8">
        <f>IFERROR(__xludf.DUMMYFUNCTION("""COMPUTED_VALUE"""),5.0)</f>
        <v>5</v>
      </c>
      <c r="S140" s="8">
        <f>IFERROR(__xludf.DUMMYFUNCTION("""COMPUTED_VALUE"""),5.0)</f>
        <v>5</v>
      </c>
      <c r="T140" s="8">
        <f>IFERROR(__xludf.DUMMYFUNCTION("""COMPUTED_VALUE"""),5.0)</f>
        <v>5</v>
      </c>
      <c r="U140" s="8">
        <f t="shared" si="1"/>
        <v>74</v>
      </c>
      <c r="V140" s="119" t="str">
        <f t="shared" si="3"/>
        <v>Siap</v>
      </c>
      <c r="W140" s="119" t="str">
        <f t="shared" si="2"/>
        <v>bisa mengikuti pola pesantren dengan baik</v>
      </c>
      <c r="X140" s="8"/>
      <c r="Y140" s="8"/>
      <c r="Z140" s="8"/>
    </row>
    <row r="141">
      <c r="A141" s="123">
        <f>IFERROR(__xludf.DUMMYFUNCTION("""COMPUTED_VALUE"""),45972.70234737269)</f>
        <v>45972.70235</v>
      </c>
      <c r="B141" s="8" t="str">
        <f>IFERROR(__xludf.DUMMYFUNCTION("""COMPUTED_VALUE"""),"Khubaib Abdul Aziz ")</f>
        <v>Khubaib Abdul Aziz </v>
      </c>
      <c r="C141" s="8" t="str">
        <f>IFERROR(__xludf.DUMMYFUNCTION("""COMPUTED_VALUE"""),"C250022")</f>
        <v>C250022</v>
      </c>
      <c r="D141" s="8" t="str">
        <f>IFERROR(__xludf.DUMMYFUNCTION("""COMPUTED_VALUE"""),"SMA")</f>
        <v>SMA</v>
      </c>
      <c r="E141" s="8" t="str">
        <f>IFERROR(__xludf.DUMMYFUNCTION("""COMPUTED_VALUE"""),"Ya")</f>
        <v>Ya</v>
      </c>
      <c r="F141" s="8">
        <f>IFERROR(__xludf.DUMMYFUNCTION("""COMPUTED_VALUE"""),3.0)</f>
        <v>3</v>
      </c>
      <c r="G141" s="8">
        <f>IFERROR(__xludf.DUMMYFUNCTION("""COMPUTED_VALUE"""),1.0)</f>
        <v>1</v>
      </c>
      <c r="H141" s="8">
        <f>IFERROR(__xludf.DUMMYFUNCTION("""COMPUTED_VALUE"""),5.0)</f>
        <v>5</v>
      </c>
      <c r="I141" s="8">
        <f>IFERROR(__xludf.DUMMYFUNCTION("""COMPUTED_VALUE"""),4.0)</f>
        <v>4</v>
      </c>
      <c r="J141" s="8">
        <f>IFERROR(__xludf.DUMMYFUNCTION("""COMPUTED_VALUE"""),5.0)</f>
        <v>5</v>
      </c>
      <c r="K141" s="8">
        <f>IFERROR(__xludf.DUMMYFUNCTION("""COMPUTED_VALUE"""),4.0)</f>
        <v>4</v>
      </c>
      <c r="L141" s="8">
        <f>IFERROR(__xludf.DUMMYFUNCTION("""COMPUTED_VALUE"""),5.0)</f>
        <v>5</v>
      </c>
      <c r="M141" s="8">
        <f>IFERROR(__xludf.DUMMYFUNCTION("""COMPUTED_VALUE"""),5.0)</f>
        <v>5</v>
      </c>
      <c r="N141" s="8">
        <f>IFERROR(__xludf.DUMMYFUNCTION("""COMPUTED_VALUE"""),3.0)</f>
        <v>3</v>
      </c>
      <c r="O141" s="8">
        <f>IFERROR(__xludf.DUMMYFUNCTION("""COMPUTED_VALUE"""),5.0)</f>
        <v>5</v>
      </c>
      <c r="P141" s="8">
        <f>IFERROR(__xludf.DUMMYFUNCTION("""COMPUTED_VALUE"""),5.0)</f>
        <v>5</v>
      </c>
      <c r="Q141" s="8">
        <f>IFERROR(__xludf.DUMMYFUNCTION("""COMPUTED_VALUE"""),5.0)</f>
        <v>5</v>
      </c>
      <c r="R141" s="8">
        <f>IFERROR(__xludf.DUMMYFUNCTION("""COMPUTED_VALUE"""),5.0)</f>
        <v>5</v>
      </c>
      <c r="S141" s="8">
        <f>IFERROR(__xludf.DUMMYFUNCTION("""COMPUTED_VALUE"""),5.0)</f>
        <v>5</v>
      </c>
      <c r="T141" s="8">
        <f>IFERROR(__xludf.DUMMYFUNCTION("""COMPUTED_VALUE"""),5.0)</f>
        <v>5</v>
      </c>
      <c r="U141" s="8">
        <f t="shared" si="1"/>
        <v>65</v>
      </c>
      <c r="V141" s="119" t="str">
        <f t="shared" si="3"/>
        <v>Siap</v>
      </c>
      <c r="W141" s="119" t="str">
        <f t="shared" si="2"/>
        <v>bisa mengikuti pola pesantren dengan baik</v>
      </c>
      <c r="X141" s="8"/>
      <c r="Y141" s="8"/>
      <c r="Z141" s="8"/>
    </row>
    <row r="142">
      <c r="A142" s="123">
        <f>IFERROR(__xludf.DUMMYFUNCTION("""COMPUTED_VALUE"""),45972.86376399305)</f>
        <v>45972.86376</v>
      </c>
      <c r="B142" s="8" t="str">
        <f>IFERROR(__xludf.DUMMYFUNCTION("""COMPUTED_VALUE"""),"Nidaul Husna ")</f>
        <v>Nidaul Husna </v>
      </c>
      <c r="C142" s="8" t="str">
        <f>IFERROR(__xludf.DUMMYFUNCTION("""COMPUTED_VALUE"""),"F250003")</f>
        <v>F250003</v>
      </c>
      <c r="D142" s="8" t="str">
        <f>IFERROR(__xludf.DUMMYFUNCTION("""COMPUTED_VALUE"""),"I'dad Lughawiy Putri")</f>
        <v>I'dad Lughawiy Putri</v>
      </c>
      <c r="E142" s="8" t="str">
        <f>IFERROR(__xludf.DUMMYFUNCTION("""COMPUTED_VALUE"""),"Ya")</f>
        <v>Ya</v>
      </c>
      <c r="F142" s="8">
        <f>IFERROR(__xludf.DUMMYFUNCTION("""COMPUTED_VALUE"""),4.0)</f>
        <v>4</v>
      </c>
      <c r="G142" s="8">
        <f>IFERROR(__xludf.DUMMYFUNCTION("""COMPUTED_VALUE"""),5.0)</f>
        <v>5</v>
      </c>
      <c r="H142" s="8">
        <f>IFERROR(__xludf.DUMMYFUNCTION("""COMPUTED_VALUE"""),5.0)</f>
        <v>5</v>
      </c>
      <c r="I142" s="8">
        <f>IFERROR(__xludf.DUMMYFUNCTION("""COMPUTED_VALUE"""),5.0)</f>
        <v>5</v>
      </c>
      <c r="J142" s="8">
        <f>IFERROR(__xludf.DUMMYFUNCTION("""COMPUTED_VALUE"""),3.0)</f>
        <v>3</v>
      </c>
      <c r="K142" s="8">
        <f>IFERROR(__xludf.DUMMYFUNCTION("""COMPUTED_VALUE"""),5.0)</f>
        <v>5</v>
      </c>
      <c r="L142" s="8">
        <f>IFERROR(__xludf.DUMMYFUNCTION("""COMPUTED_VALUE"""),4.0)</f>
        <v>4</v>
      </c>
      <c r="M142" s="8">
        <f>IFERROR(__xludf.DUMMYFUNCTION("""COMPUTED_VALUE"""),5.0)</f>
        <v>5</v>
      </c>
      <c r="N142" s="8">
        <f>IFERROR(__xludf.DUMMYFUNCTION("""COMPUTED_VALUE"""),5.0)</f>
        <v>5</v>
      </c>
      <c r="O142" s="8">
        <f>IFERROR(__xludf.DUMMYFUNCTION("""COMPUTED_VALUE"""),4.0)</f>
        <v>4</v>
      </c>
      <c r="P142" s="8">
        <f>IFERROR(__xludf.DUMMYFUNCTION("""COMPUTED_VALUE"""),5.0)</f>
        <v>5</v>
      </c>
      <c r="Q142" s="8">
        <f>IFERROR(__xludf.DUMMYFUNCTION("""COMPUTED_VALUE"""),4.0)</f>
        <v>4</v>
      </c>
      <c r="R142" s="8">
        <f>IFERROR(__xludf.DUMMYFUNCTION("""COMPUTED_VALUE"""),5.0)</f>
        <v>5</v>
      </c>
      <c r="S142" s="8">
        <f>IFERROR(__xludf.DUMMYFUNCTION("""COMPUTED_VALUE"""),5.0)</f>
        <v>5</v>
      </c>
      <c r="T142" s="8">
        <f>IFERROR(__xludf.DUMMYFUNCTION("""COMPUTED_VALUE"""),5.0)</f>
        <v>5</v>
      </c>
      <c r="U142" s="8">
        <f t="shared" si="1"/>
        <v>69</v>
      </c>
      <c r="V142" s="119" t="str">
        <f t="shared" si="3"/>
        <v>Siap</v>
      </c>
      <c r="W142" s="119" t="str">
        <f t="shared" si="2"/>
        <v>bisa mengikuti pola pesantren dengan baik</v>
      </c>
      <c r="X142" s="8"/>
      <c r="Y142" s="8"/>
      <c r="Z142" s="8"/>
    </row>
    <row r="143">
      <c r="A143" s="123">
        <f>IFERROR(__xludf.DUMMYFUNCTION("""COMPUTED_VALUE"""),45972.866912303245)</f>
        <v>45972.86691</v>
      </c>
      <c r="B143" s="8" t="str">
        <f>IFERROR(__xludf.DUMMYFUNCTION("""COMPUTED_VALUE"""),"Faruq Ahmad Asy-Sirbuni")</f>
        <v>Faruq Ahmad Asy-Sirbuni</v>
      </c>
      <c r="C143" s="8" t="str">
        <f>IFERROR(__xludf.DUMMYFUNCTION("""COMPUTED_VALUE"""),"A250026")</f>
        <v>A250026</v>
      </c>
      <c r="D143" s="8" t="str">
        <f>IFERROR(__xludf.DUMMYFUNCTION("""COMPUTED_VALUE"""),"MTs Putra")</f>
        <v>MTs Putra</v>
      </c>
      <c r="E143" s="8" t="str">
        <f>IFERROR(__xludf.DUMMYFUNCTION("""COMPUTED_VALUE"""),"Ya")</f>
        <v>Ya</v>
      </c>
      <c r="F143" s="8">
        <f>IFERROR(__xludf.DUMMYFUNCTION("""COMPUTED_VALUE"""),4.0)</f>
        <v>4</v>
      </c>
      <c r="G143" s="8">
        <f>IFERROR(__xludf.DUMMYFUNCTION("""COMPUTED_VALUE"""),4.0)</f>
        <v>4</v>
      </c>
      <c r="H143" s="8">
        <f>IFERROR(__xludf.DUMMYFUNCTION("""COMPUTED_VALUE"""),4.0)</f>
        <v>4</v>
      </c>
      <c r="I143" s="8">
        <f>IFERROR(__xludf.DUMMYFUNCTION("""COMPUTED_VALUE"""),5.0)</f>
        <v>5</v>
      </c>
      <c r="J143" s="8">
        <f>IFERROR(__xludf.DUMMYFUNCTION("""COMPUTED_VALUE"""),4.0)</f>
        <v>4</v>
      </c>
      <c r="K143" s="8">
        <f>IFERROR(__xludf.DUMMYFUNCTION("""COMPUTED_VALUE"""),5.0)</f>
        <v>5</v>
      </c>
      <c r="L143" s="8">
        <f>IFERROR(__xludf.DUMMYFUNCTION("""COMPUTED_VALUE"""),4.0)</f>
        <v>4</v>
      </c>
      <c r="M143" s="8">
        <f>IFERROR(__xludf.DUMMYFUNCTION("""COMPUTED_VALUE"""),4.0)</f>
        <v>4</v>
      </c>
      <c r="N143" s="8">
        <f>IFERROR(__xludf.DUMMYFUNCTION("""COMPUTED_VALUE"""),4.0)</f>
        <v>4</v>
      </c>
      <c r="O143" s="8">
        <f>IFERROR(__xludf.DUMMYFUNCTION("""COMPUTED_VALUE"""),4.0)</f>
        <v>4</v>
      </c>
      <c r="P143" s="8">
        <f>IFERROR(__xludf.DUMMYFUNCTION("""COMPUTED_VALUE"""),5.0)</f>
        <v>5</v>
      </c>
      <c r="Q143" s="8">
        <f>IFERROR(__xludf.DUMMYFUNCTION("""COMPUTED_VALUE"""),4.0)</f>
        <v>4</v>
      </c>
      <c r="R143" s="8">
        <f>IFERROR(__xludf.DUMMYFUNCTION("""COMPUTED_VALUE"""),5.0)</f>
        <v>5</v>
      </c>
      <c r="S143" s="8">
        <f>IFERROR(__xludf.DUMMYFUNCTION("""COMPUTED_VALUE"""),4.0)</f>
        <v>4</v>
      </c>
      <c r="T143" s="8">
        <f>IFERROR(__xludf.DUMMYFUNCTION("""COMPUTED_VALUE"""),5.0)</f>
        <v>5</v>
      </c>
      <c r="U143" s="8">
        <f t="shared" si="1"/>
        <v>65</v>
      </c>
      <c r="V143" s="119" t="str">
        <f t="shared" si="3"/>
        <v>Siap</v>
      </c>
      <c r="W143" s="119" t="str">
        <f t="shared" si="2"/>
        <v>bisa mengikuti pola pesantren dengan baik</v>
      </c>
      <c r="X143" s="8"/>
      <c r="Y143" s="8"/>
      <c r="Z143" s="8"/>
    </row>
    <row r="144">
      <c r="A144" s="123">
        <f>IFERROR(__xludf.DUMMYFUNCTION("""COMPUTED_VALUE"""),45972.91271211806)</f>
        <v>45972.91271</v>
      </c>
      <c r="B144" s="8" t="str">
        <f>IFERROR(__xludf.DUMMYFUNCTION("""COMPUTED_VALUE"""),"Achmad kaisan sidqi")</f>
        <v>Achmad kaisan sidqi</v>
      </c>
      <c r="C144" s="8" t="str">
        <f>IFERROR(__xludf.DUMMYFUNCTION("""COMPUTED_VALUE"""),"C250007")</f>
        <v>C250007</v>
      </c>
      <c r="D144" s="8" t="str">
        <f>IFERROR(__xludf.DUMMYFUNCTION("""COMPUTED_VALUE"""),"SMA")</f>
        <v>SMA</v>
      </c>
      <c r="E144" s="8" t="str">
        <f>IFERROR(__xludf.DUMMYFUNCTION("""COMPUTED_VALUE"""),"Ya")</f>
        <v>Ya</v>
      </c>
      <c r="F144" s="8">
        <f>IFERROR(__xludf.DUMMYFUNCTION("""COMPUTED_VALUE"""),5.0)</f>
        <v>5</v>
      </c>
      <c r="G144" s="8">
        <f>IFERROR(__xludf.DUMMYFUNCTION("""COMPUTED_VALUE"""),4.0)</f>
        <v>4</v>
      </c>
      <c r="H144" s="8">
        <f>IFERROR(__xludf.DUMMYFUNCTION("""COMPUTED_VALUE"""),4.0)</f>
        <v>4</v>
      </c>
      <c r="I144" s="8">
        <f>IFERROR(__xludf.DUMMYFUNCTION("""COMPUTED_VALUE"""),4.0)</f>
        <v>4</v>
      </c>
      <c r="J144" s="8">
        <f>IFERROR(__xludf.DUMMYFUNCTION("""COMPUTED_VALUE"""),5.0)</f>
        <v>5</v>
      </c>
      <c r="K144" s="8">
        <f>IFERROR(__xludf.DUMMYFUNCTION("""COMPUTED_VALUE"""),4.0)</f>
        <v>4</v>
      </c>
      <c r="L144" s="8">
        <f>IFERROR(__xludf.DUMMYFUNCTION("""COMPUTED_VALUE"""),4.0)</f>
        <v>4</v>
      </c>
      <c r="M144" s="8">
        <f>IFERROR(__xludf.DUMMYFUNCTION("""COMPUTED_VALUE"""),4.0)</f>
        <v>4</v>
      </c>
      <c r="N144" s="8">
        <f>IFERROR(__xludf.DUMMYFUNCTION("""COMPUTED_VALUE"""),5.0)</f>
        <v>5</v>
      </c>
      <c r="O144" s="8">
        <f>IFERROR(__xludf.DUMMYFUNCTION("""COMPUTED_VALUE"""),5.0)</f>
        <v>5</v>
      </c>
      <c r="P144" s="8">
        <f>IFERROR(__xludf.DUMMYFUNCTION("""COMPUTED_VALUE"""),4.0)</f>
        <v>4</v>
      </c>
      <c r="Q144" s="8">
        <f>IFERROR(__xludf.DUMMYFUNCTION("""COMPUTED_VALUE"""),4.0)</f>
        <v>4</v>
      </c>
      <c r="R144" s="8">
        <f>IFERROR(__xludf.DUMMYFUNCTION("""COMPUTED_VALUE"""),4.0)</f>
        <v>4</v>
      </c>
      <c r="S144" s="8">
        <f>IFERROR(__xludf.DUMMYFUNCTION("""COMPUTED_VALUE"""),4.0)</f>
        <v>4</v>
      </c>
      <c r="T144" s="8">
        <f>IFERROR(__xludf.DUMMYFUNCTION("""COMPUTED_VALUE"""),4.0)</f>
        <v>4</v>
      </c>
      <c r="U144" s="8">
        <f t="shared" si="1"/>
        <v>64</v>
      </c>
      <c r="V144" s="119" t="str">
        <f t="shared" si="3"/>
        <v>Siap</v>
      </c>
      <c r="W144" s="119" t="str">
        <f t="shared" si="2"/>
        <v>bisa mengikuti pola pesantren dengan baik</v>
      </c>
      <c r="X144" s="8"/>
      <c r="Y144" s="8"/>
      <c r="Z144" s="8"/>
    </row>
    <row r="145">
      <c r="A145" s="123">
        <f>IFERROR(__xludf.DUMMYFUNCTION("""COMPUTED_VALUE"""),45973.39897702546)</f>
        <v>45973.39898</v>
      </c>
      <c r="B145" s="8" t="str">
        <f>IFERROR(__xludf.DUMMYFUNCTION("""COMPUTED_VALUE"""),"Zakaria reynaldo")</f>
        <v>Zakaria reynaldo</v>
      </c>
      <c r="C145" s="8" t="str">
        <f>IFERROR(__xludf.DUMMYFUNCTION("""COMPUTED_VALUE"""),"C0000")</f>
        <v>C0000</v>
      </c>
      <c r="D145" s="8" t="str">
        <f>IFERROR(__xludf.DUMMYFUNCTION("""COMPUTED_VALUE"""),"I'dad Lughawiy Putra")</f>
        <v>I'dad Lughawiy Putra</v>
      </c>
      <c r="E145" s="8" t="str">
        <f>IFERROR(__xludf.DUMMYFUNCTION("""COMPUTED_VALUE"""),"Ya")</f>
        <v>Ya</v>
      </c>
      <c r="F145" s="8">
        <f>IFERROR(__xludf.DUMMYFUNCTION("""COMPUTED_VALUE"""),5.0)</f>
        <v>5</v>
      </c>
      <c r="G145" s="8">
        <f>IFERROR(__xludf.DUMMYFUNCTION("""COMPUTED_VALUE"""),4.0)</f>
        <v>4</v>
      </c>
      <c r="H145" s="8">
        <f>IFERROR(__xludf.DUMMYFUNCTION("""COMPUTED_VALUE"""),4.0)</f>
        <v>4</v>
      </c>
      <c r="I145" s="8">
        <f>IFERROR(__xludf.DUMMYFUNCTION("""COMPUTED_VALUE"""),3.0)</f>
        <v>3</v>
      </c>
      <c r="J145" s="8">
        <f>IFERROR(__xludf.DUMMYFUNCTION("""COMPUTED_VALUE"""),4.0)</f>
        <v>4</v>
      </c>
      <c r="K145" s="8">
        <f>IFERROR(__xludf.DUMMYFUNCTION("""COMPUTED_VALUE"""),3.0)</f>
        <v>3</v>
      </c>
      <c r="L145" s="8">
        <f>IFERROR(__xludf.DUMMYFUNCTION("""COMPUTED_VALUE"""),3.0)</f>
        <v>3</v>
      </c>
      <c r="M145" s="8">
        <f>IFERROR(__xludf.DUMMYFUNCTION("""COMPUTED_VALUE"""),1.0)</f>
        <v>1</v>
      </c>
      <c r="N145" s="8">
        <f>IFERROR(__xludf.DUMMYFUNCTION("""COMPUTED_VALUE"""),3.0)</f>
        <v>3</v>
      </c>
      <c r="O145" s="8">
        <f>IFERROR(__xludf.DUMMYFUNCTION("""COMPUTED_VALUE"""),3.0)</f>
        <v>3</v>
      </c>
      <c r="P145" s="8">
        <f>IFERROR(__xludf.DUMMYFUNCTION("""COMPUTED_VALUE"""),4.0)</f>
        <v>4</v>
      </c>
      <c r="Q145" s="8">
        <f>IFERROR(__xludf.DUMMYFUNCTION("""COMPUTED_VALUE"""),4.0)</f>
        <v>4</v>
      </c>
      <c r="R145" s="8">
        <f>IFERROR(__xludf.DUMMYFUNCTION("""COMPUTED_VALUE"""),3.0)</f>
        <v>3</v>
      </c>
      <c r="S145" s="8">
        <f>IFERROR(__xludf.DUMMYFUNCTION("""COMPUTED_VALUE"""),4.0)</f>
        <v>4</v>
      </c>
      <c r="T145" s="8">
        <f>IFERROR(__xludf.DUMMYFUNCTION("""COMPUTED_VALUE"""),3.0)</f>
        <v>3</v>
      </c>
      <c r="U145" s="8">
        <f t="shared" si="1"/>
        <v>51</v>
      </c>
      <c r="V145" s="119" t="str">
        <f t="shared" si="3"/>
        <v>Siap</v>
      </c>
      <c r="W145" s="119" t="str">
        <f t="shared" si="2"/>
        <v>bisa mengikuti pola pesantren dengan baik</v>
      </c>
      <c r="X145" s="8"/>
      <c r="Y145" s="8"/>
      <c r="Z145" s="8"/>
    </row>
    <row r="146">
      <c r="A146" s="123">
        <f>IFERROR(__xludf.DUMMYFUNCTION("""COMPUTED_VALUE"""),45973.71813040509)</f>
        <v>45973.71813</v>
      </c>
      <c r="B146" s="8" t="str">
        <f>IFERROR(__xludf.DUMMYFUNCTION("""COMPUTED_VALUE"""),"ananda hezky fayeza")</f>
        <v>ananda hezky fayeza</v>
      </c>
      <c r="C146" s="8" t="str">
        <f>IFERROR(__xludf.DUMMYFUNCTION("""COMPUTED_VALUE"""),"C250024")</f>
        <v>C250024</v>
      </c>
      <c r="D146" s="8" t="str">
        <f>IFERROR(__xludf.DUMMYFUNCTION("""COMPUTED_VALUE"""),"SMA")</f>
        <v>SMA</v>
      </c>
      <c r="E146" s="8" t="str">
        <f>IFERROR(__xludf.DUMMYFUNCTION("""COMPUTED_VALUE"""),"Ya")</f>
        <v>Ya</v>
      </c>
      <c r="F146" s="8">
        <f>IFERROR(__xludf.DUMMYFUNCTION("""COMPUTED_VALUE"""),4.0)</f>
        <v>4</v>
      </c>
      <c r="G146" s="8">
        <f>IFERROR(__xludf.DUMMYFUNCTION("""COMPUTED_VALUE"""),4.0)</f>
        <v>4</v>
      </c>
      <c r="H146" s="8">
        <f>IFERROR(__xludf.DUMMYFUNCTION("""COMPUTED_VALUE"""),5.0)</f>
        <v>5</v>
      </c>
      <c r="I146" s="8">
        <f>IFERROR(__xludf.DUMMYFUNCTION("""COMPUTED_VALUE"""),4.0)</f>
        <v>4</v>
      </c>
      <c r="J146" s="8">
        <f>IFERROR(__xludf.DUMMYFUNCTION("""COMPUTED_VALUE"""),3.0)</f>
        <v>3</v>
      </c>
      <c r="K146" s="8">
        <f>IFERROR(__xludf.DUMMYFUNCTION("""COMPUTED_VALUE"""),5.0)</f>
        <v>5</v>
      </c>
      <c r="L146" s="8">
        <f>IFERROR(__xludf.DUMMYFUNCTION("""COMPUTED_VALUE"""),4.0)</f>
        <v>4</v>
      </c>
      <c r="M146" s="8">
        <f>IFERROR(__xludf.DUMMYFUNCTION("""COMPUTED_VALUE"""),5.0)</f>
        <v>5</v>
      </c>
      <c r="N146" s="8">
        <f>IFERROR(__xludf.DUMMYFUNCTION("""COMPUTED_VALUE"""),5.0)</f>
        <v>5</v>
      </c>
      <c r="O146" s="8">
        <f>IFERROR(__xludf.DUMMYFUNCTION("""COMPUTED_VALUE"""),4.0)</f>
        <v>4</v>
      </c>
      <c r="P146" s="8">
        <f>IFERROR(__xludf.DUMMYFUNCTION("""COMPUTED_VALUE"""),5.0)</f>
        <v>5</v>
      </c>
      <c r="Q146" s="8">
        <f>IFERROR(__xludf.DUMMYFUNCTION("""COMPUTED_VALUE"""),5.0)</f>
        <v>5</v>
      </c>
      <c r="R146" s="8">
        <f>IFERROR(__xludf.DUMMYFUNCTION("""COMPUTED_VALUE"""),4.0)</f>
        <v>4</v>
      </c>
      <c r="S146" s="8">
        <f>IFERROR(__xludf.DUMMYFUNCTION("""COMPUTED_VALUE"""),4.0)</f>
        <v>4</v>
      </c>
      <c r="T146" s="8">
        <f>IFERROR(__xludf.DUMMYFUNCTION("""COMPUTED_VALUE"""),5.0)</f>
        <v>5</v>
      </c>
      <c r="U146" s="8">
        <f t="shared" si="1"/>
        <v>66</v>
      </c>
      <c r="V146" s="119" t="str">
        <f t="shared" si="3"/>
        <v>Siap</v>
      </c>
      <c r="W146" s="119" t="str">
        <f t="shared" si="2"/>
        <v>bisa mengikuti pola pesantren dengan baik</v>
      </c>
      <c r="X146" s="8"/>
      <c r="Y146" s="8"/>
      <c r="Z146" s="8"/>
    </row>
    <row r="147">
      <c r="A147" s="123">
        <f>IFERROR(__xludf.DUMMYFUNCTION("""COMPUTED_VALUE"""),45973.72400346065)</f>
        <v>45973.724</v>
      </c>
      <c r="B147" s="8" t="str">
        <f>IFERROR(__xludf.DUMMYFUNCTION("""COMPUTED_VALUE"""),"Rayyan Muzaffar Firdaus")</f>
        <v>Rayyan Muzaffar Firdaus</v>
      </c>
      <c r="C147" s="8" t="str">
        <f>IFERROR(__xludf.DUMMYFUNCTION("""COMPUTED_VALUE"""),"A250039")</f>
        <v>A250039</v>
      </c>
      <c r="D147" s="8" t="str">
        <f>IFERROR(__xludf.DUMMYFUNCTION("""COMPUTED_VALUE"""),"MTs Putra")</f>
        <v>MTs Putra</v>
      </c>
      <c r="E147" s="8" t="str">
        <f>IFERROR(__xludf.DUMMYFUNCTION("""COMPUTED_VALUE"""),"Ya")</f>
        <v>Ya</v>
      </c>
      <c r="F147" s="8">
        <f>IFERROR(__xludf.DUMMYFUNCTION("""COMPUTED_VALUE"""),4.0)</f>
        <v>4</v>
      </c>
      <c r="G147" s="8">
        <f>IFERROR(__xludf.DUMMYFUNCTION("""COMPUTED_VALUE"""),5.0)</f>
        <v>5</v>
      </c>
      <c r="H147" s="8">
        <f>IFERROR(__xludf.DUMMYFUNCTION("""COMPUTED_VALUE"""),4.0)</f>
        <v>4</v>
      </c>
      <c r="I147" s="8">
        <f>IFERROR(__xludf.DUMMYFUNCTION("""COMPUTED_VALUE"""),4.0)</f>
        <v>4</v>
      </c>
      <c r="J147" s="8">
        <f>IFERROR(__xludf.DUMMYFUNCTION("""COMPUTED_VALUE"""),5.0)</f>
        <v>5</v>
      </c>
      <c r="K147" s="8">
        <f>IFERROR(__xludf.DUMMYFUNCTION("""COMPUTED_VALUE"""),4.0)</f>
        <v>4</v>
      </c>
      <c r="L147" s="8">
        <f>IFERROR(__xludf.DUMMYFUNCTION("""COMPUTED_VALUE"""),4.0)</f>
        <v>4</v>
      </c>
      <c r="M147" s="8">
        <f>IFERROR(__xludf.DUMMYFUNCTION("""COMPUTED_VALUE"""),4.0)</f>
        <v>4</v>
      </c>
      <c r="N147" s="8">
        <f>IFERROR(__xludf.DUMMYFUNCTION("""COMPUTED_VALUE"""),4.0)</f>
        <v>4</v>
      </c>
      <c r="O147" s="8">
        <f>IFERROR(__xludf.DUMMYFUNCTION("""COMPUTED_VALUE"""),5.0)</f>
        <v>5</v>
      </c>
      <c r="P147" s="8">
        <f>IFERROR(__xludf.DUMMYFUNCTION("""COMPUTED_VALUE"""),5.0)</f>
        <v>5</v>
      </c>
      <c r="Q147" s="8">
        <f>IFERROR(__xludf.DUMMYFUNCTION("""COMPUTED_VALUE"""),4.0)</f>
        <v>4</v>
      </c>
      <c r="R147" s="8">
        <f>IFERROR(__xludf.DUMMYFUNCTION("""COMPUTED_VALUE"""),5.0)</f>
        <v>5</v>
      </c>
      <c r="S147" s="8">
        <f>IFERROR(__xludf.DUMMYFUNCTION("""COMPUTED_VALUE"""),4.0)</f>
        <v>4</v>
      </c>
      <c r="T147" s="8">
        <f>IFERROR(__xludf.DUMMYFUNCTION("""COMPUTED_VALUE"""),4.0)</f>
        <v>4</v>
      </c>
      <c r="U147" s="8">
        <f t="shared" si="1"/>
        <v>65</v>
      </c>
      <c r="V147" s="119" t="str">
        <f t="shared" si="3"/>
        <v>Siap</v>
      </c>
      <c r="W147" s="119" t="str">
        <f t="shared" si="2"/>
        <v>bisa mengikuti pola pesantren dengan baik</v>
      </c>
      <c r="X147" s="8"/>
      <c r="Y147" s="8"/>
      <c r="Z147" s="8"/>
    </row>
    <row r="148">
      <c r="A148" s="123">
        <f>IFERROR(__xludf.DUMMYFUNCTION("""COMPUTED_VALUE"""),45973.84217350694)</f>
        <v>45973.84217</v>
      </c>
      <c r="B148" s="8" t="str">
        <f>IFERROR(__xludf.DUMMYFUNCTION("""COMPUTED_VALUE"""),"Clarisa aqila putri")</f>
        <v>Clarisa aqila putri</v>
      </c>
      <c r="C148" s="8" t="str">
        <f>IFERROR(__xludf.DUMMYFUNCTION("""COMPUTED_VALUE"""),"D250030")</f>
        <v>D250030</v>
      </c>
      <c r="D148" s="8" t="str">
        <f>IFERROR(__xludf.DUMMYFUNCTION("""COMPUTED_VALUE"""),"MTs Putri")</f>
        <v>MTs Putri</v>
      </c>
      <c r="E148" s="8" t="str">
        <f>IFERROR(__xludf.DUMMYFUNCTION("""COMPUTED_VALUE"""),"Ya")</f>
        <v>Ya</v>
      </c>
      <c r="F148" s="8">
        <f>IFERROR(__xludf.DUMMYFUNCTION("""COMPUTED_VALUE"""),5.0)</f>
        <v>5</v>
      </c>
      <c r="G148" s="8">
        <f>IFERROR(__xludf.DUMMYFUNCTION("""COMPUTED_VALUE"""),5.0)</f>
        <v>5</v>
      </c>
      <c r="H148" s="8">
        <f>IFERROR(__xludf.DUMMYFUNCTION("""COMPUTED_VALUE"""),5.0)</f>
        <v>5</v>
      </c>
      <c r="I148" s="8">
        <f>IFERROR(__xludf.DUMMYFUNCTION("""COMPUTED_VALUE"""),5.0)</f>
        <v>5</v>
      </c>
      <c r="J148" s="8">
        <f>IFERROR(__xludf.DUMMYFUNCTION("""COMPUTED_VALUE"""),5.0)</f>
        <v>5</v>
      </c>
      <c r="K148" s="8">
        <f>IFERROR(__xludf.DUMMYFUNCTION("""COMPUTED_VALUE"""),5.0)</f>
        <v>5</v>
      </c>
      <c r="L148" s="8">
        <f>IFERROR(__xludf.DUMMYFUNCTION("""COMPUTED_VALUE"""),5.0)</f>
        <v>5</v>
      </c>
      <c r="M148" s="8">
        <f>IFERROR(__xludf.DUMMYFUNCTION("""COMPUTED_VALUE"""),1.0)</f>
        <v>1</v>
      </c>
      <c r="N148" s="8">
        <f>IFERROR(__xludf.DUMMYFUNCTION("""COMPUTED_VALUE"""),2.0)</f>
        <v>2</v>
      </c>
      <c r="O148" s="8">
        <f>IFERROR(__xludf.DUMMYFUNCTION("""COMPUTED_VALUE"""),2.0)</f>
        <v>2</v>
      </c>
      <c r="P148" s="8">
        <f>IFERROR(__xludf.DUMMYFUNCTION("""COMPUTED_VALUE"""),3.0)</f>
        <v>3</v>
      </c>
      <c r="Q148" s="8">
        <f>IFERROR(__xludf.DUMMYFUNCTION("""COMPUTED_VALUE"""),4.0)</f>
        <v>4</v>
      </c>
      <c r="R148" s="8">
        <f>IFERROR(__xludf.DUMMYFUNCTION("""COMPUTED_VALUE"""),5.0)</f>
        <v>5</v>
      </c>
      <c r="S148" s="8">
        <f>IFERROR(__xludf.DUMMYFUNCTION("""COMPUTED_VALUE"""),4.0)</f>
        <v>4</v>
      </c>
      <c r="T148" s="8">
        <f>IFERROR(__xludf.DUMMYFUNCTION("""COMPUTED_VALUE"""),4.0)</f>
        <v>4</v>
      </c>
      <c r="U148" s="8">
        <f t="shared" si="1"/>
        <v>60</v>
      </c>
      <c r="V148" s="119" t="str">
        <f t="shared" si="3"/>
        <v>Siap</v>
      </c>
      <c r="W148" s="119" t="str">
        <f t="shared" si="2"/>
        <v>bisa mengikuti pola pesantren dengan baik</v>
      </c>
      <c r="X148" s="8"/>
      <c r="Y148" s="8"/>
      <c r="Z148" s="8"/>
    </row>
    <row r="149">
      <c r="A149" s="123">
        <f>IFERROR(__xludf.DUMMYFUNCTION("""COMPUTED_VALUE"""),45974.78718888889)</f>
        <v>45974.78719</v>
      </c>
      <c r="B149" s="8" t="str">
        <f>IFERROR(__xludf.DUMMYFUNCTION("""COMPUTED_VALUE"""),"Abdurrahman Dihyah Arrobi")</f>
        <v>Abdurrahman Dihyah Arrobi</v>
      </c>
      <c r="C149" s="8" t="str">
        <f>IFERROR(__xludf.DUMMYFUNCTION("""COMPUTED_VALUE"""),"A250056")</f>
        <v>A250056</v>
      </c>
      <c r="D149" s="8" t="str">
        <f>IFERROR(__xludf.DUMMYFUNCTION("""COMPUTED_VALUE"""),"MTs Putra")</f>
        <v>MTs Putra</v>
      </c>
      <c r="E149" s="8" t="str">
        <f>IFERROR(__xludf.DUMMYFUNCTION("""COMPUTED_VALUE"""),"Ya")</f>
        <v>Ya</v>
      </c>
      <c r="F149" s="8">
        <f>IFERROR(__xludf.DUMMYFUNCTION("""COMPUTED_VALUE"""),5.0)</f>
        <v>5</v>
      </c>
      <c r="G149" s="8">
        <f>IFERROR(__xludf.DUMMYFUNCTION("""COMPUTED_VALUE"""),4.0)</f>
        <v>4</v>
      </c>
      <c r="H149" s="8">
        <f>IFERROR(__xludf.DUMMYFUNCTION("""COMPUTED_VALUE"""),5.0)</f>
        <v>5</v>
      </c>
      <c r="I149" s="8">
        <f>IFERROR(__xludf.DUMMYFUNCTION("""COMPUTED_VALUE"""),5.0)</f>
        <v>5</v>
      </c>
      <c r="J149" s="8">
        <f>IFERROR(__xludf.DUMMYFUNCTION("""COMPUTED_VALUE"""),5.0)</f>
        <v>5</v>
      </c>
      <c r="K149" s="8">
        <f>IFERROR(__xludf.DUMMYFUNCTION("""COMPUTED_VALUE"""),4.0)</f>
        <v>4</v>
      </c>
      <c r="L149" s="8">
        <f>IFERROR(__xludf.DUMMYFUNCTION("""COMPUTED_VALUE"""),5.0)</f>
        <v>5</v>
      </c>
      <c r="M149" s="8">
        <f>IFERROR(__xludf.DUMMYFUNCTION("""COMPUTED_VALUE"""),4.0)</f>
        <v>4</v>
      </c>
      <c r="N149" s="8">
        <f>IFERROR(__xludf.DUMMYFUNCTION("""COMPUTED_VALUE"""),4.0)</f>
        <v>4</v>
      </c>
      <c r="O149" s="8">
        <f>IFERROR(__xludf.DUMMYFUNCTION("""COMPUTED_VALUE"""),5.0)</f>
        <v>5</v>
      </c>
      <c r="P149" s="8">
        <f>IFERROR(__xludf.DUMMYFUNCTION("""COMPUTED_VALUE"""),3.0)</f>
        <v>3</v>
      </c>
      <c r="Q149" s="8">
        <f>IFERROR(__xludf.DUMMYFUNCTION("""COMPUTED_VALUE"""),5.0)</f>
        <v>5</v>
      </c>
      <c r="R149" s="8">
        <f>IFERROR(__xludf.DUMMYFUNCTION("""COMPUTED_VALUE"""),5.0)</f>
        <v>5</v>
      </c>
      <c r="S149" s="8">
        <f>IFERROR(__xludf.DUMMYFUNCTION("""COMPUTED_VALUE"""),4.0)</f>
        <v>4</v>
      </c>
      <c r="T149" s="8">
        <f>IFERROR(__xludf.DUMMYFUNCTION("""COMPUTED_VALUE"""),5.0)</f>
        <v>5</v>
      </c>
      <c r="U149" s="8">
        <f t="shared" si="1"/>
        <v>68</v>
      </c>
      <c r="V149" s="119" t="str">
        <f t="shared" si="3"/>
        <v>Siap</v>
      </c>
      <c r="W149" s="119" t="str">
        <f t="shared" si="2"/>
        <v>bisa mengikuti pola pesantren dengan baik</v>
      </c>
      <c r="X149" s="8"/>
      <c r="Y149" s="8"/>
      <c r="Z149" s="8"/>
    </row>
    <row r="150">
      <c r="A150" s="123">
        <f>IFERROR(__xludf.DUMMYFUNCTION("""COMPUTED_VALUE"""),45974.88767128473)</f>
        <v>45974.88767</v>
      </c>
      <c r="B150" s="8" t="str">
        <f>IFERROR(__xludf.DUMMYFUNCTION("""COMPUTED_VALUE"""),"Aisah")</f>
        <v>Aisah</v>
      </c>
      <c r="C150" s="8" t="str">
        <f>IFERROR(__xludf.DUMMYFUNCTION("""COMPUTED_VALUE"""),"D250032")</f>
        <v>D250032</v>
      </c>
      <c r="D150" s="8" t="str">
        <f>IFERROR(__xludf.DUMMYFUNCTION("""COMPUTED_VALUE"""),"MTs Putri")</f>
        <v>MTs Putri</v>
      </c>
      <c r="E150" s="8" t="str">
        <f>IFERROR(__xludf.DUMMYFUNCTION("""COMPUTED_VALUE"""),"Ya")</f>
        <v>Ya</v>
      </c>
      <c r="F150" s="8">
        <f>IFERROR(__xludf.DUMMYFUNCTION("""COMPUTED_VALUE"""),5.0)</f>
        <v>5</v>
      </c>
      <c r="G150" s="8">
        <f>IFERROR(__xludf.DUMMYFUNCTION("""COMPUTED_VALUE"""),3.0)</f>
        <v>3</v>
      </c>
      <c r="H150" s="8">
        <f>IFERROR(__xludf.DUMMYFUNCTION("""COMPUTED_VALUE"""),3.0)</f>
        <v>3</v>
      </c>
      <c r="I150" s="8">
        <f>IFERROR(__xludf.DUMMYFUNCTION("""COMPUTED_VALUE"""),4.0)</f>
        <v>4</v>
      </c>
      <c r="J150" s="8">
        <f>IFERROR(__xludf.DUMMYFUNCTION("""COMPUTED_VALUE"""),3.0)</f>
        <v>3</v>
      </c>
      <c r="K150" s="8">
        <f>IFERROR(__xludf.DUMMYFUNCTION("""COMPUTED_VALUE"""),3.0)</f>
        <v>3</v>
      </c>
      <c r="L150" s="8">
        <f>IFERROR(__xludf.DUMMYFUNCTION("""COMPUTED_VALUE"""),4.0)</f>
        <v>4</v>
      </c>
      <c r="M150" s="8">
        <f>IFERROR(__xludf.DUMMYFUNCTION("""COMPUTED_VALUE"""),2.0)</f>
        <v>2</v>
      </c>
      <c r="N150" s="8">
        <f>IFERROR(__xludf.DUMMYFUNCTION("""COMPUTED_VALUE"""),4.0)</f>
        <v>4</v>
      </c>
      <c r="O150" s="8">
        <f>IFERROR(__xludf.DUMMYFUNCTION("""COMPUTED_VALUE"""),3.0)</f>
        <v>3</v>
      </c>
      <c r="P150" s="8">
        <f>IFERROR(__xludf.DUMMYFUNCTION("""COMPUTED_VALUE"""),4.0)</f>
        <v>4</v>
      </c>
      <c r="Q150" s="8">
        <f>IFERROR(__xludf.DUMMYFUNCTION("""COMPUTED_VALUE"""),4.0)</f>
        <v>4</v>
      </c>
      <c r="R150" s="8">
        <f>IFERROR(__xludf.DUMMYFUNCTION("""COMPUTED_VALUE"""),5.0)</f>
        <v>5</v>
      </c>
      <c r="S150" s="8">
        <f>IFERROR(__xludf.DUMMYFUNCTION("""COMPUTED_VALUE"""),4.0)</f>
        <v>4</v>
      </c>
      <c r="T150" s="8">
        <f>IFERROR(__xludf.DUMMYFUNCTION("""COMPUTED_VALUE"""),4.0)</f>
        <v>4</v>
      </c>
      <c r="U150" s="8">
        <f t="shared" si="1"/>
        <v>55</v>
      </c>
      <c r="V150" s="119" t="str">
        <f t="shared" si="3"/>
        <v>Siap</v>
      </c>
      <c r="W150" s="119" t="str">
        <f t="shared" si="2"/>
        <v>bisa mengikuti pola pesantren dengan baik</v>
      </c>
      <c r="X150" s="8"/>
      <c r="Y150" s="8"/>
      <c r="Z150" s="8"/>
    </row>
    <row r="151">
      <c r="A151" s="124">
        <f>IFERROR(__xludf.DUMMYFUNCTION("""COMPUTED_VALUE"""),45975.81773922454)</f>
        <v>45975.81774</v>
      </c>
      <c r="B151" s="125" t="str">
        <f>IFERROR(__xludf.DUMMYFUNCTION("""COMPUTED_VALUE"""),"GEYSa raipan ")</f>
        <v>GEYSa raipan </v>
      </c>
      <c r="C151" s="125" t="str">
        <f>IFERROR(__xludf.DUMMYFUNCTION("""COMPUTED_VALUE"""),"A250083")</f>
        <v>A250083</v>
      </c>
      <c r="D151" s="125" t="str">
        <f>IFERROR(__xludf.DUMMYFUNCTION("""COMPUTED_VALUE"""),"MTs Putra")</f>
        <v>MTs Putra</v>
      </c>
      <c r="E151" s="125" t="str">
        <f>IFERROR(__xludf.DUMMYFUNCTION("""COMPUTED_VALUE"""),"Ya")</f>
        <v>Ya</v>
      </c>
      <c r="F151" s="125">
        <f>IFERROR(__xludf.DUMMYFUNCTION("""COMPUTED_VALUE"""),5.0)</f>
        <v>5</v>
      </c>
      <c r="G151" s="125">
        <f>IFERROR(__xludf.DUMMYFUNCTION("""COMPUTED_VALUE"""),4.0)</f>
        <v>4</v>
      </c>
      <c r="H151" s="125">
        <f>IFERROR(__xludf.DUMMYFUNCTION("""COMPUTED_VALUE"""),5.0)</f>
        <v>5</v>
      </c>
      <c r="I151" s="125">
        <f>IFERROR(__xludf.DUMMYFUNCTION("""COMPUTED_VALUE"""),4.0)</f>
        <v>4</v>
      </c>
      <c r="J151" s="125">
        <f>IFERROR(__xludf.DUMMYFUNCTION("""COMPUTED_VALUE"""),5.0)</f>
        <v>5</v>
      </c>
      <c r="K151" s="125">
        <f>IFERROR(__xludf.DUMMYFUNCTION("""COMPUTED_VALUE"""),5.0)</f>
        <v>5</v>
      </c>
      <c r="L151" s="125">
        <f>IFERROR(__xludf.DUMMYFUNCTION("""COMPUTED_VALUE"""),4.0)</f>
        <v>4</v>
      </c>
      <c r="M151" s="125">
        <f>IFERROR(__xludf.DUMMYFUNCTION("""COMPUTED_VALUE"""),5.0)</f>
        <v>5</v>
      </c>
      <c r="N151" s="125">
        <f>IFERROR(__xludf.DUMMYFUNCTION("""COMPUTED_VALUE"""),4.0)</f>
        <v>4</v>
      </c>
      <c r="O151" s="125">
        <f>IFERROR(__xludf.DUMMYFUNCTION("""COMPUTED_VALUE"""),4.0)</f>
        <v>4</v>
      </c>
      <c r="P151" s="125">
        <f>IFERROR(__xludf.DUMMYFUNCTION("""COMPUTED_VALUE"""),5.0)</f>
        <v>5</v>
      </c>
      <c r="Q151" s="125">
        <f>IFERROR(__xludf.DUMMYFUNCTION("""COMPUTED_VALUE"""),4.0)</f>
        <v>4</v>
      </c>
      <c r="R151" s="125">
        <f>IFERROR(__xludf.DUMMYFUNCTION("""COMPUTED_VALUE"""),5.0)</f>
        <v>5</v>
      </c>
      <c r="S151" s="125">
        <f>IFERROR(__xludf.DUMMYFUNCTION("""COMPUTED_VALUE"""),4.0)</f>
        <v>4</v>
      </c>
      <c r="T151" s="125">
        <f>IFERROR(__xludf.DUMMYFUNCTION("""COMPUTED_VALUE"""),4.0)</f>
        <v>4</v>
      </c>
      <c r="U151" s="125">
        <f t="shared" si="1"/>
        <v>67</v>
      </c>
      <c r="V151" s="126" t="str">
        <f t="shared" si="3"/>
        <v>Siap</v>
      </c>
      <c r="W151" s="126" t="str">
        <f t="shared" si="2"/>
        <v>bisa mengikuti pola pesantren dengan baik</v>
      </c>
      <c r="X151" s="125"/>
      <c r="Y151" s="125"/>
      <c r="Z151" s="125"/>
    </row>
    <row r="152">
      <c r="A152" s="123">
        <f>IFERROR(__xludf.DUMMYFUNCTION("""COMPUTED_VALUE"""),45978.66960865741)</f>
        <v>45978.66961</v>
      </c>
      <c r="B152" s="8" t="str">
        <f>IFERROR(__xludf.DUMMYFUNCTION("""COMPUTED_VALUE"""),"Ahmad vickhy wijaya")</f>
        <v>Ahmad vickhy wijaya</v>
      </c>
      <c r="C152" s="8" t="str">
        <f>IFERROR(__xludf.DUMMYFUNCTION("""COMPUTED_VALUE"""),"A250073")</f>
        <v>A250073</v>
      </c>
      <c r="D152" s="8" t="str">
        <f>IFERROR(__xludf.DUMMYFUNCTION("""COMPUTED_VALUE"""),"MTs Putra")</f>
        <v>MTs Putra</v>
      </c>
      <c r="E152" s="8" t="str">
        <f>IFERROR(__xludf.DUMMYFUNCTION("""COMPUTED_VALUE"""),"Ya")</f>
        <v>Ya</v>
      </c>
      <c r="F152" s="8">
        <f>IFERROR(__xludf.DUMMYFUNCTION("""COMPUTED_VALUE"""),5.0)</f>
        <v>5</v>
      </c>
      <c r="G152" s="8">
        <f>IFERROR(__xludf.DUMMYFUNCTION("""COMPUTED_VALUE"""),4.0)</f>
        <v>4</v>
      </c>
      <c r="H152" s="8">
        <f>IFERROR(__xludf.DUMMYFUNCTION("""COMPUTED_VALUE"""),5.0)</f>
        <v>5</v>
      </c>
      <c r="I152" s="8">
        <f>IFERROR(__xludf.DUMMYFUNCTION("""COMPUTED_VALUE"""),4.0)</f>
        <v>4</v>
      </c>
      <c r="J152" s="8">
        <f>IFERROR(__xludf.DUMMYFUNCTION("""COMPUTED_VALUE"""),5.0)</f>
        <v>5</v>
      </c>
      <c r="K152" s="8">
        <f>IFERROR(__xludf.DUMMYFUNCTION("""COMPUTED_VALUE"""),4.0)</f>
        <v>4</v>
      </c>
      <c r="L152" s="8">
        <f>IFERROR(__xludf.DUMMYFUNCTION("""COMPUTED_VALUE"""),4.0)</f>
        <v>4</v>
      </c>
      <c r="M152" s="8">
        <f>IFERROR(__xludf.DUMMYFUNCTION("""COMPUTED_VALUE"""),3.0)</f>
        <v>3</v>
      </c>
      <c r="N152" s="8">
        <f>IFERROR(__xludf.DUMMYFUNCTION("""COMPUTED_VALUE"""),4.0)</f>
        <v>4</v>
      </c>
      <c r="O152" s="8">
        <f>IFERROR(__xludf.DUMMYFUNCTION("""COMPUTED_VALUE"""),4.0)</f>
        <v>4</v>
      </c>
      <c r="P152" s="8">
        <f>IFERROR(__xludf.DUMMYFUNCTION("""COMPUTED_VALUE"""),5.0)</f>
        <v>5</v>
      </c>
      <c r="Q152" s="8">
        <f>IFERROR(__xludf.DUMMYFUNCTION("""COMPUTED_VALUE"""),3.0)</f>
        <v>3</v>
      </c>
      <c r="R152" s="8">
        <f>IFERROR(__xludf.DUMMYFUNCTION("""COMPUTED_VALUE"""),4.0)</f>
        <v>4</v>
      </c>
      <c r="S152" s="8">
        <f>IFERROR(__xludf.DUMMYFUNCTION("""COMPUTED_VALUE"""),4.0)</f>
        <v>4</v>
      </c>
      <c r="T152" s="8">
        <f>IFERROR(__xludf.DUMMYFUNCTION("""COMPUTED_VALUE"""),5.0)</f>
        <v>5</v>
      </c>
      <c r="U152" s="125">
        <f t="shared" si="1"/>
        <v>63</v>
      </c>
      <c r="V152" s="126" t="str">
        <f t="shared" si="3"/>
        <v>Siap</v>
      </c>
      <c r="W152" s="126" t="str">
        <f t="shared" si="2"/>
        <v>bisa mengikuti pola pesantren dengan baik</v>
      </c>
      <c r="X152" s="8"/>
      <c r="Y152" s="8"/>
      <c r="Z152" s="8"/>
    </row>
    <row r="153">
      <c r="A153" s="123">
        <f>IFERROR(__xludf.DUMMYFUNCTION("""COMPUTED_VALUE"""),45988.83144283565)</f>
        <v>45988.83144</v>
      </c>
      <c r="B153" s="8" t="str">
        <f>IFERROR(__xludf.DUMMYFUNCTION("""COMPUTED_VALUE"""),"Kimora amanda putri")</f>
        <v>Kimora amanda putri</v>
      </c>
      <c r="C153" s="8" t="str">
        <f>IFERROR(__xludf.DUMMYFUNCTION("""COMPUTED_VALUE"""),"D250033")</f>
        <v>D250033</v>
      </c>
      <c r="D153" s="8" t="str">
        <f>IFERROR(__xludf.DUMMYFUNCTION("""COMPUTED_VALUE"""),"MTs Putri")</f>
        <v>MTs Putri</v>
      </c>
      <c r="E153" s="8" t="str">
        <f>IFERROR(__xludf.DUMMYFUNCTION("""COMPUTED_VALUE"""),"Ya")</f>
        <v>Ya</v>
      </c>
      <c r="F153" s="8">
        <f>IFERROR(__xludf.DUMMYFUNCTION("""COMPUTED_VALUE"""),5.0)</f>
        <v>5</v>
      </c>
      <c r="G153" s="8">
        <f>IFERROR(__xludf.DUMMYFUNCTION("""COMPUTED_VALUE"""),5.0)</f>
        <v>5</v>
      </c>
      <c r="H153" s="8">
        <f>IFERROR(__xludf.DUMMYFUNCTION("""COMPUTED_VALUE"""),5.0)</f>
        <v>5</v>
      </c>
      <c r="I153" s="8">
        <f>IFERROR(__xludf.DUMMYFUNCTION("""COMPUTED_VALUE"""),5.0)</f>
        <v>5</v>
      </c>
      <c r="J153" s="8">
        <f>IFERROR(__xludf.DUMMYFUNCTION("""COMPUTED_VALUE"""),5.0)</f>
        <v>5</v>
      </c>
      <c r="K153" s="8">
        <f>IFERROR(__xludf.DUMMYFUNCTION("""COMPUTED_VALUE"""),1.0)</f>
        <v>1</v>
      </c>
      <c r="L153" s="8">
        <f>IFERROR(__xludf.DUMMYFUNCTION("""COMPUTED_VALUE"""),5.0)</f>
        <v>5</v>
      </c>
      <c r="M153" s="8">
        <f>IFERROR(__xludf.DUMMYFUNCTION("""COMPUTED_VALUE"""),1.0)</f>
        <v>1</v>
      </c>
      <c r="N153" s="8">
        <f>IFERROR(__xludf.DUMMYFUNCTION("""COMPUTED_VALUE"""),5.0)</f>
        <v>5</v>
      </c>
      <c r="O153" s="8">
        <f>IFERROR(__xludf.DUMMYFUNCTION("""COMPUTED_VALUE"""),5.0)</f>
        <v>5</v>
      </c>
      <c r="P153" s="8">
        <f>IFERROR(__xludf.DUMMYFUNCTION("""COMPUTED_VALUE"""),5.0)</f>
        <v>5</v>
      </c>
      <c r="Q153" s="8">
        <f>IFERROR(__xludf.DUMMYFUNCTION("""COMPUTED_VALUE"""),5.0)</f>
        <v>5</v>
      </c>
      <c r="R153" s="8">
        <f>IFERROR(__xludf.DUMMYFUNCTION("""COMPUTED_VALUE"""),5.0)</f>
        <v>5</v>
      </c>
      <c r="S153" s="8">
        <f>IFERROR(__xludf.DUMMYFUNCTION("""COMPUTED_VALUE"""),5.0)</f>
        <v>5</v>
      </c>
      <c r="T153" s="8">
        <f>IFERROR(__xludf.DUMMYFUNCTION("""COMPUTED_VALUE"""),5.0)</f>
        <v>5</v>
      </c>
      <c r="U153" s="125">
        <f t="shared" si="1"/>
        <v>67</v>
      </c>
      <c r="V153" s="126" t="str">
        <f t="shared" si="3"/>
        <v>Siap</v>
      </c>
      <c r="W153" s="126" t="str">
        <f t="shared" si="2"/>
        <v>bisa mengikuti pola pesantren dengan baik</v>
      </c>
      <c r="X153" s="8"/>
      <c r="Y153" s="8"/>
      <c r="Z153" s="8"/>
    </row>
    <row r="154">
      <c r="A154" s="123">
        <f>IFERROR(__xludf.DUMMYFUNCTION("""COMPUTED_VALUE"""),45991.401977291665)</f>
        <v>45991.40198</v>
      </c>
      <c r="B154" s="8" t="str">
        <f>IFERROR(__xludf.DUMMYFUNCTION("""COMPUTED_VALUE"""),"Aisha Salma Mutmainnah ")</f>
        <v>Aisha Salma Mutmainnah </v>
      </c>
      <c r="C154" s="8" t="str">
        <f>IFERROR(__xludf.DUMMYFUNCTION("""COMPUTED_VALUE"""),"D250034")</f>
        <v>D250034</v>
      </c>
      <c r="D154" s="8" t="str">
        <f>IFERROR(__xludf.DUMMYFUNCTION("""COMPUTED_VALUE"""),"MTs Putri")</f>
        <v>MTs Putri</v>
      </c>
      <c r="E154" s="8" t="str">
        <f>IFERROR(__xludf.DUMMYFUNCTION("""COMPUTED_VALUE"""),"Ya")</f>
        <v>Ya</v>
      </c>
      <c r="F154" s="8">
        <f>IFERROR(__xludf.DUMMYFUNCTION("""COMPUTED_VALUE"""),5.0)</f>
        <v>5</v>
      </c>
      <c r="G154" s="8">
        <f>IFERROR(__xludf.DUMMYFUNCTION("""COMPUTED_VALUE"""),5.0)</f>
        <v>5</v>
      </c>
      <c r="H154" s="8">
        <f>IFERROR(__xludf.DUMMYFUNCTION("""COMPUTED_VALUE"""),5.0)</f>
        <v>5</v>
      </c>
      <c r="I154" s="8">
        <f>IFERROR(__xludf.DUMMYFUNCTION("""COMPUTED_VALUE"""),4.0)</f>
        <v>4</v>
      </c>
      <c r="J154" s="8">
        <f>IFERROR(__xludf.DUMMYFUNCTION("""COMPUTED_VALUE"""),4.0)</f>
        <v>4</v>
      </c>
      <c r="K154" s="8">
        <f>IFERROR(__xludf.DUMMYFUNCTION("""COMPUTED_VALUE"""),5.0)</f>
        <v>5</v>
      </c>
      <c r="L154" s="8">
        <f>IFERROR(__xludf.DUMMYFUNCTION("""COMPUTED_VALUE"""),4.0)</f>
        <v>4</v>
      </c>
      <c r="M154" s="8">
        <f>IFERROR(__xludf.DUMMYFUNCTION("""COMPUTED_VALUE"""),5.0)</f>
        <v>5</v>
      </c>
      <c r="N154" s="8">
        <f>IFERROR(__xludf.DUMMYFUNCTION("""COMPUTED_VALUE"""),4.0)</f>
        <v>4</v>
      </c>
      <c r="O154" s="8">
        <f>IFERROR(__xludf.DUMMYFUNCTION("""COMPUTED_VALUE"""),5.0)</f>
        <v>5</v>
      </c>
      <c r="P154" s="8">
        <f>IFERROR(__xludf.DUMMYFUNCTION("""COMPUTED_VALUE"""),4.0)</f>
        <v>4</v>
      </c>
      <c r="Q154" s="8">
        <f>IFERROR(__xludf.DUMMYFUNCTION("""COMPUTED_VALUE"""),3.0)</f>
        <v>3</v>
      </c>
      <c r="R154" s="8">
        <f>IFERROR(__xludf.DUMMYFUNCTION("""COMPUTED_VALUE"""),5.0)</f>
        <v>5</v>
      </c>
      <c r="S154" s="8">
        <f>IFERROR(__xludf.DUMMYFUNCTION("""COMPUTED_VALUE"""),5.0)</f>
        <v>5</v>
      </c>
      <c r="T154" s="8">
        <f>IFERROR(__xludf.DUMMYFUNCTION("""COMPUTED_VALUE"""),4.0)</f>
        <v>4</v>
      </c>
      <c r="U154" s="125">
        <f t="shared" si="1"/>
        <v>67</v>
      </c>
      <c r="V154" s="126" t="str">
        <f t="shared" si="3"/>
        <v>Siap</v>
      </c>
      <c r="W154" s="126" t="str">
        <f t="shared" si="2"/>
        <v>bisa mengikuti pola pesantren dengan baik</v>
      </c>
      <c r="X154" s="8"/>
      <c r="Y154" s="8"/>
      <c r="Z154" s="8"/>
    </row>
    <row r="155">
      <c r="A155" s="123">
        <f>IFERROR(__xludf.DUMMYFUNCTION("""COMPUTED_VALUE"""),45991.49149252315)</f>
        <v>45991.49149</v>
      </c>
      <c r="B155" s="8" t="str">
        <f>IFERROR(__xludf.DUMMYFUNCTION("""COMPUTED_VALUE"""),"Naisya Ashadiya Rusli")</f>
        <v>Naisya Ashadiya Rusli</v>
      </c>
      <c r="C155" s="8" t="str">
        <f>IFERROR(__xludf.DUMMYFUNCTION("""COMPUTED_VALUE"""),"D250035")</f>
        <v>D250035</v>
      </c>
      <c r="D155" s="8" t="str">
        <f>IFERROR(__xludf.DUMMYFUNCTION("""COMPUTED_VALUE"""),"MTs Putra")</f>
        <v>MTs Putra</v>
      </c>
      <c r="E155" s="8" t="str">
        <f>IFERROR(__xludf.DUMMYFUNCTION("""COMPUTED_VALUE"""),"Ya")</f>
        <v>Ya</v>
      </c>
      <c r="F155" s="8">
        <f>IFERROR(__xludf.DUMMYFUNCTION("""COMPUTED_VALUE"""),5.0)</f>
        <v>5</v>
      </c>
      <c r="G155" s="8">
        <f>IFERROR(__xludf.DUMMYFUNCTION("""COMPUTED_VALUE"""),5.0)</f>
        <v>5</v>
      </c>
      <c r="H155" s="8">
        <f>IFERROR(__xludf.DUMMYFUNCTION("""COMPUTED_VALUE"""),5.0)</f>
        <v>5</v>
      </c>
      <c r="I155" s="8">
        <f>IFERROR(__xludf.DUMMYFUNCTION("""COMPUTED_VALUE"""),5.0)</f>
        <v>5</v>
      </c>
      <c r="J155" s="8">
        <f>IFERROR(__xludf.DUMMYFUNCTION("""COMPUTED_VALUE"""),4.0)</f>
        <v>4</v>
      </c>
      <c r="K155" s="8">
        <f>IFERROR(__xludf.DUMMYFUNCTION("""COMPUTED_VALUE"""),5.0)</f>
        <v>5</v>
      </c>
      <c r="L155" s="8">
        <f>IFERROR(__xludf.DUMMYFUNCTION("""COMPUTED_VALUE"""),5.0)</f>
        <v>5</v>
      </c>
      <c r="M155" s="8">
        <f>IFERROR(__xludf.DUMMYFUNCTION("""COMPUTED_VALUE"""),5.0)</f>
        <v>5</v>
      </c>
      <c r="N155" s="8">
        <f>IFERROR(__xludf.DUMMYFUNCTION("""COMPUTED_VALUE"""),4.0)</f>
        <v>4</v>
      </c>
      <c r="O155" s="8">
        <f>IFERROR(__xludf.DUMMYFUNCTION("""COMPUTED_VALUE"""),5.0)</f>
        <v>5</v>
      </c>
      <c r="P155" s="8">
        <f>IFERROR(__xludf.DUMMYFUNCTION("""COMPUTED_VALUE"""),5.0)</f>
        <v>5</v>
      </c>
      <c r="Q155" s="8">
        <f>IFERROR(__xludf.DUMMYFUNCTION("""COMPUTED_VALUE"""),5.0)</f>
        <v>5</v>
      </c>
      <c r="R155" s="8">
        <f>IFERROR(__xludf.DUMMYFUNCTION("""COMPUTED_VALUE"""),5.0)</f>
        <v>5</v>
      </c>
      <c r="S155" s="8">
        <f>IFERROR(__xludf.DUMMYFUNCTION("""COMPUTED_VALUE"""),5.0)</f>
        <v>5</v>
      </c>
      <c r="T155" s="8">
        <f>IFERROR(__xludf.DUMMYFUNCTION("""COMPUTED_VALUE"""),5.0)</f>
        <v>5</v>
      </c>
      <c r="U155" s="125">
        <f t="shared" si="1"/>
        <v>73</v>
      </c>
      <c r="V155" s="126" t="str">
        <f t="shared" si="3"/>
        <v>Siap</v>
      </c>
      <c r="W155" s="126" t="str">
        <f t="shared" si="2"/>
        <v>bisa mengikuti pola pesantren dengan baik</v>
      </c>
      <c r="X155" s="8"/>
      <c r="Y155" s="8"/>
      <c r="Z155" s="8"/>
    </row>
    <row r="156">
      <c r="A156" s="123">
        <f>IFERROR(__xludf.DUMMYFUNCTION("""COMPUTED_VALUE"""),45991.60294306713)</f>
        <v>45991.60294</v>
      </c>
      <c r="B156" s="8" t="str">
        <f>IFERROR(__xludf.DUMMYFUNCTION("""COMPUTED_VALUE"""),"Nada Faizah muttaqiyah ")</f>
        <v>Nada Faizah muttaqiyah </v>
      </c>
      <c r="C156" s="8" t="str">
        <f>IFERROR(__xludf.DUMMYFUNCTION("""COMPUTED_VALUE"""),"E250010")</f>
        <v>E250010</v>
      </c>
      <c r="D156" s="8" t="str">
        <f>IFERROR(__xludf.DUMMYFUNCTION("""COMPUTED_VALUE"""),"I'dad Lughawiy Putri")</f>
        <v>I'dad Lughawiy Putri</v>
      </c>
      <c r="E156" s="8" t="str">
        <f>IFERROR(__xludf.DUMMYFUNCTION("""COMPUTED_VALUE"""),"Ya")</f>
        <v>Ya</v>
      </c>
      <c r="F156" s="8">
        <f>IFERROR(__xludf.DUMMYFUNCTION("""COMPUTED_VALUE"""),5.0)</f>
        <v>5</v>
      </c>
      <c r="G156" s="8">
        <f>IFERROR(__xludf.DUMMYFUNCTION("""COMPUTED_VALUE"""),5.0)</f>
        <v>5</v>
      </c>
      <c r="H156" s="8">
        <f>IFERROR(__xludf.DUMMYFUNCTION("""COMPUTED_VALUE"""),5.0)</f>
        <v>5</v>
      </c>
      <c r="I156" s="8">
        <f>IFERROR(__xludf.DUMMYFUNCTION("""COMPUTED_VALUE"""),4.0)</f>
        <v>4</v>
      </c>
      <c r="J156" s="8">
        <f>IFERROR(__xludf.DUMMYFUNCTION("""COMPUTED_VALUE"""),5.0)</f>
        <v>5</v>
      </c>
      <c r="K156" s="8">
        <f>IFERROR(__xludf.DUMMYFUNCTION("""COMPUTED_VALUE"""),4.0)</f>
        <v>4</v>
      </c>
      <c r="L156" s="8">
        <f>IFERROR(__xludf.DUMMYFUNCTION("""COMPUTED_VALUE"""),4.0)</f>
        <v>4</v>
      </c>
      <c r="M156" s="8">
        <f>IFERROR(__xludf.DUMMYFUNCTION("""COMPUTED_VALUE"""),4.0)</f>
        <v>4</v>
      </c>
      <c r="N156" s="8">
        <f>IFERROR(__xludf.DUMMYFUNCTION("""COMPUTED_VALUE"""),5.0)</f>
        <v>5</v>
      </c>
      <c r="O156" s="8">
        <f>IFERROR(__xludf.DUMMYFUNCTION("""COMPUTED_VALUE"""),5.0)</f>
        <v>5</v>
      </c>
      <c r="P156" s="8">
        <f>IFERROR(__xludf.DUMMYFUNCTION("""COMPUTED_VALUE"""),5.0)</f>
        <v>5</v>
      </c>
      <c r="Q156" s="8">
        <f>IFERROR(__xludf.DUMMYFUNCTION("""COMPUTED_VALUE"""),4.0)</f>
        <v>4</v>
      </c>
      <c r="R156" s="8">
        <f>IFERROR(__xludf.DUMMYFUNCTION("""COMPUTED_VALUE"""),5.0)</f>
        <v>5</v>
      </c>
      <c r="S156" s="8">
        <f>IFERROR(__xludf.DUMMYFUNCTION("""COMPUTED_VALUE"""),5.0)</f>
        <v>5</v>
      </c>
      <c r="T156" s="8">
        <f>IFERROR(__xludf.DUMMYFUNCTION("""COMPUTED_VALUE"""),5.0)</f>
        <v>5</v>
      </c>
      <c r="U156" s="125">
        <f t="shared" si="1"/>
        <v>70</v>
      </c>
      <c r="V156" s="126" t="str">
        <f t="shared" si="3"/>
        <v>Siap</v>
      </c>
      <c r="W156" s="126" t="str">
        <f t="shared" si="2"/>
        <v>bisa mengikuti pola pesantren dengan baik</v>
      </c>
      <c r="X156" s="8"/>
      <c r="Y156" s="8"/>
      <c r="Z156" s="8"/>
    </row>
    <row r="157">
      <c r="A157" s="123">
        <f>IFERROR(__xludf.DUMMYFUNCTION("""COMPUTED_VALUE"""),45993.74374719907)</f>
        <v>45993.74375</v>
      </c>
      <c r="B157" s="8" t="str">
        <f>IFERROR(__xludf.DUMMYFUNCTION("""COMPUTED_VALUE"""),"RAYLAN AKBAR")</f>
        <v>RAYLAN AKBAR</v>
      </c>
      <c r="C157" s="8" t="str">
        <f>IFERROR(__xludf.DUMMYFUNCTION("""COMPUTED_VALUE"""),"C250026")</f>
        <v>C250026</v>
      </c>
      <c r="D157" s="8" t="str">
        <f>IFERROR(__xludf.DUMMYFUNCTION("""COMPUTED_VALUE"""),"SMA")</f>
        <v>SMA</v>
      </c>
      <c r="E157" s="8" t="str">
        <f>IFERROR(__xludf.DUMMYFUNCTION("""COMPUTED_VALUE"""),"Ya")</f>
        <v>Ya</v>
      </c>
      <c r="F157" s="8">
        <f>IFERROR(__xludf.DUMMYFUNCTION("""COMPUTED_VALUE"""),5.0)</f>
        <v>5</v>
      </c>
      <c r="G157" s="8">
        <f>IFERROR(__xludf.DUMMYFUNCTION("""COMPUTED_VALUE"""),4.0)</f>
        <v>4</v>
      </c>
      <c r="H157" s="8">
        <f>IFERROR(__xludf.DUMMYFUNCTION("""COMPUTED_VALUE"""),5.0)</f>
        <v>5</v>
      </c>
      <c r="I157" s="8">
        <f>IFERROR(__xludf.DUMMYFUNCTION("""COMPUTED_VALUE"""),3.0)</f>
        <v>3</v>
      </c>
      <c r="J157" s="8">
        <f>IFERROR(__xludf.DUMMYFUNCTION("""COMPUTED_VALUE"""),2.0)</f>
        <v>2</v>
      </c>
      <c r="K157" s="8">
        <f>IFERROR(__xludf.DUMMYFUNCTION("""COMPUTED_VALUE"""),5.0)</f>
        <v>5</v>
      </c>
      <c r="L157" s="8">
        <f>IFERROR(__xludf.DUMMYFUNCTION("""COMPUTED_VALUE"""),5.0)</f>
        <v>5</v>
      </c>
      <c r="M157" s="8">
        <f>IFERROR(__xludf.DUMMYFUNCTION("""COMPUTED_VALUE"""),5.0)</f>
        <v>5</v>
      </c>
      <c r="N157" s="8">
        <f>IFERROR(__xludf.DUMMYFUNCTION("""COMPUTED_VALUE"""),2.0)</f>
        <v>2</v>
      </c>
      <c r="O157" s="8">
        <f>IFERROR(__xludf.DUMMYFUNCTION("""COMPUTED_VALUE"""),5.0)</f>
        <v>5</v>
      </c>
      <c r="P157" s="8">
        <f>IFERROR(__xludf.DUMMYFUNCTION("""COMPUTED_VALUE"""),4.0)</f>
        <v>4</v>
      </c>
      <c r="Q157" s="8">
        <f>IFERROR(__xludf.DUMMYFUNCTION("""COMPUTED_VALUE"""),2.0)</f>
        <v>2</v>
      </c>
      <c r="R157" s="8">
        <f>IFERROR(__xludf.DUMMYFUNCTION("""COMPUTED_VALUE"""),5.0)</f>
        <v>5</v>
      </c>
      <c r="S157" s="8">
        <f>IFERROR(__xludf.DUMMYFUNCTION("""COMPUTED_VALUE"""),3.0)</f>
        <v>3</v>
      </c>
      <c r="T157" s="8">
        <f>IFERROR(__xludf.DUMMYFUNCTION("""COMPUTED_VALUE"""),2.0)</f>
        <v>2</v>
      </c>
      <c r="U157" s="125">
        <f t="shared" si="1"/>
        <v>57</v>
      </c>
      <c r="V157" s="126" t="str">
        <f t="shared" si="3"/>
        <v>Siap</v>
      </c>
      <c r="W157" s="126" t="str">
        <f t="shared" si="2"/>
        <v>bisa mengikuti pola pesantren dengan baik</v>
      </c>
      <c r="X157" s="8"/>
      <c r="Y157" s="8"/>
      <c r="Z157" s="8"/>
    </row>
    <row r="158">
      <c r="A158" s="123">
        <f>IFERROR(__xludf.DUMMYFUNCTION("""COMPUTED_VALUE"""),46010.782555868056)</f>
        <v>46010.78256</v>
      </c>
      <c r="B158" s="8" t="str">
        <f>IFERROR(__xludf.DUMMYFUNCTION("""COMPUTED_VALUE"""),"Ratu rafifa putri mulyana ")</f>
        <v>Ratu rafifa putri mulyana </v>
      </c>
      <c r="C158" s="8" t="str">
        <f>IFERROR(__xludf.DUMMYFUNCTION("""COMPUTED_VALUE"""),"D250036")</f>
        <v>D250036</v>
      </c>
      <c r="D158" s="8" t="str">
        <f>IFERROR(__xludf.DUMMYFUNCTION("""COMPUTED_VALUE"""),"MTs Putri")</f>
        <v>MTs Putri</v>
      </c>
      <c r="E158" s="8" t="str">
        <f>IFERROR(__xludf.DUMMYFUNCTION("""COMPUTED_VALUE"""),"Ya")</f>
        <v>Ya</v>
      </c>
      <c r="F158" s="8">
        <f>IFERROR(__xludf.DUMMYFUNCTION("""COMPUTED_VALUE"""),5.0)</f>
        <v>5</v>
      </c>
      <c r="G158" s="8">
        <f>IFERROR(__xludf.DUMMYFUNCTION("""COMPUTED_VALUE"""),5.0)</f>
        <v>5</v>
      </c>
      <c r="H158" s="8">
        <f>IFERROR(__xludf.DUMMYFUNCTION("""COMPUTED_VALUE"""),4.0)</f>
        <v>4</v>
      </c>
      <c r="I158" s="8">
        <f>IFERROR(__xludf.DUMMYFUNCTION("""COMPUTED_VALUE"""),5.0)</f>
        <v>5</v>
      </c>
      <c r="J158" s="8">
        <f>IFERROR(__xludf.DUMMYFUNCTION("""COMPUTED_VALUE"""),4.0)</f>
        <v>4</v>
      </c>
      <c r="K158" s="8">
        <f>IFERROR(__xludf.DUMMYFUNCTION("""COMPUTED_VALUE"""),5.0)</f>
        <v>5</v>
      </c>
      <c r="L158" s="8">
        <f>IFERROR(__xludf.DUMMYFUNCTION("""COMPUTED_VALUE"""),5.0)</f>
        <v>5</v>
      </c>
      <c r="M158" s="8">
        <f>IFERROR(__xludf.DUMMYFUNCTION("""COMPUTED_VALUE"""),1.0)</f>
        <v>1</v>
      </c>
      <c r="N158" s="8">
        <f>IFERROR(__xludf.DUMMYFUNCTION("""COMPUTED_VALUE"""),4.0)</f>
        <v>4</v>
      </c>
      <c r="O158" s="8">
        <f>IFERROR(__xludf.DUMMYFUNCTION("""COMPUTED_VALUE"""),4.0)</f>
        <v>4</v>
      </c>
      <c r="P158" s="8">
        <f>IFERROR(__xludf.DUMMYFUNCTION("""COMPUTED_VALUE"""),5.0)</f>
        <v>5</v>
      </c>
      <c r="Q158" s="8">
        <f>IFERROR(__xludf.DUMMYFUNCTION("""COMPUTED_VALUE"""),3.0)</f>
        <v>3</v>
      </c>
      <c r="R158" s="8">
        <f>IFERROR(__xludf.DUMMYFUNCTION("""COMPUTED_VALUE"""),5.0)</f>
        <v>5</v>
      </c>
      <c r="S158" s="8">
        <f>IFERROR(__xludf.DUMMYFUNCTION("""COMPUTED_VALUE"""),5.0)</f>
        <v>5</v>
      </c>
      <c r="T158" s="8">
        <f>IFERROR(__xludf.DUMMYFUNCTION("""COMPUTED_VALUE"""),5.0)</f>
        <v>5</v>
      </c>
      <c r="U158" s="125">
        <f t="shared" si="1"/>
        <v>65</v>
      </c>
      <c r="V158" s="126" t="str">
        <f t="shared" si="3"/>
        <v>Siap</v>
      </c>
      <c r="W158" s="126" t="str">
        <f t="shared" si="2"/>
        <v>bisa mengikuti pola pesantren dengan baik</v>
      </c>
      <c r="X158" s="8"/>
      <c r="Y158" s="8"/>
      <c r="Z158" s="8"/>
    </row>
    <row r="159">
      <c r="A159" s="123">
        <f>IFERROR(__xludf.DUMMYFUNCTION("""COMPUTED_VALUE"""),46026.48026585648)</f>
        <v>46026.48027</v>
      </c>
      <c r="B159" s="8" t="str">
        <f>IFERROR(__xludf.DUMMYFUNCTION("""COMPUTED_VALUE"""),"Muhammad Azka Rizky Ramadhan ")</f>
        <v>Muhammad Azka Rizky Ramadhan </v>
      </c>
      <c r="C159" s="8" t="str">
        <f>IFERROR(__xludf.DUMMYFUNCTION("""COMPUTED_VALUE"""),"C260001")</f>
        <v>C260001</v>
      </c>
      <c r="D159" s="8" t="str">
        <f>IFERROR(__xludf.DUMMYFUNCTION("""COMPUTED_VALUE"""),"SMA")</f>
        <v>SMA</v>
      </c>
      <c r="E159" s="8" t="str">
        <f>IFERROR(__xludf.DUMMYFUNCTION("""COMPUTED_VALUE"""),"Ya")</f>
        <v>Ya</v>
      </c>
      <c r="F159" s="8">
        <f>IFERROR(__xludf.DUMMYFUNCTION("""COMPUTED_VALUE"""),5.0)</f>
        <v>5</v>
      </c>
      <c r="G159" s="8">
        <f>IFERROR(__xludf.DUMMYFUNCTION("""COMPUTED_VALUE"""),5.0)</f>
        <v>5</v>
      </c>
      <c r="H159" s="8">
        <f>IFERROR(__xludf.DUMMYFUNCTION("""COMPUTED_VALUE"""),5.0)</f>
        <v>5</v>
      </c>
      <c r="I159" s="8">
        <f>IFERROR(__xludf.DUMMYFUNCTION("""COMPUTED_VALUE"""),5.0)</f>
        <v>5</v>
      </c>
      <c r="J159" s="8">
        <f>IFERROR(__xludf.DUMMYFUNCTION("""COMPUTED_VALUE"""),5.0)</f>
        <v>5</v>
      </c>
      <c r="K159" s="8">
        <f>IFERROR(__xludf.DUMMYFUNCTION("""COMPUTED_VALUE"""),5.0)</f>
        <v>5</v>
      </c>
      <c r="L159" s="8">
        <f>IFERROR(__xludf.DUMMYFUNCTION("""COMPUTED_VALUE"""),5.0)</f>
        <v>5</v>
      </c>
      <c r="M159" s="8">
        <f>IFERROR(__xludf.DUMMYFUNCTION("""COMPUTED_VALUE"""),5.0)</f>
        <v>5</v>
      </c>
      <c r="N159" s="8">
        <f>IFERROR(__xludf.DUMMYFUNCTION("""COMPUTED_VALUE"""),5.0)</f>
        <v>5</v>
      </c>
      <c r="O159" s="8">
        <f>IFERROR(__xludf.DUMMYFUNCTION("""COMPUTED_VALUE"""),5.0)</f>
        <v>5</v>
      </c>
      <c r="P159" s="8">
        <f>IFERROR(__xludf.DUMMYFUNCTION("""COMPUTED_VALUE"""),5.0)</f>
        <v>5</v>
      </c>
      <c r="Q159" s="8">
        <f>IFERROR(__xludf.DUMMYFUNCTION("""COMPUTED_VALUE"""),5.0)</f>
        <v>5</v>
      </c>
      <c r="R159" s="8">
        <f>IFERROR(__xludf.DUMMYFUNCTION("""COMPUTED_VALUE"""),5.0)</f>
        <v>5</v>
      </c>
      <c r="S159" s="8">
        <f>IFERROR(__xludf.DUMMYFUNCTION("""COMPUTED_VALUE"""),5.0)</f>
        <v>5</v>
      </c>
      <c r="T159" s="8">
        <f>IFERROR(__xludf.DUMMYFUNCTION("""COMPUTED_VALUE"""),5.0)</f>
        <v>5</v>
      </c>
      <c r="U159" s="125">
        <f t="shared" si="1"/>
        <v>75</v>
      </c>
      <c r="V159" s="126" t="str">
        <f t="shared" si="3"/>
        <v>Siap</v>
      </c>
      <c r="W159" s="126" t="str">
        <f t="shared" si="2"/>
        <v>bisa mengikuti pola pesantren dengan baik</v>
      </c>
      <c r="X159" s="8"/>
      <c r="Y159" s="8"/>
      <c r="Z159" s="8"/>
    </row>
    <row r="160">
      <c r="A160" s="123">
        <f>IFERROR(__xludf.DUMMYFUNCTION("""COMPUTED_VALUE"""),46046.62517194444)</f>
        <v>46046.62517</v>
      </c>
      <c r="B160" s="8" t="str">
        <f>IFERROR(__xludf.DUMMYFUNCTION("""COMPUTED_VALUE"""),"IMAN SETIAWAN")</f>
        <v>IMAN SETIAWAN</v>
      </c>
      <c r="C160" s="8" t="str">
        <f>IFERROR(__xludf.DUMMYFUNCTION("""COMPUTED_VALUE"""),"C250030")</f>
        <v>C250030</v>
      </c>
      <c r="D160" s="8" t="str">
        <f>IFERROR(__xludf.DUMMYFUNCTION("""COMPUTED_VALUE"""),"I'dad Lughawiy Putra")</f>
        <v>I'dad Lughawiy Putra</v>
      </c>
      <c r="E160" s="8" t="str">
        <f>IFERROR(__xludf.DUMMYFUNCTION("""COMPUTED_VALUE"""),"Ya")</f>
        <v>Ya</v>
      </c>
      <c r="F160" s="8">
        <f>IFERROR(__xludf.DUMMYFUNCTION("""COMPUTED_VALUE"""),2.0)</f>
        <v>2</v>
      </c>
      <c r="G160" s="8">
        <f>IFERROR(__xludf.DUMMYFUNCTION("""COMPUTED_VALUE"""),3.0)</f>
        <v>3</v>
      </c>
      <c r="H160" s="8">
        <f>IFERROR(__xludf.DUMMYFUNCTION("""COMPUTED_VALUE"""),5.0)</f>
        <v>5</v>
      </c>
      <c r="I160" s="8">
        <f>IFERROR(__xludf.DUMMYFUNCTION("""COMPUTED_VALUE"""),5.0)</f>
        <v>5</v>
      </c>
      <c r="J160" s="8">
        <f>IFERROR(__xludf.DUMMYFUNCTION("""COMPUTED_VALUE"""),1.0)</f>
        <v>1</v>
      </c>
      <c r="K160" s="8">
        <f>IFERROR(__xludf.DUMMYFUNCTION("""COMPUTED_VALUE"""),4.0)</f>
        <v>4</v>
      </c>
      <c r="L160" s="8">
        <f>IFERROR(__xludf.DUMMYFUNCTION("""COMPUTED_VALUE"""),4.0)</f>
        <v>4</v>
      </c>
      <c r="M160" s="8">
        <f>IFERROR(__xludf.DUMMYFUNCTION("""COMPUTED_VALUE"""),1.0)</f>
        <v>1</v>
      </c>
      <c r="N160" s="8">
        <f>IFERROR(__xludf.DUMMYFUNCTION("""COMPUTED_VALUE"""),1.0)</f>
        <v>1</v>
      </c>
      <c r="O160" s="8">
        <f>IFERROR(__xludf.DUMMYFUNCTION("""COMPUTED_VALUE"""),1.0)</f>
        <v>1</v>
      </c>
      <c r="P160" s="8">
        <f>IFERROR(__xludf.DUMMYFUNCTION("""COMPUTED_VALUE"""),5.0)</f>
        <v>5</v>
      </c>
      <c r="Q160" s="8">
        <f>IFERROR(__xludf.DUMMYFUNCTION("""COMPUTED_VALUE"""),2.0)</f>
        <v>2</v>
      </c>
      <c r="R160" s="8">
        <f>IFERROR(__xludf.DUMMYFUNCTION("""COMPUTED_VALUE"""),5.0)</f>
        <v>5</v>
      </c>
      <c r="S160" s="8">
        <f>IFERROR(__xludf.DUMMYFUNCTION("""COMPUTED_VALUE"""),1.0)</f>
        <v>1</v>
      </c>
      <c r="T160" s="8">
        <f>IFERROR(__xludf.DUMMYFUNCTION("""COMPUTED_VALUE"""),5.0)</f>
        <v>5</v>
      </c>
      <c r="U160" s="8"/>
      <c r="V160" s="8"/>
      <c r="W160" s="8"/>
      <c r="X160" s="8"/>
      <c r="Y160" s="8"/>
      <c r="Z160" s="8"/>
    </row>
    <row r="161">
      <c r="A161" s="123">
        <f>IFERROR(__xludf.DUMMYFUNCTION("""COMPUTED_VALUE"""),46070.52975255787)</f>
        <v>46070.52975</v>
      </c>
      <c r="B161" s="8" t="str">
        <f>IFERROR(__xludf.DUMMYFUNCTION("""COMPUTED_VALUE"""),"hudzaifah al fawwaz")</f>
        <v>hudzaifah al fawwaz</v>
      </c>
      <c r="C161" s="8" t="str">
        <f>IFERROR(__xludf.DUMMYFUNCTION("""COMPUTED_VALUE"""),"000000")</f>
        <v>000000</v>
      </c>
      <c r="D161" s="8" t="str">
        <f>IFERROR(__xludf.DUMMYFUNCTION("""COMPUTED_VALUE"""),"I'dad Lughawiy Putra")</f>
        <v>I'dad Lughawiy Putra</v>
      </c>
      <c r="E161" s="8" t="str">
        <f>IFERROR(__xludf.DUMMYFUNCTION("""COMPUTED_VALUE"""),"Ya")</f>
        <v>Ya</v>
      </c>
      <c r="F161" s="8">
        <f>IFERROR(__xludf.DUMMYFUNCTION("""COMPUTED_VALUE"""),5.0)</f>
        <v>5</v>
      </c>
      <c r="G161" s="8">
        <f>IFERROR(__xludf.DUMMYFUNCTION("""COMPUTED_VALUE"""),5.0)</f>
        <v>5</v>
      </c>
      <c r="H161" s="8">
        <f>IFERROR(__xludf.DUMMYFUNCTION("""COMPUTED_VALUE"""),5.0)</f>
        <v>5</v>
      </c>
      <c r="I161" s="8">
        <f>IFERROR(__xludf.DUMMYFUNCTION("""COMPUTED_VALUE"""),5.0)</f>
        <v>5</v>
      </c>
      <c r="J161" s="8">
        <f>IFERROR(__xludf.DUMMYFUNCTION("""COMPUTED_VALUE"""),5.0)</f>
        <v>5</v>
      </c>
      <c r="K161" s="8">
        <f>IFERROR(__xludf.DUMMYFUNCTION("""COMPUTED_VALUE"""),5.0)</f>
        <v>5</v>
      </c>
      <c r="L161" s="8">
        <f>IFERROR(__xludf.DUMMYFUNCTION("""COMPUTED_VALUE"""),5.0)</f>
        <v>5</v>
      </c>
      <c r="M161" s="8">
        <f>IFERROR(__xludf.DUMMYFUNCTION("""COMPUTED_VALUE"""),5.0)</f>
        <v>5</v>
      </c>
      <c r="N161" s="8">
        <f>IFERROR(__xludf.DUMMYFUNCTION("""COMPUTED_VALUE"""),4.0)</f>
        <v>4</v>
      </c>
      <c r="O161" s="8">
        <f>IFERROR(__xludf.DUMMYFUNCTION("""COMPUTED_VALUE"""),5.0)</f>
        <v>5</v>
      </c>
      <c r="P161" s="8">
        <f>IFERROR(__xludf.DUMMYFUNCTION("""COMPUTED_VALUE"""),5.0)</f>
        <v>5</v>
      </c>
      <c r="Q161" s="8">
        <f>IFERROR(__xludf.DUMMYFUNCTION("""COMPUTED_VALUE"""),4.0)</f>
        <v>4</v>
      </c>
      <c r="R161" s="8">
        <f>IFERROR(__xludf.DUMMYFUNCTION("""COMPUTED_VALUE"""),4.0)</f>
        <v>4</v>
      </c>
      <c r="S161" s="8">
        <f>IFERROR(__xludf.DUMMYFUNCTION("""COMPUTED_VALUE"""),4.0)</f>
        <v>4</v>
      </c>
      <c r="T161" s="8">
        <f>IFERROR(__xludf.DUMMYFUNCTION("""COMPUTED_VALUE"""),4.0)</f>
        <v>4</v>
      </c>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conditionalFormatting sqref="U2:U159">
    <cfRule type="cellIs" dxfId="5" priority="1" operator="lessThan">
      <formula>45</formula>
    </cfRule>
  </conditionalFormatting>
  <conditionalFormatting sqref="U2:U159">
    <cfRule type="cellIs" dxfId="0" priority="2" operator="lessThanOrEqual">
      <formula>45</formula>
    </cfRule>
  </conditionalFormatting>
  <conditionalFormatting sqref="U2:U159">
    <cfRule type="cellIs" dxfId="3" priority="3" operator="greaterThanOrEqual">
      <formula>46</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15.25"/>
    <col customWidth="1" min="2" max="2" width="10.25"/>
    <col customWidth="1" min="3" max="3" width="26.75"/>
    <col customWidth="1" min="4" max="4" width="10.13"/>
    <col customWidth="1" min="5" max="5" width="9.75"/>
    <col customWidth="1" min="6" max="12" width="4.0"/>
    <col customWidth="1" min="13" max="13" width="28.13"/>
    <col customWidth="1" min="14" max="14" width="66.88"/>
    <col customWidth="1" min="15" max="15" width="73.5"/>
    <col customWidth="1" min="16" max="22" width="4.0"/>
    <col customWidth="1" min="25" max="25" width="37.63"/>
    <col customWidth="1" min="28" max="28" width="32.75"/>
  </cols>
  <sheetData>
    <row r="1" ht="24.0" customHeight="1">
      <c r="A1" s="116" t="str">
        <f>IFERROR(__xludf.DUMMYFUNCTION("importrange(""https://docs.google.com/spreadsheets/d/1iHW1UAk24TyNww04BxgibDfKnBbZ5oYQ5WkSxeTxxaw/edit?resourcekey=&amp;gid=1172607564#gid=1172607564"",""Form Responses 1!A1:O1000"")"),"Timestamp")</f>
        <v>Timestamp</v>
      </c>
      <c r="B1" s="116" t="str">
        <f>IFERROR(__xludf.DUMMYFUNCTION("""COMPUTED_VALUE"""),"Email Address")</f>
        <v>Email Address</v>
      </c>
      <c r="C1" s="116" t="str">
        <f>IFERROR(__xludf.DUMMYFUNCTION("""COMPUTED_VALUE"""),"Nama Calon Santri/Wati")</f>
        <v>Nama Calon Santri/Wati</v>
      </c>
      <c r="D1" s="116" t="str">
        <f>IFERROR(__xludf.DUMMYFUNCTION("""COMPUTED_VALUE"""),"Nomor Pendaftaran")</f>
        <v>Nomor Pendaftaran</v>
      </c>
      <c r="E1" s="40" t="str">
        <f>IFERROR(__xludf.DUMMYFUNCTION("""COMPUTED_VALUE"""),"Jenjang")</f>
        <v>Jenjang</v>
      </c>
      <c r="F1" s="116" t="str">
        <f>IFERROR(__xludf.DUMMYFUNCTION("""COMPUTED_VALUE"""),"Motivasi masuk pesantren")</f>
        <v>Motivasi masuk pesantren</v>
      </c>
      <c r="G1" s="116" t="str">
        <f>IFERROR(__xludf.DUMMYFUNCTION("""COMPUTED_VALUE"""),"Lingkungkan di rumah")</f>
        <v>Lingkungkan di rumah</v>
      </c>
      <c r="H1" s="116" t="str">
        <f>IFERROR(__xludf.DUMMYFUNCTION("""COMPUTED_VALUE"""),"Permainan / Game yang Disuka")</f>
        <v>Permainan / Game yang Disuka</v>
      </c>
      <c r="I1" s="116" t="str">
        <f>IFERROR(__xludf.DUMMYFUNCTION("""COMPUTED_VALUE"""),"Teman / Nongkrong di Rumah")</f>
        <v>Teman / Nongkrong di Rumah</v>
      </c>
      <c r="J1" s="116" t="str">
        <f>IFERROR(__xludf.DUMMYFUNCTION("""COMPUTED_VALUE"""),"Tentang Rokok/Vape/Pod")</f>
        <v>Tentang Rokok/Vape/Pod</v>
      </c>
      <c r="K1" s="116" t="str">
        <f>IFERROR(__xludf.DUMMYFUNCTION("""COMPUTED_VALUE"""),"Pornografi")</f>
        <v>Pornografi</v>
      </c>
      <c r="L1" s="116" t="str">
        <f>IFERROR(__xludf.DUMMYFUNCTION("""COMPUTED_VALUE"""),"Hobi / Kesukaan ")</f>
        <v>Hobi / Kesukaan </v>
      </c>
      <c r="M1" s="116" t="str">
        <f>IFERROR(__xludf.DUMMYFUNCTION("""COMPUTED_VALUE"""),"Nama Pewawancara")</f>
        <v>Nama Pewawancara</v>
      </c>
      <c r="N1" s="116" t="str">
        <f>IFERROR(__xludf.DUMMYFUNCTION("""COMPUTED_VALUE"""),"Rekomendasi Pewawancara")</f>
        <v>Rekomendasi Pewawancara</v>
      </c>
      <c r="O1" s="116" t="str">
        <f>IFERROR(__xludf.DUMMYFUNCTION("""COMPUTED_VALUE"""),"Catatan Pewawancara (opsional)")</f>
        <v>Catatan Pewawancara (opsional)</v>
      </c>
      <c r="P1" s="116"/>
      <c r="Q1" s="116"/>
      <c r="R1" s="116"/>
      <c r="S1" s="116"/>
      <c r="T1" s="116"/>
      <c r="U1" s="116"/>
      <c r="V1" s="116"/>
      <c r="W1" s="127" t="s">
        <v>44</v>
      </c>
      <c r="X1" s="119"/>
      <c r="Y1" s="119"/>
      <c r="Z1" s="128"/>
      <c r="AA1" s="50"/>
      <c r="AB1" s="128"/>
      <c r="AC1" s="128"/>
      <c r="AD1" s="129"/>
      <c r="AE1" s="129"/>
    </row>
    <row r="2" ht="24.0" customHeight="1">
      <c r="A2" s="130">
        <f>IFERROR(__xludf.DUMMYFUNCTION("""COMPUTED_VALUE"""),45917.69272453703)</f>
        <v>45917.69272</v>
      </c>
      <c r="B2" s="71" t="str">
        <f>IFERROR(__xludf.DUMMYFUNCTION("""COMPUTED_VALUE"""),"muhammadadibachsan@madrasah.kemenag.go.id")</f>
        <v>muhammadadibachsan@madrasah.kemenag.go.id</v>
      </c>
      <c r="C2" s="71" t="str">
        <f>IFERROR(__xludf.DUMMYFUNCTION("""COMPUTED_VALUE"""),"aviccena syahdan haqoni")</f>
        <v>aviccena syahdan haqoni</v>
      </c>
      <c r="D2" s="71" t="str">
        <f>IFERROR(__xludf.DUMMYFUNCTION("""COMPUTED_VALUE"""),"A250060")</f>
        <v>A250060</v>
      </c>
      <c r="E2" s="71" t="str">
        <f>IFERROR(__xludf.DUMMYFUNCTION("""COMPUTED_VALUE"""),"MTs Putra")</f>
        <v>MTs Putra</v>
      </c>
      <c r="F2" s="131" t="str">
        <f>IFERROR(__xludf.DUMMYFUNCTION("""COMPUTED_VALUE"""),"5: Sangat jelas, kuat, dan sesuai visi pesantren (ingin belajar agama, mandiri, dekat dengan Allah).")</f>
        <v>5: Sangat jelas, kuat, dan sesuai visi pesantren (ingin belajar agama, mandiri, dekat dengan Allah).</v>
      </c>
      <c r="G2" s="131" t="str">
        <f>IFERROR(__xludf.DUMMYFUNCTION("""COMPUTED_VALUE"""),"5: Lingkungan sangat mendukung (keluarga islami, shalat berjamaah, kontrol gadget baik).")</f>
        <v>5: Lingkungan sangat mendukung (keluarga islami, shalat berjamaah, kontrol gadget baik).</v>
      </c>
      <c r="H2" s="131" t="str">
        <f>IFERROR(__xludf.DUMMYFUNCTION("""COMPUTED_VALUE"""),"5: Hobi bermanfaat (olahraga, membaca, permainan edukatif).")</f>
        <v>5: Hobi bermanfaat (olahraga, membaca, permainan edukatif).</v>
      </c>
      <c r="I2" s="131" t="str">
        <f>IFERROR(__xludf.DUMMYFUNCTION("""COMPUTED_VALUE"""),"5: Berteman dengan lingkungan positif (masjid, teman shalih/shalihah).")</f>
        <v>5: Berteman dengan lingkungan positif (masjid, teman shalih/shalihah).</v>
      </c>
      <c r="J2" s="131" t="str">
        <f>IFERROR(__xludf.DUMMYFUNCTION("""COMPUTED_VALUE"""),"5: Jelas menolak, punya alasan agama/ilmu.")</f>
        <v>5: Jelas menolak, punya alasan agama/ilmu.</v>
      </c>
      <c r="K2" s="131" t="str">
        <f>IFERROR(__xludf.DUMMYFUNCTION("""COMPUTED_VALUE"""),"5: Menolak dengan tegas, paham bahaya dan dosa.")</f>
        <v>5: Menolak dengan tegas, paham bahaya dan dosa.</v>
      </c>
      <c r="L2" s="131" t="str">
        <f>IFERROR(__xludf.DUMMYFUNCTION("""COMPUTED_VALUE"""),"5: Hobi positif, produktif, mendukung pengembangan diri (olahraga, membaca, seni islami).")</f>
        <v>5: Hobi positif, produktif, mendukung pengembangan diri (olahraga, membaca, seni islami).</v>
      </c>
      <c r="M2" s="131" t="str">
        <f>IFERROR(__xludf.DUMMYFUNCTION("""COMPUTED_VALUE"""),"Nabil Mujtaba")</f>
        <v>Nabil Mujtaba</v>
      </c>
      <c r="N2" s="131" t="str">
        <f>IFERROR(__xludf.DUMMYFUNCTION("""COMPUTED_VALUE"""),"A. Sangat Layak diterima (potensi besar berkembang di pesantren).")</f>
        <v>A. Sangat Layak diterima (potensi besar berkembang di pesantren).</v>
      </c>
      <c r="O2" s="131"/>
      <c r="P2" s="131" t="str">
        <f t="shared" ref="P2:V2" si="1">left(F2,1)</f>
        <v>5</v>
      </c>
      <c r="Q2" s="131" t="str">
        <f t="shared" si="1"/>
        <v>5</v>
      </c>
      <c r="R2" s="131" t="str">
        <f t="shared" si="1"/>
        <v>5</v>
      </c>
      <c r="S2" s="131" t="str">
        <f t="shared" si="1"/>
        <v>5</v>
      </c>
      <c r="T2" s="131" t="str">
        <f t="shared" si="1"/>
        <v>5</v>
      </c>
      <c r="U2" s="131" t="str">
        <f t="shared" si="1"/>
        <v>5</v>
      </c>
      <c r="V2" s="131" t="str">
        <f t="shared" si="1"/>
        <v>5</v>
      </c>
      <c r="W2" s="119">
        <f t="shared" ref="W2:W152" si="3">P2+Q2+R2+S2+T2+U2+V2</f>
        <v>35</v>
      </c>
      <c r="X2" s="119" t="str">
        <f t="shared" ref="X2:X152" si="4">IF(W2&lt;=21,"Belum Siap",IF(W2&lt;=28, "Cukup Siap", "Siap"))</f>
        <v>Siap</v>
      </c>
      <c r="Y2" s="119" t="str">
        <f t="shared" ref="Y2:Y152" si="5">vlookup(X2,$AA$2:$AB$4,2,0)</f>
        <v>bisa mengikuti pola pesantren dengan baik</v>
      </c>
      <c r="Z2" s="120"/>
      <c r="AA2" s="121" t="s">
        <v>39</v>
      </c>
      <c r="AB2" s="122" t="s">
        <v>40</v>
      </c>
      <c r="AC2" s="132"/>
      <c r="AD2" s="133"/>
      <c r="AE2" s="134"/>
    </row>
    <row r="3" ht="21.0" customHeight="1">
      <c r="A3" s="130">
        <f>IFERROR(__xludf.DUMMYFUNCTION("""COMPUTED_VALUE"""),45917.706312905095)</f>
        <v>45917.70631</v>
      </c>
      <c r="B3" s="71" t="str">
        <f>IFERROR(__xludf.DUMMYFUNCTION("""COMPUTED_VALUE"""),"muhammadadibachsan@madrasah.kemenag.go.id")</f>
        <v>muhammadadibachsan@madrasah.kemenag.go.id</v>
      </c>
      <c r="C3" s="71" t="str">
        <f>IFERROR(__xludf.DUMMYFUNCTION("""COMPUTED_VALUE"""),"Syabban Ghazi Alfathan")</f>
        <v>Syabban Ghazi Alfathan</v>
      </c>
      <c r="D3" s="71" t="str">
        <f>IFERROR(__xludf.DUMMYFUNCTION("""COMPUTED_VALUE"""),"B250025")</f>
        <v>B250025</v>
      </c>
      <c r="E3" s="71" t="str">
        <f>IFERROR(__xludf.DUMMYFUNCTION("""COMPUTED_VALUE"""),"IL Putra")</f>
        <v>IL Putra</v>
      </c>
      <c r="F3" s="131" t="str">
        <f>IFERROR(__xludf.DUMMYFUNCTION("""COMPUTED_VALUE"""),"3: Alasan kurang terarah, dipengaruhi orang tua, tapi ada kesediaan.")</f>
        <v>3: Alasan kurang terarah, dipengaruhi orang tua, tapi ada kesediaan.</v>
      </c>
      <c r="G3" s="131" t="str">
        <f>IFERROR(__xludf.DUMMYFUNCTION("""COMPUTED_VALUE"""),"5: Lingkungan sangat mendukung (keluarga islami, shalat berjamaah, kontrol gadget baik).")</f>
        <v>5: Lingkungan sangat mendukung (keluarga islami, shalat berjamaah, kontrol gadget baik).</v>
      </c>
      <c r="H3" s="131" t="str">
        <f>IFERROR(__xludf.DUMMYFUNCTION("""COMPUTED_VALUE"""),"4: Game rekreasi wajar, tidak berlebihan.")</f>
        <v>4: Game rekreasi wajar, tidak berlebihan.</v>
      </c>
      <c r="I3" s="131" t="str">
        <f>IFERROR(__xludf.DUMMYFUNCTION("""COMPUTED_VALUE"""),"2: Lebih sering bersama teman berpengaruh negatif.")</f>
        <v>2: Lebih sering bersama teman berpengaruh negatif.</v>
      </c>
      <c r="J3" s="131" t="str">
        <f>IFERROR(__xludf.DUMMYFUNCTION("""COMPUTED_VALUE"""),"2: Pernah mencoba atau terpengaruh.")</f>
        <v>2: Pernah mencoba atau terpengaruh.</v>
      </c>
      <c r="K3" s="131" t="str">
        <f>IFERROR(__xludf.DUMMYFUNCTION("""COMPUTED_VALUE"""),"4: Menolak, tapi belum terlalu paham alasannya.")</f>
        <v>4: Menolak, tapi belum terlalu paham alasannya.</v>
      </c>
      <c r="L3" s="131" t="str">
        <f>IFERROR(__xludf.DUMMYFUNCTION("""COMPUTED_VALUE"""),"5: Hobi positif, produktif, mendukung pengembangan diri (olahraga, membaca, seni islami).")</f>
        <v>5: Hobi positif, produktif, mendukung pengembangan diri (olahraga, membaca, seni islami).</v>
      </c>
      <c r="M3" s="131" t="str">
        <f>IFERROR(__xludf.DUMMYFUNCTION("""COMPUTED_VALUE"""),"Muhammad syauqi Alfaruq")</f>
        <v>Muhammad syauqi Alfaruq</v>
      </c>
      <c r="N3" s="131" t="str">
        <f>IFERROR(__xludf.DUMMYFUNCTION("""COMPUTED_VALUE"""),"C. Perlu Pertimbangan (butuh bimbingan khusus).")</f>
        <v>C. Perlu Pertimbangan (butuh bimbingan khusus).</v>
      </c>
      <c r="O3" s="131" t="str">
        <f>IFERROR(__xludf.DUMMYFUNCTION("""COMPUTED_VALUE"""),"1. dia  terpengaruh dengan rokok (tapi sudah tidak pernah melakukan lagi
2. kalau mondok jauh dari rumah dia aga berat
3. gampang terbawa teman teman yang kurang baik ")</f>
        <v>1. dia  terpengaruh dengan rokok (tapi sudah tidak pernah melakukan lagi
2. kalau mondok jauh dari rumah dia aga berat
3. gampang terbawa teman teman yang kurang baik </v>
      </c>
      <c r="P3" s="131" t="str">
        <f t="shared" ref="P3:V3" si="2">left(F3,1)</f>
        <v>3</v>
      </c>
      <c r="Q3" s="131" t="str">
        <f t="shared" si="2"/>
        <v>5</v>
      </c>
      <c r="R3" s="131" t="str">
        <f t="shared" si="2"/>
        <v>4</v>
      </c>
      <c r="S3" s="131" t="str">
        <f t="shared" si="2"/>
        <v>2</v>
      </c>
      <c r="T3" s="131" t="str">
        <f t="shared" si="2"/>
        <v>2</v>
      </c>
      <c r="U3" s="131" t="str">
        <f t="shared" si="2"/>
        <v>4</v>
      </c>
      <c r="V3" s="131" t="str">
        <f t="shared" si="2"/>
        <v>5</v>
      </c>
      <c r="W3" s="119">
        <f t="shared" si="3"/>
        <v>25</v>
      </c>
      <c r="X3" s="119" t="str">
        <f t="shared" si="4"/>
        <v>Cukup Siap</v>
      </c>
      <c r="Y3" s="119" t="str">
        <f t="shared" si="5"/>
        <v>perlu pendampingan awal</v>
      </c>
      <c r="Z3" s="120"/>
      <c r="AA3" s="121" t="s">
        <v>41</v>
      </c>
      <c r="AB3" s="122" t="s">
        <v>42</v>
      </c>
      <c r="AC3" s="132"/>
      <c r="AD3" s="133"/>
      <c r="AE3" s="134"/>
    </row>
    <row r="4" ht="24.0" customHeight="1">
      <c r="A4" s="130">
        <f>IFERROR(__xludf.DUMMYFUNCTION("""COMPUTED_VALUE"""),45918.851049571764)</f>
        <v>45918.85105</v>
      </c>
      <c r="B4" s="71" t="str">
        <f>IFERROR(__xludf.DUMMYFUNCTION("""COMPUTED_VALUE"""),"alfaruqsyauqi513@gmail.com")</f>
        <v>alfaruqsyauqi513@gmail.com</v>
      </c>
      <c r="C4" s="71" t="str">
        <f>IFERROR(__xludf.DUMMYFUNCTION("""COMPUTED_VALUE"""),"Daffa taamir alfarizi")</f>
        <v>Daffa taamir alfarizi</v>
      </c>
      <c r="D4" s="71" t="str">
        <f>IFERROR(__xludf.DUMMYFUNCTION("""COMPUTED_VALUE"""),"A250008")</f>
        <v>A250008</v>
      </c>
      <c r="E4" s="71" t="str">
        <f>IFERROR(__xludf.DUMMYFUNCTION("""COMPUTED_VALUE"""),"MTs Putra")</f>
        <v>MTs Putra</v>
      </c>
      <c r="F4" s="131" t="str">
        <f>IFERROR(__xludf.DUMMYFUNCTION("""COMPUTED_VALUE"""),"5: Sangat jelas, kuat, dan sesuai visi pesantren (ingin belajar agama, mandiri, dekat dengan Allah).")</f>
        <v>5: Sangat jelas, kuat, dan sesuai visi pesantren (ingin belajar agama, mandiri, dekat dengan Allah).</v>
      </c>
      <c r="G4" s="131" t="str">
        <f>IFERROR(__xludf.DUMMYFUNCTION("""COMPUTED_VALUE"""),"5: Lingkungan sangat mendukung (keluarga islami, shalat berjamaah, kontrol gadget baik).")</f>
        <v>5: Lingkungan sangat mendukung (keluarga islami, shalat berjamaah, kontrol gadget baik).</v>
      </c>
      <c r="H4" s="131" t="str">
        <f>IFERROR(__xludf.DUMMYFUNCTION("""COMPUTED_VALUE"""),"5: Hobi bermanfaat (olahraga, membaca, permainan edukatif).")</f>
        <v>5: Hobi bermanfaat (olahraga, membaca, permainan edukatif).</v>
      </c>
      <c r="I4" s="131" t="str">
        <f>IFERROR(__xludf.DUMMYFUNCTION("""COMPUTED_VALUE"""),"5: Berteman dengan lingkungan positif (masjid, teman shalih/shalihah).")</f>
        <v>5: Berteman dengan lingkungan positif (masjid, teman shalih/shalihah).</v>
      </c>
      <c r="J4" s="131" t="str">
        <f>IFERROR(__xludf.DUMMYFUNCTION("""COMPUTED_VALUE"""),"5: Jelas menolak, punya alasan agama/ilmu.")</f>
        <v>5: Jelas menolak, punya alasan agama/ilmu.</v>
      </c>
      <c r="K4" s="131" t="str">
        <f>IFERROR(__xludf.DUMMYFUNCTION("""COMPUTED_VALUE"""),"4: Menolak, tapi belum terlalu paham alasannya.")</f>
        <v>4: Menolak, tapi belum terlalu paham alasannya.</v>
      </c>
      <c r="L4" s="131" t="str">
        <f>IFERROR(__xludf.DUMMYFUNCTION("""COMPUTED_VALUE"""),"5: Hobi positif, produktif, mendukung pengembangan diri (olahraga, membaca, seni islami).")</f>
        <v>5: Hobi positif, produktif, mendukung pengembangan diri (olahraga, membaca, seni islami).</v>
      </c>
      <c r="M4" s="131" t="str">
        <f>IFERROR(__xludf.DUMMYFUNCTION("""COMPUTED_VALUE"""),"Muhammad syauqi alfaruq")</f>
        <v>Muhammad syauqi alfaruq</v>
      </c>
      <c r="N4" s="131" t="str">
        <f>IFERROR(__xludf.DUMMYFUNCTION("""COMPUTED_VALUE"""),"A. Sangat Layak diterima (potensi besar berkembang di pesantren).")</f>
        <v>A. Sangat Layak diterima (potensi besar berkembang di pesantren).</v>
      </c>
      <c r="O4" s="131" t="str">
        <f>IFERROR(__xludf.DUMMYFUNCTION("""COMPUTED_VALUE"""),"Masih polos dan lingkungan nya sangat positif")</f>
        <v>Masih polos dan lingkungan nya sangat positif</v>
      </c>
      <c r="P4" s="131" t="str">
        <f t="shared" ref="P4:V4" si="6">left(F4,1)</f>
        <v>5</v>
      </c>
      <c r="Q4" s="131" t="str">
        <f t="shared" si="6"/>
        <v>5</v>
      </c>
      <c r="R4" s="131" t="str">
        <f t="shared" si="6"/>
        <v>5</v>
      </c>
      <c r="S4" s="131" t="str">
        <f t="shared" si="6"/>
        <v>5</v>
      </c>
      <c r="T4" s="131" t="str">
        <f t="shared" si="6"/>
        <v>5</v>
      </c>
      <c r="U4" s="131" t="str">
        <f t="shared" si="6"/>
        <v>4</v>
      </c>
      <c r="V4" s="131" t="str">
        <f t="shared" si="6"/>
        <v>5</v>
      </c>
      <c r="W4" s="119">
        <f t="shared" si="3"/>
        <v>34</v>
      </c>
      <c r="X4" s="119" t="str">
        <f t="shared" si="4"/>
        <v>Siap</v>
      </c>
      <c r="Y4" s="119" t="str">
        <f t="shared" si="5"/>
        <v>bisa mengikuti pola pesantren dengan baik</v>
      </c>
      <c r="Z4" s="120"/>
      <c r="AA4" s="121" t="s">
        <v>22</v>
      </c>
      <c r="AB4" s="122" t="s">
        <v>43</v>
      </c>
      <c r="AC4" s="132"/>
      <c r="AD4" s="133"/>
      <c r="AE4" s="134"/>
    </row>
    <row r="5" ht="24.0" customHeight="1">
      <c r="A5" s="130">
        <f>IFERROR(__xludf.DUMMYFUNCTION("""COMPUTED_VALUE"""),45919.82301763889)</f>
        <v>45919.82302</v>
      </c>
      <c r="B5" s="71" t="str">
        <f>IFERROR(__xludf.DUMMYFUNCTION("""COMPUTED_VALUE"""),"alfaruqsyauqi513@gmail.com")</f>
        <v>alfaruqsyauqi513@gmail.com</v>
      </c>
      <c r="C5" s="71" t="str">
        <f>IFERROR(__xludf.DUMMYFUNCTION("""COMPUTED_VALUE"""),"Abu rehan al fajri")</f>
        <v>Abu rehan al fajri</v>
      </c>
      <c r="D5" s="71" t="str">
        <f>IFERROR(__xludf.DUMMYFUNCTION("""COMPUTED_VALUE"""),"A250025")</f>
        <v>A250025</v>
      </c>
      <c r="E5" s="71" t="str">
        <f>IFERROR(__xludf.DUMMYFUNCTION("""COMPUTED_VALUE"""),"MTs Putra")</f>
        <v>MTs Putra</v>
      </c>
      <c r="F5" s="131" t="str">
        <f>IFERROR(__xludf.DUMMYFUNCTION("""COMPUTED_VALUE"""),"5: Sangat jelas, kuat, dan sesuai visi pesantren (ingin belajar agama, mandiri, dekat dengan Allah).")</f>
        <v>5: Sangat jelas, kuat, dan sesuai visi pesantren (ingin belajar agama, mandiri, dekat dengan Allah).</v>
      </c>
      <c r="G5" s="131" t="str">
        <f>IFERROR(__xludf.DUMMYFUNCTION("""COMPUTED_VALUE"""),"5: Lingkungan sangat mendukung (keluarga islami, shalat berjamaah, kontrol gadget baik).")</f>
        <v>5: Lingkungan sangat mendukung (keluarga islami, shalat berjamaah, kontrol gadget baik).</v>
      </c>
      <c r="H5" s="131" t="str">
        <f>IFERROR(__xludf.DUMMYFUNCTION("""COMPUTED_VALUE"""),"5: Hobi bermanfaat (olahraga, membaca, permainan edukatif).")</f>
        <v>5: Hobi bermanfaat (olahraga, membaca, permainan edukatif).</v>
      </c>
      <c r="I5" s="131" t="str">
        <f>IFERROR(__xludf.DUMMYFUNCTION("""COMPUTED_VALUE"""),"5: Berteman dengan lingkungan positif (masjid, teman shalih/shalihah).")</f>
        <v>5: Berteman dengan lingkungan positif (masjid, teman shalih/shalihah).</v>
      </c>
      <c r="J5" s="131" t="str">
        <f>IFERROR(__xludf.DUMMYFUNCTION("""COMPUTED_VALUE"""),"5: Jelas menolak, punya alasan agama/ilmu.")</f>
        <v>5: Jelas menolak, punya alasan agama/ilmu.</v>
      </c>
      <c r="K5" s="131" t="str">
        <f>IFERROR(__xludf.DUMMYFUNCTION("""COMPUTED_VALUE"""),"5: Menolak dengan tegas, paham bahaya dan dosa.")</f>
        <v>5: Menolak dengan tegas, paham bahaya dan dosa.</v>
      </c>
      <c r="L5" s="131" t="str">
        <f>IFERROR(__xludf.DUMMYFUNCTION("""COMPUTED_VALUE"""),"5: Hobi positif, produktif, mendukung pengembangan diri (olahraga, membaca, seni islami).")</f>
        <v>5: Hobi positif, produktif, mendukung pengembangan diri (olahraga, membaca, seni islami).</v>
      </c>
      <c r="M5" s="131" t="str">
        <f>IFERROR(__xludf.DUMMYFUNCTION("""COMPUTED_VALUE"""),"Muhammad syauqi Alfaruq")</f>
        <v>Muhammad syauqi Alfaruq</v>
      </c>
      <c r="N5" s="131" t="str">
        <f>IFERROR(__xludf.DUMMYFUNCTION("""COMPUTED_VALUE"""),"A. Sangat Layak diterima (potensi besar berkembang di pesantren).")</f>
        <v>A. Sangat Layak diterima (potensi besar berkembang di pesantren).</v>
      </c>
      <c r="O5" s="131" t="str">
        <f>IFERROR(__xludf.DUMMYFUNCTION("""COMPUTED_VALUE"""),"Dia ingin mengasah kemampuannya dalam hal memanah dan sudah pernah ikut lomba👍")</f>
        <v>Dia ingin mengasah kemampuannya dalam hal memanah dan sudah pernah ikut lomba👍</v>
      </c>
      <c r="P5" s="131" t="str">
        <f t="shared" ref="P5:V5" si="7">left(F5,1)</f>
        <v>5</v>
      </c>
      <c r="Q5" s="131" t="str">
        <f t="shared" si="7"/>
        <v>5</v>
      </c>
      <c r="R5" s="131" t="str">
        <f t="shared" si="7"/>
        <v>5</v>
      </c>
      <c r="S5" s="131" t="str">
        <f t="shared" si="7"/>
        <v>5</v>
      </c>
      <c r="T5" s="131" t="str">
        <f t="shared" si="7"/>
        <v>5</v>
      </c>
      <c r="U5" s="131" t="str">
        <f t="shared" si="7"/>
        <v>5</v>
      </c>
      <c r="V5" s="131" t="str">
        <f t="shared" si="7"/>
        <v>5</v>
      </c>
      <c r="W5" s="119">
        <f t="shared" si="3"/>
        <v>35</v>
      </c>
      <c r="X5" s="119" t="str">
        <f t="shared" si="4"/>
        <v>Siap</v>
      </c>
      <c r="Y5" s="119" t="str">
        <f t="shared" si="5"/>
        <v>bisa mengikuti pola pesantren dengan baik</v>
      </c>
      <c r="Z5" s="120"/>
      <c r="AA5" s="135"/>
      <c r="AB5" s="132"/>
      <c r="AC5" s="132"/>
      <c r="AD5" s="133"/>
      <c r="AE5" s="134"/>
    </row>
    <row r="6" ht="24.0" customHeight="1">
      <c r="A6" s="130">
        <f>IFERROR(__xludf.DUMMYFUNCTION("""COMPUTED_VALUE"""),45920.362759456024)</f>
        <v>45920.36276</v>
      </c>
      <c r="B6" s="71" t="str">
        <f>IFERROR(__xludf.DUMMYFUNCTION("""COMPUTED_VALUE"""),"almarufindonesia@gmail.com")</f>
        <v>almarufindonesia@gmail.com</v>
      </c>
      <c r="C6" s="71" t="str">
        <f>IFERROR(__xludf.DUMMYFUNCTION("""COMPUTED_VALUE"""),"Muhammad Hanif ash shiddiq")</f>
        <v>Muhammad Hanif ash shiddiq</v>
      </c>
      <c r="D6" s="71" t="str">
        <f>IFERROR(__xludf.DUMMYFUNCTION("""COMPUTED_VALUE"""),"A250048")</f>
        <v>A250048</v>
      </c>
      <c r="E6" s="71" t="str">
        <f>IFERROR(__xludf.DUMMYFUNCTION("""COMPUTED_VALUE"""),"MTs Putra")</f>
        <v>MTs Putra</v>
      </c>
      <c r="F6" s="131" t="str">
        <f>IFERROR(__xludf.DUMMYFUNCTION("""COMPUTED_VALUE"""),"5: Sangat jelas, kuat, dan sesuai visi pesantren (ingin belajar agama, mandiri, dekat dengan Allah).")</f>
        <v>5: Sangat jelas, kuat, dan sesuai visi pesantren (ingin belajar agama, mandiri, dekat dengan Allah).</v>
      </c>
      <c r="G6" s="131" t="str">
        <f>IFERROR(__xludf.DUMMYFUNCTION("""COMPUTED_VALUE"""),"5: Lingkungan sangat mendukung (keluarga islami, shalat berjamaah, kontrol gadget baik).")</f>
        <v>5: Lingkungan sangat mendukung (keluarga islami, shalat berjamaah, kontrol gadget baik).</v>
      </c>
      <c r="H6" s="131" t="str">
        <f>IFERROR(__xludf.DUMMYFUNCTION("""COMPUTED_VALUE"""),"5: Hobi bermanfaat (olahraga, membaca, permainan edukatif).")</f>
        <v>5: Hobi bermanfaat (olahraga, membaca, permainan edukatif).</v>
      </c>
      <c r="I6" s="131" t="str">
        <f>IFERROR(__xludf.DUMMYFUNCTION("""COMPUTED_VALUE"""),"5: Berteman dengan lingkungan positif (masjid, teman shalih/shalihah).")</f>
        <v>5: Berteman dengan lingkungan positif (masjid, teman shalih/shalihah).</v>
      </c>
      <c r="J6" s="131" t="str">
        <f>IFERROR(__xludf.DUMMYFUNCTION("""COMPUTED_VALUE"""),"5: Jelas menolak, punya alasan agama/ilmu.")</f>
        <v>5: Jelas menolak, punya alasan agama/ilmu.</v>
      </c>
      <c r="K6" s="131" t="str">
        <f>IFERROR(__xludf.DUMMYFUNCTION("""COMPUTED_VALUE"""),"5: Menolak dengan tegas, paham bahaya dan dosa.")</f>
        <v>5: Menolak dengan tegas, paham bahaya dan dosa.</v>
      </c>
      <c r="L6" s="131" t="str">
        <f>IFERROR(__xludf.DUMMYFUNCTION("""COMPUTED_VALUE"""),"5: Hobi positif, produktif, mendukung pengembangan diri (olahraga, membaca, seni islami).")</f>
        <v>5: Hobi positif, produktif, mendukung pengembangan diri (olahraga, membaca, seni islami).</v>
      </c>
      <c r="M6" s="131" t="str">
        <f>IFERROR(__xludf.DUMMYFUNCTION("""COMPUTED_VALUE"""),"Nabil Mujtaba")</f>
        <v>Nabil Mujtaba</v>
      </c>
      <c r="N6" s="131" t="str">
        <f>IFERROR(__xludf.DUMMYFUNCTION("""COMPUTED_VALUE"""),"A. Sangat Layak diterima (potensi besar berkembang di pesantren).")</f>
        <v>A. Sangat Layak diterima (potensi besar berkembang di pesantren).</v>
      </c>
      <c r="O6" s="131" t="str">
        <f>IFERROR(__xludf.DUMMYFUNCTION("""COMPUTED_VALUE"""),"Hafalan 5 Juz 30,29,28,27,1
Alergi susu coklat, seafood
kurang suka terong pete jengkol")</f>
        <v>Hafalan 5 Juz 30,29,28,27,1
Alergi susu coklat, seafood
kurang suka terong pete jengkol</v>
      </c>
      <c r="P6" s="131" t="str">
        <f t="shared" ref="P6:V6" si="8">left(F6,1)</f>
        <v>5</v>
      </c>
      <c r="Q6" s="131" t="str">
        <f t="shared" si="8"/>
        <v>5</v>
      </c>
      <c r="R6" s="131" t="str">
        <f t="shared" si="8"/>
        <v>5</v>
      </c>
      <c r="S6" s="131" t="str">
        <f t="shared" si="8"/>
        <v>5</v>
      </c>
      <c r="T6" s="131" t="str">
        <f t="shared" si="8"/>
        <v>5</v>
      </c>
      <c r="U6" s="131" t="str">
        <f t="shared" si="8"/>
        <v>5</v>
      </c>
      <c r="V6" s="131" t="str">
        <f t="shared" si="8"/>
        <v>5</v>
      </c>
      <c r="W6" s="119">
        <f t="shared" si="3"/>
        <v>35</v>
      </c>
      <c r="X6" s="119" t="str">
        <f t="shared" si="4"/>
        <v>Siap</v>
      </c>
      <c r="Y6" s="119" t="str">
        <f t="shared" si="5"/>
        <v>bisa mengikuti pola pesantren dengan baik</v>
      </c>
      <c r="Z6" s="120"/>
      <c r="AB6" s="132"/>
      <c r="AC6" s="132"/>
      <c r="AD6" s="133"/>
      <c r="AE6" s="134"/>
    </row>
    <row r="7" ht="24.0" customHeight="1">
      <c r="A7" s="130">
        <f>IFERROR(__xludf.DUMMYFUNCTION("""COMPUTED_VALUE"""),45920.39774489583)</f>
        <v>45920.39774</v>
      </c>
      <c r="B7" s="71" t="str">
        <f>IFERROR(__xludf.DUMMYFUNCTION("""COMPUTED_VALUE"""),"almarufindonesia@gmail.com")</f>
        <v>almarufindonesia@gmail.com</v>
      </c>
      <c r="C7" s="71" t="str">
        <f>IFERROR(__xludf.DUMMYFUNCTION("""COMPUTED_VALUE"""),"Lazuardi Akbar Narendra ")</f>
        <v>Lazuardi Akbar Narendra </v>
      </c>
      <c r="D7" s="71" t="str">
        <f>IFERROR(__xludf.DUMMYFUNCTION("""COMPUTED_VALUE"""),"A250007")</f>
        <v>A250007</v>
      </c>
      <c r="E7" s="71" t="str">
        <f>IFERROR(__xludf.DUMMYFUNCTION("""COMPUTED_VALUE"""),"MTs Putra")</f>
        <v>MTs Putra</v>
      </c>
      <c r="F7" s="131" t="str">
        <f>IFERROR(__xludf.DUMMYFUNCTION("""COMPUTED_VALUE"""),"4: Cukup jelas, alasan positif namun masih umum.")</f>
        <v>4: Cukup jelas, alasan positif namun masih umum.</v>
      </c>
      <c r="G7" s="131" t="str">
        <f>IFERROR(__xludf.DUMMYFUNCTION("""COMPUTED_VALUE"""),"3: Lingkungan biasa saja, kadang ada pengaruh negatif.")</f>
        <v>3: Lingkungan biasa saja, kadang ada pengaruh negatif.</v>
      </c>
      <c r="H7" s="131" t="str">
        <f>IFERROR(__xludf.DUMMYFUNCTION("""COMPUTED_VALUE"""),"3: Game online, tapi masih bisa dikontrol.")</f>
        <v>3: Game online, tapi masih bisa dikontrol.</v>
      </c>
      <c r="I7" s="131" t="str">
        <f>IFERROR(__xludf.DUMMYFUNCTION("""COMPUTED_VALUE"""),"3: Teman biasa saja, netral.")</f>
        <v>3: Teman biasa saja, netral.</v>
      </c>
      <c r="J7" s="131" t="str">
        <f>IFERROR(__xludf.DUMMYFUNCTION("""COMPUTED_VALUE"""),"4: Menolak, tapi alasannya umum.")</f>
        <v>4: Menolak, tapi alasannya umum.</v>
      </c>
      <c r="K7" s="131" t="str">
        <f>IFERROR(__xludf.DUMMYFUNCTION("""COMPUTED_VALUE"""),"4: Menolak, tapi belum terlalu paham alasannya.")</f>
        <v>4: Menolak, tapi belum terlalu paham alasannya.</v>
      </c>
      <c r="L7" s="131" t="str">
        <f>IFERROR(__xludf.DUMMYFUNCTION("""COMPUTED_VALUE"""),"4: Hobi umum yang wajar (menggambar, dll).")</f>
        <v>4: Hobi umum yang wajar (menggambar, dll).</v>
      </c>
      <c r="M7" s="131" t="str">
        <f>IFERROR(__xludf.DUMMYFUNCTION("""COMPUTED_VALUE"""),"Nabil Mujtaba")</f>
        <v>Nabil Mujtaba</v>
      </c>
      <c r="N7" s="131" t="str">
        <f>IFERROR(__xludf.DUMMYFUNCTION("""COMPUTED_VALUE"""),"B. Layak diterima dengan catatan pembinaan.")</f>
        <v>B. Layak diterima dengan catatan pembinaan.</v>
      </c>
      <c r="O7" s="131" t="str">
        <f>IFERROR(__xludf.DUMMYFUNCTION("""COMPUTED_VALUE"""),"Hafalan Juz 30
Masih suka main game online dengan terkontrol (free fire)
Shalat kemasjid ketika ada orangtua, jika tidak maka shlat dirumah karena masjidnya agak jauh takut kenapa2
Alergi kerang dara ")</f>
        <v>Hafalan Juz 30
Masih suka main game online dengan terkontrol (free fire)
Shalat kemasjid ketika ada orangtua, jika tidak maka shlat dirumah karena masjidnya agak jauh takut kenapa2
Alergi kerang dara </v>
      </c>
      <c r="P7" s="131" t="str">
        <f t="shared" ref="P7:V7" si="9">left(F7,1)</f>
        <v>4</v>
      </c>
      <c r="Q7" s="131" t="str">
        <f t="shared" si="9"/>
        <v>3</v>
      </c>
      <c r="R7" s="131" t="str">
        <f t="shared" si="9"/>
        <v>3</v>
      </c>
      <c r="S7" s="131" t="str">
        <f t="shared" si="9"/>
        <v>3</v>
      </c>
      <c r="T7" s="131" t="str">
        <f t="shared" si="9"/>
        <v>4</v>
      </c>
      <c r="U7" s="131" t="str">
        <f t="shared" si="9"/>
        <v>4</v>
      </c>
      <c r="V7" s="131" t="str">
        <f t="shared" si="9"/>
        <v>4</v>
      </c>
      <c r="W7" s="119">
        <f t="shared" si="3"/>
        <v>25</v>
      </c>
      <c r="X7" s="119" t="str">
        <f t="shared" si="4"/>
        <v>Cukup Siap</v>
      </c>
      <c r="Y7" s="119" t="str">
        <f t="shared" si="5"/>
        <v>perlu pendampingan awal</v>
      </c>
      <c r="Z7" s="120"/>
      <c r="AB7" s="132"/>
      <c r="AC7" s="132"/>
      <c r="AD7" s="133"/>
      <c r="AE7" s="134"/>
    </row>
    <row r="8" ht="24.0" customHeight="1">
      <c r="A8" s="130">
        <f>IFERROR(__xludf.DUMMYFUNCTION("""COMPUTED_VALUE"""),45920.41064825232)</f>
        <v>45920.41065</v>
      </c>
      <c r="B8" s="71" t="str">
        <f>IFERROR(__xludf.DUMMYFUNCTION("""COMPUTED_VALUE"""),"halimahnurjalalhfnjl@gmail.com")</f>
        <v>halimahnurjalalhfnjl@gmail.com</v>
      </c>
      <c r="C8" s="71" t="str">
        <f>IFERROR(__xludf.DUMMYFUNCTION("""COMPUTED_VALUE"""),"Aina Syahmina Givani")</f>
        <v>Aina Syahmina Givani</v>
      </c>
      <c r="D8" s="71" t="str">
        <f>IFERROR(__xludf.DUMMYFUNCTION("""COMPUTED_VALUE"""),"D250006")</f>
        <v>D250006</v>
      </c>
      <c r="E8" s="71" t="str">
        <f>IFERROR(__xludf.DUMMYFUNCTION("""COMPUTED_VALUE"""),"MTs Putri")</f>
        <v>MTs Putri</v>
      </c>
      <c r="F8" s="131" t="str">
        <f>IFERROR(__xludf.DUMMYFUNCTION("""COMPUTED_VALUE"""),"5: Sangat jelas, kuat, dan sesuai visi pesantren (ingin belajar agama, mandiri, dekat dengan Allah).")</f>
        <v>5: Sangat jelas, kuat, dan sesuai visi pesantren (ingin belajar agama, mandiri, dekat dengan Allah).</v>
      </c>
      <c r="G8" s="131" t="str">
        <f>IFERROR(__xludf.DUMMYFUNCTION("""COMPUTED_VALUE"""),"5: Lingkungan sangat mendukung (keluarga islami, shalat berjamaah, kontrol gadget baik).")</f>
        <v>5: Lingkungan sangat mendukung (keluarga islami, shalat berjamaah, kontrol gadget baik).</v>
      </c>
      <c r="H8" s="131" t="str">
        <f>IFERROR(__xludf.DUMMYFUNCTION("""COMPUTED_VALUE"""),"5: Hobi bermanfaat (olahraga, membaca, permainan edukatif).")</f>
        <v>5: Hobi bermanfaat (olahraga, membaca, permainan edukatif).</v>
      </c>
      <c r="I8" s="131" t="str">
        <f>IFERROR(__xludf.DUMMYFUNCTION("""COMPUTED_VALUE"""),"5: Berteman dengan lingkungan positif (masjid, teman shalih/shalihah).")</f>
        <v>5: Berteman dengan lingkungan positif (masjid, teman shalih/shalihah).</v>
      </c>
      <c r="J8" s="131" t="str">
        <f>IFERROR(__xludf.DUMMYFUNCTION("""COMPUTED_VALUE"""),"5: Jelas menolak, punya alasan agama/ilmu.")</f>
        <v>5: Jelas menolak, punya alasan agama/ilmu.</v>
      </c>
      <c r="K8" s="131" t="str">
        <f>IFERROR(__xludf.DUMMYFUNCTION("""COMPUTED_VALUE"""),"5: Menolak dengan tegas, paham bahaya dan dosa.")</f>
        <v>5: Menolak dengan tegas, paham bahaya dan dosa.</v>
      </c>
      <c r="L8" s="131" t="str">
        <f>IFERROR(__xludf.DUMMYFUNCTION("""COMPUTED_VALUE"""),"5: Hobi positif, produktif, mendukung pengembangan diri (olahraga, membaca, seni islami).")</f>
        <v>5: Hobi positif, produktif, mendukung pengembangan diri (olahraga, membaca, seni islami).</v>
      </c>
      <c r="M8" s="131" t="str">
        <f>IFERROR(__xludf.DUMMYFUNCTION("""COMPUTED_VALUE"""),"Halimah Fauziah ")</f>
        <v>Halimah Fauziah </v>
      </c>
      <c r="N8" s="131" t="str">
        <f>IFERROR(__xludf.DUMMYFUNCTION("""COMPUTED_VALUE"""),"A. Sangat Layak diterima (potensi besar berkembang di pesantren).")</f>
        <v>A. Sangat Layak diterima (potensi besar berkembang di pesantren).</v>
      </c>
      <c r="O8" s="131" t="str">
        <f>IFERROR(__xludf.DUMMYFUNCTION("""COMPUTED_VALUE"""),"Ananda Aina sudah memiliki hafalan 3 Juz")</f>
        <v>Ananda Aina sudah memiliki hafalan 3 Juz</v>
      </c>
      <c r="P8" s="131" t="str">
        <f t="shared" ref="P8:V8" si="10">left(F8,1)</f>
        <v>5</v>
      </c>
      <c r="Q8" s="131" t="str">
        <f t="shared" si="10"/>
        <v>5</v>
      </c>
      <c r="R8" s="131" t="str">
        <f t="shared" si="10"/>
        <v>5</v>
      </c>
      <c r="S8" s="131" t="str">
        <f t="shared" si="10"/>
        <v>5</v>
      </c>
      <c r="T8" s="131" t="str">
        <f t="shared" si="10"/>
        <v>5</v>
      </c>
      <c r="U8" s="131" t="str">
        <f t="shared" si="10"/>
        <v>5</v>
      </c>
      <c r="V8" s="131" t="str">
        <f t="shared" si="10"/>
        <v>5</v>
      </c>
      <c r="W8" s="119">
        <f t="shared" si="3"/>
        <v>35</v>
      </c>
      <c r="X8" s="119" t="str">
        <f t="shared" si="4"/>
        <v>Siap</v>
      </c>
      <c r="Y8" s="119" t="str">
        <f t="shared" si="5"/>
        <v>bisa mengikuti pola pesantren dengan baik</v>
      </c>
      <c r="Z8" s="120"/>
      <c r="AB8" s="132"/>
      <c r="AC8" s="132"/>
      <c r="AD8" s="133"/>
      <c r="AE8" s="134"/>
    </row>
    <row r="9" ht="24.0" customHeight="1">
      <c r="A9" s="130">
        <f>IFERROR(__xludf.DUMMYFUNCTION("""COMPUTED_VALUE"""),45920.413738194446)</f>
        <v>45920.41374</v>
      </c>
      <c r="B9" s="71" t="str">
        <f>IFERROR(__xludf.DUMMYFUNCTION("""COMPUTED_VALUE"""),"muhajirlah@gmail.com")</f>
        <v>muhajirlah@gmail.com</v>
      </c>
      <c r="C9" s="71" t="str">
        <f>IFERROR(__xludf.DUMMYFUNCTION("""COMPUTED_VALUE"""),"Umar Fawwaz")</f>
        <v>Umar Fawwaz</v>
      </c>
      <c r="D9" s="71" t="str">
        <f>IFERROR(__xludf.DUMMYFUNCTION("""COMPUTED_VALUE"""),"A250002")</f>
        <v>A250002</v>
      </c>
      <c r="E9" s="71" t="str">
        <f>IFERROR(__xludf.DUMMYFUNCTION("""COMPUTED_VALUE"""),"MTs Putra")</f>
        <v>MTs Putra</v>
      </c>
      <c r="F9" s="131" t="str">
        <f>IFERROR(__xludf.DUMMYFUNCTION("""COMPUTED_VALUE"""),"5: Sangat jelas, kuat, dan sesuai visi pesantren (ingin belajar agama, mandiri, dekat dengan Allah).")</f>
        <v>5: Sangat jelas, kuat, dan sesuai visi pesantren (ingin belajar agama, mandiri, dekat dengan Allah).</v>
      </c>
      <c r="G9" s="131" t="str">
        <f>IFERROR(__xludf.DUMMYFUNCTION("""COMPUTED_VALUE"""),"5: Lingkungan sangat mendukung (keluarga islami, shalat berjamaah, kontrol gadget baik).")</f>
        <v>5: Lingkungan sangat mendukung (keluarga islami, shalat berjamaah, kontrol gadget baik).</v>
      </c>
      <c r="H9" s="131" t="str">
        <f>IFERROR(__xludf.DUMMYFUNCTION("""COMPUTED_VALUE"""),"4: Game rekreasi wajar, tidak berlebihan.")</f>
        <v>4: Game rekreasi wajar, tidak berlebihan.</v>
      </c>
      <c r="I9" s="131" t="str">
        <f>IFERROR(__xludf.DUMMYFUNCTION("""COMPUTED_VALUE"""),"5: Berteman dengan lingkungan positif (masjid, teman shalih/shalihah).")</f>
        <v>5: Berteman dengan lingkungan positif (masjid, teman shalih/shalihah).</v>
      </c>
      <c r="J9" s="131" t="str">
        <f>IFERROR(__xludf.DUMMYFUNCTION("""COMPUTED_VALUE"""),"5: Jelas menolak, punya alasan agama/ilmu.")</f>
        <v>5: Jelas menolak, punya alasan agama/ilmu.</v>
      </c>
      <c r="K9" s="131" t="str">
        <f>IFERROR(__xludf.DUMMYFUNCTION("""COMPUTED_VALUE"""),"4: Menolak, tapi belum terlalu paham alasannya.")</f>
        <v>4: Menolak, tapi belum terlalu paham alasannya.</v>
      </c>
      <c r="L9" s="131" t="str">
        <f>IFERROR(__xludf.DUMMYFUNCTION("""COMPUTED_VALUE"""),"5: Hobi positif, produktif, mendukung pengembangan diri (olahraga, membaca, seni islami).")</f>
        <v>5: Hobi positif, produktif, mendukung pengembangan diri (olahraga, membaca, seni islami).</v>
      </c>
      <c r="M9" s="131" t="str">
        <f>IFERROR(__xludf.DUMMYFUNCTION("""COMPUTED_VALUE"""),"Muhajir")</f>
        <v>Muhajir</v>
      </c>
      <c r="N9" s="131" t="str">
        <f>IFERROR(__xludf.DUMMYFUNCTION("""COMPUTED_VALUE"""),"A. Sangat Layak diterima (potensi besar berkembang di pesantren).")</f>
        <v>A. Sangat Layak diterima (potensi besar berkembang di pesantren).</v>
      </c>
      <c r="O9" s="131" t="str">
        <f>IFERROR(__xludf.DUMMYFUNCTION("""COMPUTED_VALUE"""),"adik nya Abdullah 7A, bagus dari segi lingkungan dan orangtua.
")</f>
        <v>adik nya Abdullah 7A, bagus dari segi lingkungan dan orangtua.
</v>
      </c>
      <c r="P9" s="131" t="str">
        <f t="shared" ref="P9:V9" si="11">left(F9,1)</f>
        <v>5</v>
      </c>
      <c r="Q9" s="131" t="str">
        <f t="shared" si="11"/>
        <v>5</v>
      </c>
      <c r="R9" s="131" t="str">
        <f t="shared" si="11"/>
        <v>4</v>
      </c>
      <c r="S9" s="131" t="str">
        <f t="shared" si="11"/>
        <v>5</v>
      </c>
      <c r="T9" s="131" t="str">
        <f t="shared" si="11"/>
        <v>5</v>
      </c>
      <c r="U9" s="131" t="str">
        <f t="shared" si="11"/>
        <v>4</v>
      </c>
      <c r="V9" s="131" t="str">
        <f t="shared" si="11"/>
        <v>5</v>
      </c>
      <c r="W9" s="119">
        <f t="shared" si="3"/>
        <v>33</v>
      </c>
      <c r="X9" s="119" t="str">
        <f t="shared" si="4"/>
        <v>Siap</v>
      </c>
      <c r="Y9" s="119" t="str">
        <f t="shared" si="5"/>
        <v>bisa mengikuti pola pesantren dengan baik</v>
      </c>
      <c r="Z9" s="120"/>
      <c r="AB9" s="132"/>
      <c r="AC9" s="132"/>
      <c r="AD9" s="133"/>
      <c r="AE9" s="134"/>
    </row>
    <row r="10" ht="24.0" customHeight="1">
      <c r="A10" s="136">
        <f>IFERROR(__xludf.DUMMYFUNCTION("""COMPUTED_VALUE"""),45920.48813881945)</f>
        <v>45920.48814</v>
      </c>
      <c r="B10" s="137" t="str">
        <f>IFERROR(__xludf.DUMMYFUNCTION("""COMPUTED_VALUE"""),"halimahnurjalalhfnjl@gmail.com")</f>
        <v>halimahnurjalalhfnjl@gmail.com</v>
      </c>
      <c r="C10" s="137" t="str">
        <f>IFERROR(__xludf.DUMMYFUNCTION("""COMPUTED_VALUE"""),"Aisyah")</f>
        <v>Aisyah</v>
      </c>
      <c r="D10" s="137" t="str">
        <f>IFERROR(__xludf.DUMMYFUNCTION("""COMPUTED_VALUE"""),"D250005")</f>
        <v>D250005</v>
      </c>
      <c r="E10" s="137" t="str">
        <f>IFERROR(__xludf.DUMMYFUNCTION("""COMPUTED_VALUE"""),"MTs Putri")</f>
        <v>MTs Putri</v>
      </c>
      <c r="F10" s="138" t="str">
        <f>IFERROR(__xludf.DUMMYFUNCTION("""COMPUTED_VALUE"""),"5: Sangat jelas, kuat, dan sesuai visi pesantren (ingin belajar agama, mandiri, dekat dengan Allah).")</f>
        <v>5: Sangat jelas, kuat, dan sesuai visi pesantren (ingin belajar agama, mandiri, dekat dengan Allah).</v>
      </c>
      <c r="G10" s="138" t="str">
        <f>IFERROR(__xludf.DUMMYFUNCTION("""COMPUTED_VALUE"""),"5: Lingkungan sangat mendukung (keluarga islami, shalat berjamaah, kontrol gadget baik).")</f>
        <v>5: Lingkungan sangat mendukung (keluarga islami, shalat berjamaah, kontrol gadget baik).</v>
      </c>
      <c r="H10" s="138" t="str">
        <f>IFERROR(__xludf.DUMMYFUNCTION("""COMPUTED_VALUE"""),"5: Hobi bermanfaat (olahraga, membaca, permainan edukatif).")</f>
        <v>5: Hobi bermanfaat (olahraga, membaca, permainan edukatif).</v>
      </c>
      <c r="I10" s="138" t="str">
        <f>IFERROR(__xludf.DUMMYFUNCTION("""COMPUTED_VALUE"""),"5: Berteman dengan lingkungan positif (masjid, teman shalih/shalihah).")</f>
        <v>5: Berteman dengan lingkungan positif (masjid, teman shalih/shalihah).</v>
      </c>
      <c r="J10" s="138" t="str">
        <f>IFERROR(__xludf.DUMMYFUNCTION("""COMPUTED_VALUE"""),"5: Jelas menolak, punya alasan agama/ilmu.")</f>
        <v>5: Jelas menolak, punya alasan agama/ilmu.</v>
      </c>
      <c r="K10" s="138" t="str">
        <f>IFERROR(__xludf.DUMMYFUNCTION("""COMPUTED_VALUE"""),"5: Menolak dengan tegas, paham bahaya dan dosa.")</f>
        <v>5: Menolak dengan tegas, paham bahaya dan dosa.</v>
      </c>
      <c r="L10" s="138" t="str">
        <f>IFERROR(__xludf.DUMMYFUNCTION("""COMPUTED_VALUE"""),"5: Hobi positif, produktif, mendukung pengembangan diri (olahraga, membaca, seni islami).")</f>
        <v>5: Hobi positif, produktif, mendukung pengembangan diri (olahraga, membaca, seni islami).</v>
      </c>
      <c r="M10" s="138" t="str">
        <f>IFERROR(__xludf.DUMMYFUNCTION("""COMPUTED_VALUE"""),"Halimah Fauziah")</f>
        <v>Halimah Fauziah</v>
      </c>
      <c r="N10" s="138" t="str">
        <f>IFERROR(__xludf.DUMMYFUNCTION("""COMPUTED_VALUE"""),"A. Sangat Layak diterima (potensi besar berkembang di pesantren).")</f>
        <v>A. Sangat Layak diterima (potensi besar berkembang di pesantren).</v>
      </c>
      <c r="O10" s="138" t="str">
        <f>IFERROR(__xludf.DUMMYFUNCTION("""COMPUTED_VALUE"""),"Sudah memiliki setoran hafalan 5 juz")</f>
        <v>Sudah memiliki setoran hafalan 5 juz</v>
      </c>
      <c r="P10" s="131" t="str">
        <f t="shared" ref="P10:V10" si="12">left(F10,1)</f>
        <v>5</v>
      </c>
      <c r="Q10" s="131" t="str">
        <f t="shared" si="12"/>
        <v>5</v>
      </c>
      <c r="R10" s="131" t="str">
        <f t="shared" si="12"/>
        <v>5</v>
      </c>
      <c r="S10" s="131" t="str">
        <f t="shared" si="12"/>
        <v>5</v>
      </c>
      <c r="T10" s="131" t="str">
        <f t="shared" si="12"/>
        <v>5</v>
      </c>
      <c r="U10" s="131" t="str">
        <f t="shared" si="12"/>
        <v>5</v>
      </c>
      <c r="V10" s="131" t="str">
        <f t="shared" si="12"/>
        <v>5</v>
      </c>
      <c r="W10" s="119">
        <f t="shared" si="3"/>
        <v>35</v>
      </c>
      <c r="X10" s="119" t="str">
        <f t="shared" si="4"/>
        <v>Siap</v>
      </c>
      <c r="Y10" s="119" t="str">
        <f t="shared" si="5"/>
        <v>bisa mengikuti pola pesantren dengan baik</v>
      </c>
      <c r="Z10" s="120"/>
      <c r="AB10" s="132"/>
      <c r="AC10" s="132"/>
      <c r="AD10" s="133"/>
      <c r="AE10" s="134"/>
    </row>
    <row r="11" ht="24.0" customHeight="1">
      <c r="A11" s="139">
        <f>IFERROR(__xludf.DUMMYFUNCTION("""COMPUTED_VALUE"""),45920.57339355324)</f>
        <v>45920.57339</v>
      </c>
      <c r="B11" s="140" t="str">
        <f>IFERROR(__xludf.DUMMYFUNCTION("""COMPUTED_VALUE"""),"alfaruqsyauqi513@gmail.com")</f>
        <v>alfaruqsyauqi513@gmail.com</v>
      </c>
      <c r="C11" s="140" t="str">
        <f>IFERROR(__xludf.DUMMYFUNCTION("""COMPUTED_VALUE"""),"Azka ulinnuha")</f>
        <v>Azka ulinnuha</v>
      </c>
      <c r="D11" s="140" t="str">
        <f>IFERROR(__xludf.DUMMYFUNCTION("""COMPUTED_VALUE"""),"B250009")</f>
        <v>B250009</v>
      </c>
      <c r="E11" s="140" t="str">
        <f>IFERROR(__xludf.DUMMYFUNCTION("""COMPUTED_VALUE"""),"IL Putra")</f>
        <v>IL Putra</v>
      </c>
      <c r="F11" s="141" t="str">
        <f>IFERROR(__xludf.DUMMYFUNCTION("""COMPUTED_VALUE"""),"5: Sangat jelas, kuat, dan sesuai visi pesantren (ingin belajar agama, mandiri, dekat dengan Allah).")</f>
        <v>5: Sangat jelas, kuat, dan sesuai visi pesantren (ingin belajar agama, mandiri, dekat dengan Allah).</v>
      </c>
      <c r="G11" s="141" t="str">
        <f>IFERROR(__xludf.DUMMYFUNCTION("""COMPUTED_VALUE"""),"5: Lingkungan sangat mendukung (keluarga islami, shalat berjamaah, kontrol gadget baik).")</f>
        <v>5: Lingkungan sangat mendukung (keluarga islami, shalat berjamaah, kontrol gadget baik).</v>
      </c>
      <c r="H11" s="141" t="str">
        <f>IFERROR(__xludf.DUMMYFUNCTION("""COMPUTED_VALUE"""),"5: Hobi bermanfaat (olahraga, membaca, permainan edukatif).")</f>
        <v>5: Hobi bermanfaat (olahraga, membaca, permainan edukatif).</v>
      </c>
      <c r="I11" s="141" t="str">
        <f>IFERROR(__xludf.DUMMYFUNCTION("""COMPUTED_VALUE"""),"5: Berteman dengan lingkungan positif (masjid, teman shalih/shalihah).")</f>
        <v>5: Berteman dengan lingkungan positif (masjid, teman shalih/shalihah).</v>
      </c>
      <c r="J11" s="141" t="str">
        <f>IFERROR(__xludf.DUMMYFUNCTION("""COMPUTED_VALUE"""),"2: Pernah mencoba atau terpengaruh.")</f>
        <v>2: Pernah mencoba atau terpengaruh.</v>
      </c>
      <c r="K11" s="141" t="str">
        <f>IFERROR(__xludf.DUMMYFUNCTION("""COMPUTED_VALUE"""),"5: Menolak dengan tegas, paham bahaya dan dosa.")</f>
        <v>5: Menolak dengan tegas, paham bahaya dan dosa.</v>
      </c>
      <c r="L11" s="141" t="str">
        <f>IFERROR(__xludf.DUMMYFUNCTION("""COMPUTED_VALUE"""),"5: Hobi positif, produktif, mendukung pengembangan diri (olahraga, membaca, seni islami).")</f>
        <v>5: Hobi positif, produktif, mendukung pengembangan diri (olahraga, membaca, seni islami).</v>
      </c>
      <c r="M11" s="141" t="str">
        <f>IFERROR(__xludf.DUMMYFUNCTION("""COMPUTED_VALUE"""),"Muhammad syauqi alfaruq")</f>
        <v>Muhammad syauqi alfaruq</v>
      </c>
      <c r="N11" s="141" t="str">
        <f>IFERROR(__xludf.DUMMYFUNCTION("""COMPUTED_VALUE"""),"B. Layak diterima dengan catatan pembinaan.")</f>
        <v>B. Layak diterima dengan catatan pembinaan.</v>
      </c>
      <c r="O11" s="141"/>
      <c r="P11" s="131" t="str">
        <f t="shared" ref="P11:V11" si="13">left(F11,1)</f>
        <v>5</v>
      </c>
      <c r="Q11" s="131" t="str">
        <f t="shared" si="13"/>
        <v>5</v>
      </c>
      <c r="R11" s="131" t="str">
        <f t="shared" si="13"/>
        <v>5</v>
      </c>
      <c r="S11" s="131" t="str">
        <f t="shared" si="13"/>
        <v>5</v>
      </c>
      <c r="T11" s="131" t="str">
        <f t="shared" si="13"/>
        <v>2</v>
      </c>
      <c r="U11" s="131" t="str">
        <f t="shared" si="13"/>
        <v>5</v>
      </c>
      <c r="V11" s="131" t="str">
        <f t="shared" si="13"/>
        <v>5</v>
      </c>
      <c r="W11" s="119">
        <f t="shared" si="3"/>
        <v>32</v>
      </c>
      <c r="X11" s="119" t="str">
        <f t="shared" si="4"/>
        <v>Siap</v>
      </c>
      <c r="Y11" s="119" t="str">
        <f t="shared" si="5"/>
        <v>bisa mengikuti pola pesantren dengan baik</v>
      </c>
      <c r="Z11" s="120"/>
      <c r="AB11" s="132"/>
      <c r="AC11" s="132"/>
      <c r="AD11" s="133"/>
      <c r="AE11" s="134"/>
    </row>
    <row r="12" ht="24.0" customHeight="1">
      <c r="A12" s="139">
        <f>IFERROR(__xludf.DUMMYFUNCTION("""COMPUTED_VALUE"""),45920.5810120949)</f>
        <v>45920.58101</v>
      </c>
      <c r="B12" s="140" t="str">
        <f>IFERROR(__xludf.DUMMYFUNCTION("""COMPUTED_VALUE"""),"almarufindonesia@gmail.com")</f>
        <v>almarufindonesia@gmail.com</v>
      </c>
      <c r="C12" s="140" t="str">
        <f>IFERROR(__xludf.DUMMYFUNCTION("""COMPUTED_VALUE"""),"Nahnurizko nabhan farghali")</f>
        <v>Nahnurizko nabhan farghali</v>
      </c>
      <c r="D12" s="140" t="str">
        <f>IFERROR(__xludf.DUMMYFUNCTION("""COMPUTED_VALUE"""),"A250009")</f>
        <v>A250009</v>
      </c>
      <c r="E12" s="140" t="str">
        <f>IFERROR(__xludf.DUMMYFUNCTION("""COMPUTED_VALUE"""),"MTs Putra")</f>
        <v>MTs Putra</v>
      </c>
      <c r="F12" s="141" t="str">
        <f>IFERROR(__xludf.DUMMYFUNCTION("""COMPUTED_VALUE"""),"5: Sangat jelas, kuat, dan sesuai visi pesantren (ingin belajar agama, mandiri, dekat dengan Allah).")</f>
        <v>5: Sangat jelas, kuat, dan sesuai visi pesantren (ingin belajar agama, mandiri, dekat dengan Allah).</v>
      </c>
      <c r="G12" s="141" t="str">
        <f>IFERROR(__xludf.DUMMYFUNCTION("""COMPUTED_VALUE"""),"5: Lingkungan sangat mendukung (keluarga islami, shalat berjamaah, kontrol gadget baik).")</f>
        <v>5: Lingkungan sangat mendukung (keluarga islami, shalat berjamaah, kontrol gadget baik).</v>
      </c>
      <c r="H12" s="141" t="str">
        <f>IFERROR(__xludf.DUMMYFUNCTION("""COMPUTED_VALUE"""),"4: Game rekreasi wajar, tidak berlebihan.")</f>
        <v>4: Game rekreasi wajar, tidak berlebihan.</v>
      </c>
      <c r="I12" s="141" t="str">
        <f>IFERROR(__xludf.DUMMYFUNCTION("""COMPUTED_VALUE"""),"4: Mayoritas teman baik, ada sedikit yang kurang baik.")</f>
        <v>4: Mayoritas teman baik, ada sedikit yang kurang baik.</v>
      </c>
      <c r="J12" s="141" t="str">
        <f>IFERROR(__xludf.DUMMYFUNCTION("""COMPUTED_VALUE"""),"4: Menolak, tapi alasannya umum.")</f>
        <v>4: Menolak, tapi alasannya umum.</v>
      </c>
      <c r="K12" s="141" t="str">
        <f>IFERROR(__xludf.DUMMYFUNCTION("""COMPUTED_VALUE"""),"5: Menolak dengan tegas, paham bahaya dan dosa.")</f>
        <v>5: Menolak dengan tegas, paham bahaya dan dosa.</v>
      </c>
      <c r="L12" s="141" t="str">
        <f>IFERROR(__xludf.DUMMYFUNCTION("""COMPUTED_VALUE"""),"4: Hobi umum yang wajar (menggambar, dll).")</f>
        <v>4: Hobi umum yang wajar (menggambar, dll).</v>
      </c>
      <c r="M12" s="141" t="str">
        <f>IFERROR(__xludf.DUMMYFUNCTION("""COMPUTED_VALUE"""),"Nabil Mujtaba")</f>
        <v>Nabil Mujtaba</v>
      </c>
      <c r="N12" s="141" t="str">
        <f>IFERROR(__xludf.DUMMYFUNCTION("""COMPUTED_VALUE"""),"A. Sangat Layak diterima (potensi besar berkembang di pesantren).")</f>
        <v>A. Sangat Layak diterima (potensi besar berkembang di pesantren).</v>
      </c>
      <c r="O12" s="141" t="str">
        <f>IFERROR(__xludf.DUMMYFUNCTION("""COMPUTED_VALUE"""),"Hafalan Quran 3 Juz
")</f>
        <v>Hafalan Quran 3 Juz
</v>
      </c>
      <c r="P12" s="131" t="str">
        <f t="shared" ref="P12:V12" si="14">left(F12,1)</f>
        <v>5</v>
      </c>
      <c r="Q12" s="131" t="str">
        <f t="shared" si="14"/>
        <v>5</v>
      </c>
      <c r="R12" s="131" t="str">
        <f t="shared" si="14"/>
        <v>4</v>
      </c>
      <c r="S12" s="131" t="str">
        <f t="shared" si="14"/>
        <v>4</v>
      </c>
      <c r="T12" s="131" t="str">
        <f t="shared" si="14"/>
        <v>4</v>
      </c>
      <c r="U12" s="131" t="str">
        <f t="shared" si="14"/>
        <v>5</v>
      </c>
      <c r="V12" s="131" t="str">
        <f t="shared" si="14"/>
        <v>4</v>
      </c>
      <c r="W12" s="119">
        <f t="shared" si="3"/>
        <v>31</v>
      </c>
      <c r="X12" s="119" t="str">
        <f t="shared" si="4"/>
        <v>Siap</v>
      </c>
      <c r="Y12" s="119" t="str">
        <f t="shared" si="5"/>
        <v>bisa mengikuti pola pesantren dengan baik</v>
      </c>
      <c r="Z12" s="120"/>
      <c r="AB12" s="132"/>
      <c r="AC12" s="132"/>
      <c r="AD12" s="133"/>
      <c r="AE12" s="134"/>
    </row>
    <row r="13" ht="24.0" customHeight="1">
      <c r="A13" s="139">
        <f>IFERROR(__xludf.DUMMYFUNCTION("""COMPUTED_VALUE"""),45920.620261018514)</f>
        <v>45920.62026</v>
      </c>
      <c r="B13" s="140" t="str">
        <f>IFERROR(__xludf.DUMMYFUNCTION("""COMPUTED_VALUE"""),"halimahnurjalalhfnjl@gmail.com")</f>
        <v>halimahnurjalalhfnjl@gmail.com</v>
      </c>
      <c r="C13" s="140" t="str">
        <f>IFERROR(__xludf.DUMMYFUNCTION("""COMPUTED_VALUE"""),"Keyza Qaireen ")</f>
        <v>Keyza Qaireen </v>
      </c>
      <c r="D13" s="140" t="str">
        <f>IFERROR(__xludf.DUMMYFUNCTION("""COMPUTED_VALUE"""),"D250009")</f>
        <v>D250009</v>
      </c>
      <c r="E13" s="140" t="str">
        <f>IFERROR(__xludf.DUMMYFUNCTION("""COMPUTED_VALUE"""),"MTs Putri")</f>
        <v>MTs Putri</v>
      </c>
      <c r="F13" s="142" t="str">
        <f>IFERROR(__xludf.DUMMYFUNCTION("""COMPUTED_VALUE"""),"5: Sangat jelas, kuat, dan sesuai visi pesantren (ingin belajar agama, mandiri, dekat dengan Allah).")</f>
        <v>5: Sangat jelas, kuat, dan sesuai visi pesantren (ingin belajar agama, mandiri, dekat dengan Allah).</v>
      </c>
      <c r="G13" s="141" t="str">
        <f>IFERROR(__xludf.DUMMYFUNCTION("""COMPUTED_VALUE"""),"5: Lingkungan sangat mendukung (keluarga islami, shalat berjamaah, kontrol gadget baik).")</f>
        <v>5: Lingkungan sangat mendukung (keluarga islami, shalat berjamaah, kontrol gadget baik).</v>
      </c>
      <c r="H13" s="142" t="str">
        <f>IFERROR(__xludf.DUMMYFUNCTION("""COMPUTED_VALUE"""),"5: Hobi bermanfaat (olahraga, membaca, permainan edukatif).")</f>
        <v>5: Hobi bermanfaat (olahraga, membaca, permainan edukatif).</v>
      </c>
      <c r="I13" s="141" t="str">
        <f>IFERROR(__xludf.DUMMYFUNCTION("""COMPUTED_VALUE"""),"5: Berteman dengan lingkungan positif (masjid, teman shalih/shalihah).")</f>
        <v>5: Berteman dengan lingkungan positif (masjid, teman shalih/shalihah).</v>
      </c>
      <c r="J13" s="141" t="str">
        <f>IFERROR(__xludf.DUMMYFUNCTION("""COMPUTED_VALUE"""),"5: Jelas menolak, punya alasan agama/ilmu.")</f>
        <v>5: Jelas menolak, punya alasan agama/ilmu.</v>
      </c>
      <c r="K13" s="141" t="str">
        <f>IFERROR(__xludf.DUMMYFUNCTION("""COMPUTED_VALUE"""),"5: Menolak dengan tegas, paham bahaya dan dosa.")</f>
        <v>5: Menolak dengan tegas, paham bahaya dan dosa.</v>
      </c>
      <c r="L13" s="141" t="str">
        <f>IFERROR(__xludf.DUMMYFUNCTION("""COMPUTED_VALUE"""),"5: Hobi positif, produktif, mendukung pengembangan diri (olahraga, membaca, seni islami).")</f>
        <v>5: Hobi positif, produktif, mendukung pengembangan diri (olahraga, membaca, seni islami).</v>
      </c>
      <c r="M13" s="141" t="str">
        <f>IFERROR(__xludf.DUMMYFUNCTION("""COMPUTED_VALUE"""),"Halimah Fauziah ")</f>
        <v>Halimah Fauziah </v>
      </c>
      <c r="N13" s="141" t="str">
        <f>IFERROR(__xludf.DUMMYFUNCTION("""COMPUTED_VALUE"""),"A. Sangat Layak diterima (potensi besar berkembang di pesantren).")</f>
        <v>A. Sangat Layak diterima (potensi besar berkembang di pesantren).</v>
      </c>
      <c r="O13" s="141" t="str">
        <f>IFERROR(__xludf.DUMMYFUNCTION("""COMPUTED_VALUE"""),"Sudah memiliki setoran hafalan 2 Juz ")</f>
        <v>Sudah memiliki setoran hafalan 2 Juz </v>
      </c>
      <c r="P13" s="131" t="str">
        <f t="shared" ref="P13:V13" si="15">left(F13,1)</f>
        <v>5</v>
      </c>
      <c r="Q13" s="131" t="str">
        <f t="shared" si="15"/>
        <v>5</v>
      </c>
      <c r="R13" s="131" t="str">
        <f t="shared" si="15"/>
        <v>5</v>
      </c>
      <c r="S13" s="131" t="str">
        <f t="shared" si="15"/>
        <v>5</v>
      </c>
      <c r="T13" s="131" t="str">
        <f t="shared" si="15"/>
        <v>5</v>
      </c>
      <c r="U13" s="131" t="str">
        <f t="shared" si="15"/>
        <v>5</v>
      </c>
      <c r="V13" s="131" t="str">
        <f t="shared" si="15"/>
        <v>5</v>
      </c>
      <c r="W13" s="119">
        <f t="shared" si="3"/>
        <v>35</v>
      </c>
      <c r="X13" s="119" t="str">
        <f t="shared" si="4"/>
        <v>Siap</v>
      </c>
      <c r="Y13" s="119" t="str">
        <f t="shared" si="5"/>
        <v>bisa mengikuti pola pesantren dengan baik</v>
      </c>
      <c r="Z13" s="120"/>
      <c r="AA13" s="132"/>
      <c r="AB13" s="132"/>
      <c r="AC13" s="132"/>
      <c r="AD13" s="133"/>
      <c r="AE13" s="134"/>
    </row>
    <row r="14" ht="24.0" customHeight="1">
      <c r="A14" s="139">
        <f>IFERROR(__xludf.DUMMYFUNCTION("""COMPUTED_VALUE"""),45920.83603802083)</f>
        <v>45920.83604</v>
      </c>
      <c r="B14" s="140" t="str">
        <f>IFERROR(__xludf.DUMMYFUNCTION("""COMPUTED_VALUE"""),"alfaruqsyauqi513@gmail.com")</f>
        <v>alfaruqsyauqi513@gmail.com</v>
      </c>
      <c r="C14" s="140" t="str">
        <f>IFERROR(__xludf.DUMMYFUNCTION("""COMPUTED_VALUE"""),"Muhammad asyam abdullah")</f>
        <v>Muhammad asyam abdullah</v>
      </c>
      <c r="D14" s="140" t="str">
        <f>IFERROR(__xludf.DUMMYFUNCTION("""COMPUTED_VALUE"""),"A250010")</f>
        <v>A250010</v>
      </c>
      <c r="E14" s="140" t="str">
        <f>IFERROR(__xludf.DUMMYFUNCTION("""COMPUTED_VALUE"""),"MTs Putra")</f>
        <v>MTs Putra</v>
      </c>
      <c r="F14" s="141" t="str">
        <f>IFERROR(__xludf.DUMMYFUNCTION("""COMPUTED_VALUE"""),"5: Sangat jelas, kuat, dan sesuai visi pesantren (ingin belajar agama, mandiri, dekat dengan Allah).")</f>
        <v>5: Sangat jelas, kuat, dan sesuai visi pesantren (ingin belajar agama, mandiri, dekat dengan Allah).</v>
      </c>
      <c r="G14" s="141" t="str">
        <f>IFERROR(__xludf.DUMMYFUNCTION("""COMPUTED_VALUE"""),"5: Lingkungan sangat mendukung (keluarga islami, shalat berjamaah, kontrol gadget baik).")</f>
        <v>5: Lingkungan sangat mendukung (keluarga islami, shalat berjamaah, kontrol gadget baik).</v>
      </c>
      <c r="H14" s="141" t="str">
        <f>IFERROR(__xludf.DUMMYFUNCTION("""COMPUTED_VALUE"""),"4: Game rekreasi wajar, tidak berlebihan.")</f>
        <v>4: Game rekreasi wajar, tidak berlebihan.</v>
      </c>
      <c r="I14" s="141" t="str">
        <f>IFERROR(__xludf.DUMMYFUNCTION("""COMPUTED_VALUE"""),"5: Berteman dengan lingkungan positif (masjid, teman shalih/shalihah).")</f>
        <v>5: Berteman dengan lingkungan positif (masjid, teman shalih/shalihah).</v>
      </c>
      <c r="J14" s="141" t="str">
        <f>IFERROR(__xludf.DUMMYFUNCTION("""COMPUTED_VALUE"""),"5: Jelas menolak, punya alasan agama/ilmu.")</f>
        <v>5: Jelas menolak, punya alasan agama/ilmu.</v>
      </c>
      <c r="K14" s="141" t="str">
        <f>IFERROR(__xludf.DUMMYFUNCTION("""COMPUTED_VALUE"""),"5: Menolak dengan tegas, paham bahaya dan dosa.")</f>
        <v>5: Menolak dengan tegas, paham bahaya dan dosa.</v>
      </c>
      <c r="L14" s="141" t="str">
        <f>IFERROR(__xludf.DUMMYFUNCTION("""COMPUTED_VALUE"""),"5: Hobi positif, produktif, mendukung pengembangan diri (olahraga, membaca, seni islami).")</f>
        <v>5: Hobi positif, produktif, mendukung pengembangan diri (olahraga, membaca, seni islami).</v>
      </c>
      <c r="M14" s="141" t="str">
        <f>IFERROR(__xludf.DUMMYFUNCTION("""COMPUTED_VALUE"""),"Muhammad syauqi Alfaruq")</f>
        <v>Muhammad syauqi Alfaruq</v>
      </c>
      <c r="N14" s="141" t="str">
        <f>IFERROR(__xludf.DUMMYFUNCTION("""COMPUTED_VALUE"""),"A. Sangat Layak diterima (potensi besar berkembang di pesantren).")</f>
        <v>A. Sangat Layak diterima (potensi besar berkembang di pesantren).</v>
      </c>
      <c r="O14" s="141" t="str">
        <f>IFERROR(__xludf.DUMMYFUNCTION("""COMPUTED_VALUE"""),"Sangat layak plus atlet panahan punya hafalan 10 juz")</f>
        <v>Sangat layak plus atlet panahan punya hafalan 10 juz</v>
      </c>
      <c r="P14" s="131" t="str">
        <f t="shared" ref="P14:V14" si="16">left(F14,1)</f>
        <v>5</v>
      </c>
      <c r="Q14" s="131" t="str">
        <f t="shared" si="16"/>
        <v>5</v>
      </c>
      <c r="R14" s="131" t="str">
        <f t="shared" si="16"/>
        <v>4</v>
      </c>
      <c r="S14" s="131" t="str">
        <f t="shared" si="16"/>
        <v>5</v>
      </c>
      <c r="T14" s="131" t="str">
        <f t="shared" si="16"/>
        <v>5</v>
      </c>
      <c r="U14" s="131" t="str">
        <f t="shared" si="16"/>
        <v>5</v>
      </c>
      <c r="V14" s="131" t="str">
        <f t="shared" si="16"/>
        <v>5</v>
      </c>
      <c r="W14" s="119">
        <f t="shared" si="3"/>
        <v>34</v>
      </c>
      <c r="X14" s="119" t="str">
        <f t="shared" si="4"/>
        <v>Siap</v>
      </c>
      <c r="Y14" s="119" t="str">
        <f t="shared" si="5"/>
        <v>bisa mengikuti pola pesantren dengan baik</v>
      </c>
      <c r="Z14" s="120"/>
      <c r="AA14" s="132"/>
      <c r="AB14" s="132"/>
      <c r="AC14" s="132"/>
      <c r="AD14" s="133"/>
      <c r="AE14" s="134"/>
    </row>
    <row r="15" ht="24.0" customHeight="1">
      <c r="A15" s="139">
        <f>IFERROR(__xludf.DUMMYFUNCTION("""COMPUTED_VALUE"""),45922.715079270834)</f>
        <v>45922.71508</v>
      </c>
      <c r="B15" s="140" t="str">
        <f>IFERROR(__xludf.DUMMYFUNCTION("""COMPUTED_VALUE"""),"halimahnurjalalhfnjl@gmail.com")</f>
        <v>halimahnurjalalhfnjl@gmail.com</v>
      </c>
      <c r="C15" s="140" t="str">
        <f>IFERROR(__xludf.DUMMYFUNCTION("""COMPUTED_VALUE"""),"Sarah Afifah")</f>
        <v>Sarah Afifah</v>
      </c>
      <c r="D15" s="140" t="str">
        <f>IFERROR(__xludf.DUMMYFUNCTION("""COMPUTED_VALUE"""),"D250015")</f>
        <v>D250015</v>
      </c>
      <c r="E15" s="140" t="str">
        <f>IFERROR(__xludf.DUMMYFUNCTION("""COMPUTED_VALUE"""),"MTs Putri")</f>
        <v>MTs Putri</v>
      </c>
      <c r="F15" s="141" t="str">
        <f>IFERROR(__xludf.DUMMYFUNCTION("""COMPUTED_VALUE"""),"5: Sangat jelas, kuat, dan sesuai visi pesantren (ingin belajar agama, mandiri, dekat dengan Allah).")</f>
        <v>5: Sangat jelas, kuat, dan sesuai visi pesantren (ingin belajar agama, mandiri, dekat dengan Allah).</v>
      </c>
      <c r="G15" s="141" t="str">
        <f>IFERROR(__xludf.DUMMYFUNCTION("""COMPUTED_VALUE"""),"5: Lingkungan sangat mendukung (keluarga islami, shalat berjamaah, kontrol gadget baik).")</f>
        <v>5: Lingkungan sangat mendukung (keluarga islami, shalat berjamaah, kontrol gadget baik).</v>
      </c>
      <c r="H15" s="141" t="str">
        <f>IFERROR(__xludf.DUMMYFUNCTION("""COMPUTED_VALUE"""),"5: Hobi bermanfaat (olahraga, membaca, permainan edukatif).")</f>
        <v>5: Hobi bermanfaat (olahraga, membaca, permainan edukatif).</v>
      </c>
      <c r="I15" s="141" t="str">
        <f>IFERROR(__xludf.DUMMYFUNCTION("""COMPUTED_VALUE"""),"5: Berteman dengan lingkungan positif (masjid, teman shalih/shalihah).")</f>
        <v>5: Berteman dengan lingkungan positif (masjid, teman shalih/shalihah).</v>
      </c>
      <c r="J15" s="141" t="str">
        <f>IFERROR(__xludf.DUMMYFUNCTION("""COMPUTED_VALUE"""),"5: Jelas menolak, punya alasan agama/ilmu.")</f>
        <v>5: Jelas menolak, punya alasan agama/ilmu.</v>
      </c>
      <c r="K15" s="141" t="str">
        <f>IFERROR(__xludf.DUMMYFUNCTION("""COMPUTED_VALUE"""),"5: Menolak dengan tegas, paham bahaya dan dosa.")</f>
        <v>5: Menolak dengan tegas, paham bahaya dan dosa.</v>
      </c>
      <c r="L15" s="141" t="str">
        <f>IFERROR(__xludf.DUMMYFUNCTION("""COMPUTED_VALUE"""),"5: Hobi positif, produktif, mendukung pengembangan diri (olahraga, membaca, seni islami).")</f>
        <v>5: Hobi positif, produktif, mendukung pengembangan diri (olahraga, membaca, seni islami).</v>
      </c>
      <c r="M15" s="141" t="str">
        <f>IFERROR(__xludf.DUMMYFUNCTION("""COMPUTED_VALUE"""),"Halimah Fauziah ")</f>
        <v>Halimah Fauziah </v>
      </c>
      <c r="N15" s="141" t="str">
        <f>IFERROR(__xludf.DUMMYFUNCTION("""COMPUTED_VALUE"""),"A. Sangat Layak diterima (potensi besar berkembang di pesantren).")</f>
        <v>A. Sangat Layak diterima (potensi besar berkembang di pesantren).</v>
      </c>
      <c r="O15" s="141" t="str">
        <f>IFERROR(__xludf.DUMMYFUNCTION("""COMPUTED_VALUE"""),"Ananda sudah memiliki hafalan 2 juz")</f>
        <v>Ananda sudah memiliki hafalan 2 juz</v>
      </c>
      <c r="P15" s="131" t="str">
        <f t="shared" ref="P15:V15" si="17">left(F15,1)</f>
        <v>5</v>
      </c>
      <c r="Q15" s="131" t="str">
        <f t="shared" si="17"/>
        <v>5</v>
      </c>
      <c r="R15" s="131" t="str">
        <f t="shared" si="17"/>
        <v>5</v>
      </c>
      <c r="S15" s="131" t="str">
        <f t="shared" si="17"/>
        <v>5</v>
      </c>
      <c r="T15" s="131" t="str">
        <f t="shared" si="17"/>
        <v>5</v>
      </c>
      <c r="U15" s="131" t="str">
        <f t="shared" si="17"/>
        <v>5</v>
      </c>
      <c r="V15" s="131" t="str">
        <f t="shared" si="17"/>
        <v>5</v>
      </c>
      <c r="W15" s="119">
        <f t="shared" si="3"/>
        <v>35</v>
      </c>
      <c r="X15" s="119" t="str">
        <f t="shared" si="4"/>
        <v>Siap</v>
      </c>
      <c r="Y15" s="119" t="str">
        <f t="shared" si="5"/>
        <v>bisa mengikuti pola pesantren dengan baik</v>
      </c>
      <c r="Z15" s="120"/>
      <c r="AA15" s="132"/>
      <c r="AB15" s="132"/>
      <c r="AC15" s="132"/>
      <c r="AD15" s="133"/>
      <c r="AE15" s="134"/>
    </row>
    <row r="16" ht="24.0" customHeight="1">
      <c r="A16" s="139">
        <f>IFERROR(__xludf.DUMMYFUNCTION("""COMPUTED_VALUE"""),45922.73414666667)</f>
        <v>45922.73415</v>
      </c>
      <c r="B16" s="140" t="str">
        <f>IFERROR(__xludf.DUMMYFUNCTION("""COMPUTED_VALUE"""),"rimamaryani5606@gmail.com")</f>
        <v>rimamaryani5606@gmail.com</v>
      </c>
      <c r="C16" s="140" t="str">
        <f>IFERROR(__xludf.DUMMYFUNCTION("""COMPUTED_VALUE"""),"Adiba Saefulloh")</f>
        <v>Adiba Saefulloh</v>
      </c>
      <c r="D16" s="140" t="str">
        <f>IFERROR(__xludf.DUMMYFUNCTION("""COMPUTED_VALUE"""),"D250003")</f>
        <v>D250003</v>
      </c>
      <c r="E16" s="140" t="str">
        <f>IFERROR(__xludf.DUMMYFUNCTION("""COMPUTED_VALUE"""),"MTs Putri")</f>
        <v>MTs Putri</v>
      </c>
      <c r="F16" s="141" t="str">
        <f>IFERROR(__xludf.DUMMYFUNCTION("""COMPUTED_VALUE"""),"4: Cukup jelas, alasan positif namun masih umum.")</f>
        <v>4: Cukup jelas, alasan positif namun masih umum.</v>
      </c>
      <c r="G16" s="141" t="str">
        <f>IFERROR(__xludf.DUMMYFUNCTION("""COMPUTED_VALUE"""),"5: Lingkungan sangat mendukung (keluarga islami, shalat berjamaah, kontrol gadget baik).")</f>
        <v>5: Lingkungan sangat mendukung (keluarga islami, shalat berjamaah, kontrol gadget baik).</v>
      </c>
      <c r="H16" s="141" t="str">
        <f>IFERROR(__xludf.DUMMYFUNCTION("""COMPUTED_VALUE"""),"5: Hobi bermanfaat (olahraga, membaca, permainan edukatif).")</f>
        <v>5: Hobi bermanfaat (olahraga, membaca, permainan edukatif).</v>
      </c>
      <c r="I16" s="141" t="str">
        <f>IFERROR(__xludf.DUMMYFUNCTION("""COMPUTED_VALUE"""),"5: Berteman dengan lingkungan positif (masjid, teman shalih/shalihah).")</f>
        <v>5: Berteman dengan lingkungan positif (masjid, teman shalih/shalihah).</v>
      </c>
      <c r="J16" s="141" t="str">
        <f>IFERROR(__xludf.DUMMYFUNCTION("""COMPUTED_VALUE"""),"5: Jelas menolak, punya alasan agama/ilmu.")</f>
        <v>5: Jelas menolak, punya alasan agama/ilmu.</v>
      </c>
      <c r="K16" s="141" t="str">
        <f>IFERROR(__xludf.DUMMYFUNCTION("""COMPUTED_VALUE"""),"5: Menolak dengan tegas, paham bahaya dan dosa.")</f>
        <v>5: Menolak dengan tegas, paham bahaya dan dosa.</v>
      </c>
      <c r="L16" s="141" t="str">
        <f>IFERROR(__xludf.DUMMYFUNCTION("""COMPUTED_VALUE"""),"4: Hobi umum yang wajar (menggambar, dll).")</f>
        <v>4: Hobi umum yang wajar (menggambar, dll).</v>
      </c>
      <c r="M16" s="141" t="str">
        <f>IFERROR(__xludf.DUMMYFUNCTION("""COMPUTED_VALUE"""),"Rima Maryani Putri Utami, S.Pd.I")</f>
        <v>Rima Maryani Putri Utami, S.Pd.I</v>
      </c>
      <c r="N16" s="141" t="str">
        <f>IFERROR(__xludf.DUMMYFUNCTION("""COMPUTED_VALUE"""),"A. Sangat Layak diterima (potensi besar berkembang di pesantren).")</f>
        <v>A. Sangat Layak diterima (potensi besar berkembang di pesantren).</v>
      </c>
      <c r="O16" s="141" t="str">
        <f>IFERROR(__xludf.DUMMYFUNCTION("""COMPUTED_VALUE"""),"Alhamadulillah, wawancaranya berjalan dengan baik karena ananda sangat komunikatif ")</f>
        <v>Alhamadulillah, wawancaranya berjalan dengan baik karena ananda sangat komunikatif </v>
      </c>
      <c r="P16" s="131" t="str">
        <f t="shared" ref="P16:V16" si="18">left(F16,1)</f>
        <v>4</v>
      </c>
      <c r="Q16" s="131" t="str">
        <f t="shared" si="18"/>
        <v>5</v>
      </c>
      <c r="R16" s="131" t="str">
        <f t="shared" si="18"/>
        <v>5</v>
      </c>
      <c r="S16" s="131" t="str">
        <f t="shared" si="18"/>
        <v>5</v>
      </c>
      <c r="T16" s="131" t="str">
        <f t="shared" si="18"/>
        <v>5</v>
      </c>
      <c r="U16" s="131" t="str">
        <f t="shared" si="18"/>
        <v>5</v>
      </c>
      <c r="V16" s="131" t="str">
        <f t="shared" si="18"/>
        <v>4</v>
      </c>
      <c r="W16" s="119">
        <f t="shared" si="3"/>
        <v>33</v>
      </c>
      <c r="X16" s="119" t="str">
        <f t="shared" si="4"/>
        <v>Siap</v>
      </c>
      <c r="Y16" s="119" t="str">
        <f t="shared" si="5"/>
        <v>bisa mengikuti pola pesantren dengan baik</v>
      </c>
      <c r="Z16" s="120"/>
      <c r="AA16" s="132"/>
      <c r="AB16" s="132"/>
      <c r="AC16" s="132"/>
      <c r="AD16" s="133"/>
      <c r="AE16" s="134"/>
    </row>
    <row r="17" ht="24.0" customHeight="1">
      <c r="A17" s="139">
        <f>IFERROR(__xludf.DUMMYFUNCTION("""COMPUTED_VALUE"""),45923.422190729165)</f>
        <v>45923.42219</v>
      </c>
      <c r="B17" s="140" t="str">
        <f>IFERROR(__xludf.DUMMYFUNCTION("""COMPUTED_VALUE"""),"muhajirlah@gmail.com")</f>
        <v>muhajirlah@gmail.com</v>
      </c>
      <c r="C17" s="140" t="str">
        <f>IFERROR(__xludf.DUMMYFUNCTION("""COMPUTED_VALUE"""),"ADYA WIGUNA ")</f>
        <v>ADYA WIGUNA </v>
      </c>
      <c r="D17" s="140" t="str">
        <f>IFERROR(__xludf.DUMMYFUNCTION("""COMPUTED_VALUE"""),"A250013")</f>
        <v>A250013</v>
      </c>
      <c r="E17" s="140" t="str">
        <f>IFERROR(__xludf.DUMMYFUNCTION("""COMPUTED_VALUE"""),"MTs Putra")</f>
        <v>MTs Putra</v>
      </c>
      <c r="F17" s="141" t="str">
        <f>IFERROR(__xludf.DUMMYFUNCTION("""COMPUTED_VALUE"""),"5: Sangat jelas, kuat, dan sesuai visi pesantren (ingin belajar agama, mandiri, dekat dengan Allah).")</f>
        <v>5: Sangat jelas, kuat, dan sesuai visi pesantren (ingin belajar agama, mandiri, dekat dengan Allah).</v>
      </c>
      <c r="G17" s="141" t="str">
        <f>IFERROR(__xludf.DUMMYFUNCTION("""COMPUTED_VALUE"""),"3: Lingkungan biasa saja, kadang ada pengaruh negatif.")</f>
        <v>3: Lingkungan biasa saja, kadang ada pengaruh negatif.</v>
      </c>
      <c r="H17" s="141" t="str">
        <f>IFERROR(__xludf.DUMMYFUNCTION("""COMPUTED_VALUE"""),"4: Game rekreasi wajar, tidak berlebihan.")</f>
        <v>4: Game rekreasi wajar, tidak berlebihan.</v>
      </c>
      <c r="I17" s="141" t="str">
        <f>IFERROR(__xludf.DUMMYFUNCTION("""COMPUTED_VALUE"""),"4: Mayoritas teman baik, ada sedikit yang kurang baik.")</f>
        <v>4: Mayoritas teman baik, ada sedikit yang kurang baik.</v>
      </c>
      <c r="J17" s="141" t="str">
        <f>IFERROR(__xludf.DUMMYFUNCTION("""COMPUTED_VALUE"""),"4: Menolak, tapi alasannya umum.")</f>
        <v>4: Menolak, tapi alasannya umum.</v>
      </c>
      <c r="K17" s="141" t="str">
        <f>IFERROR(__xludf.DUMMYFUNCTION("""COMPUTED_VALUE"""),"4: Menolak, tapi belum terlalu paham alasannya.")</f>
        <v>4: Menolak, tapi belum terlalu paham alasannya.</v>
      </c>
      <c r="L17" s="141" t="str">
        <f>IFERROR(__xludf.DUMMYFUNCTION("""COMPUTED_VALUE"""),"4: Hobi umum yang wajar (menggambar, dll).")</f>
        <v>4: Hobi umum yang wajar (menggambar, dll).</v>
      </c>
      <c r="M17" s="141" t="str">
        <f>IFERROR(__xludf.DUMMYFUNCTION("""COMPUTED_VALUE"""),"MUHAJIR")</f>
        <v>MUHAJIR</v>
      </c>
      <c r="N17" s="141" t="str">
        <f>IFERROR(__xludf.DUMMYFUNCTION("""COMPUTED_VALUE"""),"B. Layak diterima dengan catatan pembinaan.")</f>
        <v>B. Layak diterima dengan catatan pembinaan.</v>
      </c>
      <c r="O17" s="141" t="str">
        <f>IFERROR(__xludf.DUMMYFUNCTION("""COMPUTED_VALUE"""),"masih suka maen game online namun sudah mulai bosan karena dari kelas 3 maen nya dan in syaa Allah akan mulai berhenti perlahan ketika masuk pondok (bapak nya masih ngerokok )")</f>
        <v>masih suka maen game online namun sudah mulai bosan karena dari kelas 3 maen nya dan in syaa Allah akan mulai berhenti perlahan ketika masuk pondok (bapak nya masih ngerokok )</v>
      </c>
      <c r="P17" s="131" t="str">
        <f t="shared" ref="P17:V17" si="19">left(F17,1)</f>
        <v>5</v>
      </c>
      <c r="Q17" s="131" t="str">
        <f t="shared" si="19"/>
        <v>3</v>
      </c>
      <c r="R17" s="131" t="str">
        <f t="shared" si="19"/>
        <v>4</v>
      </c>
      <c r="S17" s="131" t="str">
        <f t="shared" si="19"/>
        <v>4</v>
      </c>
      <c r="T17" s="131" t="str">
        <f t="shared" si="19"/>
        <v>4</v>
      </c>
      <c r="U17" s="131" t="str">
        <f t="shared" si="19"/>
        <v>4</v>
      </c>
      <c r="V17" s="131" t="str">
        <f t="shared" si="19"/>
        <v>4</v>
      </c>
      <c r="W17" s="119">
        <f t="shared" si="3"/>
        <v>28</v>
      </c>
      <c r="X17" s="119" t="str">
        <f t="shared" si="4"/>
        <v>Cukup Siap</v>
      </c>
      <c r="Y17" s="119" t="str">
        <f t="shared" si="5"/>
        <v>perlu pendampingan awal</v>
      </c>
      <c r="Z17" s="120"/>
      <c r="AA17" s="132"/>
      <c r="AB17" s="132"/>
      <c r="AC17" s="132"/>
      <c r="AD17" s="133"/>
      <c r="AE17" s="134"/>
    </row>
    <row r="18" ht="24.0" customHeight="1">
      <c r="A18" s="143">
        <f>IFERROR(__xludf.DUMMYFUNCTION("""COMPUTED_VALUE"""),45923.433291712965)</f>
        <v>45923.43329</v>
      </c>
      <c r="B18" s="144" t="str">
        <f>IFERROR(__xludf.DUMMYFUNCTION("""COMPUTED_VALUE"""),"nabilmujtaba426@gmail.com")</f>
        <v>nabilmujtaba426@gmail.com</v>
      </c>
      <c r="C18" s="144" t="str">
        <f>IFERROR(__xludf.DUMMYFUNCTION("""COMPUTED_VALUE"""),"Donli Caesar Norton")</f>
        <v>Donli Caesar Norton</v>
      </c>
      <c r="D18" s="144" t="str">
        <f>IFERROR(__xludf.DUMMYFUNCTION("""COMPUTED_VALUE"""),"B250001")</f>
        <v>B250001</v>
      </c>
      <c r="E18" s="144" t="str">
        <f>IFERROR(__xludf.DUMMYFUNCTION("""COMPUTED_VALUE"""),"IL Putra")</f>
        <v>IL Putra</v>
      </c>
      <c r="F18" s="141" t="str">
        <f>IFERROR(__xludf.DUMMYFUNCTION("""COMPUTED_VALUE"""),"5: Sangat jelas, kuat, dan sesuai visi pesantren (ingin belajar agama, mandiri, dekat dengan Allah).")</f>
        <v>5: Sangat jelas, kuat, dan sesuai visi pesantren (ingin belajar agama, mandiri, dekat dengan Allah).</v>
      </c>
      <c r="G18" s="141" t="str">
        <f>IFERROR(__xludf.DUMMYFUNCTION("""COMPUTED_VALUE"""),"4: Lingkungan cukup mendukung, ada perhatian orang tua.")</f>
        <v>4: Lingkungan cukup mendukung, ada perhatian orang tua.</v>
      </c>
      <c r="H18" s="141" t="str">
        <f>IFERROR(__xludf.DUMMYFUNCTION("""COMPUTED_VALUE"""),"5: Hobi bermanfaat (olahraga, membaca, permainan edukatif).")</f>
        <v>5: Hobi bermanfaat (olahraga, membaca, permainan edukatif).</v>
      </c>
      <c r="I18" s="141" t="str">
        <f>IFERROR(__xludf.DUMMYFUNCTION("""COMPUTED_VALUE"""),"4: Mayoritas teman baik, ada sedikit yang kurang baik.")</f>
        <v>4: Mayoritas teman baik, ada sedikit yang kurang baik.</v>
      </c>
      <c r="J18" s="141" t="str">
        <f>IFERROR(__xludf.DUMMYFUNCTION("""COMPUTED_VALUE"""),"5: Jelas menolak, punya alasan agama/ilmu.")</f>
        <v>5: Jelas menolak, punya alasan agama/ilmu.</v>
      </c>
      <c r="K18" s="141" t="str">
        <f>IFERROR(__xludf.DUMMYFUNCTION("""COMPUTED_VALUE"""),"5: Menolak dengan tegas, paham bahaya dan dosa.")</f>
        <v>5: Menolak dengan tegas, paham bahaya dan dosa.</v>
      </c>
      <c r="L18" s="141" t="str">
        <f>IFERROR(__xludf.DUMMYFUNCTION("""COMPUTED_VALUE"""),"5: Hobi positif, produktif, mendukung pengembangan diri (olahraga, membaca, seni islami).")</f>
        <v>5: Hobi positif, produktif, mendukung pengembangan diri (olahraga, membaca, seni islami).</v>
      </c>
      <c r="M18" s="141" t="str">
        <f>IFERROR(__xludf.DUMMYFUNCTION("""COMPUTED_VALUE"""),"Nabil Mujtaba")</f>
        <v>Nabil Mujtaba</v>
      </c>
      <c r="N18" s="141" t="str">
        <f>IFERROR(__xludf.DUMMYFUNCTION("""COMPUTED_VALUE"""),"A. Sangat Layak diterima (potensi besar berkembang di pesantren).")</f>
        <v>A. Sangat Layak diterima (potensi besar berkembang di pesantren).</v>
      </c>
      <c r="O18" s="141" t="str">
        <f>IFERROR(__xludf.DUMMYFUNCTION("""COMPUTED_VALUE"""),"Hafalan Juz 30,29
Alergi Makanan seafood 
Suka memanah ")</f>
        <v>Hafalan Juz 30,29
Alergi Makanan seafood 
Suka memanah </v>
      </c>
      <c r="P18" s="131" t="str">
        <f t="shared" ref="P18:V18" si="20">left(F18,1)</f>
        <v>5</v>
      </c>
      <c r="Q18" s="131" t="str">
        <f t="shared" si="20"/>
        <v>4</v>
      </c>
      <c r="R18" s="131" t="str">
        <f t="shared" si="20"/>
        <v>5</v>
      </c>
      <c r="S18" s="131" t="str">
        <f t="shared" si="20"/>
        <v>4</v>
      </c>
      <c r="T18" s="131" t="str">
        <f t="shared" si="20"/>
        <v>5</v>
      </c>
      <c r="U18" s="131" t="str">
        <f t="shared" si="20"/>
        <v>5</v>
      </c>
      <c r="V18" s="131" t="str">
        <f t="shared" si="20"/>
        <v>5</v>
      </c>
      <c r="W18" s="119">
        <f t="shared" si="3"/>
        <v>33</v>
      </c>
      <c r="X18" s="119" t="str">
        <f t="shared" si="4"/>
        <v>Siap</v>
      </c>
      <c r="Y18" s="119" t="str">
        <f t="shared" si="5"/>
        <v>bisa mengikuti pola pesantren dengan baik</v>
      </c>
      <c r="Z18" s="120"/>
      <c r="AA18" s="132"/>
      <c r="AB18" s="132"/>
      <c r="AC18" s="132"/>
      <c r="AD18" s="132"/>
      <c r="AE18" s="120"/>
    </row>
    <row r="19" ht="24.0" customHeight="1">
      <c r="A19" s="139">
        <f>IFERROR(__xludf.DUMMYFUNCTION("""COMPUTED_VALUE"""),45923.83362725694)</f>
        <v>45923.83363</v>
      </c>
      <c r="B19" s="140" t="str">
        <f>IFERROR(__xludf.DUMMYFUNCTION("""COMPUTED_VALUE"""),"muhajirlah@gmail.com")</f>
        <v>muhajirlah@gmail.com</v>
      </c>
      <c r="C19" s="140" t="str">
        <f>IFERROR(__xludf.DUMMYFUNCTION("""COMPUTED_VALUE"""),"Muhammad Usman Ali ")</f>
        <v>Muhammad Usman Ali </v>
      </c>
      <c r="D19" s="140" t="str">
        <f>IFERROR(__xludf.DUMMYFUNCTION("""COMPUTED_VALUE"""),"A250018")</f>
        <v>A250018</v>
      </c>
      <c r="E19" s="140" t="str">
        <f>IFERROR(__xludf.DUMMYFUNCTION("""COMPUTED_VALUE"""),"MTs Putra")</f>
        <v>MTs Putra</v>
      </c>
      <c r="F19" s="141" t="str">
        <f>IFERROR(__xludf.DUMMYFUNCTION("""COMPUTED_VALUE"""),"5: Sangat jelas, kuat, dan sesuai visi pesantren (ingin belajar agama, mandiri, dekat dengan Allah).")</f>
        <v>5: Sangat jelas, kuat, dan sesuai visi pesantren (ingin belajar agama, mandiri, dekat dengan Allah).</v>
      </c>
      <c r="G19" s="141" t="str">
        <f>IFERROR(__xludf.DUMMYFUNCTION("""COMPUTED_VALUE"""),"4: Lingkungan cukup mendukung, ada perhatian orang tua.")</f>
        <v>4: Lingkungan cukup mendukung, ada perhatian orang tua.</v>
      </c>
      <c r="H19" s="141" t="str">
        <f>IFERROR(__xludf.DUMMYFUNCTION("""COMPUTED_VALUE"""),"4: Game rekreasi wajar, tidak berlebihan.")</f>
        <v>4: Game rekreasi wajar, tidak berlebihan.</v>
      </c>
      <c r="I19" s="141" t="str">
        <f>IFERROR(__xludf.DUMMYFUNCTION("""COMPUTED_VALUE"""),"4: Mayoritas teman baik, ada sedikit yang kurang baik.")</f>
        <v>4: Mayoritas teman baik, ada sedikit yang kurang baik.</v>
      </c>
      <c r="J19" s="141" t="str">
        <f>IFERROR(__xludf.DUMMYFUNCTION("""COMPUTED_VALUE"""),"4: Menolak, tapi alasannya umum.")</f>
        <v>4: Menolak, tapi alasannya umum.</v>
      </c>
      <c r="K19" s="141" t="str">
        <f>IFERROR(__xludf.DUMMYFUNCTION("""COMPUTED_VALUE"""),"4: Menolak, tapi belum terlalu paham alasannya.")</f>
        <v>4: Menolak, tapi belum terlalu paham alasannya.</v>
      </c>
      <c r="L19" s="141" t="str">
        <f>IFERROR(__xludf.DUMMYFUNCTION("""COMPUTED_VALUE"""),"4: Hobi umum yang wajar (menggambar, dll).")</f>
        <v>4: Hobi umum yang wajar (menggambar, dll).</v>
      </c>
      <c r="M19" s="141" t="str">
        <f>IFERROR(__xludf.DUMMYFUNCTION("""COMPUTED_VALUE"""),"Muhajir")</f>
        <v>Muhajir</v>
      </c>
      <c r="N19" s="141" t="str">
        <f>IFERROR(__xludf.DUMMYFUNCTION("""COMPUTED_VALUE"""),"B. Layak diterima dengan catatan pembinaan.")</f>
        <v>B. Layak diterima dengan catatan pembinaan.</v>
      </c>
      <c r="O19" s="141" t="str">
        <f>IFERROR(__xludf.DUMMYFUNCTION("""COMPUTED_VALUE"""),"Tidak suka sayur, orangtua nya kerja di perpajakan..")</f>
        <v>Tidak suka sayur, orangtua nya kerja di perpajakan..</v>
      </c>
      <c r="P19" s="131" t="str">
        <f t="shared" ref="P19:V19" si="21">left(F19,1)</f>
        <v>5</v>
      </c>
      <c r="Q19" s="131" t="str">
        <f t="shared" si="21"/>
        <v>4</v>
      </c>
      <c r="R19" s="131" t="str">
        <f t="shared" si="21"/>
        <v>4</v>
      </c>
      <c r="S19" s="131" t="str">
        <f t="shared" si="21"/>
        <v>4</v>
      </c>
      <c r="T19" s="131" t="str">
        <f t="shared" si="21"/>
        <v>4</v>
      </c>
      <c r="U19" s="131" t="str">
        <f t="shared" si="21"/>
        <v>4</v>
      </c>
      <c r="V19" s="131" t="str">
        <f t="shared" si="21"/>
        <v>4</v>
      </c>
      <c r="W19" s="119">
        <f t="shared" si="3"/>
        <v>29</v>
      </c>
      <c r="X19" s="119" t="str">
        <f t="shared" si="4"/>
        <v>Siap</v>
      </c>
      <c r="Y19" s="119" t="str">
        <f t="shared" si="5"/>
        <v>bisa mengikuti pola pesantren dengan baik</v>
      </c>
      <c r="Z19" s="120"/>
      <c r="AA19" s="132"/>
      <c r="AB19" s="132"/>
      <c r="AC19" s="132"/>
      <c r="AD19" s="133"/>
      <c r="AE19" s="134"/>
    </row>
    <row r="20" ht="24.0" customHeight="1">
      <c r="A20" s="139">
        <f>IFERROR(__xludf.DUMMYFUNCTION("""COMPUTED_VALUE"""),45924.56951537037)</f>
        <v>45924.56952</v>
      </c>
      <c r="B20" s="140" t="str">
        <f>IFERROR(__xludf.DUMMYFUNCTION("""COMPUTED_VALUE"""),"zaldoyrizaldi@gmail.com")</f>
        <v>zaldoyrizaldi@gmail.com</v>
      </c>
      <c r="C20" s="140" t="str">
        <f>IFERROR(__xludf.DUMMYFUNCTION("""COMPUTED_VALUE"""),"Muhamad umar ali")</f>
        <v>Muhamad umar ali</v>
      </c>
      <c r="D20" s="140" t="str">
        <f>IFERROR(__xludf.DUMMYFUNCTION("""COMPUTED_VALUE"""),"A250020")</f>
        <v>A250020</v>
      </c>
      <c r="E20" s="140" t="str">
        <f>IFERROR(__xludf.DUMMYFUNCTION("""COMPUTED_VALUE"""),"MTs Putra")</f>
        <v>MTs Putra</v>
      </c>
      <c r="F20" s="141" t="str">
        <f>IFERROR(__xludf.DUMMYFUNCTION("""COMPUTED_VALUE"""),"4: Cukup jelas, alasan positif namun masih umum.")</f>
        <v>4: Cukup jelas, alasan positif namun masih umum.</v>
      </c>
      <c r="G20" s="141" t="str">
        <f>IFERROR(__xludf.DUMMYFUNCTION("""COMPUTED_VALUE"""),"3: Lingkungan biasa saja, kadang ada pengaruh negatif.")</f>
        <v>3: Lingkungan biasa saja, kadang ada pengaruh negatif.</v>
      </c>
      <c r="H20" s="141" t="str">
        <f>IFERROR(__xludf.DUMMYFUNCTION("""COMPUTED_VALUE"""),"5: Hobi bermanfaat (olahraga, membaca, permainan edukatif).")</f>
        <v>5: Hobi bermanfaat (olahraga, membaca, permainan edukatif).</v>
      </c>
      <c r="I20" s="141" t="str">
        <f>IFERROR(__xludf.DUMMYFUNCTION("""COMPUTED_VALUE"""),"4: Mayoritas teman baik, ada sedikit yang kurang baik.")</f>
        <v>4: Mayoritas teman baik, ada sedikit yang kurang baik.</v>
      </c>
      <c r="J20" s="141" t="str">
        <f>IFERROR(__xludf.DUMMYFUNCTION("""COMPUTED_VALUE"""),"5: Jelas menolak, punya alasan agama/ilmu.")</f>
        <v>5: Jelas menolak, punya alasan agama/ilmu.</v>
      </c>
      <c r="K20" s="141" t="str">
        <f>IFERROR(__xludf.DUMMYFUNCTION("""COMPUTED_VALUE"""),"5: Menolak dengan tegas, paham bahaya dan dosa.")</f>
        <v>5: Menolak dengan tegas, paham bahaya dan dosa.</v>
      </c>
      <c r="L20" s="141" t="str">
        <f>IFERROR(__xludf.DUMMYFUNCTION("""COMPUTED_VALUE"""),"5: Hobi positif, produktif, mendukung pengembangan diri (olahraga, membaca, seni islami).")</f>
        <v>5: Hobi positif, produktif, mendukung pengembangan diri (olahraga, membaca, seni islami).</v>
      </c>
      <c r="M20" s="141" t="str">
        <f>IFERROR(__xludf.DUMMYFUNCTION("""COMPUTED_VALUE"""),"Rizaldi")</f>
        <v>Rizaldi</v>
      </c>
      <c r="N20" s="141" t="str">
        <f>IFERROR(__xludf.DUMMYFUNCTION("""COMPUTED_VALUE"""),"A. Sangat Layak diterima (potensi besar berkembang di pesantren).")</f>
        <v>A. Sangat Layak diterima (potensi besar berkembang di pesantren).</v>
      </c>
      <c r="O20" s="141" t="str">
        <f>IFERROR(__xludf.DUMMYFUNCTION("""COMPUTED_VALUE"""),"Anak nya bagus mau belajar mungkin kita harus bantu perkembangannya dan punya sodara kembar yg masuk sini juga jadi punya suport sistem keren keren")</f>
        <v>Anak nya bagus mau belajar mungkin kita harus bantu perkembangannya dan punya sodara kembar yg masuk sini juga jadi punya suport sistem keren keren</v>
      </c>
      <c r="P20" s="131" t="str">
        <f t="shared" ref="P20:V20" si="22">left(F20,1)</f>
        <v>4</v>
      </c>
      <c r="Q20" s="131" t="str">
        <f t="shared" si="22"/>
        <v>3</v>
      </c>
      <c r="R20" s="131" t="str">
        <f t="shared" si="22"/>
        <v>5</v>
      </c>
      <c r="S20" s="131" t="str">
        <f t="shared" si="22"/>
        <v>4</v>
      </c>
      <c r="T20" s="131" t="str">
        <f t="shared" si="22"/>
        <v>5</v>
      </c>
      <c r="U20" s="131" t="str">
        <f t="shared" si="22"/>
        <v>5</v>
      </c>
      <c r="V20" s="131" t="str">
        <f t="shared" si="22"/>
        <v>5</v>
      </c>
      <c r="W20" s="119">
        <f t="shared" si="3"/>
        <v>31</v>
      </c>
      <c r="X20" s="119" t="str">
        <f t="shared" si="4"/>
        <v>Siap</v>
      </c>
      <c r="Y20" s="119" t="str">
        <f t="shared" si="5"/>
        <v>bisa mengikuti pola pesantren dengan baik</v>
      </c>
      <c r="Z20" s="120"/>
      <c r="AA20" s="132"/>
      <c r="AB20" s="132"/>
      <c r="AC20" s="132"/>
      <c r="AD20" s="133"/>
      <c r="AE20" s="134"/>
    </row>
    <row r="21" ht="24.0" customHeight="1">
      <c r="A21" s="139">
        <f>IFERROR(__xludf.DUMMYFUNCTION("""COMPUTED_VALUE"""),45924.83753425926)</f>
        <v>45924.83753</v>
      </c>
      <c r="B21" s="140" t="str">
        <f>IFERROR(__xludf.DUMMYFUNCTION("""COMPUTED_VALUE"""),"alfaruqsyauqi513@gmail.com")</f>
        <v>alfaruqsyauqi513@gmail.com</v>
      </c>
      <c r="C21" s="140" t="str">
        <f>IFERROR(__xludf.DUMMYFUNCTION("""COMPUTED_VALUE"""),"Haneef Abdurahman")</f>
        <v>Haneef Abdurahman</v>
      </c>
      <c r="D21" s="140" t="str">
        <f>IFERROR(__xludf.DUMMYFUNCTION("""COMPUTED_VALUE"""),"A250012")</f>
        <v>A250012</v>
      </c>
      <c r="E21" s="140" t="str">
        <f>IFERROR(__xludf.DUMMYFUNCTION("""COMPUTED_VALUE"""),"MTs Putra")</f>
        <v>MTs Putra</v>
      </c>
      <c r="F21" s="141" t="str">
        <f>IFERROR(__xludf.DUMMYFUNCTION("""COMPUTED_VALUE"""),"4: Cukup jelas, alasan positif namun masih umum.")</f>
        <v>4: Cukup jelas, alasan positif namun masih umum.</v>
      </c>
      <c r="G21" s="141" t="str">
        <f>IFERROR(__xludf.DUMMYFUNCTION("""COMPUTED_VALUE"""),"4: Lingkungan cukup mendukung, ada perhatian orang tua.")</f>
        <v>4: Lingkungan cukup mendukung, ada perhatian orang tua.</v>
      </c>
      <c r="H21" s="141" t="str">
        <f>IFERROR(__xludf.DUMMYFUNCTION("""COMPUTED_VALUE"""),"5: Hobi bermanfaat (olahraga, membaca, permainan edukatif).")</f>
        <v>5: Hobi bermanfaat (olahraga, membaca, permainan edukatif).</v>
      </c>
      <c r="I21" s="141" t="str">
        <f>IFERROR(__xludf.DUMMYFUNCTION("""COMPUTED_VALUE"""),"5: Berteman dengan lingkungan positif (masjid, teman shalih/shalihah).")</f>
        <v>5: Berteman dengan lingkungan positif (masjid, teman shalih/shalihah).</v>
      </c>
      <c r="J21" s="141" t="str">
        <f>IFERROR(__xludf.DUMMYFUNCTION("""COMPUTED_VALUE"""),"5: Jelas menolak, punya alasan agama/ilmu.")</f>
        <v>5: Jelas menolak, punya alasan agama/ilmu.</v>
      </c>
      <c r="K21" s="141" t="str">
        <f>IFERROR(__xludf.DUMMYFUNCTION("""COMPUTED_VALUE"""),"5: Menolak dengan tegas, paham bahaya dan dosa.")</f>
        <v>5: Menolak dengan tegas, paham bahaya dan dosa.</v>
      </c>
      <c r="L21" s="141" t="str">
        <f>IFERROR(__xludf.DUMMYFUNCTION("""COMPUTED_VALUE"""),"5: Hobi positif, produktif, mendukung pengembangan diri (olahraga, membaca, seni islami).")</f>
        <v>5: Hobi positif, produktif, mendukung pengembangan diri (olahraga, membaca, seni islami).</v>
      </c>
      <c r="M21" s="141" t="str">
        <f>IFERROR(__xludf.DUMMYFUNCTION("""COMPUTED_VALUE"""),"Muhamad syauqi al Faruq")</f>
        <v>Muhamad syauqi al Faruq</v>
      </c>
      <c r="N21" s="141" t="str">
        <f>IFERROR(__xludf.DUMMYFUNCTION("""COMPUTED_VALUE"""),"B. Layak diterima dengan catatan pembinaan.")</f>
        <v>B. Layak diterima dengan catatan pembinaan.</v>
      </c>
      <c r="O21" s="141"/>
      <c r="P21" s="131" t="str">
        <f t="shared" ref="P21:V21" si="23">left(F21,1)</f>
        <v>4</v>
      </c>
      <c r="Q21" s="131" t="str">
        <f t="shared" si="23"/>
        <v>4</v>
      </c>
      <c r="R21" s="131" t="str">
        <f t="shared" si="23"/>
        <v>5</v>
      </c>
      <c r="S21" s="131" t="str">
        <f t="shared" si="23"/>
        <v>5</v>
      </c>
      <c r="T21" s="131" t="str">
        <f t="shared" si="23"/>
        <v>5</v>
      </c>
      <c r="U21" s="131" t="str">
        <f t="shared" si="23"/>
        <v>5</v>
      </c>
      <c r="V21" s="131" t="str">
        <f t="shared" si="23"/>
        <v>5</v>
      </c>
      <c r="W21" s="119">
        <f t="shared" si="3"/>
        <v>33</v>
      </c>
      <c r="X21" s="119" t="str">
        <f t="shared" si="4"/>
        <v>Siap</v>
      </c>
      <c r="Y21" s="119" t="str">
        <f t="shared" si="5"/>
        <v>bisa mengikuti pola pesantren dengan baik</v>
      </c>
      <c r="Z21" s="120"/>
      <c r="AA21" s="132"/>
      <c r="AB21" s="132"/>
      <c r="AC21" s="132"/>
      <c r="AD21" s="133"/>
      <c r="AE21" s="134"/>
    </row>
    <row r="22" ht="24.0" customHeight="1">
      <c r="A22" s="139">
        <f>IFERROR(__xludf.DUMMYFUNCTION("""COMPUTED_VALUE"""),45925.82108606481)</f>
        <v>45925.82109</v>
      </c>
      <c r="B22" s="140" t="str">
        <f>IFERROR(__xludf.DUMMYFUNCTION("""COMPUTED_VALUE"""),"zaldoyrizaldi@gmail.com")</f>
        <v>zaldoyrizaldi@gmail.com</v>
      </c>
      <c r="C22" s="140" t="str">
        <f>IFERROR(__xludf.DUMMYFUNCTION("""COMPUTED_VALUE"""),"Kesatria Hudzaifah al mizzi ")</f>
        <v>Kesatria Hudzaifah al mizzi </v>
      </c>
      <c r="D22" s="140" t="str">
        <f>IFERROR(__xludf.DUMMYFUNCTION("""COMPUTED_VALUE"""),"B250010")</f>
        <v>B250010</v>
      </c>
      <c r="E22" s="140" t="str">
        <f>IFERROR(__xludf.DUMMYFUNCTION("""COMPUTED_VALUE"""),"IL Putra")</f>
        <v>IL Putra</v>
      </c>
      <c r="F22" s="141" t="str">
        <f>IFERROR(__xludf.DUMMYFUNCTION("""COMPUTED_VALUE"""),"5: Sangat jelas, kuat, dan sesuai visi pesantren (ingin belajar agama, mandiri, dekat dengan Allah).")</f>
        <v>5: Sangat jelas, kuat, dan sesuai visi pesantren (ingin belajar agama, mandiri, dekat dengan Allah).</v>
      </c>
      <c r="G22" s="141" t="str">
        <f>IFERROR(__xludf.DUMMYFUNCTION("""COMPUTED_VALUE"""),"3: Lingkungan biasa saja, kadang ada pengaruh negatif.")</f>
        <v>3: Lingkungan biasa saja, kadang ada pengaruh negatif.</v>
      </c>
      <c r="H22" s="141" t="str">
        <f>IFERROR(__xludf.DUMMYFUNCTION("""COMPUTED_VALUE"""),"4: Game rekreasi wajar, tidak berlebihan.")</f>
        <v>4: Game rekreasi wajar, tidak berlebihan.</v>
      </c>
      <c r="I22" s="141" t="str">
        <f>IFERROR(__xludf.DUMMYFUNCTION("""COMPUTED_VALUE"""),"2: Lebih sering bersama teman berpengaruh negatif.")</f>
        <v>2: Lebih sering bersama teman berpengaruh negatif.</v>
      </c>
      <c r="J22" s="141" t="str">
        <f>IFERROR(__xludf.DUMMYFUNCTION("""COMPUTED_VALUE"""),"5: Jelas menolak, punya alasan agama/ilmu.")</f>
        <v>5: Jelas menolak, punya alasan agama/ilmu.</v>
      </c>
      <c r="K22" s="141" t="str">
        <f>IFERROR(__xludf.DUMMYFUNCTION("""COMPUTED_VALUE"""),"4: Menolak, tapi belum terlalu paham alasannya.")</f>
        <v>4: Menolak, tapi belum terlalu paham alasannya.</v>
      </c>
      <c r="L22" s="141" t="str">
        <f>IFERROR(__xludf.DUMMYFUNCTION("""COMPUTED_VALUE"""),"5: Hobi positif, produktif, mendukung pengembangan diri (olahraga, membaca, seni islami).")</f>
        <v>5: Hobi positif, produktif, mendukung pengembangan diri (olahraga, membaca, seni islami).</v>
      </c>
      <c r="M22" s="141" t="str">
        <f>IFERROR(__xludf.DUMMYFUNCTION("""COMPUTED_VALUE"""),"Rizaldi")</f>
        <v>Rizaldi</v>
      </c>
      <c r="N22" s="141" t="str">
        <f>IFERROR(__xludf.DUMMYFUNCTION("""COMPUTED_VALUE"""),"A. Sangat Layak diterima (potensi besar berkembang di pesantren).")</f>
        <v>A. Sangat Layak diterima (potensi besar berkembang di pesantren).</v>
      </c>
      <c r="O22" s="141" t="str">
        <f>IFERROR(__xludf.DUMMYFUNCTION("""COMPUTED_VALUE"""),"Mungkin jaga pergaulan ya saja karena lingkungan sebelum nya tidak cukup baik")</f>
        <v>Mungkin jaga pergaulan ya saja karena lingkungan sebelum nya tidak cukup baik</v>
      </c>
      <c r="P22" s="131" t="str">
        <f t="shared" ref="P22:V22" si="24">left(F22,1)</f>
        <v>5</v>
      </c>
      <c r="Q22" s="131" t="str">
        <f t="shared" si="24"/>
        <v>3</v>
      </c>
      <c r="R22" s="131" t="str">
        <f t="shared" si="24"/>
        <v>4</v>
      </c>
      <c r="S22" s="131" t="str">
        <f t="shared" si="24"/>
        <v>2</v>
      </c>
      <c r="T22" s="131" t="str">
        <f t="shared" si="24"/>
        <v>5</v>
      </c>
      <c r="U22" s="131" t="str">
        <f t="shared" si="24"/>
        <v>4</v>
      </c>
      <c r="V22" s="131" t="str">
        <f t="shared" si="24"/>
        <v>5</v>
      </c>
      <c r="W22" s="119">
        <f t="shared" si="3"/>
        <v>28</v>
      </c>
      <c r="X22" s="119" t="str">
        <f t="shared" si="4"/>
        <v>Cukup Siap</v>
      </c>
      <c r="Y22" s="119" t="str">
        <f t="shared" si="5"/>
        <v>perlu pendampingan awal</v>
      </c>
      <c r="Z22" s="120"/>
      <c r="AA22" s="132"/>
      <c r="AB22" s="132"/>
      <c r="AC22" s="132"/>
      <c r="AD22" s="133"/>
      <c r="AE22" s="134"/>
    </row>
    <row r="23" ht="24.0" customHeight="1">
      <c r="A23" s="139">
        <f>IFERROR(__xludf.DUMMYFUNCTION("""COMPUTED_VALUE"""),45925.821209965274)</f>
        <v>45925.82121</v>
      </c>
      <c r="B23" s="140" t="str">
        <f>IFERROR(__xludf.DUMMYFUNCTION("""COMPUTED_VALUE"""),"alfaruqsyauqi513@gmail.com")</f>
        <v>alfaruqsyauqi513@gmail.com</v>
      </c>
      <c r="C23" s="140" t="str">
        <f>IFERROR(__xludf.DUMMYFUNCTION("""COMPUTED_VALUE"""),"Kafie arkan rafiqi")</f>
        <v>Kafie arkan rafiqi</v>
      </c>
      <c r="D23" s="140" t="str">
        <f>IFERROR(__xludf.DUMMYFUNCTION("""COMPUTED_VALUE"""),"A250055")</f>
        <v>A250055</v>
      </c>
      <c r="E23" s="140" t="str">
        <f>IFERROR(__xludf.DUMMYFUNCTION("""COMPUTED_VALUE"""),"MTs Putra")</f>
        <v>MTs Putra</v>
      </c>
      <c r="F23" s="141" t="str">
        <f>IFERROR(__xludf.DUMMYFUNCTION("""COMPUTED_VALUE"""),"3: Alasan kurang terarah, dipengaruhi orang tua, tapi ada kesediaan.")</f>
        <v>3: Alasan kurang terarah, dipengaruhi orang tua, tapi ada kesediaan.</v>
      </c>
      <c r="G23" s="141" t="str">
        <f>IFERROR(__xludf.DUMMYFUNCTION("""COMPUTED_VALUE"""),"5: Lingkungan sangat mendukung (keluarga islami, shalat berjamaah, kontrol gadget baik).")</f>
        <v>5: Lingkungan sangat mendukung (keluarga islami, shalat berjamaah, kontrol gadget baik).</v>
      </c>
      <c r="H23" s="141" t="str">
        <f>IFERROR(__xludf.DUMMYFUNCTION("""COMPUTED_VALUE"""),"4: Game rekreasi wajar, tidak berlebihan.")</f>
        <v>4: Game rekreasi wajar, tidak berlebihan.</v>
      </c>
      <c r="I23" s="141" t="str">
        <f>IFERROR(__xludf.DUMMYFUNCTION("""COMPUTED_VALUE"""),"5: Berteman dengan lingkungan positif (masjid, teman shalih/shalihah).")</f>
        <v>5: Berteman dengan lingkungan positif (masjid, teman shalih/shalihah).</v>
      </c>
      <c r="J23" s="141" t="str">
        <f>IFERROR(__xludf.DUMMYFUNCTION("""COMPUTED_VALUE"""),"5: Jelas menolak, punya alasan agama/ilmu.")</f>
        <v>5: Jelas menolak, punya alasan agama/ilmu.</v>
      </c>
      <c r="K23" s="141" t="str">
        <f>IFERROR(__xludf.DUMMYFUNCTION("""COMPUTED_VALUE"""),"5: Menolak dengan tegas, paham bahaya dan dosa.")</f>
        <v>5: Menolak dengan tegas, paham bahaya dan dosa.</v>
      </c>
      <c r="L23" s="141" t="str">
        <f>IFERROR(__xludf.DUMMYFUNCTION("""COMPUTED_VALUE"""),"4: Hobi umum yang wajar (menggambar, dll).")</f>
        <v>4: Hobi umum yang wajar (menggambar, dll).</v>
      </c>
      <c r="M23" s="141" t="str">
        <f>IFERROR(__xludf.DUMMYFUNCTION("""COMPUTED_VALUE"""),"Muhammad syauqi al faruq")</f>
        <v>Muhammad syauqi al faruq</v>
      </c>
      <c r="N23" s="141" t="str">
        <f>IFERROR(__xludf.DUMMYFUNCTION("""COMPUTED_VALUE"""),"B. Layak diterima dengan catatan pembinaan.")</f>
        <v>B. Layak diterima dengan catatan pembinaan.</v>
      </c>
      <c r="O23" s="141"/>
      <c r="P23" s="131" t="str">
        <f t="shared" ref="P23:V23" si="25">left(F23,1)</f>
        <v>3</v>
      </c>
      <c r="Q23" s="131" t="str">
        <f t="shared" si="25"/>
        <v>5</v>
      </c>
      <c r="R23" s="131" t="str">
        <f t="shared" si="25"/>
        <v>4</v>
      </c>
      <c r="S23" s="131" t="str">
        <f t="shared" si="25"/>
        <v>5</v>
      </c>
      <c r="T23" s="131" t="str">
        <f t="shared" si="25"/>
        <v>5</v>
      </c>
      <c r="U23" s="131" t="str">
        <f t="shared" si="25"/>
        <v>5</v>
      </c>
      <c r="V23" s="131" t="str">
        <f t="shared" si="25"/>
        <v>4</v>
      </c>
      <c r="W23" s="119">
        <f t="shared" si="3"/>
        <v>31</v>
      </c>
      <c r="X23" s="119" t="str">
        <f t="shared" si="4"/>
        <v>Siap</v>
      </c>
      <c r="Y23" s="119" t="str">
        <f t="shared" si="5"/>
        <v>bisa mengikuti pola pesantren dengan baik</v>
      </c>
      <c r="Z23" s="120"/>
      <c r="AA23" s="132"/>
      <c r="AB23" s="132"/>
      <c r="AC23" s="132"/>
      <c r="AD23" s="133"/>
      <c r="AE23" s="134"/>
    </row>
    <row r="24" ht="24.0" customHeight="1">
      <c r="A24" s="139">
        <f>IFERROR(__xludf.DUMMYFUNCTION("""COMPUTED_VALUE"""),45926.586639409725)</f>
        <v>45926.58664</v>
      </c>
      <c r="B24" s="140" t="str">
        <f>IFERROR(__xludf.DUMMYFUNCTION("""COMPUTED_VALUE"""),"halimahnurjalalhfnjl@gmail.com")</f>
        <v>halimahnurjalalhfnjl@gmail.com</v>
      </c>
      <c r="C24" s="140" t="str">
        <f>IFERROR(__xludf.DUMMYFUNCTION("""COMPUTED_VALUE"""),"WIDYA MEILANI ZAHRA")</f>
        <v>WIDYA MEILANI ZAHRA</v>
      </c>
      <c r="D24" s="140" t="str">
        <f>IFERROR(__xludf.DUMMYFUNCTION("""COMPUTED_VALUE"""),"E250001")</f>
        <v>E250001</v>
      </c>
      <c r="E24" s="140" t="str">
        <f>IFERROR(__xludf.DUMMYFUNCTION("""COMPUTED_VALUE"""),"IL Putri")</f>
        <v>IL Putri</v>
      </c>
      <c r="F24" s="141" t="str">
        <f>IFERROR(__xludf.DUMMYFUNCTION("""COMPUTED_VALUE"""),"5: Sangat jelas, kuat, dan sesuai visi pesantren (ingin belajar agama, mandiri, dekat dengan Allah).")</f>
        <v>5: Sangat jelas, kuat, dan sesuai visi pesantren (ingin belajar agama, mandiri, dekat dengan Allah).</v>
      </c>
      <c r="G24" s="141" t="str">
        <f>IFERROR(__xludf.DUMMYFUNCTION("""COMPUTED_VALUE"""),"5: Lingkungan sangat mendukung (keluarga islami, shalat berjamaah, kontrol gadget baik).")</f>
        <v>5: Lingkungan sangat mendukung (keluarga islami, shalat berjamaah, kontrol gadget baik).</v>
      </c>
      <c r="H24" s="141" t="str">
        <f>IFERROR(__xludf.DUMMYFUNCTION("""COMPUTED_VALUE"""),"4: Game rekreasi wajar, tidak berlebihan.")</f>
        <v>4: Game rekreasi wajar, tidak berlebihan.</v>
      </c>
      <c r="I24" s="141" t="str">
        <f>IFERROR(__xludf.DUMMYFUNCTION("""COMPUTED_VALUE"""),"5: Berteman dengan lingkungan positif (masjid, teman shalih/shalihah).")</f>
        <v>5: Berteman dengan lingkungan positif (masjid, teman shalih/shalihah).</v>
      </c>
      <c r="J24" s="141" t="str">
        <f>IFERROR(__xludf.DUMMYFUNCTION("""COMPUTED_VALUE"""),"5: Jelas menolak, punya alasan agama/ilmu.")</f>
        <v>5: Jelas menolak, punya alasan agama/ilmu.</v>
      </c>
      <c r="K24" s="141" t="str">
        <f>IFERROR(__xludf.DUMMYFUNCTION("""COMPUTED_VALUE"""),"5: Menolak dengan tegas, paham bahaya dan dosa.")</f>
        <v>5: Menolak dengan tegas, paham bahaya dan dosa.</v>
      </c>
      <c r="L24" s="141" t="str">
        <f>IFERROR(__xludf.DUMMYFUNCTION("""COMPUTED_VALUE"""),"5: Hobi positif, produktif, mendukung pengembangan diri (olahraga, membaca, seni islami).")</f>
        <v>5: Hobi positif, produktif, mendukung pengembangan diri (olahraga, membaca, seni islami).</v>
      </c>
      <c r="M24" s="141" t="str">
        <f>IFERROR(__xludf.DUMMYFUNCTION("""COMPUTED_VALUE"""),"Halimah Fauziah")</f>
        <v>Halimah Fauziah</v>
      </c>
      <c r="N24" s="141" t="str">
        <f>IFERROR(__xludf.DUMMYFUNCTION("""COMPUTED_VALUE"""),"A. Sangat Layak diterima (potensi besar berkembang di pesantren).")</f>
        <v>A. Sangat Layak diterima (potensi besar berkembang di pesantren).</v>
      </c>
      <c r="O24" s="141" t="str">
        <f>IFERROR(__xludf.DUMMYFUNCTION("""COMPUTED_VALUE"""),"Sedang mesantren di alwasilah sudah hafal 3,5 juz")</f>
        <v>Sedang mesantren di alwasilah sudah hafal 3,5 juz</v>
      </c>
      <c r="P24" s="131" t="str">
        <f t="shared" ref="P24:V24" si="26">left(F24,1)</f>
        <v>5</v>
      </c>
      <c r="Q24" s="131" t="str">
        <f t="shared" si="26"/>
        <v>5</v>
      </c>
      <c r="R24" s="131" t="str">
        <f t="shared" si="26"/>
        <v>4</v>
      </c>
      <c r="S24" s="131" t="str">
        <f t="shared" si="26"/>
        <v>5</v>
      </c>
      <c r="T24" s="131" t="str">
        <f t="shared" si="26"/>
        <v>5</v>
      </c>
      <c r="U24" s="131" t="str">
        <f t="shared" si="26"/>
        <v>5</v>
      </c>
      <c r="V24" s="131" t="str">
        <f t="shared" si="26"/>
        <v>5</v>
      </c>
      <c r="W24" s="119">
        <f t="shared" si="3"/>
        <v>34</v>
      </c>
      <c r="X24" s="119" t="str">
        <f t="shared" si="4"/>
        <v>Siap</v>
      </c>
      <c r="Y24" s="119" t="str">
        <f t="shared" si="5"/>
        <v>bisa mengikuti pola pesantren dengan baik</v>
      </c>
      <c r="Z24" s="120"/>
      <c r="AA24" s="132"/>
      <c r="AB24" s="132"/>
      <c r="AC24" s="132"/>
      <c r="AD24" s="133"/>
      <c r="AE24" s="134"/>
    </row>
    <row r="25" ht="24.0" customHeight="1">
      <c r="A25" s="139">
        <f>IFERROR(__xludf.DUMMYFUNCTION("""COMPUTED_VALUE"""),45926.625395104165)</f>
        <v>45926.6254</v>
      </c>
      <c r="B25" s="140" t="str">
        <f>IFERROR(__xludf.DUMMYFUNCTION("""COMPUTED_VALUE"""),"halimahnurjalalhfnjl@gmail.com")</f>
        <v>halimahnurjalalhfnjl@gmail.com</v>
      </c>
      <c r="C25" s="140" t="str">
        <f>IFERROR(__xludf.DUMMYFUNCTION("""COMPUTED_VALUE"""),"Siti Hafsoh sholihah ")</f>
        <v>Siti Hafsoh sholihah </v>
      </c>
      <c r="D25" s="140" t="str">
        <f>IFERROR(__xludf.DUMMYFUNCTION("""COMPUTED_VALUE"""),"E250005")</f>
        <v>E250005</v>
      </c>
      <c r="E25" s="140" t="str">
        <f>IFERROR(__xludf.DUMMYFUNCTION("""COMPUTED_VALUE"""),"IL Putri")</f>
        <v>IL Putri</v>
      </c>
      <c r="F25" s="141" t="str">
        <f>IFERROR(__xludf.DUMMYFUNCTION("""COMPUTED_VALUE"""),"4: Cukup jelas, alasan positif namun masih umum.")</f>
        <v>4: Cukup jelas, alasan positif namun masih umum.</v>
      </c>
      <c r="G25" s="141" t="str">
        <f>IFERROR(__xludf.DUMMYFUNCTION("""COMPUTED_VALUE"""),"4: Lingkungan cukup mendukung, ada perhatian orang tua.")</f>
        <v>4: Lingkungan cukup mendukung, ada perhatian orang tua.</v>
      </c>
      <c r="H25" s="141" t="str">
        <f>IFERROR(__xludf.DUMMYFUNCTION("""COMPUTED_VALUE"""),"5: Hobi bermanfaat (olahraga, membaca, permainan edukatif).")</f>
        <v>5: Hobi bermanfaat (olahraga, membaca, permainan edukatif).</v>
      </c>
      <c r="I25" s="141" t="str">
        <f>IFERROR(__xludf.DUMMYFUNCTION("""COMPUTED_VALUE"""),"5: Berteman dengan lingkungan positif (masjid, teman shalih/shalihah).")</f>
        <v>5: Berteman dengan lingkungan positif (masjid, teman shalih/shalihah).</v>
      </c>
      <c r="J25" s="141" t="str">
        <f>IFERROR(__xludf.DUMMYFUNCTION("""COMPUTED_VALUE"""),"5: Jelas menolak, punya alasan agama/ilmu.")</f>
        <v>5: Jelas menolak, punya alasan agama/ilmu.</v>
      </c>
      <c r="K25" s="141" t="str">
        <f>IFERROR(__xludf.DUMMYFUNCTION("""COMPUTED_VALUE"""),"5: Menolak dengan tegas, paham bahaya dan dosa.")</f>
        <v>5: Menolak dengan tegas, paham bahaya dan dosa.</v>
      </c>
      <c r="L25" s="141" t="str">
        <f>IFERROR(__xludf.DUMMYFUNCTION("""COMPUTED_VALUE"""),"5: Hobi positif, produktif, mendukung pengembangan diri (olahraga, membaca, seni islami).")</f>
        <v>5: Hobi positif, produktif, mendukung pengembangan diri (olahraga, membaca, seni islami).</v>
      </c>
      <c r="M25" s="141" t="str">
        <f>IFERROR(__xludf.DUMMYFUNCTION("""COMPUTED_VALUE"""),"Halimah fauziah")</f>
        <v>Halimah fauziah</v>
      </c>
      <c r="N25" s="141" t="str">
        <f>IFERROR(__xludf.DUMMYFUNCTION("""COMPUTED_VALUE"""),"A. Sangat Layak diterima (potensi besar berkembang di pesantren).")</f>
        <v>A. Sangat Layak diterima (potensi besar berkembang di pesantren).</v>
      </c>
      <c r="O25" s="141" t="str">
        <f>IFERROR(__xludf.DUMMYFUNCTION("""COMPUTED_VALUE"""),"Sedang mondok di Assalam putri sudah hafal 4 juz")</f>
        <v>Sedang mondok di Assalam putri sudah hafal 4 juz</v>
      </c>
      <c r="P25" s="131" t="str">
        <f t="shared" ref="P25:V25" si="27">left(F25,1)</f>
        <v>4</v>
      </c>
      <c r="Q25" s="131" t="str">
        <f t="shared" si="27"/>
        <v>4</v>
      </c>
      <c r="R25" s="131" t="str">
        <f t="shared" si="27"/>
        <v>5</v>
      </c>
      <c r="S25" s="131" t="str">
        <f t="shared" si="27"/>
        <v>5</v>
      </c>
      <c r="T25" s="131" t="str">
        <f t="shared" si="27"/>
        <v>5</v>
      </c>
      <c r="U25" s="131" t="str">
        <f t="shared" si="27"/>
        <v>5</v>
      </c>
      <c r="V25" s="131" t="str">
        <f t="shared" si="27"/>
        <v>5</v>
      </c>
      <c r="W25" s="119">
        <f t="shared" si="3"/>
        <v>33</v>
      </c>
      <c r="X25" s="119" t="str">
        <f t="shared" si="4"/>
        <v>Siap</v>
      </c>
      <c r="Y25" s="119" t="str">
        <f t="shared" si="5"/>
        <v>bisa mengikuti pola pesantren dengan baik</v>
      </c>
      <c r="Z25" s="120"/>
      <c r="AA25" s="132"/>
      <c r="AB25" s="132"/>
      <c r="AC25" s="132"/>
      <c r="AD25" s="133"/>
      <c r="AE25" s="134"/>
    </row>
    <row r="26" ht="24.0" customHeight="1">
      <c r="A26" s="139">
        <f>IFERROR(__xludf.DUMMYFUNCTION("""COMPUTED_VALUE"""),45926.64732158565)</f>
        <v>45926.64732</v>
      </c>
      <c r="B26" s="140" t="str">
        <f>IFERROR(__xludf.DUMMYFUNCTION("""COMPUTED_VALUE"""),"halimahnurjalalhfnjl@gmail.com")</f>
        <v>halimahnurjalalhfnjl@gmail.com</v>
      </c>
      <c r="C26" s="140" t="str">
        <f>IFERROR(__xludf.DUMMYFUNCTION("""COMPUTED_VALUE"""),"Nadira Salsabila apriliani ")</f>
        <v>Nadira Salsabila apriliani </v>
      </c>
      <c r="D26" s="140" t="str">
        <f>IFERROR(__xludf.DUMMYFUNCTION("""COMPUTED_VALUE"""),"E250007")</f>
        <v>E250007</v>
      </c>
      <c r="E26" s="140" t="str">
        <f>IFERROR(__xludf.DUMMYFUNCTION("""COMPUTED_VALUE"""),"IL Putri")</f>
        <v>IL Putri</v>
      </c>
      <c r="F26" s="141" t="str">
        <f>IFERROR(__xludf.DUMMYFUNCTION("""COMPUTED_VALUE"""),"4: Cukup jelas, alasan positif namun masih umum.")</f>
        <v>4: Cukup jelas, alasan positif namun masih umum.</v>
      </c>
      <c r="G26" s="141" t="str">
        <f>IFERROR(__xludf.DUMMYFUNCTION("""COMPUTED_VALUE"""),"4: Lingkungan cukup mendukung, ada perhatian orang tua.")</f>
        <v>4: Lingkungan cukup mendukung, ada perhatian orang tua.</v>
      </c>
      <c r="H26" s="141" t="str">
        <f>IFERROR(__xludf.DUMMYFUNCTION("""COMPUTED_VALUE"""),"5: Hobi bermanfaat (olahraga, membaca, permainan edukatif).")</f>
        <v>5: Hobi bermanfaat (olahraga, membaca, permainan edukatif).</v>
      </c>
      <c r="I26" s="141" t="str">
        <f>IFERROR(__xludf.DUMMYFUNCTION("""COMPUTED_VALUE"""),"5: Berteman dengan lingkungan positif (masjid, teman shalih/shalihah).")</f>
        <v>5: Berteman dengan lingkungan positif (masjid, teman shalih/shalihah).</v>
      </c>
      <c r="J26" s="141" t="str">
        <f>IFERROR(__xludf.DUMMYFUNCTION("""COMPUTED_VALUE"""),"5: Jelas menolak, punya alasan agama/ilmu.")</f>
        <v>5: Jelas menolak, punya alasan agama/ilmu.</v>
      </c>
      <c r="K26" s="141" t="str">
        <f>IFERROR(__xludf.DUMMYFUNCTION("""COMPUTED_VALUE"""),"5: Menolak dengan tegas, paham bahaya dan dosa.")</f>
        <v>5: Menolak dengan tegas, paham bahaya dan dosa.</v>
      </c>
      <c r="L26" s="141" t="str">
        <f>IFERROR(__xludf.DUMMYFUNCTION("""COMPUTED_VALUE"""),"5: Hobi positif, produktif, mendukung pengembangan diri (olahraga, membaca, seni islami).")</f>
        <v>5: Hobi positif, produktif, mendukung pengembangan diri (olahraga, membaca, seni islami).</v>
      </c>
      <c r="M26" s="141" t="str">
        <f>IFERROR(__xludf.DUMMYFUNCTION("""COMPUTED_VALUE"""),"Halimah Fauziah ")</f>
        <v>Halimah Fauziah </v>
      </c>
      <c r="N26" s="141" t="str">
        <f>IFERROR(__xludf.DUMMYFUNCTION("""COMPUTED_VALUE"""),"A. Sangat Layak diterima (potensi besar berkembang di pesantren).")</f>
        <v>A. Sangat Layak diterima (potensi besar berkembang di pesantren).</v>
      </c>
      <c r="O26" s="141" t="str">
        <f>IFERROR(__xludf.DUMMYFUNCTION("""COMPUTED_VALUE"""),"Mondok di Assalam putri sudah punya hafalan 3 juz")</f>
        <v>Mondok di Assalam putri sudah punya hafalan 3 juz</v>
      </c>
      <c r="P26" s="131" t="str">
        <f t="shared" ref="P26:V26" si="28">left(F26,1)</f>
        <v>4</v>
      </c>
      <c r="Q26" s="131" t="str">
        <f t="shared" si="28"/>
        <v>4</v>
      </c>
      <c r="R26" s="131" t="str">
        <f t="shared" si="28"/>
        <v>5</v>
      </c>
      <c r="S26" s="131" t="str">
        <f t="shared" si="28"/>
        <v>5</v>
      </c>
      <c r="T26" s="131" t="str">
        <f t="shared" si="28"/>
        <v>5</v>
      </c>
      <c r="U26" s="131" t="str">
        <f t="shared" si="28"/>
        <v>5</v>
      </c>
      <c r="V26" s="131" t="str">
        <f t="shared" si="28"/>
        <v>5</v>
      </c>
      <c r="W26" s="119">
        <f t="shared" si="3"/>
        <v>33</v>
      </c>
      <c r="X26" s="119" t="str">
        <f t="shared" si="4"/>
        <v>Siap</v>
      </c>
      <c r="Y26" s="119" t="str">
        <f t="shared" si="5"/>
        <v>bisa mengikuti pola pesantren dengan baik</v>
      </c>
      <c r="Z26" s="120"/>
      <c r="AA26" s="132"/>
      <c r="AB26" s="132"/>
      <c r="AC26" s="132"/>
      <c r="AD26" s="133"/>
      <c r="AE26" s="134"/>
    </row>
    <row r="27" ht="24.0" customHeight="1">
      <c r="A27" s="139">
        <f>IFERROR(__xludf.DUMMYFUNCTION("""COMPUTED_VALUE"""),45926.683369942126)</f>
        <v>45926.68337</v>
      </c>
      <c r="B27" s="140" t="str">
        <f>IFERROR(__xludf.DUMMYFUNCTION("""COMPUTED_VALUE"""),"rimamaryani5606@gmail.com")</f>
        <v>rimamaryani5606@gmail.com</v>
      </c>
      <c r="C27" s="140" t="str">
        <f>IFERROR(__xludf.DUMMYFUNCTION("""COMPUTED_VALUE"""),"SHAKIRA NUR AISYAH")</f>
        <v>SHAKIRA NUR AISYAH</v>
      </c>
      <c r="D27" s="140" t="str">
        <f>IFERROR(__xludf.DUMMYFUNCTION("""COMPUTED_VALUE"""),"D250008")</f>
        <v>D250008</v>
      </c>
      <c r="E27" s="140" t="str">
        <f>IFERROR(__xludf.DUMMYFUNCTION("""COMPUTED_VALUE"""),"MTs Putri")</f>
        <v>MTs Putri</v>
      </c>
      <c r="F27" s="141" t="str">
        <f>IFERROR(__xludf.DUMMYFUNCTION("""COMPUTED_VALUE"""),"5: Sangat jelas, kuat, dan sesuai visi pesantren (ingin belajar agama, mandiri, dekat dengan Allah).")</f>
        <v>5: Sangat jelas, kuat, dan sesuai visi pesantren (ingin belajar agama, mandiri, dekat dengan Allah).</v>
      </c>
      <c r="G27" s="141" t="str">
        <f>IFERROR(__xludf.DUMMYFUNCTION("""COMPUTED_VALUE"""),"5: Lingkungan sangat mendukung (keluarga islami, shalat berjamaah, kontrol gadget baik).")</f>
        <v>5: Lingkungan sangat mendukung (keluarga islami, shalat berjamaah, kontrol gadget baik).</v>
      </c>
      <c r="H27" s="141" t="str">
        <f>IFERROR(__xludf.DUMMYFUNCTION("""COMPUTED_VALUE"""),"5: Hobi bermanfaat (olahraga, membaca, permainan edukatif).")</f>
        <v>5: Hobi bermanfaat (olahraga, membaca, permainan edukatif).</v>
      </c>
      <c r="I27" s="141" t="str">
        <f>IFERROR(__xludf.DUMMYFUNCTION("""COMPUTED_VALUE"""),"3: Teman biasa saja, netral.")</f>
        <v>3: Teman biasa saja, netral.</v>
      </c>
      <c r="J27" s="141" t="str">
        <f>IFERROR(__xludf.DUMMYFUNCTION("""COMPUTED_VALUE"""),"4: Menolak, tapi alasannya umum.")</f>
        <v>4: Menolak, tapi alasannya umum.</v>
      </c>
      <c r="K27" s="141" t="str">
        <f>IFERROR(__xludf.DUMMYFUNCTION("""COMPUTED_VALUE"""),"5: Menolak dengan tegas, paham bahaya dan dosa.")</f>
        <v>5: Menolak dengan tegas, paham bahaya dan dosa.</v>
      </c>
      <c r="L27" s="141" t="str">
        <f>IFERROR(__xludf.DUMMYFUNCTION("""COMPUTED_VALUE"""),"4: Hobi umum yang wajar (menggambar, dll).")</f>
        <v>4: Hobi umum yang wajar (menggambar, dll).</v>
      </c>
      <c r="M27" s="141" t="str">
        <f>IFERROR(__xludf.DUMMYFUNCTION("""COMPUTED_VALUE"""),"Rima Maryani Putri Utami, S.Pd.I")</f>
        <v>Rima Maryani Putri Utami, S.Pd.I</v>
      </c>
      <c r="N27" s="141" t="str">
        <f>IFERROR(__xludf.DUMMYFUNCTION("""COMPUTED_VALUE"""),"A. Sangat Layak diterima (potensi besar berkembang di pesantren).")</f>
        <v>A. Sangat Layak diterima (potensi besar berkembang di pesantren).</v>
      </c>
      <c r="O27" s="141" t="str">
        <f>IFERROR(__xludf.DUMMYFUNCTION("""COMPUTED_VALUE"""),"Alhamdulillah,, ananda sangat komunikatif dan wawancaranya lancar")</f>
        <v>Alhamdulillah,, ananda sangat komunikatif dan wawancaranya lancar</v>
      </c>
      <c r="P27" s="131" t="str">
        <f t="shared" ref="P27:V27" si="29">left(F27,1)</f>
        <v>5</v>
      </c>
      <c r="Q27" s="131" t="str">
        <f t="shared" si="29"/>
        <v>5</v>
      </c>
      <c r="R27" s="131" t="str">
        <f t="shared" si="29"/>
        <v>5</v>
      </c>
      <c r="S27" s="131" t="str">
        <f t="shared" si="29"/>
        <v>3</v>
      </c>
      <c r="T27" s="131" t="str">
        <f t="shared" si="29"/>
        <v>4</v>
      </c>
      <c r="U27" s="131" t="str">
        <f t="shared" si="29"/>
        <v>5</v>
      </c>
      <c r="V27" s="131" t="str">
        <f t="shared" si="29"/>
        <v>4</v>
      </c>
      <c r="W27" s="119">
        <f t="shared" si="3"/>
        <v>31</v>
      </c>
      <c r="X27" s="119" t="str">
        <f t="shared" si="4"/>
        <v>Siap</v>
      </c>
      <c r="Y27" s="119" t="str">
        <f t="shared" si="5"/>
        <v>bisa mengikuti pola pesantren dengan baik</v>
      </c>
      <c r="Z27" s="120"/>
      <c r="AA27" s="132"/>
      <c r="AB27" s="132"/>
      <c r="AC27" s="132"/>
      <c r="AD27" s="133"/>
      <c r="AE27" s="134"/>
    </row>
    <row r="28" ht="24.0" customHeight="1">
      <c r="A28" s="139">
        <f>IFERROR(__xludf.DUMMYFUNCTION("""COMPUTED_VALUE"""),45926.69205434028)</f>
        <v>45926.69205</v>
      </c>
      <c r="B28" s="140" t="str">
        <f>IFERROR(__xludf.DUMMYFUNCTION("""COMPUTED_VALUE"""),"halimahnurjalalhfnjl@gmail.com")</f>
        <v>halimahnurjalalhfnjl@gmail.com</v>
      </c>
      <c r="C28" s="140" t="str">
        <f>IFERROR(__xludf.DUMMYFUNCTION("""COMPUTED_VALUE"""),"Hilda sahlannisa ")</f>
        <v>Hilda sahlannisa </v>
      </c>
      <c r="D28" s="140" t="str">
        <f>IFERROR(__xludf.DUMMYFUNCTION("""COMPUTED_VALUE"""),"E250002")</f>
        <v>E250002</v>
      </c>
      <c r="E28" s="140" t="str">
        <f>IFERROR(__xludf.DUMMYFUNCTION("""COMPUTED_VALUE"""),"IL Putri")</f>
        <v>IL Putri</v>
      </c>
      <c r="F28" s="141" t="str">
        <f>IFERROR(__xludf.DUMMYFUNCTION("""COMPUTED_VALUE"""),"5: Sangat jelas, kuat, dan sesuai visi pesantren (ingin belajar agama, mandiri, dekat dengan Allah).")</f>
        <v>5: Sangat jelas, kuat, dan sesuai visi pesantren (ingin belajar agama, mandiri, dekat dengan Allah).</v>
      </c>
      <c r="G28" s="141" t="str">
        <f>IFERROR(__xludf.DUMMYFUNCTION("""COMPUTED_VALUE"""),"5: Lingkungan sangat mendukung (keluarga islami, shalat berjamaah, kontrol gadget baik).")</f>
        <v>5: Lingkungan sangat mendukung (keluarga islami, shalat berjamaah, kontrol gadget baik).</v>
      </c>
      <c r="H28" s="141" t="str">
        <f>IFERROR(__xludf.DUMMYFUNCTION("""COMPUTED_VALUE"""),"5: Hobi bermanfaat (olahraga, membaca, permainan edukatif).")</f>
        <v>5: Hobi bermanfaat (olahraga, membaca, permainan edukatif).</v>
      </c>
      <c r="I28" s="141" t="str">
        <f>IFERROR(__xludf.DUMMYFUNCTION("""COMPUTED_VALUE"""),"5: Berteman dengan lingkungan positif (masjid, teman shalih/shalihah).")</f>
        <v>5: Berteman dengan lingkungan positif (masjid, teman shalih/shalihah).</v>
      </c>
      <c r="J28" s="141" t="str">
        <f>IFERROR(__xludf.DUMMYFUNCTION("""COMPUTED_VALUE"""),"5: Jelas menolak, punya alasan agama/ilmu.")</f>
        <v>5: Jelas menolak, punya alasan agama/ilmu.</v>
      </c>
      <c r="K28" s="141" t="str">
        <f>IFERROR(__xludf.DUMMYFUNCTION("""COMPUTED_VALUE"""),"5: Menolak dengan tegas, paham bahaya dan dosa.")</f>
        <v>5: Menolak dengan tegas, paham bahaya dan dosa.</v>
      </c>
      <c r="L28" s="141" t="str">
        <f>IFERROR(__xludf.DUMMYFUNCTION("""COMPUTED_VALUE"""),"4: Hobi umum yang wajar (menggambar, dll).")</f>
        <v>4: Hobi umum yang wajar (menggambar, dll).</v>
      </c>
      <c r="M28" s="141" t="str">
        <f>IFERROR(__xludf.DUMMYFUNCTION("""COMPUTED_VALUE"""),"Halimah Fauziah ")</f>
        <v>Halimah Fauziah </v>
      </c>
      <c r="N28" s="141" t="str">
        <f>IFERROR(__xludf.DUMMYFUNCTION("""COMPUTED_VALUE"""),"A. Sangat Layak diterima (potensi besar berkembang di pesantren).")</f>
        <v>A. Sangat Layak diterima (potensi besar berkembang di pesantren).</v>
      </c>
      <c r="O28" s="141" t="str">
        <f>IFERROR(__xludf.DUMMYFUNCTION("""COMPUTED_VALUE"""),"Dari sekolah umum SMP swasta baru punya hafalan 1juz")</f>
        <v>Dari sekolah umum SMP swasta baru punya hafalan 1juz</v>
      </c>
      <c r="P28" s="131" t="str">
        <f t="shared" ref="P28:V28" si="30">left(F28,1)</f>
        <v>5</v>
      </c>
      <c r="Q28" s="131" t="str">
        <f t="shared" si="30"/>
        <v>5</v>
      </c>
      <c r="R28" s="131" t="str">
        <f t="shared" si="30"/>
        <v>5</v>
      </c>
      <c r="S28" s="131" t="str">
        <f t="shared" si="30"/>
        <v>5</v>
      </c>
      <c r="T28" s="131" t="str">
        <f t="shared" si="30"/>
        <v>5</v>
      </c>
      <c r="U28" s="131" t="str">
        <f t="shared" si="30"/>
        <v>5</v>
      </c>
      <c r="V28" s="131" t="str">
        <f t="shared" si="30"/>
        <v>4</v>
      </c>
      <c r="W28" s="119">
        <f t="shared" si="3"/>
        <v>34</v>
      </c>
      <c r="X28" s="119" t="str">
        <f t="shared" si="4"/>
        <v>Siap</v>
      </c>
      <c r="Y28" s="119" t="str">
        <f t="shared" si="5"/>
        <v>bisa mengikuti pola pesantren dengan baik</v>
      </c>
      <c r="Z28" s="120"/>
      <c r="AA28" s="132"/>
      <c r="AB28" s="132"/>
      <c r="AC28" s="132"/>
      <c r="AD28" s="133"/>
      <c r="AE28" s="134"/>
    </row>
    <row r="29" ht="24.0" customHeight="1">
      <c r="A29" s="139">
        <f>IFERROR(__xludf.DUMMYFUNCTION("""COMPUTED_VALUE"""),45926.8655909375)</f>
        <v>45926.86559</v>
      </c>
      <c r="B29" s="145" t="str">
        <f>IFERROR(__xludf.DUMMYFUNCTION("""COMPUTED_VALUE"""),"zaldoyrizaldi@gmail.com")</f>
        <v>zaldoyrizaldi@gmail.com</v>
      </c>
      <c r="C29" s="140" t="str">
        <f>IFERROR(__xludf.DUMMYFUNCTION("""COMPUTED_VALUE"""),"Muhammad Al fatih fadhly")</f>
        <v>Muhammad Al fatih fadhly</v>
      </c>
      <c r="D29" s="140" t="str">
        <f>IFERROR(__xludf.DUMMYFUNCTION("""COMPUTED_VALUE"""),"A250054")</f>
        <v>A250054</v>
      </c>
      <c r="E29" s="140" t="str">
        <f>IFERROR(__xludf.DUMMYFUNCTION("""COMPUTED_VALUE"""),"MTs Putra")</f>
        <v>MTs Putra</v>
      </c>
      <c r="F29" s="141" t="str">
        <f>IFERROR(__xludf.DUMMYFUNCTION("""COMPUTED_VALUE"""),"4: Cukup jelas, alasan positif namun masih umum.")</f>
        <v>4: Cukup jelas, alasan positif namun masih umum.</v>
      </c>
      <c r="G29" s="141" t="str">
        <f>IFERROR(__xludf.DUMMYFUNCTION("""COMPUTED_VALUE"""),"5: Lingkungan sangat mendukung (keluarga islami, shalat berjamaah, kontrol gadget baik).")</f>
        <v>5: Lingkungan sangat mendukung (keluarga islami, shalat berjamaah, kontrol gadget baik).</v>
      </c>
      <c r="H29" s="141" t="str">
        <f>IFERROR(__xludf.DUMMYFUNCTION("""COMPUTED_VALUE"""),"4: Game rekreasi wajar, tidak berlebihan.")</f>
        <v>4: Game rekreasi wajar, tidak berlebihan.</v>
      </c>
      <c r="I29" s="141" t="str">
        <f>IFERROR(__xludf.DUMMYFUNCTION("""COMPUTED_VALUE"""),"5: Berteman dengan lingkungan positif (masjid, teman shalih/shalihah).")</f>
        <v>5: Berteman dengan lingkungan positif (masjid, teman shalih/shalihah).</v>
      </c>
      <c r="J29" s="141" t="str">
        <f>IFERROR(__xludf.DUMMYFUNCTION("""COMPUTED_VALUE"""),"5: Jelas menolak, punya alasan agama/ilmu.")</f>
        <v>5: Jelas menolak, punya alasan agama/ilmu.</v>
      </c>
      <c r="K29" s="141" t="str">
        <f>IFERROR(__xludf.DUMMYFUNCTION("""COMPUTED_VALUE"""),"4: Menolak, tapi belum terlalu paham alasannya.")</f>
        <v>4: Menolak, tapi belum terlalu paham alasannya.</v>
      </c>
      <c r="L29" s="141" t="str">
        <f>IFERROR(__xludf.DUMMYFUNCTION("""COMPUTED_VALUE"""),"5: Hobi positif, produktif, mendukung pengembangan diri (olahraga, membaca, seni islami).")</f>
        <v>5: Hobi positif, produktif, mendukung pengembangan diri (olahraga, membaca, seni islami).</v>
      </c>
      <c r="M29" s="141" t="str">
        <f>IFERROR(__xludf.DUMMYFUNCTION("""COMPUTED_VALUE"""),"Rizaldi")</f>
        <v>Rizaldi</v>
      </c>
      <c r="N29" s="141" t="str">
        <f>IFERROR(__xludf.DUMMYFUNCTION("""COMPUTED_VALUE"""),"A. Sangat Layak diterima (potensi besar berkembang di pesantren).")</f>
        <v>A. Sangat Layak diterima (potensi besar berkembang di pesantren).</v>
      </c>
      <c r="O29" s="141" t="str">
        <f>IFERROR(__xludf.DUMMYFUNCTION("""COMPUTED_VALUE"""),"Bagus di didik di pesantren tinggal di pesantren juga jadi bisa cepat beradaptasi")</f>
        <v>Bagus di didik di pesantren tinggal di pesantren juga jadi bisa cepat beradaptasi</v>
      </c>
      <c r="P29" s="131" t="str">
        <f t="shared" ref="P29:V29" si="31">left(F29,1)</f>
        <v>4</v>
      </c>
      <c r="Q29" s="131" t="str">
        <f t="shared" si="31"/>
        <v>5</v>
      </c>
      <c r="R29" s="131" t="str">
        <f t="shared" si="31"/>
        <v>4</v>
      </c>
      <c r="S29" s="131" t="str">
        <f t="shared" si="31"/>
        <v>5</v>
      </c>
      <c r="T29" s="131" t="str">
        <f t="shared" si="31"/>
        <v>5</v>
      </c>
      <c r="U29" s="131" t="str">
        <f t="shared" si="31"/>
        <v>4</v>
      </c>
      <c r="V29" s="131" t="str">
        <f t="shared" si="31"/>
        <v>5</v>
      </c>
      <c r="W29" s="119">
        <f t="shared" si="3"/>
        <v>32</v>
      </c>
      <c r="X29" s="119" t="str">
        <f t="shared" si="4"/>
        <v>Siap</v>
      </c>
      <c r="Y29" s="119" t="str">
        <f t="shared" si="5"/>
        <v>bisa mengikuti pola pesantren dengan baik</v>
      </c>
      <c r="Z29" s="120"/>
      <c r="AA29" s="132"/>
      <c r="AB29" s="132"/>
      <c r="AC29" s="132"/>
      <c r="AD29" s="133"/>
      <c r="AE29" s="134"/>
    </row>
    <row r="30" ht="24.0" customHeight="1">
      <c r="A30" s="139">
        <f>IFERROR(__xludf.DUMMYFUNCTION("""COMPUTED_VALUE"""),45927.377460393516)</f>
        <v>45927.37746</v>
      </c>
      <c r="B30" s="27" t="str">
        <f>IFERROR(__xludf.DUMMYFUNCTION("""COMPUTED_VALUE"""),"muhajirlah@gmail.com")</f>
        <v>muhajirlah@gmail.com</v>
      </c>
      <c r="C30" s="140" t="str">
        <f>IFERROR(__xludf.DUMMYFUNCTION("""COMPUTED_VALUE"""),"Muhammad kamil Athaillah Rizki")</f>
        <v>Muhammad kamil Athaillah Rizki</v>
      </c>
      <c r="D30" s="140" t="str">
        <f>IFERROR(__xludf.DUMMYFUNCTION("""COMPUTED_VALUE"""),"A250053")</f>
        <v>A250053</v>
      </c>
      <c r="E30" s="140" t="str">
        <f>IFERROR(__xludf.DUMMYFUNCTION("""COMPUTED_VALUE"""),"MTs Putra")</f>
        <v>MTs Putra</v>
      </c>
      <c r="F30" s="141" t="str">
        <f>IFERROR(__xludf.DUMMYFUNCTION("""COMPUTED_VALUE"""),"5: Sangat jelas, kuat, dan sesuai visi pesantren (ingin belajar agama, mandiri, dekat dengan Allah).")</f>
        <v>5: Sangat jelas, kuat, dan sesuai visi pesantren (ingin belajar agama, mandiri, dekat dengan Allah).</v>
      </c>
      <c r="G30" s="141" t="str">
        <f>IFERROR(__xludf.DUMMYFUNCTION("""COMPUTED_VALUE"""),"4: Lingkungan cukup mendukung, ada perhatian orang tua.")</f>
        <v>4: Lingkungan cukup mendukung, ada perhatian orang tua.</v>
      </c>
      <c r="H30" s="141" t="str">
        <f>IFERROR(__xludf.DUMMYFUNCTION("""COMPUTED_VALUE"""),"4: Game rekreasi wajar, tidak berlebihan.")</f>
        <v>4: Game rekreasi wajar, tidak berlebihan.</v>
      </c>
      <c r="I30" s="141" t="str">
        <f>IFERROR(__xludf.DUMMYFUNCTION("""COMPUTED_VALUE"""),"4: Mayoritas teman baik, ada sedikit yang kurang baik.")</f>
        <v>4: Mayoritas teman baik, ada sedikit yang kurang baik.</v>
      </c>
      <c r="J30" s="141" t="str">
        <f>IFERROR(__xludf.DUMMYFUNCTION("""COMPUTED_VALUE"""),"4: Menolak, tapi alasannya umum.")</f>
        <v>4: Menolak, tapi alasannya umum.</v>
      </c>
      <c r="K30" s="141" t="str">
        <f>IFERROR(__xludf.DUMMYFUNCTION("""COMPUTED_VALUE"""),"4: Menolak, tapi belum terlalu paham alasannya.")</f>
        <v>4: Menolak, tapi belum terlalu paham alasannya.</v>
      </c>
      <c r="L30" s="141" t="str">
        <f>IFERROR(__xludf.DUMMYFUNCTION("""COMPUTED_VALUE"""),"5: Hobi positif, produktif, mendukung pengembangan diri (olahraga, membaca, seni islami).")</f>
        <v>5: Hobi positif, produktif, mendukung pengembangan diri (olahraga, membaca, seni islami).</v>
      </c>
      <c r="M30" s="141" t="str">
        <f>IFERROR(__xludf.DUMMYFUNCTION("""COMPUTED_VALUE"""),"Muhajir")</f>
        <v>Muhajir</v>
      </c>
      <c r="N30" s="141" t="str">
        <f>IFERROR(__xludf.DUMMYFUNCTION("""COMPUTED_VALUE"""),"A. Sangat Layak diterima (potensi besar berkembang di pesantren).")</f>
        <v>A. Sangat Layak diterima (potensi besar berkembang di pesantren).</v>
      </c>
      <c r="O30" s="141"/>
      <c r="P30" s="131" t="str">
        <f t="shared" ref="P30:V30" si="32">left(F30,1)</f>
        <v>5</v>
      </c>
      <c r="Q30" s="131" t="str">
        <f t="shared" si="32"/>
        <v>4</v>
      </c>
      <c r="R30" s="131" t="str">
        <f t="shared" si="32"/>
        <v>4</v>
      </c>
      <c r="S30" s="131" t="str">
        <f t="shared" si="32"/>
        <v>4</v>
      </c>
      <c r="T30" s="131" t="str">
        <f t="shared" si="32"/>
        <v>4</v>
      </c>
      <c r="U30" s="131" t="str">
        <f t="shared" si="32"/>
        <v>4</v>
      </c>
      <c r="V30" s="131" t="str">
        <f t="shared" si="32"/>
        <v>5</v>
      </c>
      <c r="W30" s="119">
        <f t="shared" si="3"/>
        <v>30</v>
      </c>
      <c r="X30" s="119" t="str">
        <f t="shared" si="4"/>
        <v>Siap</v>
      </c>
      <c r="Y30" s="119" t="str">
        <f t="shared" si="5"/>
        <v>bisa mengikuti pola pesantren dengan baik</v>
      </c>
      <c r="Z30" s="120"/>
      <c r="AA30" s="132"/>
      <c r="AB30" s="132"/>
      <c r="AC30" s="132"/>
      <c r="AD30" s="133"/>
      <c r="AE30" s="134"/>
    </row>
    <row r="31" ht="24.0" customHeight="1">
      <c r="A31" s="139">
        <f>IFERROR(__xludf.DUMMYFUNCTION("""COMPUTED_VALUE"""),45927.40609722222)</f>
        <v>45927.4061</v>
      </c>
      <c r="B31" s="27" t="str">
        <f>IFERROR(__xludf.DUMMYFUNCTION("""COMPUTED_VALUE"""),"muhajirlah@gmail.com")</f>
        <v>muhajirlah@gmail.com</v>
      </c>
      <c r="C31" s="140" t="str">
        <f>IFERROR(__xludf.DUMMYFUNCTION("""COMPUTED_VALUE"""),"Wahid Ahmad Nugraha")</f>
        <v>Wahid Ahmad Nugraha</v>
      </c>
      <c r="D31" s="140" t="str">
        <f>IFERROR(__xludf.DUMMYFUNCTION("""COMPUTED_VALUE"""),"A250043")</f>
        <v>A250043</v>
      </c>
      <c r="E31" s="140" t="str">
        <f>IFERROR(__xludf.DUMMYFUNCTION("""COMPUTED_VALUE"""),"MTs Putra")</f>
        <v>MTs Putra</v>
      </c>
      <c r="F31" s="141" t="str">
        <f>IFERROR(__xludf.DUMMYFUNCTION("""COMPUTED_VALUE"""),"2: Alasan lemah, tidak paham tujuan pesantren.")</f>
        <v>2: Alasan lemah, tidak paham tujuan pesantren.</v>
      </c>
      <c r="G31" s="141" t="str">
        <f>IFERROR(__xludf.DUMMYFUNCTION("""COMPUTED_VALUE"""),"2: Lingkungan kurang mendukung (teman/saudara sering pengaruh negatif).")</f>
        <v>2: Lingkungan kurang mendukung (teman/saudara sering pengaruh negatif).</v>
      </c>
      <c r="H31" s="141" t="str">
        <f>IFERROR(__xludf.DUMMYFUNCTION("""COMPUTED_VALUE"""),"3: Game online, tapi masih bisa dikontrol.")</f>
        <v>3: Game online, tapi masih bisa dikontrol.</v>
      </c>
      <c r="I31" s="141" t="str">
        <f>IFERROR(__xludf.DUMMYFUNCTION("""COMPUTED_VALUE"""),"2: Lebih sering bersama teman berpengaruh negatif.")</f>
        <v>2: Lebih sering bersama teman berpengaruh negatif.</v>
      </c>
      <c r="J31" s="141" t="str">
        <f>IFERROR(__xludf.DUMMYFUNCTION("""COMPUTED_VALUE"""),"3: Netral/tidak tahu, belum ada sikap tegas.")</f>
        <v>3: Netral/tidak tahu, belum ada sikap tegas.</v>
      </c>
      <c r="K31" s="141" t="str">
        <f>IFERROR(__xludf.DUMMYFUNCTION("""COMPUTED_VALUE"""),"4: Menolak, tapi belum terlalu paham alasannya.")</f>
        <v>4: Menolak, tapi belum terlalu paham alasannya.</v>
      </c>
      <c r="L31" s="141" t="str">
        <f>IFERROR(__xludf.DUMMYFUNCTION("""COMPUTED_VALUE"""),"4: Hobi umum yang wajar (menggambar, dll).")</f>
        <v>4: Hobi umum yang wajar (menggambar, dll).</v>
      </c>
      <c r="M31" s="141" t="str">
        <f>IFERROR(__xludf.DUMMYFUNCTION("""COMPUTED_VALUE"""),"Muhajir")</f>
        <v>Muhajir</v>
      </c>
      <c r="N31" s="141" t="str">
        <f>IFERROR(__xludf.DUMMYFUNCTION("""COMPUTED_VALUE"""),"C. Perlu Pertimbangan (butuh bimbingan khusus).")</f>
        <v>C. Perlu Pertimbangan (butuh bimbingan khusus).</v>
      </c>
      <c r="O31" s="141" t="str">
        <f>IFERROR(__xludf.DUMMYFUNCTION("""COMPUTED_VALUE"""),"Sikap nya aga kurang sopan ketika di tes wawancara, tidak fokus.")</f>
        <v>Sikap nya aga kurang sopan ketika di tes wawancara, tidak fokus.</v>
      </c>
      <c r="P31" s="131" t="str">
        <f t="shared" ref="P31:V31" si="33">left(F31,1)</f>
        <v>2</v>
      </c>
      <c r="Q31" s="131" t="str">
        <f t="shared" si="33"/>
        <v>2</v>
      </c>
      <c r="R31" s="131" t="str">
        <f t="shared" si="33"/>
        <v>3</v>
      </c>
      <c r="S31" s="131" t="str">
        <f t="shared" si="33"/>
        <v>2</v>
      </c>
      <c r="T31" s="131" t="str">
        <f t="shared" si="33"/>
        <v>3</v>
      </c>
      <c r="U31" s="131" t="str">
        <f t="shared" si="33"/>
        <v>4</v>
      </c>
      <c r="V31" s="131" t="str">
        <f t="shared" si="33"/>
        <v>4</v>
      </c>
      <c r="W31" s="119">
        <f t="shared" si="3"/>
        <v>20</v>
      </c>
      <c r="X31" s="119" t="str">
        <f t="shared" si="4"/>
        <v>Belum Siap</v>
      </c>
      <c r="Y31" s="119" t="str">
        <f t="shared" si="5"/>
        <v>butuh bimbingan intensif</v>
      </c>
      <c r="Z31" s="120"/>
      <c r="AA31" s="132"/>
      <c r="AB31" s="132"/>
      <c r="AC31" s="132"/>
      <c r="AD31" s="133"/>
      <c r="AE31" s="134"/>
    </row>
    <row r="32" ht="24.0" customHeight="1">
      <c r="A32" s="139">
        <f>IFERROR(__xludf.DUMMYFUNCTION("""COMPUTED_VALUE"""),45927.57005289352)</f>
        <v>45927.57005</v>
      </c>
      <c r="B32" s="27" t="str">
        <f>IFERROR(__xludf.DUMMYFUNCTION("""COMPUTED_VALUE"""),"alfaruqsyauqi513@gmail.com")</f>
        <v>alfaruqsyauqi513@gmail.com</v>
      </c>
      <c r="C32" s="140" t="str">
        <f>IFERROR(__xludf.DUMMYFUNCTION("""COMPUTED_VALUE"""),"Hafidz Abdurrahman")</f>
        <v>Hafidz Abdurrahman</v>
      </c>
      <c r="D32" s="140" t="str">
        <f>IFERROR(__xludf.DUMMYFUNCTION("""COMPUTED_VALUE"""),"B250004")</f>
        <v>B250004</v>
      </c>
      <c r="E32" s="140" t="str">
        <f>IFERROR(__xludf.DUMMYFUNCTION("""COMPUTED_VALUE"""),"IL Putra")</f>
        <v>IL Putra</v>
      </c>
      <c r="F32" s="141" t="str">
        <f>IFERROR(__xludf.DUMMYFUNCTION("""COMPUTED_VALUE"""),"5: Sangat jelas, kuat, dan sesuai visi pesantren (ingin belajar agama, mandiri, dekat dengan Allah).")</f>
        <v>5: Sangat jelas, kuat, dan sesuai visi pesantren (ingin belajar agama, mandiri, dekat dengan Allah).</v>
      </c>
      <c r="G32" s="141" t="str">
        <f>IFERROR(__xludf.DUMMYFUNCTION("""COMPUTED_VALUE"""),"4: Lingkungan cukup mendukung, ada perhatian orang tua.")</f>
        <v>4: Lingkungan cukup mendukung, ada perhatian orang tua.</v>
      </c>
      <c r="H32" s="141" t="str">
        <f>IFERROR(__xludf.DUMMYFUNCTION("""COMPUTED_VALUE"""),"5: Hobi bermanfaat (olahraga, membaca, permainan edukatif).")</f>
        <v>5: Hobi bermanfaat (olahraga, membaca, permainan edukatif).</v>
      </c>
      <c r="I32" s="141" t="str">
        <f>IFERROR(__xludf.DUMMYFUNCTION("""COMPUTED_VALUE"""),"4: Mayoritas teman baik, ada sedikit yang kurang baik.")</f>
        <v>4: Mayoritas teman baik, ada sedikit yang kurang baik.</v>
      </c>
      <c r="J32" s="141" t="str">
        <f>IFERROR(__xludf.DUMMYFUNCTION("""COMPUTED_VALUE"""),"2: Pernah mencoba atau terpengaruh.")</f>
        <v>2: Pernah mencoba atau terpengaruh.</v>
      </c>
      <c r="K32" s="141" t="str">
        <f>IFERROR(__xludf.DUMMYFUNCTION("""COMPUTED_VALUE"""),"5: Menolak dengan tegas, paham bahaya dan dosa.")</f>
        <v>5: Menolak dengan tegas, paham bahaya dan dosa.</v>
      </c>
      <c r="L32" s="141" t="str">
        <f>IFERROR(__xludf.DUMMYFUNCTION("""COMPUTED_VALUE"""),"5: Hobi positif, produktif, mendukung pengembangan diri (olahraga, membaca, seni islami).")</f>
        <v>5: Hobi positif, produktif, mendukung pengembangan diri (olahraga, membaca, seni islami).</v>
      </c>
      <c r="M32" s="141" t="str">
        <f>IFERROR(__xludf.DUMMYFUNCTION("""COMPUTED_VALUE"""),"Muhamad syauqi al faruq")</f>
        <v>Muhamad syauqi al faruq</v>
      </c>
      <c r="N32" s="141" t="str">
        <f>IFERROR(__xludf.DUMMYFUNCTION("""COMPUTED_VALUE"""),"A. Sangat Layak diterima (potensi besar berkembang di pesantren).")</f>
        <v>A. Sangat Layak diterima (potensi besar berkembang di pesantren).</v>
      </c>
      <c r="O32" s="141"/>
      <c r="P32" s="131" t="str">
        <f t="shared" ref="P32:V32" si="34">left(F32,1)</f>
        <v>5</v>
      </c>
      <c r="Q32" s="131" t="str">
        <f t="shared" si="34"/>
        <v>4</v>
      </c>
      <c r="R32" s="131" t="str">
        <f t="shared" si="34"/>
        <v>5</v>
      </c>
      <c r="S32" s="131" t="str">
        <f t="shared" si="34"/>
        <v>4</v>
      </c>
      <c r="T32" s="131" t="str">
        <f t="shared" si="34"/>
        <v>2</v>
      </c>
      <c r="U32" s="131" t="str">
        <f t="shared" si="34"/>
        <v>5</v>
      </c>
      <c r="V32" s="131" t="str">
        <f t="shared" si="34"/>
        <v>5</v>
      </c>
      <c r="W32" s="119">
        <f t="shared" si="3"/>
        <v>30</v>
      </c>
      <c r="X32" s="119" t="str">
        <f t="shared" si="4"/>
        <v>Siap</v>
      </c>
      <c r="Y32" s="119" t="str">
        <f t="shared" si="5"/>
        <v>bisa mengikuti pola pesantren dengan baik</v>
      </c>
      <c r="Z32" s="120"/>
      <c r="AA32" s="132"/>
      <c r="AB32" s="132"/>
      <c r="AC32" s="132"/>
      <c r="AD32" s="133"/>
      <c r="AE32" s="134"/>
    </row>
    <row r="33" ht="24.0" customHeight="1">
      <c r="A33" s="139">
        <f>IFERROR(__xludf.DUMMYFUNCTION("""COMPUTED_VALUE"""),45927.68691260417)</f>
        <v>45927.68691</v>
      </c>
      <c r="B33" s="140" t="str">
        <f>IFERROR(__xludf.DUMMYFUNCTION("""COMPUTED_VALUE"""),"halimahnurjalalhfnjl@gmail.com")</f>
        <v>halimahnurjalalhfnjl@gmail.com</v>
      </c>
      <c r="C33" s="140" t="str">
        <f>IFERROR(__xludf.DUMMYFUNCTION("""COMPUTED_VALUE"""),"Siti Fatimah Azzahra ")</f>
        <v>Siti Fatimah Azzahra </v>
      </c>
      <c r="D33" s="140" t="str">
        <f>IFERROR(__xludf.DUMMYFUNCTION("""COMPUTED_VALUE"""),"D250010")</f>
        <v>D250010</v>
      </c>
      <c r="E33" s="140" t="str">
        <f>IFERROR(__xludf.DUMMYFUNCTION("""COMPUTED_VALUE"""),"MTs Putri")</f>
        <v>MTs Putri</v>
      </c>
      <c r="F33" s="141" t="str">
        <f>IFERROR(__xludf.DUMMYFUNCTION("""COMPUTED_VALUE"""),"5: Sangat jelas, kuat, dan sesuai visi pesantren (ingin belajar agama, mandiri, dekat dengan Allah).")</f>
        <v>5: Sangat jelas, kuat, dan sesuai visi pesantren (ingin belajar agama, mandiri, dekat dengan Allah).</v>
      </c>
      <c r="G33" s="141" t="str">
        <f>IFERROR(__xludf.DUMMYFUNCTION("""COMPUTED_VALUE"""),"5: Lingkungan sangat mendukung (keluarga islami, shalat berjamaah, kontrol gadget baik).")</f>
        <v>5: Lingkungan sangat mendukung (keluarga islami, shalat berjamaah, kontrol gadget baik).</v>
      </c>
      <c r="H33" s="141" t="str">
        <f>IFERROR(__xludf.DUMMYFUNCTION("""COMPUTED_VALUE"""),"5: Hobi bermanfaat (olahraga, membaca, permainan edukatif).")</f>
        <v>5: Hobi bermanfaat (olahraga, membaca, permainan edukatif).</v>
      </c>
      <c r="I33" s="141" t="str">
        <f>IFERROR(__xludf.DUMMYFUNCTION("""COMPUTED_VALUE"""),"5: Berteman dengan lingkungan positif (masjid, teman shalih/shalihah).")</f>
        <v>5: Berteman dengan lingkungan positif (masjid, teman shalih/shalihah).</v>
      </c>
      <c r="J33" s="141" t="str">
        <f>IFERROR(__xludf.DUMMYFUNCTION("""COMPUTED_VALUE"""),"4: Menolak, tapi alasannya umum.")</f>
        <v>4: Menolak, tapi alasannya umum.</v>
      </c>
      <c r="K33" s="141" t="str">
        <f>IFERROR(__xludf.DUMMYFUNCTION("""COMPUTED_VALUE"""),"5: Menolak dengan tegas, paham bahaya dan dosa.")</f>
        <v>5: Menolak dengan tegas, paham bahaya dan dosa.</v>
      </c>
      <c r="L33" s="141" t="str">
        <f>IFERROR(__xludf.DUMMYFUNCTION("""COMPUTED_VALUE"""),"4: Hobi umum yang wajar (menggambar, dll).")</f>
        <v>4: Hobi umum yang wajar (menggambar, dll).</v>
      </c>
      <c r="M33" s="141" t="str">
        <f>IFERROR(__xludf.DUMMYFUNCTION("""COMPUTED_VALUE"""),"Halimah Fauziah ")</f>
        <v>Halimah Fauziah </v>
      </c>
      <c r="N33" s="141" t="str">
        <f>IFERROR(__xludf.DUMMYFUNCTION("""COMPUTED_VALUE"""),"A. Sangat Layak diterima (potensi besar berkembang di pesantren).")</f>
        <v>A. Sangat Layak diterima (potensi besar berkembang di pesantren).</v>
      </c>
      <c r="O33" s="141" t="str">
        <f>IFERROR(__xludf.DUMMYFUNCTION("""COMPUTED_VALUE"""),"Sudah memiliki hafalan 1 juz")</f>
        <v>Sudah memiliki hafalan 1 juz</v>
      </c>
      <c r="P33" s="131" t="str">
        <f t="shared" ref="P33:V33" si="35">left(F33,1)</f>
        <v>5</v>
      </c>
      <c r="Q33" s="131" t="str">
        <f t="shared" si="35"/>
        <v>5</v>
      </c>
      <c r="R33" s="131" t="str">
        <f t="shared" si="35"/>
        <v>5</v>
      </c>
      <c r="S33" s="131" t="str">
        <f t="shared" si="35"/>
        <v>5</v>
      </c>
      <c r="T33" s="131" t="str">
        <f t="shared" si="35"/>
        <v>4</v>
      </c>
      <c r="U33" s="131" t="str">
        <f t="shared" si="35"/>
        <v>5</v>
      </c>
      <c r="V33" s="131" t="str">
        <f t="shared" si="35"/>
        <v>4</v>
      </c>
      <c r="W33" s="119">
        <f t="shared" si="3"/>
        <v>33</v>
      </c>
      <c r="X33" s="119" t="str">
        <f t="shared" si="4"/>
        <v>Siap</v>
      </c>
      <c r="Y33" s="119" t="str">
        <f t="shared" si="5"/>
        <v>bisa mengikuti pola pesantren dengan baik</v>
      </c>
      <c r="Z33" s="120"/>
      <c r="AA33" s="132"/>
      <c r="AB33" s="132"/>
      <c r="AC33" s="132"/>
      <c r="AD33" s="133"/>
      <c r="AE33" s="134"/>
    </row>
    <row r="34" ht="24.0" customHeight="1">
      <c r="A34" s="139">
        <f>IFERROR(__xludf.DUMMYFUNCTION("""COMPUTED_VALUE"""),45927.73481202546)</f>
        <v>45927.73481</v>
      </c>
      <c r="B34" s="140" t="str">
        <f>IFERROR(__xludf.DUMMYFUNCTION("""COMPUTED_VALUE"""),"rimamaryani5606@gmail.com")</f>
        <v>rimamaryani5606@gmail.com</v>
      </c>
      <c r="C34" s="140" t="str">
        <f>IFERROR(__xludf.DUMMYFUNCTION("""COMPUTED_VALUE"""),"HANIFAH QURROTUL 'AIN")</f>
        <v>HANIFAH QURROTUL 'AIN</v>
      </c>
      <c r="D34" s="140" t="str">
        <f>IFERROR(__xludf.DUMMYFUNCTION("""COMPUTED_VALUE"""),"D250002")</f>
        <v>D250002</v>
      </c>
      <c r="E34" s="140" t="str">
        <f>IFERROR(__xludf.DUMMYFUNCTION("""COMPUTED_VALUE"""),"MTs Putri")</f>
        <v>MTs Putri</v>
      </c>
      <c r="F34" s="141" t="str">
        <f>IFERROR(__xludf.DUMMYFUNCTION("""COMPUTED_VALUE"""),"5: Sangat jelas, kuat, dan sesuai visi pesantren (ingin belajar agama, mandiri, dekat dengan Allah).")</f>
        <v>5: Sangat jelas, kuat, dan sesuai visi pesantren (ingin belajar agama, mandiri, dekat dengan Allah).</v>
      </c>
      <c r="G34" s="141" t="str">
        <f>IFERROR(__xludf.DUMMYFUNCTION("""COMPUTED_VALUE"""),"5: Lingkungan sangat mendukung (keluarga islami, shalat berjamaah, kontrol gadget baik).")</f>
        <v>5: Lingkungan sangat mendukung (keluarga islami, shalat berjamaah, kontrol gadget baik).</v>
      </c>
      <c r="H34" s="141" t="str">
        <f>IFERROR(__xludf.DUMMYFUNCTION("""COMPUTED_VALUE"""),"5: Hobi bermanfaat (olahraga, membaca, permainan edukatif).")</f>
        <v>5: Hobi bermanfaat (olahraga, membaca, permainan edukatif).</v>
      </c>
      <c r="I34" s="141" t="str">
        <f>IFERROR(__xludf.DUMMYFUNCTION("""COMPUTED_VALUE"""),"5: Berteman dengan lingkungan positif (masjid, teman shalih/shalihah).")</f>
        <v>5: Berteman dengan lingkungan positif (masjid, teman shalih/shalihah).</v>
      </c>
      <c r="J34" s="141" t="str">
        <f>IFERROR(__xludf.DUMMYFUNCTION("""COMPUTED_VALUE"""),"5: Jelas menolak, punya alasan agama/ilmu.")</f>
        <v>5: Jelas menolak, punya alasan agama/ilmu.</v>
      </c>
      <c r="K34" s="141" t="str">
        <f>IFERROR(__xludf.DUMMYFUNCTION("""COMPUTED_VALUE"""),"5: Menolak dengan tegas, paham bahaya dan dosa.")</f>
        <v>5: Menolak dengan tegas, paham bahaya dan dosa.</v>
      </c>
      <c r="L34" s="141" t="str">
        <f>IFERROR(__xludf.DUMMYFUNCTION("""COMPUTED_VALUE"""),"5: Hobi positif, produktif, mendukung pengembangan diri (olahraga, membaca, seni islami).")</f>
        <v>5: Hobi positif, produktif, mendukung pengembangan diri (olahraga, membaca, seni islami).</v>
      </c>
      <c r="M34" s="141" t="str">
        <f>IFERROR(__xludf.DUMMYFUNCTION("""COMPUTED_VALUE"""),"Rima Maryani Putri Utami, S.Pd.I")</f>
        <v>Rima Maryani Putri Utami, S.Pd.I</v>
      </c>
      <c r="N34" s="141" t="str">
        <f>IFERROR(__xludf.DUMMYFUNCTION("""COMPUTED_VALUE"""),"A. Sangat Layak diterima (potensi besar berkembang di pesantren).")</f>
        <v>A. Sangat Layak diterima (potensi besar berkembang di pesantren).</v>
      </c>
      <c r="O34" s="141" t="str">
        <f>IFERROR(__xludf.DUMMYFUNCTION("""COMPUTED_VALUE"""),"Alhamdulillah, ananda cukup komunikatif dalam menjawab pertanyaan. Lingkungan ananda sangat mendukung ananda untuk masuk pesantren dan lingkungan pergaulannya sangat terjaga karena ananda tinggal , bergaul dan bermain di lingkungan pesantren, bahkan istil"&amp;"ah seperti pornografi pun ananda tidak tahu.")</f>
        <v>Alhamdulillah, ananda cukup komunikatif dalam menjawab pertanyaan. Lingkungan ananda sangat mendukung ananda untuk masuk pesantren dan lingkungan pergaulannya sangat terjaga karena ananda tinggal , bergaul dan bermain di lingkungan pesantren, bahkan istilah seperti pornografi pun ananda tidak tahu.</v>
      </c>
      <c r="P34" s="131" t="str">
        <f t="shared" ref="P34:V34" si="36">left(F34,1)</f>
        <v>5</v>
      </c>
      <c r="Q34" s="131" t="str">
        <f t="shared" si="36"/>
        <v>5</v>
      </c>
      <c r="R34" s="131" t="str">
        <f t="shared" si="36"/>
        <v>5</v>
      </c>
      <c r="S34" s="131" t="str">
        <f t="shared" si="36"/>
        <v>5</v>
      </c>
      <c r="T34" s="131" t="str">
        <f t="shared" si="36"/>
        <v>5</v>
      </c>
      <c r="U34" s="131" t="str">
        <f t="shared" si="36"/>
        <v>5</v>
      </c>
      <c r="V34" s="131" t="str">
        <f t="shared" si="36"/>
        <v>5</v>
      </c>
      <c r="W34" s="119">
        <f t="shared" si="3"/>
        <v>35</v>
      </c>
      <c r="X34" s="119" t="str">
        <f t="shared" si="4"/>
        <v>Siap</v>
      </c>
      <c r="Y34" s="119" t="str">
        <f t="shared" si="5"/>
        <v>bisa mengikuti pola pesantren dengan baik</v>
      </c>
      <c r="Z34" s="120"/>
      <c r="AA34" s="132"/>
      <c r="AB34" s="132"/>
      <c r="AC34" s="132"/>
      <c r="AD34" s="133"/>
      <c r="AE34" s="134"/>
    </row>
    <row r="35" ht="24.0" customHeight="1">
      <c r="A35" s="139">
        <f>IFERROR(__xludf.DUMMYFUNCTION("""COMPUTED_VALUE"""),45927.786618495375)</f>
        <v>45927.78662</v>
      </c>
      <c r="B35" s="140" t="str">
        <f>IFERROR(__xludf.DUMMYFUNCTION("""COMPUTED_VALUE"""),"rimamaryani5606@gmail.com")</f>
        <v>rimamaryani5606@gmail.com</v>
      </c>
      <c r="C35" s="140" t="str">
        <f>IFERROR(__xludf.DUMMYFUNCTION("""COMPUTED_VALUE"""),"Ulfia Nurfauziah")</f>
        <v>Ulfia Nurfauziah</v>
      </c>
      <c r="D35" s="140" t="str">
        <f>IFERROR(__xludf.DUMMYFUNCTION("""COMPUTED_VALUE"""),"D250027")</f>
        <v>D250027</v>
      </c>
      <c r="E35" s="140" t="str">
        <f>IFERROR(__xludf.DUMMYFUNCTION("""COMPUTED_VALUE"""),"MTs Putri")</f>
        <v>MTs Putri</v>
      </c>
      <c r="F35" s="141" t="str">
        <f>IFERROR(__xludf.DUMMYFUNCTION("""COMPUTED_VALUE"""),"4: Cukup jelas, alasan positif namun masih umum.")</f>
        <v>4: Cukup jelas, alasan positif namun masih umum.</v>
      </c>
      <c r="G35" s="141" t="str">
        <f>IFERROR(__xludf.DUMMYFUNCTION("""COMPUTED_VALUE"""),"5: Lingkungan sangat mendukung (keluarga islami, shalat berjamaah, kontrol gadget baik).")</f>
        <v>5: Lingkungan sangat mendukung (keluarga islami, shalat berjamaah, kontrol gadget baik).</v>
      </c>
      <c r="H35" s="141" t="str">
        <f>IFERROR(__xludf.DUMMYFUNCTION("""COMPUTED_VALUE"""),"5: Hobi bermanfaat (olahraga, membaca, permainan edukatif).")</f>
        <v>5: Hobi bermanfaat (olahraga, membaca, permainan edukatif).</v>
      </c>
      <c r="I35" s="141" t="str">
        <f>IFERROR(__xludf.DUMMYFUNCTION("""COMPUTED_VALUE"""),"5: Berteman dengan lingkungan positif (masjid, teman shalih/shalihah).")</f>
        <v>5: Berteman dengan lingkungan positif (masjid, teman shalih/shalihah).</v>
      </c>
      <c r="J35" s="141" t="str">
        <f>IFERROR(__xludf.DUMMYFUNCTION("""COMPUTED_VALUE"""),"4: Menolak, tapi alasannya umum.")</f>
        <v>4: Menolak, tapi alasannya umum.</v>
      </c>
      <c r="K35" s="141" t="str">
        <f>IFERROR(__xludf.DUMMYFUNCTION("""COMPUTED_VALUE"""),"4: Menolak, tapi belum terlalu paham alasannya.")</f>
        <v>4: Menolak, tapi belum terlalu paham alasannya.</v>
      </c>
      <c r="L35" s="141" t="str">
        <f>IFERROR(__xludf.DUMMYFUNCTION("""COMPUTED_VALUE"""),"4: Hobi umum yang wajar (menggambar, dll).")</f>
        <v>4: Hobi umum yang wajar (menggambar, dll).</v>
      </c>
      <c r="M35" s="141" t="str">
        <f>IFERROR(__xludf.DUMMYFUNCTION("""COMPUTED_VALUE"""),"Rima Maryani Putri Utami, S.Pd.I")</f>
        <v>Rima Maryani Putri Utami, S.Pd.I</v>
      </c>
      <c r="N35" s="141" t="str">
        <f>IFERROR(__xludf.DUMMYFUNCTION("""COMPUTED_VALUE"""),"A. Sangat Layak diterima (potensi besar berkembang di pesantren).")</f>
        <v>A. Sangat Layak diterima (potensi besar berkembang di pesantren).</v>
      </c>
      <c r="O35" s="141" t="str">
        <f>IFERROR(__xludf.DUMMYFUNCTION("""COMPUTED_VALUE"""),"Alhamdulillah, Ananda cukup Komunikatif dan wawancara berjalan dengan lancar. ")</f>
        <v>Alhamdulillah, Ananda cukup Komunikatif dan wawancara berjalan dengan lancar. </v>
      </c>
      <c r="P35" s="131" t="str">
        <f t="shared" ref="P35:V35" si="37">left(F35,1)</f>
        <v>4</v>
      </c>
      <c r="Q35" s="131" t="str">
        <f t="shared" si="37"/>
        <v>5</v>
      </c>
      <c r="R35" s="131" t="str">
        <f t="shared" si="37"/>
        <v>5</v>
      </c>
      <c r="S35" s="131" t="str">
        <f t="shared" si="37"/>
        <v>5</v>
      </c>
      <c r="T35" s="131" t="str">
        <f t="shared" si="37"/>
        <v>4</v>
      </c>
      <c r="U35" s="131" t="str">
        <f t="shared" si="37"/>
        <v>4</v>
      </c>
      <c r="V35" s="131" t="str">
        <f t="shared" si="37"/>
        <v>4</v>
      </c>
      <c r="W35" s="119">
        <f t="shared" si="3"/>
        <v>31</v>
      </c>
      <c r="X35" s="119" t="str">
        <f t="shared" si="4"/>
        <v>Siap</v>
      </c>
      <c r="Y35" s="119" t="str">
        <f t="shared" si="5"/>
        <v>bisa mengikuti pola pesantren dengan baik</v>
      </c>
      <c r="Z35" s="120"/>
      <c r="AA35" s="132"/>
      <c r="AB35" s="132"/>
      <c r="AC35" s="132"/>
      <c r="AD35" s="133"/>
      <c r="AE35" s="134"/>
    </row>
    <row r="36" ht="24.0" customHeight="1">
      <c r="A36" s="139">
        <f>IFERROR(__xludf.DUMMYFUNCTION("""COMPUTED_VALUE"""),45927.81977782407)</f>
        <v>45927.81978</v>
      </c>
      <c r="B36" s="71" t="str">
        <f>IFERROR(__xludf.DUMMYFUNCTION("""COMPUTED_VALUE"""),"zaldoyrizaldi@gmail.com")</f>
        <v>zaldoyrizaldi@gmail.com</v>
      </c>
      <c r="C36" s="140" t="str">
        <f>IFERROR(__xludf.DUMMYFUNCTION("""COMPUTED_VALUE"""),"Keanu azka wibowo")</f>
        <v>Keanu azka wibowo</v>
      </c>
      <c r="D36" s="140" t="str">
        <f>IFERROR(__xludf.DUMMYFUNCTION("""COMPUTED_VALUE"""),"B250021")</f>
        <v>B250021</v>
      </c>
      <c r="E36" s="140" t="str">
        <f>IFERROR(__xludf.DUMMYFUNCTION("""COMPUTED_VALUE"""),"IL Putra")</f>
        <v>IL Putra</v>
      </c>
      <c r="F36" s="141" t="str">
        <f>IFERROR(__xludf.DUMMYFUNCTION("""COMPUTED_VALUE"""),"5: Sangat jelas, kuat, dan sesuai visi pesantren (ingin belajar agama, mandiri, dekat dengan Allah).")</f>
        <v>5: Sangat jelas, kuat, dan sesuai visi pesantren (ingin belajar agama, mandiri, dekat dengan Allah).</v>
      </c>
      <c r="G36" s="141" t="str">
        <f>IFERROR(__xludf.DUMMYFUNCTION("""COMPUTED_VALUE"""),"5: Lingkungan sangat mendukung (keluarga islami, shalat berjamaah, kontrol gadget baik).")</f>
        <v>5: Lingkungan sangat mendukung (keluarga islami, shalat berjamaah, kontrol gadget baik).</v>
      </c>
      <c r="H36" s="141" t="str">
        <f>IFERROR(__xludf.DUMMYFUNCTION("""COMPUTED_VALUE"""),"5: Hobi bermanfaat (olahraga, membaca, permainan edukatif).")</f>
        <v>5: Hobi bermanfaat (olahraga, membaca, permainan edukatif).</v>
      </c>
      <c r="I36" s="141" t="str">
        <f>IFERROR(__xludf.DUMMYFUNCTION("""COMPUTED_VALUE"""),"5: Berteman dengan lingkungan positif (masjid, teman shalih/shalihah).")</f>
        <v>5: Berteman dengan lingkungan positif (masjid, teman shalih/shalihah).</v>
      </c>
      <c r="J36" s="141" t="str">
        <f>IFERROR(__xludf.DUMMYFUNCTION("""COMPUTED_VALUE"""),"5: Jelas menolak, punya alasan agama/ilmu.")</f>
        <v>5: Jelas menolak, punya alasan agama/ilmu.</v>
      </c>
      <c r="K36" s="141" t="str">
        <f>IFERROR(__xludf.DUMMYFUNCTION("""COMPUTED_VALUE"""),"5: Menolak dengan tegas, paham bahaya dan dosa.")</f>
        <v>5: Menolak dengan tegas, paham bahaya dan dosa.</v>
      </c>
      <c r="L36" s="141" t="str">
        <f>IFERROR(__xludf.DUMMYFUNCTION("""COMPUTED_VALUE"""),"4: Hobi umum yang wajar (menggambar, dll).")</f>
        <v>4: Hobi umum yang wajar (menggambar, dll).</v>
      </c>
      <c r="M36" s="141" t="str">
        <f>IFERROR(__xludf.DUMMYFUNCTION("""COMPUTED_VALUE"""),"Rizaldi")</f>
        <v>Rizaldi</v>
      </c>
      <c r="N36" s="141" t="str">
        <f>IFERROR(__xludf.DUMMYFUNCTION("""COMPUTED_VALUE"""),"A. Sangat Layak diterima (potensi besar berkembang di pesantren).")</f>
        <v>A. Sangat Layak diterima (potensi besar berkembang di pesantren).</v>
      </c>
      <c r="O36" s="141" t="str">
        <f>IFERROR(__xludf.DUMMYFUNCTION("""COMPUTED_VALUE"""),"Anaknya bagus punya keinginan belajar yg kuat punya tujuan ")</f>
        <v>Anaknya bagus punya keinginan belajar yg kuat punya tujuan </v>
      </c>
      <c r="P36" s="131" t="str">
        <f t="shared" ref="P36:V36" si="38">left(F36,1)</f>
        <v>5</v>
      </c>
      <c r="Q36" s="131" t="str">
        <f t="shared" si="38"/>
        <v>5</v>
      </c>
      <c r="R36" s="131" t="str">
        <f t="shared" si="38"/>
        <v>5</v>
      </c>
      <c r="S36" s="131" t="str">
        <f t="shared" si="38"/>
        <v>5</v>
      </c>
      <c r="T36" s="131" t="str">
        <f t="shared" si="38"/>
        <v>5</v>
      </c>
      <c r="U36" s="131" t="str">
        <f t="shared" si="38"/>
        <v>5</v>
      </c>
      <c r="V36" s="131" t="str">
        <f t="shared" si="38"/>
        <v>4</v>
      </c>
      <c r="W36" s="119">
        <f t="shared" si="3"/>
        <v>34</v>
      </c>
      <c r="X36" s="119" t="str">
        <f t="shared" si="4"/>
        <v>Siap</v>
      </c>
      <c r="Y36" s="119" t="str">
        <f t="shared" si="5"/>
        <v>bisa mengikuti pola pesantren dengan baik</v>
      </c>
      <c r="Z36" s="120"/>
      <c r="AA36" s="132"/>
      <c r="AB36" s="132"/>
      <c r="AC36" s="132"/>
      <c r="AD36" s="133"/>
      <c r="AE36" s="134"/>
    </row>
    <row r="37" ht="24.0" customHeight="1">
      <c r="A37" s="139">
        <f>IFERROR(__xludf.DUMMYFUNCTION("""COMPUTED_VALUE"""),45927.82400068287)</f>
        <v>45927.824</v>
      </c>
      <c r="B37" s="71" t="str">
        <f>IFERROR(__xludf.DUMMYFUNCTION("""COMPUTED_VALUE"""),"rimamaryani5606@gmail.com")</f>
        <v>rimamaryani5606@gmail.com</v>
      </c>
      <c r="C37" s="140" t="str">
        <f>IFERROR(__xludf.DUMMYFUNCTION("""COMPUTED_VALUE"""),"Hana Dwi Rinjani")</f>
        <v>Hana Dwi Rinjani</v>
      </c>
      <c r="D37" s="140" t="str">
        <f>IFERROR(__xludf.DUMMYFUNCTION("""COMPUTED_VALUE"""),"D250024")</f>
        <v>D250024</v>
      </c>
      <c r="E37" s="140" t="str">
        <f>IFERROR(__xludf.DUMMYFUNCTION("""COMPUTED_VALUE"""),"MTs Putri")</f>
        <v>MTs Putri</v>
      </c>
      <c r="F37" s="141" t="str">
        <f>IFERROR(__xludf.DUMMYFUNCTION("""COMPUTED_VALUE"""),"4: Cukup jelas, alasan positif namun masih umum.")</f>
        <v>4: Cukup jelas, alasan positif namun masih umum.</v>
      </c>
      <c r="G37" s="141" t="str">
        <f>IFERROR(__xludf.DUMMYFUNCTION("""COMPUTED_VALUE"""),"5: Lingkungan sangat mendukung (keluarga islami, shalat berjamaah, kontrol gadget baik).")</f>
        <v>5: Lingkungan sangat mendukung (keluarga islami, shalat berjamaah, kontrol gadget baik).</v>
      </c>
      <c r="H37" s="141" t="str">
        <f>IFERROR(__xludf.DUMMYFUNCTION("""COMPUTED_VALUE"""),"5: Hobi bermanfaat (olahraga, membaca, permainan edukatif).")</f>
        <v>5: Hobi bermanfaat (olahraga, membaca, permainan edukatif).</v>
      </c>
      <c r="I37" s="141" t="str">
        <f>IFERROR(__xludf.DUMMYFUNCTION("""COMPUTED_VALUE"""),"5: Berteman dengan lingkungan positif (masjid, teman shalih/shalihah).")</f>
        <v>5: Berteman dengan lingkungan positif (masjid, teman shalih/shalihah).</v>
      </c>
      <c r="J37" s="141" t="str">
        <f>IFERROR(__xludf.DUMMYFUNCTION("""COMPUTED_VALUE"""),"5: Jelas menolak, punya alasan agama/ilmu.")</f>
        <v>5: Jelas menolak, punya alasan agama/ilmu.</v>
      </c>
      <c r="K37" s="141" t="str">
        <f>IFERROR(__xludf.DUMMYFUNCTION("""COMPUTED_VALUE"""),"4: Menolak, tapi belum terlalu paham alasannya.")</f>
        <v>4: Menolak, tapi belum terlalu paham alasannya.</v>
      </c>
      <c r="L37" s="141" t="str">
        <f>IFERROR(__xludf.DUMMYFUNCTION("""COMPUTED_VALUE"""),"4: Hobi umum yang wajar (menggambar, dll).")</f>
        <v>4: Hobi umum yang wajar (menggambar, dll).</v>
      </c>
      <c r="M37" s="141" t="str">
        <f>IFERROR(__xludf.DUMMYFUNCTION("""COMPUTED_VALUE"""),"Rima Maryani Putri Utami, S.Pd.I")</f>
        <v>Rima Maryani Putri Utami, S.Pd.I</v>
      </c>
      <c r="N37" s="141" t="str">
        <f>IFERROR(__xludf.DUMMYFUNCTION("""COMPUTED_VALUE"""),"A. Sangat Layak diterima (potensi besar berkembang di pesantren).")</f>
        <v>A. Sangat Layak diterima (potensi besar berkembang di pesantren).</v>
      </c>
      <c r="O37" s="141" t="str">
        <f>IFERROR(__xludf.DUMMYFUNCTION("""COMPUTED_VALUE"""),"Alhamdulillah ananda berada dilingkungan yang baik, cukup komunikatif dalam menjawab.")</f>
        <v>Alhamdulillah ananda berada dilingkungan yang baik, cukup komunikatif dalam menjawab.</v>
      </c>
      <c r="P37" s="131" t="str">
        <f t="shared" ref="P37:V37" si="39">left(F37,1)</f>
        <v>4</v>
      </c>
      <c r="Q37" s="131" t="str">
        <f t="shared" si="39"/>
        <v>5</v>
      </c>
      <c r="R37" s="131" t="str">
        <f t="shared" si="39"/>
        <v>5</v>
      </c>
      <c r="S37" s="131" t="str">
        <f t="shared" si="39"/>
        <v>5</v>
      </c>
      <c r="T37" s="131" t="str">
        <f t="shared" si="39"/>
        <v>5</v>
      </c>
      <c r="U37" s="131" t="str">
        <f t="shared" si="39"/>
        <v>4</v>
      </c>
      <c r="V37" s="131" t="str">
        <f t="shared" si="39"/>
        <v>4</v>
      </c>
      <c r="W37" s="119">
        <f t="shared" si="3"/>
        <v>32</v>
      </c>
      <c r="X37" s="119" t="str">
        <f t="shared" si="4"/>
        <v>Siap</v>
      </c>
      <c r="Y37" s="119" t="str">
        <f t="shared" si="5"/>
        <v>bisa mengikuti pola pesantren dengan baik</v>
      </c>
      <c r="Z37" s="120"/>
      <c r="AA37" s="132"/>
      <c r="AB37" s="132"/>
      <c r="AC37" s="132"/>
      <c r="AD37" s="133"/>
      <c r="AE37" s="134"/>
    </row>
    <row r="38" ht="24.0" customHeight="1">
      <c r="A38" s="139">
        <f>IFERROR(__xludf.DUMMYFUNCTION("""COMPUTED_VALUE"""),45927.84409143518)</f>
        <v>45927.84409</v>
      </c>
      <c r="B38" s="145" t="str">
        <f>IFERROR(__xludf.DUMMYFUNCTION("""COMPUTED_VALUE"""),"zaldoyrizaldi@gmail.com")</f>
        <v>zaldoyrizaldi@gmail.com</v>
      </c>
      <c r="C38" s="140" t="str">
        <f>IFERROR(__xludf.DUMMYFUNCTION("""COMPUTED_VALUE"""),"Khotibul syafiiq")</f>
        <v>Khotibul syafiiq</v>
      </c>
      <c r="D38" s="140" t="str">
        <f>IFERROR(__xludf.DUMMYFUNCTION("""COMPUTED_VALUE"""),"A250036")</f>
        <v>A250036</v>
      </c>
      <c r="E38" s="140" t="str">
        <f>IFERROR(__xludf.DUMMYFUNCTION("""COMPUTED_VALUE"""),"MTs Putra")</f>
        <v>MTs Putra</v>
      </c>
      <c r="F38" s="141" t="str">
        <f>IFERROR(__xludf.DUMMYFUNCTION("""COMPUTED_VALUE"""),"5: Sangat jelas, kuat, dan sesuai visi pesantren (ingin belajar agama, mandiri, dekat dengan Allah).")</f>
        <v>5: Sangat jelas, kuat, dan sesuai visi pesantren (ingin belajar agama, mandiri, dekat dengan Allah).</v>
      </c>
      <c r="G38" s="141" t="str">
        <f>IFERROR(__xludf.DUMMYFUNCTION("""COMPUTED_VALUE"""),"5: Lingkungan sangat mendukung (keluarga islami, shalat berjamaah, kontrol gadget baik).")</f>
        <v>5: Lingkungan sangat mendukung (keluarga islami, shalat berjamaah, kontrol gadget baik).</v>
      </c>
      <c r="H38" s="141" t="str">
        <f>IFERROR(__xludf.DUMMYFUNCTION("""COMPUTED_VALUE"""),"5: Hobi bermanfaat (olahraga, membaca, permainan edukatif).")</f>
        <v>5: Hobi bermanfaat (olahraga, membaca, permainan edukatif).</v>
      </c>
      <c r="I38" s="141" t="str">
        <f>IFERROR(__xludf.DUMMYFUNCTION("""COMPUTED_VALUE"""),"5: Berteman dengan lingkungan positif (masjid, teman shalih/shalihah).")</f>
        <v>5: Berteman dengan lingkungan positif (masjid, teman shalih/shalihah).</v>
      </c>
      <c r="J38" s="141" t="str">
        <f>IFERROR(__xludf.DUMMYFUNCTION("""COMPUTED_VALUE"""),"5: Jelas menolak, punya alasan agama/ilmu.")</f>
        <v>5: Jelas menolak, punya alasan agama/ilmu.</v>
      </c>
      <c r="K38" s="141" t="str">
        <f>IFERROR(__xludf.DUMMYFUNCTION("""COMPUTED_VALUE"""),"5: Menolak dengan tegas, paham bahaya dan dosa.")</f>
        <v>5: Menolak dengan tegas, paham bahaya dan dosa.</v>
      </c>
      <c r="L38" s="141" t="str">
        <f>IFERROR(__xludf.DUMMYFUNCTION("""COMPUTED_VALUE"""),"5: Hobi positif, produktif, mendukung pengembangan diri (olahraga, membaca, seni islami).")</f>
        <v>5: Hobi positif, produktif, mendukung pengembangan diri (olahraga, membaca, seni islami).</v>
      </c>
      <c r="M38" s="141" t="str">
        <f>IFERROR(__xludf.DUMMYFUNCTION("""COMPUTED_VALUE"""),"Rizaldi")</f>
        <v>Rizaldi</v>
      </c>
      <c r="N38" s="141" t="str">
        <f>IFERROR(__xludf.DUMMYFUNCTION("""COMPUTED_VALUE"""),"A. Sangat Layak diterima (potensi besar berkembang di pesantren).")</f>
        <v>A. Sangat Layak diterima (potensi besar berkembang di pesantren).</v>
      </c>
      <c r="O38" s="141" t="str">
        <f>IFERROR(__xludf.DUMMYFUNCTION("""COMPUTED_VALUE"""),"Bagus adek nya azam kelas 10 anaknya pak octa punya tujuan keinginan belajar nya kuat")</f>
        <v>Bagus adek nya azam kelas 10 anaknya pak octa punya tujuan keinginan belajar nya kuat</v>
      </c>
      <c r="P38" s="131" t="str">
        <f t="shared" ref="P38:V38" si="40">left(F38,1)</f>
        <v>5</v>
      </c>
      <c r="Q38" s="131" t="str">
        <f t="shared" si="40"/>
        <v>5</v>
      </c>
      <c r="R38" s="131" t="str">
        <f t="shared" si="40"/>
        <v>5</v>
      </c>
      <c r="S38" s="131" t="str">
        <f t="shared" si="40"/>
        <v>5</v>
      </c>
      <c r="T38" s="131" t="str">
        <f t="shared" si="40"/>
        <v>5</v>
      </c>
      <c r="U38" s="131" t="str">
        <f t="shared" si="40"/>
        <v>5</v>
      </c>
      <c r="V38" s="131" t="str">
        <f t="shared" si="40"/>
        <v>5</v>
      </c>
      <c r="W38" s="119">
        <f t="shared" si="3"/>
        <v>35</v>
      </c>
      <c r="X38" s="119" t="str">
        <f t="shared" si="4"/>
        <v>Siap</v>
      </c>
      <c r="Y38" s="119" t="str">
        <f t="shared" si="5"/>
        <v>bisa mengikuti pola pesantren dengan baik</v>
      </c>
      <c r="Z38" s="120"/>
      <c r="AA38" s="132"/>
      <c r="AB38" s="132"/>
      <c r="AC38" s="132"/>
      <c r="AD38" s="133"/>
      <c r="AE38" s="134"/>
    </row>
    <row r="39" ht="24.0" customHeight="1">
      <c r="A39" s="139">
        <f>IFERROR(__xludf.DUMMYFUNCTION("""COMPUTED_VALUE"""),45928.46147490741)</f>
        <v>45928.46147</v>
      </c>
      <c r="B39" s="140" t="str">
        <f>IFERROR(__xludf.DUMMYFUNCTION("""COMPUTED_VALUE"""),"zaldoyrizaldi@gmail.com")</f>
        <v>zaldoyrizaldi@gmail.com</v>
      </c>
      <c r="C39" s="140" t="str">
        <f>IFERROR(__xludf.DUMMYFUNCTION("""COMPUTED_VALUE"""),"Hibban hibaturrahman")</f>
        <v>Hibban hibaturrahman</v>
      </c>
      <c r="D39" s="140" t="str">
        <f>IFERROR(__xludf.DUMMYFUNCTION("""COMPUTED_VALUE"""),"C250003")</f>
        <v>C250003</v>
      </c>
      <c r="E39" s="140" t="str">
        <f>IFERROR(__xludf.DUMMYFUNCTION("""COMPUTED_VALUE"""),"SMA Putra")</f>
        <v>SMA Putra</v>
      </c>
      <c r="F39" s="141" t="str">
        <f>IFERROR(__xludf.DUMMYFUNCTION("""COMPUTED_VALUE"""),"5: Sangat jelas, kuat, dan sesuai visi pesantren (ingin belajar agama, mandiri, dekat dengan Allah).")</f>
        <v>5: Sangat jelas, kuat, dan sesuai visi pesantren (ingin belajar agama, mandiri, dekat dengan Allah).</v>
      </c>
      <c r="G39" s="141" t="str">
        <f>IFERROR(__xludf.DUMMYFUNCTION("""COMPUTED_VALUE"""),"5: Lingkungan sangat mendukung (keluarga islami, shalat berjamaah, kontrol gadget baik).")</f>
        <v>5: Lingkungan sangat mendukung (keluarga islami, shalat berjamaah, kontrol gadget baik).</v>
      </c>
      <c r="H39" s="141" t="str">
        <f>IFERROR(__xludf.DUMMYFUNCTION("""COMPUTED_VALUE"""),"4: Game rekreasi wajar, tidak berlebihan.")</f>
        <v>4: Game rekreasi wajar, tidak berlebihan.</v>
      </c>
      <c r="I39" s="141" t="str">
        <f>IFERROR(__xludf.DUMMYFUNCTION("""COMPUTED_VALUE"""),"3: Teman biasa saja, netral.")</f>
        <v>3: Teman biasa saja, netral.</v>
      </c>
      <c r="J39" s="141" t="str">
        <f>IFERROR(__xludf.DUMMYFUNCTION("""COMPUTED_VALUE"""),"5: Jelas menolak, punya alasan agama/ilmu.")</f>
        <v>5: Jelas menolak, punya alasan agama/ilmu.</v>
      </c>
      <c r="K39" s="141" t="str">
        <f>IFERROR(__xludf.DUMMYFUNCTION("""COMPUTED_VALUE"""),"5: Menolak dengan tegas, paham bahaya dan dosa.")</f>
        <v>5: Menolak dengan tegas, paham bahaya dan dosa.</v>
      </c>
      <c r="L39" s="141" t="str">
        <f>IFERROR(__xludf.DUMMYFUNCTION("""COMPUTED_VALUE"""),"4: Hobi umum yang wajar (menggambar, dll).")</f>
        <v>4: Hobi umum yang wajar (menggambar, dll).</v>
      </c>
      <c r="M39" s="141" t="str">
        <f>IFERROR(__xludf.DUMMYFUNCTION("""COMPUTED_VALUE"""),"Rizaldi")</f>
        <v>Rizaldi</v>
      </c>
      <c r="N39" s="141" t="str">
        <f>IFERROR(__xludf.DUMMYFUNCTION("""COMPUTED_VALUE"""),"C. Perlu Pertimbangan (butuh bimbingan khusus).")</f>
        <v>C. Perlu Pertimbangan (butuh bimbingan khusus).</v>
      </c>
      <c r="O39" s="141" t="str">
        <f>IFERROR(__xludf.DUMMYFUNCTION("""COMPUTED_VALUE"""),"Harus belajar lagi karena banyak pr yg harus di kejar karena beliau mau masuk langsung ke sma")</f>
        <v>Harus belajar lagi karena banyak pr yg harus di kejar karena beliau mau masuk langsung ke sma</v>
      </c>
      <c r="P39" s="131" t="str">
        <f t="shared" ref="P39:V39" si="41">left(F39,1)</f>
        <v>5</v>
      </c>
      <c r="Q39" s="131" t="str">
        <f t="shared" si="41"/>
        <v>5</v>
      </c>
      <c r="R39" s="131" t="str">
        <f t="shared" si="41"/>
        <v>4</v>
      </c>
      <c r="S39" s="131" t="str">
        <f t="shared" si="41"/>
        <v>3</v>
      </c>
      <c r="T39" s="131" t="str">
        <f t="shared" si="41"/>
        <v>5</v>
      </c>
      <c r="U39" s="131" t="str">
        <f t="shared" si="41"/>
        <v>5</v>
      </c>
      <c r="V39" s="131" t="str">
        <f t="shared" si="41"/>
        <v>4</v>
      </c>
      <c r="W39" s="119">
        <f t="shared" si="3"/>
        <v>31</v>
      </c>
      <c r="X39" s="119" t="str">
        <f t="shared" si="4"/>
        <v>Siap</v>
      </c>
      <c r="Y39" s="119" t="str">
        <f t="shared" si="5"/>
        <v>bisa mengikuti pola pesantren dengan baik</v>
      </c>
      <c r="Z39" s="120"/>
      <c r="AA39" s="132"/>
      <c r="AB39" s="132"/>
      <c r="AC39" s="132"/>
      <c r="AD39" s="133"/>
      <c r="AE39" s="134"/>
    </row>
    <row r="40" ht="24.0" customHeight="1">
      <c r="A40" s="139">
        <f>IFERROR(__xludf.DUMMYFUNCTION("""COMPUTED_VALUE"""),45928.5932450463)</f>
        <v>45928.59325</v>
      </c>
      <c r="B40" s="140" t="str">
        <f>IFERROR(__xludf.DUMMYFUNCTION("""COMPUTED_VALUE"""),"zaldoyrizaldi@gmail.com")</f>
        <v>zaldoyrizaldi@gmail.com</v>
      </c>
      <c r="C40" s="140" t="str">
        <f>IFERROR(__xludf.DUMMYFUNCTION("""COMPUTED_VALUE"""),"Shyafwan iyadh addarimi")</f>
        <v>Shyafwan iyadh addarimi</v>
      </c>
      <c r="D40" s="140" t="str">
        <f>IFERROR(__xludf.DUMMYFUNCTION("""COMPUTED_VALUE"""),"A250024")</f>
        <v>A250024</v>
      </c>
      <c r="E40" s="140" t="str">
        <f>IFERROR(__xludf.DUMMYFUNCTION("""COMPUTED_VALUE"""),"MTs Putra")</f>
        <v>MTs Putra</v>
      </c>
      <c r="F40" s="141" t="str">
        <f>IFERROR(__xludf.DUMMYFUNCTION("""COMPUTED_VALUE"""),"5: Sangat jelas, kuat, dan sesuai visi pesantren (ingin belajar agama, mandiri, dekat dengan Allah).")</f>
        <v>5: Sangat jelas, kuat, dan sesuai visi pesantren (ingin belajar agama, mandiri, dekat dengan Allah).</v>
      </c>
      <c r="G40" s="141" t="str">
        <f>IFERROR(__xludf.DUMMYFUNCTION("""COMPUTED_VALUE"""),"5: Lingkungan sangat mendukung (keluarga islami, shalat berjamaah, kontrol gadget baik).")</f>
        <v>5: Lingkungan sangat mendukung (keluarga islami, shalat berjamaah, kontrol gadget baik).</v>
      </c>
      <c r="H40" s="141" t="str">
        <f>IFERROR(__xludf.DUMMYFUNCTION("""COMPUTED_VALUE"""),"5: Hobi bermanfaat (olahraga, membaca, permainan edukatif).")</f>
        <v>5: Hobi bermanfaat (olahraga, membaca, permainan edukatif).</v>
      </c>
      <c r="I40" s="141" t="str">
        <f>IFERROR(__xludf.DUMMYFUNCTION("""COMPUTED_VALUE"""),"3: Teman biasa saja, netral.")</f>
        <v>3: Teman biasa saja, netral.</v>
      </c>
      <c r="J40" s="141" t="str">
        <f>IFERROR(__xludf.DUMMYFUNCTION("""COMPUTED_VALUE"""),"5: Jelas menolak, punya alasan agama/ilmu.")</f>
        <v>5: Jelas menolak, punya alasan agama/ilmu.</v>
      </c>
      <c r="K40" s="141" t="str">
        <f>IFERROR(__xludf.DUMMYFUNCTION("""COMPUTED_VALUE"""),"5: Menolak dengan tegas, paham bahaya dan dosa.")</f>
        <v>5: Menolak dengan tegas, paham bahaya dan dosa.</v>
      </c>
      <c r="L40" s="141" t="str">
        <f>IFERROR(__xludf.DUMMYFUNCTION("""COMPUTED_VALUE"""),"5: Hobi positif, produktif, mendukung pengembangan diri (olahraga, membaca, seni islami).")</f>
        <v>5: Hobi positif, produktif, mendukung pengembangan diri (olahraga, membaca, seni islami).</v>
      </c>
      <c r="M40" s="141" t="str">
        <f>IFERROR(__xludf.DUMMYFUNCTION("""COMPUTED_VALUE"""),"Rizaldi")</f>
        <v>Rizaldi</v>
      </c>
      <c r="N40" s="141" t="str">
        <f>IFERROR(__xludf.DUMMYFUNCTION("""COMPUTED_VALUE"""),"A. Sangat Layak diterima (potensi besar berkembang di pesantren).")</f>
        <v>A. Sangat Layak diterima (potensi besar berkembang di pesantren).</v>
      </c>
      <c r="O40" s="141" t="str">
        <f>IFERROR(__xludf.DUMMYFUNCTION("""COMPUTED_VALUE"""),"Anaknya rajin baca buku insyaallah gampang bergaul (positif) ")</f>
        <v>Anaknya rajin baca buku insyaallah gampang bergaul (positif) </v>
      </c>
      <c r="P40" s="131" t="str">
        <f t="shared" ref="P40:V40" si="42">left(F40,1)</f>
        <v>5</v>
      </c>
      <c r="Q40" s="131" t="str">
        <f t="shared" si="42"/>
        <v>5</v>
      </c>
      <c r="R40" s="131" t="str">
        <f t="shared" si="42"/>
        <v>5</v>
      </c>
      <c r="S40" s="131" t="str">
        <f t="shared" si="42"/>
        <v>3</v>
      </c>
      <c r="T40" s="131" t="str">
        <f t="shared" si="42"/>
        <v>5</v>
      </c>
      <c r="U40" s="131" t="str">
        <f t="shared" si="42"/>
        <v>5</v>
      </c>
      <c r="V40" s="131" t="str">
        <f t="shared" si="42"/>
        <v>5</v>
      </c>
      <c r="W40" s="119">
        <f t="shared" si="3"/>
        <v>33</v>
      </c>
      <c r="X40" s="119" t="str">
        <f t="shared" si="4"/>
        <v>Siap</v>
      </c>
      <c r="Y40" s="119" t="str">
        <f t="shared" si="5"/>
        <v>bisa mengikuti pola pesantren dengan baik</v>
      </c>
      <c r="Z40" s="120"/>
      <c r="AA40" s="132"/>
      <c r="AB40" s="132"/>
      <c r="AC40" s="132"/>
      <c r="AD40" s="133"/>
      <c r="AE40" s="134"/>
    </row>
    <row r="41" ht="24.0" customHeight="1">
      <c r="A41" s="139">
        <f>IFERROR(__xludf.DUMMYFUNCTION("""COMPUTED_VALUE"""),45928.76430033565)</f>
        <v>45928.7643</v>
      </c>
      <c r="B41" s="140" t="str">
        <f>IFERROR(__xludf.DUMMYFUNCTION("""COMPUTED_VALUE"""),"rimamaryani5606@gmail.com")</f>
        <v>rimamaryani5606@gmail.com</v>
      </c>
      <c r="C41" s="140" t="str">
        <f>IFERROR(__xludf.DUMMYFUNCTION("""COMPUTED_VALUE"""),"Janeeta Candy Hinata")</f>
        <v>Janeeta Candy Hinata</v>
      </c>
      <c r="D41" s="140" t="str">
        <f>IFERROR(__xludf.DUMMYFUNCTION("""COMPUTED_VALUE"""),"D250004")</f>
        <v>D250004</v>
      </c>
      <c r="E41" s="140" t="str">
        <f>IFERROR(__xludf.DUMMYFUNCTION("""COMPUTED_VALUE"""),"MTs Putri")</f>
        <v>MTs Putri</v>
      </c>
      <c r="F41" s="141" t="str">
        <f>IFERROR(__xludf.DUMMYFUNCTION("""COMPUTED_VALUE"""),"4: Cukup jelas, alasan positif namun masih umum.")</f>
        <v>4: Cukup jelas, alasan positif namun masih umum.</v>
      </c>
      <c r="G41" s="141" t="str">
        <f>IFERROR(__xludf.DUMMYFUNCTION("""COMPUTED_VALUE"""),"5: Lingkungan sangat mendukung (keluarga islami, shalat berjamaah, kontrol gadget baik).")</f>
        <v>5: Lingkungan sangat mendukung (keluarga islami, shalat berjamaah, kontrol gadget baik).</v>
      </c>
      <c r="H41" s="141" t="str">
        <f>IFERROR(__xludf.DUMMYFUNCTION("""COMPUTED_VALUE"""),"5: Hobi bermanfaat (olahraga, membaca, permainan edukatif).")</f>
        <v>5: Hobi bermanfaat (olahraga, membaca, permainan edukatif).</v>
      </c>
      <c r="I41" s="141" t="str">
        <f>IFERROR(__xludf.DUMMYFUNCTION("""COMPUTED_VALUE"""),"5: Berteman dengan lingkungan positif (masjid, teman shalih/shalihah).")</f>
        <v>5: Berteman dengan lingkungan positif (masjid, teman shalih/shalihah).</v>
      </c>
      <c r="J41" s="141" t="str">
        <f>IFERROR(__xludf.DUMMYFUNCTION("""COMPUTED_VALUE"""),"4: Menolak, tapi alasannya umum.")</f>
        <v>4: Menolak, tapi alasannya umum.</v>
      </c>
      <c r="K41" s="141" t="str">
        <f>IFERROR(__xludf.DUMMYFUNCTION("""COMPUTED_VALUE"""),"5: Menolak dengan tegas, paham bahaya dan dosa.")</f>
        <v>5: Menolak dengan tegas, paham bahaya dan dosa.</v>
      </c>
      <c r="L41" s="141" t="str">
        <f>IFERROR(__xludf.DUMMYFUNCTION("""COMPUTED_VALUE"""),"4: Hobi umum yang wajar (menggambar, dll).")</f>
        <v>4: Hobi umum yang wajar (menggambar, dll).</v>
      </c>
      <c r="M41" s="141" t="str">
        <f>IFERROR(__xludf.DUMMYFUNCTION("""COMPUTED_VALUE"""),"Rima Maryani Putri Utami, S.Pd.I")</f>
        <v>Rima Maryani Putri Utami, S.Pd.I</v>
      </c>
      <c r="N41" s="141" t="str">
        <f>IFERROR(__xludf.DUMMYFUNCTION("""COMPUTED_VALUE"""),"A. Sangat Layak diterima (potensi besar berkembang di pesantren).")</f>
        <v>A. Sangat Layak diterima (potensi besar berkembang di pesantren).</v>
      </c>
      <c r="O41" s="141" t="str">
        <f>IFERROR(__xludf.DUMMYFUNCTION("""COMPUTED_VALUE"""),"Alhamdulillah, ananda cukup komunikatif saat wawancara.")</f>
        <v>Alhamdulillah, ananda cukup komunikatif saat wawancara.</v>
      </c>
      <c r="P41" s="131" t="str">
        <f t="shared" ref="P41:V41" si="43">left(F41,1)</f>
        <v>4</v>
      </c>
      <c r="Q41" s="131" t="str">
        <f t="shared" si="43"/>
        <v>5</v>
      </c>
      <c r="R41" s="131" t="str">
        <f t="shared" si="43"/>
        <v>5</v>
      </c>
      <c r="S41" s="131" t="str">
        <f t="shared" si="43"/>
        <v>5</v>
      </c>
      <c r="T41" s="131" t="str">
        <f t="shared" si="43"/>
        <v>4</v>
      </c>
      <c r="U41" s="131" t="str">
        <f t="shared" si="43"/>
        <v>5</v>
      </c>
      <c r="V41" s="131" t="str">
        <f t="shared" si="43"/>
        <v>4</v>
      </c>
      <c r="W41" s="119">
        <f t="shared" si="3"/>
        <v>32</v>
      </c>
      <c r="X41" s="119" t="str">
        <f t="shared" si="4"/>
        <v>Siap</v>
      </c>
      <c r="Y41" s="119" t="str">
        <f t="shared" si="5"/>
        <v>bisa mengikuti pola pesantren dengan baik</v>
      </c>
      <c r="Z41" s="120"/>
      <c r="AA41" s="132"/>
      <c r="AB41" s="132"/>
      <c r="AC41" s="132"/>
      <c r="AD41" s="133"/>
      <c r="AE41" s="134"/>
    </row>
    <row r="42" ht="24.0" customHeight="1">
      <c r="A42" s="139">
        <f>IFERROR(__xludf.DUMMYFUNCTION("""COMPUTED_VALUE"""),45929.684649664356)</f>
        <v>45929.68465</v>
      </c>
      <c r="B42" s="140" t="str">
        <f>IFERROR(__xludf.DUMMYFUNCTION("""COMPUTED_VALUE"""),"rimamaryani5606@gmail.com")</f>
        <v>rimamaryani5606@gmail.com</v>
      </c>
      <c r="C42" s="140" t="str">
        <f>IFERROR(__xludf.DUMMYFUNCTION("""COMPUTED_VALUE"""),"Qaesyara Siti Zafna Fitriyadi")</f>
        <v>Qaesyara Siti Zafna Fitriyadi</v>
      </c>
      <c r="D42" s="140" t="str">
        <f>IFERROR(__xludf.DUMMYFUNCTION("""COMPUTED_VALUE"""),"D250017")</f>
        <v>D250017</v>
      </c>
      <c r="E42" s="140" t="str">
        <f>IFERROR(__xludf.DUMMYFUNCTION("""COMPUTED_VALUE"""),"MTs Putri")</f>
        <v>MTs Putri</v>
      </c>
      <c r="F42" s="141" t="str">
        <f>IFERROR(__xludf.DUMMYFUNCTION("""COMPUTED_VALUE"""),"4: Cukup jelas, alasan positif namun masih umum.")</f>
        <v>4: Cukup jelas, alasan positif namun masih umum.</v>
      </c>
      <c r="G42" s="141" t="str">
        <f>IFERROR(__xludf.DUMMYFUNCTION("""COMPUTED_VALUE"""),"4: Lingkungan cukup mendukung, ada perhatian orang tua.")</f>
        <v>4: Lingkungan cukup mendukung, ada perhatian orang tua.</v>
      </c>
      <c r="H42" s="141" t="str">
        <f>IFERROR(__xludf.DUMMYFUNCTION("""COMPUTED_VALUE"""),"5: Hobi bermanfaat (olahraga, membaca, permainan edukatif).")</f>
        <v>5: Hobi bermanfaat (olahraga, membaca, permainan edukatif).</v>
      </c>
      <c r="I42" s="141" t="str">
        <f>IFERROR(__xludf.DUMMYFUNCTION("""COMPUTED_VALUE"""),"5: Berteman dengan lingkungan positif (masjid, teman shalih/shalihah).")</f>
        <v>5: Berteman dengan lingkungan positif (masjid, teman shalih/shalihah).</v>
      </c>
      <c r="J42" s="141" t="str">
        <f>IFERROR(__xludf.DUMMYFUNCTION("""COMPUTED_VALUE"""),"5: Jelas menolak, punya alasan agama/ilmu.")</f>
        <v>5: Jelas menolak, punya alasan agama/ilmu.</v>
      </c>
      <c r="K42" s="141" t="str">
        <f>IFERROR(__xludf.DUMMYFUNCTION("""COMPUTED_VALUE"""),"5: Menolak dengan tegas, paham bahaya dan dosa.")</f>
        <v>5: Menolak dengan tegas, paham bahaya dan dosa.</v>
      </c>
      <c r="L42" s="141" t="str">
        <f>IFERROR(__xludf.DUMMYFUNCTION("""COMPUTED_VALUE"""),"4: Hobi umum yang wajar (menggambar, dll).")</f>
        <v>4: Hobi umum yang wajar (menggambar, dll).</v>
      </c>
      <c r="M42" s="141" t="str">
        <f>IFERROR(__xludf.DUMMYFUNCTION("""COMPUTED_VALUE"""),"Rima Maryani Putri Utami, S.Pd.I")</f>
        <v>Rima Maryani Putri Utami, S.Pd.I</v>
      </c>
      <c r="N42" s="141" t="str">
        <f>IFERROR(__xludf.DUMMYFUNCTION("""COMPUTED_VALUE"""),"A. Sangat Layak diterima (potensi besar berkembang di pesantren).")</f>
        <v>A. Sangat Layak diterima (potensi besar berkembang di pesantren).</v>
      </c>
      <c r="O42" s="141" t="str">
        <f>IFERROR(__xludf.DUMMYFUNCTION("""COMPUTED_VALUE"""),"Alhamdulillah,, Ananda cukup baik, komunikatif dan jelas dalam menjawab pertanyaan.")</f>
        <v>Alhamdulillah,, Ananda cukup baik, komunikatif dan jelas dalam menjawab pertanyaan.</v>
      </c>
      <c r="P42" s="131" t="str">
        <f t="shared" ref="P42:V42" si="44">left(F42,1)</f>
        <v>4</v>
      </c>
      <c r="Q42" s="131" t="str">
        <f t="shared" si="44"/>
        <v>4</v>
      </c>
      <c r="R42" s="131" t="str">
        <f t="shared" si="44"/>
        <v>5</v>
      </c>
      <c r="S42" s="131" t="str">
        <f t="shared" si="44"/>
        <v>5</v>
      </c>
      <c r="T42" s="131" t="str">
        <f t="shared" si="44"/>
        <v>5</v>
      </c>
      <c r="U42" s="131" t="str">
        <f t="shared" si="44"/>
        <v>5</v>
      </c>
      <c r="V42" s="131" t="str">
        <f t="shared" si="44"/>
        <v>4</v>
      </c>
      <c r="W42" s="119">
        <f t="shared" si="3"/>
        <v>32</v>
      </c>
      <c r="X42" s="119" t="str">
        <f t="shared" si="4"/>
        <v>Siap</v>
      </c>
      <c r="Y42" s="119" t="str">
        <f t="shared" si="5"/>
        <v>bisa mengikuti pola pesantren dengan baik</v>
      </c>
      <c r="Z42" s="120"/>
      <c r="AA42" s="132"/>
      <c r="AB42" s="132"/>
      <c r="AC42" s="132"/>
      <c r="AD42" s="133"/>
      <c r="AE42" s="134"/>
    </row>
    <row r="43" ht="24.0" customHeight="1">
      <c r="A43" s="139">
        <f>IFERROR(__xludf.DUMMYFUNCTION("""COMPUTED_VALUE"""),45929.82369755787)</f>
        <v>45929.8237</v>
      </c>
      <c r="B43" s="140" t="str">
        <f>IFERROR(__xludf.DUMMYFUNCTION("""COMPUTED_VALUE"""),"nabilmujtaba426@gmail.com")</f>
        <v>nabilmujtaba426@gmail.com</v>
      </c>
      <c r="C43" s="140" t="str">
        <f>IFERROR(__xludf.DUMMYFUNCTION("""COMPUTED_VALUE"""),"Muhammad Arkan")</f>
        <v>Muhammad Arkan</v>
      </c>
      <c r="D43" s="140" t="str">
        <f>IFERROR(__xludf.DUMMYFUNCTION("""COMPUTED_VALUE"""),"A250037")</f>
        <v>A250037</v>
      </c>
      <c r="E43" s="140" t="str">
        <f>IFERROR(__xludf.DUMMYFUNCTION("""COMPUTED_VALUE"""),"MTs Putra")</f>
        <v>MTs Putra</v>
      </c>
      <c r="F43" s="141" t="str">
        <f>IFERROR(__xludf.DUMMYFUNCTION("""COMPUTED_VALUE"""),"4: Cukup jelas, alasan positif namun masih umum.")</f>
        <v>4: Cukup jelas, alasan positif namun masih umum.</v>
      </c>
      <c r="G43" s="141" t="str">
        <f>IFERROR(__xludf.DUMMYFUNCTION("""COMPUTED_VALUE"""),"5: Lingkungan sangat mendukung (keluarga islami, shalat berjamaah, kontrol gadget baik).")</f>
        <v>5: Lingkungan sangat mendukung (keluarga islami, shalat berjamaah, kontrol gadget baik).</v>
      </c>
      <c r="H43" s="141" t="str">
        <f>IFERROR(__xludf.DUMMYFUNCTION("""COMPUTED_VALUE"""),"5: Hobi bermanfaat (olahraga, membaca, permainan edukatif).")</f>
        <v>5: Hobi bermanfaat (olahraga, membaca, permainan edukatif).</v>
      </c>
      <c r="I43" s="141" t="str">
        <f>IFERROR(__xludf.DUMMYFUNCTION("""COMPUTED_VALUE"""),"5: Berteman dengan lingkungan positif (masjid, teman shalih/shalihah).")</f>
        <v>5: Berteman dengan lingkungan positif (masjid, teman shalih/shalihah).</v>
      </c>
      <c r="J43" s="141" t="str">
        <f>IFERROR(__xludf.DUMMYFUNCTION("""COMPUTED_VALUE"""),"4: Menolak, tapi alasannya umum.")</f>
        <v>4: Menolak, tapi alasannya umum.</v>
      </c>
      <c r="K43" s="141" t="str">
        <f>IFERROR(__xludf.DUMMYFUNCTION("""COMPUTED_VALUE"""),"5: Menolak dengan tegas, paham bahaya dan dosa.")</f>
        <v>5: Menolak dengan tegas, paham bahaya dan dosa.</v>
      </c>
      <c r="L43" s="141" t="str">
        <f>IFERROR(__xludf.DUMMYFUNCTION("""COMPUTED_VALUE"""),"5: Hobi positif, produktif, mendukung pengembangan diri (olahraga, membaca, seni islami).")</f>
        <v>5: Hobi positif, produktif, mendukung pengembangan diri (olahraga, membaca, seni islami).</v>
      </c>
      <c r="M43" s="141" t="str">
        <f>IFERROR(__xludf.DUMMYFUNCTION("""COMPUTED_VALUE"""),"Nabil Mujtaba")</f>
        <v>Nabil Mujtaba</v>
      </c>
      <c r="N43" s="141" t="str">
        <f>IFERROR(__xludf.DUMMYFUNCTION("""COMPUTED_VALUE"""),"A. Sangat Layak diterima (potensi besar berkembang di pesantren).")</f>
        <v>A. Sangat Layak diterima (potensi besar berkembang di pesantren).</v>
      </c>
      <c r="O43" s="141"/>
      <c r="P43" s="131" t="str">
        <f t="shared" ref="P43:V43" si="45">left(F43,1)</f>
        <v>4</v>
      </c>
      <c r="Q43" s="131" t="str">
        <f t="shared" si="45"/>
        <v>5</v>
      </c>
      <c r="R43" s="131" t="str">
        <f t="shared" si="45"/>
        <v>5</v>
      </c>
      <c r="S43" s="131" t="str">
        <f t="shared" si="45"/>
        <v>5</v>
      </c>
      <c r="T43" s="131" t="str">
        <f t="shared" si="45"/>
        <v>4</v>
      </c>
      <c r="U43" s="131" t="str">
        <f t="shared" si="45"/>
        <v>5</v>
      </c>
      <c r="V43" s="131" t="str">
        <f t="shared" si="45"/>
        <v>5</v>
      </c>
      <c r="W43" s="119">
        <f t="shared" si="3"/>
        <v>33</v>
      </c>
      <c r="X43" s="119" t="str">
        <f t="shared" si="4"/>
        <v>Siap</v>
      </c>
      <c r="Y43" s="119" t="str">
        <f t="shared" si="5"/>
        <v>bisa mengikuti pola pesantren dengan baik</v>
      </c>
      <c r="Z43" s="120"/>
      <c r="AA43" s="132"/>
      <c r="AB43" s="132"/>
      <c r="AC43" s="132"/>
      <c r="AD43" s="133"/>
      <c r="AE43" s="134"/>
    </row>
    <row r="44" ht="24.0" customHeight="1">
      <c r="A44" s="139">
        <f>IFERROR(__xludf.DUMMYFUNCTION("""COMPUTED_VALUE"""),45930.40961497685)</f>
        <v>45930.40961</v>
      </c>
      <c r="B44" s="140" t="str">
        <f>IFERROR(__xludf.DUMMYFUNCTION("""COMPUTED_VALUE"""),"muhajirlah@gmail.com")</f>
        <v>muhajirlah@gmail.com</v>
      </c>
      <c r="C44" s="140" t="str">
        <f>IFERROR(__xludf.DUMMYFUNCTION("""COMPUTED_VALUE"""),"Muhammad Hilmy Ilyasa Rizal")</f>
        <v>Muhammad Hilmy Ilyasa Rizal</v>
      </c>
      <c r="D44" s="140" t="str">
        <f>IFERROR(__xludf.DUMMYFUNCTION("""COMPUTED_VALUE"""),"A250014")</f>
        <v>A250014</v>
      </c>
      <c r="E44" s="140" t="str">
        <f>IFERROR(__xludf.DUMMYFUNCTION("""COMPUTED_VALUE"""),"MTs Putra")</f>
        <v>MTs Putra</v>
      </c>
      <c r="F44" s="141" t="str">
        <f>IFERROR(__xludf.DUMMYFUNCTION("""COMPUTED_VALUE"""),"5: Sangat jelas, kuat, dan sesuai visi pesantren (ingin belajar agama, mandiri, dekat dengan Allah).")</f>
        <v>5: Sangat jelas, kuat, dan sesuai visi pesantren (ingin belajar agama, mandiri, dekat dengan Allah).</v>
      </c>
      <c r="G44" s="141" t="str">
        <f>IFERROR(__xludf.DUMMYFUNCTION("""COMPUTED_VALUE"""),"4: Lingkungan cukup mendukung, ada perhatian orang tua.")</f>
        <v>4: Lingkungan cukup mendukung, ada perhatian orang tua.</v>
      </c>
      <c r="H44" s="141" t="str">
        <f>IFERROR(__xludf.DUMMYFUNCTION("""COMPUTED_VALUE"""),"5: Hobi bermanfaat (olahraga, membaca, permainan edukatif).")</f>
        <v>5: Hobi bermanfaat (olahraga, membaca, permainan edukatif).</v>
      </c>
      <c r="I44" s="141" t="str">
        <f>IFERROR(__xludf.DUMMYFUNCTION("""COMPUTED_VALUE"""),"4: Mayoritas teman baik, ada sedikit yang kurang baik.")</f>
        <v>4: Mayoritas teman baik, ada sedikit yang kurang baik.</v>
      </c>
      <c r="J44" s="141" t="str">
        <f>IFERROR(__xludf.DUMMYFUNCTION("""COMPUTED_VALUE"""),"4: Menolak, tapi alasannya umum.")</f>
        <v>4: Menolak, tapi alasannya umum.</v>
      </c>
      <c r="K44" s="141" t="str">
        <f>IFERROR(__xludf.DUMMYFUNCTION("""COMPUTED_VALUE"""),"4: Menolak, tapi belum terlalu paham alasannya.")</f>
        <v>4: Menolak, tapi belum terlalu paham alasannya.</v>
      </c>
      <c r="L44" s="141" t="str">
        <f>IFERROR(__xludf.DUMMYFUNCTION("""COMPUTED_VALUE"""),"4: Hobi umum yang wajar (menggambar, dll).")</f>
        <v>4: Hobi umum yang wajar (menggambar, dll).</v>
      </c>
      <c r="M44" s="141" t="str">
        <f>IFERROR(__xludf.DUMMYFUNCTION("""COMPUTED_VALUE"""),"Muhajir")</f>
        <v>Muhajir</v>
      </c>
      <c r="N44" s="141" t="str">
        <f>IFERROR(__xludf.DUMMYFUNCTION("""COMPUTED_VALUE"""),"B. Layak diterima dengan catatan pembinaan.")</f>
        <v>B. Layak diterima dengan catatan pembinaan.</v>
      </c>
      <c r="O44" s="141"/>
      <c r="P44" s="131" t="str">
        <f t="shared" ref="P44:V44" si="46">left(F44,1)</f>
        <v>5</v>
      </c>
      <c r="Q44" s="131" t="str">
        <f t="shared" si="46"/>
        <v>4</v>
      </c>
      <c r="R44" s="131" t="str">
        <f t="shared" si="46"/>
        <v>5</v>
      </c>
      <c r="S44" s="131" t="str">
        <f t="shared" si="46"/>
        <v>4</v>
      </c>
      <c r="T44" s="131" t="str">
        <f t="shared" si="46"/>
        <v>4</v>
      </c>
      <c r="U44" s="131" t="str">
        <f t="shared" si="46"/>
        <v>4</v>
      </c>
      <c r="V44" s="131" t="str">
        <f t="shared" si="46"/>
        <v>4</v>
      </c>
      <c r="W44" s="119">
        <f t="shared" si="3"/>
        <v>30</v>
      </c>
      <c r="X44" s="119" t="str">
        <f t="shared" si="4"/>
        <v>Siap</v>
      </c>
      <c r="Y44" s="119" t="str">
        <f t="shared" si="5"/>
        <v>bisa mengikuti pola pesantren dengan baik</v>
      </c>
      <c r="Z44" s="120"/>
      <c r="AA44" s="132"/>
      <c r="AB44" s="132"/>
      <c r="AC44" s="132"/>
      <c r="AD44" s="133"/>
      <c r="AE44" s="134"/>
    </row>
    <row r="45" ht="24.0" customHeight="1">
      <c r="A45" s="139">
        <f>IFERROR(__xludf.DUMMYFUNCTION("""COMPUTED_VALUE"""),45930.4360250926)</f>
        <v>45930.43603</v>
      </c>
      <c r="B45" s="140" t="str">
        <f>IFERROR(__xludf.DUMMYFUNCTION("""COMPUTED_VALUE"""),"alfaruqsyauqi513@gmail.com")</f>
        <v>alfaruqsyauqi513@gmail.com</v>
      </c>
      <c r="C45" s="140" t="str">
        <f>IFERROR(__xludf.DUMMYFUNCTION("""COMPUTED_VALUE"""),"Abdurrahman umar")</f>
        <v>Abdurrahman umar</v>
      </c>
      <c r="D45" s="140" t="str">
        <f>IFERROR(__xludf.DUMMYFUNCTION("""COMPUTED_VALUE"""),"C250004")</f>
        <v>C250004</v>
      </c>
      <c r="E45" s="140" t="str">
        <f>IFERROR(__xludf.DUMMYFUNCTION("""COMPUTED_VALUE"""),"IL Putra")</f>
        <v>IL Putra</v>
      </c>
      <c r="F45" s="141" t="str">
        <f>IFERROR(__xludf.DUMMYFUNCTION("""COMPUTED_VALUE"""),"5: Sangat jelas, kuat, dan sesuai visi pesantren (ingin belajar agama, mandiri, dekat dengan Allah).")</f>
        <v>5: Sangat jelas, kuat, dan sesuai visi pesantren (ingin belajar agama, mandiri, dekat dengan Allah).</v>
      </c>
      <c r="G45" s="141" t="str">
        <f>IFERROR(__xludf.DUMMYFUNCTION("""COMPUTED_VALUE"""),"5: Lingkungan sangat mendukung (keluarga islami, shalat berjamaah, kontrol gadget baik).")</f>
        <v>5: Lingkungan sangat mendukung (keluarga islami, shalat berjamaah, kontrol gadget baik).</v>
      </c>
      <c r="H45" s="141" t="str">
        <f>IFERROR(__xludf.DUMMYFUNCTION("""COMPUTED_VALUE"""),"5: Hobi bermanfaat (olahraga, membaca, permainan edukatif).")</f>
        <v>5: Hobi bermanfaat (olahraga, membaca, permainan edukatif).</v>
      </c>
      <c r="I45" s="141" t="str">
        <f>IFERROR(__xludf.DUMMYFUNCTION("""COMPUTED_VALUE"""),"5: Berteman dengan lingkungan positif (masjid, teman shalih/shalihah).")</f>
        <v>5: Berteman dengan lingkungan positif (masjid, teman shalih/shalihah).</v>
      </c>
      <c r="J45" s="141" t="str">
        <f>IFERROR(__xludf.DUMMYFUNCTION("""COMPUTED_VALUE"""),"5: Jelas menolak, punya alasan agama/ilmu.")</f>
        <v>5: Jelas menolak, punya alasan agama/ilmu.</v>
      </c>
      <c r="K45" s="141" t="str">
        <f>IFERROR(__xludf.DUMMYFUNCTION("""COMPUTED_VALUE"""),"5: Menolak dengan tegas, paham bahaya dan dosa.")</f>
        <v>5: Menolak dengan tegas, paham bahaya dan dosa.</v>
      </c>
      <c r="L45" s="141" t="str">
        <f>IFERROR(__xludf.DUMMYFUNCTION("""COMPUTED_VALUE"""),"5: Hobi positif, produktif, mendukung pengembangan diri (olahraga, membaca, seni islami).")</f>
        <v>5: Hobi positif, produktif, mendukung pengembangan diri (olahraga, membaca, seni islami).</v>
      </c>
      <c r="M45" s="141" t="str">
        <f>IFERROR(__xludf.DUMMYFUNCTION("""COMPUTED_VALUE"""),"Muhammad syauqi al faruq")</f>
        <v>Muhammad syauqi al faruq</v>
      </c>
      <c r="N45" s="141" t="str">
        <f>IFERROR(__xludf.DUMMYFUNCTION("""COMPUTED_VALUE"""),"A. Sangat Layak diterima (potensi besar berkembang di pesantren).")</f>
        <v>A. Sangat Layak diterima (potensi besar berkembang di pesantren).</v>
      </c>
      <c r="O45" s="141" t="str">
        <f>IFERROR(__xludf.DUMMYFUNCTION("""COMPUTED_VALUE"""),"Sangat semangat dan antusias")</f>
        <v>Sangat semangat dan antusias</v>
      </c>
      <c r="P45" s="131" t="str">
        <f t="shared" ref="P45:V45" si="47">left(F45,1)</f>
        <v>5</v>
      </c>
      <c r="Q45" s="131" t="str">
        <f t="shared" si="47"/>
        <v>5</v>
      </c>
      <c r="R45" s="131" t="str">
        <f t="shared" si="47"/>
        <v>5</v>
      </c>
      <c r="S45" s="131" t="str">
        <f t="shared" si="47"/>
        <v>5</v>
      </c>
      <c r="T45" s="131" t="str">
        <f t="shared" si="47"/>
        <v>5</v>
      </c>
      <c r="U45" s="131" t="str">
        <f t="shared" si="47"/>
        <v>5</v>
      </c>
      <c r="V45" s="131" t="str">
        <f t="shared" si="47"/>
        <v>5</v>
      </c>
      <c r="W45" s="119">
        <f t="shared" si="3"/>
        <v>35</v>
      </c>
      <c r="X45" s="119" t="str">
        <f t="shared" si="4"/>
        <v>Siap</v>
      </c>
      <c r="Y45" s="119" t="str">
        <f t="shared" si="5"/>
        <v>bisa mengikuti pola pesantren dengan baik</v>
      </c>
      <c r="Z45" s="120"/>
      <c r="AA45" s="132"/>
      <c r="AB45" s="132"/>
      <c r="AC45" s="132"/>
      <c r="AD45" s="133"/>
      <c r="AE45" s="134"/>
    </row>
    <row r="46" ht="24.0" customHeight="1">
      <c r="A46" s="139">
        <f>IFERROR(__xludf.DUMMYFUNCTION("""COMPUTED_VALUE"""),45930.82396144676)</f>
        <v>45930.82396</v>
      </c>
      <c r="B46" s="140" t="str">
        <f>IFERROR(__xludf.DUMMYFUNCTION("""COMPUTED_VALUE"""),"nabilmujtaba426@gmail.com")</f>
        <v>nabilmujtaba426@gmail.com</v>
      </c>
      <c r="C46" s="140" t="str">
        <f>IFERROR(__xludf.DUMMYFUNCTION("""COMPUTED_VALUE"""),"Abudzar Almahbub")</f>
        <v>Abudzar Almahbub</v>
      </c>
      <c r="D46" s="140" t="str">
        <f>IFERROR(__xludf.DUMMYFUNCTION("""COMPUTED_VALUE"""),"A250034")</f>
        <v>A250034</v>
      </c>
      <c r="E46" s="140" t="str">
        <f>IFERROR(__xludf.DUMMYFUNCTION("""COMPUTED_VALUE"""),"MTs Putra")</f>
        <v>MTs Putra</v>
      </c>
      <c r="F46" s="141" t="str">
        <f>IFERROR(__xludf.DUMMYFUNCTION("""COMPUTED_VALUE"""),"4: Cukup jelas, alasan positif namun masih umum.")</f>
        <v>4: Cukup jelas, alasan positif namun masih umum.</v>
      </c>
      <c r="G46" s="141" t="str">
        <f>IFERROR(__xludf.DUMMYFUNCTION("""COMPUTED_VALUE"""),"4: Lingkungan cukup mendukung, ada perhatian orang tua.")</f>
        <v>4: Lingkungan cukup mendukung, ada perhatian orang tua.</v>
      </c>
      <c r="H46" s="141" t="str">
        <f>IFERROR(__xludf.DUMMYFUNCTION("""COMPUTED_VALUE"""),"5: Hobi bermanfaat (olahraga, membaca, permainan edukatif).")</f>
        <v>5: Hobi bermanfaat (olahraga, membaca, permainan edukatif).</v>
      </c>
      <c r="I46" s="141" t="str">
        <f>IFERROR(__xludf.DUMMYFUNCTION("""COMPUTED_VALUE"""),"3: Teman biasa saja, netral.")</f>
        <v>3: Teman biasa saja, netral.</v>
      </c>
      <c r="J46" s="141" t="str">
        <f>IFERROR(__xludf.DUMMYFUNCTION("""COMPUTED_VALUE"""),"4: Menolak, tapi alasannya umum.")</f>
        <v>4: Menolak, tapi alasannya umum.</v>
      </c>
      <c r="K46" s="141" t="str">
        <f>IFERROR(__xludf.DUMMYFUNCTION("""COMPUTED_VALUE"""),"4: Menolak, tapi belum terlalu paham alasannya.")</f>
        <v>4: Menolak, tapi belum terlalu paham alasannya.</v>
      </c>
      <c r="L46" s="141" t="str">
        <f>IFERROR(__xludf.DUMMYFUNCTION("""COMPUTED_VALUE"""),"5: Hobi positif, produktif, mendukung pengembangan diri (olahraga, membaca, seni islami).")</f>
        <v>5: Hobi positif, produktif, mendukung pengembangan diri (olahraga, membaca, seni islami).</v>
      </c>
      <c r="M46" s="141" t="str">
        <f>IFERROR(__xludf.DUMMYFUNCTION("""COMPUTED_VALUE"""),"Nabil Mujtaba")</f>
        <v>Nabil Mujtaba</v>
      </c>
      <c r="N46" s="141" t="str">
        <f>IFERROR(__xludf.DUMMYFUNCTION("""COMPUTED_VALUE"""),"A. Sangat Layak diterima (potensi besar berkembang di pesantren).")</f>
        <v>A. Sangat Layak diterima (potensi besar berkembang di pesantren).</v>
      </c>
      <c r="O46" s="141"/>
      <c r="P46" s="131" t="str">
        <f t="shared" ref="P46:V46" si="48">left(F46,1)</f>
        <v>4</v>
      </c>
      <c r="Q46" s="131" t="str">
        <f t="shared" si="48"/>
        <v>4</v>
      </c>
      <c r="R46" s="131" t="str">
        <f t="shared" si="48"/>
        <v>5</v>
      </c>
      <c r="S46" s="131" t="str">
        <f t="shared" si="48"/>
        <v>3</v>
      </c>
      <c r="T46" s="131" t="str">
        <f t="shared" si="48"/>
        <v>4</v>
      </c>
      <c r="U46" s="131" t="str">
        <f t="shared" si="48"/>
        <v>4</v>
      </c>
      <c r="V46" s="131" t="str">
        <f t="shared" si="48"/>
        <v>5</v>
      </c>
      <c r="W46" s="119">
        <f t="shared" si="3"/>
        <v>29</v>
      </c>
      <c r="X46" s="119" t="str">
        <f t="shared" si="4"/>
        <v>Siap</v>
      </c>
      <c r="Y46" s="119" t="str">
        <f t="shared" si="5"/>
        <v>bisa mengikuti pola pesantren dengan baik</v>
      </c>
      <c r="Z46" s="120"/>
      <c r="AA46" s="132"/>
      <c r="AB46" s="132"/>
      <c r="AC46" s="132"/>
      <c r="AD46" s="133"/>
      <c r="AE46" s="134"/>
    </row>
    <row r="47" ht="24.0" customHeight="1">
      <c r="A47" s="139">
        <f>IFERROR(__xludf.DUMMYFUNCTION("""COMPUTED_VALUE"""),45930.842270532405)</f>
        <v>45930.84227</v>
      </c>
      <c r="B47" s="140" t="str">
        <f>IFERROR(__xludf.DUMMYFUNCTION("""COMPUTED_VALUE"""),"alfaruqsyauqi513@gmail.com")</f>
        <v>alfaruqsyauqi513@gmail.com</v>
      </c>
      <c r="C47" s="140" t="str">
        <f>IFERROR(__xludf.DUMMYFUNCTION("""COMPUTED_VALUE"""),"Sultan faqih al hadziq")</f>
        <v>Sultan faqih al hadziq</v>
      </c>
      <c r="D47" s="140" t="str">
        <f>IFERROR(__xludf.DUMMYFUNCTION("""COMPUTED_VALUE"""),"A250046")</f>
        <v>A250046</v>
      </c>
      <c r="E47" s="140" t="str">
        <f>IFERROR(__xludf.DUMMYFUNCTION("""COMPUTED_VALUE"""),"MTs Putra")</f>
        <v>MTs Putra</v>
      </c>
      <c r="F47" s="141" t="str">
        <f>IFERROR(__xludf.DUMMYFUNCTION("""COMPUTED_VALUE"""),"4: Cukup jelas, alasan positif namun masih umum.")</f>
        <v>4: Cukup jelas, alasan positif namun masih umum.</v>
      </c>
      <c r="G47" s="141" t="str">
        <f>IFERROR(__xludf.DUMMYFUNCTION("""COMPUTED_VALUE"""),"5: Lingkungan sangat mendukung (keluarga islami, shalat berjamaah, kontrol gadget baik).")</f>
        <v>5: Lingkungan sangat mendukung (keluarga islami, shalat berjamaah, kontrol gadget baik).</v>
      </c>
      <c r="H47" s="141" t="str">
        <f>IFERROR(__xludf.DUMMYFUNCTION("""COMPUTED_VALUE"""),"5: Hobi bermanfaat (olahraga, membaca, permainan edukatif).")</f>
        <v>5: Hobi bermanfaat (olahraga, membaca, permainan edukatif).</v>
      </c>
      <c r="I47" s="141" t="str">
        <f>IFERROR(__xludf.DUMMYFUNCTION("""COMPUTED_VALUE"""),"5: Berteman dengan lingkungan positif (masjid, teman shalih/shalihah).")</f>
        <v>5: Berteman dengan lingkungan positif (masjid, teman shalih/shalihah).</v>
      </c>
      <c r="J47" s="141" t="str">
        <f>IFERROR(__xludf.DUMMYFUNCTION("""COMPUTED_VALUE"""),"5: Jelas menolak, punya alasan agama/ilmu.")</f>
        <v>5: Jelas menolak, punya alasan agama/ilmu.</v>
      </c>
      <c r="K47" s="141" t="str">
        <f>IFERROR(__xludf.DUMMYFUNCTION("""COMPUTED_VALUE"""),"5: Menolak dengan tegas, paham bahaya dan dosa.")</f>
        <v>5: Menolak dengan tegas, paham bahaya dan dosa.</v>
      </c>
      <c r="L47" s="141" t="str">
        <f>IFERROR(__xludf.DUMMYFUNCTION("""COMPUTED_VALUE"""),"4: Hobi umum yang wajar (menggambar, dll).")</f>
        <v>4: Hobi umum yang wajar (menggambar, dll).</v>
      </c>
      <c r="M47" s="141" t="str">
        <f>IFERROR(__xludf.DUMMYFUNCTION("""COMPUTED_VALUE"""),"Muhammad syauqi alfaruq")</f>
        <v>Muhammad syauqi alfaruq</v>
      </c>
      <c r="N47" s="141" t="str">
        <f>IFERROR(__xludf.DUMMYFUNCTION("""COMPUTED_VALUE"""),"A. Sangat Layak diterima (potensi besar berkembang di pesantren).")</f>
        <v>A. Sangat Layak diterima (potensi besar berkembang di pesantren).</v>
      </c>
      <c r="O47" s="141"/>
      <c r="P47" s="131" t="str">
        <f t="shared" ref="P47:V47" si="49">left(F47,1)</f>
        <v>4</v>
      </c>
      <c r="Q47" s="131" t="str">
        <f t="shared" si="49"/>
        <v>5</v>
      </c>
      <c r="R47" s="131" t="str">
        <f t="shared" si="49"/>
        <v>5</v>
      </c>
      <c r="S47" s="131" t="str">
        <f t="shared" si="49"/>
        <v>5</v>
      </c>
      <c r="T47" s="131" t="str">
        <f t="shared" si="49"/>
        <v>5</v>
      </c>
      <c r="U47" s="131" t="str">
        <f t="shared" si="49"/>
        <v>5</v>
      </c>
      <c r="V47" s="131" t="str">
        <f t="shared" si="49"/>
        <v>4</v>
      </c>
      <c r="W47" s="119">
        <f t="shared" si="3"/>
        <v>33</v>
      </c>
      <c r="X47" s="119" t="str">
        <f t="shared" si="4"/>
        <v>Siap</v>
      </c>
      <c r="Y47" s="119" t="str">
        <f t="shared" si="5"/>
        <v>bisa mengikuti pola pesantren dengan baik</v>
      </c>
      <c r="Z47" s="120"/>
      <c r="AA47" s="132"/>
      <c r="AB47" s="132"/>
      <c r="AC47" s="132"/>
      <c r="AD47" s="133"/>
      <c r="AE47" s="134"/>
    </row>
    <row r="48" ht="24.0" customHeight="1">
      <c r="A48" s="139">
        <f>IFERROR(__xludf.DUMMYFUNCTION("""COMPUTED_VALUE"""),45931.696667662036)</f>
        <v>45931.69667</v>
      </c>
      <c r="B48" s="140" t="str">
        <f>IFERROR(__xludf.DUMMYFUNCTION("""COMPUTED_VALUE"""),"rimamaryani5606@gmail.com")</f>
        <v>rimamaryani5606@gmail.com</v>
      </c>
      <c r="C48" s="140" t="str">
        <f>IFERROR(__xludf.DUMMYFUNCTION("""COMPUTED_VALUE""")," Granada Khansa El Qibtiya")</f>
        <v> Granada Khansa El Qibtiya</v>
      </c>
      <c r="D48" s="140" t="str">
        <f>IFERROR(__xludf.DUMMYFUNCTION("""COMPUTED_VALUE"""),"D250026")</f>
        <v>D250026</v>
      </c>
      <c r="E48" s="140" t="str">
        <f>IFERROR(__xludf.DUMMYFUNCTION("""COMPUTED_VALUE"""),"MTs Putri")</f>
        <v>MTs Putri</v>
      </c>
      <c r="F48" s="141" t="str">
        <f>IFERROR(__xludf.DUMMYFUNCTION("""COMPUTED_VALUE"""),"4: Cukup jelas, alasan positif namun masih umum.")</f>
        <v>4: Cukup jelas, alasan positif namun masih umum.</v>
      </c>
      <c r="G48" s="141" t="str">
        <f>IFERROR(__xludf.DUMMYFUNCTION("""COMPUTED_VALUE"""),"4: Lingkungan cukup mendukung, ada perhatian orang tua.")</f>
        <v>4: Lingkungan cukup mendukung, ada perhatian orang tua.</v>
      </c>
      <c r="H48" s="141" t="str">
        <f>IFERROR(__xludf.DUMMYFUNCTION("""COMPUTED_VALUE"""),"5: Hobi bermanfaat (olahraga, membaca, permainan edukatif).")</f>
        <v>5: Hobi bermanfaat (olahraga, membaca, permainan edukatif).</v>
      </c>
      <c r="I48" s="141" t="str">
        <f>IFERROR(__xludf.DUMMYFUNCTION("""COMPUTED_VALUE"""),"5: Berteman dengan lingkungan positif (masjid, teman shalih/shalihah).")</f>
        <v>5: Berteman dengan lingkungan positif (masjid, teman shalih/shalihah).</v>
      </c>
      <c r="J48" s="141" t="str">
        <f>IFERROR(__xludf.DUMMYFUNCTION("""COMPUTED_VALUE"""),"5: Jelas menolak, punya alasan agama/ilmu.")</f>
        <v>5: Jelas menolak, punya alasan agama/ilmu.</v>
      </c>
      <c r="K48" s="141" t="str">
        <f>IFERROR(__xludf.DUMMYFUNCTION("""COMPUTED_VALUE"""),"5: Menolak dengan tegas, paham bahaya dan dosa.")</f>
        <v>5: Menolak dengan tegas, paham bahaya dan dosa.</v>
      </c>
      <c r="L48" s="141" t="str">
        <f>IFERROR(__xludf.DUMMYFUNCTION("""COMPUTED_VALUE"""),"4: Hobi umum yang wajar (menggambar, dll).")</f>
        <v>4: Hobi umum yang wajar (menggambar, dll).</v>
      </c>
      <c r="M48" s="141" t="str">
        <f>IFERROR(__xludf.DUMMYFUNCTION("""COMPUTED_VALUE"""),"Rima Maryani Putri Utami, S.Pd.I")</f>
        <v>Rima Maryani Putri Utami, S.Pd.I</v>
      </c>
      <c r="N48" s="141" t="str">
        <f>IFERROR(__xludf.DUMMYFUNCTION("""COMPUTED_VALUE"""),"A. Sangat Layak diterima (potensi besar berkembang di pesantren).")</f>
        <v>A. Sangat Layak diterima (potensi besar berkembang di pesantren).</v>
      </c>
      <c r="O48" s="141" t="str">
        <f>IFERROR(__xludf.DUMMYFUNCTION("""COMPUTED_VALUE"""),"Alhamdulillah, ananda cukup komunikatif dalam menjawab pertanyaan. ")</f>
        <v>Alhamdulillah, ananda cukup komunikatif dalam menjawab pertanyaan. </v>
      </c>
      <c r="P48" s="131" t="str">
        <f t="shared" ref="P48:V48" si="50">left(F48,1)</f>
        <v>4</v>
      </c>
      <c r="Q48" s="131" t="str">
        <f t="shared" si="50"/>
        <v>4</v>
      </c>
      <c r="R48" s="131" t="str">
        <f t="shared" si="50"/>
        <v>5</v>
      </c>
      <c r="S48" s="131" t="str">
        <f t="shared" si="50"/>
        <v>5</v>
      </c>
      <c r="T48" s="131" t="str">
        <f t="shared" si="50"/>
        <v>5</v>
      </c>
      <c r="U48" s="131" t="str">
        <f t="shared" si="50"/>
        <v>5</v>
      </c>
      <c r="V48" s="131" t="str">
        <f t="shared" si="50"/>
        <v>4</v>
      </c>
      <c r="W48" s="119">
        <f t="shared" si="3"/>
        <v>32</v>
      </c>
      <c r="X48" s="119" t="str">
        <f t="shared" si="4"/>
        <v>Siap</v>
      </c>
      <c r="Y48" s="119" t="str">
        <f t="shared" si="5"/>
        <v>bisa mengikuti pola pesantren dengan baik</v>
      </c>
      <c r="Z48" s="120"/>
      <c r="AA48" s="132"/>
      <c r="AB48" s="132"/>
      <c r="AC48" s="132"/>
      <c r="AD48" s="133"/>
      <c r="AE48" s="134"/>
    </row>
    <row r="49" ht="24.0" customHeight="1">
      <c r="A49" s="139">
        <f>IFERROR(__xludf.DUMMYFUNCTION("""COMPUTED_VALUE"""),45931.82887096065)</f>
        <v>45931.82887</v>
      </c>
      <c r="B49" s="140" t="str">
        <f>IFERROR(__xludf.DUMMYFUNCTION("""COMPUTED_VALUE"""),"nabilmujtaba426@gmail.com")</f>
        <v>nabilmujtaba426@gmail.com</v>
      </c>
      <c r="C49" s="140" t="str">
        <f>IFERROR(__xludf.DUMMYFUNCTION("""COMPUTED_VALUE"""),"Satria Panca Desmara")</f>
        <v>Satria Panca Desmara</v>
      </c>
      <c r="D49" s="140" t="str">
        <f>IFERROR(__xludf.DUMMYFUNCTION("""COMPUTED_VALUE"""),"A250028")</f>
        <v>A250028</v>
      </c>
      <c r="E49" s="140" t="str">
        <f>IFERROR(__xludf.DUMMYFUNCTION("""COMPUTED_VALUE"""),"MTs Putra")</f>
        <v>MTs Putra</v>
      </c>
      <c r="F49" s="141" t="str">
        <f>IFERROR(__xludf.DUMMYFUNCTION("""COMPUTED_VALUE"""),"4: Cukup jelas, alasan positif namun masih umum.")</f>
        <v>4: Cukup jelas, alasan positif namun masih umum.</v>
      </c>
      <c r="G49" s="141" t="str">
        <f>IFERROR(__xludf.DUMMYFUNCTION("""COMPUTED_VALUE"""),"3: Lingkungan biasa saja, kadang ada pengaruh negatif.")</f>
        <v>3: Lingkungan biasa saja, kadang ada pengaruh negatif.</v>
      </c>
      <c r="H49" s="141" t="str">
        <f>IFERROR(__xludf.DUMMYFUNCTION("""COMPUTED_VALUE"""),"4: Game rekreasi wajar, tidak berlebihan.")</f>
        <v>4: Game rekreasi wajar, tidak berlebihan.</v>
      </c>
      <c r="I49" s="141" t="str">
        <f>IFERROR(__xludf.DUMMYFUNCTION("""COMPUTED_VALUE"""),"3: Teman biasa saja, netral.")</f>
        <v>3: Teman biasa saja, netral.</v>
      </c>
      <c r="J49" s="141" t="str">
        <f>IFERROR(__xludf.DUMMYFUNCTION("""COMPUTED_VALUE"""),"4: Menolak, tapi alasannya umum.")</f>
        <v>4: Menolak, tapi alasannya umum.</v>
      </c>
      <c r="K49" s="141" t="str">
        <f>IFERROR(__xludf.DUMMYFUNCTION("""COMPUTED_VALUE"""),"4: Menolak, tapi belum terlalu paham alasannya.")</f>
        <v>4: Menolak, tapi belum terlalu paham alasannya.</v>
      </c>
      <c r="L49" s="141" t="str">
        <f>IFERROR(__xludf.DUMMYFUNCTION("""COMPUTED_VALUE"""),"4: Hobi umum yang wajar (menggambar, dll).")</f>
        <v>4: Hobi umum yang wajar (menggambar, dll).</v>
      </c>
      <c r="M49" s="141" t="str">
        <f>IFERROR(__xludf.DUMMYFUNCTION("""COMPUTED_VALUE"""),"Nabil Mujtaba")</f>
        <v>Nabil Mujtaba</v>
      </c>
      <c r="N49" s="141" t="str">
        <f>IFERROR(__xludf.DUMMYFUNCTION("""COMPUTED_VALUE"""),"B. Layak diterima dengan catatan pembinaan.")</f>
        <v>B. Layak diterima dengan catatan pembinaan.</v>
      </c>
      <c r="O49" s="141"/>
      <c r="P49" s="131" t="str">
        <f t="shared" ref="P49:V49" si="51">left(F49,1)</f>
        <v>4</v>
      </c>
      <c r="Q49" s="131" t="str">
        <f t="shared" si="51"/>
        <v>3</v>
      </c>
      <c r="R49" s="131" t="str">
        <f t="shared" si="51"/>
        <v>4</v>
      </c>
      <c r="S49" s="131" t="str">
        <f t="shared" si="51"/>
        <v>3</v>
      </c>
      <c r="T49" s="131" t="str">
        <f t="shared" si="51"/>
        <v>4</v>
      </c>
      <c r="U49" s="131" t="str">
        <f t="shared" si="51"/>
        <v>4</v>
      </c>
      <c r="V49" s="131" t="str">
        <f t="shared" si="51"/>
        <v>4</v>
      </c>
      <c r="W49" s="119">
        <f t="shared" si="3"/>
        <v>26</v>
      </c>
      <c r="X49" s="119" t="str">
        <f t="shared" si="4"/>
        <v>Cukup Siap</v>
      </c>
      <c r="Y49" s="119" t="str">
        <f t="shared" si="5"/>
        <v>perlu pendampingan awal</v>
      </c>
      <c r="Z49" s="120"/>
      <c r="AA49" s="132"/>
      <c r="AB49" s="132"/>
      <c r="AC49" s="132"/>
      <c r="AD49" s="133"/>
      <c r="AE49" s="134"/>
    </row>
    <row r="50" ht="24.0" customHeight="1">
      <c r="A50" s="139">
        <f>IFERROR(__xludf.DUMMYFUNCTION("""COMPUTED_VALUE"""),45932.610787592595)</f>
        <v>45932.61079</v>
      </c>
      <c r="B50" s="140" t="str">
        <f>IFERROR(__xludf.DUMMYFUNCTION("""COMPUTED_VALUE"""),"rimamaryani5606@gmail.com")</f>
        <v>rimamaryani5606@gmail.com</v>
      </c>
      <c r="C50" s="140" t="str">
        <f>IFERROR(__xludf.DUMMYFUNCTION("""COMPUTED_VALUE"""),"Maryam Al-Kayyisah")</f>
        <v>Maryam Al-Kayyisah</v>
      </c>
      <c r="D50" s="140" t="str">
        <f>IFERROR(__xludf.DUMMYFUNCTION("""COMPUTED_VALUE"""),"D250019")</f>
        <v>D250019</v>
      </c>
      <c r="E50" s="140" t="str">
        <f>IFERROR(__xludf.DUMMYFUNCTION("""COMPUTED_VALUE"""),"MTs Putri")</f>
        <v>MTs Putri</v>
      </c>
      <c r="F50" s="141" t="str">
        <f>IFERROR(__xludf.DUMMYFUNCTION("""COMPUTED_VALUE"""),"4: Cukup jelas, alasan positif namun masih umum.")</f>
        <v>4: Cukup jelas, alasan positif namun masih umum.</v>
      </c>
      <c r="G50" s="141" t="str">
        <f>IFERROR(__xludf.DUMMYFUNCTION("""COMPUTED_VALUE"""),"5: Lingkungan sangat mendukung (keluarga islami, shalat berjamaah, kontrol gadget baik).")</f>
        <v>5: Lingkungan sangat mendukung (keluarga islami, shalat berjamaah, kontrol gadget baik).</v>
      </c>
      <c r="H50" s="141" t="str">
        <f>IFERROR(__xludf.DUMMYFUNCTION("""COMPUTED_VALUE"""),"5: Hobi bermanfaat (olahraga, membaca, permainan edukatif).")</f>
        <v>5: Hobi bermanfaat (olahraga, membaca, permainan edukatif).</v>
      </c>
      <c r="I50" s="141" t="str">
        <f>IFERROR(__xludf.DUMMYFUNCTION("""COMPUTED_VALUE"""),"5: Berteman dengan lingkungan positif (masjid, teman shalih/shalihah).")</f>
        <v>5: Berteman dengan lingkungan positif (masjid, teman shalih/shalihah).</v>
      </c>
      <c r="J50" s="141" t="str">
        <f>IFERROR(__xludf.DUMMYFUNCTION("""COMPUTED_VALUE"""),"5: Jelas menolak, punya alasan agama/ilmu.")</f>
        <v>5: Jelas menolak, punya alasan agama/ilmu.</v>
      </c>
      <c r="K50" s="141" t="str">
        <f>IFERROR(__xludf.DUMMYFUNCTION("""COMPUTED_VALUE"""),"5: Menolak dengan tegas, paham bahaya dan dosa.")</f>
        <v>5: Menolak dengan tegas, paham bahaya dan dosa.</v>
      </c>
      <c r="L50" s="141" t="str">
        <f>IFERROR(__xludf.DUMMYFUNCTION("""COMPUTED_VALUE"""),"4: Hobi umum yang wajar (menggambar, dll).")</f>
        <v>4: Hobi umum yang wajar (menggambar, dll).</v>
      </c>
      <c r="M50" s="141" t="str">
        <f>IFERROR(__xludf.DUMMYFUNCTION("""COMPUTED_VALUE"""),"Rima Maryani Putri Utami, S.Pd.I")</f>
        <v>Rima Maryani Putri Utami, S.Pd.I</v>
      </c>
      <c r="N50" s="141" t="str">
        <f>IFERROR(__xludf.DUMMYFUNCTION("""COMPUTED_VALUE"""),"A. Sangat Layak diterima (potensi besar berkembang di pesantren).")</f>
        <v>A. Sangat Layak diterima (potensi besar berkembang di pesantren).</v>
      </c>
      <c r="O50" s="141" t="str">
        <f>IFERROR(__xludf.DUMMYFUNCTION("""COMPUTED_VALUE"""),"Alhamdulillah, selama wawancara ananda sangat komunikatif dan baik dalam menjawab pertanyaan.ananda berada dilingkungan yang baik dan  ")</f>
        <v>Alhamdulillah, selama wawancara ananda sangat komunikatif dan baik dalam menjawab pertanyaan.ananda berada dilingkungan yang baik dan  </v>
      </c>
      <c r="P50" s="131" t="str">
        <f t="shared" ref="P50:V50" si="52">left(F50,1)</f>
        <v>4</v>
      </c>
      <c r="Q50" s="131" t="str">
        <f t="shared" si="52"/>
        <v>5</v>
      </c>
      <c r="R50" s="131" t="str">
        <f t="shared" si="52"/>
        <v>5</v>
      </c>
      <c r="S50" s="131" t="str">
        <f t="shared" si="52"/>
        <v>5</v>
      </c>
      <c r="T50" s="131" t="str">
        <f t="shared" si="52"/>
        <v>5</v>
      </c>
      <c r="U50" s="131" t="str">
        <f t="shared" si="52"/>
        <v>5</v>
      </c>
      <c r="V50" s="131" t="str">
        <f t="shared" si="52"/>
        <v>4</v>
      </c>
      <c r="W50" s="119">
        <f t="shared" si="3"/>
        <v>33</v>
      </c>
      <c r="X50" s="119" t="str">
        <f t="shared" si="4"/>
        <v>Siap</v>
      </c>
      <c r="Y50" s="119" t="str">
        <f t="shared" si="5"/>
        <v>bisa mengikuti pola pesantren dengan baik</v>
      </c>
      <c r="Z50" s="120"/>
      <c r="AA50" s="132"/>
      <c r="AB50" s="132"/>
      <c r="AC50" s="132"/>
      <c r="AD50" s="133"/>
      <c r="AE50" s="134"/>
    </row>
    <row r="51" ht="24.0" customHeight="1">
      <c r="A51" s="139">
        <f>IFERROR(__xludf.DUMMYFUNCTION("""COMPUTED_VALUE"""),45932.69174622685)</f>
        <v>45932.69175</v>
      </c>
      <c r="B51" s="140" t="str">
        <f>IFERROR(__xludf.DUMMYFUNCTION("""COMPUTED_VALUE"""),"rimamaryani5606@gmail.com")</f>
        <v>rimamaryani5606@gmail.com</v>
      </c>
      <c r="C51" s="140" t="str">
        <f>IFERROR(__xludf.DUMMYFUNCTION("""COMPUTED_VALUE"""),"Hanifah Azahra Putri")</f>
        <v>Hanifah Azahra Putri</v>
      </c>
      <c r="D51" s="140" t="str">
        <f>IFERROR(__xludf.DUMMYFUNCTION("""COMPUTED_VALUE"""),"D250022")</f>
        <v>D250022</v>
      </c>
      <c r="E51" s="140" t="str">
        <f>IFERROR(__xludf.DUMMYFUNCTION("""COMPUTED_VALUE"""),"MTs Putri")</f>
        <v>MTs Putri</v>
      </c>
      <c r="F51" s="141" t="str">
        <f>IFERROR(__xludf.DUMMYFUNCTION("""COMPUTED_VALUE"""),"4: Cukup jelas, alasan positif namun masih umum.")</f>
        <v>4: Cukup jelas, alasan positif namun masih umum.</v>
      </c>
      <c r="G51" s="141" t="str">
        <f>IFERROR(__xludf.DUMMYFUNCTION("""COMPUTED_VALUE"""),"4: Lingkungan cukup mendukung, ada perhatian orang tua.")</f>
        <v>4: Lingkungan cukup mendukung, ada perhatian orang tua.</v>
      </c>
      <c r="H51" s="141" t="str">
        <f>IFERROR(__xludf.DUMMYFUNCTION("""COMPUTED_VALUE"""),"4: Game rekreasi wajar, tidak berlebihan.")</f>
        <v>4: Game rekreasi wajar, tidak berlebihan.</v>
      </c>
      <c r="I51" s="141" t="str">
        <f>IFERROR(__xludf.DUMMYFUNCTION("""COMPUTED_VALUE"""),"5: Berteman dengan lingkungan positif (masjid, teman shalih/shalihah).")</f>
        <v>5: Berteman dengan lingkungan positif (masjid, teman shalih/shalihah).</v>
      </c>
      <c r="J51" s="141" t="str">
        <f>IFERROR(__xludf.DUMMYFUNCTION("""COMPUTED_VALUE"""),"4: Menolak, tapi alasannya umum.")</f>
        <v>4: Menolak, tapi alasannya umum.</v>
      </c>
      <c r="K51" s="141" t="str">
        <f>IFERROR(__xludf.DUMMYFUNCTION("""COMPUTED_VALUE"""),"4: Menolak, tapi belum terlalu paham alasannya.")</f>
        <v>4: Menolak, tapi belum terlalu paham alasannya.</v>
      </c>
      <c r="L51" s="141" t="str">
        <f>IFERROR(__xludf.DUMMYFUNCTION("""COMPUTED_VALUE"""),"4: Hobi umum yang wajar (menggambar, dll).")</f>
        <v>4: Hobi umum yang wajar (menggambar, dll).</v>
      </c>
      <c r="M51" s="141" t="str">
        <f>IFERROR(__xludf.DUMMYFUNCTION("""COMPUTED_VALUE"""),"Rima Maryani Putri Utami, S.Pd.I")</f>
        <v>Rima Maryani Putri Utami, S.Pd.I</v>
      </c>
      <c r="N51" s="141" t="str">
        <f>IFERROR(__xludf.DUMMYFUNCTION("""COMPUTED_VALUE"""),"B. Layak diterima dengan catatan pembinaan.")</f>
        <v>B. Layak diterima dengan catatan pembinaan.</v>
      </c>
      <c r="O51" s="141" t="str">
        <f>IFERROR(__xludf.DUMMYFUNCTION("""COMPUTED_VALUE"""),"Alhamdulillah, wawancara dengan ananda cukup komunikatif dan lancar. Pengawasan orang tua cukup baik meskipun ananda tidak dibatasi dalam penggunaan gawai. Ananda hanya menggunakannya untuk komunikasi saja dengan teman-temannya via WA. ")</f>
        <v>Alhamdulillah, wawancara dengan ananda cukup komunikatif dan lancar. Pengawasan orang tua cukup baik meskipun ananda tidak dibatasi dalam penggunaan gawai. Ananda hanya menggunakannya untuk komunikasi saja dengan teman-temannya via WA. </v>
      </c>
      <c r="P51" s="131" t="str">
        <f t="shared" ref="P51:V51" si="53">left(F51,1)</f>
        <v>4</v>
      </c>
      <c r="Q51" s="131" t="str">
        <f t="shared" si="53"/>
        <v>4</v>
      </c>
      <c r="R51" s="131" t="str">
        <f t="shared" si="53"/>
        <v>4</v>
      </c>
      <c r="S51" s="131" t="str">
        <f t="shared" si="53"/>
        <v>5</v>
      </c>
      <c r="T51" s="131" t="str">
        <f t="shared" si="53"/>
        <v>4</v>
      </c>
      <c r="U51" s="131" t="str">
        <f t="shared" si="53"/>
        <v>4</v>
      </c>
      <c r="V51" s="131" t="str">
        <f t="shared" si="53"/>
        <v>4</v>
      </c>
      <c r="W51" s="119">
        <f t="shared" si="3"/>
        <v>29</v>
      </c>
      <c r="X51" s="119" t="str">
        <f t="shared" si="4"/>
        <v>Siap</v>
      </c>
      <c r="Y51" s="119" t="str">
        <f t="shared" si="5"/>
        <v>bisa mengikuti pola pesantren dengan baik</v>
      </c>
      <c r="Z51" s="120"/>
      <c r="AA51" s="132"/>
      <c r="AB51" s="132"/>
      <c r="AC51" s="132"/>
      <c r="AD51" s="133"/>
      <c r="AE51" s="134"/>
    </row>
    <row r="52" ht="24.0" customHeight="1">
      <c r="A52" s="139">
        <f>IFERROR(__xludf.DUMMYFUNCTION("""COMPUTED_VALUE"""),45932.84608498843)</f>
        <v>45932.84608</v>
      </c>
      <c r="B52" s="140" t="str">
        <f>IFERROR(__xludf.DUMMYFUNCTION("""COMPUTED_VALUE"""),"zaldoyrizaldi@gmail.com")</f>
        <v>zaldoyrizaldi@gmail.com</v>
      </c>
      <c r="C52" s="140" t="str">
        <f>IFERROR(__xludf.DUMMYFUNCTION("""COMPUTED_VALUE"""),"Satria Ibrahim Tamaoki")</f>
        <v>Satria Ibrahim Tamaoki</v>
      </c>
      <c r="D52" s="140" t="str">
        <f>IFERROR(__xludf.DUMMYFUNCTION("""COMPUTED_VALUE"""),"A250072")</f>
        <v>A250072</v>
      </c>
      <c r="E52" s="140" t="str">
        <f>IFERROR(__xludf.DUMMYFUNCTION("""COMPUTED_VALUE"""),"MTs Putra")</f>
        <v>MTs Putra</v>
      </c>
      <c r="F52" s="141" t="str">
        <f>IFERROR(__xludf.DUMMYFUNCTION("""COMPUTED_VALUE"""),"5: Sangat jelas, kuat, dan sesuai visi pesantren (ingin belajar agama, mandiri, dekat dengan Allah).")</f>
        <v>5: Sangat jelas, kuat, dan sesuai visi pesantren (ingin belajar agama, mandiri, dekat dengan Allah).</v>
      </c>
      <c r="G52" s="141" t="str">
        <f>IFERROR(__xludf.DUMMYFUNCTION("""COMPUTED_VALUE"""),"4: Lingkungan cukup mendukung, ada perhatian orang tua.")</f>
        <v>4: Lingkungan cukup mendukung, ada perhatian orang tua.</v>
      </c>
      <c r="H52" s="141" t="str">
        <f>IFERROR(__xludf.DUMMYFUNCTION("""COMPUTED_VALUE"""),"4: Game rekreasi wajar, tidak berlebihan.")</f>
        <v>4: Game rekreasi wajar, tidak berlebihan.</v>
      </c>
      <c r="I52" s="141" t="str">
        <f>IFERROR(__xludf.DUMMYFUNCTION("""COMPUTED_VALUE"""),"3: Teman biasa saja, netral.")</f>
        <v>3: Teman biasa saja, netral.</v>
      </c>
      <c r="J52" s="141" t="str">
        <f>IFERROR(__xludf.DUMMYFUNCTION("""COMPUTED_VALUE"""),"4: Menolak, tapi alasannya umum.")</f>
        <v>4: Menolak, tapi alasannya umum.</v>
      </c>
      <c r="K52" s="141" t="str">
        <f>IFERROR(__xludf.DUMMYFUNCTION("""COMPUTED_VALUE"""),"5: Menolak dengan tegas, paham bahaya dan dosa.")</f>
        <v>5: Menolak dengan tegas, paham bahaya dan dosa.</v>
      </c>
      <c r="L52" s="141" t="str">
        <f>IFERROR(__xludf.DUMMYFUNCTION("""COMPUTED_VALUE"""),"5: Hobi positif, produktif, mendukung pengembangan diri (olahraga, membaca, seni islami).")</f>
        <v>5: Hobi positif, produktif, mendukung pengembangan diri (olahraga, membaca, seni islami).</v>
      </c>
      <c r="M52" s="141" t="str">
        <f>IFERROR(__xludf.DUMMYFUNCTION("""COMPUTED_VALUE"""),"Rizaldi")</f>
        <v>Rizaldi</v>
      </c>
      <c r="N52" s="141" t="str">
        <f>IFERROR(__xludf.DUMMYFUNCTION("""COMPUTED_VALUE"""),"B. Layak diterima dengan catatan pembinaan.")</f>
        <v>B. Layak diterima dengan catatan pembinaan.</v>
      </c>
      <c r="O52" s="141" t="str">
        <f>IFERROR(__xludf.DUMMYFUNCTION("""COMPUTED_VALUE"""),"Karena begrondari sekolah umum maka harus banyak di motivasi dan arahan")</f>
        <v>Karena begrondari sekolah umum maka harus banyak di motivasi dan arahan</v>
      </c>
      <c r="P52" s="131" t="str">
        <f t="shared" ref="P52:V52" si="54">left(F52,1)</f>
        <v>5</v>
      </c>
      <c r="Q52" s="131" t="str">
        <f t="shared" si="54"/>
        <v>4</v>
      </c>
      <c r="R52" s="131" t="str">
        <f t="shared" si="54"/>
        <v>4</v>
      </c>
      <c r="S52" s="131" t="str">
        <f t="shared" si="54"/>
        <v>3</v>
      </c>
      <c r="T52" s="131" t="str">
        <f t="shared" si="54"/>
        <v>4</v>
      </c>
      <c r="U52" s="131" t="str">
        <f t="shared" si="54"/>
        <v>5</v>
      </c>
      <c r="V52" s="131" t="str">
        <f t="shared" si="54"/>
        <v>5</v>
      </c>
      <c r="W52" s="119">
        <f t="shared" si="3"/>
        <v>30</v>
      </c>
      <c r="X52" s="119" t="str">
        <f t="shared" si="4"/>
        <v>Siap</v>
      </c>
      <c r="Y52" s="119" t="str">
        <f t="shared" si="5"/>
        <v>bisa mengikuti pola pesantren dengan baik</v>
      </c>
      <c r="Z52" s="120"/>
      <c r="AA52" s="132"/>
      <c r="AB52" s="132"/>
      <c r="AC52" s="132"/>
      <c r="AD52" s="133"/>
      <c r="AE52" s="134"/>
    </row>
    <row r="53" ht="24.0" customHeight="1">
      <c r="A53" s="139">
        <f>IFERROR(__xludf.DUMMYFUNCTION("""COMPUTED_VALUE"""),45932.85231773148)</f>
        <v>45932.85232</v>
      </c>
      <c r="B53" s="140" t="str">
        <f>IFERROR(__xludf.DUMMYFUNCTION("""COMPUTED_VALUE"""),"alfaruqsyauqi513@gmail.com")</f>
        <v>alfaruqsyauqi513@gmail.com</v>
      </c>
      <c r="C53" s="140" t="str">
        <f>IFERROR(__xludf.DUMMYFUNCTION("""COMPUTED_VALUE"""),"Muhammad nizar ")</f>
        <v>Muhammad nizar </v>
      </c>
      <c r="D53" s="140" t="str">
        <f>IFERROR(__xludf.DUMMYFUNCTION("""COMPUTED_VALUE"""),"A250061")</f>
        <v>A250061</v>
      </c>
      <c r="E53" s="140" t="str">
        <f>IFERROR(__xludf.DUMMYFUNCTION("""COMPUTED_VALUE"""),"MTs Putra")</f>
        <v>MTs Putra</v>
      </c>
      <c r="F53" s="141" t="str">
        <f>IFERROR(__xludf.DUMMYFUNCTION("""COMPUTED_VALUE"""),"3: Alasan kurang terarah, dipengaruhi orang tua, tapi ada kesediaan.")</f>
        <v>3: Alasan kurang terarah, dipengaruhi orang tua, tapi ada kesediaan.</v>
      </c>
      <c r="G53" s="141" t="str">
        <f>IFERROR(__xludf.DUMMYFUNCTION("""COMPUTED_VALUE"""),"5: Lingkungan sangat mendukung (keluarga islami, shalat berjamaah, kontrol gadget baik).")</f>
        <v>5: Lingkungan sangat mendukung (keluarga islami, shalat berjamaah, kontrol gadget baik).</v>
      </c>
      <c r="H53" s="141" t="str">
        <f>IFERROR(__xludf.DUMMYFUNCTION("""COMPUTED_VALUE"""),"5: Hobi bermanfaat (olahraga, membaca, permainan edukatif).")</f>
        <v>5: Hobi bermanfaat (olahraga, membaca, permainan edukatif).</v>
      </c>
      <c r="I53" s="141" t="str">
        <f>IFERROR(__xludf.DUMMYFUNCTION("""COMPUTED_VALUE"""),"5: Berteman dengan lingkungan positif (masjid, teman shalih/shalihah).")</f>
        <v>5: Berteman dengan lingkungan positif (masjid, teman shalih/shalihah).</v>
      </c>
      <c r="J53" s="141" t="str">
        <f>IFERROR(__xludf.DUMMYFUNCTION("""COMPUTED_VALUE"""),"5: Jelas menolak, punya alasan agama/ilmu.")</f>
        <v>5: Jelas menolak, punya alasan agama/ilmu.</v>
      </c>
      <c r="K53" s="141" t="str">
        <f>IFERROR(__xludf.DUMMYFUNCTION("""COMPUTED_VALUE"""),"5: Menolak dengan tegas, paham bahaya dan dosa.")</f>
        <v>5: Menolak dengan tegas, paham bahaya dan dosa.</v>
      </c>
      <c r="L53" s="141" t="str">
        <f>IFERROR(__xludf.DUMMYFUNCTION("""COMPUTED_VALUE"""),"5: Hobi positif, produktif, mendukung pengembangan diri (olahraga, membaca, seni islami).")</f>
        <v>5: Hobi positif, produktif, mendukung pengembangan diri (olahraga, membaca, seni islami).</v>
      </c>
      <c r="M53" s="141" t="str">
        <f>IFERROR(__xludf.DUMMYFUNCTION("""COMPUTED_VALUE"""),"Muhammad syauqi al faruq")</f>
        <v>Muhammad syauqi al faruq</v>
      </c>
      <c r="N53" s="141" t="str">
        <f>IFERROR(__xludf.DUMMYFUNCTION("""COMPUTED_VALUE"""),"B. Layak diterima dengan catatan pembinaan.")</f>
        <v>B. Layak diterima dengan catatan pembinaan.</v>
      </c>
      <c r="O53" s="141" t="str">
        <f>IFERROR(__xludf.DUMMYFUNCTION("""COMPUTED_VALUE"""),"Dibantu orang tua jawabannya")</f>
        <v>Dibantu orang tua jawabannya</v>
      </c>
      <c r="P53" s="131" t="str">
        <f t="shared" ref="P53:V53" si="55">left(F53,1)</f>
        <v>3</v>
      </c>
      <c r="Q53" s="131" t="str">
        <f t="shared" si="55"/>
        <v>5</v>
      </c>
      <c r="R53" s="131" t="str">
        <f t="shared" si="55"/>
        <v>5</v>
      </c>
      <c r="S53" s="131" t="str">
        <f t="shared" si="55"/>
        <v>5</v>
      </c>
      <c r="T53" s="131" t="str">
        <f t="shared" si="55"/>
        <v>5</v>
      </c>
      <c r="U53" s="131" t="str">
        <f t="shared" si="55"/>
        <v>5</v>
      </c>
      <c r="V53" s="131" t="str">
        <f t="shared" si="55"/>
        <v>5</v>
      </c>
      <c r="W53" s="119">
        <f t="shared" si="3"/>
        <v>33</v>
      </c>
      <c r="X53" s="119" t="str">
        <f t="shared" si="4"/>
        <v>Siap</v>
      </c>
      <c r="Y53" s="119" t="str">
        <f t="shared" si="5"/>
        <v>bisa mengikuti pola pesantren dengan baik</v>
      </c>
      <c r="Z53" s="120"/>
      <c r="AA53" s="132"/>
      <c r="AB53" s="132"/>
      <c r="AC53" s="132"/>
      <c r="AD53" s="133"/>
      <c r="AE53" s="134"/>
    </row>
    <row r="54" ht="24.0" customHeight="1">
      <c r="A54" s="139">
        <f>IFERROR(__xludf.DUMMYFUNCTION("""COMPUTED_VALUE"""),45934.54928050926)</f>
        <v>45934.54928</v>
      </c>
      <c r="B54" s="140" t="str">
        <f>IFERROR(__xludf.DUMMYFUNCTION("""COMPUTED_VALUE"""),"nabilmujtaba426@gmail.com")</f>
        <v>nabilmujtaba426@gmail.com</v>
      </c>
      <c r="C54" s="140" t="str">
        <f>IFERROR(__xludf.DUMMYFUNCTION("""COMPUTED_VALUE"""),"Ihsan Abdul Hakim")</f>
        <v>Ihsan Abdul Hakim</v>
      </c>
      <c r="D54" s="140" t="str">
        <f>IFERROR(__xludf.DUMMYFUNCTION("""COMPUTED_VALUE"""),"B250003")</f>
        <v>B250003</v>
      </c>
      <c r="E54" s="140" t="str">
        <f>IFERROR(__xludf.DUMMYFUNCTION("""COMPUTED_VALUE"""),"IL Putra")</f>
        <v>IL Putra</v>
      </c>
      <c r="F54" s="141" t="str">
        <f>IFERROR(__xludf.DUMMYFUNCTION("""COMPUTED_VALUE"""),"5: Sangat jelas, kuat, dan sesuai visi pesantren (ingin belajar agama, mandiri, dekat dengan Allah).")</f>
        <v>5: Sangat jelas, kuat, dan sesuai visi pesantren (ingin belajar agama, mandiri, dekat dengan Allah).</v>
      </c>
      <c r="G54" s="141" t="str">
        <f>IFERROR(__xludf.DUMMYFUNCTION("""COMPUTED_VALUE"""),"5: Lingkungan sangat mendukung (keluarga islami, shalat berjamaah, kontrol gadget baik).")</f>
        <v>5: Lingkungan sangat mendukung (keluarga islami, shalat berjamaah, kontrol gadget baik).</v>
      </c>
      <c r="H54" s="141" t="str">
        <f>IFERROR(__xludf.DUMMYFUNCTION("""COMPUTED_VALUE"""),"4: Game rekreasi wajar, tidak berlebihan.")</f>
        <v>4: Game rekreasi wajar, tidak berlebihan.</v>
      </c>
      <c r="I54" s="141" t="str">
        <f>IFERROR(__xludf.DUMMYFUNCTION("""COMPUTED_VALUE"""),"5: Berteman dengan lingkungan positif (masjid, teman shalih/shalihah).")</f>
        <v>5: Berteman dengan lingkungan positif (masjid, teman shalih/shalihah).</v>
      </c>
      <c r="J54" s="141" t="str">
        <f>IFERROR(__xludf.DUMMYFUNCTION("""COMPUTED_VALUE"""),"5: Jelas menolak, punya alasan agama/ilmu.")</f>
        <v>5: Jelas menolak, punya alasan agama/ilmu.</v>
      </c>
      <c r="K54" s="141" t="str">
        <f>IFERROR(__xludf.DUMMYFUNCTION("""COMPUTED_VALUE"""),"5: Menolak dengan tegas, paham bahaya dan dosa.")</f>
        <v>5: Menolak dengan tegas, paham bahaya dan dosa.</v>
      </c>
      <c r="L54" s="141" t="str">
        <f>IFERROR(__xludf.DUMMYFUNCTION("""COMPUTED_VALUE"""),"5: Hobi positif, produktif, mendukung pengembangan diri (olahraga, membaca, seni islami).")</f>
        <v>5: Hobi positif, produktif, mendukung pengembangan diri (olahraga, membaca, seni islami).</v>
      </c>
      <c r="M54" s="141" t="str">
        <f>IFERROR(__xludf.DUMMYFUNCTION("""COMPUTED_VALUE"""),"Nabil Mujtaba")</f>
        <v>Nabil Mujtaba</v>
      </c>
      <c r="N54" s="141" t="str">
        <f>IFERROR(__xludf.DUMMYFUNCTION("""COMPUTED_VALUE"""),"A. Sangat Layak diterima (potensi besar berkembang di pesantren).")</f>
        <v>A. Sangat Layak diterima (potensi besar berkembang di pesantren).</v>
      </c>
      <c r="O54" s="141" t="str">
        <f>IFERROR(__xludf.DUMMYFUNCTION("""COMPUTED_VALUE"""),"Hafalan 5 Juz
Tidak suka makan sayur apapun")</f>
        <v>Hafalan 5 Juz
Tidak suka makan sayur apapun</v>
      </c>
      <c r="P54" s="131" t="str">
        <f t="shared" ref="P54:V54" si="56">left(F54,1)</f>
        <v>5</v>
      </c>
      <c r="Q54" s="131" t="str">
        <f t="shared" si="56"/>
        <v>5</v>
      </c>
      <c r="R54" s="131" t="str">
        <f t="shared" si="56"/>
        <v>4</v>
      </c>
      <c r="S54" s="131" t="str">
        <f t="shared" si="56"/>
        <v>5</v>
      </c>
      <c r="T54" s="131" t="str">
        <f t="shared" si="56"/>
        <v>5</v>
      </c>
      <c r="U54" s="131" t="str">
        <f t="shared" si="56"/>
        <v>5</v>
      </c>
      <c r="V54" s="131" t="str">
        <f t="shared" si="56"/>
        <v>5</v>
      </c>
      <c r="W54" s="119">
        <f t="shared" si="3"/>
        <v>34</v>
      </c>
      <c r="X54" s="119" t="str">
        <f t="shared" si="4"/>
        <v>Siap</v>
      </c>
      <c r="Y54" s="119" t="str">
        <f t="shared" si="5"/>
        <v>bisa mengikuti pola pesantren dengan baik</v>
      </c>
      <c r="Z54" s="120"/>
      <c r="AA54" s="132"/>
      <c r="AB54" s="132"/>
      <c r="AC54" s="132"/>
      <c r="AD54" s="133"/>
      <c r="AE54" s="134"/>
    </row>
    <row r="55" ht="24.0" customHeight="1">
      <c r="A55" s="139">
        <f>IFERROR(__xludf.DUMMYFUNCTION("""COMPUTED_VALUE"""),45934.56243658565)</f>
        <v>45934.56244</v>
      </c>
      <c r="B55" s="140" t="str">
        <f>IFERROR(__xludf.DUMMYFUNCTION("""COMPUTED_VALUE"""),"alfaruqsyauqi513@gmail.com")</f>
        <v>alfaruqsyauqi513@gmail.com</v>
      </c>
      <c r="C55" s="140" t="str">
        <f>IFERROR(__xludf.DUMMYFUNCTION("""COMPUTED_VALUE"""),"Raihan Farzin")</f>
        <v>Raihan Farzin</v>
      </c>
      <c r="D55" s="140" t="str">
        <f>IFERROR(__xludf.DUMMYFUNCTION("""COMPUTED_VALUE"""),"B250005")</f>
        <v>B250005</v>
      </c>
      <c r="E55" s="140" t="str">
        <f>IFERROR(__xludf.DUMMYFUNCTION("""COMPUTED_VALUE"""),"IL Putra")</f>
        <v>IL Putra</v>
      </c>
      <c r="F55" s="141" t="str">
        <f>IFERROR(__xludf.DUMMYFUNCTION("""COMPUTED_VALUE"""),"4: Cukup jelas, alasan positif namun masih umum.")</f>
        <v>4: Cukup jelas, alasan positif namun masih umum.</v>
      </c>
      <c r="G55" s="141" t="str">
        <f>IFERROR(__xludf.DUMMYFUNCTION("""COMPUTED_VALUE"""),"4: Lingkungan cukup mendukung, ada perhatian orang tua.")</f>
        <v>4: Lingkungan cukup mendukung, ada perhatian orang tua.</v>
      </c>
      <c r="H55" s="141" t="str">
        <f>IFERROR(__xludf.DUMMYFUNCTION("""COMPUTED_VALUE"""),"5: Hobi bermanfaat (olahraga, membaca, permainan edukatif).")</f>
        <v>5: Hobi bermanfaat (olahraga, membaca, permainan edukatif).</v>
      </c>
      <c r="I55" s="141" t="str">
        <f>IFERROR(__xludf.DUMMYFUNCTION("""COMPUTED_VALUE"""),"5: Berteman dengan lingkungan positif (masjid, teman shalih/shalihah).")</f>
        <v>5: Berteman dengan lingkungan positif (masjid, teman shalih/shalihah).</v>
      </c>
      <c r="J55" s="141" t="str">
        <f>IFERROR(__xludf.DUMMYFUNCTION("""COMPUTED_VALUE"""),"5: Jelas menolak, punya alasan agama/ilmu.")</f>
        <v>5: Jelas menolak, punya alasan agama/ilmu.</v>
      </c>
      <c r="K55" s="141" t="str">
        <f>IFERROR(__xludf.DUMMYFUNCTION("""COMPUTED_VALUE"""),"5: Menolak dengan tegas, paham bahaya dan dosa.")</f>
        <v>5: Menolak dengan tegas, paham bahaya dan dosa.</v>
      </c>
      <c r="L55" s="141" t="str">
        <f>IFERROR(__xludf.DUMMYFUNCTION("""COMPUTED_VALUE"""),"5: Hobi positif, produktif, mendukung pengembangan diri (olahraga, membaca, seni islami).")</f>
        <v>5: Hobi positif, produktif, mendukung pengembangan diri (olahraga, membaca, seni islami).</v>
      </c>
      <c r="M55" s="141" t="str">
        <f>IFERROR(__xludf.DUMMYFUNCTION("""COMPUTED_VALUE"""),"Muhammad syauqi al faruq")</f>
        <v>Muhammad syauqi al faruq</v>
      </c>
      <c r="N55" s="141" t="str">
        <f>IFERROR(__xludf.DUMMYFUNCTION("""COMPUTED_VALUE"""),"A. Sangat Layak diterima (potensi besar berkembang di pesantren).")</f>
        <v>A. Sangat Layak diterima (potensi besar berkembang di pesantren).</v>
      </c>
      <c r="O55" s="141"/>
      <c r="P55" s="131" t="str">
        <f t="shared" ref="P55:V55" si="57">left(F55,1)</f>
        <v>4</v>
      </c>
      <c r="Q55" s="131" t="str">
        <f t="shared" si="57"/>
        <v>4</v>
      </c>
      <c r="R55" s="131" t="str">
        <f t="shared" si="57"/>
        <v>5</v>
      </c>
      <c r="S55" s="131" t="str">
        <f t="shared" si="57"/>
        <v>5</v>
      </c>
      <c r="T55" s="131" t="str">
        <f t="shared" si="57"/>
        <v>5</v>
      </c>
      <c r="U55" s="131" t="str">
        <f t="shared" si="57"/>
        <v>5</v>
      </c>
      <c r="V55" s="131" t="str">
        <f t="shared" si="57"/>
        <v>5</v>
      </c>
      <c r="W55" s="119">
        <f t="shared" si="3"/>
        <v>33</v>
      </c>
      <c r="X55" s="119" t="str">
        <f t="shared" si="4"/>
        <v>Siap</v>
      </c>
      <c r="Y55" s="119" t="str">
        <f t="shared" si="5"/>
        <v>bisa mengikuti pola pesantren dengan baik</v>
      </c>
      <c r="Z55" s="120"/>
      <c r="AA55" s="132"/>
      <c r="AB55" s="132"/>
      <c r="AC55" s="132"/>
      <c r="AD55" s="133"/>
      <c r="AE55" s="134"/>
    </row>
    <row r="56" ht="24.0" customHeight="1">
      <c r="A56" s="139">
        <f>IFERROR(__xludf.DUMMYFUNCTION("""COMPUTED_VALUE"""),45934.5775653125)</f>
        <v>45934.57757</v>
      </c>
      <c r="B56" s="140" t="str">
        <f>IFERROR(__xludf.DUMMYFUNCTION("""COMPUTED_VALUE"""),"zaldoyrizaldi@gmail.com")</f>
        <v>zaldoyrizaldi@gmail.com</v>
      </c>
      <c r="C56" s="140" t="str">
        <f>IFERROR(__xludf.DUMMYFUNCTION("""COMPUTED_VALUE"""),"yahya azka ya'sub")</f>
        <v>yahya azka ya'sub</v>
      </c>
      <c r="D56" s="140" t="str">
        <f>IFERROR(__xludf.DUMMYFUNCTION("""COMPUTED_VALUE"""),"A250058")</f>
        <v>A250058</v>
      </c>
      <c r="E56" s="140" t="str">
        <f>IFERROR(__xludf.DUMMYFUNCTION("""COMPUTED_VALUE"""),"MTs Putra")</f>
        <v>MTs Putra</v>
      </c>
      <c r="F56" s="141" t="str">
        <f>IFERROR(__xludf.DUMMYFUNCTION("""COMPUTED_VALUE"""),"5: Sangat jelas, kuat, dan sesuai visi pesantren (ingin belajar agama, mandiri, dekat dengan Allah).")</f>
        <v>5: Sangat jelas, kuat, dan sesuai visi pesantren (ingin belajar agama, mandiri, dekat dengan Allah).</v>
      </c>
      <c r="G56" s="141" t="str">
        <f>IFERROR(__xludf.DUMMYFUNCTION("""COMPUTED_VALUE"""),"5: Lingkungan sangat mendukung (keluarga islami, shalat berjamaah, kontrol gadget baik).")</f>
        <v>5: Lingkungan sangat mendukung (keluarga islami, shalat berjamaah, kontrol gadget baik).</v>
      </c>
      <c r="H56" s="141" t="str">
        <f>IFERROR(__xludf.DUMMYFUNCTION("""COMPUTED_VALUE"""),"5: Hobi bermanfaat (olahraga, membaca, permainan edukatif).")</f>
        <v>5: Hobi bermanfaat (olahraga, membaca, permainan edukatif).</v>
      </c>
      <c r="I56" s="141" t="str">
        <f>IFERROR(__xludf.DUMMYFUNCTION("""COMPUTED_VALUE"""),"4: Mayoritas teman baik, ada sedikit yang kurang baik.")</f>
        <v>4: Mayoritas teman baik, ada sedikit yang kurang baik.</v>
      </c>
      <c r="J56" s="141" t="str">
        <f>IFERROR(__xludf.DUMMYFUNCTION("""COMPUTED_VALUE"""),"5: Jelas menolak, punya alasan agama/ilmu.")</f>
        <v>5: Jelas menolak, punya alasan agama/ilmu.</v>
      </c>
      <c r="K56" s="141" t="str">
        <f>IFERROR(__xludf.DUMMYFUNCTION("""COMPUTED_VALUE"""),"4: Menolak, tapi belum terlalu paham alasannya.")</f>
        <v>4: Menolak, tapi belum terlalu paham alasannya.</v>
      </c>
      <c r="L56" s="141" t="str">
        <f>IFERROR(__xludf.DUMMYFUNCTION("""COMPUTED_VALUE"""),"4: Hobi umum yang wajar (menggambar, dll).")</f>
        <v>4: Hobi umum yang wajar (menggambar, dll).</v>
      </c>
      <c r="M56" s="141" t="str">
        <f>IFERROR(__xludf.DUMMYFUNCTION("""COMPUTED_VALUE"""),"rizaldi")</f>
        <v>rizaldi</v>
      </c>
      <c r="N56" s="141" t="str">
        <f>IFERROR(__xludf.DUMMYFUNCTION("""COMPUTED_VALUE"""),"B. Layak diterima dengan catatan pembinaan.")</f>
        <v>B. Layak diterima dengan catatan pembinaan.</v>
      </c>
      <c r="O56" s="141" t="str">
        <f>IFERROR(__xludf.DUMMYFUNCTION("""COMPUTED_VALUE"""),"sering di motivasi aja dan suruh lebih bergaul sama temennya, karena anak nya agak pendiam")</f>
        <v>sering di motivasi aja dan suruh lebih bergaul sama temennya, karena anak nya agak pendiam</v>
      </c>
      <c r="P56" s="131" t="str">
        <f t="shared" ref="P56:V56" si="58">left(F56,1)</f>
        <v>5</v>
      </c>
      <c r="Q56" s="131" t="str">
        <f t="shared" si="58"/>
        <v>5</v>
      </c>
      <c r="R56" s="131" t="str">
        <f t="shared" si="58"/>
        <v>5</v>
      </c>
      <c r="S56" s="131" t="str">
        <f t="shared" si="58"/>
        <v>4</v>
      </c>
      <c r="T56" s="131" t="str">
        <f t="shared" si="58"/>
        <v>5</v>
      </c>
      <c r="U56" s="131" t="str">
        <f t="shared" si="58"/>
        <v>4</v>
      </c>
      <c r="V56" s="131" t="str">
        <f t="shared" si="58"/>
        <v>4</v>
      </c>
      <c r="W56" s="119">
        <f t="shared" si="3"/>
        <v>32</v>
      </c>
      <c r="X56" s="119" t="str">
        <f t="shared" si="4"/>
        <v>Siap</v>
      </c>
      <c r="Y56" s="119" t="str">
        <f t="shared" si="5"/>
        <v>bisa mengikuti pola pesantren dengan baik</v>
      </c>
      <c r="Z56" s="120"/>
      <c r="AA56" s="132"/>
      <c r="AB56" s="132"/>
      <c r="AC56" s="132"/>
      <c r="AD56" s="133"/>
      <c r="AE56" s="134"/>
    </row>
    <row r="57" ht="24.0" customHeight="1">
      <c r="A57" s="139">
        <f>IFERROR(__xludf.DUMMYFUNCTION("""COMPUTED_VALUE"""),45934.634086412036)</f>
        <v>45934.63409</v>
      </c>
      <c r="B57" s="140" t="str">
        <f>IFERROR(__xludf.DUMMYFUNCTION("""COMPUTED_VALUE"""),"halimahnurjalalhfnjl@gmail.com")</f>
        <v>halimahnurjalalhfnjl@gmail.com</v>
      </c>
      <c r="C57" s="140" t="str">
        <f>IFERROR(__xludf.DUMMYFUNCTION("""COMPUTED_VALUE"""),"Alesha az Zahra saputra")</f>
        <v>Alesha az Zahra saputra</v>
      </c>
      <c r="D57" s="140" t="str">
        <f>IFERROR(__xludf.DUMMYFUNCTION("""COMPUTED_VALUE"""),"D250011")</f>
        <v>D250011</v>
      </c>
      <c r="E57" s="140" t="str">
        <f>IFERROR(__xludf.DUMMYFUNCTION("""COMPUTED_VALUE"""),"MTs Putri")</f>
        <v>MTs Putri</v>
      </c>
      <c r="F57" s="141" t="str">
        <f>IFERROR(__xludf.DUMMYFUNCTION("""COMPUTED_VALUE"""),"4: Cukup jelas, alasan positif namun masih umum.")</f>
        <v>4: Cukup jelas, alasan positif namun masih umum.</v>
      </c>
      <c r="G57" s="141" t="str">
        <f>IFERROR(__xludf.DUMMYFUNCTION("""COMPUTED_VALUE"""),"4: Lingkungan cukup mendukung, ada perhatian orang tua.")</f>
        <v>4: Lingkungan cukup mendukung, ada perhatian orang tua.</v>
      </c>
      <c r="H57" s="141" t="str">
        <f>IFERROR(__xludf.DUMMYFUNCTION("""COMPUTED_VALUE"""),"4: Game rekreasi wajar, tidak berlebihan.")</f>
        <v>4: Game rekreasi wajar, tidak berlebihan.</v>
      </c>
      <c r="I57" s="141" t="str">
        <f>IFERROR(__xludf.DUMMYFUNCTION("""COMPUTED_VALUE"""),"3: Teman biasa saja, netral.")</f>
        <v>3: Teman biasa saja, netral.</v>
      </c>
      <c r="J57" s="141" t="str">
        <f>IFERROR(__xludf.DUMMYFUNCTION("""COMPUTED_VALUE"""),"4: Menolak, tapi alasannya umum.")</f>
        <v>4: Menolak, tapi alasannya umum.</v>
      </c>
      <c r="K57" s="141" t="str">
        <f>IFERROR(__xludf.DUMMYFUNCTION("""COMPUTED_VALUE"""),"4: Menolak, tapi belum terlalu paham alasannya.")</f>
        <v>4: Menolak, tapi belum terlalu paham alasannya.</v>
      </c>
      <c r="L57" s="141" t="str">
        <f>IFERROR(__xludf.DUMMYFUNCTION("""COMPUTED_VALUE"""),"4: Hobi umum yang wajar (menggambar, dll).")</f>
        <v>4: Hobi umum yang wajar (menggambar, dll).</v>
      </c>
      <c r="M57" s="141" t="str">
        <f>IFERROR(__xludf.DUMMYFUNCTION("""COMPUTED_VALUE"""),"Halimah Fauziah  ")</f>
        <v>Halimah Fauziah  </v>
      </c>
      <c r="N57" s="141" t="str">
        <f>IFERROR(__xludf.DUMMYFUNCTION("""COMPUTED_VALUE"""),"A. Sangat Layak diterima (potensi besar berkembang di pesantren).")</f>
        <v>A. Sangat Layak diterima (potensi besar berkembang di pesantren).</v>
      </c>
      <c r="O57" s="141" t="str">
        <f>IFERROR(__xludf.DUMMYFUNCTION("""COMPUTED_VALUE"""),"Ananda awalnya masuk pondok keinginan orang tua tapi Alhamdulillah mau mondok")</f>
        <v>Ananda awalnya masuk pondok keinginan orang tua tapi Alhamdulillah mau mondok</v>
      </c>
      <c r="P57" s="131" t="str">
        <f t="shared" ref="P57:V57" si="59">left(F57,1)</f>
        <v>4</v>
      </c>
      <c r="Q57" s="131" t="str">
        <f t="shared" si="59"/>
        <v>4</v>
      </c>
      <c r="R57" s="131" t="str">
        <f t="shared" si="59"/>
        <v>4</v>
      </c>
      <c r="S57" s="131" t="str">
        <f t="shared" si="59"/>
        <v>3</v>
      </c>
      <c r="T57" s="131" t="str">
        <f t="shared" si="59"/>
        <v>4</v>
      </c>
      <c r="U57" s="131" t="str">
        <f t="shared" si="59"/>
        <v>4</v>
      </c>
      <c r="V57" s="131" t="str">
        <f t="shared" si="59"/>
        <v>4</v>
      </c>
      <c r="W57" s="119">
        <f t="shared" si="3"/>
        <v>27</v>
      </c>
      <c r="X57" s="119" t="str">
        <f t="shared" si="4"/>
        <v>Cukup Siap</v>
      </c>
      <c r="Y57" s="119" t="str">
        <f t="shared" si="5"/>
        <v>perlu pendampingan awal</v>
      </c>
      <c r="Z57" s="120"/>
      <c r="AA57" s="132"/>
      <c r="AB57" s="132"/>
      <c r="AC57" s="132"/>
      <c r="AD57" s="133"/>
      <c r="AE57" s="134"/>
    </row>
    <row r="58" ht="24.0" customHeight="1">
      <c r="A58" s="139">
        <f>IFERROR(__xludf.DUMMYFUNCTION("""COMPUTED_VALUE"""),45934.77406296296)</f>
        <v>45934.77406</v>
      </c>
      <c r="B58" s="140" t="str">
        <f>IFERROR(__xludf.DUMMYFUNCTION("""COMPUTED_VALUE"""),"nabilmujtaba426@gmail.com")</f>
        <v>nabilmujtaba426@gmail.com</v>
      </c>
      <c r="C58" s="140" t="str">
        <f>IFERROR(__xludf.DUMMYFUNCTION("""COMPUTED_VALUE"""),"Arrayyan Abdur Rashid")</f>
        <v>Arrayyan Abdur Rashid</v>
      </c>
      <c r="D58" s="140" t="str">
        <f>IFERROR(__xludf.DUMMYFUNCTION("""COMPUTED_VALUE"""),"A250015")</f>
        <v>A250015</v>
      </c>
      <c r="E58" s="140" t="str">
        <f>IFERROR(__xludf.DUMMYFUNCTION("""COMPUTED_VALUE"""),"MTs Putra")</f>
        <v>MTs Putra</v>
      </c>
      <c r="F58" s="141" t="str">
        <f>IFERROR(__xludf.DUMMYFUNCTION("""COMPUTED_VALUE"""),"4: Cukup jelas, alasan positif namun masih umum.")</f>
        <v>4: Cukup jelas, alasan positif namun masih umum.</v>
      </c>
      <c r="G58" s="141" t="str">
        <f>IFERROR(__xludf.DUMMYFUNCTION("""COMPUTED_VALUE"""),"4: Lingkungan cukup mendukung, ada perhatian orang tua.")</f>
        <v>4: Lingkungan cukup mendukung, ada perhatian orang tua.</v>
      </c>
      <c r="H58" s="141" t="str">
        <f>IFERROR(__xludf.DUMMYFUNCTION("""COMPUTED_VALUE"""),"4: Game rekreasi wajar, tidak berlebihan.")</f>
        <v>4: Game rekreasi wajar, tidak berlebihan.</v>
      </c>
      <c r="I58" s="141" t="str">
        <f>IFERROR(__xludf.DUMMYFUNCTION("""COMPUTED_VALUE"""),"4: Mayoritas teman baik, ada sedikit yang kurang baik.")</f>
        <v>4: Mayoritas teman baik, ada sedikit yang kurang baik.</v>
      </c>
      <c r="J58" s="141" t="str">
        <f>IFERROR(__xludf.DUMMYFUNCTION("""COMPUTED_VALUE"""),"4: Menolak, tapi alasannya umum.")</f>
        <v>4: Menolak, tapi alasannya umum.</v>
      </c>
      <c r="K58" s="141" t="str">
        <f>IFERROR(__xludf.DUMMYFUNCTION("""COMPUTED_VALUE"""),"4: Menolak, tapi belum terlalu paham alasannya.")</f>
        <v>4: Menolak, tapi belum terlalu paham alasannya.</v>
      </c>
      <c r="L58" s="141" t="str">
        <f>IFERROR(__xludf.DUMMYFUNCTION("""COMPUTED_VALUE"""),"4: Hobi umum yang wajar (menggambar, dll).")</f>
        <v>4: Hobi umum yang wajar (menggambar, dll).</v>
      </c>
      <c r="M58" s="141" t="str">
        <f>IFERROR(__xludf.DUMMYFUNCTION("""COMPUTED_VALUE"""),"Nabil Mujtaba")</f>
        <v>Nabil Mujtaba</v>
      </c>
      <c r="N58" s="141" t="str">
        <f>IFERROR(__xludf.DUMMYFUNCTION("""COMPUTED_VALUE"""),"B. Layak diterima dengan catatan pembinaan.")</f>
        <v>B. Layak diterima dengan catatan pembinaan.</v>
      </c>
      <c r="O58" s="141"/>
      <c r="P58" s="131" t="str">
        <f t="shared" ref="P58:V58" si="60">left(F58,1)</f>
        <v>4</v>
      </c>
      <c r="Q58" s="131" t="str">
        <f t="shared" si="60"/>
        <v>4</v>
      </c>
      <c r="R58" s="131" t="str">
        <f t="shared" si="60"/>
        <v>4</v>
      </c>
      <c r="S58" s="131" t="str">
        <f t="shared" si="60"/>
        <v>4</v>
      </c>
      <c r="T58" s="131" t="str">
        <f t="shared" si="60"/>
        <v>4</v>
      </c>
      <c r="U58" s="131" t="str">
        <f t="shared" si="60"/>
        <v>4</v>
      </c>
      <c r="V58" s="131" t="str">
        <f t="shared" si="60"/>
        <v>4</v>
      </c>
      <c r="W58" s="119">
        <f t="shared" si="3"/>
        <v>28</v>
      </c>
      <c r="X58" s="119" t="str">
        <f t="shared" si="4"/>
        <v>Cukup Siap</v>
      </c>
      <c r="Y58" s="119" t="str">
        <f t="shared" si="5"/>
        <v>perlu pendampingan awal</v>
      </c>
      <c r="Z58" s="120"/>
      <c r="AA58" s="132"/>
      <c r="AB58" s="132"/>
      <c r="AC58" s="132"/>
      <c r="AD58" s="133"/>
      <c r="AE58" s="134"/>
    </row>
    <row r="59" ht="24.0" customHeight="1">
      <c r="A59" s="139">
        <f>IFERROR(__xludf.DUMMYFUNCTION("""COMPUTED_VALUE"""),45934.8216865162)</f>
        <v>45934.82169</v>
      </c>
      <c r="B59" s="140" t="str">
        <f>IFERROR(__xludf.DUMMYFUNCTION("""COMPUTED_VALUE"""),"nabilmujtaba426@gmail.com")</f>
        <v>nabilmujtaba426@gmail.com</v>
      </c>
      <c r="C59" s="140" t="str">
        <f>IFERROR(__xludf.DUMMYFUNCTION("""COMPUTED_VALUE"""),"Akhdan Azkiya Mahdy")</f>
        <v>Akhdan Azkiya Mahdy</v>
      </c>
      <c r="D59" s="140" t="str">
        <f>IFERROR(__xludf.DUMMYFUNCTION("""COMPUTED_VALUE"""),"A250017")</f>
        <v>A250017</v>
      </c>
      <c r="E59" s="140" t="str">
        <f>IFERROR(__xludf.DUMMYFUNCTION("""COMPUTED_VALUE"""),"MTs Putra")</f>
        <v>MTs Putra</v>
      </c>
      <c r="F59" s="141" t="str">
        <f>IFERROR(__xludf.DUMMYFUNCTION("""COMPUTED_VALUE"""),"4: Cukup jelas, alasan positif namun masih umum.")</f>
        <v>4: Cukup jelas, alasan positif namun masih umum.</v>
      </c>
      <c r="G59" s="141" t="str">
        <f>IFERROR(__xludf.DUMMYFUNCTION("""COMPUTED_VALUE"""),"4: Lingkungan cukup mendukung, ada perhatian orang tua.")</f>
        <v>4: Lingkungan cukup mendukung, ada perhatian orang tua.</v>
      </c>
      <c r="H59" s="141" t="str">
        <f>IFERROR(__xludf.DUMMYFUNCTION("""COMPUTED_VALUE"""),"4: Game rekreasi wajar, tidak berlebihan.")</f>
        <v>4: Game rekreasi wajar, tidak berlebihan.</v>
      </c>
      <c r="I59" s="141" t="str">
        <f>IFERROR(__xludf.DUMMYFUNCTION("""COMPUTED_VALUE"""),"4: Mayoritas teman baik, ada sedikit yang kurang baik.")</f>
        <v>4: Mayoritas teman baik, ada sedikit yang kurang baik.</v>
      </c>
      <c r="J59" s="141" t="str">
        <f>IFERROR(__xludf.DUMMYFUNCTION("""COMPUTED_VALUE"""),"4: Menolak, tapi alasannya umum.")</f>
        <v>4: Menolak, tapi alasannya umum.</v>
      </c>
      <c r="K59" s="141" t="str">
        <f>IFERROR(__xludf.DUMMYFUNCTION("""COMPUTED_VALUE"""),"4: Menolak, tapi belum terlalu paham alasannya.")</f>
        <v>4: Menolak, tapi belum terlalu paham alasannya.</v>
      </c>
      <c r="L59" s="141" t="str">
        <f>IFERROR(__xludf.DUMMYFUNCTION("""COMPUTED_VALUE"""),"4: Hobi umum yang wajar (menggambar, dll).")</f>
        <v>4: Hobi umum yang wajar (menggambar, dll).</v>
      </c>
      <c r="M59" s="141" t="str">
        <f>IFERROR(__xludf.DUMMYFUNCTION("""COMPUTED_VALUE"""),"Nabil Mujtaba")</f>
        <v>Nabil Mujtaba</v>
      </c>
      <c r="N59" s="141" t="str">
        <f>IFERROR(__xludf.DUMMYFUNCTION("""COMPUTED_VALUE"""),"B. Layak diterima dengan catatan pembinaan.")</f>
        <v>B. Layak diterima dengan catatan pembinaan.</v>
      </c>
      <c r="O59" s="141"/>
      <c r="P59" s="131" t="str">
        <f t="shared" ref="P59:V59" si="61">left(F59,1)</f>
        <v>4</v>
      </c>
      <c r="Q59" s="131" t="str">
        <f t="shared" si="61"/>
        <v>4</v>
      </c>
      <c r="R59" s="131" t="str">
        <f t="shared" si="61"/>
        <v>4</v>
      </c>
      <c r="S59" s="131" t="str">
        <f t="shared" si="61"/>
        <v>4</v>
      </c>
      <c r="T59" s="131" t="str">
        <f t="shared" si="61"/>
        <v>4</v>
      </c>
      <c r="U59" s="131" t="str">
        <f t="shared" si="61"/>
        <v>4</v>
      </c>
      <c r="V59" s="131" t="str">
        <f t="shared" si="61"/>
        <v>4</v>
      </c>
      <c r="W59" s="119">
        <f t="shared" si="3"/>
        <v>28</v>
      </c>
      <c r="X59" s="119" t="str">
        <f t="shared" si="4"/>
        <v>Cukup Siap</v>
      </c>
      <c r="Y59" s="119" t="str">
        <f t="shared" si="5"/>
        <v>perlu pendampingan awal</v>
      </c>
      <c r="Z59" s="120"/>
      <c r="AA59" s="132"/>
      <c r="AB59" s="132"/>
      <c r="AC59" s="132"/>
      <c r="AD59" s="133"/>
      <c r="AE59" s="134"/>
    </row>
    <row r="60" ht="24.0" customHeight="1">
      <c r="A60" s="139">
        <f>IFERROR(__xludf.DUMMYFUNCTION("""COMPUTED_VALUE"""),45934.85491059028)</f>
        <v>45934.85491</v>
      </c>
      <c r="B60" s="140" t="str">
        <f>IFERROR(__xludf.DUMMYFUNCTION("""COMPUTED_VALUE"""),"zaldoyrizaldi@gmail.com")</f>
        <v>zaldoyrizaldi@gmail.com</v>
      </c>
      <c r="C60" s="140" t="str">
        <f>IFERROR(__xludf.DUMMYFUNCTION("""COMPUTED_VALUE"""),"FAIZ ABDUSSALAM TASLIM BUDIDOYO")</f>
        <v>FAIZ ABDUSSALAM TASLIM BUDIDOYO</v>
      </c>
      <c r="D60" s="140" t="str">
        <f>IFERROR(__xludf.DUMMYFUNCTION("""COMPUTED_VALUE"""),"B250014")</f>
        <v>B250014</v>
      </c>
      <c r="E60" s="140" t="str">
        <f>IFERROR(__xludf.DUMMYFUNCTION("""COMPUTED_VALUE"""),"IL Putra")</f>
        <v>IL Putra</v>
      </c>
      <c r="F60" s="141" t="str">
        <f>IFERROR(__xludf.DUMMYFUNCTION("""COMPUTED_VALUE"""),"5: Sangat jelas, kuat, dan sesuai visi pesantren (ingin belajar agama, mandiri, dekat dengan Allah).")</f>
        <v>5: Sangat jelas, kuat, dan sesuai visi pesantren (ingin belajar agama, mandiri, dekat dengan Allah).</v>
      </c>
      <c r="G60" s="141" t="str">
        <f>IFERROR(__xludf.DUMMYFUNCTION("""COMPUTED_VALUE"""),"5: Lingkungan sangat mendukung (keluarga islami, shalat berjamaah, kontrol gadget baik).")</f>
        <v>5: Lingkungan sangat mendukung (keluarga islami, shalat berjamaah, kontrol gadget baik).</v>
      </c>
      <c r="H60" s="141" t="str">
        <f>IFERROR(__xludf.DUMMYFUNCTION("""COMPUTED_VALUE"""),"4: Game rekreasi wajar, tidak berlebihan.")</f>
        <v>4: Game rekreasi wajar, tidak berlebihan.</v>
      </c>
      <c r="I60" s="141" t="str">
        <f>IFERROR(__xludf.DUMMYFUNCTION("""COMPUTED_VALUE"""),"3: Teman biasa saja, netral.")</f>
        <v>3: Teman biasa saja, netral.</v>
      </c>
      <c r="J60" s="141" t="str">
        <f>IFERROR(__xludf.DUMMYFUNCTION("""COMPUTED_VALUE"""),"5: Jelas menolak, punya alasan agama/ilmu.")</f>
        <v>5: Jelas menolak, punya alasan agama/ilmu.</v>
      </c>
      <c r="K60" s="141" t="str">
        <f>IFERROR(__xludf.DUMMYFUNCTION("""COMPUTED_VALUE"""),"4: Menolak, tapi belum terlalu paham alasannya.")</f>
        <v>4: Menolak, tapi belum terlalu paham alasannya.</v>
      </c>
      <c r="L60" s="141" t="str">
        <f>IFERROR(__xludf.DUMMYFUNCTION("""COMPUTED_VALUE"""),"5: Hobi positif, produktif, mendukung pengembangan diri (olahraga, membaca, seni islami).")</f>
        <v>5: Hobi positif, produktif, mendukung pengembangan diri (olahraga, membaca, seni islami).</v>
      </c>
      <c r="M60" s="141" t="str">
        <f>IFERROR(__xludf.DUMMYFUNCTION("""COMPUTED_VALUE"""),"rizaldi")</f>
        <v>rizaldi</v>
      </c>
      <c r="N60" s="141" t="str">
        <f>IFERROR(__xludf.DUMMYFUNCTION("""COMPUTED_VALUE"""),"A. Sangat Layak diterima (potensi besar berkembang di pesantren).")</f>
        <v>A. Sangat Layak diterima (potensi besar berkembang di pesantren).</v>
      </c>
      <c r="O60" s="141" t="str">
        <f>IFERROR(__xludf.DUMMYFUNCTION("""COMPUTED_VALUE"""),"cukup perhatian aja karena anaknya mau lebih baik dari pondok sebelumnya")</f>
        <v>cukup perhatian aja karena anaknya mau lebih baik dari pondok sebelumnya</v>
      </c>
      <c r="P60" s="131" t="str">
        <f t="shared" ref="P60:V60" si="62">left(F60,1)</f>
        <v>5</v>
      </c>
      <c r="Q60" s="131" t="str">
        <f t="shared" si="62"/>
        <v>5</v>
      </c>
      <c r="R60" s="131" t="str">
        <f t="shared" si="62"/>
        <v>4</v>
      </c>
      <c r="S60" s="131" t="str">
        <f t="shared" si="62"/>
        <v>3</v>
      </c>
      <c r="T60" s="131" t="str">
        <f t="shared" si="62"/>
        <v>5</v>
      </c>
      <c r="U60" s="131" t="str">
        <f t="shared" si="62"/>
        <v>4</v>
      </c>
      <c r="V60" s="131" t="str">
        <f t="shared" si="62"/>
        <v>5</v>
      </c>
      <c r="W60" s="119">
        <f t="shared" si="3"/>
        <v>31</v>
      </c>
      <c r="X60" s="119" t="str">
        <f t="shared" si="4"/>
        <v>Siap</v>
      </c>
      <c r="Y60" s="119" t="str">
        <f t="shared" si="5"/>
        <v>bisa mengikuti pola pesantren dengan baik</v>
      </c>
      <c r="Z60" s="120"/>
      <c r="AA60" s="132"/>
      <c r="AB60" s="132"/>
      <c r="AC60" s="132"/>
      <c r="AD60" s="133"/>
      <c r="AE60" s="134"/>
    </row>
    <row r="61" ht="24.0" customHeight="1">
      <c r="A61" s="139">
        <f>IFERROR(__xludf.DUMMYFUNCTION("""COMPUTED_VALUE"""),45935.45131503472)</f>
        <v>45935.45132</v>
      </c>
      <c r="B61" s="140" t="str">
        <f>IFERROR(__xludf.DUMMYFUNCTION("""COMPUTED_VALUE"""),"alfaruqsyauqi513@gmail.com")</f>
        <v>alfaruqsyauqi513@gmail.com</v>
      </c>
      <c r="C61" s="140" t="str">
        <f>IFERROR(__xludf.DUMMYFUNCTION("""COMPUTED_VALUE"""),"Azka Khairul Ichsan Hasugian")</f>
        <v>Azka Khairul Ichsan Hasugian</v>
      </c>
      <c r="D61" s="140" t="str">
        <f>IFERROR(__xludf.DUMMYFUNCTION("""COMPUTED_VALUE"""),"A250033")</f>
        <v>A250033</v>
      </c>
      <c r="E61" s="140" t="str">
        <f>IFERROR(__xludf.DUMMYFUNCTION("""COMPUTED_VALUE"""),"MTs Putra")</f>
        <v>MTs Putra</v>
      </c>
      <c r="F61" s="141" t="str">
        <f>IFERROR(__xludf.DUMMYFUNCTION("""COMPUTED_VALUE"""),"5: Sangat jelas, kuat, dan sesuai visi pesantren (ingin belajar agama, mandiri, dekat dengan Allah).")</f>
        <v>5: Sangat jelas, kuat, dan sesuai visi pesantren (ingin belajar agama, mandiri, dekat dengan Allah).</v>
      </c>
      <c r="G61" s="141" t="str">
        <f>IFERROR(__xludf.DUMMYFUNCTION("""COMPUTED_VALUE"""),"5: Lingkungan sangat mendukung (keluarga islami, shalat berjamaah, kontrol gadget baik).")</f>
        <v>5: Lingkungan sangat mendukung (keluarga islami, shalat berjamaah, kontrol gadget baik).</v>
      </c>
      <c r="H61" s="141" t="str">
        <f>IFERROR(__xludf.DUMMYFUNCTION("""COMPUTED_VALUE"""),"5: Hobi bermanfaat (olahraga, membaca, permainan edukatif).")</f>
        <v>5: Hobi bermanfaat (olahraga, membaca, permainan edukatif).</v>
      </c>
      <c r="I61" s="141" t="str">
        <f>IFERROR(__xludf.DUMMYFUNCTION("""COMPUTED_VALUE"""),"4: Mayoritas teman baik, ada sedikit yang kurang baik.")</f>
        <v>4: Mayoritas teman baik, ada sedikit yang kurang baik.</v>
      </c>
      <c r="J61" s="141" t="str">
        <f>IFERROR(__xludf.DUMMYFUNCTION("""COMPUTED_VALUE"""),"5: Jelas menolak, punya alasan agama/ilmu.")</f>
        <v>5: Jelas menolak, punya alasan agama/ilmu.</v>
      </c>
      <c r="K61" s="141" t="str">
        <f>IFERROR(__xludf.DUMMYFUNCTION("""COMPUTED_VALUE"""),"5: Menolak dengan tegas, paham bahaya dan dosa.")</f>
        <v>5: Menolak dengan tegas, paham bahaya dan dosa.</v>
      </c>
      <c r="L61" s="141" t="str">
        <f>IFERROR(__xludf.DUMMYFUNCTION("""COMPUTED_VALUE"""),"4: Hobi umum yang wajar (menggambar, dll).")</f>
        <v>4: Hobi umum yang wajar (menggambar, dll).</v>
      </c>
      <c r="M61" s="141" t="str">
        <f>IFERROR(__xludf.DUMMYFUNCTION("""COMPUTED_VALUE"""),"Muhammad syauqi alfaruq")</f>
        <v>Muhammad syauqi alfaruq</v>
      </c>
      <c r="N61" s="141" t="str">
        <f>IFERROR(__xludf.DUMMYFUNCTION("""COMPUTED_VALUE"""),"A. Sangat Layak diterima (potensi besar berkembang di pesantren).")</f>
        <v>A. Sangat Layak diterima (potensi besar berkembang di pesantren).</v>
      </c>
      <c r="O61" s="141"/>
      <c r="P61" s="131" t="str">
        <f t="shared" ref="P61:V61" si="63">left(F61,1)</f>
        <v>5</v>
      </c>
      <c r="Q61" s="131" t="str">
        <f t="shared" si="63"/>
        <v>5</v>
      </c>
      <c r="R61" s="131" t="str">
        <f t="shared" si="63"/>
        <v>5</v>
      </c>
      <c r="S61" s="131" t="str">
        <f t="shared" si="63"/>
        <v>4</v>
      </c>
      <c r="T61" s="131" t="str">
        <f t="shared" si="63"/>
        <v>5</v>
      </c>
      <c r="U61" s="131" t="str">
        <f t="shared" si="63"/>
        <v>5</v>
      </c>
      <c r="V61" s="131" t="str">
        <f t="shared" si="63"/>
        <v>4</v>
      </c>
      <c r="W61" s="119">
        <f t="shared" si="3"/>
        <v>33</v>
      </c>
      <c r="X61" s="119" t="str">
        <f t="shared" si="4"/>
        <v>Siap</v>
      </c>
      <c r="Y61" s="119" t="str">
        <f t="shared" si="5"/>
        <v>bisa mengikuti pola pesantren dengan baik</v>
      </c>
      <c r="Z61" s="120"/>
      <c r="AA61" s="132"/>
      <c r="AB61" s="132"/>
      <c r="AC61" s="132"/>
      <c r="AD61" s="133"/>
      <c r="AE61" s="134"/>
    </row>
    <row r="62" ht="24.0" customHeight="1">
      <c r="A62" s="139">
        <f>IFERROR(__xludf.DUMMYFUNCTION("""COMPUTED_VALUE"""),45935.556455)</f>
        <v>45935.55646</v>
      </c>
      <c r="B62" s="140" t="str">
        <f>IFERROR(__xludf.DUMMYFUNCTION("""COMPUTED_VALUE"""),"alfaruqsyauqi513@gmail.com")</f>
        <v>alfaruqsyauqi513@gmail.com</v>
      </c>
      <c r="C62" s="140" t="str">
        <f>IFERROR(__xludf.DUMMYFUNCTION("""COMPUTED_VALUE"""),"Fatan Ihya As-sunnah")</f>
        <v>Fatan Ihya As-sunnah</v>
      </c>
      <c r="D62" s="140" t="str">
        <f>IFERROR(__xludf.DUMMYFUNCTION("""COMPUTED_VALUE"""),"A250031")</f>
        <v>A250031</v>
      </c>
      <c r="E62" s="140" t="str">
        <f>IFERROR(__xludf.DUMMYFUNCTION("""COMPUTED_VALUE"""),"MTs Putra")</f>
        <v>MTs Putra</v>
      </c>
      <c r="F62" s="141" t="str">
        <f>IFERROR(__xludf.DUMMYFUNCTION("""COMPUTED_VALUE"""),"5: Sangat jelas, kuat, dan sesuai visi pesantren (ingin belajar agama, mandiri, dekat dengan Allah).")</f>
        <v>5: Sangat jelas, kuat, dan sesuai visi pesantren (ingin belajar agama, mandiri, dekat dengan Allah).</v>
      </c>
      <c r="G62" s="141" t="str">
        <f>IFERROR(__xludf.DUMMYFUNCTION("""COMPUTED_VALUE"""),"5: Lingkungan sangat mendukung (keluarga islami, shalat berjamaah, kontrol gadget baik).")</f>
        <v>5: Lingkungan sangat mendukung (keluarga islami, shalat berjamaah, kontrol gadget baik).</v>
      </c>
      <c r="H62" s="141" t="str">
        <f>IFERROR(__xludf.DUMMYFUNCTION("""COMPUTED_VALUE"""),"3: Game online, tapi masih bisa dikontrol.")</f>
        <v>3: Game online, tapi masih bisa dikontrol.</v>
      </c>
      <c r="I62" s="141" t="str">
        <f>IFERROR(__xludf.DUMMYFUNCTION("""COMPUTED_VALUE"""),"5: Berteman dengan lingkungan positif (masjid, teman shalih/shalihah).")</f>
        <v>5: Berteman dengan lingkungan positif (masjid, teman shalih/shalihah).</v>
      </c>
      <c r="J62" s="141" t="str">
        <f>IFERROR(__xludf.DUMMYFUNCTION("""COMPUTED_VALUE"""),"5: Jelas menolak, punya alasan agama/ilmu.")</f>
        <v>5: Jelas menolak, punya alasan agama/ilmu.</v>
      </c>
      <c r="K62" s="141" t="str">
        <f>IFERROR(__xludf.DUMMYFUNCTION("""COMPUTED_VALUE"""),"5: Menolak dengan tegas, paham bahaya dan dosa.")</f>
        <v>5: Menolak dengan tegas, paham bahaya dan dosa.</v>
      </c>
      <c r="L62" s="141" t="str">
        <f>IFERROR(__xludf.DUMMYFUNCTION("""COMPUTED_VALUE"""),"5: Hobi positif, produktif, mendukung pengembangan diri (olahraga, membaca, seni islami).")</f>
        <v>5: Hobi positif, produktif, mendukung pengembangan diri (olahraga, membaca, seni islami).</v>
      </c>
      <c r="M62" s="141" t="str">
        <f>IFERROR(__xludf.DUMMYFUNCTION("""COMPUTED_VALUE"""),"Muhammad syauqi alfaruq")</f>
        <v>Muhammad syauqi alfaruq</v>
      </c>
      <c r="N62" s="141" t="str">
        <f>IFERROR(__xludf.DUMMYFUNCTION("""COMPUTED_VALUE"""),"B. Layak diterima dengan catatan pembinaan.")</f>
        <v>B. Layak diterima dengan catatan pembinaan.</v>
      </c>
      <c r="O62" s="141"/>
      <c r="P62" s="131" t="str">
        <f t="shared" ref="P62:V62" si="64">left(F62,1)</f>
        <v>5</v>
      </c>
      <c r="Q62" s="131" t="str">
        <f t="shared" si="64"/>
        <v>5</v>
      </c>
      <c r="R62" s="131" t="str">
        <f t="shared" si="64"/>
        <v>3</v>
      </c>
      <c r="S62" s="131" t="str">
        <f t="shared" si="64"/>
        <v>5</v>
      </c>
      <c r="T62" s="131" t="str">
        <f t="shared" si="64"/>
        <v>5</v>
      </c>
      <c r="U62" s="131" t="str">
        <f t="shared" si="64"/>
        <v>5</v>
      </c>
      <c r="V62" s="131" t="str">
        <f t="shared" si="64"/>
        <v>5</v>
      </c>
      <c r="W62" s="119">
        <f t="shared" si="3"/>
        <v>33</v>
      </c>
      <c r="X62" s="119" t="str">
        <f t="shared" si="4"/>
        <v>Siap</v>
      </c>
      <c r="Y62" s="119" t="str">
        <f t="shared" si="5"/>
        <v>bisa mengikuti pola pesantren dengan baik</v>
      </c>
      <c r="Z62" s="120"/>
      <c r="AA62" s="132"/>
      <c r="AB62" s="132"/>
      <c r="AC62" s="132"/>
      <c r="AD62" s="133"/>
      <c r="AE62" s="134"/>
    </row>
    <row r="63" ht="24.0" customHeight="1">
      <c r="A63" s="139">
        <f>IFERROR(__xludf.DUMMYFUNCTION("""COMPUTED_VALUE"""),45936.84573637732)</f>
        <v>45936.84574</v>
      </c>
      <c r="B63" s="140" t="str">
        <f>IFERROR(__xludf.DUMMYFUNCTION("""COMPUTED_VALUE"""),"muhajirlah@gmail.com")</f>
        <v>muhajirlah@gmail.com</v>
      </c>
      <c r="C63" s="140" t="str">
        <f>IFERROR(__xludf.DUMMYFUNCTION("""COMPUTED_VALUE"""),"Muhammad Al fatih ")</f>
        <v>Muhammad Al fatih </v>
      </c>
      <c r="D63" s="140" t="str">
        <f>IFERROR(__xludf.DUMMYFUNCTION("""COMPUTED_VALUE"""),"C250019")</f>
        <v>C250019</v>
      </c>
      <c r="E63" s="140" t="str">
        <f>IFERROR(__xludf.DUMMYFUNCTION("""COMPUTED_VALUE"""),"SMA Putra")</f>
        <v>SMA Putra</v>
      </c>
      <c r="F63" s="141" t="str">
        <f>IFERROR(__xludf.DUMMYFUNCTION("""COMPUTED_VALUE"""),"5: Sangat jelas, kuat, dan sesuai visi pesantren (ingin belajar agama, mandiri, dekat dengan Allah).")</f>
        <v>5: Sangat jelas, kuat, dan sesuai visi pesantren (ingin belajar agama, mandiri, dekat dengan Allah).</v>
      </c>
      <c r="G63" s="141" t="str">
        <f>IFERROR(__xludf.DUMMYFUNCTION("""COMPUTED_VALUE"""),"4: Lingkungan cukup mendukung, ada perhatian orang tua.")</f>
        <v>4: Lingkungan cukup mendukung, ada perhatian orang tua.</v>
      </c>
      <c r="H63" s="141" t="str">
        <f>IFERROR(__xludf.DUMMYFUNCTION("""COMPUTED_VALUE"""),"4: Game rekreasi wajar, tidak berlebihan.")</f>
        <v>4: Game rekreasi wajar, tidak berlebihan.</v>
      </c>
      <c r="I63" s="141" t="str">
        <f>IFERROR(__xludf.DUMMYFUNCTION("""COMPUTED_VALUE"""),"4: Mayoritas teman baik, ada sedikit yang kurang baik.")</f>
        <v>4: Mayoritas teman baik, ada sedikit yang kurang baik.</v>
      </c>
      <c r="J63" s="141" t="str">
        <f>IFERROR(__xludf.DUMMYFUNCTION("""COMPUTED_VALUE"""),"5: Jelas menolak, punya alasan agama/ilmu.")</f>
        <v>5: Jelas menolak, punya alasan agama/ilmu.</v>
      </c>
      <c r="K63" s="141" t="str">
        <f>IFERROR(__xludf.DUMMYFUNCTION("""COMPUTED_VALUE"""),"5: Menolak dengan tegas, paham bahaya dan dosa.")</f>
        <v>5: Menolak dengan tegas, paham bahaya dan dosa.</v>
      </c>
      <c r="L63" s="141" t="str">
        <f>IFERROR(__xludf.DUMMYFUNCTION("""COMPUTED_VALUE"""),"4: Hobi umum yang wajar (menggambar, dll).")</f>
        <v>4: Hobi umum yang wajar (menggambar, dll).</v>
      </c>
      <c r="M63" s="141" t="str">
        <f>IFERROR(__xludf.DUMMYFUNCTION("""COMPUTED_VALUE"""),"Muhajir")</f>
        <v>Muhajir</v>
      </c>
      <c r="N63" s="141" t="str">
        <f>IFERROR(__xludf.DUMMYFUNCTION("""COMPUTED_VALUE"""),"A. Sangat Layak diterima (potensi besar berkembang di pesantren).")</f>
        <v>A. Sangat Layak diterima (potensi besar berkembang di pesantren).</v>
      </c>
      <c r="O63" s="141"/>
      <c r="P63" s="131" t="str">
        <f t="shared" ref="P63:V63" si="65">left(F63,1)</f>
        <v>5</v>
      </c>
      <c r="Q63" s="131" t="str">
        <f t="shared" si="65"/>
        <v>4</v>
      </c>
      <c r="R63" s="131" t="str">
        <f t="shared" si="65"/>
        <v>4</v>
      </c>
      <c r="S63" s="131" t="str">
        <f t="shared" si="65"/>
        <v>4</v>
      </c>
      <c r="T63" s="131" t="str">
        <f t="shared" si="65"/>
        <v>5</v>
      </c>
      <c r="U63" s="131" t="str">
        <f t="shared" si="65"/>
        <v>5</v>
      </c>
      <c r="V63" s="131" t="str">
        <f t="shared" si="65"/>
        <v>4</v>
      </c>
      <c r="W63" s="119">
        <f t="shared" si="3"/>
        <v>31</v>
      </c>
      <c r="X63" s="119" t="str">
        <f t="shared" si="4"/>
        <v>Siap</v>
      </c>
      <c r="Y63" s="119" t="str">
        <f t="shared" si="5"/>
        <v>bisa mengikuti pola pesantren dengan baik</v>
      </c>
      <c r="Z63" s="120"/>
      <c r="AA63" s="132"/>
      <c r="AB63" s="132"/>
      <c r="AC63" s="132"/>
      <c r="AD63" s="133"/>
      <c r="AE63" s="134"/>
    </row>
    <row r="64" ht="24.0" customHeight="1">
      <c r="A64" s="139">
        <f>IFERROR(__xludf.DUMMYFUNCTION("""COMPUTED_VALUE"""),45937.65861596065)</f>
        <v>45937.65862</v>
      </c>
      <c r="B64" s="140" t="str">
        <f>IFERROR(__xludf.DUMMYFUNCTION("""COMPUTED_VALUE"""),"zaldoyrizaldi@gmail.com")</f>
        <v>zaldoyrizaldi@gmail.com</v>
      </c>
      <c r="C64" s="140" t="str">
        <f>IFERROR(__xludf.DUMMYFUNCTION("""COMPUTED_VALUE"""),"Muhammad Azzam Al Hafizh")</f>
        <v>Muhammad Azzam Al Hafizh</v>
      </c>
      <c r="D64" s="140" t="str">
        <f>IFERROR(__xludf.DUMMYFUNCTION("""COMPUTED_VALUE"""),"A250076")</f>
        <v>A250076</v>
      </c>
      <c r="E64" s="140" t="str">
        <f>IFERROR(__xludf.DUMMYFUNCTION("""COMPUTED_VALUE"""),"MTs Putra")</f>
        <v>MTs Putra</v>
      </c>
      <c r="F64" s="141" t="str">
        <f>IFERROR(__xludf.DUMMYFUNCTION("""COMPUTED_VALUE"""),"5: Sangat jelas, kuat, dan sesuai visi pesantren (ingin belajar agama, mandiri, dekat dengan Allah).")</f>
        <v>5: Sangat jelas, kuat, dan sesuai visi pesantren (ingin belajar agama, mandiri, dekat dengan Allah).</v>
      </c>
      <c r="G64" s="141" t="str">
        <f>IFERROR(__xludf.DUMMYFUNCTION("""COMPUTED_VALUE"""),"5: Lingkungan sangat mendukung (keluarga islami, shalat berjamaah, kontrol gadget baik).")</f>
        <v>5: Lingkungan sangat mendukung (keluarga islami, shalat berjamaah, kontrol gadget baik).</v>
      </c>
      <c r="H64" s="141" t="str">
        <f>IFERROR(__xludf.DUMMYFUNCTION("""COMPUTED_VALUE"""),"4: Game rekreasi wajar, tidak berlebihan.")</f>
        <v>4: Game rekreasi wajar, tidak berlebihan.</v>
      </c>
      <c r="I64" s="141" t="str">
        <f>IFERROR(__xludf.DUMMYFUNCTION("""COMPUTED_VALUE"""),"4: Mayoritas teman baik, ada sedikit yang kurang baik.")</f>
        <v>4: Mayoritas teman baik, ada sedikit yang kurang baik.</v>
      </c>
      <c r="J64" s="141" t="str">
        <f>IFERROR(__xludf.DUMMYFUNCTION("""COMPUTED_VALUE"""),"5: Jelas menolak, punya alasan agama/ilmu.")</f>
        <v>5: Jelas menolak, punya alasan agama/ilmu.</v>
      </c>
      <c r="K64" s="141" t="str">
        <f>IFERROR(__xludf.DUMMYFUNCTION("""COMPUTED_VALUE"""),"4: Menolak, tapi belum terlalu paham alasannya.")</f>
        <v>4: Menolak, tapi belum terlalu paham alasannya.</v>
      </c>
      <c r="L64" s="141" t="str">
        <f>IFERROR(__xludf.DUMMYFUNCTION("""COMPUTED_VALUE"""),"4: Hobi umum yang wajar (menggambar, dll).")</f>
        <v>4: Hobi umum yang wajar (menggambar, dll).</v>
      </c>
      <c r="M64" s="141" t="str">
        <f>IFERROR(__xludf.DUMMYFUNCTION("""COMPUTED_VALUE"""),"rizaldi")</f>
        <v>rizaldi</v>
      </c>
      <c r="N64" s="141" t="str">
        <f>IFERROR(__xludf.DUMMYFUNCTION("""COMPUTED_VALUE"""),"B. Layak diterima dengan catatan pembinaan.")</f>
        <v>B. Layak diterima dengan catatan pembinaan.</v>
      </c>
      <c r="O64" s="141" t="str">
        <f>IFERROR(__xludf.DUMMYFUNCTION("""COMPUTED_VALUE"""),"perlu Bing bingan lebih ade nya syafiq rabbani ")</f>
        <v>perlu Bing bingan lebih ade nya syafiq rabbani </v>
      </c>
      <c r="P64" s="131" t="str">
        <f t="shared" ref="P64:V64" si="66">left(F64,1)</f>
        <v>5</v>
      </c>
      <c r="Q64" s="131" t="str">
        <f t="shared" si="66"/>
        <v>5</v>
      </c>
      <c r="R64" s="131" t="str">
        <f t="shared" si="66"/>
        <v>4</v>
      </c>
      <c r="S64" s="131" t="str">
        <f t="shared" si="66"/>
        <v>4</v>
      </c>
      <c r="T64" s="131" t="str">
        <f t="shared" si="66"/>
        <v>5</v>
      </c>
      <c r="U64" s="131" t="str">
        <f t="shared" si="66"/>
        <v>4</v>
      </c>
      <c r="V64" s="131" t="str">
        <f t="shared" si="66"/>
        <v>4</v>
      </c>
      <c r="W64" s="119">
        <f t="shared" si="3"/>
        <v>31</v>
      </c>
      <c r="X64" s="119" t="str">
        <f t="shared" si="4"/>
        <v>Siap</v>
      </c>
      <c r="Y64" s="119" t="str">
        <f t="shared" si="5"/>
        <v>bisa mengikuti pola pesantren dengan baik</v>
      </c>
      <c r="Z64" s="120"/>
      <c r="AA64" s="132"/>
      <c r="AB64" s="132"/>
      <c r="AC64" s="132"/>
      <c r="AD64" s="133"/>
      <c r="AE64" s="134"/>
    </row>
    <row r="65" ht="24.0" customHeight="1">
      <c r="A65" s="139">
        <f>IFERROR(__xludf.DUMMYFUNCTION("""COMPUTED_VALUE"""),45937.68831199074)</f>
        <v>45937.68831</v>
      </c>
      <c r="B65" s="140" t="str">
        <f>IFERROR(__xludf.DUMMYFUNCTION("""COMPUTED_VALUE"""),"rimamaryani5606@gmail.com")</f>
        <v>rimamaryani5606@gmail.com</v>
      </c>
      <c r="C65" s="140" t="str">
        <f>IFERROR(__xludf.DUMMYFUNCTION("""COMPUTED_VALUE""")," Siti Azizah")</f>
        <v> Siti Azizah</v>
      </c>
      <c r="D65" s="140" t="str">
        <f>IFERROR(__xludf.DUMMYFUNCTION("""COMPUTED_VALUE"""),"D250007")</f>
        <v>D250007</v>
      </c>
      <c r="E65" s="140" t="str">
        <f>IFERROR(__xludf.DUMMYFUNCTION("""COMPUTED_VALUE"""),"MTs Putri")</f>
        <v>MTs Putri</v>
      </c>
      <c r="F65" s="141" t="str">
        <f>IFERROR(__xludf.DUMMYFUNCTION("""COMPUTED_VALUE"""),"4: Cukup jelas, alasan positif namun masih umum.")</f>
        <v>4: Cukup jelas, alasan positif namun masih umum.</v>
      </c>
      <c r="G65" s="141" t="str">
        <f>IFERROR(__xludf.DUMMYFUNCTION("""COMPUTED_VALUE"""),"5: Lingkungan sangat mendukung (keluarga islami, shalat berjamaah, kontrol gadget baik).")</f>
        <v>5: Lingkungan sangat mendukung (keluarga islami, shalat berjamaah, kontrol gadget baik).</v>
      </c>
      <c r="H65" s="141" t="str">
        <f>IFERROR(__xludf.DUMMYFUNCTION("""COMPUTED_VALUE"""),"5: Hobi bermanfaat (olahraga, membaca, permainan edukatif).")</f>
        <v>5: Hobi bermanfaat (olahraga, membaca, permainan edukatif).</v>
      </c>
      <c r="I65" s="141" t="str">
        <f>IFERROR(__xludf.DUMMYFUNCTION("""COMPUTED_VALUE"""),"5: Berteman dengan lingkungan positif (masjid, teman shalih/shalihah).")</f>
        <v>5: Berteman dengan lingkungan positif (masjid, teman shalih/shalihah).</v>
      </c>
      <c r="J65" s="141" t="str">
        <f>IFERROR(__xludf.DUMMYFUNCTION("""COMPUTED_VALUE"""),"5: Jelas menolak, punya alasan agama/ilmu.")</f>
        <v>5: Jelas menolak, punya alasan agama/ilmu.</v>
      </c>
      <c r="K65" s="141" t="str">
        <f>IFERROR(__xludf.DUMMYFUNCTION("""COMPUTED_VALUE"""),"4: Menolak, tapi belum terlalu paham alasannya.")</f>
        <v>4: Menolak, tapi belum terlalu paham alasannya.</v>
      </c>
      <c r="L65" s="141" t="str">
        <f>IFERROR(__xludf.DUMMYFUNCTION("""COMPUTED_VALUE"""),"4: Hobi umum yang wajar (menggambar, dll).")</f>
        <v>4: Hobi umum yang wajar (menggambar, dll).</v>
      </c>
      <c r="M65" s="141" t="str">
        <f>IFERROR(__xludf.DUMMYFUNCTION("""COMPUTED_VALUE"""),"Rima Maryani Putri utami, S. Pd.I")</f>
        <v>Rima Maryani Putri utami, S. Pd.I</v>
      </c>
      <c r="N65" s="141" t="str">
        <f>IFERROR(__xludf.DUMMYFUNCTION("""COMPUTED_VALUE"""),"A. Sangat Layak diterima (potensi besar berkembang di pesantren).")</f>
        <v>A. Sangat Layak diterima (potensi besar berkembang di pesantren).</v>
      </c>
      <c r="O65" s="141" t="str">
        <f>IFERROR(__xludf.DUMMYFUNCTION("""COMPUTED_VALUE"""),"Alhamdulillah,, selama wawancara Ananda sangat komunikatif dan bersikap baik.")</f>
        <v>Alhamdulillah,, selama wawancara Ananda sangat komunikatif dan bersikap baik.</v>
      </c>
      <c r="P65" s="131" t="str">
        <f t="shared" ref="P65:V65" si="67">left(F65,1)</f>
        <v>4</v>
      </c>
      <c r="Q65" s="131" t="str">
        <f t="shared" si="67"/>
        <v>5</v>
      </c>
      <c r="R65" s="131" t="str">
        <f t="shared" si="67"/>
        <v>5</v>
      </c>
      <c r="S65" s="131" t="str">
        <f t="shared" si="67"/>
        <v>5</v>
      </c>
      <c r="T65" s="131" t="str">
        <f t="shared" si="67"/>
        <v>5</v>
      </c>
      <c r="U65" s="131" t="str">
        <f t="shared" si="67"/>
        <v>4</v>
      </c>
      <c r="V65" s="131" t="str">
        <f t="shared" si="67"/>
        <v>4</v>
      </c>
      <c r="W65" s="119">
        <f t="shared" si="3"/>
        <v>32</v>
      </c>
      <c r="X65" s="119" t="str">
        <f t="shared" si="4"/>
        <v>Siap</v>
      </c>
      <c r="Y65" s="119" t="str">
        <f t="shared" si="5"/>
        <v>bisa mengikuti pola pesantren dengan baik</v>
      </c>
      <c r="Z65" s="120"/>
      <c r="AA65" s="132"/>
      <c r="AB65" s="132"/>
      <c r="AC65" s="132"/>
      <c r="AD65" s="133"/>
      <c r="AE65" s="134"/>
    </row>
    <row r="66" ht="24.0" customHeight="1">
      <c r="A66" s="139">
        <f>IFERROR(__xludf.DUMMYFUNCTION("""COMPUTED_VALUE"""),45937.85946678241)</f>
        <v>45937.85947</v>
      </c>
      <c r="B66" s="145" t="str">
        <f>IFERROR(__xludf.DUMMYFUNCTION("""COMPUTED_VALUE"""),"muhajirlah@gmail.com")</f>
        <v>muhajirlah@gmail.com</v>
      </c>
      <c r="C66" s="140" t="str">
        <f>IFERROR(__xludf.DUMMYFUNCTION("""COMPUTED_VALUE"""),"Sulthon Abrisam Karim")</f>
        <v>Sulthon Abrisam Karim</v>
      </c>
      <c r="D66" s="140" t="str">
        <f>IFERROR(__xludf.DUMMYFUNCTION("""COMPUTED_VALUE"""),"A250041")</f>
        <v>A250041</v>
      </c>
      <c r="E66" s="140" t="str">
        <f>IFERROR(__xludf.DUMMYFUNCTION("""COMPUTED_VALUE"""),"MTs Putra")</f>
        <v>MTs Putra</v>
      </c>
      <c r="F66" s="141" t="str">
        <f>IFERROR(__xludf.DUMMYFUNCTION("""COMPUTED_VALUE"""),"4: Cukup jelas, alasan positif namun masih umum.")</f>
        <v>4: Cukup jelas, alasan positif namun masih umum.</v>
      </c>
      <c r="G66" s="141" t="str">
        <f>IFERROR(__xludf.DUMMYFUNCTION("""COMPUTED_VALUE"""),"4: Lingkungan cukup mendukung, ada perhatian orang tua.")</f>
        <v>4: Lingkungan cukup mendukung, ada perhatian orang tua.</v>
      </c>
      <c r="H66" s="141" t="str">
        <f>IFERROR(__xludf.DUMMYFUNCTION("""COMPUTED_VALUE"""),"3: Game online, tapi masih bisa dikontrol.")</f>
        <v>3: Game online, tapi masih bisa dikontrol.</v>
      </c>
      <c r="I66" s="141" t="str">
        <f>IFERROR(__xludf.DUMMYFUNCTION("""COMPUTED_VALUE"""),"4: Mayoritas teman baik, ada sedikit yang kurang baik.")</f>
        <v>4: Mayoritas teman baik, ada sedikit yang kurang baik.</v>
      </c>
      <c r="J66" s="141" t="str">
        <f>IFERROR(__xludf.DUMMYFUNCTION("""COMPUTED_VALUE"""),"5: Jelas menolak, punya alasan agama/ilmu.")</f>
        <v>5: Jelas menolak, punya alasan agama/ilmu.</v>
      </c>
      <c r="K66" s="141" t="str">
        <f>IFERROR(__xludf.DUMMYFUNCTION("""COMPUTED_VALUE"""),"4: Menolak, tapi belum terlalu paham alasannya.")</f>
        <v>4: Menolak, tapi belum terlalu paham alasannya.</v>
      </c>
      <c r="L66" s="141" t="str">
        <f>IFERROR(__xludf.DUMMYFUNCTION("""COMPUTED_VALUE"""),"4: Hobi umum yang wajar (menggambar, dll).")</f>
        <v>4: Hobi umum yang wajar (menggambar, dll).</v>
      </c>
      <c r="M66" s="141" t="str">
        <f>IFERROR(__xludf.DUMMYFUNCTION("""COMPUTED_VALUE"""),"Muhajir ")</f>
        <v>Muhajir </v>
      </c>
      <c r="N66" s="141" t="str">
        <f>IFERROR(__xludf.DUMMYFUNCTION("""COMPUTED_VALUE"""),"B. Layak diterima dengan catatan pembinaan.")</f>
        <v>B. Layak diterima dengan catatan pembinaan.</v>
      </c>
      <c r="O66" s="141" t="str">
        <f>IFERROR(__xludf.DUMMYFUNCTION("""COMPUTED_VALUE"""),"Masih suka maen game namun alhamdulillah sudah ada kontrol dari orang tua (sehari 3 jam).")</f>
        <v>Masih suka maen game namun alhamdulillah sudah ada kontrol dari orang tua (sehari 3 jam).</v>
      </c>
      <c r="P66" s="131" t="str">
        <f t="shared" ref="P66:V66" si="68">left(F66,1)</f>
        <v>4</v>
      </c>
      <c r="Q66" s="131" t="str">
        <f t="shared" si="68"/>
        <v>4</v>
      </c>
      <c r="R66" s="131" t="str">
        <f t="shared" si="68"/>
        <v>3</v>
      </c>
      <c r="S66" s="131" t="str">
        <f t="shared" si="68"/>
        <v>4</v>
      </c>
      <c r="T66" s="131" t="str">
        <f t="shared" si="68"/>
        <v>5</v>
      </c>
      <c r="U66" s="131" t="str">
        <f t="shared" si="68"/>
        <v>4</v>
      </c>
      <c r="V66" s="131" t="str">
        <f t="shared" si="68"/>
        <v>4</v>
      </c>
      <c r="W66" s="119">
        <f t="shared" si="3"/>
        <v>28</v>
      </c>
      <c r="X66" s="119" t="str">
        <f t="shared" si="4"/>
        <v>Cukup Siap</v>
      </c>
      <c r="Y66" s="119" t="str">
        <f t="shared" si="5"/>
        <v>perlu pendampingan awal</v>
      </c>
      <c r="Z66" s="120"/>
      <c r="AA66" s="132"/>
      <c r="AB66" s="132"/>
      <c r="AC66" s="132"/>
      <c r="AD66" s="133"/>
      <c r="AE66" s="134"/>
    </row>
    <row r="67" ht="24.0" customHeight="1">
      <c r="A67" s="139">
        <f>IFERROR(__xludf.DUMMYFUNCTION("""COMPUTED_VALUE"""),45937.86482079861)</f>
        <v>45937.86482</v>
      </c>
      <c r="B67" s="140" t="str">
        <f>IFERROR(__xludf.DUMMYFUNCTION("""COMPUTED_VALUE"""),"alfaruqsyauqi513@gmail.com")</f>
        <v>alfaruqsyauqi513@gmail.com</v>
      </c>
      <c r="C67" s="140" t="str">
        <f>IFERROR(__xludf.DUMMYFUNCTION("""COMPUTED_VALUE"""),"Riyadi irawan")</f>
        <v>Riyadi irawan</v>
      </c>
      <c r="D67" s="140" t="str">
        <f>IFERROR(__xludf.DUMMYFUNCTION("""COMPUTED_VALUE"""),"A250040")</f>
        <v>A250040</v>
      </c>
      <c r="E67" s="140" t="str">
        <f>IFERROR(__xludf.DUMMYFUNCTION("""COMPUTED_VALUE"""),"MTs Putra")</f>
        <v>MTs Putra</v>
      </c>
      <c r="F67" s="141" t="str">
        <f>IFERROR(__xludf.DUMMYFUNCTION("""COMPUTED_VALUE"""),"5: Sangat jelas, kuat, dan sesuai visi pesantren (ingin belajar agama, mandiri, dekat dengan Allah).")</f>
        <v>5: Sangat jelas, kuat, dan sesuai visi pesantren (ingin belajar agama, mandiri, dekat dengan Allah).</v>
      </c>
      <c r="G67" s="141" t="str">
        <f>IFERROR(__xludf.DUMMYFUNCTION("""COMPUTED_VALUE"""),"5: Lingkungan sangat mendukung (keluarga islami, shalat berjamaah, kontrol gadget baik).")</f>
        <v>5: Lingkungan sangat mendukung (keluarga islami, shalat berjamaah, kontrol gadget baik).</v>
      </c>
      <c r="H67" s="141" t="str">
        <f>IFERROR(__xludf.DUMMYFUNCTION("""COMPUTED_VALUE"""),"5: Hobi bermanfaat (olahraga, membaca, permainan edukatif).")</f>
        <v>5: Hobi bermanfaat (olahraga, membaca, permainan edukatif).</v>
      </c>
      <c r="I67" s="141" t="str">
        <f>IFERROR(__xludf.DUMMYFUNCTION("""COMPUTED_VALUE"""),"5: Berteman dengan lingkungan positif (masjid, teman shalih/shalihah).")</f>
        <v>5: Berteman dengan lingkungan positif (masjid, teman shalih/shalihah).</v>
      </c>
      <c r="J67" s="141" t="str">
        <f>IFERROR(__xludf.DUMMYFUNCTION("""COMPUTED_VALUE"""),"5: Jelas menolak, punya alasan agama/ilmu.")</f>
        <v>5: Jelas menolak, punya alasan agama/ilmu.</v>
      </c>
      <c r="K67" s="141" t="str">
        <f>IFERROR(__xludf.DUMMYFUNCTION("""COMPUTED_VALUE"""),"5: Menolak dengan tegas, paham bahaya dan dosa.")</f>
        <v>5: Menolak dengan tegas, paham bahaya dan dosa.</v>
      </c>
      <c r="L67" s="141" t="str">
        <f>IFERROR(__xludf.DUMMYFUNCTION("""COMPUTED_VALUE"""),"5: Hobi positif, produktif, mendukung pengembangan diri (olahraga, membaca, seni islami).")</f>
        <v>5: Hobi positif, produktif, mendukung pengembangan diri (olahraga, membaca, seni islami).</v>
      </c>
      <c r="M67" s="141" t="str">
        <f>IFERROR(__xludf.DUMMYFUNCTION("""COMPUTED_VALUE"""),"Muhammad syauqi alfaruq")</f>
        <v>Muhammad syauqi alfaruq</v>
      </c>
      <c r="N67" s="141" t="str">
        <f>IFERROR(__xludf.DUMMYFUNCTION("""COMPUTED_VALUE"""),"A. Sangat Layak diterima (potensi besar berkembang di pesantren).")</f>
        <v>A. Sangat Layak diterima (potensi besar berkembang di pesantren).</v>
      </c>
      <c r="O67" s="141"/>
      <c r="P67" s="131" t="str">
        <f t="shared" ref="P67:V67" si="69">left(F67,1)</f>
        <v>5</v>
      </c>
      <c r="Q67" s="131" t="str">
        <f t="shared" si="69"/>
        <v>5</v>
      </c>
      <c r="R67" s="131" t="str">
        <f t="shared" si="69"/>
        <v>5</v>
      </c>
      <c r="S67" s="131" t="str">
        <f t="shared" si="69"/>
        <v>5</v>
      </c>
      <c r="T67" s="131" t="str">
        <f t="shared" si="69"/>
        <v>5</v>
      </c>
      <c r="U67" s="131" t="str">
        <f t="shared" si="69"/>
        <v>5</v>
      </c>
      <c r="V67" s="131" t="str">
        <f t="shared" si="69"/>
        <v>5</v>
      </c>
      <c r="W67" s="119">
        <f t="shared" si="3"/>
        <v>35</v>
      </c>
      <c r="X67" s="119" t="str">
        <f t="shared" si="4"/>
        <v>Siap</v>
      </c>
      <c r="Y67" s="119" t="str">
        <f t="shared" si="5"/>
        <v>bisa mengikuti pola pesantren dengan baik</v>
      </c>
      <c r="Z67" s="120"/>
      <c r="AA67" s="132"/>
      <c r="AB67" s="132"/>
      <c r="AC67" s="132"/>
      <c r="AD67" s="133"/>
      <c r="AE67" s="134"/>
    </row>
    <row r="68" ht="24.0" customHeight="1">
      <c r="A68" s="139">
        <f>IFERROR(__xludf.DUMMYFUNCTION("""COMPUTED_VALUE"""),45939.72070796296)</f>
        <v>45939.72071</v>
      </c>
      <c r="B68" s="140" t="str">
        <f>IFERROR(__xludf.DUMMYFUNCTION("""COMPUTED_VALUE"""),"rimamaryani5606@gmail.com")</f>
        <v>rimamaryani5606@gmail.com</v>
      </c>
      <c r="C68" s="140" t="str">
        <f>IFERROR(__xludf.DUMMYFUNCTION("""COMPUTED_VALUE"""),"Rizkya Aulia Az zahra")</f>
        <v>Rizkya Aulia Az zahra</v>
      </c>
      <c r="D68" s="140" t="str">
        <f>IFERROR(__xludf.DUMMYFUNCTION("""COMPUTED_VALUE"""),"D250013")</f>
        <v>D250013</v>
      </c>
      <c r="E68" s="140" t="str">
        <f>IFERROR(__xludf.DUMMYFUNCTION("""COMPUTED_VALUE"""),"MTs Putri")</f>
        <v>MTs Putri</v>
      </c>
      <c r="F68" s="141" t="str">
        <f>IFERROR(__xludf.DUMMYFUNCTION("""COMPUTED_VALUE"""),"4: Cukup jelas, alasan positif namun masih umum.")</f>
        <v>4: Cukup jelas, alasan positif namun masih umum.</v>
      </c>
      <c r="G68" s="141" t="str">
        <f>IFERROR(__xludf.DUMMYFUNCTION("""COMPUTED_VALUE"""),"4: Lingkungan cukup mendukung, ada perhatian orang tua.")</f>
        <v>4: Lingkungan cukup mendukung, ada perhatian orang tua.</v>
      </c>
      <c r="H68" s="141" t="str">
        <f>IFERROR(__xludf.DUMMYFUNCTION("""COMPUTED_VALUE"""),"5: Hobi bermanfaat (olahraga, membaca, permainan edukatif).")</f>
        <v>5: Hobi bermanfaat (olahraga, membaca, permainan edukatif).</v>
      </c>
      <c r="I68" s="141" t="str">
        <f>IFERROR(__xludf.DUMMYFUNCTION("""COMPUTED_VALUE"""),"5: Berteman dengan lingkungan positif (masjid, teman shalih/shalihah).")</f>
        <v>5: Berteman dengan lingkungan positif (masjid, teman shalih/shalihah).</v>
      </c>
      <c r="J68" s="141" t="str">
        <f>IFERROR(__xludf.DUMMYFUNCTION("""COMPUTED_VALUE"""),"4: Menolak, tapi alasannya umum.")</f>
        <v>4: Menolak, tapi alasannya umum.</v>
      </c>
      <c r="K68" s="141" t="str">
        <f>IFERROR(__xludf.DUMMYFUNCTION("""COMPUTED_VALUE"""),"4: Menolak, tapi belum terlalu paham alasannya.")</f>
        <v>4: Menolak, tapi belum terlalu paham alasannya.</v>
      </c>
      <c r="L68" s="141" t="str">
        <f>IFERROR(__xludf.DUMMYFUNCTION("""COMPUTED_VALUE"""),"4: Hobi umum yang wajar (menggambar, dll).")</f>
        <v>4: Hobi umum yang wajar (menggambar, dll).</v>
      </c>
      <c r="M68" s="141" t="str">
        <f>IFERROR(__xludf.DUMMYFUNCTION("""COMPUTED_VALUE"""),"Rima Maryani Putri Utami, S.Pd.I")</f>
        <v>Rima Maryani Putri Utami, S.Pd.I</v>
      </c>
      <c r="N68" s="141" t="str">
        <f>IFERROR(__xludf.DUMMYFUNCTION("""COMPUTED_VALUE"""),"A. Sangat Layak diterima (potensi besar berkembang di pesantren).")</f>
        <v>A. Sangat Layak diterima (potensi besar berkembang di pesantren).</v>
      </c>
      <c r="O68" s="141" t="str">
        <f>IFERROR(__xludf.DUMMYFUNCTION("""COMPUTED_VALUE"""),"Alhamdulillah, Wawancara dengan ananda berjalan dengan baik,ananda cukup komunikatif dan baik ketika berbicara tentang keseharian ananda di sekolah maupun di rumah. ")</f>
        <v>Alhamdulillah, Wawancara dengan ananda berjalan dengan baik,ananda cukup komunikatif dan baik ketika berbicara tentang keseharian ananda di sekolah maupun di rumah. </v>
      </c>
      <c r="P68" s="131" t="str">
        <f t="shared" ref="P68:V68" si="70">left(F68,1)</f>
        <v>4</v>
      </c>
      <c r="Q68" s="131" t="str">
        <f t="shared" si="70"/>
        <v>4</v>
      </c>
      <c r="R68" s="131" t="str">
        <f t="shared" si="70"/>
        <v>5</v>
      </c>
      <c r="S68" s="131" t="str">
        <f t="shared" si="70"/>
        <v>5</v>
      </c>
      <c r="T68" s="131" t="str">
        <f t="shared" si="70"/>
        <v>4</v>
      </c>
      <c r="U68" s="131" t="str">
        <f t="shared" si="70"/>
        <v>4</v>
      </c>
      <c r="V68" s="131" t="str">
        <f t="shared" si="70"/>
        <v>4</v>
      </c>
      <c r="W68" s="119">
        <f t="shared" si="3"/>
        <v>30</v>
      </c>
      <c r="X68" s="119" t="str">
        <f t="shared" si="4"/>
        <v>Siap</v>
      </c>
      <c r="Y68" s="119" t="str">
        <f t="shared" si="5"/>
        <v>bisa mengikuti pola pesantren dengan baik</v>
      </c>
      <c r="Z68" s="120"/>
      <c r="AA68" s="132"/>
      <c r="AB68" s="132"/>
      <c r="AC68" s="132"/>
      <c r="AD68" s="133"/>
      <c r="AE68" s="134"/>
    </row>
    <row r="69" ht="24.0" customHeight="1">
      <c r="A69" s="139">
        <f>IFERROR(__xludf.DUMMYFUNCTION("""COMPUTED_VALUE"""),45940.625698738426)</f>
        <v>45940.6257</v>
      </c>
      <c r="B69" s="140" t="str">
        <f>IFERROR(__xludf.DUMMYFUNCTION("""COMPUTED_VALUE"""),"alfaruqsyauqi513@gmail.com")</f>
        <v>alfaruqsyauqi513@gmail.com</v>
      </c>
      <c r="C69" s="140" t="str">
        <f>IFERROR(__xludf.DUMMYFUNCTION("""COMPUTED_VALUE"""),"NOUVALLDY FARZANI PRAYOGA")</f>
        <v>NOUVALLDY FARZANI PRAYOGA</v>
      </c>
      <c r="D69" s="140" t="str">
        <f>IFERROR(__xludf.DUMMYFUNCTION("""COMPUTED_VALUE"""),"A250023")</f>
        <v>A250023</v>
      </c>
      <c r="E69" s="140" t="str">
        <f>IFERROR(__xludf.DUMMYFUNCTION("""COMPUTED_VALUE"""),"MTs Putra")</f>
        <v>MTs Putra</v>
      </c>
      <c r="F69" s="141" t="str">
        <f>IFERROR(__xludf.DUMMYFUNCTION("""COMPUTED_VALUE"""),"5: Sangat jelas, kuat, dan sesuai visi pesantren (ingin belajar agama, mandiri, dekat dengan Allah).")</f>
        <v>5: Sangat jelas, kuat, dan sesuai visi pesantren (ingin belajar agama, mandiri, dekat dengan Allah).</v>
      </c>
      <c r="G69" s="141" t="str">
        <f>IFERROR(__xludf.DUMMYFUNCTION("""COMPUTED_VALUE"""),"5: Lingkungan sangat mendukung (keluarga islami, shalat berjamaah, kontrol gadget baik).")</f>
        <v>5: Lingkungan sangat mendukung (keluarga islami, shalat berjamaah, kontrol gadget baik).</v>
      </c>
      <c r="H69" s="141" t="str">
        <f>IFERROR(__xludf.DUMMYFUNCTION("""COMPUTED_VALUE"""),"5: Hobi bermanfaat (olahraga, membaca, permainan edukatif).")</f>
        <v>5: Hobi bermanfaat (olahraga, membaca, permainan edukatif).</v>
      </c>
      <c r="I69" s="141" t="str">
        <f>IFERROR(__xludf.DUMMYFUNCTION("""COMPUTED_VALUE"""),"4: Mayoritas teman baik, ada sedikit yang kurang baik.")</f>
        <v>4: Mayoritas teman baik, ada sedikit yang kurang baik.</v>
      </c>
      <c r="J69" s="141" t="str">
        <f>IFERROR(__xludf.DUMMYFUNCTION("""COMPUTED_VALUE"""),"5: Jelas menolak, punya alasan agama/ilmu.")</f>
        <v>5: Jelas menolak, punya alasan agama/ilmu.</v>
      </c>
      <c r="K69" s="141" t="str">
        <f>IFERROR(__xludf.DUMMYFUNCTION("""COMPUTED_VALUE"""),"5: Menolak dengan tegas, paham bahaya dan dosa.")</f>
        <v>5: Menolak dengan tegas, paham bahaya dan dosa.</v>
      </c>
      <c r="L69" s="141" t="str">
        <f>IFERROR(__xludf.DUMMYFUNCTION("""COMPUTED_VALUE"""),"5: Hobi positif, produktif, mendukung pengembangan diri (olahraga, membaca, seni islami).")</f>
        <v>5: Hobi positif, produktif, mendukung pengembangan diri (olahraga, membaca, seni islami).</v>
      </c>
      <c r="M69" s="141" t="str">
        <f>IFERROR(__xludf.DUMMYFUNCTION("""COMPUTED_VALUE"""),"Muhammad syauqi alfaruq")</f>
        <v>Muhammad syauqi alfaruq</v>
      </c>
      <c r="N69" s="141" t="str">
        <f>IFERROR(__xludf.DUMMYFUNCTION("""COMPUTED_VALUE"""),"A. Sangat Layak diterima (potensi besar berkembang di pesantren).")</f>
        <v>A. Sangat Layak diterima (potensi besar berkembang di pesantren).</v>
      </c>
      <c r="O69" s="141"/>
      <c r="P69" s="131" t="str">
        <f t="shared" ref="P69:V69" si="71">left(F69,1)</f>
        <v>5</v>
      </c>
      <c r="Q69" s="131" t="str">
        <f t="shared" si="71"/>
        <v>5</v>
      </c>
      <c r="R69" s="131" t="str">
        <f t="shared" si="71"/>
        <v>5</v>
      </c>
      <c r="S69" s="131" t="str">
        <f t="shared" si="71"/>
        <v>4</v>
      </c>
      <c r="T69" s="131" t="str">
        <f t="shared" si="71"/>
        <v>5</v>
      </c>
      <c r="U69" s="131" t="str">
        <f t="shared" si="71"/>
        <v>5</v>
      </c>
      <c r="V69" s="131" t="str">
        <f t="shared" si="71"/>
        <v>5</v>
      </c>
      <c r="W69" s="119">
        <f t="shared" si="3"/>
        <v>34</v>
      </c>
      <c r="X69" s="119" t="str">
        <f t="shared" si="4"/>
        <v>Siap</v>
      </c>
      <c r="Y69" s="119" t="str">
        <f t="shared" si="5"/>
        <v>bisa mengikuti pola pesantren dengan baik</v>
      </c>
      <c r="Z69" s="120"/>
      <c r="AA69" s="132"/>
      <c r="AB69" s="132"/>
      <c r="AC69" s="132"/>
      <c r="AD69" s="133"/>
      <c r="AE69" s="134"/>
    </row>
    <row r="70" ht="24.0" customHeight="1">
      <c r="A70" s="139">
        <f>IFERROR(__xludf.DUMMYFUNCTION("""COMPUTED_VALUE"""),45940.81753733796)</f>
        <v>45940.81754</v>
      </c>
      <c r="B70" s="140" t="str">
        <f>IFERROR(__xludf.DUMMYFUNCTION("""COMPUTED_VALUE"""),"nabilmujtaba426@gmail.com")</f>
        <v>nabilmujtaba426@gmail.com</v>
      </c>
      <c r="C70" s="140" t="str">
        <f>IFERROR(__xludf.DUMMYFUNCTION("""COMPUTED_VALUE"""),"Artka Hasbina Azhuary")</f>
        <v>Artka Hasbina Azhuary</v>
      </c>
      <c r="D70" s="140" t="str">
        <f>IFERROR(__xludf.DUMMYFUNCTION("""COMPUTED_VALUE"""),"A250032")</f>
        <v>A250032</v>
      </c>
      <c r="E70" s="140" t="str">
        <f>IFERROR(__xludf.DUMMYFUNCTION("""COMPUTED_VALUE"""),"MTs Putra")</f>
        <v>MTs Putra</v>
      </c>
      <c r="F70" s="141" t="str">
        <f>IFERROR(__xludf.DUMMYFUNCTION("""COMPUTED_VALUE"""),"5: Sangat jelas, kuat, dan sesuai visi pesantren (ingin belajar agama, mandiri, dekat dengan Allah).")</f>
        <v>5: Sangat jelas, kuat, dan sesuai visi pesantren (ingin belajar agama, mandiri, dekat dengan Allah).</v>
      </c>
      <c r="G70" s="141" t="str">
        <f>IFERROR(__xludf.DUMMYFUNCTION("""COMPUTED_VALUE"""),"5: Lingkungan sangat mendukung (keluarga islami, shalat berjamaah, kontrol gadget baik).")</f>
        <v>5: Lingkungan sangat mendukung (keluarga islami, shalat berjamaah, kontrol gadget baik).</v>
      </c>
      <c r="H70" s="141" t="str">
        <f>IFERROR(__xludf.DUMMYFUNCTION("""COMPUTED_VALUE"""),"5: Hobi bermanfaat (olahraga, membaca, permainan edukatif).")</f>
        <v>5: Hobi bermanfaat (olahraga, membaca, permainan edukatif).</v>
      </c>
      <c r="I70" s="141" t="str">
        <f>IFERROR(__xludf.DUMMYFUNCTION("""COMPUTED_VALUE"""),"5: Berteman dengan lingkungan positif (masjid, teman shalih/shalihah).")</f>
        <v>5: Berteman dengan lingkungan positif (masjid, teman shalih/shalihah).</v>
      </c>
      <c r="J70" s="141" t="str">
        <f>IFERROR(__xludf.DUMMYFUNCTION("""COMPUTED_VALUE"""),"4: Menolak, tapi alasannya umum.")</f>
        <v>4: Menolak, tapi alasannya umum.</v>
      </c>
      <c r="K70" s="141" t="str">
        <f>IFERROR(__xludf.DUMMYFUNCTION("""COMPUTED_VALUE"""),"4: Menolak, tapi belum terlalu paham alasannya.")</f>
        <v>4: Menolak, tapi belum terlalu paham alasannya.</v>
      </c>
      <c r="L70" s="141" t="str">
        <f>IFERROR(__xludf.DUMMYFUNCTION("""COMPUTED_VALUE"""),"5: Hobi positif, produktif, mendukung pengembangan diri (olahraga, membaca, seni islami).")</f>
        <v>5: Hobi positif, produktif, mendukung pengembangan diri (olahraga, membaca, seni islami).</v>
      </c>
      <c r="M70" s="142" t="str">
        <f>IFERROR(__xludf.DUMMYFUNCTION("""COMPUTED_VALUE"""),"Nabil Mujtaba")</f>
        <v>Nabil Mujtaba</v>
      </c>
      <c r="N70" s="141" t="str">
        <f>IFERROR(__xludf.DUMMYFUNCTION("""COMPUTED_VALUE"""),"A. Sangat Layak diterima (potensi besar berkembang di pesantren).")</f>
        <v>A. Sangat Layak diterima (potensi besar berkembang di pesantren).</v>
      </c>
      <c r="O70" s="141" t="str">
        <f>IFERROR(__xludf.DUMMYFUNCTION("""COMPUTED_VALUE"""),"Hafalan 3 Juz")</f>
        <v>Hafalan 3 Juz</v>
      </c>
      <c r="P70" s="131" t="str">
        <f t="shared" ref="P70:V70" si="72">left(F70,1)</f>
        <v>5</v>
      </c>
      <c r="Q70" s="131" t="str">
        <f t="shared" si="72"/>
        <v>5</v>
      </c>
      <c r="R70" s="131" t="str">
        <f t="shared" si="72"/>
        <v>5</v>
      </c>
      <c r="S70" s="131" t="str">
        <f t="shared" si="72"/>
        <v>5</v>
      </c>
      <c r="T70" s="131" t="str">
        <f t="shared" si="72"/>
        <v>4</v>
      </c>
      <c r="U70" s="131" t="str">
        <f t="shared" si="72"/>
        <v>4</v>
      </c>
      <c r="V70" s="131" t="str">
        <f t="shared" si="72"/>
        <v>5</v>
      </c>
      <c r="W70" s="119">
        <f t="shared" si="3"/>
        <v>33</v>
      </c>
      <c r="X70" s="119" t="str">
        <f t="shared" si="4"/>
        <v>Siap</v>
      </c>
      <c r="Y70" s="119" t="str">
        <f t="shared" si="5"/>
        <v>bisa mengikuti pola pesantren dengan baik</v>
      </c>
      <c r="Z70" s="120"/>
      <c r="AA70" s="132"/>
      <c r="AB70" s="132"/>
      <c r="AC70" s="132"/>
      <c r="AD70" s="133"/>
      <c r="AE70" s="134"/>
    </row>
    <row r="71" ht="24.0" customHeight="1">
      <c r="A71" s="139">
        <f>IFERROR(__xludf.DUMMYFUNCTION("""COMPUTED_VALUE"""),45941.55458460648)</f>
        <v>45941.55458</v>
      </c>
      <c r="B71" s="140" t="str">
        <f>IFERROR(__xludf.DUMMYFUNCTION("""COMPUTED_VALUE"""),"alfaruqsyauqi513@gmail.com")</f>
        <v>alfaruqsyauqi513@gmail.com</v>
      </c>
      <c r="C71" s="140" t="str">
        <f>IFERROR(__xludf.DUMMYFUNCTION("""COMPUTED_VALUE"""),"FARHAN IBADURROHMAN")</f>
        <v>FARHAN IBADURROHMAN</v>
      </c>
      <c r="D71" s="140" t="str">
        <f>IFERROR(__xludf.DUMMYFUNCTION("""COMPUTED_VALUE"""),"B250018")</f>
        <v>B250018</v>
      </c>
      <c r="E71" s="140" t="str">
        <f>IFERROR(__xludf.DUMMYFUNCTION("""COMPUTED_VALUE"""),"IL Putra")</f>
        <v>IL Putra</v>
      </c>
      <c r="F71" s="141" t="str">
        <f>IFERROR(__xludf.DUMMYFUNCTION("""COMPUTED_VALUE"""),"4: Cukup jelas, alasan positif namun masih umum.")</f>
        <v>4: Cukup jelas, alasan positif namun masih umum.</v>
      </c>
      <c r="G71" s="141" t="str">
        <f>IFERROR(__xludf.DUMMYFUNCTION("""COMPUTED_VALUE"""),"5: Lingkungan sangat mendukung (keluarga islami, shalat berjamaah, kontrol gadget baik).")</f>
        <v>5: Lingkungan sangat mendukung (keluarga islami, shalat berjamaah, kontrol gadget baik).</v>
      </c>
      <c r="H71" s="141" t="str">
        <f>IFERROR(__xludf.DUMMYFUNCTION("""COMPUTED_VALUE"""),"5: Hobi bermanfaat (olahraga, membaca, permainan edukatif).")</f>
        <v>5: Hobi bermanfaat (olahraga, membaca, permainan edukatif).</v>
      </c>
      <c r="I71" s="141" t="str">
        <f>IFERROR(__xludf.DUMMYFUNCTION("""COMPUTED_VALUE"""),"3: Teman biasa saja, netral.")</f>
        <v>3: Teman biasa saja, netral.</v>
      </c>
      <c r="J71" s="141" t="str">
        <f>IFERROR(__xludf.DUMMYFUNCTION("""COMPUTED_VALUE"""),"5: Jelas menolak, punya alasan agama/ilmu.")</f>
        <v>5: Jelas menolak, punya alasan agama/ilmu.</v>
      </c>
      <c r="K71" s="141" t="str">
        <f>IFERROR(__xludf.DUMMYFUNCTION("""COMPUTED_VALUE"""),"5: Menolak dengan tegas, paham bahaya dan dosa.")</f>
        <v>5: Menolak dengan tegas, paham bahaya dan dosa.</v>
      </c>
      <c r="L71" s="141" t="str">
        <f>IFERROR(__xludf.DUMMYFUNCTION("""COMPUTED_VALUE"""),"5: Hobi positif, produktif, mendukung pengembangan diri (olahraga, membaca, seni islami).")</f>
        <v>5: Hobi positif, produktif, mendukung pengembangan diri (olahraga, membaca, seni islami).</v>
      </c>
      <c r="M71" s="141" t="str">
        <f>IFERROR(__xludf.DUMMYFUNCTION("""COMPUTED_VALUE"""),"Muhammad syauqi alfaruq")</f>
        <v>Muhammad syauqi alfaruq</v>
      </c>
      <c r="N71" s="141" t="str">
        <f>IFERROR(__xludf.DUMMYFUNCTION("""COMPUTED_VALUE"""),"B. Layak diterima dengan catatan pembinaan.")</f>
        <v>B. Layak diterima dengan catatan pembinaan.</v>
      </c>
      <c r="O71" s="141"/>
      <c r="P71" s="131" t="str">
        <f t="shared" ref="P71:V71" si="73">left(F71,1)</f>
        <v>4</v>
      </c>
      <c r="Q71" s="131" t="str">
        <f t="shared" si="73"/>
        <v>5</v>
      </c>
      <c r="R71" s="131" t="str">
        <f t="shared" si="73"/>
        <v>5</v>
      </c>
      <c r="S71" s="131" t="str">
        <f t="shared" si="73"/>
        <v>3</v>
      </c>
      <c r="T71" s="131" t="str">
        <f t="shared" si="73"/>
        <v>5</v>
      </c>
      <c r="U71" s="131" t="str">
        <f t="shared" si="73"/>
        <v>5</v>
      </c>
      <c r="V71" s="131" t="str">
        <f t="shared" si="73"/>
        <v>5</v>
      </c>
      <c r="W71" s="119">
        <f t="shared" si="3"/>
        <v>32</v>
      </c>
      <c r="X71" s="119" t="str">
        <f t="shared" si="4"/>
        <v>Siap</v>
      </c>
      <c r="Y71" s="119" t="str">
        <f t="shared" si="5"/>
        <v>bisa mengikuti pola pesantren dengan baik</v>
      </c>
      <c r="Z71" s="120"/>
      <c r="AA71" s="132"/>
      <c r="AB71" s="132"/>
      <c r="AC71" s="132"/>
      <c r="AD71" s="133"/>
      <c r="AE71" s="134"/>
    </row>
    <row r="72" ht="24.0" customHeight="1">
      <c r="A72" s="139">
        <f>IFERROR(__xludf.DUMMYFUNCTION("""COMPUTED_VALUE"""),45941.606153437504)</f>
        <v>45941.60615</v>
      </c>
      <c r="B72" s="145" t="str">
        <f>IFERROR(__xludf.DUMMYFUNCTION("""COMPUTED_VALUE"""),"halimah.fauziah49@admin.sma.belajar.id")</f>
        <v>halimah.fauziah49@admin.sma.belajar.id</v>
      </c>
      <c r="C72" s="140" t="str">
        <f>IFERROR(__xludf.DUMMYFUNCTION("""COMPUTED_VALUE"""),"Anastasya putri")</f>
        <v>Anastasya putri</v>
      </c>
      <c r="D72" s="140" t="str">
        <f>IFERROR(__xludf.DUMMYFUNCTION("""COMPUTED_VALUE"""),"D250012")</f>
        <v>D250012</v>
      </c>
      <c r="E72" s="140" t="str">
        <f>IFERROR(__xludf.DUMMYFUNCTION("""COMPUTED_VALUE"""),"MTs Putri")</f>
        <v>MTs Putri</v>
      </c>
      <c r="F72" s="141" t="str">
        <f>IFERROR(__xludf.DUMMYFUNCTION("""COMPUTED_VALUE"""),"4: Cukup jelas, alasan positif namun masih umum.")</f>
        <v>4: Cukup jelas, alasan positif namun masih umum.</v>
      </c>
      <c r="G72" s="141" t="str">
        <f>IFERROR(__xludf.DUMMYFUNCTION("""COMPUTED_VALUE"""),"5: Lingkungan sangat mendukung (keluarga islami, shalat berjamaah, kontrol gadget baik).")</f>
        <v>5: Lingkungan sangat mendukung (keluarga islami, shalat berjamaah, kontrol gadget baik).</v>
      </c>
      <c r="H72" s="141" t="str">
        <f>IFERROR(__xludf.DUMMYFUNCTION("""COMPUTED_VALUE"""),"5: Hobi bermanfaat (olahraga, membaca, permainan edukatif).")</f>
        <v>5: Hobi bermanfaat (olahraga, membaca, permainan edukatif).</v>
      </c>
      <c r="I72" s="141" t="str">
        <f>IFERROR(__xludf.DUMMYFUNCTION("""COMPUTED_VALUE"""),"5: Berteman dengan lingkungan positif (masjid, teman shalih/shalihah).")</f>
        <v>5: Berteman dengan lingkungan positif (masjid, teman shalih/shalihah).</v>
      </c>
      <c r="J72" s="141" t="str">
        <f>IFERROR(__xludf.DUMMYFUNCTION("""COMPUTED_VALUE"""),"4: Menolak, tapi alasannya umum.")</f>
        <v>4: Menolak, tapi alasannya umum.</v>
      </c>
      <c r="K72" s="141" t="str">
        <f>IFERROR(__xludf.DUMMYFUNCTION("""COMPUTED_VALUE"""),"4: Menolak, tapi belum terlalu paham alasannya.")</f>
        <v>4: Menolak, tapi belum terlalu paham alasannya.</v>
      </c>
      <c r="L72" s="141" t="str">
        <f>IFERROR(__xludf.DUMMYFUNCTION("""COMPUTED_VALUE"""),"5: Hobi positif, produktif, mendukung pengembangan diri (olahraga, membaca, seni islami).")</f>
        <v>5: Hobi positif, produktif, mendukung pengembangan diri (olahraga, membaca, seni islami).</v>
      </c>
      <c r="M72" s="141" t="str">
        <f>IFERROR(__xludf.DUMMYFUNCTION("""COMPUTED_VALUE"""),"Halimah Fauziah")</f>
        <v>Halimah Fauziah</v>
      </c>
      <c r="N72" s="141" t="str">
        <f>IFERROR(__xludf.DUMMYFUNCTION("""COMPUTED_VALUE"""),"A. Sangat Layak diterima (potensi besar berkembang di pesantren).")</f>
        <v>A. Sangat Layak diterima (potensi besar berkembang di pesantren).</v>
      </c>
      <c r="O72" s="141" t="str">
        <f>IFERROR(__xludf.DUMMYFUNCTION("""COMPUTED_VALUE"""),"masih tampak malu malu tapi komunikatip berbicara dengan sopan santun")</f>
        <v>masih tampak malu malu tapi komunikatip berbicara dengan sopan santun</v>
      </c>
      <c r="P72" s="131" t="str">
        <f t="shared" ref="P72:V72" si="74">left(F72,1)</f>
        <v>4</v>
      </c>
      <c r="Q72" s="131" t="str">
        <f t="shared" si="74"/>
        <v>5</v>
      </c>
      <c r="R72" s="131" t="str">
        <f t="shared" si="74"/>
        <v>5</v>
      </c>
      <c r="S72" s="131" t="str">
        <f t="shared" si="74"/>
        <v>5</v>
      </c>
      <c r="T72" s="131" t="str">
        <f t="shared" si="74"/>
        <v>4</v>
      </c>
      <c r="U72" s="131" t="str">
        <f t="shared" si="74"/>
        <v>4</v>
      </c>
      <c r="V72" s="131" t="str">
        <f t="shared" si="74"/>
        <v>5</v>
      </c>
      <c r="W72" s="119">
        <f t="shared" si="3"/>
        <v>32</v>
      </c>
      <c r="X72" s="119" t="str">
        <f t="shared" si="4"/>
        <v>Siap</v>
      </c>
      <c r="Y72" s="119" t="str">
        <f t="shared" si="5"/>
        <v>bisa mengikuti pola pesantren dengan baik</v>
      </c>
      <c r="Z72" s="120"/>
      <c r="AA72" s="132"/>
      <c r="AB72" s="132"/>
      <c r="AC72" s="132"/>
      <c r="AD72" s="133"/>
      <c r="AE72" s="134"/>
    </row>
    <row r="73" ht="24.0" customHeight="1">
      <c r="A73" s="139">
        <f>IFERROR(__xludf.DUMMYFUNCTION("""COMPUTED_VALUE"""),45941.66963096065)</f>
        <v>45941.66963</v>
      </c>
      <c r="B73" s="145" t="str">
        <f>IFERROR(__xludf.DUMMYFUNCTION("""COMPUTED_VALUE"""),"muhammadadibachsan@madrasah.kemenag.go.id")</f>
        <v>muhammadadibachsan@madrasah.kemenag.go.id</v>
      </c>
      <c r="C73" s="140" t="str">
        <f>IFERROR(__xludf.DUMMYFUNCTION("""COMPUTED_VALUE"""),"Muhammad Raihan Al Fawwaz")</f>
        <v>Muhammad Raihan Al Fawwaz</v>
      </c>
      <c r="D73" s="140" t="str">
        <f>IFERROR(__xludf.DUMMYFUNCTION("""COMPUTED_VALUE"""),"A250005")</f>
        <v>A250005</v>
      </c>
      <c r="E73" s="140" t="str">
        <f>IFERROR(__xludf.DUMMYFUNCTION("""COMPUTED_VALUE"""),"MTs Putra")</f>
        <v>MTs Putra</v>
      </c>
      <c r="F73" s="141" t="str">
        <f>IFERROR(__xludf.DUMMYFUNCTION("""COMPUTED_VALUE"""),"5: Sangat jelas, kuat, dan sesuai visi pesantren (ingin belajar agama, mandiri, dekat dengan Allah).")</f>
        <v>5: Sangat jelas, kuat, dan sesuai visi pesantren (ingin belajar agama, mandiri, dekat dengan Allah).</v>
      </c>
      <c r="G73" s="141" t="str">
        <f>IFERROR(__xludf.DUMMYFUNCTION("""COMPUTED_VALUE"""),"5: Lingkungan sangat mendukung (keluarga islami, shalat berjamaah, kontrol gadget baik).")</f>
        <v>5: Lingkungan sangat mendukung (keluarga islami, shalat berjamaah, kontrol gadget baik).</v>
      </c>
      <c r="H73" s="141" t="str">
        <f>IFERROR(__xludf.DUMMYFUNCTION("""COMPUTED_VALUE"""),"3: Game online, tapi masih bisa dikontrol.")</f>
        <v>3: Game online, tapi masih bisa dikontrol.</v>
      </c>
      <c r="I73" s="141" t="str">
        <f>IFERROR(__xludf.DUMMYFUNCTION("""COMPUTED_VALUE"""),"4: Mayoritas teman baik, ada sedikit yang kurang baik.")</f>
        <v>4: Mayoritas teman baik, ada sedikit yang kurang baik.</v>
      </c>
      <c r="J73" s="141" t="str">
        <f>IFERROR(__xludf.DUMMYFUNCTION("""COMPUTED_VALUE"""),"4: Menolak, tapi alasannya umum.")</f>
        <v>4: Menolak, tapi alasannya umum.</v>
      </c>
      <c r="K73" s="141" t="str">
        <f>IFERROR(__xludf.DUMMYFUNCTION("""COMPUTED_VALUE"""),"5: Menolak dengan tegas, paham bahaya dan dosa.")</f>
        <v>5: Menolak dengan tegas, paham bahaya dan dosa.</v>
      </c>
      <c r="L73" s="141" t="str">
        <f>IFERROR(__xludf.DUMMYFUNCTION("""COMPUTED_VALUE"""),"5: Hobi positif, produktif, mendukung pengembangan diri (olahraga, membaca, seni islami).")</f>
        <v>5: Hobi positif, produktif, mendukung pengembangan diri (olahraga, membaca, seni islami).</v>
      </c>
      <c r="M73" s="141" t="str">
        <f>IFERROR(__xludf.DUMMYFUNCTION("""COMPUTED_VALUE"""),"Muhib")</f>
        <v>Muhib</v>
      </c>
      <c r="N73" s="141" t="str">
        <f>IFERROR(__xludf.DUMMYFUNCTION("""COMPUTED_VALUE"""),"B. Layak diterima dengan catatan pembinaan.")</f>
        <v>B. Layak diterima dengan catatan pembinaan.</v>
      </c>
      <c r="O73" s="141"/>
      <c r="P73" s="131" t="str">
        <f t="shared" ref="P73:V73" si="75">left(F73,1)</f>
        <v>5</v>
      </c>
      <c r="Q73" s="131" t="str">
        <f t="shared" si="75"/>
        <v>5</v>
      </c>
      <c r="R73" s="131" t="str">
        <f t="shared" si="75"/>
        <v>3</v>
      </c>
      <c r="S73" s="131" t="str">
        <f t="shared" si="75"/>
        <v>4</v>
      </c>
      <c r="T73" s="131" t="str">
        <f t="shared" si="75"/>
        <v>4</v>
      </c>
      <c r="U73" s="131" t="str">
        <f t="shared" si="75"/>
        <v>5</v>
      </c>
      <c r="V73" s="131" t="str">
        <f t="shared" si="75"/>
        <v>5</v>
      </c>
      <c r="W73" s="119">
        <f t="shared" si="3"/>
        <v>31</v>
      </c>
      <c r="X73" s="119" t="str">
        <f t="shared" si="4"/>
        <v>Siap</v>
      </c>
      <c r="Y73" s="119" t="str">
        <f t="shared" si="5"/>
        <v>bisa mengikuti pola pesantren dengan baik</v>
      </c>
      <c r="Z73" s="120"/>
      <c r="AA73" s="132"/>
      <c r="AB73" s="132"/>
      <c r="AC73" s="132"/>
      <c r="AD73" s="133"/>
      <c r="AE73" s="134"/>
    </row>
    <row r="74" ht="24.0" customHeight="1">
      <c r="A74" s="139">
        <f>IFERROR(__xludf.DUMMYFUNCTION("""COMPUTED_VALUE"""),45941.82181243056)</f>
        <v>45941.82181</v>
      </c>
      <c r="B74" s="140" t="str">
        <f>IFERROR(__xludf.DUMMYFUNCTION("""COMPUTED_VALUE"""),"nabilmujtaba426@gmail.com")</f>
        <v>nabilmujtaba426@gmail.com</v>
      </c>
      <c r="C74" s="140" t="str">
        <f>IFERROR(__xludf.DUMMYFUNCTION("""COMPUTED_VALUE"""),"Umar")</f>
        <v>Umar</v>
      </c>
      <c r="D74" s="140" t="str">
        <f>IFERROR(__xludf.DUMMYFUNCTION("""COMPUTED_VALUE"""),"A250027")</f>
        <v>A250027</v>
      </c>
      <c r="E74" s="140" t="str">
        <f>IFERROR(__xludf.DUMMYFUNCTION("""COMPUTED_VALUE"""),"MTs Putra")</f>
        <v>MTs Putra</v>
      </c>
      <c r="F74" s="141" t="str">
        <f>IFERROR(__xludf.DUMMYFUNCTION("""COMPUTED_VALUE"""),"4: Cukup jelas, alasan positif namun masih umum.")</f>
        <v>4: Cukup jelas, alasan positif namun masih umum.</v>
      </c>
      <c r="G74" s="141" t="str">
        <f>IFERROR(__xludf.DUMMYFUNCTION("""COMPUTED_VALUE"""),"5: Lingkungan sangat mendukung (keluarga islami, shalat berjamaah, kontrol gadget baik).")</f>
        <v>5: Lingkungan sangat mendukung (keluarga islami, shalat berjamaah, kontrol gadget baik).</v>
      </c>
      <c r="H74" s="141" t="str">
        <f>IFERROR(__xludf.DUMMYFUNCTION("""COMPUTED_VALUE"""),"4: Game rekreasi wajar, tidak berlebihan.")</f>
        <v>4: Game rekreasi wajar, tidak berlebihan.</v>
      </c>
      <c r="I74" s="141" t="str">
        <f>IFERROR(__xludf.DUMMYFUNCTION("""COMPUTED_VALUE"""),"3: Teman biasa saja, netral.")</f>
        <v>3: Teman biasa saja, netral.</v>
      </c>
      <c r="J74" s="141" t="str">
        <f>IFERROR(__xludf.DUMMYFUNCTION("""COMPUTED_VALUE"""),"4: Menolak, tapi alasannya umum.")</f>
        <v>4: Menolak, tapi alasannya umum.</v>
      </c>
      <c r="K74" s="141" t="str">
        <f>IFERROR(__xludf.DUMMYFUNCTION("""COMPUTED_VALUE"""),"4: Menolak, tapi belum terlalu paham alasannya.")</f>
        <v>4: Menolak, tapi belum terlalu paham alasannya.</v>
      </c>
      <c r="L74" s="141" t="str">
        <f>IFERROR(__xludf.DUMMYFUNCTION("""COMPUTED_VALUE"""),"5: Hobi positif, produktif, mendukung pengembangan diri (olahraga, membaca, seni islami).")</f>
        <v>5: Hobi positif, produktif, mendukung pengembangan diri (olahraga, membaca, seni islami).</v>
      </c>
      <c r="M74" s="141" t="str">
        <f>IFERROR(__xludf.DUMMYFUNCTION("""COMPUTED_VALUE"""),"Nabil Mujtaba")</f>
        <v>Nabil Mujtaba</v>
      </c>
      <c r="N74" s="141" t="str">
        <f>IFERROR(__xludf.DUMMYFUNCTION("""COMPUTED_VALUE"""),"A. Sangat Layak diterima (potensi besar berkembang di pesantren).")</f>
        <v>A. Sangat Layak diterima (potensi besar berkembang di pesantren).</v>
      </c>
      <c r="O74" s="141"/>
      <c r="P74" s="131" t="str">
        <f t="shared" ref="P74:V74" si="76">left(F74,1)</f>
        <v>4</v>
      </c>
      <c r="Q74" s="131" t="str">
        <f t="shared" si="76"/>
        <v>5</v>
      </c>
      <c r="R74" s="131" t="str">
        <f t="shared" si="76"/>
        <v>4</v>
      </c>
      <c r="S74" s="131" t="str">
        <f t="shared" si="76"/>
        <v>3</v>
      </c>
      <c r="T74" s="131" t="str">
        <f t="shared" si="76"/>
        <v>4</v>
      </c>
      <c r="U74" s="131" t="str">
        <f t="shared" si="76"/>
        <v>4</v>
      </c>
      <c r="V74" s="131" t="str">
        <f t="shared" si="76"/>
        <v>5</v>
      </c>
      <c r="W74" s="119">
        <f t="shared" si="3"/>
        <v>29</v>
      </c>
      <c r="X74" s="119" t="str">
        <f t="shared" si="4"/>
        <v>Siap</v>
      </c>
      <c r="Y74" s="119" t="str">
        <f t="shared" si="5"/>
        <v>bisa mengikuti pola pesantren dengan baik</v>
      </c>
      <c r="Z74" s="120"/>
      <c r="AA74" s="132"/>
      <c r="AB74" s="132"/>
      <c r="AC74" s="132"/>
      <c r="AD74" s="133"/>
      <c r="AE74" s="134"/>
    </row>
    <row r="75" ht="24.0" customHeight="1">
      <c r="A75" s="139">
        <f>IFERROR(__xludf.DUMMYFUNCTION("""COMPUTED_VALUE"""),45941.84459807871)</f>
        <v>45941.8446</v>
      </c>
      <c r="B75" s="140" t="str">
        <f>IFERROR(__xludf.DUMMYFUNCTION("""COMPUTED_VALUE"""),"alfaruqsyauqi513@gmail.com")</f>
        <v>alfaruqsyauqi513@gmail.com</v>
      </c>
      <c r="C75" s="140" t="str">
        <f>IFERROR(__xludf.DUMMYFUNCTION("""COMPUTED_VALUE"""),"ALIFADHILAH IRHAB HAUZAN")</f>
        <v>ALIFADHILAH IRHAB HAUZAN</v>
      </c>
      <c r="D75" s="140" t="str">
        <f>IFERROR(__xludf.DUMMYFUNCTION("""COMPUTED_VALUE"""),"C250020")</f>
        <v>C250020</v>
      </c>
      <c r="E75" s="140" t="str">
        <f>IFERROR(__xludf.DUMMYFUNCTION("""COMPUTED_VALUE"""),"SMA Putra")</f>
        <v>SMA Putra</v>
      </c>
      <c r="F75" s="141" t="str">
        <f>IFERROR(__xludf.DUMMYFUNCTION("""COMPUTED_VALUE"""),"4: Cukup jelas, alasan positif namun masih umum.")</f>
        <v>4: Cukup jelas, alasan positif namun masih umum.</v>
      </c>
      <c r="G75" s="142" t="str">
        <f>IFERROR(__xludf.DUMMYFUNCTION("""COMPUTED_VALUE"""),"4: Lingkungan cukup mendukung, ada perhatian orang tua.")</f>
        <v>4: Lingkungan cukup mendukung, ada perhatian orang tua.</v>
      </c>
      <c r="H75" s="141" t="str">
        <f>IFERROR(__xludf.DUMMYFUNCTION("""COMPUTED_VALUE"""),"5: Hobi bermanfaat (olahraga, membaca, permainan edukatif).")</f>
        <v>5: Hobi bermanfaat (olahraga, membaca, permainan edukatif).</v>
      </c>
      <c r="I75" s="141" t="str">
        <f>IFERROR(__xludf.DUMMYFUNCTION("""COMPUTED_VALUE"""),"4: Mayoritas teman baik, ada sedikit yang kurang baik.")</f>
        <v>4: Mayoritas teman baik, ada sedikit yang kurang baik.</v>
      </c>
      <c r="J75" s="141" t="str">
        <f>IFERROR(__xludf.DUMMYFUNCTION("""COMPUTED_VALUE"""),"5: Jelas menolak, punya alasan agama/ilmu.")</f>
        <v>5: Jelas menolak, punya alasan agama/ilmu.</v>
      </c>
      <c r="K75" s="141" t="str">
        <f>IFERROR(__xludf.DUMMYFUNCTION("""COMPUTED_VALUE"""),"4: Menolak, tapi belum terlalu paham alasannya.")</f>
        <v>4: Menolak, tapi belum terlalu paham alasannya.</v>
      </c>
      <c r="L75" s="141" t="str">
        <f>IFERROR(__xludf.DUMMYFUNCTION("""COMPUTED_VALUE"""),"5: Hobi positif, produktif, mendukung pengembangan diri (olahraga, membaca, seni islami).")</f>
        <v>5: Hobi positif, produktif, mendukung pengembangan diri (olahraga, membaca, seni islami).</v>
      </c>
      <c r="M75" s="141" t="str">
        <f>IFERROR(__xludf.DUMMYFUNCTION("""COMPUTED_VALUE"""),"Muhammad syauqi alfaruq")</f>
        <v>Muhammad syauqi alfaruq</v>
      </c>
      <c r="N75" s="141" t="str">
        <f>IFERROR(__xludf.DUMMYFUNCTION("""COMPUTED_VALUE"""),"B. Layak diterima dengan catatan pembinaan.")</f>
        <v>B. Layak diterima dengan catatan pembinaan.</v>
      </c>
      <c r="O75" s="141"/>
      <c r="P75" s="131" t="str">
        <f t="shared" ref="P75:V75" si="77">left(F75,1)</f>
        <v>4</v>
      </c>
      <c r="Q75" s="131" t="str">
        <f t="shared" si="77"/>
        <v>4</v>
      </c>
      <c r="R75" s="131" t="str">
        <f t="shared" si="77"/>
        <v>5</v>
      </c>
      <c r="S75" s="131" t="str">
        <f t="shared" si="77"/>
        <v>4</v>
      </c>
      <c r="T75" s="131" t="str">
        <f t="shared" si="77"/>
        <v>5</v>
      </c>
      <c r="U75" s="131" t="str">
        <f t="shared" si="77"/>
        <v>4</v>
      </c>
      <c r="V75" s="131" t="str">
        <f t="shared" si="77"/>
        <v>5</v>
      </c>
      <c r="W75" s="119">
        <f t="shared" si="3"/>
        <v>31</v>
      </c>
      <c r="X75" s="119" t="str">
        <f t="shared" si="4"/>
        <v>Siap</v>
      </c>
      <c r="Y75" s="119" t="str">
        <f t="shared" si="5"/>
        <v>bisa mengikuti pola pesantren dengan baik</v>
      </c>
      <c r="Z75" s="120"/>
      <c r="AA75" s="132"/>
      <c r="AB75" s="132"/>
      <c r="AC75" s="132"/>
      <c r="AD75" s="133"/>
      <c r="AE75" s="134"/>
    </row>
    <row r="76" ht="24.0" customHeight="1">
      <c r="A76" s="139">
        <f>IFERROR(__xludf.DUMMYFUNCTION("""COMPUTED_VALUE"""),45941.89048256945)</f>
        <v>45941.89048</v>
      </c>
      <c r="B76" s="140" t="str">
        <f>IFERROR(__xludf.DUMMYFUNCTION("""COMPUTED_VALUE"""),"halimahnurjalalhfnjl@gmail.com")</f>
        <v>halimahnurjalalhfnjl@gmail.com</v>
      </c>
      <c r="C76" s="140" t="str">
        <f>IFERROR(__xludf.DUMMYFUNCTION("""COMPUTED_VALUE"""),"Nisrina Qurrota Aini ")</f>
        <v>Nisrina Qurrota Aini </v>
      </c>
      <c r="D76" s="140" t="str">
        <f>IFERROR(__xludf.DUMMYFUNCTION("""COMPUTED_VALUE"""),"E250003")</f>
        <v>E250003</v>
      </c>
      <c r="E76" s="140" t="str">
        <f>IFERROR(__xludf.DUMMYFUNCTION("""COMPUTED_VALUE"""),"IL Putri")</f>
        <v>IL Putri</v>
      </c>
      <c r="F76" s="141" t="str">
        <f>IFERROR(__xludf.DUMMYFUNCTION("""COMPUTED_VALUE"""),"5: Sangat jelas, kuat, dan sesuai visi pesantren (ingin belajar agama, mandiri, dekat dengan Allah).")</f>
        <v>5: Sangat jelas, kuat, dan sesuai visi pesantren (ingin belajar agama, mandiri, dekat dengan Allah).</v>
      </c>
      <c r="G76" s="141" t="str">
        <f>IFERROR(__xludf.DUMMYFUNCTION("""COMPUTED_VALUE"""),"5: Lingkungan sangat mendukung (keluarga islami, shalat berjamaah, kontrol gadget baik).")</f>
        <v>5: Lingkungan sangat mendukung (keluarga islami, shalat berjamaah, kontrol gadget baik).</v>
      </c>
      <c r="H76" s="141" t="str">
        <f>IFERROR(__xludf.DUMMYFUNCTION("""COMPUTED_VALUE"""),"5: Hobi bermanfaat (olahraga, membaca, permainan edukatif).")</f>
        <v>5: Hobi bermanfaat (olahraga, membaca, permainan edukatif).</v>
      </c>
      <c r="I76" s="141" t="str">
        <f>IFERROR(__xludf.DUMMYFUNCTION("""COMPUTED_VALUE"""),"5: Berteman dengan lingkungan positif (masjid, teman shalih/shalihah).")</f>
        <v>5: Berteman dengan lingkungan positif (masjid, teman shalih/shalihah).</v>
      </c>
      <c r="J76" s="141" t="str">
        <f>IFERROR(__xludf.DUMMYFUNCTION("""COMPUTED_VALUE"""),"5: Jelas menolak, punya alasan agama/ilmu.")</f>
        <v>5: Jelas menolak, punya alasan agama/ilmu.</v>
      </c>
      <c r="K76" s="141" t="str">
        <f>IFERROR(__xludf.DUMMYFUNCTION("""COMPUTED_VALUE"""),"5: Menolak dengan tegas, paham bahaya dan dosa.")</f>
        <v>5: Menolak dengan tegas, paham bahaya dan dosa.</v>
      </c>
      <c r="L76" s="141" t="str">
        <f>IFERROR(__xludf.DUMMYFUNCTION("""COMPUTED_VALUE"""),"5: Hobi positif, produktif, mendukung pengembangan diri (olahraga, membaca, seni islami).")</f>
        <v>5: Hobi positif, produktif, mendukung pengembangan diri (olahraga, membaca, seni islami).</v>
      </c>
      <c r="M76" s="141" t="str">
        <f>IFERROR(__xludf.DUMMYFUNCTION("""COMPUTED_VALUE"""),"Halimah Fauziah ")</f>
        <v>Halimah Fauziah </v>
      </c>
      <c r="N76" s="141" t="str">
        <f>IFERROR(__xludf.DUMMYFUNCTION("""COMPUTED_VALUE"""),"A. Sangat Layak diterima (potensi besar berkembang di pesantren).")</f>
        <v>A. Sangat Layak diterima (potensi besar berkembang di pesantren).</v>
      </c>
      <c r="O76" s="141" t="str">
        <f>IFERROR(__xludf.DUMMYFUNCTION("""COMPUTED_VALUE"""),"Ananda pemalu namun memiliki cita cita yang kuat ingin menjadi seorang Hafidzah ")</f>
        <v>Ananda pemalu namun memiliki cita cita yang kuat ingin menjadi seorang Hafidzah </v>
      </c>
      <c r="P76" s="131" t="str">
        <f t="shared" ref="P76:V76" si="78">left(F76,1)</f>
        <v>5</v>
      </c>
      <c r="Q76" s="131" t="str">
        <f t="shared" si="78"/>
        <v>5</v>
      </c>
      <c r="R76" s="131" t="str">
        <f t="shared" si="78"/>
        <v>5</v>
      </c>
      <c r="S76" s="131" t="str">
        <f t="shared" si="78"/>
        <v>5</v>
      </c>
      <c r="T76" s="131" t="str">
        <f t="shared" si="78"/>
        <v>5</v>
      </c>
      <c r="U76" s="131" t="str">
        <f t="shared" si="78"/>
        <v>5</v>
      </c>
      <c r="V76" s="131" t="str">
        <f t="shared" si="78"/>
        <v>5</v>
      </c>
      <c r="W76" s="119">
        <f t="shared" si="3"/>
        <v>35</v>
      </c>
      <c r="X76" s="119" t="str">
        <f t="shared" si="4"/>
        <v>Siap</v>
      </c>
      <c r="Y76" s="119" t="str">
        <f t="shared" si="5"/>
        <v>bisa mengikuti pola pesantren dengan baik</v>
      </c>
      <c r="Z76" s="120"/>
      <c r="AA76" s="132"/>
      <c r="AB76" s="132"/>
      <c r="AC76" s="132"/>
      <c r="AD76" s="133"/>
      <c r="AE76" s="134"/>
    </row>
    <row r="77" ht="24.0" customHeight="1">
      <c r="A77" s="139">
        <f>IFERROR(__xludf.DUMMYFUNCTION("""COMPUTED_VALUE"""),45942.59327103009)</f>
        <v>45942.59327</v>
      </c>
      <c r="B77" s="140" t="str">
        <f>IFERROR(__xludf.DUMMYFUNCTION("""COMPUTED_VALUE"""),"alfaruqsyauqi513@gmail.com")</f>
        <v>alfaruqsyauqi513@gmail.com</v>
      </c>
      <c r="C77" s="140" t="str">
        <f>IFERROR(__xludf.DUMMYFUNCTION("""COMPUTED_VALUE"""),"Abdurrahman hafidz ayasi")</f>
        <v>Abdurrahman hafidz ayasi</v>
      </c>
      <c r="D77" s="140" t="str">
        <f>IFERROR(__xludf.DUMMYFUNCTION("""COMPUTED_VALUE"""),"B250013")</f>
        <v>B250013</v>
      </c>
      <c r="E77" s="140" t="str">
        <f>IFERROR(__xludf.DUMMYFUNCTION("""COMPUTED_VALUE"""),"IL Putra")</f>
        <v>IL Putra</v>
      </c>
      <c r="F77" s="141" t="str">
        <f>IFERROR(__xludf.DUMMYFUNCTION("""COMPUTED_VALUE"""),"5: Sangat jelas, kuat, dan sesuai visi pesantren (ingin belajar agama, mandiri, dekat dengan Allah).")</f>
        <v>5: Sangat jelas, kuat, dan sesuai visi pesantren (ingin belajar agama, mandiri, dekat dengan Allah).</v>
      </c>
      <c r="G77" s="141" t="str">
        <f>IFERROR(__xludf.DUMMYFUNCTION("""COMPUTED_VALUE"""),"4: Lingkungan cukup mendukung, ada perhatian orang tua.")</f>
        <v>4: Lingkungan cukup mendukung, ada perhatian orang tua.</v>
      </c>
      <c r="H77" s="141" t="str">
        <f>IFERROR(__xludf.DUMMYFUNCTION("""COMPUTED_VALUE"""),"4: Game rekreasi wajar, tidak berlebihan.")</f>
        <v>4: Game rekreasi wajar, tidak berlebihan.</v>
      </c>
      <c r="I77" s="141" t="str">
        <f>IFERROR(__xludf.DUMMYFUNCTION("""COMPUTED_VALUE"""),"5: Berteman dengan lingkungan positif (masjid, teman shalih/shalihah).")</f>
        <v>5: Berteman dengan lingkungan positif (masjid, teman shalih/shalihah).</v>
      </c>
      <c r="J77" s="141" t="str">
        <f>IFERROR(__xludf.DUMMYFUNCTION("""COMPUTED_VALUE"""),"4: Menolak, tapi alasannya umum.")</f>
        <v>4: Menolak, tapi alasannya umum.</v>
      </c>
      <c r="K77" s="141" t="str">
        <f>IFERROR(__xludf.DUMMYFUNCTION("""COMPUTED_VALUE"""),"5: Menolak dengan tegas, paham bahaya dan dosa.")</f>
        <v>5: Menolak dengan tegas, paham bahaya dan dosa.</v>
      </c>
      <c r="L77" s="141" t="str">
        <f>IFERROR(__xludf.DUMMYFUNCTION("""COMPUTED_VALUE"""),"5: Hobi positif, produktif, mendukung pengembangan diri (olahraga, membaca, seni islami).")</f>
        <v>5: Hobi positif, produktif, mendukung pengembangan diri (olahraga, membaca, seni islami).</v>
      </c>
      <c r="M77" s="141" t="str">
        <f>IFERROR(__xludf.DUMMYFUNCTION("""COMPUTED_VALUE"""),"Muhammad syauqi alfaruq")</f>
        <v>Muhammad syauqi alfaruq</v>
      </c>
      <c r="N77" s="141" t="str">
        <f>IFERROR(__xludf.DUMMYFUNCTION("""COMPUTED_VALUE"""),"A. Sangat Layak diterima (potensi besar berkembang di pesantren).")</f>
        <v>A. Sangat Layak diterima (potensi besar berkembang di pesantren).</v>
      </c>
      <c r="O77" s="141"/>
      <c r="P77" s="131" t="str">
        <f t="shared" ref="P77:V77" si="79">left(F77,1)</f>
        <v>5</v>
      </c>
      <c r="Q77" s="131" t="str">
        <f t="shared" si="79"/>
        <v>4</v>
      </c>
      <c r="R77" s="131" t="str">
        <f t="shared" si="79"/>
        <v>4</v>
      </c>
      <c r="S77" s="131" t="str">
        <f t="shared" si="79"/>
        <v>5</v>
      </c>
      <c r="T77" s="131" t="str">
        <f t="shared" si="79"/>
        <v>4</v>
      </c>
      <c r="U77" s="131" t="str">
        <f t="shared" si="79"/>
        <v>5</v>
      </c>
      <c r="V77" s="131" t="str">
        <f t="shared" si="79"/>
        <v>5</v>
      </c>
      <c r="W77" s="119">
        <f t="shared" si="3"/>
        <v>32</v>
      </c>
      <c r="X77" s="119" t="str">
        <f t="shared" si="4"/>
        <v>Siap</v>
      </c>
      <c r="Y77" s="119" t="str">
        <f t="shared" si="5"/>
        <v>bisa mengikuti pola pesantren dengan baik</v>
      </c>
      <c r="Z77" s="120"/>
      <c r="AA77" s="132"/>
      <c r="AB77" s="132"/>
      <c r="AC77" s="132"/>
      <c r="AD77" s="133"/>
      <c r="AE77" s="134"/>
    </row>
    <row r="78" ht="24.0" customHeight="1">
      <c r="A78" s="139">
        <f>IFERROR(__xludf.DUMMYFUNCTION("""COMPUTED_VALUE"""),45942.6749562037)</f>
        <v>45942.67496</v>
      </c>
      <c r="B78" s="140" t="str">
        <f>IFERROR(__xludf.DUMMYFUNCTION("""COMPUTED_VALUE"""),"halimahnurjalalhfnjl@gmail.com")</f>
        <v>halimahnurjalalhfnjl@gmail.com</v>
      </c>
      <c r="C78" s="140" t="str">
        <f>IFERROR(__xludf.DUMMYFUNCTION("""COMPUTED_VALUE"""),"Qisya Rahma Kamila")</f>
        <v>Qisya Rahma Kamila</v>
      </c>
      <c r="D78" s="140" t="str">
        <f>IFERROR(__xludf.DUMMYFUNCTION("""COMPUTED_VALUE"""),"D250001")</f>
        <v>D250001</v>
      </c>
      <c r="E78" s="140" t="str">
        <f>IFERROR(__xludf.DUMMYFUNCTION("""COMPUTED_VALUE"""),"MTs Putri")</f>
        <v>MTs Putri</v>
      </c>
      <c r="F78" s="141" t="str">
        <f>IFERROR(__xludf.DUMMYFUNCTION("""COMPUTED_VALUE"""),"5: Sangat jelas, kuat, dan sesuai visi pesantren (ingin belajar agama, mandiri, dekat dengan Allah).")</f>
        <v>5: Sangat jelas, kuat, dan sesuai visi pesantren (ingin belajar agama, mandiri, dekat dengan Allah).</v>
      </c>
      <c r="G78" s="141" t="str">
        <f>IFERROR(__xludf.DUMMYFUNCTION("""COMPUTED_VALUE"""),"4: Lingkungan cukup mendukung, ada perhatian orang tua.")</f>
        <v>4: Lingkungan cukup mendukung, ada perhatian orang tua.</v>
      </c>
      <c r="H78" s="141" t="str">
        <f>IFERROR(__xludf.DUMMYFUNCTION("""COMPUTED_VALUE"""),"4: Game rekreasi wajar, tidak berlebihan.")</f>
        <v>4: Game rekreasi wajar, tidak berlebihan.</v>
      </c>
      <c r="I78" s="141" t="str">
        <f>IFERROR(__xludf.DUMMYFUNCTION("""COMPUTED_VALUE"""),"5: Berteman dengan lingkungan positif (masjid, teman shalih/shalihah).")</f>
        <v>5: Berteman dengan lingkungan positif (masjid, teman shalih/shalihah).</v>
      </c>
      <c r="J78" s="141" t="str">
        <f>IFERROR(__xludf.DUMMYFUNCTION("""COMPUTED_VALUE"""),"4: Menolak, tapi alasannya umum.")</f>
        <v>4: Menolak, tapi alasannya umum.</v>
      </c>
      <c r="K78" s="141" t="str">
        <f>IFERROR(__xludf.DUMMYFUNCTION("""COMPUTED_VALUE"""),"5: Menolak dengan tegas, paham bahaya dan dosa.")</f>
        <v>5: Menolak dengan tegas, paham bahaya dan dosa.</v>
      </c>
      <c r="L78" s="141" t="str">
        <f>IFERROR(__xludf.DUMMYFUNCTION("""COMPUTED_VALUE"""),"4: Hobi umum yang wajar (menggambar, dll).")</f>
        <v>4: Hobi umum yang wajar (menggambar, dll).</v>
      </c>
      <c r="M78" s="141" t="str">
        <f>IFERROR(__xludf.DUMMYFUNCTION("""COMPUTED_VALUE"""),"Halimah Fauziah ")</f>
        <v>Halimah Fauziah </v>
      </c>
      <c r="N78" s="141" t="str">
        <f>IFERROR(__xludf.DUMMYFUNCTION("""COMPUTED_VALUE"""),"A. Sangat Layak diterima (potensi besar berkembang di pesantren).")</f>
        <v>A. Sangat Layak diterima (potensi besar berkembang di pesantren).</v>
      </c>
      <c r="O78" s="141" t="str">
        <f>IFERROR(__xludf.DUMMYFUNCTION("""COMPUTED_VALUE"""),"Ananda dari sekolah umum, dukungan orang tua dan keinginan kuat untuk melancarkan bacaan Al-Qur'an dan menghafal Al-Qur'an ")</f>
        <v>Ananda dari sekolah umum, dukungan orang tua dan keinginan kuat untuk melancarkan bacaan Al-Qur'an dan menghafal Al-Qur'an </v>
      </c>
      <c r="P78" s="131" t="str">
        <f t="shared" ref="P78:V78" si="80">left(F78,1)</f>
        <v>5</v>
      </c>
      <c r="Q78" s="131" t="str">
        <f t="shared" si="80"/>
        <v>4</v>
      </c>
      <c r="R78" s="131" t="str">
        <f t="shared" si="80"/>
        <v>4</v>
      </c>
      <c r="S78" s="131" t="str">
        <f t="shared" si="80"/>
        <v>5</v>
      </c>
      <c r="T78" s="131" t="str">
        <f t="shared" si="80"/>
        <v>4</v>
      </c>
      <c r="U78" s="131" t="str">
        <f t="shared" si="80"/>
        <v>5</v>
      </c>
      <c r="V78" s="131" t="str">
        <f t="shared" si="80"/>
        <v>4</v>
      </c>
      <c r="W78" s="119">
        <f t="shared" si="3"/>
        <v>31</v>
      </c>
      <c r="X78" s="119" t="str">
        <f t="shared" si="4"/>
        <v>Siap</v>
      </c>
      <c r="Y78" s="119" t="str">
        <f t="shared" si="5"/>
        <v>bisa mengikuti pola pesantren dengan baik</v>
      </c>
      <c r="Z78" s="120"/>
      <c r="AA78" s="132"/>
      <c r="AB78" s="132"/>
      <c r="AC78" s="132"/>
      <c r="AD78" s="133"/>
      <c r="AE78" s="134"/>
    </row>
    <row r="79" ht="24.0" customHeight="1">
      <c r="A79" s="139">
        <f>IFERROR(__xludf.DUMMYFUNCTION("""COMPUTED_VALUE"""),45943.44417959491)</f>
        <v>45943.44418</v>
      </c>
      <c r="B79" s="145" t="str">
        <f>IFERROR(__xludf.DUMMYFUNCTION("""COMPUTED_VALUE"""),"zaldoyrizaldi@gmail.com")</f>
        <v>zaldoyrizaldi@gmail.com</v>
      </c>
      <c r="C79" s="140" t="str">
        <f>IFERROR(__xludf.DUMMYFUNCTION("""COMPUTED_VALUE"""),"Adhyasta Widyadhana")</f>
        <v>Adhyasta Widyadhana</v>
      </c>
      <c r="D79" s="140" t="str">
        <f>IFERROR(__xludf.DUMMYFUNCTION("""COMPUTED_VALUE"""),"C250014")</f>
        <v>C250014</v>
      </c>
      <c r="E79" s="140" t="str">
        <f>IFERROR(__xludf.DUMMYFUNCTION("""COMPUTED_VALUE"""),"SMA Putra")</f>
        <v>SMA Putra</v>
      </c>
      <c r="F79" s="141" t="str">
        <f>IFERROR(__xludf.DUMMYFUNCTION("""COMPUTED_VALUE"""),"5: Sangat jelas, kuat, dan sesuai visi pesantren (ingin belajar agama, mandiri, dekat dengan Allah).")</f>
        <v>5: Sangat jelas, kuat, dan sesuai visi pesantren (ingin belajar agama, mandiri, dekat dengan Allah).</v>
      </c>
      <c r="G79" s="141" t="str">
        <f>IFERROR(__xludf.DUMMYFUNCTION("""COMPUTED_VALUE"""),"5: Lingkungan sangat mendukung (keluarga islami, shalat berjamaah, kontrol gadget baik).")</f>
        <v>5: Lingkungan sangat mendukung (keluarga islami, shalat berjamaah, kontrol gadget baik).</v>
      </c>
      <c r="H79" s="141" t="str">
        <f>IFERROR(__xludf.DUMMYFUNCTION("""COMPUTED_VALUE"""),"5: Hobi bermanfaat (olahraga, membaca, permainan edukatif).")</f>
        <v>5: Hobi bermanfaat (olahraga, membaca, permainan edukatif).</v>
      </c>
      <c r="I79" s="141" t="str">
        <f>IFERROR(__xludf.DUMMYFUNCTION("""COMPUTED_VALUE"""),"4: Mayoritas teman baik, ada sedikit yang kurang baik.")</f>
        <v>4: Mayoritas teman baik, ada sedikit yang kurang baik.</v>
      </c>
      <c r="J79" s="141" t="str">
        <f>IFERROR(__xludf.DUMMYFUNCTION("""COMPUTED_VALUE"""),"5: Jelas menolak, punya alasan agama/ilmu.")</f>
        <v>5: Jelas menolak, punya alasan agama/ilmu.</v>
      </c>
      <c r="K79" s="141" t="str">
        <f>IFERROR(__xludf.DUMMYFUNCTION("""COMPUTED_VALUE"""),"5: Menolak dengan tegas, paham bahaya dan dosa.")</f>
        <v>5: Menolak dengan tegas, paham bahaya dan dosa.</v>
      </c>
      <c r="L79" s="141" t="str">
        <f>IFERROR(__xludf.DUMMYFUNCTION("""COMPUTED_VALUE"""),"5: Hobi positif, produktif, mendukung pengembangan diri (olahraga, membaca, seni islami).")</f>
        <v>5: Hobi positif, produktif, mendukung pengembangan diri (olahraga, membaca, seni islami).</v>
      </c>
      <c r="M79" s="141" t="str">
        <f>IFERROR(__xludf.DUMMYFUNCTION("""COMPUTED_VALUE"""),"rizaldi")</f>
        <v>rizaldi</v>
      </c>
      <c r="N79" s="141" t="str">
        <f>IFERROR(__xludf.DUMMYFUNCTION("""COMPUTED_VALUE"""),"A. Sangat Layak diterima (potensi besar berkembang di pesantren).")</f>
        <v>A. Sangat Layak diterima (potensi besar berkembang di pesantren).</v>
      </c>
      <c r="O79" s="141" t="str">
        <f>IFERROR(__xludf.DUMMYFUNCTION("""COMPUTED_VALUE"""),"anaknya insyaallah layak di terima bahasa arab bisa hafalan 16 juz")</f>
        <v>anaknya insyaallah layak di terima bahasa arab bisa hafalan 16 juz</v>
      </c>
      <c r="P79" s="131" t="str">
        <f t="shared" ref="P79:V79" si="81">left(F79,1)</f>
        <v>5</v>
      </c>
      <c r="Q79" s="131" t="str">
        <f t="shared" si="81"/>
        <v>5</v>
      </c>
      <c r="R79" s="131" t="str">
        <f t="shared" si="81"/>
        <v>5</v>
      </c>
      <c r="S79" s="131" t="str">
        <f t="shared" si="81"/>
        <v>4</v>
      </c>
      <c r="T79" s="131" t="str">
        <f t="shared" si="81"/>
        <v>5</v>
      </c>
      <c r="U79" s="131" t="str">
        <f t="shared" si="81"/>
        <v>5</v>
      </c>
      <c r="V79" s="131" t="str">
        <f t="shared" si="81"/>
        <v>5</v>
      </c>
      <c r="W79" s="119">
        <f t="shared" si="3"/>
        <v>34</v>
      </c>
      <c r="X79" s="119" t="str">
        <f t="shared" si="4"/>
        <v>Siap</v>
      </c>
      <c r="Y79" s="119" t="str">
        <f t="shared" si="5"/>
        <v>bisa mengikuti pola pesantren dengan baik</v>
      </c>
      <c r="Z79" s="120"/>
      <c r="AA79" s="132"/>
      <c r="AB79" s="132"/>
      <c r="AC79" s="132"/>
      <c r="AD79" s="133"/>
      <c r="AE79" s="134"/>
    </row>
    <row r="80" ht="24.0" customHeight="1">
      <c r="A80" s="139">
        <f>IFERROR(__xludf.DUMMYFUNCTION("""COMPUTED_VALUE"""),45943.448409861114)</f>
        <v>45943.44841</v>
      </c>
      <c r="B80" s="140" t="str">
        <f>IFERROR(__xludf.DUMMYFUNCTION("""COMPUTED_VALUE"""),"rimamaryamiputriutami@gmail.com")</f>
        <v>rimamaryamiputriutami@gmail.com</v>
      </c>
      <c r="C80" s="140" t="str">
        <f>IFERROR(__xludf.DUMMYFUNCTION("""COMPUTED_VALUE"""),"Siti Arafah")</f>
        <v>Siti Arafah</v>
      </c>
      <c r="D80" s="140" t="str">
        <f>IFERROR(__xludf.DUMMYFUNCTION("""COMPUTED_VALUE"""),"E250008")</f>
        <v>E250008</v>
      </c>
      <c r="E80" s="140" t="str">
        <f>IFERROR(__xludf.DUMMYFUNCTION("""COMPUTED_VALUE"""),"IL Putri")</f>
        <v>IL Putri</v>
      </c>
      <c r="F80" s="141" t="str">
        <f>IFERROR(__xludf.DUMMYFUNCTION("""COMPUTED_VALUE"""),"4: Cukup jelas, alasan positif namun masih umum.")</f>
        <v>4: Cukup jelas, alasan positif namun masih umum.</v>
      </c>
      <c r="G80" s="141" t="str">
        <f>IFERROR(__xludf.DUMMYFUNCTION("""COMPUTED_VALUE"""),"4: Lingkungan cukup mendukung, ada perhatian orang tua.")</f>
        <v>4: Lingkungan cukup mendukung, ada perhatian orang tua.</v>
      </c>
      <c r="H80" s="141" t="str">
        <f>IFERROR(__xludf.DUMMYFUNCTION("""COMPUTED_VALUE"""),"4: Game rekreasi wajar, tidak berlebihan.")</f>
        <v>4: Game rekreasi wajar, tidak berlebihan.</v>
      </c>
      <c r="I80" s="141" t="str">
        <f>IFERROR(__xludf.DUMMYFUNCTION("""COMPUTED_VALUE"""),"5: Berteman dengan lingkungan positif (masjid, teman shalih/shalihah).")</f>
        <v>5: Berteman dengan lingkungan positif (masjid, teman shalih/shalihah).</v>
      </c>
      <c r="J80" s="141" t="str">
        <f>IFERROR(__xludf.DUMMYFUNCTION("""COMPUTED_VALUE"""),"4: Menolak, tapi alasannya umum.")</f>
        <v>4: Menolak, tapi alasannya umum.</v>
      </c>
      <c r="K80" s="141" t="str">
        <f>IFERROR(__xludf.DUMMYFUNCTION("""COMPUTED_VALUE"""),"5: Menolak dengan tegas, paham bahaya dan dosa.")</f>
        <v>5: Menolak dengan tegas, paham bahaya dan dosa.</v>
      </c>
      <c r="L80" s="141" t="str">
        <f>IFERROR(__xludf.DUMMYFUNCTION("""COMPUTED_VALUE"""),"4: Hobi umum yang wajar (menggambar, dll).")</f>
        <v>4: Hobi umum yang wajar (menggambar, dll).</v>
      </c>
      <c r="M80" s="141" t="str">
        <f>IFERROR(__xludf.DUMMYFUNCTION("""COMPUTED_VALUE"""),"Rima Maryani Putri Utami")</f>
        <v>Rima Maryani Putri Utami</v>
      </c>
      <c r="N80" s="141" t="str">
        <f>IFERROR(__xludf.DUMMYFUNCTION("""COMPUTED_VALUE"""),"A. Sangat Layak diterima (potensi besar berkembang di pesantren).")</f>
        <v>A. Sangat Layak diterima (potensi besar berkembang di pesantren).</v>
      </c>
      <c r="O80" s="141" t="str">
        <f>IFERROR(__xludf.DUMMYFUNCTION("""COMPUTED_VALUE"""),"Alhamdulillah,, wawancara berjalan dengan baik dan kondusif ")</f>
        <v>Alhamdulillah,, wawancara berjalan dengan baik dan kondusif </v>
      </c>
      <c r="P80" s="131" t="str">
        <f t="shared" ref="P80:V80" si="82">left(F80,1)</f>
        <v>4</v>
      </c>
      <c r="Q80" s="131" t="str">
        <f t="shared" si="82"/>
        <v>4</v>
      </c>
      <c r="R80" s="131" t="str">
        <f t="shared" si="82"/>
        <v>4</v>
      </c>
      <c r="S80" s="131" t="str">
        <f t="shared" si="82"/>
        <v>5</v>
      </c>
      <c r="T80" s="131" t="str">
        <f t="shared" si="82"/>
        <v>4</v>
      </c>
      <c r="U80" s="131" t="str">
        <f t="shared" si="82"/>
        <v>5</v>
      </c>
      <c r="V80" s="131" t="str">
        <f t="shared" si="82"/>
        <v>4</v>
      </c>
      <c r="W80" s="119">
        <f t="shared" si="3"/>
        <v>30</v>
      </c>
      <c r="X80" s="119" t="str">
        <f t="shared" si="4"/>
        <v>Siap</v>
      </c>
      <c r="Y80" s="119" t="str">
        <f t="shared" si="5"/>
        <v>bisa mengikuti pola pesantren dengan baik</v>
      </c>
      <c r="Z80" s="120"/>
      <c r="AA80" s="132"/>
      <c r="AB80" s="132"/>
      <c r="AC80" s="132"/>
      <c r="AD80" s="133"/>
      <c r="AE80" s="134"/>
    </row>
    <row r="81" ht="24.0" customHeight="1">
      <c r="A81" s="139">
        <f>IFERROR(__xludf.DUMMYFUNCTION("""COMPUTED_VALUE"""),45943.45029721065)</f>
        <v>45943.4503</v>
      </c>
      <c r="B81" s="140" t="str">
        <f>IFERROR(__xludf.DUMMYFUNCTION("""COMPUTED_VALUE"""),"rimamaryamiputriutami@gmail.com")</f>
        <v>rimamaryamiputriutami@gmail.com</v>
      </c>
      <c r="C81" s="140" t="str">
        <f>IFERROR(__xludf.DUMMYFUNCTION("""COMPUTED_VALUE"""),"Adinda Humaira")</f>
        <v>Adinda Humaira</v>
      </c>
      <c r="D81" s="140" t="str">
        <f>IFERROR(__xludf.DUMMYFUNCTION("""COMPUTED_VALUE"""),"E250004")</f>
        <v>E250004</v>
      </c>
      <c r="E81" s="140" t="str">
        <f>IFERROR(__xludf.DUMMYFUNCTION("""COMPUTED_VALUE"""),"IL Putri")</f>
        <v>IL Putri</v>
      </c>
      <c r="F81" s="141" t="str">
        <f>IFERROR(__xludf.DUMMYFUNCTION("""COMPUTED_VALUE"""),"5: Sangat jelas, kuat, dan sesuai visi pesantren (ingin belajar agama, mandiri, dekat dengan Allah).")</f>
        <v>5: Sangat jelas, kuat, dan sesuai visi pesantren (ingin belajar agama, mandiri, dekat dengan Allah).</v>
      </c>
      <c r="G81" s="141" t="str">
        <f>IFERROR(__xludf.DUMMYFUNCTION("""COMPUTED_VALUE"""),"5: Lingkungan sangat mendukung (keluarga islami, shalat berjamaah, kontrol gadget baik).")</f>
        <v>5: Lingkungan sangat mendukung (keluarga islami, shalat berjamaah, kontrol gadget baik).</v>
      </c>
      <c r="H81" s="141" t="str">
        <f>IFERROR(__xludf.DUMMYFUNCTION("""COMPUTED_VALUE"""),"5: Hobi bermanfaat (olahraga, membaca, permainan edukatif).")</f>
        <v>5: Hobi bermanfaat (olahraga, membaca, permainan edukatif).</v>
      </c>
      <c r="I81" s="141" t="str">
        <f>IFERROR(__xludf.DUMMYFUNCTION("""COMPUTED_VALUE"""),"5: Berteman dengan lingkungan positif (masjid, teman shalih/shalihah).")</f>
        <v>5: Berteman dengan lingkungan positif (masjid, teman shalih/shalihah).</v>
      </c>
      <c r="J81" s="141" t="str">
        <f>IFERROR(__xludf.DUMMYFUNCTION("""COMPUTED_VALUE"""),"5: Jelas menolak, punya alasan agama/ilmu.")</f>
        <v>5: Jelas menolak, punya alasan agama/ilmu.</v>
      </c>
      <c r="K81" s="141" t="str">
        <f>IFERROR(__xludf.DUMMYFUNCTION("""COMPUTED_VALUE"""),"5: Menolak dengan tegas, paham bahaya dan dosa.")</f>
        <v>5: Menolak dengan tegas, paham bahaya dan dosa.</v>
      </c>
      <c r="L81" s="141" t="str">
        <f>IFERROR(__xludf.DUMMYFUNCTION("""COMPUTED_VALUE"""),"4: Hobi umum yang wajar (menggambar, dll).")</f>
        <v>4: Hobi umum yang wajar (menggambar, dll).</v>
      </c>
      <c r="M81" s="141" t="str">
        <f>IFERROR(__xludf.DUMMYFUNCTION("""COMPUTED_VALUE"""),"Rima Maryani Putri Utami, S.Pd.I")</f>
        <v>Rima Maryani Putri Utami, S.Pd.I</v>
      </c>
      <c r="N81" s="141" t="str">
        <f>IFERROR(__xludf.DUMMYFUNCTION("""COMPUTED_VALUE"""),"A. Sangat Layak diterima (potensi besar berkembang di pesantren).")</f>
        <v>A. Sangat Layak diterima (potensi besar berkembang di pesantren).</v>
      </c>
      <c r="O81" s="141"/>
      <c r="P81" s="131" t="str">
        <f t="shared" ref="P81:V81" si="83">left(F81,1)</f>
        <v>5</v>
      </c>
      <c r="Q81" s="131" t="str">
        <f t="shared" si="83"/>
        <v>5</v>
      </c>
      <c r="R81" s="131" t="str">
        <f t="shared" si="83"/>
        <v>5</v>
      </c>
      <c r="S81" s="131" t="str">
        <f t="shared" si="83"/>
        <v>5</v>
      </c>
      <c r="T81" s="131" t="str">
        <f t="shared" si="83"/>
        <v>5</v>
      </c>
      <c r="U81" s="131" t="str">
        <f t="shared" si="83"/>
        <v>5</v>
      </c>
      <c r="V81" s="131" t="str">
        <f t="shared" si="83"/>
        <v>4</v>
      </c>
      <c r="W81" s="119">
        <f t="shared" si="3"/>
        <v>34</v>
      </c>
      <c r="X81" s="119" t="str">
        <f t="shared" si="4"/>
        <v>Siap</v>
      </c>
      <c r="Y81" s="119" t="str">
        <f t="shared" si="5"/>
        <v>bisa mengikuti pola pesantren dengan baik</v>
      </c>
      <c r="Z81" s="120"/>
      <c r="AA81" s="132"/>
      <c r="AB81" s="132"/>
      <c r="AC81" s="132"/>
      <c r="AD81" s="133"/>
      <c r="AE81" s="134"/>
    </row>
    <row r="82" ht="24.0" customHeight="1">
      <c r="A82" s="146">
        <f>IFERROR(__xludf.DUMMYFUNCTION("""COMPUTED_VALUE"""),45943.82502097222)</f>
        <v>45943.82502</v>
      </c>
      <c r="B82" s="134" t="str">
        <f>IFERROR(__xludf.DUMMYFUNCTION("""COMPUTED_VALUE"""),"nabilmujtaba426@gmail.com")</f>
        <v>nabilmujtaba426@gmail.com</v>
      </c>
      <c r="C82" s="134" t="str">
        <f>IFERROR(__xludf.DUMMYFUNCTION("""COMPUTED_VALUE"""),"Rezvan Zhian Agusto")</f>
        <v>Rezvan Zhian Agusto</v>
      </c>
      <c r="D82" s="134" t="str">
        <f>IFERROR(__xludf.DUMMYFUNCTION("""COMPUTED_VALUE"""),"B250006")</f>
        <v>B250006</v>
      </c>
      <c r="E82" s="134" t="str">
        <f>IFERROR(__xludf.DUMMYFUNCTION("""COMPUTED_VALUE"""),"IL Putra")</f>
        <v>IL Putra</v>
      </c>
      <c r="F82" s="147" t="str">
        <f>IFERROR(__xludf.DUMMYFUNCTION("""COMPUTED_VALUE"""),"3: Alasan kurang terarah, dipengaruhi orang tua, tapi ada kesediaan.")</f>
        <v>3: Alasan kurang terarah, dipengaruhi orang tua, tapi ada kesediaan.</v>
      </c>
      <c r="G82" s="147" t="str">
        <f>IFERROR(__xludf.DUMMYFUNCTION("""COMPUTED_VALUE"""),"4: Lingkungan cukup mendukung, ada perhatian orang tua.")</f>
        <v>4: Lingkungan cukup mendukung, ada perhatian orang tua.</v>
      </c>
      <c r="H82" s="147" t="str">
        <f>IFERROR(__xludf.DUMMYFUNCTION("""COMPUTED_VALUE"""),"5: Hobi bermanfaat (olahraga, membaca, permainan edukatif).")</f>
        <v>5: Hobi bermanfaat (olahraga, membaca, permainan edukatif).</v>
      </c>
      <c r="I82" s="147" t="str">
        <f>IFERROR(__xludf.DUMMYFUNCTION("""COMPUTED_VALUE"""),"4: Mayoritas teman baik, ada sedikit yang kurang baik.")</f>
        <v>4: Mayoritas teman baik, ada sedikit yang kurang baik.</v>
      </c>
      <c r="J82" s="147" t="str">
        <f>IFERROR(__xludf.DUMMYFUNCTION("""COMPUTED_VALUE"""),"5: Jelas menolak, punya alasan agama/ilmu.")</f>
        <v>5: Jelas menolak, punya alasan agama/ilmu.</v>
      </c>
      <c r="K82" s="147" t="str">
        <f>IFERROR(__xludf.DUMMYFUNCTION("""COMPUTED_VALUE"""),"5: Menolak dengan tegas, paham bahaya dan dosa.")</f>
        <v>5: Menolak dengan tegas, paham bahaya dan dosa.</v>
      </c>
      <c r="L82" s="147" t="str">
        <f>IFERROR(__xludf.DUMMYFUNCTION("""COMPUTED_VALUE"""),"5: Hobi positif, produktif, mendukung pengembangan diri (olahraga, membaca, seni islami).")</f>
        <v>5: Hobi positif, produktif, mendukung pengembangan diri (olahraga, membaca, seni islami).</v>
      </c>
      <c r="M82" s="147" t="str">
        <f>IFERROR(__xludf.DUMMYFUNCTION("""COMPUTED_VALUE"""),"Nabil Mujtaba")</f>
        <v>Nabil Mujtaba</v>
      </c>
      <c r="N82" s="147" t="str">
        <f>IFERROR(__xludf.DUMMYFUNCTION("""COMPUTED_VALUE"""),"C. Perlu Pertimbangan (butuh bimbingan khusus).")</f>
        <v>C. Perlu Pertimbangan (butuh bimbingan khusus).</v>
      </c>
      <c r="O82" s="147"/>
      <c r="P82" s="131" t="str">
        <f t="shared" ref="P82:V82" si="84">left(F82,1)</f>
        <v>3</v>
      </c>
      <c r="Q82" s="131" t="str">
        <f t="shared" si="84"/>
        <v>4</v>
      </c>
      <c r="R82" s="131" t="str">
        <f t="shared" si="84"/>
        <v>5</v>
      </c>
      <c r="S82" s="131" t="str">
        <f t="shared" si="84"/>
        <v>4</v>
      </c>
      <c r="T82" s="131" t="str">
        <f t="shared" si="84"/>
        <v>5</v>
      </c>
      <c r="U82" s="131" t="str">
        <f t="shared" si="84"/>
        <v>5</v>
      </c>
      <c r="V82" s="131" t="str">
        <f t="shared" si="84"/>
        <v>5</v>
      </c>
      <c r="W82" s="119">
        <f t="shared" si="3"/>
        <v>31</v>
      </c>
      <c r="X82" s="119" t="str">
        <f t="shared" si="4"/>
        <v>Siap</v>
      </c>
      <c r="Y82" s="119" t="str">
        <f t="shared" si="5"/>
        <v>bisa mengikuti pola pesantren dengan baik</v>
      </c>
      <c r="Z82" s="120"/>
      <c r="AA82" s="132"/>
      <c r="AB82" s="132"/>
      <c r="AC82" s="132"/>
      <c r="AD82" s="133"/>
      <c r="AE82" s="134"/>
    </row>
    <row r="83" ht="24.0" customHeight="1">
      <c r="A83" s="146">
        <f>IFERROR(__xludf.DUMMYFUNCTION("""COMPUTED_VALUE"""),45945.40466193287)</f>
        <v>45945.40466</v>
      </c>
      <c r="B83" s="134" t="str">
        <f>IFERROR(__xludf.DUMMYFUNCTION("""COMPUTED_VALUE"""),"muhajirlah@gmail.com")</f>
        <v>muhajirlah@gmail.com</v>
      </c>
      <c r="C83" s="134" t="str">
        <f>IFERROR(__xludf.DUMMYFUNCTION("""COMPUTED_VALUE"""),"Fathi Fahlevi Fahmi ")</f>
        <v>Fathi Fahlevi Fahmi </v>
      </c>
      <c r="D83" s="134" t="str">
        <f>IFERROR(__xludf.DUMMYFUNCTION("""COMPUTED_VALUE"""),"A250011")</f>
        <v>A250011</v>
      </c>
      <c r="E83" s="134" t="str">
        <f>IFERROR(__xludf.DUMMYFUNCTION("""COMPUTED_VALUE"""),"MTs Putra")</f>
        <v>MTs Putra</v>
      </c>
      <c r="F83" s="147" t="str">
        <f>IFERROR(__xludf.DUMMYFUNCTION("""COMPUTED_VALUE"""),"4: Cukup jelas, alasan positif namun masih umum.")</f>
        <v>4: Cukup jelas, alasan positif namun masih umum.</v>
      </c>
      <c r="G83" s="147" t="str">
        <f>IFERROR(__xludf.DUMMYFUNCTION("""COMPUTED_VALUE"""),"4: Lingkungan cukup mendukung, ada perhatian orang tua.")</f>
        <v>4: Lingkungan cukup mendukung, ada perhatian orang tua.</v>
      </c>
      <c r="H83" s="147" t="str">
        <f>IFERROR(__xludf.DUMMYFUNCTION("""COMPUTED_VALUE"""),"4: Game rekreasi wajar, tidak berlebihan.")</f>
        <v>4: Game rekreasi wajar, tidak berlebihan.</v>
      </c>
      <c r="I83" s="147" t="str">
        <f>IFERROR(__xludf.DUMMYFUNCTION("""COMPUTED_VALUE"""),"4: Mayoritas teman baik, ada sedikit yang kurang baik.")</f>
        <v>4: Mayoritas teman baik, ada sedikit yang kurang baik.</v>
      </c>
      <c r="J83" s="147" t="str">
        <f>IFERROR(__xludf.DUMMYFUNCTION("""COMPUTED_VALUE"""),"5: Jelas menolak, punya alasan agama/ilmu.")</f>
        <v>5: Jelas menolak, punya alasan agama/ilmu.</v>
      </c>
      <c r="K83" s="147" t="str">
        <f>IFERROR(__xludf.DUMMYFUNCTION("""COMPUTED_VALUE"""),"5: Menolak dengan tegas, paham bahaya dan dosa.")</f>
        <v>5: Menolak dengan tegas, paham bahaya dan dosa.</v>
      </c>
      <c r="L83" s="147" t="str">
        <f>IFERROR(__xludf.DUMMYFUNCTION("""COMPUTED_VALUE"""),"4: Hobi umum yang wajar (menggambar, dll).")</f>
        <v>4: Hobi umum yang wajar (menggambar, dll).</v>
      </c>
      <c r="M83" s="147" t="str">
        <f>IFERROR(__xludf.DUMMYFUNCTION("""COMPUTED_VALUE"""),"Muhajir")</f>
        <v>Muhajir</v>
      </c>
      <c r="N83" s="147" t="str">
        <f>IFERROR(__xludf.DUMMYFUNCTION("""COMPUTED_VALUE"""),"B. Layak diterima dengan catatan pembinaan.")</f>
        <v>B. Layak diterima dengan catatan pembinaan.</v>
      </c>
      <c r="O83" s="147" t="str">
        <f>IFERROR(__xludf.DUMMYFUNCTION("""COMPUTED_VALUE"""),"Beliau sudah mendaftar di 3 sekolah lain nya.. 
- Al ukhuwwah 
- Ibnu Abbas ")</f>
        <v>Beliau sudah mendaftar di 3 sekolah lain nya.. 
- Al ukhuwwah 
- Ibnu Abbas </v>
      </c>
      <c r="P83" s="131" t="str">
        <f t="shared" ref="P83:V83" si="85">left(F83,1)</f>
        <v>4</v>
      </c>
      <c r="Q83" s="131" t="str">
        <f t="shared" si="85"/>
        <v>4</v>
      </c>
      <c r="R83" s="131" t="str">
        <f t="shared" si="85"/>
        <v>4</v>
      </c>
      <c r="S83" s="131" t="str">
        <f t="shared" si="85"/>
        <v>4</v>
      </c>
      <c r="T83" s="131" t="str">
        <f t="shared" si="85"/>
        <v>5</v>
      </c>
      <c r="U83" s="131" t="str">
        <f t="shared" si="85"/>
        <v>5</v>
      </c>
      <c r="V83" s="131" t="str">
        <f t="shared" si="85"/>
        <v>4</v>
      </c>
      <c r="W83" s="119">
        <f t="shared" si="3"/>
        <v>30</v>
      </c>
      <c r="X83" s="119" t="str">
        <f t="shared" si="4"/>
        <v>Siap</v>
      </c>
      <c r="Y83" s="119" t="str">
        <f t="shared" si="5"/>
        <v>bisa mengikuti pola pesantren dengan baik</v>
      </c>
      <c r="Z83" s="120"/>
      <c r="AA83" s="132"/>
      <c r="AB83" s="132"/>
      <c r="AC83" s="132"/>
      <c r="AD83" s="133"/>
      <c r="AE83" s="134"/>
    </row>
    <row r="84" ht="24.0" customHeight="1">
      <c r="A84" s="146">
        <f>IFERROR(__xludf.DUMMYFUNCTION("""COMPUTED_VALUE"""),45946.44191393518)</f>
        <v>45946.44191</v>
      </c>
      <c r="B84" s="134" t="str">
        <f>IFERROR(__xludf.DUMMYFUNCTION("""COMPUTED_VALUE"""),"zaldoyrizaldi@gmail.com")</f>
        <v>zaldoyrizaldi@gmail.com</v>
      </c>
      <c r="C84" s="134" t="str">
        <f>IFERROR(__xludf.DUMMYFUNCTION("""COMPUTED_VALUE"""),"MUHAMMAD DAFA ATHALLAH")</f>
        <v>MUHAMMAD DAFA ATHALLAH</v>
      </c>
      <c r="D84" s="134" t="str">
        <f>IFERROR(__xludf.DUMMYFUNCTION("""COMPUTED_VALUE"""),"B250023")</f>
        <v>B250023</v>
      </c>
      <c r="E84" s="134" t="str">
        <f>IFERROR(__xludf.DUMMYFUNCTION("""COMPUTED_VALUE"""),"IL Putra")</f>
        <v>IL Putra</v>
      </c>
      <c r="F84" s="147" t="str">
        <f>IFERROR(__xludf.DUMMYFUNCTION("""COMPUTED_VALUE"""),"5: Sangat jelas, kuat, dan sesuai visi pesantren (ingin belajar agama, mandiri, dekat dengan Allah).")</f>
        <v>5: Sangat jelas, kuat, dan sesuai visi pesantren (ingin belajar agama, mandiri, dekat dengan Allah).</v>
      </c>
      <c r="G84" s="147" t="str">
        <f>IFERROR(__xludf.DUMMYFUNCTION("""COMPUTED_VALUE"""),"3: Lingkungan biasa saja, kadang ada pengaruh negatif.")</f>
        <v>3: Lingkungan biasa saja, kadang ada pengaruh negatif.</v>
      </c>
      <c r="H84" s="147" t="str">
        <f>IFERROR(__xludf.DUMMYFUNCTION("""COMPUTED_VALUE"""),"3: Game online, tapi masih bisa dikontrol.")</f>
        <v>3: Game online, tapi masih bisa dikontrol.</v>
      </c>
      <c r="I84" s="147" t="str">
        <f>IFERROR(__xludf.DUMMYFUNCTION("""COMPUTED_VALUE"""),"4: Mayoritas teman baik, ada sedikit yang kurang baik.")</f>
        <v>4: Mayoritas teman baik, ada sedikit yang kurang baik.</v>
      </c>
      <c r="J84" s="147" t="str">
        <f>IFERROR(__xludf.DUMMYFUNCTION("""COMPUTED_VALUE"""),"5: Jelas menolak, punya alasan agama/ilmu.")</f>
        <v>5: Jelas menolak, punya alasan agama/ilmu.</v>
      </c>
      <c r="K84" s="147" t="str">
        <f>IFERROR(__xludf.DUMMYFUNCTION("""COMPUTED_VALUE"""),"5: Menolak dengan tegas, paham bahaya dan dosa.")</f>
        <v>5: Menolak dengan tegas, paham bahaya dan dosa.</v>
      </c>
      <c r="L84" s="147" t="str">
        <f>IFERROR(__xludf.DUMMYFUNCTION("""COMPUTED_VALUE"""),"5: Hobi positif, produktif, mendukung pengembangan diri (olahraga, membaca, seni islami).")</f>
        <v>5: Hobi positif, produktif, mendukung pengembangan diri (olahraga, membaca, seni islami).</v>
      </c>
      <c r="M84" s="147" t="str">
        <f>IFERROR(__xludf.DUMMYFUNCTION("""COMPUTED_VALUE"""),"rizaldi")</f>
        <v>rizaldi</v>
      </c>
      <c r="N84" s="147" t="str">
        <f>IFERROR(__xludf.DUMMYFUNCTION("""COMPUTED_VALUE"""),"A. Sangat Layak diterima (potensi besar berkembang di pesantren).")</f>
        <v>A. Sangat Layak diterima (potensi besar berkembang di pesantren).</v>
      </c>
      <c r="O84" s="147" t="str">
        <f>IFERROR(__xludf.DUMMYFUNCTION("""COMPUTED_VALUE"""),"mudah bergaul bisa mengkondisikan diri dari lingkungan baru, dan mudah di arahkan, sedikit kritis anaknya")</f>
        <v>mudah bergaul bisa mengkondisikan diri dari lingkungan baru, dan mudah di arahkan, sedikit kritis anaknya</v>
      </c>
      <c r="P84" s="131" t="str">
        <f t="shared" ref="P84:V84" si="86">left(F84,1)</f>
        <v>5</v>
      </c>
      <c r="Q84" s="131" t="str">
        <f t="shared" si="86"/>
        <v>3</v>
      </c>
      <c r="R84" s="131" t="str">
        <f t="shared" si="86"/>
        <v>3</v>
      </c>
      <c r="S84" s="131" t="str">
        <f t="shared" si="86"/>
        <v>4</v>
      </c>
      <c r="T84" s="131" t="str">
        <f t="shared" si="86"/>
        <v>5</v>
      </c>
      <c r="U84" s="131" t="str">
        <f t="shared" si="86"/>
        <v>5</v>
      </c>
      <c r="V84" s="131" t="str">
        <f t="shared" si="86"/>
        <v>5</v>
      </c>
      <c r="W84" s="119">
        <f t="shared" si="3"/>
        <v>30</v>
      </c>
      <c r="X84" s="119" t="str">
        <f t="shared" si="4"/>
        <v>Siap</v>
      </c>
      <c r="Y84" s="119" t="str">
        <f t="shared" si="5"/>
        <v>bisa mengikuti pola pesantren dengan baik</v>
      </c>
      <c r="Z84" s="120"/>
      <c r="AA84" s="132"/>
      <c r="AB84" s="132"/>
      <c r="AC84" s="132"/>
      <c r="AD84" s="133"/>
      <c r="AE84" s="134"/>
    </row>
    <row r="85" ht="24.0" customHeight="1">
      <c r="A85" s="146">
        <f>IFERROR(__xludf.DUMMYFUNCTION("""COMPUTED_VALUE"""),45947.61342202546)</f>
        <v>45947.61342</v>
      </c>
      <c r="B85" s="134" t="str">
        <f>IFERROR(__xludf.DUMMYFUNCTION("""COMPUTED_VALUE"""),"muhajirlah@gmail.com")</f>
        <v>muhajirlah@gmail.com</v>
      </c>
      <c r="C85" s="134" t="str">
        <f>IFERROR(__xludf.DUMMYFUNCTION("""COMPUTED_VALUE"""),"AHADAN NAZKA HARITS")</f>
        <v>AHADAN NAZKA HARITS</v>
      </c>
      <c r="D85" s="134" t="str">
        <f>IFERROR(__xludf.DUMMYFUNCTION("""COMPUTED_VALUE"""),"B250024")</f>
        <v>B250024</v>
      </c>
      <c r="E85" s="134" t="str">
        <f>IFERROR(__xludf.DUMMYFUNCTION("""COMPUTED_VALUE"""),"IL Putra")</f>
        <v>IL Putra</v>
      </c>
      <c r="F85" s="147" t="str">
        <f>IFERROR(__xludf.DUMMYFUNCTION("""COMPUTED_VALUE"""),"5: Sangat jelas, kuat, dan sesuai visi pesantren (ingin belajar agama, mandiri, dekat dengan Allah).")</f>
        <v>5: Sangat jelas, kuat, dan sesuai visi pesantren (ingin belajar agama, mandiri, dekat dengan Allah).</v>
      </c>
      <c r="G85" s="147" t="str">
        <f>IFERROR(__xludf.DUMMYFUNCTION("""COMPUTED_VALUE"""),"4: Lingkungan cukup mendukung, ada perhatian orang tua.")</f>
        <v>4: Lingkungan cukup mendukung, ada perhatian orang tua.</v>
      </c>
      <c r="H85" s="147" t="str">
        <f>IFERROR(__xludf.DUMMYFUNCTION("""COMPUTED_VALUE"""),"4: Game rekreasi wajar, tidak berlebihan.")</f>
        <v>4: Game rekreasi wajar, tidak berlebihan.</v>
      </c>
      <c r="I85" s="147" t="str">
        <f>IFERROR(__xludf.DUMMYFUNCTION("""COMPUTED_VALUE"""),"4: Mayoritas teman baik, ada sedikit yang kurang baik.")</f>
        <v>4: Mayoritas teman baik, ada sedikit yang kurang baik.</v>
      </c>
      <c r="J85" s="147" t="str">
        <f>IFERROR(__xludf.DUMMYFUNCTION("""COMPUTED_VALUE"""),"5: Jelas menolak, punya alasan agama/ilmu.")</f>
        <v>5: Jelas menolak, punya alasan agama/ilmu.</v>
      </c>
      <c r="K85" s="147" t="str">
        <f>IFERROR(__xludf.DUMMYFUNCTION("""COMPUTED_VALUE"""),"4: Menolak, tapi belum terlalu paham alasannya.")</f>
        <v>4: Menolak, tapi belum terlalu paham alasannya.</v>
      </c>
      <c r="L85" s="147" t="str">
        <f>IFERROR(__xludf.DUMMYFUNCTION("""COMPUTED_VALUE"""),"4: Hobi umum yang wajar (menggambar, dll).")</f>
        <v>4: Hobi umum yang wajar (menggambar, dll).</v>
      </c>
      <c r="M85" s="147" t="str">
        <f>IFERROR(__xludf.DUMMYFUNCTION("""COMPUTED_VALUE"""),"Muhajir")</f>
        <v>Muhajir</v>
      </c>
      <c r="N85" s="147" t="str">
        <f>IFERROR(__xludf.DUMMYFUNCTION("""COMPUTED_VALUE"""),"B. Layak diterima dengan catatan pembinaan.")</f>
        <v>B. Layak diterima dengan catatan pembinaan.</v>
      </c>
      <c r="O85" s="147"/>
      <c r="P85" s="131" t="str">
        <f t="shared" ref="P85:V85" si="87">left(F85,1)</f>
        <v>5</v>
      </c>
      <c r="Q85" s="131" t="str">
        <f t="shared" si="87"/>
        <v>4</v>
      </c>
      <c r="R85" s="131" t="str">
        <f t="shared" si="87"/>
        <v>4</v>
      </c>
      <c r="S85" s="131" t="str">
        <f t="shared" si="87"/>
        <v>4</v>
      </c>
      <c r="T85" s="131" t="str">
        <f t="shared" si="87"/>
        <v>5</v>
      </c>
      <c r="U85" s="131" t="str">
        <f t="shared" si="87"/>
        <v>4</v>
      </c>
      <c r="V85" s="131" t="str">
        <f t="shared" si="87"/>
        <v>4</v>
      </c>
      <c r="W85" s="119">
        <f t="shared" si="3"/>
        <v>30</v>
      </c>
      <c r="X85" s="119" t="str">
        <f t="shared" si="4"/>
        <v>Siap</v>
      </c>
      <c r="Y85" s="119" t="str">
        <f t="shared" si="5"/>
        <v>bisa mengikuti pola pesantren dengan baik</v>
      </c>
      <c r="Z85" s="120"/>
      <c r="AA85" s="132"/>
      <c r="AB85" s="132"/>
      <c r="AC85" s="132"/>
      <c r="AD85" s="133"/>
      <c r="AE85" s="134"/>
    </row>
    <row r="86" ht="24.0" customHeight="1">
      <c r="A86" s="146">
        <f>IFERROR(__xludf.DUMMYFUNCTION("""COMPUTED_VALUE"""),45947.66014659722)</f>
        <v>45947.66015</v>
      </c>
      <c r="B86" s="134" t="str">
        <f>IFERROR(__xludf.DUMMYFUNCTION("""COMPUTED_VALUE"""),"nabilmujtaba426@gmail.com")</f>
        <v>nabilmujtaba426@gmail.com</v>
      </c>
      <c r="C86" s="134" t="str">
        <f>IFERROR(__xludf.DUMMYFUNCTION("""COMPUTED_VALUE"""),"Khalid Muhammad Affiq")</f>
        <v>Khalid Muhammad Affiq</v>
      </c>
      <c r="D86" s="134" t="str">
        <f>IFERROR(__xludf.DUMMYFUNCTION("""COMPUTED_VALUE"""),"A250051")</f>
        <v>A250051</v>
      </c>
      <c r="E86" s="134" t="str">
        <f>IFERROR(__xludf.DUMMYFUNCTION("""COMPUTED_VALUE"""),"MTs Putra")</f>
        <v>MTs Putra</v>
      </c>
      <c r="F86" s="147" t="str">
        <f>IFERROR(__xludf.DUMMYFUNCTION("""COMPUTED_VALUE"""),"4: Cukup jelas, alasan positif namun masih umum.")</f>
        <v>4: Cukup jelas, alasan positif namun masih umum.</v>
      </c>
      <c r="G86" s="147" t="str">
        <f>IFERROR(__xludf.DUMMYFUNCTION("""COMPUTED_VALUE"""),"5: Lingkungan sangat mendukung (keluarga islami, shalat berjamaah, kontrol gadget baik).")</f>
        <v>5: Lingkungan sangat mendukung (keluarga islami, shalat berjamaah, kontrol gadget baik).</v>
      </c>
      <c r="H86" s="147" t="str">
        <f>IFERROR(__xludf.DUMMYFUNCTION("""COMPUTED_VALUE"""),"4: Game rekreasi wajar, tidak berlebihan.")</f>
        <v>4: Game rekreasi wajar, tidak berlebihan.</v>
      </c>
      <c r="I86" s="147" t="str">
        <f>IFERROR(__xludf.DUMMYFUNCTION("""COMPUTED_VALUE"""),"4: Mayoritas teman baik, ada sedikit yang kurang baik.")</f>
        <v>4: Mayoritas teman baik, ada sedikit yang kurang baik.</v>
      </c>
      <c r="J86" s="147" t="str">
        <f>IFERROR(__xludf.DUMMYFUNCTION("""COMPUTED_VALUE"""),"4: Menolak, tapi alasannya umum.")</f>
        <v>4: Menolak, tapi alasannya umum.</v>
      </c>
      <c r="K86" s="147" t="str">
        <f>IFERROR(__xludf.DUMMYFUNCTION("""COMPUTED_VALUE"""),"4: Menolak, tapi belum terlalu paham alasannya.")</f>
        <v>4: Menolak, tapi belum terlalu paham alasannya.</v>
      </c>
      <c r="L86" s="147" t="str">
        <f>IFERROR(__xludf.DUMMYFUNCTION("""COMPUTED_VALUE"""),"4: Hobi umum yang wajar (menggambar, dll).")</f>
        <v>4: Hobi umum yang wajar (menggambar, dll).</v>
      </c>
      <c r="M86" s="147" t="str">
        <f>IFERROR(__xludf.DUMMYFUNCTION("""COMPUTED_VALUE"""),"Nabil Mujtaba")</f>
        <v>Nabil Mujtaba</v>
      </c>
      <c r="N86" s="147" t="str">
        <f>IFERROR(__xludf.DUMMYFUNCTION("""COMPUTED_VALUE"""),"A. Sangat Layak diterima (potensi besar berkembang di pesantren).")</f>
        <v>A. Sangat Layak diterima (potensi besar berkembang di pesantren).</v>
      </c>
      <c r="O86" s="147"/>
      <c r="P86" s="131" t="str">
        <f t="shared" ref="P86:V86" si="88">left(F86,1)</f>
        <v>4</v>
      </c>
      <c r="Q86" s="131" t="str">
        <f t="shared" si="88"/>
        <v>5</v>
      </c>
      <c r="R86" s="131" t="str">
        <f t="shared" si="88"/>
        <v>4</v>
      </c>
      <c r="S86" s="131" t="str">
        <f t="shared" si="88"/>
        <v>4</v>
      </c>
      <c r="T86" s="131" t="str">
        <f t="shared" si="88"/>
        <v>4</v>
      </c>
      <c r="U86" s="131" t="str">
        <f t="shared" si="88"/>
        <v>4</v>
      </c>
      <c r="V86" s="131" t="str">
        <f t="shared" si="88"/>
        <v>4</v>
      </c>
      <c r="W86" s="119">
        <f t="shared" si="3"/>
        <v>29</v>
      </c>
      <c r="X86" s="119" t="str">
        <f t="shared" si="4"/>
        <v>Siap</v>
      </c>
      <c r="Y86" s="119" t="str">
        <f t="shared" si="5"/>
        <v>bisa mengikuti pola pesantren dengan baik</v>
      </c>
      <c r="Z86" s="120"/>
      <c r="AA86" s="132"/>
      <c r="AB86" s="132"/>
      <c r="AC86" s="132"/>
      <c r="AD86" s="133"/>
      <c r="AE86" s="134"/>
    </row>
    <row r="87" ht="24.0" customHeight="1">
      <c r="A87" s="146">
        <f>IFERROR(__xludf.DUMMYFUNCTION("""COMPUTED_VALUE"""),45948.384719131944)</f>
        <v>45948.38472</v>
      </c>
      <c r="B87" s="134" t="str">
        <f>IFERROR(__xludf.DUMMYFUNCTION("""COMPUTED_VALUE"""),"muhajirlah@gmail.com")</f>
        <v>muhajirlah@gmail.com</v>
      </c>
      <c r="C87" s="134" t="str">
        <f>IFERROR(__xludf.DUMMYFUNCTION("""COMPUTED_VALUE"""),"Malka Firdaus Syarif")</f>
        <v>Malka Firdaus Syarif</v>
      </c>
      <c r="D87" s="134" t="str">
        <f>IFERROR(__xludf.DUMMYFUNCTION("""COMPUTED_VALUE"""),"A250021")</f>
        <v>A250021</v>
      </c>
      <c r="E87" s="134" t="str">
        <f>IFERROR(__xludf.DUMMYFUNCTION("""COMPUTED_VALUE"""),"MTs Putra")</f>
        <v>MTs Putra</v>
      </c>
      <c r="F87" s="147" t="str">
        <f>IFERROR(__xludf.DUMMYFUNCTION("""COMPUTED_VALUE"""),"4: Cukup jelas, alasan positif namun masih umum.")</f>
        <v>4: Cukup jelas, alasan positif namun masih umum.</v>
      </c>
      <c r="G87" s="147" t="str">
        <f>IFERROR(__xludf.DUMMYFUNCTION("""COMPUTED_VALUE"""),"4: Lingkungan cukup mendukung, ada perhatian orang tua.")</f>
        <v>4: Lingkungan cukup mendukung, ada perhatian orang tua.</v>
      </c>
      <c r="H87" s="147" t="str">
        <f>IFERROR(__xludf.DUMMYFUNCTION("""COMPUTED_VALUE"""),"3: Game online, tapi masih bisa dikontrol.")</f>
        <v>3: Game online, tapi masih bisa dikontrol.</v>
      </c>
      <c r="I87" s="147" t="str">
        <f>IFERROR(__xludf.DUMMYFUNCTION("""COMPUTED_VALUE"""),"4: Mayoritas teman baik, ada sedikit yang kurang baik.")</f>
        <v>4: Mayoritas teman baik, ada sedikit yang kurang baik.</v>
      </c>
      <c r="J87" s="147" t="str">
        <f>IFERROR(__xludf.DUMMYFUNCTION("""COMPUTED_VALUE"""),"4: Menolak, tapi alasannya umum.")</f>
        <v>4: Menolak, tapi alasannya umum.</v>
      </c>
      <c r="K87" s="147" t="str">
        <f>IFERROR(__xludf.DUMMYFUNCTION("""COMPUTED_VALUE"""),"4: Menolak, tapi belum terlalu paham alasannya.")</f>
        <v>4: Menolak, tapi belum terlalu paham alasannya.</v>
      </c>
      <c r="L87" s="147" t="str">
        <f>IFERROR(__xludf.DUMMYFUNCTION("""COMPUTED_VALUE"""),"4: Hobi umum yang wajar (menggambar, dll).")</f>
        <v>4: Hobi umum yang wajar (menggambar, dll).</v>
      </c>
      <c r="M87" s="147" t="str">
        <f>IFERROR(__xludf.DUMMYFUNCTION("""COMPUTED_VALUE"""),"Muhajir")</f>
        <v>Muhajir</v>
      </c>
      <c r="N87" s="147" t="str">
        <f>IFERROR(__xludf.DUMMYFUNCTION("""COMPUTED_VALUE"""),"B. Layak diterima dengan catatan pembinaan.")</f>
        <v>B. Layak diterima dengan catatan pembinaan.</v>
      </c>
      <c r="O87" s="147"/>
      <c r="P87" s="131" t="str">
        <f t="shared" ref="P87:V87" si="89">left(F87,1)</f>
        <v>4</v>
      </c>
      <c r="Q87" s="131" t="str">
        <f t="shared" si="89"/>
        <v>4</v>
      </c>
      <c r="R87" s="131" t="str">
        <f t="shared" si="89"/>
        <v>3</v>
      </c>
      <c r="S87" s="131" t="str">
        <f t="shared" si="89"/>
        <v>4</v>
      </c>
      <c r="T87" s="131" t="str">
        <f t="shared" si="89"/>
        <v>4</v>
      </c>
      <c r="U87" s="131" t="str">
        <f t="shared" si="89"/>
        <v>4</v>
      </c>
      <c r="V87" s="131" t="str">
        <f t="shared" si="89"/>
        <v>4</v>
      </c>
      <c r="W87" s="119">
        <f t="shared" si="3"/>
        <v>27</v>
      </c>
      <c r="X87" s="119" t="str">
        <f t="shared" si="4"/>
        <v>Cukup Siap</v>
      </c>
      <c r="Y87" s="119" t="str">
        <f t="shared" si="5"/>
        <v>perlu pendampingan awal</v>
      </c>
      <c r="Z87" s="120"/>
      <c r="AA87" s="132"/>
      <c r="AB87" s="132"/>
      <c r="AC87" s="132"/>
      <c r="AD87" s="133"/>
      <c r="AE87" s="134"/>
    </row>
    <row r="88" ht="24.0" customHeight="1">
      <c r="A88" s="146">
        <f>IFERROR(__xludf.DUMMYFUNCTION("""COMPUTED_VALUE"""),45948.389605034725)</f>
        <v>45948.38961</v>
      </c>
      <c r="B88" s="134" t="str">
        <f>IFERROR(__xludf.DUMMYFUNCTION("""COMPUTED_VALUE"""),"alfaruqsyauqi513@gmail.com")</f>
        <v>alfaruqsyauqi513@gmail.com</v>
      </c>
      <c r="C88" s="134" t="str">
        <f>IFERROR(__xludf.DUMMYFUNCTION("""COMPUTED_VALUE"""),"Abdurrahman")</f>
        <v>Abdurrahman</v>
      </c>
      <c r="D88" s="134" t="str">
        <f>IFERROR(__xludf.DUMMYFUNCTION("""COMPUTED_VALUE"""),"A250077")</f>
        <v>A250077</v>
      </c>
      <c r="E88" s="134" t="str">
        <f>IFERROR(__xludf.DUMMYFUNCTION("""COMPUTED_VALUE"""),"MTs Putra")</f>
        <v>MTs Putra</v>
      </c>
      <c r="F88" s="147" t="str">
        <f>IFERROR(__xludf.DUMMYFUNCTION("""COMPUTED_VALUE"""),"5: Sangat jelas, kuat, dan sesuai visi pesantren (ingin belajar agama, mandiri, dekat dengan Allah).")</f>
        <v>5: Sangat jelas, kuat, dan sesuai visi pesantren (ingin belajar agama, mandiri, dekat dengan Allah).</v>
      </c>
      <c r="G88" s="147" t="str">
        <f>IFERROR(__xludf.DUMMYFUNCTION("""COMPUTED_VALUE"""),"5: Lingkungan sangat mendukung (keluarga islami, shalat berjamaah, kontrol gadget baik).")</f>
        <v>5: Lingkungan sangat mendukung (keluarga islami, shalat berjamaah, kontrol gadget baik).</v>
      </c>
      <c r="H88" s="147" t="str">
        <f>IFERROR(__xludf.DUMMYFUNCTION("""COMPUTED_VALUE"""),"5: Hobi bermanfaat (olahraga, membaca, permainan edukatif).")</f>
        <v>5: Hobi bermanfaat (olahraga, membaca, permainan edukatif).</v>
      </c>
      <c r="I88" s="147" t="str">
        <f>IFERROR(__xludf.DUMMYFUNCTION("""COMPUTED_VALUE"""),"5: Berteman dengan lingkungan positif (masjid, teman shalih/shalihah).")</f>
        <v>5: Berteman dengan lingkungan positif (masjid, teman shalih/shalihah).</v>
      </c>
      <c r="J88" s="147" t="str">
        <f>IFERROR(__xludf.DUMMYFUNCTION("""COMPUTED_VALUE"""),"5: Jelas menolak, punya alasan agama/ilmu.")</f>
        <v>5: Jelas menolak, punya alasan agama/ilmu.</v>
      </c>
      <c r="K88" s="147" t="str">
        <f>IFERROR(__xludf.DUMMYFUNCTION("""COMPUTED_VALUE"""),"5: Menolak dengan tegas, paham bahaya dan dosa.")</f>
        <v>5: Menolak dengan tegas, paham bahaya dan dosa.</v>
      </c>
      <c r="L88" s="147" t="str">
        <f>IFERROR(__xludf.DUMMYFUNCTION("""COMPUTED_VALUE"""),"5: Hobi positif, produktif, mendukung pengembangan diri (olahraga, membaca, seni islami).")</f>
        <v>5: Hobi positif, produktif, mendukung pengembangan diri (olahraga, membaca, seni islami).</v>
      </c>
      <c r="M88" s="147" t="str">
        <f>IFERROR(__xludf.DUMMYFUNCTION("""COMPUTED_VALUE"""),"Muhammad syauqi alfaruq")</f>
        <v>Muhammad syauqi alfaruq</v>
      </c>
      <c r="N88" s="147" t="str">
        <f>IFERROR(__xludf.DUMMYFUNCTION("""COMPUTED_VALUE"""),"A. Sangat Layak diterima (potensi besar berkembang di pesantren).")</f>
        <v>A. Sangat Layak diterima (potensi besar berkembang di pesantren).</v>
      </c>
      <c r="O88" s="147"/>
      <c r="P88" s="131" t="str">
        <f t="shared" ref="P88:V88" si="90">left(F88,1)</f>
        <v>5</v>
      </c>
      <c r="Q88" s="131" t="str">
        <f t="shared" si="90"/>
        <v>5</v>
      </c>
      <c r="R88" s="131" t="str">
        <f t="shared" si="90"/>
        <v>5</v>
      </c>
      <c r="S88" s="131" t="str">
        <f t="shared" si="90"/>
        <v>5</v>
      </c>
      <c r="T88" s="131" t="str">
        <f t="shared" si="90"/>
        <v>5</v>
      </c>
      <c r="U88" s="131" t="str">
        <f t="shared" si="90"/>
        <v>5</v>
      </c>
      <c r="V88" s="131" t="str">
        <f t="shared" si="90"/>
        <v>5</v>
      </c>
      <c r="W88" s="119">
        <f t="shared" si="3"/>
        <v>35</v>
      </c>
      <c r="X88" s="119" t="str">
        <f t="shared" si="4"/>
        <v>Siap</v>
      </c>
      <c r="Y88" s="119" t="str">
        <f t="shared" si="5"/>
        <v>bisa mengikuti pola pesantren dengan baik</v>
      </c>
      <c r="Z88" s="120"/>
      <c r="AA88" s="132"/>
      <c r="AB88" s="132"/>
      <c r="AC88" s="132"/>
      <c r="AD88" s="133"/>
      <c r="AE88" s="134"/>
    </row>
    <row r="89" ht="24.0" customHeight="1">
      <c r="A89" s="146">
        <f>IFERROR(__xludf.DUMMYFUNCTION("""COMPUTED_VALUE"""),45948.682827384255)</f>
        <v>45948.68283</v>
      </c>
      <c r="B89" s="134" t="str">
        <f>IFERROR(__xludf.DUMMYFUNCTION("""COMPUTED_VALUE"""),"nabilmujtaba426@gmail.com")</f>
        <v>nabilmujtaba426@gmail.com</v>
      </c>
      <c r="C89" s="134" t="str">
        <f>IFERROR(__xludf.DUMMYFUNCTION("""COMPUTED_VALUE"""),"Umar Syahid")</f>
        <v>Umar Syahid</v>
      </c>
      <c r="D89" s="134" t="str">
        <f>IFERROR(__xludf.DUMMYFUNCTION("""COMPUTED_VALUE"""),"A250078")</f>
        <v>A250078</v>
      </c>
      <c r="E89" s="134" t="str">
        <f>IFERROR(__xludf.DUMMYFUNCTION("""COMPUTED_VALUE"""),"MTs Putra")</f>
        <v>MTs Putra</v>
      </c>
      <c r="F89" s="147" t="str">
        <f>IFERROR(__xludf.DUMMYFUNCTION("""COMPUTED_VALUE"""),"5: Sangat jelas, kuat, dan sesuai visi pesantren (ingin belajar agama, mandiri, dekat dengan Allah).")</f>
        <v>5: Sangat jelas, kuat, dan sesuai visi pesantren (ingin belajar agama, mandiri, dekat dengan Allah).</v>
      </c>
      <c r="G89" s="147" t="str">
        <f>IFERROR(__xludf.DUMMYFUNCTION("""COMPUTED_VALUE"""),"4: Lingkungan cukup mendukung, ada perhatian orang tua.")</f>
        <v>4: Lingkungan cukup mendukung, ada perhatian orang tua.</v>
      </c>
      <c r="H89" s="147" t="str">
        <f>IFERROR(__xludf.DUMMYFUNCTION("""COMPUTED_VALUE"""),"5: Hobi bermanfaat (olahraga, membaca, permainan edukatif).")</f>
        <v>5: Hobi bermanfaat (olahraga, membaca, permainan edukatif).</v>
      </c>
      <c r="I89" s="147" t="str">
        <f>IFERROR(__xludf.DUMMYFUNCTION("""COMPUTED_VALUE"""),"5: Berteman dengan lingkungan positif (masjid, teman shalih/shalihah).")</f>
        <v>5: Berteman dengan lingkungan positif (masjid, teman shalih/shalihah).</v>
      </c>
      <c r="J89" s="147" t="str">
        <f>IFERROR(__xludf.DUMMYFUNCTION("""COMPUTED_VALUE"""),"4: Menolak, tapi alasannya umum.")</f>
        <v>4: Menolak, tapi alasannya umum.</v>
      </c>
      <c r="K89" s="147" t="str">
        <f>IFERROR(__xludf.DUMMYFUNCTION("""COMPUTED_VALUE"""),"4: Menolak, tapi belum terlalu paham alasannya.")</f>
        <v>4: Menolak, tapi belum terlalu paham alasannya.</v>
      </c>
      <c r="L89" s="147" t="str">
        <f>IFERROR(__xludf.DUMMYFUNCTION("""COMPUTED_VALUE"""),"4: Hobi umum yang wajar (menggambar, dll).")</f>
        <v>4: Hobi umum yang wajar (menggambar, dll).</v>
      </c>
      <c r="M89" s="147" t="str">
        <f>IFERROR(__xludf.DUMMYFUNCTION("""COMPUTED_VALUE"""),"Nabil Mujtaba")</f>
        <v>Nabil Mujtaba</v>
      </c>
      <c r="N89" s="147" t="str">
        <f>IFERROR(__xludf.DUMMYFUNCTION("""COMPUTED_VALUE"""),"A. Sangat Layak diterima (potensi besar berkembang di pesantren).")</f>
        <v>A. Sangat Layak diterima (potensi besar berkembang di pesantren).</v>
      </c>
      <c r="O89" s="147"/>
      <c r="P89" s="131" t="str">
        <f t="shared" ref="P89:V89" si="91">left(F89,1)</f>
        <v>5</v>
      </c>
      <c r="Q89" s="131" t="str">
        <f t="shared" si="91"/>
        <v>4</v>
      </c>
      <c r="R89" s="131" t="str">
        <f t="shared" si="91"/>
        <v>5</v>
      </c>
      <c r="S89" s="131" t="str">
        <f t="shared" si="91"/>
        <v>5</v>
      </c>
      <c r="T89" s="131" t="str">
        <f t="shared" si="91"/>
        <v>4</v>
      </c>
      <c r="U89" s="131" t="str">
        <f t="shared" si="91"/>
        <v>4</v>
      </c>
      <c r="V89" s="131" t="str">
        <f t="shared" si="91"/>
        <v>4</v>
      </c>
      <c r="W89" s="119">
        <f t="shared" si="3"/>
        <v>31</v>
      </c>
      <c r="X89" s="119" t="str">
        <f t="shared" si="4"/>
        <v>Siap</v>
      </c>
      <c r="Y89" s="119" t="str">
        <f t="shared" si="5"/>
        <v>bisa mengikuti pola pesantren dengan baik</v>
      </c>
      <c r="Z89" s="120"/>
      <c r="AA89" s="132"/>
      <c r="AB89" s="132"/>
      <c r="AC89" s="132"/>
      <c r="AD89" s="133"/>
      <c r="AE89" s="134"/>
    </row>
    <row r="90" ht="24.0" customHeight="1">
      <c r="A90" s="146">
        <f>IFERROR(__xludf.DUMMYFUNCTION("""COMPUTED_VALUE"""),45948.78399747685)</f>
        <v>45948.784</v>
      </c>
      <c r="B90" s="134" t="str">
        <f>IFERROR(__xludf.DUMMYFUNCTION("""COMPUTED_VALUE"""),"rimamaryamiputriutami@gmail.com")</f>
        <v>rimamaryamiputriutami@gmail.com</v>
      </c>
      <c r="C90" s="134" t="str">
        <f>IFERROR(__xludf.DUMMYFUNCTION("""COMPUTED_VALUE"""),"Azkia Salsabila")</f>
        <v>Azkia Salsabila</v>
      </c>
      <c r="D90" s="134" t="str">
        <f>IFERROR(__xludf.DUMMYFUNCTION("""COMPUTED_VALUE"""),"E250006")</f>
        <v>E250006</v>
      </c>
      <c r="E90" s="134" t="str">
        <f>IFERROR(__xludf.DUMMYFUNCTION("""COMPUTED_VALUE"""),"IL Putri")</f>
        <v>IL Putri</v>
      </c>
      <c r="F90" s="147" t="str">
        <f>IFERROR(__xludf.DUMMYFUNCTION("""COMPUTED_VALUE"""),"5: Sangat jelas, kuat, dan sesuai visi pesantren (ingin belajar agama, mandiri, dekat dengan Allah).")</f>
        <v>5: Sangat jelas, kuat, dan sesuai visi pesantren (ingin belajar agama, mandiri, dekat dengan Allah).</v>
      </c>
      <c r="G90" s="147" t="str">
        <f>IFERROR(__xludf.DUMMYFUNCTION("""COMPUTED_VALUE"""),"5: Lingkungan sangat mendukung (keluarga islami, shalat berjamaah, kontrol gadget baik).")</f>
        <v>5: Lingkungan sangat mendukung (keluarga islami, shalat berjamaah, kontrol gadget baik).</v>
      </c>
      <c r="H90" s="147" t="str">
        <f>IFERROR(__xludf.DUMMYFUNCTION("""COMPUTED_VALUE"""),"5: Hobi bermanfaat (olahraga, membaca, permainan edukatif).")</f>
        <v>5: Hobi bermanfaat (olahraga, membaca, permainan edukatif).</v>
      </c>
      <c r="I90" s="147" t="str">
        <f>IFERROR(__xludf.DUMMYFUNCTION("""COMPUTED_VALUE"""),"5: Berteman dengan lingkungan positif (masjid, teman shalih/shalihah).")</f>
        <v>5: Berteman dengan lingkungan positif (masjid, teman shalih/shalihah).</v>
      </c>
      <c r="J90" s="147" t="str">
        <f>IFERROR(__xludf.DUMMYFUNCTION("""COMPUTED_VALUE"""),"5: Jelas menolak, punya alasan agama/ilmu.")</f>
        <v>5: Jelas menolak, punya alasan agama/ilmu.</v>
      </c>
      <c r="K90" s="147" t="str">
        <f>IFERROR(__xludf.DUMMYFUNCTION("""COMPUTED_VALUE"""),"5: Menolak dengan tegas, paham bahaya dan dosa.")</f>
        <v>5: Menolak dengan tegas, paham bahaya dan dosa.</v>
      </c>
      <c r="L90" s="147" t="str">
        <f>IFERROR(__xludf.DUMMYFUNCTION("""COMPUTED_VALUE"""),"5: Hobi positif, produktif, mendukung pengembangan diri (olahraga, membaca, seni islami).")</f>
        <v>5: Hobi positif, produktif, mendukung pengembangan diri (olahraga, membaca, seni islami).</v>
      </c>
      <c r="M90" s="147" t="str">
        <f>IFERROR(__xludf.DUMMYFUNCTION("""COMPUTED_VALUE"""),"Rima Maryani Putri Utami,S.Pd.I")</f>
        <v>Rima Maryani Putri Utami,S.Pd.I</v>
      </c>
      <c r="N90" s="147" t="str">
        <f>IFERROR(__xludf.DUMMYFUNCTION("""COMPUTED_VALUE"""),"A. Sangat Layak diterima (potensi besar berkembang di pesantren).")</f>
        <v>A. Sangat Layak diterima (potensi besar berkembang di pesantren).</v>
      </c>
      <c r="O90" s="147" t="str">
        <f>IFERROR(__xludf.DUMMYFUNCTION("""COMPUTED_VALUE"""),"Alhamdulillah,, wawancara dengan ananda berjalan dengan baik dan lancar.")</f>
        <v>Alhamdulillah,, wawancara dengan ananda berjalan dengan baik dan lancar.</v>
      </c>
      <c r="P90" s="131" t="str">
        <f t="shared" ref="P90:V90" si="92">left(F90,1)</f>
        <v>5</v>
      </c>
      <c r="Q90" s="131" t="str">
        <f t="shared" si="92"/>
        <v>5</v>
      </c>
      <c r="R90" s="131" t="str">
        <f t="shared" si="92"/>
        <v>5</v>
      </c>
      <c r="S90" s="131" t="str">
        <f t="shared" si="92"/>
        <v>5</v>
      </c>
      <c r="T90" s="131" t="str">
        <f t="shared" si="92"/>
        <v>5</v>
      </c>
      <c r="U90" s="131" t="str">
        <f t="shared" si="92"/>
        <v>5</v>
      </c>
      <c r="V90" s="131" t="str">
        <f t="shared" si="92"/>
        <v>5</v>
      </c>
      <c r="W90" s="119">
        <f t="shared" si="3"/>
        <v>35</v>
      </c>
      <c r="X90" s="119" t="str">
        <f t="shared" si="4"/>
        <v>Siap</v>
      </c>
      <c r="Y90" s="119" t="str">
        <f t="shared" si="5"/>
        <v>bisa mengikuti pola pesantren dengan baik</v>
      </c>
      <c r="Z90" s="120"/>
      <c r="AA90" s="132"/>
      <c r="AB90" s="132"/>
      <c r="AC90" s="132"/>
      <c r="AD90" s="133"/>
      <c r="AE90" s="133"/>
    </row>
    <row r="91" ht="24.0" customHeight="1">
      <c r="A91" s="104">
        <f>IFERROR(__xludf.DUMMYFUNCTION("""COMPUTED_VALUE"""),45948.82788863426)</f>
        <v>45948.82789</v>
      </c>
      <c r="B91" s="7" t="str">
        <f>IFERROR(__xludf.DUMMYFUNCTION("""COMPUTED_VALUE"""),"zaldoyrizaldi@gmail.com")</f>
        <v>zaldoyrizaldi@gmail.com</v>
      </c>
      <c r="C91" s="7" t="str">
        <f>IFERROR(__xludf.DUMMYFUNCTION("""COMPUTED_VALUE""")," Ambia Addaruqutni julpasa ")</f>
        <v> Ambia Addaruqutni julpasa </v>
      </c>
      <c r="D91" s="7" t="str">
        <f>IFERROR(__xludf.DUMMYFUNCTION("""COMPUTED_VALUE"""),"A250066")</f>
        <v>A250066</v>
      </c>
      <c r="E91" s="7" t="str">
        <f>IFERROR(__xludf.DUMMYFUNCTION("""COMPUTED_VALUE"""),"MTs Putra")</f>
        <v>MTs Putra</v>
      </c>
      <c r="F91" s="8" t="str">
        <f>IFERROR(__xludf.DUMMYFUNCTION("""COMPUTED_VALUE"""),"5: Sangat jelas, kuat, dan sesuai visi pesantren (ingin belajar agama, mandiri, dekat dengan Allah).")</f>
        <v>5: Sangat jelas, kuat, dan sesuai visi pesantren (ingin belajar agama, mandiri, dekat dengan Allah).</v>
      </c>
      <c r="G91" s="8" t="str">
        <f>IFERROR(__xludf.DUMMYFUNCTION("""COMPUTED_VALUE"""),"5: Lingkungan sangat mendukung (keluarga islami, shalat berjamaah, kontrol gadget baik).")</f>
        <v>5: Lingkungan sangat mendukung (keluarga islami, shalat berjamaah, kontrol gadget baik).</v>
      </c>
      <c r="H91" s="8" t="str">
        <f>IFERROR(__xludf.DUMMYFUNCTION("""COMPUTED_VALUE"""),"5: Hobi bermanfaat (olahraga, membaca, permainan edukatif).")</f>
        <v>5: Hobi bermanfaat (olahraga, membaca, permainan edukatif).</v>
      </c>
      <c r="I91" s="8" t="str">
        <f>IFERROR(__xludf.DUMMYFUNCTION("""COMPUTED_VALUE"""),"4: Mayoritas teman baik, ada sedikit yang kurang baik.")</f>
        <v>4: Mayoritas teman baik, ada sedikit yang kurang baik.</v>
      </c>
      <c r="J91" s="8" t="str">
        <f>IFERROR(__xludf.DUMMYFUNCTION("""COMPUTED_VALUE"""),"4: Menolak, tapi alasannya umum.")</f>
        <v>4: Menolak, tapi alasannya umum.</v>
      </c>
      <c r="K91" s="8" t="str">
        <f>IFERROR(__xludf.DUMMYFUNCTION("""COMPUTED_VALUE"""),"5: Menolak dengan tegas, paham bahaya dan dosa.")</f>
        <v>5: Menolak dengan tegas, paham bahaya dan dosa.</v>
      </c>
      <c r="L91" s="8" t="str">
        <f>IFERROR(__xludf.DUMMYFUNCTION("""COMPUTED_VALUE"""),"4: Hobi umum yang wajar (menggambar, dll).")</f>
        <v>4: Hobi umum yang wajar (menggambar, dll).</v>
      </c>
      <c r="M91" s="8" t="str">
        <f>IFERROR(__xludf.DUMMYFUNCTION("""COMPUTED_VALUE"""),"rizaldi ")</f>
        <v>rizaldi </v>
      </c>
      <c r="N91" s="8" t="str">
        <f>IFERROR(__xludf.DUMMYFUNCTION("""COMPUTED_VALUE"""),"A. Sangat Layak diterima (potensi besar berkembang di pesantren).")</f>
        <v>A. Sangat Layak diterima (potensi besar berkembang di pesantren).</v>
      </c>
      <c r="O91" s="8" t="str">
        <f>IFERROR(__xludf.DUMMYFUNCTION("""COMPUTED_VALUE"""),"tidak banyak catatan karena masih keluarga aki dudun")</f>
        <v>tidak banyak catatan karena masih keluarga aki dudun</v>
      </c>
      <c r="P91" s="131" t="str">
        <f t="shared" ref="P91:V91" si="93">left(F91,1)</f>
        <v>5</v>
      </c>
      <c r="Q91" s="131" t="str">
        <f t="shared" si="93"/>
        <v>5</v>
      </c>
      <c r="R91" s="131" t="str">
        <f t="shared" si="93"/>
        <v>5</v>
      </c>
      <c r="S91" s="131" t="str">
        <f t="shared" si="93"/>
        <v>4</v>
      </c>
      <c r="T91" s="131" t="str">
        <f t="shared" si="93"/>
        <v>4</v>
      </c>
      <c r="U91" s="131" t="str">
        <f t="shared" si="93"/>
        <v>5</v>
      </c>
      <c r="V91" s="131" t="str">
        <f t="shared" si="93"/>
        <v>4</v>
      </c>
      <c r="W91" s="119">
        <f t="shared" si="3"/>
        <v>32</v>
      </c>
      <c r="X91" s="119" t="str">
        <f t="shared" si="4"/>
        <v>Siap</v>
      </c>
      <c r="Y91" s="119" t="str">
        <f t="shared" si="5"/>
        <v>bisa mengikuti pola pesantren dengan baik</v>
      </c>
    </row>
    <row r="92" ht="24.0" customHeight="1">
      <c r="A92" s="104">
        <f>IFERROR(__xludf.DUMMYFUNCTION("""COMPUTED_VALUE"""),45948.839793946754)</f>
        <v>45948.83979</v>
      </c>
      <c r="B92" s="7" t="str">
        <f>IFERROR(__xludf.DUMMYFUNCTION("""COMPUTED_VALUE"""),"nabilmujtaba426@gmail.com")</f>
        <v>nabilmujtaba426@gmail.com</v>
      </c>
      <c r="C92" s="7" t="str">
        <f>IFERROR(__xludf.DUMMYFUNCTION("""COMPUTED_VALUE"""),"Muhammad ghaza")</f>
        <v>Muhammad ghaza</v>
      </c>
      <c r="D92" s="7" t="str">
        <f>IFERROR(__xludf.DUMMYFUNCTION("""COMPUTED_VALUE"""),"C250013")</f>
        <v>C250013</v>
      </c>
      <c r="E92" s="7" t="str">
        <f>IFERROR(__xludf.DUMMYFUNCTION("""COMPUTED_VALUE"""),"SMA Putra")</f>
        <v>SMA Putra</v>
      </c>
      <c r="F92" s="8" t="str">
        <f>IFERROR(__xludf.DUMMYFUNCTION("""COMPUTED_VALUE"""),"5: Sangat jelas, kuat, dan sesuai visi pesantren (ingin belajar agama, mandiri, dekat dengan Allah).")</f>
        <v>5: Sangat jelas, kuat, dan sesuai visi pesantren (ingin belajar agama, mandiri, dekat dengan Allah).</v>
      </c>
      <c r="G92" s="8" t="str">
        <f>IFERROR(__xludf.DUMMYFUNCTION("""COMPUTED_VALUE"""),"5: Lingkungan sangat mendukung (keluarga islami, shalat berjamaah, kontrol gadget baik).")</f>
        <v>5: Lingkungan sangat mendukung (keluarga islami, shalat berjamaah, kontrol gadget baik).</v>
      </c>
      <c r="H92" s="8" t="str">
        <f>IFERROR(__xludf.DUMMYFUNCTION("""COMPUTED_VALUE"""),"5: Hobi bermanfaat (olahraga, membaca, permainan edukatif).")</f>
        <v>5: Hobi bermanfaat (olahraga, membaca, permainan edukatif).</v>
      </c>
      <c r="I92" s="8" t="str">
        <f>IFERROR(__xludf.DUMMYFUNCTION("""COMPUTED_VALUE"""),"5: Berteman dengan lingkungan positif (masjid, teman shalih/shalihah).")</f>
        <v>5: Berteman dengan lingkungan positif (masjid, teman shalih/shalihah).</v>
      </c>
      <c r="J92" s="8" t="str">
        <f>IFERROR(__xludf.DUMMYFUNCTION("""COMPUTED_VALUE"""),"5: Jelas menolak, punya alasan agama/ilmu.")</f>
        <v>5: Jelas menolak, punya alasan agama/ilmu.</v>
      </c>
      <c r="K92" s="8" t="str">
        <f>IFERROR(__xludf.DUMMYFUNCTION("""COMPUTED_VALUE"""),"5: Menolak dengan tegas, paham bahaya dan dosa.")</f>
        <v>5: Menolak dengan tegas, paham bahaya dan dosa.</v>
      </c>
      <c r="L92" s="8" t="str">
        <f>IFERROR(__xludf.DUMMYFUNCTION("""COMPUTED_VALUE"""),"5: Hobi positif, produktif, mendukung pengembangan diri (olahraga, membaca, seni islami).")</f>
        <v>5: Hobi positif, produktif, mendukung pengembangan diri (olahraga, membaca, seni islami).</v>
      </c>
      <c r="M92" s="8" t="str">
        <f>IFERROR(__xludf.DUMMYFUNCTION("""COMPUTED_VALUE"""),"Nabil Mujtaba")</f>
        <v>Nabil Mujtaba</v>
      </c>
      <c r="N92" s="8" t="str">
        <f>IFERROR(__xludf.DUMMYFUNCTION("""COMPUTED_VALUE"""),"E. Tidak layak diterima saat ini.")</f>
        <v>E. Tidak layak diterima saat ini.</v>
      </c>
      <c r="O92" s="8" t="str">
        <f>IFERROR(__xludf.DUMMYFUNCTION("""COMPUTED_VALUE"""),"tidak pernah melanggar kecuali dari Jam'iyyah Thalabah")</f>
        <v>tidak pernah melanggar kecuali dari Jam'iyyah Thalabah</v>
      </c>
      <c r="P92" s="131" t="str">
        <f t="shared" ref="P92:V92" si="94">left(F92,1)</f>
        <v>5</v>
      </c>
      <c r="Q92" s="131" t="str">
        <f t="shared" si="94"/>
        <v>5</v>
      </c>
      <c r="R92" s="131" t="str">
        <f t="shared" si="94"/>
        <v>5</v>
      </c>
      <c r="S92" s="131" t="str">
        <f t="shared" si="94"/>
        <v>5</v>
      </c>
      <c r="T92" s="131" t="str">
        <f t="shared" si="94"/>
        <v>5</v>
      </c>
      <c r="U92" s="131" t="str">
        <f t="shared" si="94"/>
        <v>5</v>
      </c>
      <c r="V92" s="131" t="str">
        <f t="shared" si="94"/>
        <v>5</v>
      </c>
      <c r="W92" s="119">
        <f t="shared" si="3"/>
        <v>35</v>
      </c>
      <c r="X92" s="119" t="str">
        <f t="shared" si="4"/>
        <v>Siap</v>
      </c>
      <c r="Y92" s="119" t="str">
        <f t="shared" si="5"/>
        <v>bisa mengikuti pola pesantren dengan baik</v>
      </c>
    </row>
    <row r="93" ht="24.0" customHeight="1">
      <c r="A93" s="104">
        <f>IFERROR(__xludf.DUMMYFUNCTION("""COMPUTED_VALUE"""),45949.350913368056)</f>
        <v>45949.35091</v>
      </c>
      <c r="B93" s="7" t="str">
        <f>IFERROR(__xludf.DUMMYFUNCTION("""COMPUTED_VALUE"""),"nabilmujtaba426@gmail.com")</f>
        <v>nabilmujtaba426@gmail.com</v>
      </c>
      <c r="C93" s="7" t="str">
        <f>IFERROR(__xludf.DUMMYFUNCTION("""COMPUTED_VALUE"""),"Muhammad Syauqi Abdul Haq")</f>
        <v>Muhammad Syauqi Abdul Haq</v>
      </c>
      <c r="D93" s="7" t="str">
        <f>IFERROR(__xludf.DUMMYFUNCTION("""COMPUTED_VALUE"""),"A250069")</f>
        <v>A250069</v>
      </c>
      <c r="E93" s="7" t="str">
        <f>IFERROR(__xludf.DUMMYFUNCTION("""COMPUTED_VALUE"""),"MTs Putra")</f>
        <v>MTs Putra</v>
      </c>
      <c r="F93" s="8" t="str">
        <f>IFERROR(__xludf.DUMMYFUNCTION("""COMPUTED_VALUE"""),"3: Alasan kurang terarah, dipengaruhi orang tua, tapi ada kesediaan.")</f>
        <v>3: Alasan kurang terarah, dipengaruhi orang tua, tapi ada kesediaan.</v>
      </c>
      <c r="G93" s="8" t="str">
        <f>IFERROR(__xludf.DUMMYFUNCTION("""COMPUTED_VALUE"""),"3: Lingkungan biasa saja, kadang ada pengaruh negatif.")</f>
        <v>3: Lingkungan biasa saja, kadang ada pengaruh negatif.</v>
      </c>
      <c r="H93" s="8" t="str">
        <f>IFERROR(__xludf.DUMMYFUNCTION("""COMPUTED_VALUE"""),"2: Game online intens, mulai kecanduan.")</f>
        <v>2: Game online intens, mulai kecanduan.</v>
      </c>
      <c r="I93" s="8" t="str">
        <f>IFERROR(__xludf.DUMMYFUNCTION("""COMPUTED_VALUE"""),"3: Teman biasa saja, netral.")</f>
        <v>3: Teman biasa saja, netral.</v>
      </c>
      <c r="J93" s="8" t="str">
        <f>IFERROR(__xludf.DUMMYFUNCTION("""COMPUTED_VALUE"""),"4: Menolak, tapi alasannya umum.")</f>
        <v>4: Menolak, tapi alasannya umum.</v>
      </c>
      <c r="K93" s="8" t="str">
        <f>IFERROR(__xludf.DUMMYFUNCTION("""COMPUTED_VALUE"""),"4: Menolak, tapi belum terlalu paham alasannya.")</f>
        <v>4: Menolak, tapi belum terlalu paham alasannya.</v>
      </c>
      <c r="L93" s="8" t="str">
        <f>IFERROR(__xludf.DUMMYFUNCTION("""COMPUTED_VALUE"""),"4: Hobi umum yang wajar (menggambar, dll).")</f>
        <v>4: Hobi umum yang wajar (menggambar, dll).</v>
      </c>
      <c r="M93" s="8" t="str">
        <f>IFERROR(__xludf.DUMMYFUNCTION("""COMPUTED_VALUE"""),"Nabil Mujtaba")</f>
        <v>Nabil Mujtaba</v>
      </c>
      <c r="N93" s="8" t="str">
        <f>IFERROR(__xludf.DUMMYFUNCTION("""COMPUTED_VALUE"""),"C. Perlu Pertimbangan (butuh bimbingan khusus).")</f>
        <v>C. Perlu Pertimbangan (butuh bimbingan khusus).</v>
      </c>
      <c r="O93" s="8"/>
      <c r="P93" s="131" t="str">
        <f t="shared" ref="P93:V93" si="95">left(F93,1)</f>
        <v>3</v>
      </c>
      <c r="Q93" s="131" t="str">
        <f t="shared" si="95"/>
        <v>3</v>
      </c>
      <c r="R93" s="131" t="str">
        <f t="shared" si="95"/>
        <v>2</v>
      </c>
      <c r="S93" s="131" t="str">
        <f t="shared" si="95"/>
        <v>3</v>
      </c>
      <c r="T93" s="131" t="str">
        <f t="shared" si="95"/>
        <v>4</v>
      </c>
      <c r="U93" s="131" t="str">
        <f t="shared" si="95"/>
        <v>4</v>
      </c>
      <c r="V93" s="131" t="str">
        <f t="shared" si="95"/>
        <v>4</v>
      </c>
      <c r="W93" s="119">
        <f t="shared" si="3"/>
        <v>23</v>
      </c>
      <c r="X93" s="119" t="str">
        <f t="shared" si="4"/>
        <v>Cukup Siap</v>
      </c>
      <c r="Y93" s="119" t="str">
        <f t="shared" si="5"/>
        <v>perlu pendampingan awal</v>
      </c>
    </row>
    <row r="94" ht="24.0" customHeight="1">
      <c r="A94" s="104">
        <f>IFERROR(__xludf.DUMMYFUNCTION("""COMPUTED_VALUE"""),45949.359327048616)</f>
        <v>45949.35933</v>
      </c>
      <c r="B94" s="7" t="str">
        <f>IFERROR(__xludf.DUMMYFUNCTION("""COMPUTED_VALUE"""),"alfaruqsyauqi513@gmail.com")</f>
        <v>alfaruqsyauqi513@gmail.com</v>
      </c>
      <c r="C94" s="7" t="str">
        <f>IFERROR(__xludf.DUMMYFUNCTION("""COMPUTED_VALUE"""),"Farid")</f>
        <v>Farid</v>
      </c>
      <c r="D94" s="7" t="str">
        <f>IFERROR(__xludf.DUMMYFUNCTION("""COMPUTED_VALUE"""),"B250027")</f>
        <v>B250027</v>
      </c>
      <c r="E94" s="7" t="str">
        <f>IFERROR(__xludf.DUMMYFUNCTION("""COMPUTED_VALUE"""),"IL Putra")</f>
        <v>IL Putra</v>
      </c>
      <c r="F94" s="8" t="str">
        <f>IFERROR(__xludf.DUMMYFUNCTION("""COMPUTED_VALUE"""),"5: Sangat jelas, kuat, dan sesuai visi pesantren (ingin belajar agama, mandiri, dekat dengan Allah).")</f>
        <v>5: Sangat jelas, kuat, dan sesuai visi pesantren (ingin belajar agama, mandiri, dekat dengan Allah).</v>
      </c>
      <c r="G94" s="8" t="str">
        <f>IFERROR(__xludf.DUMMYFUNCTION("""COMPUTED_VALUE"""),"5: Lingkungan sangat mendukung (keluarga islami, shalat berjamaah, kontrol gadget baik).")</f>
        <v>5: Lingkungan sangat mendukung (keluarga islami, shalat berjamaah, kontrol gadget baik).</v>
      </c>
      <c r="H94" s="8" t="str">
        <f>IFERROR(__xludf.DUMMYFUNCTION("""COMPUTED_VALUE"""),"4: Game rekreasi wajar, tidak berlebihan.")</f>
        <v>4: Game rekreasi wajar, tidak berlebihan.</v>
      </c>
      <c r="I94" s="8" t="str">
        <f>IFERROR(__xludf.DUMMYFUNCTION("""COMPUTED_VALUE"""),"5: Berteman dengan lingkungan positif (masjid, teman shalih/shalihah).")</f>
        <v>5: Berteman dengan lingkungan positif (masjid, teman shalih/shalihah).</v>
      </c>
      <c r="J94" s="8" t="str">
        <f>IFERROR(__xludf.DUMMYFUNCTION("""COMPUTED_VALUE"""),"4: Menolak, tapi alasannya umum.")</f>
        <v>4: Menolak, tapi alasannya umum.</v>
      </c>
      <c r="K94" s="8" t="str">
        <f>IFERROR(__xludf.DUMMYFUNCTION("""COMPUTED_VALUE"""),"5: Menolak dengan tegas, paham bahaya dan dosa.")</f>
        <v>5: Menolak dengan tegas, paham bahaya dan dosa.</v>
      </c>
      <c r="L94" s="8" t="str">
        <f>IFERROR(__xludf.DUMMYFUNCTION("""COMPUTED_VALUE"""),"5: Hobi positif, produktif, mendukung pengembangan diri (olahraga, membaca, seni islami).")</f>
        <v>5: Hobi positif, produktif, mendukung pengembangan diri (olahraga, membaca, seni islami).</v>
      </c>
      <c r="M94" s="8" t="str">
        <f>IFERROR(__xludf.DUMMYFUNCTION("""COMPUTED_VALUE"""),"Muhammad syauqi alfaruq")</f>
        <v>Muhammad syauqi alfaruq</v>
      </c>
      <c r="N94" s="8" t="str">
        <f>IFERROR(__xludf.DUMMYFUNCTION("""COMPUTED_VALUE"""),"A. Sangat Layak diterima (potensi besar berkembang di pesantren).")</f>
        <v>A. Sangat Layak diterima (potensi besar berkembang di pesantren).</v>
      </c>
      <c r="O94" s="8" t="str">
        <f>IFERROR(__xludf.DUMMYFUNCTION("""COMPUTED_VALUE"""),"Tujuan dia masuk pesantren untuk merubah lingkungan di rumahnya")</f>
        <v>Tujuan dia masuk pesantren untuk merubah lingkungan di rumahnya</v>
      </c>
      <c r="P94" s="131" t="str">
        <f t="shared" ref="P94:V94" si="96">left(F94,1)</f>
        <v>5</v>
      </c>
      <c r="Q94" s="131" t="str">
        <f t="shared" si="96"/>
        <v>5</v>
      </c>
      <c r="R94" s="131" t="str">
        <f t="shared" si="96"/>
        <v>4</v>
      </c>
      <c r="S94" s="131" t="str">
        <f t="shared" si="96"/>
        <v>5</v>
      </c>
      <c r="T94" s="131" t="str">
        <f t="shared" si="96"/>
        <v>4</v>
      </c>
      <c r="U94" s="131" t="str">
        <f t="shared" si="96"/>
        <v>5</v>
      </c>
      <c r="V94" s="131" t="str">
        <f t="shared" si="96"/>
        <v>5</v>
      </c>
      <c r="W94" s="119">
        <f t="shared" si="3"/>
        <v>33</v>
      </c>
      <c r="X94" s="119" t="str">
        <f t="shared" si="4"/>
        <v>Siap</v>
      </c>
      <c r="Y94" s="119" t="str">
        <f t="shared" si="5"/>
        <v>bisa mengikuti pola pesantren dengan baik</v>
      </c>
    </row>
    <row r="95" ht="24.0" customHeight="1">
      <c r="A95" s="104">
        <f>IFERROR(__xludf.DUMMYFUNCTION("""COMPUTED_VALUE"""),45949.38235731481)</f>
        <v>45949.38236</v>
      </c>
      <c r="B95" s="7" t="str">
        <f>IFERROR(__xludf.DUMMYFUNCTION("""COMPUTED_VALUE"""),"nabilmujtaba426@gmail.com")</f>
        <v>nabilmujtaba426@gmail.com</v>
      </c>
      <c r="C95" s="7" t="str">
        <f>IFERROR(__xludf.DUMMYFUNCTION("""COMPUTED_VALUE"""),"Ruwaifi")</f>
        <v>Ruwaifi</v>
      </c>
      <c r="D95" s="7" t="str">
        <f>IFERROR(__xludf.DUMMYFUNCTION("""COMPUTED_VALUE"""),"A250071")</f>
        <v>A250071</v>
      </c>
      <c r="E95" s="7" t="str">
        <f>IFERROR(__xludf.DUMMYFUNCTION("""COMPUTED_VALUE"""),"MTs Putra")</f>
        <v>MTs Putra</v>
      </c>
      <c r="F95" s="8" t="str">
        <f>IFERROR(__xludf.DUMMYFUNCTION("""COMPUTED_VALUE"""),"3: Alasan kurang terarah, dipengaruhi orang tua, tapi ada kesediaan.")</f>
        <v>3: Alasan kurang terarah, dipengaruhi orang tua, tapi ada kesediaan.</v>
      </c>
      <c r="G95" s="8" t="str">
        <f>IFERROR(__xludf.DUMMYFUNCTION("""COMPUTED_VALUE"""),"3: Lingkungan biasa saja, kadang ada pengaruh negatif.")</f>
        <v>3: Lingkungan biasa saja, kadang ada pengaruh negatif.</v>
      </c>
      <c r="H95" s="8" t="str">
        <f>IFERROR(__xludf.DUMMYFUNCTION("""COMPUTED_VALUE"""),"4: Game rekreasi wajar, tidak berlebihan.")</f>
        <v>4: Game rekreasi wajar, tidak berlebihan.</v>
      </c>
      <c r="I95" s="8" t="str">
        <f>IFERROR(__xludf.DUMMYFUNCTION("""COMPUTED_VALUE"""),"3: Teman biasa saja, netral.")</f>
        <v>3: Teman biasa saja, netral.</v>
      </c>
      <c r="J95" s="8" t="str">
        <f>IFERROR(__xludf.DUMMYFUNCTION("""COMPUTED_VALUE"""),"4: Menolak, tapi alasannya umum.")</f>
        <v>4: Menolak, tapi alasannya umum.</v>
      </c>
      <c r="K95" s="8" t="str">
        <f>IFERROR(__xludf.DUMMYFUNCTION("""COMPUTED_VALUE"""),"4: Menolak, tapi belum terlalu paham alasannya.")</f>
        <v>4: Menolak, tapi belum terlalu paham alasannya.</v>
      </c>
      <c r="L95" s="8" t="str">
        <f>IFERROR(__xludf.DUMMYFUNCTION("""COMPUTED_VALUE"""),"4: Hobi umum yang wajar (menggambar, dll).")</f>
        <v>4: Hobi umum yang wajar (menggambar, dll).</v>
      </c>
      <c r="M95" s="8" t="str">
        <f>IFERROR(__xludf.DUMMYFUNCTION("""COMPUTED_VALUE"""),"Nabil Mujtaba")</f>
        <v>Nabil Mujtaba</v>
      </c>
      <c r="N95" s="8" t="str">
        <f>IFERROR(__xludf.DUMMYFUNCTION("""COMPUTED_VALUE"""),"C. Perlu Pertimbangan (butuh bimbingan khusus).")</f>
        <v>C. Perlu Pertimbangan (butuh bimbingan khusus).</v>
      </c>
      <c r="O95" s="8"/>
      <c r="P95" s="131" t="str">
        <f t="shared" ref="P95:V95" si="97">left(F95,1)</f>
        <v>3</v>
      </c>
      <c r="Q95" s="131" t="str">
        <f t="shared" si="97"/>
        <v>3</v>
      </c>
      <c r="R95" s="131" t="str">
        <f t="shared" si="97"/>
        <v>4</v>
      </c>
      <c r="S95" s="131" t="str">
        <f t="shared" si="97"/>
        <v>3</v>
      </c>
      <c r="T95" s="131" t="str">
        <f t="shared" si="97"/>
        <v>4</v>
      </c>
      <c r="U95" s="131" t="str">
        <f t="shared" si="97"/>
        <v>4</v>
      </c>
      <c r="V95" s="131" t="str">
        <f t="shared" si="97"/>
        <v>4</v>
      </c>
      <c r="W95" s="119">
        <f t="shared" si="3"/>
        <v>25</v>
      </c>
      <c r="X95" s="119" t="str">
        <f t="shared" si="4"/>
        <v>Cukup Siap</v>
      </c>
      <c r="Y95" s="119" t="str">
        <f t="shared" si="5"/>
        <v>perlu pendampingan awal</v>
      </c>
    </row>
    <row r="96" ht="24.0" customHeight="1">
      <c r="A96" s="104">
        <f>IFERROR(__xludf.DUMMYFUNCTION("""COMPUTED_VALUE"""),45949.409945520834)</f>
        <v>45949.40995</v>
      </c>
      <c r="B96" s="7" t="str">
        <f>IFERROR(__xludf.DUMMYFUNCTION("""COMPUTED_VALUE"""),"zaldoyrizaldi@gmail.com")</f>
        <v>zaldoyrizaldi@gmail.com</v>
      </c>
      <c r="C96" s="7" t="str">
        <f>IFERROR(__xludf.DUMMYFUNCTION("""COMPUTED_VALUE"""),"Ali Barqi Assaif")</f>
        <v>Ali Barqi Assaif</v>
      </c>
      <c r="D96" s="7" t="str">
        <f>IFERROR(__xludf.DUMMYFUNCTION("""COMPUTED_VALUE"""),"B250007")</f>
        <v>B250007</v>
      </c>
      <c r="E96" s="7" t="str">
        <f>IFERROR(__xludf.DUMMYFUNCTION("""COMPUTED_VALUE"""),"IL Putra")</f>
        <v>IL Putra</v>
      </c>
      <c r="F96" s="8" t="str">
        <f>IFERROR(__xludf.DUMMYFUNCTION("""COMPUTED_VALUE"""),"5: Sangat jelas, kuat, dan sesuai visi pesantren (ingin belajar agama, mandiri, dekat dengan Allah).")</f>
        <v>5: Sangat jelas, kuat, dan sesuai visi pesantren (ingin belajar agama, mandiri, dekat dengan Allah).</v>
      </c>
      <c r="G96" s="8" t="str">
        <f>IFERROR(__xludf.DUMMYFUNCTION("""COMPUTED_VALUE"""),"5: Lingkungan sangat mendukung (keluarga islami, shalat berjamaah, kontrol gadget baik).")</f>
        <v>5: Lingkungan sangat mendukung (keluarga islami, shalat berjamaah, kontrol gadget baik).</v>
      </c>
      <c r="H96" s="8" t="str">
        <f>IFERROR(__xludf.DUMMYFUNCTION("""COMPUTED_VALUE"""),"4: Game rekreasi wajar, tidak berlebihan.")</f>
        <v>4: Game rekreasi wajar, tidak berlebihan.</v>
      </c>
      <c r="I96" s="8" t="str">
        <f>IFERROR(__xludf.DUMMYFUNCTION("""COMPUTED_VALUE"""),"2: Lebih sering bersama teman berpengaruh negatif.")</f>
        <v>2: Lebih sering bersama teman berpengaruh negatif.</v>
      </c>
      <c r="J96" s="8" t="str">
        <f>IFERROR(__xludf.DUMMYFUNCTION("""COMPUTED_VALUE"""),"5: Jelas menolak, punya alasan agama/ilmu.")</f>
        <v>5: Jelas menolak, punya alasan agama/ilmu.</v>
      </c>
      <c r="K96" s="8" t="str">
        <f>IFERROR(__xludf.DUMMYFUNCTION("""COMPUTED_VALUE"""),"5: Menolak dengan tegas, paham bahaya dan dosa.")</f>
        <v>5: Menolak dengan tegas, paham bahaya dan dosa.</v>
      </c>
      <c r="L96" s="8" t="str">
        <f>IFERROR(__xludf.DUMMYFUNCTION("""COMPUTED_VALUE"""),"5: Hobi positif, produktif, mendukung pengembangan diri (olahraga, membaca, seni islami).")</f>
        <v>5: Hobi positif, produktif, mendukung pengembangan diri (olahraga, membaca, seni islami).</v>
      </c>
      <c r="M96" s="8" t="str">
        <f>IFERROR(__xludf.DUMMYFUNCTION("""COMPUTED_VALUE"""),"rizaldi")</f>
        <v>rizaldi</v>
      </c>
      <c r="N96" s="8" t="str">
        <f>IFERROR(__xludf.DUMMYFUNCTION("""COMPUTED_VALUE"""),"A. Sangat Layak diterima (potensi besar berkembang di pesantren).")</f>
        <v>A. Sangat Layak diterima (potensi besar berkembang di pesantren).</v>
      </c>
      <c r="O96" s="8" t="str">
        <f>IFERROR(__xludf.DUMMYFUNCTION("""COMPUTED_VALUE"""),"mondok karena paksaan orang tua, masih bingung, tapi punya tujuan jadi bisnis Man, dan paham ilmu agama, 
cukup kita yakini bahwa di sini juga bisa jadi bisnis man")</f>
        <v>mondok karena paksaan orang tua, masih bingung, tapi punya tujuan jadi bisnis Man, dan paham ilmu agama, 
cukup kita yakini bahwa di sini juga bisa jadi bisnis man</v>
      </c>
      <c r="P96" s="131" t="str">
        <f t="shared" ref="P96:V96" si="98">left(F96,1)</f>
        <v>5</v>
      </c>
      <c r="Q96" s="131" t="str">
        <f t="shared" si="98"/>
        <v>5</v>
      </c>
      <c r="R96" s="131" t="str">
        <f t="shared" si="98"/>
        <v>4</v>
      </c>
      <c r="S96" s="131" t="str">
        <f t="shared" si="98"/>
        <v>2</v>
      </c>
      <c r="T96" s="131" t="str">
        <f t="shared" si="98"/>
        <v>5</v>
      </c>
      <c r="U96" s="131" t="str">
        <f t="shared" si="98"/>
        <v>5</v>
      </c>
      <c r="V96" s="131" t="str">
        <f t="shared" si="98"/>
        <v>5</v>
      </c>
      <c r="W96" s="119">
        <f t="shared" si="3"/>
        <v>31</v>
      </c>
      <c r="X96" s="119" t="str">
        <f t="shared" si="4"/>
        <v>Siap</v>
      </c>
      <c r="Y96" s="119" t="str">
        <f t="shared" si="5"/>
        <v>bisa mengikuti pola pesantren dengan baik</v>
      </c>
    </row>
    <row r="97" ht="24.0" customHeight="1">
      <c r="A97" s="104">
        <f>IFERROR(__xludf.DUMMYFUNCTION("""COMPUTED_VALUE"""),45949.596323148144)</f>
        <v>45949.59632</v>
      </c>
      <c r="B97" s="7" t="str">
        <f>IFERROR(__xludf.DUMMYFUNCTION("""COMPUTED_VALUE"""),"nabilmujtaba426@gmail.com")</f>
        <v>nabilmujtaba426@gmail.com</v>
      </c>
      <c r="C97" s="7" t="str">
        <f>IFERROR(__xludf.DUMMYFUNCTION("""COMPUTED_VALUE"""),"Faeyza Izzatul Khoiry")</f>
        <v>Faeyza Izzatul Khoiry</v>
      </c>
      <c r="D97" s="7" t="str">
        <f>IFERROR(__xludf.DUMMYFUNCTION("""COMPUTED_VALUE"""),"A250016")</f>
        <v>A250016</v>
      </c>
      <c r="E97" s="7" t="str">
        <f>IFERROR(__xludf.DUMMYFUNCTION("""COMPUTED_VALUE"""),"MTs Putra")</f>
        <v>MTs Putra</v>
      </c>
      <c r="F97" s="8" t="str">
        <f>IFERROR(__xludf.DUMMYFUNCTION("""COMPUTED_VALUE"""),"4: Cukup jelas, alasan positif namun masih umum.")</f>
        <v>4: Cukup jelas, alasan positif namun masih umum.</v>
      </c>
      <c r="G97" s="8" t="str">
        <f>IFERROR(__xludf.DUMMYFUNCTION("""COMPUTED_VALUE"""),"4: Lingkungan cukup mendukung, ada perhatian orang tua.")</f>
        <v>4: Lingkungan cukup mendukung, ada perhatian orang tua.</v>
      </c>
      <c r="H97" s="8" t="str">
        <f>IFERROR(__xludf.DUMMYFUNCTION("""COMPUTED_VALUE"""),"5: Hobi bermanfaat (olahraga, membaca, permainan edukatif).")</f>
        <v>5: Hobi bermanfaat (olahraga, membaca, permainan edukatif).</v>
      </c>
      <c r="I97" s="8" t="str">
        <f>IFERROR(__xludf.DUMMYFUNCTION("""COMPUTED_VALUE"""),"5: Berteman dengan lingkungan positif (masjid, teman shalih/shalihah).")</f>
        <v>5: Berteman dengan lingkungan positif (masjid, teman shalih/shalihah).</v>
      </c>
      <c r="J97" s="8" t="str">
        <f>IFERROR(__xludf.DUMMYFUNCTION("""COMPUTED_VALUE"""),"4: Menolak, tapi alasannya umum.")</f>
        <v>4: Menolak, tapi alasannya umum.</v>
      </c>
      <c r="K97" s="8" t="str">
        <f>IFERROR(__xludf.DUMMYFUNCTION("""COMPUTED_VALUE"""),"4: Menolak, tapi belum terlalu paham alasannya.")</f>
        <v>4: Menolak, tapi belum terlalu paham alasannya.</v>
      </c>
      <c r="L97" s="8" t="str">
        <f>IFERROR(__xludf.DUMMYFUNCTION("""COMPUTED_VALUE"""),"5: Hobi positif, produktif, mendukung pengembangan diri (olahraga, membaca, seni islami).")</f>
        <v>5: Hobi positif, produktif, mendukung pengembangan diri (olahraga, membaca, seni islami).</v>
      </c>
      <c r="M97" s="8" t="str">
        <f>IFERROR(__xludf.DUMMYFUNCTION("""COMPUTED_VALUE"""),"Nabil Mujtaba")</f>
        <v>Nabil Mujtaba</v>
      </c>
      <c r="N97" s="8" t="str">
        <f>IFERROR(__xludf.DUMMYFUNCTION("""COMPUTED_VALUE"""),"A. Sangat Layak diterima (potensi besar berkembang di pesantren).")</f>
        <v>A. Sangat Layak diterima (potensi besar berkembang di pesantren).</v>
      </c>
      <c r="O97" s="8"/>
      <c r="P97" s="131" t="str">
        <f t="shared" ref="P97:V97" si="99">left(F97,1)</f>
        <v>4</v>
      </c>
      <c r="Q97" s="131" t="str">
        <f t="shared" si="99"/>
        <v>4</v>
      </c>
      <c r="R97" s="131" t="str">
        <f t="shared" si="99"/>
        <v>5</v>
      </c>
      <c r="S97" s="131" t="str">
        <f t="shared" si="99"/>
        <v>5</v>
      </c>
      <c r="T97" s="131" t="str">
        <f t="shared" si="99"/>
        <v>4</v>
      </c>
      <c r="U97" s="131" t="str">
        <f t="shared" si="99"/>
        <v>4</v>
      </c>
      <c r="V97" s="131" t="str">
        <f t="shared" si="99"/>
        <v>5</v>
      </c>
      <c r="W97" s="119">
        <f t="shared" si="3"/>
        <v>31</v>
      </c>
      <c r="X97" s="119" t="str">
        <f t="shared" si="4"/>
        <v>Siap</v>
      </c>
      <c r="Y97" s="119" t="str">
        <f t="shared" si="5"/>
        <v>bisa mengikuti pola pesantren dengan baik</v>
      </c>
    </row>
    <row r="98" ht="24.0" customHeight="1">
      <c r="A98" s="104">
        <f>IFERROR(__xludf.DUMMYFUNCTION("""COMPUTED_VALUE"""),45949.83247627315)</f>
        <v>45949.83248</v>
      </c>
      <c r="B98" s="7" t="str">
        <f>IFERROR(__xludf.DUMMYFUNCTION("""COMPUTED_VALUE"""),"nabilmujtaba426@gmail.com")</f>
        <v>nabilmujtaba426@gmail.com</v>
      </c>
      <c r="C98" s="7" t="str">
        <f>IFERROR(__xludf.DUMMYFUNCTION("""COMPUTED_VALUE"""),"FATHAN SYAHRIL SUSENO")</f>
        <v>FATHAN SYAHRIL SUSENO</v>
      </c>
      <c r="D98" s="7" t="str">
        <f>IFERROR(__xludf.DUMMYFUNCTION("""COMPUTED_VALUE"""),"C250016")</f>
        <v>C250016</v>
      </c>
      <c r="E98" s="7" t="str">
        <f>IFERROR(__xludf.DUMMYFUNCTION("""COMPUTED_VALUE"""),"SMA Putra")</f>
        <v>SMA Putra</v>
      </c>
      <c r="F98" s="8" t="str">
        <f>IFERROR(__xludf.DUMMYFUNCTION("""COMPUTED_VALUE"""),"5: Sangat jelas, kuat, dan sesuai visi pesantren (ingin belajar agama, mandiri, dekat dengan Allah).")</f>
        <v>5: Sangat jelas, kuat, dan sesuai visi pesantren (ingin belajar agama, mandiri, dekat dengan Allah).</v>
      </c>
      <c r="G98" s="8" t="str">
        <f>IFERROR(__xludf.DUMMYFUNCTION("""COMPUTED_VALUE"""),"5: Lingkungan sangat mendukung (keluarga islami, shalat berjamaah, kontrol gadget baik).")</f>
        <v>5: Lingkungan sangat mendukung (keluarga islami, shalat berjamaah, kontrol gadget baik).</v>
      </c>
      <c r="H98" s="8" t="str">
        <f>IFERROR(__xludf.DUMMYFUNCTION("""COMPUTED_VALUE"""),"4: Game rekreasi wajar, tidak berlebihan.")</f>
        <v>4: Game rekreasi wajar, tidak berlebihan.</v>
      </c>
      <c r="I98" s="8" t="str">
        <f>IFERROR(__xludf.DUMMYFUNCTION("""COMPUTED_VALUE"""),"5: Berteman dengan lingkungan positif (masjid, teman shalih/shalihah).")</f>
        <v>5: Berteman dengan lingkungan positif (masjid, teman shalih/shalihah).</v>
      </c>
      <c r="J98" s="8" t="str">
        <f>IFERROR(__xludf.DUMMYFUNCTION("""COMPUTED_VALUE"""),"5: Jelas menolak, punya alasan agama/ilmu.")</f>
        <v>5: Jelas menolak, punya alasan agama/ilmu.</v>
      </c>
      <c r="K98" s="8" t="str">
        <f>IFERROR(__xludf.DUMMYFUNCTION("""COMPUTED_VALUE"""),"5: Menolak dengan tegas, paham bahaya dan dosa.")</f>
        <v>5: Menolak dengan tegas, paham bahaya dan dosa.</v>
      </c>
      <c r="L98" s="8" t="str">
        <f>IFERROR(__xludf.DUMMYFUNCTION("""COMPUTED_VALUE"""),"5: Hobi positif, produktif, mendukung pengembangan diri (olahraga, membaca, seni islami).")</f>
        <v>5: Hobi positif, produktif, mendukung pengembangan diri (olahraga, membaca, seni islami).</v>
      </c>
      <c r="M98" s="8" t="str">
        <f>IFERROR(__xludf.DUMMYFUNCTION("""COMPUTED_VALUE"""),"Nabil Mujtaba")</f>
        <v>Nabil Mujtaba</v>
      </c>
      <c r="N98" s="8" t="str">
        <f>IFERROR(__xludf.DUMMYFUNCTION("""COMPUTED_VALUE"""),"A. Sangat Layak diterima (potensi besar berkembang di pesantren).")</f>
        <v>A. Sangat Layak diterima (potensi besar berkembang di pesantren).</v>
      </c>
      <c r="O98" s="8"/>
      <c r="P98" s="131" t="str">
        <f t="shared" ref="P98:V98" si="100">left(F98,1)</f>
        <v>5</v>
      </c>
      <c r="Q98" s="131" t="str">
        <f t="shared" si="100"/>
        <v>5</v>
      </c>
      <c r="R98" s="131" t="str">
        <f t="shared" si="100"/>
        <v>4</v>
      </c>
      <c r="S98" s="131" t="str">
        <f t="shared" si="100"/>
        <v>5</v>
      </c>
      <c r="T98" s="131" t="str">
        <f t="shared" si="100"/>
        <v>5</v>
      </c>
      <c r="U98" s="131" t="str">
        <f t="shared" si="100"/>
        <v>5</v>
      </c>
      <c r="V98" s="131" t="str">
        <f t="shared" si="100"/>
        <v>5</v>
      </c>
      <c r="W98" s="119">
        <f t="shared" si="3"/>
        <v>34</v>
      </c>
      <c r="X98" s="119" t="str">
        <f t="shared" si="4"/>
        <v>Siap</v>
      </c>
      <c r="Y98" s="119" t="str">
        <f t="shared" si="5"/>
        <v>bisa mengikuti pola pesantren dengan baik</v>
      </c>
    </row>
    <row r="99" ht="24.0" customHeight="1">
      <c r="A99" s="104">
        <f>IFERROR(__xludf.DUMMYFUNCTION("""COMPUTED_VALUE"""),45950.54481947917)</f>
        <v>45950.54482</v>
      </c>
      <c r="B99" s="7" t="str">
        <f>IFERROR(__xludf.DUMMYFUNCTION("""COMPUTED_VALUE"""),"alfaruqsyauqi513@gmail.com")</f>
        <v>alfaruqsyauqi513@gmail.com</v>
      </c>
      <c r="C99" s="7" t="str">
        <f>IFERROR(__xludf.DUMMYFUNCTION("""COMPUTED_VALUE"""),"Nizar")</f>
        <v>Nizar</v>
      </c>
      <c r="D99" s="7" t="str">
        <f>IFERROR(__xludf.DUMMYFUNCTION("""COMPUTED_VALUE"""),"C250009")</f>
        <v>C250009</v>
      </c>
      <c r="E99" s="7" t="str">
        <f>IFERROR(__xludf.DUMMYFUNCTION("""COMPUTED_VALUE"""),"SMA Putra")</f>
        <v>SMA Putra</v>
      </c>
      <c r="F99" s="8" t="str">
        <f>IFERROR(__xludf.DUMMYFUNCTION("""COMPUTED_VALUE"""),"5: Sangat jelas, kuat, dan sesuai visi pesantren (ingin belajar agama, mandiri, dekat dengan Allah).")</f>
        <v>5: Sangat jelas, kuat, dan sesuai visi pesantren (ingin belajar agama, mandiri, dekat dengan Allah).</v>
      </c>
      <c r="G99" s="8" t="str">
        <f>IFERROR(__xludf.DUMMYFUNCTION("""COMPUTED_VALUE"""),"5: Lingkungan sangat mendukung (keluarga islami, shalat berjamaah, kontrol gadget baik).")</f>
        <v>5: Lingkungan sangat mendukung (keluarga islami, shalat berjamaah, kontrol gadget baik).</v>
      </c>
      <c r="H99" s="8" t="str">
        <f>IFERROR(__xludf.DUMMYFUNCTION("""COMPUTED_VALUE"""),"4: Game rekreasi wajar, tidak berlebihan.")</f>
        <v>4: Game rekreasi wajar, tidak berlebihan.</v>
      </c>
      <c r="I99" s="8" t="str">
        <f>IFERROR(__xludf.DUMMYFUNCTION("""COMPUTED_VALUE"""),"4: Mayoritas teman baik, ada sedikit yang kurang baik.")</f>
        <v>4: Mayoritas teman baik, ada sedikit yang kurang baik.</v>
      </c>
      <c r="J99" s="8" t="str">
        <f>IFERROR(__xludf.DUMMYFUNCTION("""COMPUTED_VALUE"""),"5: Jelas menolak, punya alasan agama/ilmu.")</f>
        <v>5: Jelas menolak, punya alasan agama/ilmu.</v>
      </c>
      <c r="K99" s="8" t="str">
        <f>IFERROR(__xludf.DUMMYFUNCTION("""COMPUTED_VALUE"""),"5: Menolak dengan tegas, paham bahaya dan dosa.")</f>
        <v>5: Menolak dengan tegas, paham bahaya dan dosa.</v>
      </c>
      <c r="L99" s="8" t="str">
        <f>IFERROR(__xludf.DUMMYFUNCTION("""COMPUTED_VALUE"""),"5: Hobi positif, produktif, mendukung pengembangan diri (olahraga, membaca, seni islami).")</f>
        <v>5: Hobi positif, produktif, mendukung pengembangan diri (olahraga, membaca, seni islami).</v>
      </c>
      <c r="M99" s="8" t="str">
        <f>IFERROR(__xludf.DUMMYFUNCTION("""COMPUTED_VALUE"""),"Muhammad syauqi Alfaruq")</f>
        <v>Muhammad syauqi Alfaruq</v>
      </c>
      <c r="N99" s="8" t="str">
        <f>IFERROR(__xludf.DUMMYFUNCTION("""COMPUTED_VALUE"""),"A. Sangat Layak diterima (potensi besar berkembang di pesantren).")</f>
        <v>A. Sangat Layak diterima (potensi besar berkembang di pesantren).</v>
      </c>
      <c r="O99" s="8"/>
      <c r="P99" s="131" t="str">
        <f t="shared" ref="P99:V99" si="101">left(F99,1)</f>
        <v>5</v>
      </c>
      <c r="Q99" s="131" t="str">
        <f t="shared" si="101"/>
        <v>5</v>
      </c>
      <c r="R99" s="131" t="str">
        <f t="shared" si="101"/>
        <v>4</v>
      </c>
      <c r="S99" s="131" t="str">
        <f t="shared" si="101"/>
        <v>4</v>
      </c>
      <c r="T99" s="131" t="str">
        <f t="shared" si="101"/>
        <v>5</v>
      </c>
      <c r="U99" s="131" t="str">
        <f t="shared" si="101"/>
        <v>5</v>
      </c>
      <c r="V99" s="131" t="str">
        <f t="shared" si="101"/>
        <v>5</v>
      </c>
      <c r="W99" s="119">
        <f t="shared" si="3"/>
        <v>33</v>
      </c>
      <c r="X99" s="119" t="str">
        <f t="shared" si="4"/>
        <v>Siap</v>
      </c>
      <c r="Y99" s="119" t="str">
        <f t="shared" si="5"/>
        <v>bisa mengikuti pola pesantren dengan baik</v>
      </c>
    </row>
    <row r="100" ht="24.0" customHeight="1">
      <c r="A100" s="104">
        <f>IFERROR(__xludf.DUMMYFUNCTION("""COMPUTED_VALUE"""),45950.83515633101)</f>
        <v>45950.83516</v>
      </c>
      <c r="B100" s="7" t="str">
        <f>IFERROR(__xludf.DUMMYFUNCTION("""COMPUTED_VALUE"""),"nabilmujtaba426@gmail.com")</f>
        <v>nabilmujtaba426@gmail.com</v>
      </c>
      <c r="C100" s="7" t="str">
        <f>IFERROR(__xludf.DUMMYFUNCTION("""COMPUTED_VALUE"""),"Alfarizy Fauzan wijaya")</f>
        <v>Alfarizy Fauzan wijaya</v>
      </c>
      <c r="D100" s="7" t="str">
        <f>IFERROR(__xludf.DUMMYFUNCTION("""COMPUTED_VALUE"""),"A250068")</f>
        <v>A250068</v>
      </c>
      <c r="E100" s="7" t="str">
        <f>IFERROR(__xludf.DUMMYFUNCTION("""COMPUTED_VALUE"""),"MTs Putra")</f>
        <v>MTs Putra</v>
      </c>
      <c r="F100" s="8" t="str">
        <f>IFERROR(__xludf.DUMMYFUNCTION("""COMPUTED_VALUE"""),"4: Cukup jelas, alasan positif namun masih umum.")</f>
        <v>4: Cukup jelas, alasan positif namun masih umum.</v>
      </c>
      <c r="G100" s="8" t="str">
        <f>IFERROR(__xludf.DUMMYFUNCTION("""COMPUTED_VALUE"""),"4: Lingkungan cukup mendukung, ada perhatian orang tua.")</f>
        <v>4: Lingkungan cukup mendukung, ada perhatian orang tua.</v>
      </c>
      <c r="H100" s="8" t="str">
        <f>IFERROR(__xludf.DUMMYFUNCTION("""COMPUTED_VALUE"""),"4: Game rekreasi wajar, tidak berlebihan.")</f>
        <v>4: Game rekreasi wajar, tidak berlebihan.</v>
      </c>
      <c r="I100" s="8" t="str">
        <f>IFERROR(__xludf.DUMMYFUNCTION("""COMPUTED_VALUE"""),"3: Teman biasa saja, netral.")</f>
        <v>3: Teman biasa saja, netral.</v>
      </c>
      <c r="J100" s="8" t="str">
        <f>IFERROR(__xludf.DUMMYFUNCTION("""COMPUTED_VALUE"""),"4: Menolak, tapi alasannya umum.")</f>
        <v>4: Menolak, tapi alasannya umum.</v>
      </c>
      <c r="K100" s="8" t="str">
        <f>IFERROR(__xludf.DUMMYFUNCTION("""COMPUTED_VALUE"""),"4: Menolak, tapi belum terlalu paham alasannya.")</f>
        <v>4: Menolak, tapi belum terlalu paham alasannya.</v>
      </c>
      <c r="L100" s="8" t="str">
        <f>IFERROR(__xludf.DUMMYFUNCTION("""COMPUTED_VALUE"""),"4: Hobi umum yang wajar (menggambar, dll).")</f>
        <v>4: Hobi umum yang wajar (menggambar, dll).</v>
      </c>
      <c r="M100" s="8" t="str">
        <f>IFERROR(__xludf.DUMMYFUNCTION("""COMPUTED_VALUE"""),"Nabil Mujtaba")</f>
        <v>Nabil Mujtaba</v>
      </c>
      <c r="N100" s="8" t="str">
        <f>IFERROR(__xludf.DUMMYFUNCTION("""COMPUTED_VALUE"""),"B. Layak diterima dengan catatan pembinaan.")</f>
        <v>B. Layak diterima dengan catatan pembinaan.</v>
      </c>
      <c r="O100" s="8"/>
      <c r="P100" s="131" t="str">
        <f t="shared" ref="P100:V100" si="102">left(F100,1)</f>
        <v>4</v>
      </c>
      <c r="Q100" s="131" t="str">
        <f t="shared" si="102"/>
        <v>4</v>
      </c>
      <c r="R100" s="131" t="str">
        <f t="shared" si="102"/>
        <v>4</v>
      </c>
      <c r="S100" s="131" t="str">
        <f t="shared" si="102"/>
        <v>3</v>
      </c>
      <c r="T100" s="131" t="str">
        <f t="shared" si="102"/>
        <v>4</v>
      </c>
      <c r="U100" s="131" t="str">
        <f t="shared" si="102"/>
        <v>4</v>
      </c>
      <c r="V100" s="131" t="str">
        <f t="shared" si="102"/>
        <v>4</v>
      </c>
      <c r="W100" s="119">
        <f t="shared" si="3"/>
        <v>27</v>
      </c>
      <c r="X100" s="119" t="str">
        <f t="shared" si="4"/>
        <v>Cukup Siap</v>
      </c>
      <c r="Y100" s="119" t="str">
        <f t="shared" si="5"/>
        <v>perlu pendampingan awal</v>
      </c>
    </row>
    <row r="101" ht="24.0" customHeight="1">
      <c r="A101" s="104">
        <f>IFERROR(__xludf.DUMMYFUNCTION("""COMPUTED_VALUE"""),45953.828357349536)</f>
        <v>45953.82836</v>
      </c>
      <c r="B101" s="7" t="str">
        <f>IFERROR(__xludf.DUMMYFUNCTION("""COMPUTED_VALUE"""),"nabilmujtaba426@gmail.com")</f>
        <v>nabilmujtaba426@gmail.com</v>
      </c>
      <c r="C101" s="7" t="str">
        <f>IFERROR(__xludf.DUMMYFUNCTION("""COMPUTED_VALUE"""),"Angga Saputra")</f>
        <v>Angga Saputra</v>
      </c>
      <c r="D101" s="7" t="str">
        <f>IFERROR(__xludf.DUMMYFUNCTION("""COMPUTED_VALUE"""),"B250017")</f>
        <v>B250017</v>
      </c>
      <c r="E101" s="7" t="str">
        <f>IFERROR(__xludf.DUMMYFUNCTION("""COMPUTED_VALUE"""),"IL Putra")</f>
        <v>IL Putra</v>
      </c>
      <c r="F101" s="8" t="str">
        <f>IFERROR(__xludf.DUMMYFUNCTION("""COMPUTED_VALUE"""),"4: Cukup jelas, alasan positif namun masih umum.")</f>
        <v>4: Cukup jelas, alasan positif namun masih umum.</v>
      </c>
      <c r="G101" s="8" t="str">
        <f>IFERROR(__xludf.DUMMYFUNCTION("""COMPUTED_VALUE"""),"4: Lingkungan cukup mendukung, ada perhatian orang tua.")</f>
        <v>4: Lingkungan cukup mendukung, ada perhatian orang tua.</v>
      </c>
      <c r="H101" s="8" t="str">
        <f>IFERROR(__xludf.DUMMYFUNCTION("""COMPUTED_VALUE"""),"4: Game rekreasi wajar, tidak berlebihan.")</f>
        <v>4: Game rekreasi wajar, tidak berlebihan.</v>
      </c>
      <c r="I101" s="8" t="str">
        <f>IFERROR(__xludf.DUMMYFUNCTION("""COMPUTED_VALUE"""),"4: Mayoritas teman baik, ada sedikit yang kurang baik.")</f>
        <v>4: Mayoritas teman baik, ada sedikit yang kurang baik.</v>
      </c>
      <c r="J101" s="8" t="str">
        <f>IFERROR(__xludf.DUMMYFUNCTION("""COMPUTED_VALUE"""),"5: Jelas menolak, punya alasan agama/ilmu.")</f>
        <v>5: Jelas menolak, punya alasan agama/ilmu.</v>
      </c>
      <c r="K101" s="8" t="str">
        <f>IFERROR(__xludf.DUMMYFUNCTION("""COMPUTED_VALUE"""),"5: Menolak dengan tegas, paham bahaya dan dosa.")</f>
        <v>5: Menolak dengan tegas, paham bahaya dan dosa.</v>
      </c>
      <c r="L101" s="8" t="str">
        <f>IFERROR(__xludf.DUMMYFUNCTION("""COMPUTED_VALUE"""),"5: Hobi positif, produktif, mendukung pengembangan diri (olahraga, membaca, seni islami).")</f>
        <v>5: Hobi positif, produktif, mendukung pengembangan diri (olahraga, membaca, seni islami).</v>
      </c>
      <c r="M101" s="8" t="str">
        <f>IFERROR(__xludf.DUMMYFUNCTION("""COMPUTED_VALUE"""),"Nabil Mujtaba")</f>
        <v>Nabil Mujtaba</v>
      </c>
      <c r="N101" s="8" t="str">
        <f>IFERROR(__xludf.DUMMYFUNCTION("""COMPUTED_VALUE"""),"B. Layak diterima dengan catatan pembinaan.")</f>
        <v>B. Layak diterima dengan catatan pembinaan.</v>
      </c>
      <c r="O101" s="8"/>
      <c r="P101" s="131" t="str">
        <f t="shared" ref="P101:V101" si="103">left(F101,1)</f>
        <v>4</v>
      </c>
      <c r="Q101" s="131" t="str">
        <f t="shared" si="103"/>
        <v>4</v>
      </c>
      <c r="R101" s="131" t="str">
        <f t="shared" si="103"/>
        <v>4</v>
      </c>
      <c r="S101" s="131" t="str">
        <f t="shared" si="103"/>
        <v>4</v>
      </c>
      <c r="T101" s="131" t="str">
        <f t="shared" si="103"/>
        <v>5</v>
      </c>
      <c r="U101" s="131" t="str">
        <f t="shared" si="103"/>
        <v>5</v>
      </c>
      <c r="V101" s="131" t="str">
        <f t="shared" si="103"/>
        <v>5</v>
      </c>
      <c r="W101" s="119">
        <f t="shared" si="3"/>
        <v>31</v>
      </c>
      <c r="X101" s="119" t="str">
        <f t="shared" si="4"/>
        <v>Siap</v>
      </c>
      <c r="Y101" s="119" t="str">
        <f t="shared" si="5"/>
        <v>bisa mengikuti pola pesantren dengan baik</v>
      </c>
    </row>
    <row r="102" ht="24.0" customHeight="1">
      <c r="A102" s="104">
        <f>IFERROR(__xludf.DUMMYFUNCTION("""COMPUTED_VALUE"""),45955.59345173612)</f>
        <v>45955.59345</v>
      </c>
      <c r="B102" s="7" t="str">
        <f>IFERROR(__xludf.DUMMYFUNCTION("""COMPUTED_VALUE"""),"alfaruqsyauqi513@gmail.com")</f>
        <v>alfaruqsyauqi513@gmail.com</v>
      </c>
      <c r="C102" s="7" t="str">
        <f>IFERROR(__xludf.DUMMYFUNCTION("""COMPUTED_VALUE"""),"ADITYA AFHAN DHIAULHAQ ILHAM")</f>
        <v>ADITYA AFHAN DHIAULHAQ ILHAM</v>
      </c>
      <c r="D102" s="7" t="str">
        <f>IFERROR(__xludf.DUMMYFUNCTION("""COMPUTED_VALUE"""),"C250021")</f>
        <v>C250021</v>
      </c>
      <c r="E102" s="7" t="str">
        <f>IFERROR(__xludf.DUMMYFUNCTION("""COMPUTED_VALUE"""),"SMA Putra")</f>
        <v>SMA Putra</v>
      </c>
      <c r="F102" s="8" t="str">
        <f>IFERROR(__xludf.DUMMYFUNCTION("""COMPUTED_VALUE"""),"5: Sangat jelas, kuat, dan sesuai visi pesantren (ingin belajar agama, mandiri, dekat dengan Allah).")</f>
        <v>5: Sangat jelas, kuat, dan sesuai visi pesantren (ingin belajar agama, mandiri, dekat dengan Allah).</v>
      </c>
      <c r="G102" s="8" t="str">
        <f>IFERROR(__xludf.DUMMYFUNCTION("""COMPUTED_VALUE"""),"5: Lingkungan sangat mendukung (keluarga islami, shalat berjamaah, kontrol gadget baik).")</f>
        <v>5: Lingkungan sangat mendukung (keluarga islami, shalat berjamaah, kontrol gadget baik).</v>
      </c>
      <c r="H102" s="8" t="str">
        <f>IFERROR(__xludf.DUMMYFUNCTION("""COMPUTED_VALUE"""),"5: Hobi bermanfaat (olahraga, membaca, permainan edukatif).")</f>
        <v>5: Hobi bermanfaat (olahraga, membaca, permainan edukatif).</v>
      </c>
      <c r="I102" s="8" t="str">
        <f>IFERROR(__xludf.DUMMYFUNCTION("""COMPUTED_VALUE"""),"5: Berteman dengan lingkungan positif (masjid, teman shalih/shalihah).")</f>
        <v>5: Berteman dengan lingkungan positif (masjid, teman shalih/shalihah).</v>
      </c>
      <c r="J102" s="8" t="str">
        <f>IFERROR(__xludf.DUMMYFUNCTION("""COMPUTED_VALUE"""),"5: Jelas menolak, punya alasan agama/ilmu.")</f>
        <v>5: Jelas menolak, punya alasan agama/ilmu.</v>
      </c>
      <c r="K102" s="8" t="str">
        <f>IFERROR(__xludf.DUMMYFUNCTION("""COMPUTED_VALUE"""),"4: Menolak, tapi belum terlalu paham alasannya.")</f>
        <v>4: Menolak, tapi belum terlalu paham alasannya.</v>
      </c>
      <c r="L102" s="8" t="str">
        <f>IFERROR(__xludf.DUMMYFUNCTION("""COMPUTED_VALUE"""),"5: Hobi positif, produktif, mendukung pengembangan diri (olahraga, membaca, seni islami).")</f>
        <v>5: Hobi positif, produktif, mendukung pengembangan diri (olahraga, membaca, seni islami).</v>
      </c>
      <c r="M102" s="8" t="str">
        <f>IFERROR(__xludf.DUMMYFUNCTION("""COMPUTED_VALUE"""),"Muhammad syauqi alfaruq")</f>
        <v>Muhammad syauqi alfaruq</v>
      </c>
      <c r="N102" s="8" t="str">
        <f>IFERROR(__xludf.DUMMYFUNCTION("""COMPUTED_VALUE"""),"A. Sangat Layak diterima (potensi besar berkembang di pesantren).")</f>
        <v>A. Sangat Layak diterima (potensi besar berkembang di pesantren).</v>
      </c>
      <c r="O102" s="8"/>
      <c r="P102" s="131" t="str">
        <f t="shared" ref="P102:V102" si="104">left(F102,1)</f>
        <v>5</v>
      </c>
      <c r="Q102" s="131" t="str">
        <f t="shared" si="104"/>
        <v>5</v>
      </c>
      <c r="R102" s="131" t="str">
        <f t="shared" si="104"/>
        <v>5</v>
      </c>
      <c r="S102" s="131" t="str">
        <f t="shared" si="104"/>
        <v>5</v>
      </c>
      <c r="T102" s="131" t="str">
        <f t="shared" si="104"/>
        <v>5</v>
      </c>
      <c r="U102" s="131" t="str">
        <f t="shared" si="104"/>
        <v>4</v>
      </c>
      <c r="V102" s="131" t="str">
        <f t="shared" si="104"/>
        <v>5</v>
      </c>
      <c r="W102" s="119">
        <f t="shared" si="3"/>
        <v>34</v>
      </c>
      <c r="X102" s="119" t="str">
        <f t="shared" si="4"/>
        <v>Siap</v>
      </c>
      <c r="Y102" s="119" t="str">
        <f t="shared" si="5"/>
        <v>bisa mengikuti pola pesantren dengan baik</v>
      </c>
    </row>
    <row r="103" ht="24.0" customHeight="1">
      <c r="A103" s="104">
        <f>IFERROR(__xludf.DUMMYFUNCTION("""COMPUTED_VALUE"""),45955.61229532407)</f>
        <v>45955.6123</v>
      </c>
      <c r="B103" s="7" t="str">
        <f>IFERROR(__xludf.DUMMYFUNCTION("""COMPUTED_VALUE"""),"nabilmujtaba426@gmail.com")</f>
        <v>nabilmujtaba426@gmail.com</v>
      </c>
      <c r="C103" s="7" t="str">
        <f>IFERROR(__xludf.DUMMYFUNCTION("""COMPUTED_VALUE"""),"Putra Perdana")</f>
        <v>Putra Perdana</v>
      </c>
      <c r="D103" s="7" t="str">
        <f>IFERROR(__xludf.DUMMYFUNCTION("""COMPUTED_VALUE"""),"A250003")</f>
        <v>A250003</v>
      </c>
      <c r="E103" s="7" t="str">
        <f>IFERROR(__xludf.DUMMYFUNCTION("""COMPUTED_VALUE"""),"MTs Putra")</f>
        <v>MTs Putra</v>
      </c>
      <c r="F103" s="8" t="str">
        <f>IFERROR(__xludf.DUMMYFUNCTION("""COMPUTED_VALUE"""),"4: Cukup jelas, alasan positif namun masih umum.")</f>
        <v>4: Cukup jelas, alasan positif namun masih umum.</v>
      </c>
      <c r="G103" s="8" t="str">
        <f>IFERROR(__xludf.DUMMYFUNCTION("""COMPUTED_VALUE"""),"4: Lingkungan cukup mendukung, ada perhatian orang tua.")</f>
        <v>4: Lingkungan cukup mendukung, ada perhatian orang tua.</v>
      </c>
      <c r="H103" s="8" t="str">
        <f>IFERROR(__xludf.DUMMYFUNCTION("""COMPUTED_VALUE"""),"4: Game rekreasi wajar, tidak berlebihan.")</f>
        <v>4: Game rekreasi wajar, tidak berlebihan.</v>
      </c>
      <c r="I103" s="8" t="str">
        <f>IFERROR(__xludf.DUMMYFUNCTION("""COMPUTED_VALUE"""),"4: Mayoritas teman baik, ada sedikit yang kurang baik.")</f>
        <v>4: Mayoritas teman baik, ada sedikit yang kurang baik.</v>
      </c>
      <c r="J103" s="8" t="str">
        <f>IFERROR(__xludf.DUMMYFUNCTION("""COMPUTED_VALUE"""),"4: Menolak, tapi alasannya umum.")</f>
        <v>4: Menolak, tapi alasannya umum.</v>
      </c>
      <c r="K103" s="8" t="str">
        <f>IFERROR(__xludf.DUMMYFUNCTION("""COMPUTED_VALUE"""),"4: Menolak, tapi belum terlalu paham alasannya.")</f>
        <v>4: Menolak, tapi belum terlalu paham alasannya.</v>
      </c>
      <c r="L103" s="8" t="str">
        <f>IFERROR(__xludf.DUMMYFUNCTION("""COMPUTED_VALUE"""),"4: Hobi umum yang wajar (menggambar, dll).")</f>
        <v>4: Hobi umum yang wajar (menggambar, dll).</v>
      </c>
      <c r="M103" s="8" t="str">
        <f>IFERROR(__xludf.DUMMYFUNCTION("""COMPUTED_VALUE"""),"Nabil Mujtaba")</f>
        <v>Nabil Mujtaba</v>
      </c>
      <c r="N103" s="8" t="str">
        <f>IFERROR(__xludf.DUMMYFUNCTION("""COMPUTED_VALUE"""),"B. Layak diterima dengan catatan pembinaan.")</f>
        <v>B. Layak diterima dengan catatan pembinaan.</v>
      </c>
      <c r="O103" s="8"/>
      <c r="P103" s="131" t="str">
        <f t="shared" ref="P103:V103" si="105">left(F103,1)</f>
        <v>4</v>
      </c>
      <c r="Q103" s="131" t="str">
        <f t="shared" si="105"/>
        <v>4</v>
      </c>
      <c r="R103" s="131" t="str">
        <f t="shared" si="105"/>
        <v>4</v>
      </c>
      <c r="S103" s="131" t="str">
        <f t="shared" si="105"/>
        <v>4</v>
      </c>
      <c r="T103" s="131" t="str">
        <f t="shared" si="105"/>
        <v>4</v>
      </c>
      <c r="U103" s="131" t="str">
        <f t="shared" si="105"/>
        <v>4</v>
      </c>
      <c r="V103" s="131" t="str">
        <f t="shared" si="105"/>
        <v>4</v>
      </c>
      <c r="W103" s="119">
        <f t="shared" si="3"/>
        <v>28</v>
      </c>
      <c r="X103" s="119" t="str">
        <f t="shared" si="4"/>
        <v>Cukup Siap</v>
      </c>
      <c r="Y103" s="119" t="str">
        <f t="shared" si="5"/>
        <v>perlu pendampingan awal</v>
      </c>
    </row>
    <row r="104" ht="24.0" customHeight="1">
      <c r="A104" s="104">
        <f>IFERROR(__xludf.DUMMYFUNCTION("""COMPUTED_VALUE"""),45955.84841144676)</f>
        <v>45955.84841</v>
      </c>
      <c r="B104" s="7" t="str">
        <f>IFERROR(__xludf.DUMMYFUNCTION("""COMPUTED_VALUE"""),"zaldoyrizaldi@gmail.com")</f>
        <v>zaldoyrizaldi@gmail.com</v>
      </c>
      <c r="C104" s="7" t="str">
        <f>IFERROR(__xludf.DUMMYFUNCTION("""COMPUTED_VALUE"""),"hamzah aqil")</f>
        <v>hamzah aqil</v>
      </c>
      <c r="D104" s="7" t="str">
        <f>IFERROR(__xludf.DUMMYFUNCTION("""COMPUTED_VALUE"""),"A250057")</f>
        <v>A250057</v>
      </c>
      <c r="E104" s="7" t="str">
        <f>IFERROR(__xludf.DUMMYFUNCTION("""COMPUTED_VALUE"""),"MTs Putra")</f>
        <v>MTs Putra</v>
      </c>
      <c r="F104" s="8" t="str">
        <f>IFERROR(__xludf.DUMMYFUNCTION("""COMPUTED_VALUE"""),"5: Sangat jelas, kuat, dan sesuai visi pesantren (ingin belajar agama, mandiri, dekat dengan Allah).")</f>
        <v>5: Sangat jelas, kuat, dan sesuai visi pesantren (ingin belajar agama, mandiri, dekat dengan Allah).</v>
      </c>
      <c r="G104" s="8" t="str">
        <f>IFERROR(__xludf.DUMMYFUNCTION("""COMPUTED_VALUE"""),"5: Lingkungan sangat mendukung (keluarga islami, shalat berjamaah, kontrol gadget baik).")</f>
        <v>5: Lingkungan sangat mendukung (keluarga islami, shalat berjamaah, kontrol gadget baik).</v>
      </c>
      <c r="H104" s="8" t="str">
        <f>IFERROR(__xludf.DUMMYFUNCTION("""COMPUTED_VALUE"""),"3: Game online, tapi masih bisa dikontrol.")</f>
        <v>3: Game online, tapi masih bisa dikontrol.</v>
      </c>
      <c r="I104" s="8" t="str">
        <f>IFERROR(__xludf.DUMMYFUNCTION("""COMPUTED_VALUE"""),"3: Teman biasa saja, netral.")</f>
        <v>3: Teman biasa saja, netral.</v>
      </c>
      <c r="J104" s="8" t="str">
        <f>IFERROR(__xludf.DUMMYFUNCTION("""COMPUTED_VALUE"""),"5: Jelas menolak, punya alasan agama/ilmu.")</f>
        <v>5: Jelas menolak, punya alasan agama/ilmu.</v>
      </c>
      <c r="K104" s="8" t="str">
        <f>IFERROR(__xludf.DUMMYFUNCTION("""COMPUTED_VALUE"""),"3: Pernah melihat, tapi merasa salah dan ingin menjauhi.")</f>
        <v>3: Pernah melihat, tapi merasa salah dan ingin menjauhi.</v>
      </c>
      <c r="L104" s="8" t="str">
        <f>IFERROR(__xludf.DUMMYFUNCTION("""COMPUTED_VALUE"""),"5: Hobi positif, produktif, mendukung pengembangan diri (olahraga, membaca, seni islami).")</f>
        <v>5: Hobi positif, produktif, mendukung pengembangan diri (olahraga, membaca, seni islami).</v>
      </c>
      <c r="M104" s="8" t="str">
        <f>IFERROR(__xludf.DUMMYFUNCTION("""COMPUTED_VALUE"""),"rizaldi")</f>
        <v>rizaldi</v>
      </c>
      <c r="N104" s="8" t="str">
        <f>IFERROR(__xludf.DUMMYFUNCTION("""COMPUTED_VALUE"""),"A. Sangat Layak diterima (potensi besar berkembang di pesantren).")</f>
        <v>A. Sangat Layak diterima (potensi besar berkembang di pesantren).</v>
      </c>
      <c r="O104" s="8" t="str">
        <f>IFERROR(__xludf.DUMMYFUNCTION("""COMPUTED_VALUE"""),"punya tujuan ingin belajar dg sungguh sungguh insyaallah khoir")</f>
        <v>punya tujuan ingin belajar dg sungguh sungguh insyaallah khoir</v>
      </c>
      <c r="P104" s="131" t="str">
        <f t="shared" ref="P104:V104" si="106">left(F104,1)</f>
        <v>5</v>
      </c>
      <c r="Q104" s="131" t="str">
        <f t="shared" si="106"/>
        <v>5</v>
      </c>
      <c r="R104" s="131" t="str">
        <f t="shared" si="106"/>
        <v>3</v>
      </c>
      <c r="S104" s="131" t="str">
        <f t="shared" si="106"/>
        <v>3</v>
      </c>
      <c r="T104" s="131" t="str">
        <f t="shared" si="106"/>
        <v>5</v>
      </c>
      <c r="U104" s="131" t="str">
        <f t="shared" si="106"/>
        <v>3</v>
      </c>
      <c r="V104" s="131" t="str">
        <f t="shared" si="106"/>
        <v>5</v>
      </c>
      <c r="W104" s="119">
        <f t="shared" si="3"/>
        <v>29</v>
      </c>
      <c r="X104" s="119" t="str">
        <f t="shared" si="4"/>
        <v>Siap</v>
      </c>
      <c r="Y104" s="119" t="str">
        <f t="shared" si="5"/>
        <v>bisa mengikuti pola pesantren dengan baik</v>
      </c>
    </row>
    <row r="105" ht="24.0" customHeight="1">
      <c r="A105" s="104">
        <f>IFERROR(__xludf.DUMMYFUNCTION("""COMPUTED_VALUE"""),45956.344379965274)</f>
        <v>45956.34438</v>
      </c>
      <c r="B105" s="7" t="str">
        <f>IFERROR(__xludf.DUMMYFUNCTION("""COMPUTED_VALUE"""),"nabilmujtaba426@gmail.com")</f>
        <v>nabilmujtaba426@gmail.com</v>
      </c>
      <c r="C105" s="7" t="str">
        <f>IFERROR(__xludf.DUMMYFUNCTION("""COMPUTED_VALUE"""),"Fatih kenzie dzulian anado")</f>
        <v>Fatih kenzie dzulian anado</v>
      </c>
      <c r="D105" s="7" t="str">
        <f>IFERROR(__xludf.DUMMYFUNCTION("""COMPUTED_VALUE"""),"A250019")</f>
        <v>A250019</v>
      </c>
      <c r="E105" s="7" t="str">
        <f>IFERROR(__xludf.DUMMYFUNCTION("""COMPUTED_VALUE"""),"MTs Putra")</f>
        <v>MTs Putra</v>
      </c>
      <c r="F105" s="8" t="str">
        <f>IFERROR(__xludf.DUMMYFUNCTION("""COMPUTED_VALUE"""),"4: Cukup jelas, alasan positif namun masih umum.")</f>
        <v>4: Cukup jelas, alasan positif namun masih umum.</v>
      </c>
      <c r="G105" s="8" t="str">
        <f>IFERROR(__xludf.DUMMYFUNCTION("""COMPUTED_VALUE"""),"4: Lingkungan cukup mendukung, ada perhatian orang tua.")</f>
        <v>4: Lingkungan cukup mendukung, ada perhatian orang tua.</v>
      </c>
      <c r="H105" s="8" t="str">
        <f>IFERROR(__xludf.DUMMYFUNCTION("""COMPUTED_VALUE"""),"3: Game online, tapi masih bisa dikontrol.")</f>
        <v>3: Game online, tapi masih bisa dikontrol.</v>
      </c>
      <c r="I105" s="8" t="str">
        <f>IFERROR(__xludf.DUMMYFUNCTION("""COMPUTED_VALUE"""),"4: Mayoritas teman baik, ada sedikit yang kurang baik.")</f>
        <v>4: Mayoritas teman baik, ada sedikit yang kurang baik.</v>
      </c>
      <c r="J105" s="8" t="str">
        <f>IFERROR(__xludf.DUMMYFUNCTION("""COMPUTED_VALUE"""),"4: Menolak, tapi alasannya umum.")</f>
        <v>4: Menolak, tapi alasannya umum.</v>
      </c>
      <c r="K105" s="8" t="str">
        <f>IFERROR(__xludf.DUMMYFUNCTION("""COMPUTED_VALUE"""),"4: Menolak, tapi belum terlalu paham alasannya.")</f>
        <v>4: Menolak, tapi belum terlalu paham alasannya.</v>
      </c>
      <c r="L105" s="8" t="str">
        <f>IFERROR(__xludf.DUMMYFUNCTION("""COMPUTED_VALUE"""),"4: Hobi umum yang wajar (menggambar, dll).")</f>
        <v>4: Hobi umum yang wajar (menggambar, dll).</v>
      </c>
      <c r="M105" s="8" t="str">
        <f>IFERROR(__xludf.DUMMYFUNCTION("""COMPUTED_VALUE"""),"Nabil Mujtaba")</f>
        <v>Nabil Mujtaba</v>
      </c>
      <c r="N105" s="8" t="str">
        <f>IFERROR(__xludf.DUMMYFUNCTION("""COMPUTED_VALUE"""),"B. Layak diterima dengan catatan pembinaan.")</f>
        <v>B. Layak diterima dengan catatan pembinaan.</v>
      </c>
      <c r="O105" s="8"/>
      <c r="P105" s="131" t="str">
        <f t="shared" ref="P105:V105" si="107">left(F105,1)</f>
        <v>4</v>
      </c>
      <c r="Q105" s="131" t="str">
        <f t="shared" si="107"/>
        <v>4</v>
      </c>
      <c r="R105" s="131" t="str">
        <f t="shared" si="107"/>
        <v>3</v>
      </c>
      <c r="S105" s="131" t="str">
        <f t="shared" si="107"/>
        <v>4</v>
      </c>
      <c r="T105" s="131" t="str">
        <f t="shared" si="107"/>
        <v>4</v>
      </c>
      <c r="U105" s="131" t="str">
        <f t="shared" si="107"/>
        <v>4</v>
      </c>
      <c r="V105" s="131" t="str">
        <f t="shared" si="107"/>
        <v>4</v>
      </c>
      <c r="W105" s="119">
        <f t="shared" si="3"/>
        <v>27</v>
      </c>
      <c r="X105" s="119" t="str">
        <f t="shared" si="4"/>
        <v>Cukup Siap</v>
      </c>
      <c r="Y105" s="119" t="str">
        <f t="shared" si="5"/>
        <v>perlu pendampingan awal</v>
      </c>
    </row>
    <row r="106" ht="24.0" customHeight="1">
      <c r="A106" s="104">
        <f>IFERROR(__xludf.DUMMYFUNCTION("""COMPUTED_VALUE"""),45956.38690092592)</f>
        <v>45956.3869</v>
      </c>
      <c r="B106" s="7" t="str">
        <f>IFERROR(__xludf.DUMMYFUNCTION("""COMPUTED_VALUE"""),"nabilmujtaba426@gmail.com")</f>
        <v>nabilmujtaba426@gmail.com</v>
      </c>
      <c r="C106" s="7" t="str">
        <f>IFERROR(__xludf.DUMMYFUNCTION("""COMPUTED_VALUE"""),"Kamil Iskandar")</f>
        <v>Kamil Iskandar</v>
      </c>
      <c r="D106" s="7" t="str">
        <f>IFERROR(__xludf.DUMMYFUNCTION("""COMPUTED_VALUE"""),"C250018")</f>
        <v>C250018</v>
      </c>
      <c r="E106" s="7" t="str">
        <f>IFERROR(__xludf.DUMMYFUNCTION("""COMPUTED_VALUE"""),"SMA Putra")</f>
        <v>SMA Putra</v>
      </c>
      <c r="F106" s="8" t="str">
        <f>IFERROR(__xludf.DUMMYFUNCTION("""COMPUTED_VALUE"""),"5: Sangat jelas, kuat, dan sesuai visi pesantren (ingin belajar agama, mandiri, dekat dengan Allah).")</f>
        <v>5: Sangat jelas, kuat, dan sesuai visi pesantren (ingin belajar agama, mandiri, dekat dengan Allah).</v>
      </c>
      <c r="G106" s="8" t="str">
        <f>IFERROR(__xludf.DUMMYFUNCTION("""COMPUTED_VALUE"""),"5: Lingkungan sangat mendukung (keluarga islami, shalat berjamaah, kontrol gadget baik).")</f>
        <v>5: Lingkungan sangat mendukung (keluarga islami, shalat berjamaah, kontrol gadget baik).</v>
      </c>
      <c r="H106" s="8" t="str">
        <f>IFERROR(__xludf.DUMMYFUNCTION("""COMPUTED_VALUE"""),"5: Hobi bermanfaat (olahraga, membaca, permainan edukatif).")</f>
        <v>5: Hobi bermanfaat (olahraga, membaca, permainan edukatif).</v>
      </c>
      <c r="I106" s="8" t="str">
        <f>IFERROR(__xludf.DUMMYFUNCTION("""COMPUTED_VALUE"""),"5: Berteman dengan lingkungan positif (masjid, teman shalih/shalihah).")</f>
        <v>5: Berteman dengan lingkungan positif (masjid, teman shalih/shalihah).</v>
      </c>
      <c r="J106" s="8" t="str">
        <f>IFERROR(__xludf.DUMMYFUNCTION("""COMPUTED_VALUE"""),"5: Jelas menolak, punya alasan agama/ilmu.")</f>
        <v>5: Jelas menolak, punya alasan agama/ilmu.</v>
      </c>
      <c r="K106" s="8" t="str">
        <f>IFERROR(__xludf.DUMMYFUNCTION("""COMPUTED_VALUE"""),"5: Menolak dengan tegas, paham bahaya dan dosa.")</f>
        <v>5: Menolak dengan tegas, paham bahaya dan dosa.</v>
      </c>
      <c r="L106" s="8" t="str">
        <f>IFERROR(__xludf.DUMMYFUNCTION("""COMPUTED_VALUE"""),"5: Hobi positif, produktif, mendukung pengembangan diri (olahraga, membaca, seni islami).")</f>
        <v>5: Hobi positif, produktif, mendukung pengembangan diri (olahraga, membaca, seni islami).</v>
      </c>
      <c r="M106" s="8" t="str">
        <f>IFERROR(__xludf.DUMMYFUNCTION("""COMPUTED_VALUE"""),"Nabil Mujtaba")</f>
        <v>Nabil Mujtaba</v>
      </c>
      <c r="N106" s="8" t="str">
        <f>IFERROR(__xludf.DUMMYFUNCTION("""COMPUTED_VALUE"""),"A. Sangat Layak diterima (potensi besar berkembang di pesantren).")</f>
        <v>A. Sangat Layak diterima (potensi besar berkembang di pesantren).</v>
      </c>
      <c r="O106" s="8"/>
      <c r="P106" s="131" t="str">
        <f t="shared" ref="P106:V106" si="108">left(F106,1)</f>
        <v>5</v>
      </c>
      <c r="Q106" s="131" t="str">
        <f t="shared" si="108"/>
        <v>5</v>
      </c>
      <c r="R106" s="131" t="str">
        <f t="shared" si="108"/>
        <v>5</v>
      </c>
      <c r="S106" s="131" t="str">
        <f t="shared" si="108"/>
        <v>5</v>
      </c>
      <c r="T106" s="131" t="str">
        <f t="shared" si="108"/>
        <v>5</v>
      </c>
      <c r="U106" s="131" t="str">
        <f t="shared" si="108"/>
        <v>5</v>
      </c>
      <c r="V106" s="131" t="str">
        <f t="shared" si="108"/>
        <v>5</v>
      </c>
      <c r="W106" s="119">
        <f t="shared" si="3"/>
        <v>35</v>
      </c>
      <c r="X106" s="119" t="str">
        <f t="shared" si="4"/>
        <v>Siap</v>
      </c>
      <c r="Y106" s="119" t="str">
        <f t="shared" si="5"/>
        <v>bisa mengikuti pola pesantren dengan baik</v>
      </c>
    </row>
    <row r="107" ht="24.0" customHeight="1">
      <c r="A107" s="104">
        <f>IFERROR(__xludf.DUMMYFUNCTION("""COMPUTED_VALUE"""),45958.579592118054)</f>
        <v>45958.57959</v>
      </c>
      <c r="B107" s="7" t="str">
        <f>IFERROR(__xludf.DUMMYFUNCTION("""COMPUTED_VALUE"""),"halimahnurjalalhfnjl@gmail.com")</f>
        <v>halimahnurjalalhfnjl@gmail.com</v>
      </c>
      <c r="C107" s="7" t="str">
        <f>IFERROR(__xludf.DUMMYFUNCTION("""COMPUTED_VALUE"""),"Aisha Alifa noor attarini ")</f>
        <v>Aisha Alifa noor attarini </v>
      </c>
      <c r="D107" s="7" t="str">
        <f>IFERROR(__xludf.DUMMYFUNCTION("""COMPUTED_VALUE"""),"D250023")</f>
        <v>D250023</v>
      </c>
      <c r="E107" s="7" t="str">
        <f>IFERROR(__xludf.DUMMYFUNCTION("""COMPUTED_VALUE"""),"MTs Putri")</f>
        <v>MTs Putri</v>
      </c>
      <c r="F107" s="8" t="str">
        <f>IFERROR(__xludf.DUMMYFUNCTION("""COMPUTED_VALUE"""),"4: Cukup jelas, alasan positif namun masih umum.")</f>
        <v>4: Cukup jelas, alasan positif namun masih umum.</v>
      </c>
      <c r="G107" s="8" t="str">
        <f>IFERROR(__xludf.DUMMYFUNCTION("""COMPUTED_VALUE"""),"4: Lingkungan cukup mendukung, ada perhatian orang tua.")</f>
        <v>4: Lingkungan cukup mendukung, ada perhatian orang tua.</v>
      </c>
      <c r="H107" s="8" t="str">
        <f>IFERROR(__xludf.DUMMYFUNCTION("""COMPUTED_VALUE"""),"4: Game rekreasi wajar, tidak berlebihan.")</f>
        <v>4: Game rekreasi wajar, tidak berlebihan.</v>
      </c>
      <c r="I107" s="8" t="str">
        <f>IFERROR(__xludf.DUMMYFUNCTION("""COMPUTED_VALUE"""),"5: Berteman dengan lingkungan positif (masjid, teman shalih/shalihah).")</f>
        <v>5: Berteman dengan lingkungan positif (masjid, teman shalih/shalihah).</v>
      </c>
      <c r="J107" s="8" t="str">
        <f>IFERROR(__xludf.DUMMYFUNCTION("""COMPUTED_VALUE"""),"4: Menolak, tapi alasannya umum.")</f>
        <v>4: Menolak, tapi alasannya umum.</v>
      </c>
      <c r="K107" s="8" t="str">
        <f>IFERROR(__xludf.DUMMYFUNCTION("""COMPUTED_VALUE"""),"5: Menolak dengan tegas, paham bahaya dan dosa.")</f>
        <v>5: Menolak dengan tegas, paham bahaya dan dosa.</v>
      </c>
      <c r="L107" s="8" t="str">
        <f>IFERROR(__xludf.DUMMYFUNCTION("""COMPUTED_VALUE"""),"4: Hobi umum yang wajar (menggambar, dll).")</f>
        <v>4: Hobi umum yang wajar (menggambar, dll).</v>
      </c>
      <c r="M107" s="8" t="str">
        <f>IFERROR(__xludf.DUMMYFUNCTION("""COMPUTED_VALUE"""),"Halimah Fauziah ")</f>
        <v>Halimah Fauziah </v>
      </c>
      <c r="N107" s="8" t="str">
        <f>IFERROR(__xludf.DUMMYFUNCTION("""COMPUTED_VALUE"""),"A. Sangat Layak diterima (potensi besar berkembang di pesantren).")</f>
        <v>A. Sangat Layak diterima (potensi besar berkembang di pesantren).</v>
      </c>
      <c r="O107" s="8" t="str">
        <f>IFERROR(__xludf.DUMMYFUNCTION("""COMPUTED_VALUE"""),"Harapan ananda Aisha diterima karena ingin mondok bersama Kaka sepupunya di kls 7C")</f>
        <v>Harapan ananda Aisha diterima karena ingin mondok bersama Kaka sepupunya di kls 7C</v>
      </c>
      <c r="P107" s="131" t="str">
        <f t="shared" ref="P107:V107" si="109">left(F107,1)</f>
        <v>4</v>
      </c>
      <c r="Q107" s="131" t="str">
        <f t="shared" si="109"/>
        <v>4</v>
      </c>
      <c r="R107" s="131" t="str">
        <f t="shared" si="109"/>
        <v>4</v>
      </c>
      <c r="S107" s="131" t="str">
        <f t="shared" si="109"/>
        <v>5</v>
      </c>
      <c r="T107" s="131" t="str">
        <f t="shared" si="109"/>
        <v>4</v>
      </c>
      <c r="U107" s="131" t="str">
        <f t="shared" si="109"/>
        <v>5</v>
      </c>
      <c r="V107" s="131" t="str">
        <f t="shared" si="109"/>
        <v>4</v>
      </c>
      <c r="W107" s="119">
        <f t="shared" si="3"/>
        <v>30</v>
      </c>
      <c r="X107" s="119" t="str">
        <f t="shared" si="4"/>
        <v>Siap</v>
      </c>
      <c r="Y107" s="119" t="str">
        <f t="shared" si="5"/>
        <v>bisa mengikuti pola pesantren dengan baik</v>
      </c>
    </row>
    <row r="108" ht="24.0" customHeight="1">
      <c r="A108" s="104">
        <f>IFERROR(__xludf.DUMMYFUNCTION("""COMPUTED_VALUE"""),45958.78074248842)</f>
        <v>45958.78074</v>
      </c>
      <c r="B108" s="7" t="str">
        <f>IFERROR(__xludf.DUMMYFUNCTION("""COMPUTED_VALUE"""),"alfaruqsyauqi513@gmail.com")</f>
        <v>alfaruqsyauqi513@gmail.com</v>
      </c>
      <c r="C108" s="7" t="str">
        <f>IFERROR(__xludf.DUMMYFUNCTION("""COMPUTED_VALUE"""),"Eshan Kazim")</f>
        <v>Eshan Kazim</v>
      </c>
      <c r="D108" s="7" t="str">
        <f>IFERROR(__xludf.DUMMYFUNCTION("""COMPUTED_VALUE"""),"A250074")</f>
        <v>A250074</v>
      </c>
      <c r="E108" s="7" t="str">
        <f>IFERROR(__xludf.DUMMYFUNCTION("""COMPUTED_VALUE"""),"MTs Putra")</f>
        <v>MTs Putra</v>
      </c>
      <c r="F108" s="8" t="str">
        <f>IFERROR(__xludf.DUMMYFUNCTION("""COMPUTED_VALUE"""),"4: Cukup jelas, alasan positif namun masih umum.")</f>
        <v>4: Cukup jelas, alasan positif namun masih umum.</v>
      </c>
      <c r="G108" s="8" t="str">
        <f>IFERROR(__xludf.DUMMYFUNCTION("""COMPUTED_VALUE"""),"5: Lingkungan sangat mendukung (keluarga islami, shalat berjamaah, kontrol gadget baik).")</f>
        <v>5: Lingkungan sangat mendukung (keluarga islami, shalat berjamaah, kontrol gadget baik).</v>
      </c>
      <c r="H108" s="8" t="str">
        <f>IFERROR(__xludf.DUMMYFUNCTION("""COMPUTED_VALUE"""),"4: Game rekreasi wajar, tidak berlebihan.")</f>
        <v>4: Game rekreasi wajar, tidak berlebihan.</v>
      </c>
      <c r="I108" s="8" t="str">
        <f>IFERROR(__xludf.DUMMYFUNCTION("""COMPUTED_VALUE"""),"5: Berteman dengan lingkungan positif (masjid, teman shalih/shalihah).")</f>
        <v>5: Berteman dengan lingkungan positif (masjid, teman shalih/shalihah).</v>
      </c>
      <c r="J108" s="8" t="str">
        <f>IFERROR(__xludf.DUMMYFUNCTION("""COMPUTED_VALUE"""),"5: Jelas menolak, punya alasan agama/ilmu.")</f>
        <v>5: Jelas menolak, punya alasan agama/ilmu.</v>
      </c>
      <c r="K108" s="8" t="str">
        <f>IFERROR(__xludf.DUMMYFUNCTION("""COMPUTED_VALUE"""),"5: Menolak dengan tegas, paham bahaya dan dosa.")</f>
        <v>5: Menolak dengan tegas, paham bahaya dan dosa.</v>
      </c>
      <c r="L108" s="8" t="str">
        <f>IFERROR(__xludf.DUMMYFUNCTION("""COMPUTED_VALUE"""),"5: Hobi positif, produktif, mendukung pengembangan diri (olahraga, membaca, seni islami).")</f>
        <v>5: Hobi positif, produktif, mendukung pengembangan diri (olahraga, membaca, seni islami).</v>
      </c>
      <c r="M108" s="8" t="str">
        <f>IFERROR(__xludf.DUMMYFUNCTION("""COMPUTED_VALUE"""),"Muhammad syauqi alfaruq")</f>
        <v>Muhammad syauqi alfaruq</v>
      </c>
      <c r="N108" s="8" t="str">
        <f>IFERROR(__xludf.DUMMYFUNCTION("""COMPUTED_VALUE"""),"B. Layak diterima dengan catatan pembinaan.")</f>
        <v>B. Layak diterima dengan catatan pembinaan.</v>
      </c>
      <c r="O108" s="8"/>
      <c r="P108" s="131" t="str">
        <f t="shared" ref="P108:V108" si="110">left(F108,1)</f>
        <v>4</v>
      </c>
      <c r="Q108" s="131" t="str">
        <f t="shared" si="110"/>
        <v>5</v>
      </c>
      <c r="R108" s="131" t="str">
        <f t="shared" si="110"/>
        <v>4</v>
      </c>
      <c r="S108" s="131" t="str">
        <f t="shared" si="110"/>
        <v>5</v>
      </c>
      <c r="T108" s="131" t="str">
        <f t="shared" si="110"/>
        <v>5</v>
      </c>
      <c r="U108" s="131" t="str">
        <f t="shared" si="110"/>
        <v>5</v>
      </c>
      <c r="V108" s="131" t="str">
        <f t="shared" si="110"/>
        <v>5</v>
      </c>
      <c r="W108" s="119">
        <f t="shared" si="3"/>
        <v>33</v>
      </c>
      <c r="X108" s="119" t="str">
        <f t="shared" si="4"/>
        <v>Siap</v>
      </c>
      <c r="Y108" s="119" t="str">
        <f t="shared" si="5"/>
        <v>bisa mengikuti pola pesantren dengan baik</v>
      </c>
    </row>
    <row r="109" ht="24.0" customHeight="1">
      <c r="A109" s="104">
        <f>IFERROR(__xludf.DUMMYFUNCTION("""COMPUTED_VALUE"""),45958.792344745365)</f>
        <v>45958.79234</v>
      </c>
      <c r="B109" s="7" t="str">
        <f>IFERROR(__xludf.DUMMYFUNCTION("""COMPUTED_VALUE"""),"rimamaryani5606@gmail.com")</f>
        <v>rimamaryani5606@gmail.com</v>
      </c>
      <c r="C109" s="7" t="str">
        <f>IFERROR(__xludf.DUMMYFUNCTION("""COMPUTED_VALUE"""),"SYAHIRA ZAHRATUL ISLAM")</f>
        <v>SYAHIRA ZAHRATUL ISLAM</v>
      </c>
      <c r="D109" s="7" t="str">
        <f>IFERROR(__xludf.DUMMYFUNCTION("""COMPUTED_VALUE"""),"D250018")</f>
        <v>D250018</v>
      </c>
      <c r="E109" s="7" t="str">
        <f>IFERROR(__xludf.DUMMYFUNCTION("""COMPUTED_VALUE"""),"MTs Putri")</f>
        <v>MTs Putri</v>
      </c>
      <c r="F109" s="8" t="str">
        <f>IFERROR(__xludf.DUMMYFUNCTION("""COMPUTED_VALUE"""),"5: Sangat jelas, kuat, dan sesuai visi pesantren (ingin belajar agama, mandiri, dekat dengan Allah).")</f>
        <v>5: Sangat jelas, kuat, dan sesuai visi pesantren (ingin belajar agama, mandiri, dekat dengan Allah).</v>
      </c>
      <c r="G109" s="8" t="str">
        <f>IFERROR(__xludf.DUMMYFUNCTION("""COMPUTED_VALUE"""),"5: Lingkungan sangat mendukung (keluarga islami, shalat berjamaah, kontrol gadget baik).")</f>
        <v>5: Lingkungan sangat mendukung (keluarga islami, shalat berjamaah, kontrol gadget baik).</v>
      </c>
      <c r="H109" s="8" t="str">
        <f>IFERROR(__xludf.DUMMYFUNCTION("""COMPUTED_VALUE"""),"3: Game online, tapi masih bisa dikontrol.")</f>
        <v>3: Game online, tapi masih bisa dikontrol.</v>
      </c>
      <c r="I109" s="8" t="str">
        <f>IFERROR(__xludf.DUMMYFUNCTION("""COMPUTED_VALUE"""),"5: Berteman dengan lingkungan positif (masjid, teman shalih/shalihah).")</f>
        <v>5: Berteman dengan lingkungan positif (masjid, teman shalih/shalihah).</v>
      </c>
      <c r="J109" s="8" t="str">
        <f>IFERROR(__xludf.DUMMYFUNCTION("""COMPUTED_VALUE"""),"4: Menolak, tapi alasannya umum.")</f>
        <v>4: Menolak, tapi alasannya umum.</v>
      </c>
      <c r="K109" s="8" t="str">
        <f>IFERROR(__xludf.DUMMYFUNCTION("""COMPUTED_VALUE"""),"5: Menolak dengan tegas, paham bahaya dan dosa.")</f>
        <v>5: Menolak dengan tegas, paham bahaya dan dosa.</v>
      </c>
      <c r="L109" s="8" t="str">
        <f>IFERROR(__xludf.DUMMYFUNCTION("""COMPUTED_VALUE"""),"5: Hobi positif, produktif, mendukung pengembangan diri (olahraga, membaca, seni islami).")</f>
        <v>5: Hobi positif, produktif, mendukung pengembangan diri (olahraga, membaca, seni islami).</v>
      </c>
      <c r="M109" s="8" t="str">
        <f>IFERROR(__xludf.DUMMYFUNCTION("""COMPUTED_VALUE"""),"Rima Maryani Putri Utami, S.Pd.I")</f>
        <v>Rima Maryani Putri Utami, S.Pd.I</v>
      </c>
      <c r="N109" s="8" t="str">
        <f>IFERROR(__xludf.DUMMYFUNCTION("""COMPUTED_VALUE"""),"A. Sangat Layak diterima (potensi besar berkembang di pesantren).")</f>
        <v>A. Sangat Layak diterima (potensi besar berkembang di pesantren).</v>
      </c>
      <c r="O109" s="8" t="str">
        <f>IFERROR(__xludf.DUMMYFUNCTION("""COMPUTED_VALUE"""),"Alhamdulillah, ananda sangat komunikatif dan baik selama wawancara.  ")</f>
        <v>Alhamdulillah, ananda sangat komunikatif dan baik selama wawancara.  </v>
      </c>
      <c r="P109" s="131" t="str">
        <f t="shared" ref="P109:V109" si="111">left(F109,1)</f>
        <v>5</v>
      </c>
      <c r="Q109" s="131" t="str">
        <f t="shared" si="111"/>
        <v>5</v>
      </c>
      <c r="R109" s="131" t="str">
        <f t="shared" si="111"/>
        <v>3</v>
      </c>
      <c r="S109" s="131" t="str">
        <f t="shared" si="111"/>
        <v>5</v>
      </c>
      <c r="T109" s="131" t="str">
        <f t="shared" si="111"/>
        <v>4</v>
      </c>
      <c r="U109" s="131" t="str">
        <f t="shared" si="111"/>
        <v>5</v>
      </c>
      <c r="V109" s="131" t="str">
        <f t="shared" si="111"/>
        <v>5</v>
      </c>
      <c r="W109" s="119">
        <f t="shared" si="3"/>
        <v>32</v>
      </c>
      <c r="X109" s="119" t="str">
        <f t="shared" si="4"/>
        <v>Siap</v>
      </c>
      <c r="Y109" s="119" t="str">
        <f t="shared" si="5"/>
        <v>bisa mengikuti pola pesantren dengan baik</v>
      </c>
    </row>
    <row r="110" ht="24.0" customHeight="1">
      <c r="A110" s="104">
        <f>IFERROR(__xludf.DUMMYFUNCTION("""COMPUTED_VALUE"""),45959.70056671296)</f>
        <v>45959.70057</v>
      </c>
      <c r="B110" s="7" t="str">
        <f>IFERROR(__xludf.DUMMYFUNCTION("""COMPUTED_VALUE"""),"rimamaryani5606@gmail.com")</f>
        <v>rimamaryani5606@gmail.com</v>
      </c>
      <c r="C110" s="7" t="str">
        <f>IFERROR(__xludf.DUMMYFUNCTION("""COMPUTED_VALUE""")," Clarisa Aqilla Putri")</f>
        <v> Clarisa Aqilla Putri</v>
      </c>
      <c r="D110" s="7" t="str">
        <f>IFERROR(__xludf.DUMMYFUNCTION("""COMPUTED_VALUE"""),"D250030")</f>
        <v>D250030</v>
      </c>
      <c r="E110" s="7" t="str">
        <f>IFERROR(__xludf.DUMMYFUNCTION("""COMPUTED_VALUE"""),"MTs Putri")</f>
        <v>MTs Putri</v>
      </c>
      <c r="F110" s="8" t="str">
        <f>IFERROR(__xludf.DUMMYFUNCTION("""COMPUTED_VALUE"""),"4: Cukup jelas, alasan positif namun masih umum.")</f>
        <v>4: Cukup jelas, alasan positif namun masih umum.</v>
      </c>
      <c r="G110" s="8" t="str">
        <f>IFERROR(__xludf.DUMMYFUNCTION("""COMPUTED_VALUE"""),"4: Lingkungan cukup mendukung, ada perhatian orang tua.")</f>
        <v>4: Lingkungan cukup mendukung, ada perhatian orang tua.</v>
      </c>
      <c r="H110" s="8" t="str">
        <f>IFERROR(__xludf.DUMMYFUNCTION("""COMPUTED_VALUE"""),"4: Game rekreasi wajar, tidak berlebihan.")</f>
        <v>4: Game rekreasi wajar, tidak berlebihan.</v>
      </c>
      <c r="I110" s="8" t="str">
        <f>IFERROR(__xludf.DUMMYFUNCTION("""COMPUTED_VALUE"""),"5: Berteman dengan lingkungan positif (masjid, teman shalih/shalihah).")</f>
        <v>5: Berteman dengan lingkungan positif (masjid, teman shalih/shalihah).</v>
      </c>
      <c r="J110" s="8" t="str">
        <f>IFERROR(__xludf.DUMMYFUNCTION("""COMPUTED_VALUE"""),"4: Menolak, tapi alasannya umum.")</f>
        <v>4: Menolak, tapi alasannya umum.</v>
      </c>
      <c r="K110" s="8" t="str">
        <f>IFERROR(__xludf.DUMMYFUNCTION("""COMPUTED_VALUE"""),"5: Menolak dengan tegas, paham bahaya dan dosa.")</f>
        <v>5: Menolak dengan tegas, paham bahaya dan dosa.</v>
      </c>
      <c r="L110" s="8" t="str">
        <f>IFERROR(__xludf.DUMMYFUNCTION("""COMPUTED_VALUE"""),"4: Hobi umum yang wajar (menggambar, dll).")</f>
        <v>4: Hobi umum yang wajar (menggambar, dll).</v>
      </c>
      <c r="M110" s="8" t="str">
        <f>IFERROR(__xludf.DUMMYFUNCTION("""COMPUTED_VALUE"""),"Rima Maryani Putri Utami, S.Pd.I")</f>
        <v>Rima Maryani Putri Utami, S.Pd.I</v>
      </c>
      <c r="N110" s="8" t="str">
        <f>IFERROR(__xludf.DUMMYFUNCTION("""COMPUTED_VALUE"""),"B. Layak diterima dengan catatan pembinaan.")</f>
        <v>B. Layak diterima dengan catatan pembinaan.</v>
      </c>
      <c r="O110" s="8"/>
      <c r="P110" s="131" t="str">
        <f t="shared" ref="P110:V110" si="112">left(F110,1)</f>
        <v>4</v>
      </c>
      <c r="Q110" s="131" t="str">
        <f t="shared" si="112"/>
        <v>4</v>
      </c>
      <c r="R110" s="131" t="str">
        <f t="shared" si="112"/>
        <v>4</v>
      </c>
      <c r="S110" s="131" t="str">
        <f t="shared" si="112"/>
        <v>5</v>
      </c>
      <c r="T110" s="131" t="str">
        <f t="shared" si="112"/>
        <v>4</v>
      </c>
      <c r="U110" s="131" t="str">
        <f t="shared" si="112"/>
        <v>5</v>
      </c>
      <c r="V110" s="131" t="str">
        <f t="shared" si="112"/>
        <v>4</v>
      </c>
      <c r="W110" s="119">
        <f t="shared" si="3"/>
        <v>30</v>
      </c>
      <c r="X110" s="119" t="str">
        <f t="shared" si="4"/>
        <v>Siap</v>
      </c>
      <c r="Y110" s="119" t="str">
        <f t="shared" si="5"/>
        <v>bisa mengikuti pola pesantren dengan baik</v>
      </c>
    </row>
    <row r="111" ht="24.0" customHeight="1">
      <c r="A111" s="104">
        <f>IFERROR(__xludf.DUMMYFUNCTION("""COMPUTED_VALUE"""),45959.79606952546)</f>
        <v>45959.79607</v>
      </c>
      <c r="B111" s="7" t="str">
        <f>IFERROR(__xludf.DUMMYFUNCTION("""COMPUTED_VALUE"""),"rimamaryani5606@gmail.com")</f>
        <v>rimamaryani5606@gmail.com</v>
      </c>
      <c r="C111" s="7" t="str">
        <f>IFERROR(__xludf.DUMMYFUNCTION("""COMPUTED_VALUE"""),"Alika Aisyah Putri")</f>
        <v>Alika Aisyah Putri</v>
      </c>
      <c r="D111" s="7" t="str">
        <f>IFERROR(__xludf.DUMMYFUNCTION("""COMPUTED_VALUE"""),"D250021")</f>
        <v>D250021</v>
      </c>
      <c r="E111" s="7" t="str">
        <f>IFERROR(__xludf.DUMMYFUNCTION("""COMPUTED_VALUE"""),"MTs Putri")</f>
        <v>MTs Putri</v>
      </c>
      <c r="F111" s="8" t="str">
        <f>IFERROR(__xludf.DUMMYFUNCTION("""COMPUTED_VALUE"""),"5: Sangat jelas, kuat, dan sesuai visi pesantren (ingin belajar agama, mandiri, dekat dengan Allah).")</f>
        <v>5: Sangat jelas, kuat, dan sesuai visi pesantren (ingin belajar agama, mandiri, dekat dengan Allah).</v>
      </c>
      <c r="G111" s="8" t="str">
        <f>IFERROR(__xludf.DUMMYFUNCTION("""COMPUTED_VALUE"""),"5: Lingkungan sangat mendukung (keluarga islami, shalat berjamaah, kontrol gadget baik).")</f>
        <v>5: Lingkungan sangat mendukung (keluarga islami, shalat berjamaah, kontrol gadget baik).</v>
      </c>
      <c r="H111" s="8" t="str">
        <f>IFERROR(__xludf.DUMMYFUNCTION("""COMPUTED_VALUE"""),"3: Game online, tapi masih bisa dikontrol.")</f>
        <v>3: Game online, tapi masih bisa dikontrol.</v>
      </c>
      <c r="I111" s="8" t="str">
        <f>IFERROR(__xludf.DUMMYFUNCTION("""COMPUTED_VALUE"""),"5: Berteman dengan lingkungan positif (masjid, teman shalih/shalihah).")</f>
        <v>5: Berteman dengan lingkungan positif (masjid, teman shalih/shalihah).</v>
      </c>
      <c r="J111" s="8" t="str">
        <f>IFERROR(__xludf.DUMMYFUNCTION("""COMPUTED_VALUE"""),"5: Jelas menolak, punya alasan agama/ilmu.")</f>
        <v>5: Jelas menolak, punya alasan agama/ilmu.</v>
      </c>
      <c r="K111" s="8" t="str">
        <f>IFERROR(__xludf.DUMMYFUNCTION("""COMPUTED_VALUE"""),"5: Menolak dengan tegas, paham bahaya dan dosa.")</f>
        <v>5: Menolak dengan tegas, paham bahaya dan dosa.</v>
      </c>
      <c r="L111" s="8" t="str">
        <f>IFERROR(__xludf.DUMMYFUNCTION("""COMPUTED_VALUE"""),"4: Hobi umum yang wajar (menggambar, dll).")</f>
        <v>4: Hobi umum yang wajar (menggambar, dll).</v>
      </c>
      <c r="M111" s="8" t="str">
        <f>IFERROR(__xludf.DUMMYFUNCTION("""COMPUTED_VALUE"""),"Rima Maryani Putri Utami, S.Pd.I")</f>
        <v>Rima Maryani Putri Utami, S.Pd.I</v>
      </c>
      <c r="N111" s="8" t="str">
        <f>IFERROR(__xludf.DUMMYFUNCTION("""COMPUTED_VALUE"""),"A. Sangat Layak diterima (potensi besar berkembang di pesantren).")</f>
        <v>A. Sangat Layak diterima (potensi besar berkembang di pesantren).</v>
      </c>
      <c r="O111" s="8" t="str">
        <f>IFERROR(__xludf.DUMMYFUNCTION("""COMPUTED_VALUE"""),"Alhamdulillah,Ananda sangat baik dan komunikatif. ")</f>
        <v>Alhamdulillah,Ananda sangat baik dan komunikatif. </v>
      </c>
      <c r="P111" s="131" t="str">
        <f t="shared" ref="P111:V111" si="113">left(F111,1)</f>
        <v>5</v>
      </c>
      <c r="Q111" s="131" t="str">
        <f t="shared" si="113"/>
        <v>5</v>
      </c>
      <c r="R111" s="131" t="str">
        <f t="shared" si="113"/>
        <v>3</v>
      </c>
      <c r="S111" s="131" t="str">
        <f t="shared" si="113"/>
        <v>5</v>
      </c>
      <c r="T111" s="131" t="str">
        <f t="shared" si="113"/>
        <v>5</v>
      </c>
      <c r="U111" s="131" t="str">
        <f t="shared" si="113"/>
        <v>5</v>
      </c>
      <c r="V111" s="131" t="str">
        <f t="shared" si="113"/>
        <v>4</v>
      </c>
      <c r="W111" s="119">
        <f t="shared" si="3"/>
        <v>32</v>
      </c>
      <c r="X111" s="119" t="str">
        <f t="shared" si="4"/>
        <v>Siap</v>
      </c>
      <c r="Y111" s="119" t="str">
        <f t="shared" si="5"/>
        <v>bisa mengikuti pola pesantren dengan baik</v>
      </c>
    </row>
    <row r="112" ht="24.0" customHeight="1">
      <c r="A112" s="104">
        <f>IFERROR(__xludf.DUMMYFUNCTION("""COMPUTED_VALUE"""),45960.697689803244)</f>
        <v>45960.69769</v>
      </c>
      <c r="B112" s="7" t="str">
        <f>IFERROR(__xludf.DUMMYFUNCTION("""COMPUTED_VALUE"""),"rimamaryamiputriutami@gmail.com")</f>
        <v>rimamaryamiputriutami@gmail.com</v>
      </c>
      <c r="C112" s="7" t="str">
        <f>IFERROR(__xludf.DUMMYFUNCTION("""COMPUTED_VALUE"""),"Zihan Muzainah Zein")</f>
        <v>Zihan Muzainah Zein</v>
      </c>
      <c r="D112" s="7" t="str">
        <f>IFERROR(__xludf.DUMMYFUNCTION("""COMPUTED_VALUE"""),"D250031")</f>
        <v>D250031</v>
      </c>
      <c r="E112" s="7" t="str">
        <f>IFERROR(__xludf.DUMMYFUNCTION("""COMPUTED_VALUE"""),"MTs Putri")</f>
        <v>MTs Putri</v>
      </c>
      <c r="F112" s="8" t="str">
        <f>IFERROR(__xludf.DUMMYFUNCTION("""COMPUTED_VALUE"""),"4: Cukup jelas, alasan positif namun masih umum.")</f>
        <v>4: Cukup jelas, alasan positif namun masih umum.</v>
      </c>
      <c r="G112" s="8" t="str">
        <f>IFERROR(__xludf.DUMMYFUNCTION("""COMPUTED_VALUE"""),"4: Lingkungan cukup mendukung, ada perhatian orang tua.")</f>
        <v>4: Lingkungan cukup mendukung, ada perhatian orang tua.</v>
      </c>
      <c r="H112" s="8" t="str">
        <f>IFERROR(__xludf.DUMMYFUNCTION("""COMPUTED_VALUE"""),"5: Hobi bermanfaat (olahraga, membaca, permainan edukatif).")</f>
        <v>5: Hobi bermanfaat (olahraga, membaca, permainan edukatif).</v>
      </c>
      <c r="I112" s="8" t="str">
        <f>IFERROR(__xludf.DUMMYFUNCTION("""COMPUTED_VALUE"""),"5: Berteman dengan lingkungan positif (masjid, teman shalih/shalihah).")</f>
        <v>5: Berteman dengan lingkungan positif (masjid, teman shalih/shalihah).</v>
      </c>
      <c r="J112" s="8" t="str">
        <f>IFERROR(__xludf.DUMMYFUNCTION("""COMPUTED_VALUE"""),"4: Menolak, tapi alasannya umum.")</f>
        <v>4: Menolak, tapi alasannya umum.</v>
      </c>
      <c r="K112" s="8" t="str">
        <f>IFERROR(__xludf.DUMMYFUNCTION("""COMPUTED_VALUE"""),"5: Menolak dengan tegas, paham bahaya dan dosa.")</f>
        <v>5: Menolak dengan tegas, paham bahaya dan dosa.</v>
      </c>
      <c r="L112" s="8" t="str">
        <f>IFERROR(__xludf.DUMMYFUNCTION("""COMPUTED_VALUE"""),"4: Hobi umum yang wajar (menggambar, dll).")</f>
        <v>4: Hobi umum yang wajar (menggambar, dll).</v>
      </c>
      <c r="M112" s="8" t="str">
        <f>IFERROR(__xludf.DUMMYFUNCTION("""COMPUTED_VALUE"""),"Rima Maryani Putri Utami,S.Pd.I")</f>
        <v>Rima Maryani Putri Utami,S.Pd.I</v>
      </c>
      <c r="N112" s="8" t="str">
        <f>IFERROR(__xludf.DUMMYFUNCTION("""COMPUTED_VALUE"""),"A. Sangat Layak diterima (potensi besar berkembang di pesantren).")</f>
        <v>A. Sangat Layak diterima (potensi besar berkembang di pesantren).</v>
      </c>
      <c r="O112" s="8"/>
      <c r="P112" s="131" t="str">
        <f t="shared" ref="P112:V112" si="114">left(F112,1)</f>
        <v>4</v>
      </c>
      <c r="Q112" s="131" t="str">
        <f t="shared" si="114"/>
        <v>4</v>
      </c>
      <c r="R112" s="131" t="str">
        <f t="shared" si="114"/>
        <v>5</v>
      </c>
      <c r="S112" s="131" t="str">
        <f t="shared" si="114"/>
        <v>5</v>
      </c>
      <c r="T112" s="131" t="str">
        <f t="shared" si="114"/>
        <v>4</v>
      </c>
      <c r="U112" s="131" t="str">
        <f t="shared" si="114"/>
        <v>5</v>
      </c>
      <c r="V112" s="131" t="str">
        <f t="shared" si="114"/>
        <v>4</v>
      </c>
      <c r="W112" s="119">
        <f t="shared" si="3"/>
        <v>31</v>
      </c>
      <c r="X112" s="119" t="str">
        <f t="shared" si="4"/>
        <v>Siap</v>
      </c>
      <c r="Y112" s="119" t="str">
        <f t="shared" si="5"/>
        <v>bisa mengikuti pola pesantren dengan baik</v>
      </c>
    </row>
    <row r="113" ht="24.0" customHeight="1">
      <c r="A113" s="104">
        <f>IFERROR(__xludf.DUMMYFUNCTION("""COMPUTED_VALUE"""),45961.413208831014)</f>
        <v>45961.41321</v>
      </c>
      <c r="B113" s="7" t="str">
        <f>IFERROR(__xludf.DUMMYFUNCTION("""COMPUTED_VALUE"""),"muhajirlah@gmail.com")</f>
        <v>muhajirlah@gmail.com</v>
      </c>
      <c r="C113" s="7" t="str">
        <f>IFERROR(__xludf.DUMMYFUNCTION("""COMPUTED_VALUE"""),"Muhammad Hilman alfarisi")</f>
        <v>Muhammad Hilman alfarisi</v>
      </c>
      <c r="D113" s="7" t="str">
        <f>IFERROR(__xludf.DUMMYFUNCTION("""COMPUTED_VALUE"""),"C250010")</f>
        <v>C250010</v>
      </c>
      <c r="E113" s="7" t="str">
        <f>IFERROR(__xludf.DUMMYFUNCTION("""COMPUTED_VALUE"""),"SMA Putra")</f>
        <v>SMA Putra</v>
      </c>
      <c r="F113" s="8" t="str">
        <f>IFERROR(__xludf.DUMMYFUNCTION("""COMPUTED_VALUE"""),"5: Sangat jelas, kuat, dan sesuai visi pesantren (ingin belajar agama, mandiri, dekat dengan Allah).")</f>
        <v>5: Sangat jelas, kuat, dan sesuai visi pesantren (ingin belajar agama, mandiri, dekat dengan Allah).</v>
      </c>
      <c r="G113" s="8" t="str">
        <f>IFERROR(__xludf.DUMMYFUNCTION("""COMPUTED_VALUE"""),"4: Lingkungan cukup mendukung, ada perhatian orang tua.")</f>
        <v>4: Lingkungan cukup mendukung, ada perhatian orang tua.</v>
      </c>
      <c r="H113" s="8" t="str">
        <f>IFERROR(__xludf.DUMMYFUNCTION("""COMPUTED_VALUE"""),"5: Hobi bermanfaat (olahraga, membaca, permainan edukatif).")</f>
        <v>5: Hobi bermanfaat (olahraga, membaca, permainan edukatif).</v>
      </c>
      <c r="I113" s="8" t="str">
        <f>IFERROR(__xludf.DUMMYFUNCTION("""COMPUTED_VALUE"""),"4: Mayoritas teman baik, ada sedikit yang kurang baik.")</f>
        <v>4: Mayoritas teman baik, ada sedikit yang kurang baik.</v>
      </c>
      <c r="J113" s="8" t="str">
        <f>IFERROR(__xludf.DUMMYFUNCTION("""COMPUTED_VALUE"""),"5: Jelas menolak, punya alasan agama/ilmu.")</f>
        <v>5: Jelas menolak, punya alasan agama/ilmu.</v>
      </c>
      <c r="K113" s="8" t="str">
        <f>IFERROR(__xludf.DUMMYFUNCTION("""COMPUTED_VALUE"""),"4: Menolak, tapi belum terlalu paham alasannya.")</f>
        <v>4: Menolak, tapi belum terlalu paham alasannya.</v>
      </c>
      <c r="L113" s="8" t="str">
        <f>IFERROR(__xludf.DUMMYFUNCTION("""COMPUTED_VALUE"""),"5: Hobi positif, produktif, mendukung pengembangan diri (olahraga, membaca, seni islami).")</f>
        <v>5: Hobi positif, produktif, mendukung pengembangan diri (olahraga, membaca, seni islami).</v>
      </c>
      <c r="M113" s="8" t="str">
        <f>IFERROR(__xludf.DUMMYFUNCTION("""COMPUTED_VALUE"""),"Muhajir")</f>
        <v>Muhajir</v>
      </c>
      <c r="N113" s="8" t="str">
        <f>IFERROR(__xludf.DUMMYFUNCTION("""COMPUTED_VALUE"""),"B. Layak diterima dengan catatan pembinaan.")</f>
        <v>B. Layak diterima dengan catatan pembinaan.</v>
      </c>
      <c r="O113" s="8" t="str">
        <f>IFERROR(__xludf.DUMMYFUNCTION("""COMPUTED_VALUE"""),"Beliau sudah diterima di HSI.. 
")</f>
        <v>Beliau sudah diterima di HSI.. 
</v>
      </c>
      <c r="P113" s="131" t="str">
        <f t="shared" ref="P113:V113" si="115">left(F113,1)</f>
        <v>5</v>
      </c>
      <c r="Q113" s="131" t="str">
        <f t="shared" si="115"/>
        <v>4</v>
      </c>
      <c r="R113" s="131" t="str">
        <f t="shared" si="115"/>
        <v>5</v>
      </c>
      <c r="S113" s="131" t="str">
        <f t="shared" si="115"/>
        <v>4</v>
      </c>
      <c r="T113" s="131" t="str">
        <f t="shared" si="115"/>
        <v>5</v>
      </c>
      <c r="U113" s="131" t="str">
        <f t="shared" si="115"/>
        <v>4</v>
      </c>
      <c r="V113" s="131" t="str">
        <f t="shared" si="115"/>
        <v>5</v>
      </c>
      <c r="W113" s="119">
        <f t="shared" si="3"/>
        <v>32</v>
      </c>
      <c r="X113" s="119" t="str">
        <f t="shared" si="4"/>
        <v>Siap</v>
      </c>
      <c r="Y113" s="119" t="str">
        <f t="shared" si="5"/>
        <v>bisa mengikuti pola pesantren dengan baik</v>
      </c>
    </row>
    <row r="114" ht="24.0" customHeight="1">
      <c r="A114" s="104">
        <f>IFERROR(__xludf.DUMMYFUNCTION("""COMPUTED_VALUE"""),45962.54110965278)</f>
        <v>45962.54111</v>
      </c>
      <c r="B114" s="7" t="str">
        <f>IFERROR(__xludf.DUMMYFUNCTION("""COMPUTED_VALUE"""),"nabilmujtaba426@gmail.com")</f>
        <v>nabilmujtaba426@gmail.com</v>
      </c>
      <c r="C114" s="7" t="str">
        <f>IFERROR(__xludf.DUMMYFUNCTION("""COMPUTED_VALUE"""),"Muhammad Irsyad")</f>
        <v>Muhammad Irsyad</v>
      </c>
      <c r="D114" s="7" t="str">
        <f>IFERROR(__xludf.DUMMYFUNCTION("""COMPUTED_VALUE"""),"C250023")</f>
        <v>C250023</v>
      </c>
      <c r="E114" s="7" t="str">
        <f>IFERROR(__xludf.DUMMYFUNCTION("""COMPUTED_VALUE"""),"SMA Putra")</f>
        <v>SMA Putra</v>
      </c>
      <c r="F114" s="8" t="str">
        <f>IFERROR(__xludf.DUMMYFUNCTION("""COMPUTED_VALUE"""),"5: Sangat jelas, kuat, dan sesuai visi pesantren (ingin belajar agama, mandiri, dekat dengan Allah).")</f>
        <v>5: Sangat jelas, kuat, dan sesuai visi pesantren (ingin belajar agama, mandiri, dekat dengan Allah).</v>
      </c>
      <c r="G114" s="8" t="str">
        <f>IFERROR(__xludf.DUMMYFUNCTION("""COMPUTED_VALUE"""),"5: Lingkungan sangat mendukung (keluarga islami, shalat berjamaah, kontrol gadget baik).")</f>
        <v>5: Lingkungan sangat mendukung (keluarga islami, shalat berjamaah, kontrol gadget baik).</v>
      </c>
      <c r="H114" s="8" t="str">
        <f>IFERROR(__xludf.DUMMYFUNCTION("""COMPUTED_VALUE"""),"5: Hobi bermanfaat (olahraga, membaca, permainan edukatif).")</f>
        <v>5: Hobi bermanfaat (olahraga, membaca, permainan edukatif).</v>
      </c>
      <c r="I114" s="8" t="str">
        <f>IFERROR(__xludf.DUMMYFUNCTION("""COMPUTED_VALUE"""),"5: Berteman dengan lingkungan positif (masjid, teman shalih/shalihah).")</f>
        <v>5: Berteman dengan lingkungan positif (masjid, teman shalih/shalihah).</v>
      </c>
      <c r="J114" s="8" t="str">
        <f>IFERROR(__xludf.DUMMYFUNCTION("""COMPUTED_VALUE"""),"5: Jelas menolak, punya alasan agama/ilmu.")</f>
        <v>5: Jelas menolak, punya alasan agama/ilmu.</v>
      </c>
      <c r="K114" s="8" t="str">
        <f>IFERROR(__xludf.DUMMYFUNCTION("""COMPUTED_VALUE"""),"5: Menolak dengan tegas, paham bahaya dan dosa.")</f>
        <v>5: Menolak dengan tegas, paham bahaya dan dosa.</v>
      </c>
      <c r="L114" s="8" t="str">
        <f>IFERROR(__xludf.DUMMYFUNCTION("""COMPUTED_VALUE"""),"5: Hobi positif, produktif, mendukung pengembangan diri (olahraga, membaca, seni islami).")</f>
        <v>5: Hobi positif, produktif, mendukung pengembangan diri (olahraga, membaca, seni islami).</v>
      </c>
      <c r="M114" s="8" t="str">
        <f>IFERROR(__xludf.DUMMYFUNCTION("""COMPUTED_VALUE"""),"Nabil Mujtaba")</f>
        <v>Nabil Mujtaba</v>
      </c>
      <c r="N114" s="8" t="str">
        <f>IFERROR(__xludf.DUMMYFUNCTION("""COMPUTED_VALUE"""),"A. Sangat Layak diterima (potensi besar berkembang di pesantren).")</f>
        <v>A. Sangat Layak diterima (potensi besar berkembang di pesantren).</v>
      </c>
      <c r="O114" s="8"/>
      <c r="P114" s="131" t="str">
        <f t="shared" ref="P114:V114" si="116">left(F114,1)</f>
        <v>5</v>
      </c>
      <c r="Q114" s="131" t="str">
        <f t="shared" si="116"/>
        <v>5</v>
      </c>
      <c r="R114" s="131" t="str">
        <f t="shared" si="116"/>
        <v>5</v>
      </c>
      <c r="S114" s="131" t="str">
        <f t="shared" si="116"/>
        <v>5</v>
      </c>
      <c r="T114" s="131" t="str">
        <f t="shared" si="116"/>
        <v>5</v>
      </c>
      <c r="U114" s="131" t="str">
        <f t="shared" si="116"/>
        <v>5</v>
      </c>
      <c r="V114" s="131" t="str">
        <f t="shared" si="116"/>
        <v>5</v>
      </c>
      <c r="W114" s="119">
        <f t="shared" si="3"/>
        <v>35</v>
      </c>
      <c r="X114" s="119" t="str">
        <f t="shared" si="4"/>
        <v>Siap</v>
      </c>
      <c r="Y114" s="119" t="str">
        <f t="shared" si="5"/>
        <v>bisa mengikuti pola pesantren dengan baik</v>
      </c>
    </row>
    <row r="115" ht="24.0" customHeight="1">
      <c r="A115" s="104">
        <f>IFERROR(__xludf.DUMMYFUNCTION("""COMPUTED_VALUE"""),45966.871497581014)</f>
        <v>45966.8715</v>
      </c>
      <c r="B115" s="7" t="str">
        <f>IFERROR(__xludf.DUMMYFUNCTION("""COMPUTED_VALUE"""),"nabilmujtaba426@gmail.com")</f>
        <v>nabilmujtaba426@gmail.com</v>
      </c>
      <c r="C115" s="7" t="str">
        <f>IFERROR(__xludf.DUMMYFUNCTION("""COMPUTED_VALUE"""),"M. Rezza Putra Darma")</f>
        <v>M. Rezza Putra Darma</v>
      </c>
      <c r="D115" s="7" t="str">
        <f>IFERROR(__xludf.DUMMYFUNCTION("""COMPUTED_VALUE"""),"A250038")</f>
        <v>A250038</v>
      </c>
      <c r="E115" s="7" t="str">
        <f>IFERROR(__xludf.DUMMYFUNCTION("""COMPUTED_VALUE"""),"MTs Putra")</f>
        <v>MTs Putra</v>
      </c>
      <c r="F115" s="8" t="str">
        <f>IFERROR(__xludf.DUMMYFUNCTION("""COMPUTED_VALUE"""),"3: Alasan kurang terarah, dipengaruhi orang tua, tapi ada kesediaan.")</f>
        <v>3: Alasan kurang terarah, dipengaruhi orang tua, tapi ada kesediaan.</v>
      </c>
      <c r="G115" s="8" t="str">
        <f>IFERROR(__xludf.DUMMYFUNCTION("""COMPUTED_VALUE"""),"4: Lingkungan cukup mendukung, ada perhatian orang tua.")</f>
        <v>4: Lingkungan cukup mendukung, ada perhatian orang tua.</v>
      </c>
      <c r="H115" s="8" t="str">
        <f>IFERROR(__xludf.DUMMYFUNCTION("""COMPUTED_VALUE"""),"3: Game online, tapi masih bisa dikontrol.")</f>
        <v>3: Game online, tapi masih bisa dikontrol.</v>
      </c>
      <c r="I115" s="8" t="str">
        <f>IFERROR(__xludf.DUMMYFUNCTION("""COMPUTED_VALUE"""),"3: Teman biasa saja, netral.")</f>
        <v>3: Teman biasa saja, netral.</v>
      </c>
      <c r="J115" s="8" t="str">
        <f>IFERROR(__xludf.DUMMYFUNCTION("""COMPUTED_VALUE"""),"4: Menolak, tapi alasannya umum.")</f>
        <v>4: Menolak, tapi alasannya umum.</v>
      </c>
      <c r="K115" s="8" t="str">
        <f>IFERROR(__xludf.DUMMYFUNCTION("""COMPUTED_VALUE"""),"4: Menolak, tapi belum terlalu paham alasannya.")</f>
        <v>4: Menolak, tapi belum terlalu paham alasannya.</v>
      </c>
      <c r="L115" s="8" t="str">
        <f>IFERROR(__xludf.DUMMYFUNCTION("""COMPUTED_VALUE"""),"4: Hobi umum yang wajar (menggambar, dll).")</f>
        <v>4: Hobi umum yang wajar (menggambar, dll).</v>
      </c>
      <c r="M115" s="8" t="str">
        <f>IFERROR(__xludf.DUMMYFUNCTION("""COMPUTED_VALUE"""),"Nabil Mujtaba")</f>
        <v>Nabil Mujtaba</v>
      </c>
      <c r="N115" s="8" t="str">
        <f>IFERROR(__xludf.DUMMYFUNCTION("""COMPUTED_VALUE"""),"B. Layak diterima dengan catatan pembinaan.")</f>
        <v>B. Layak diterima dengan catatan pembinaan.</v>
      </c>
      <c r="O115" s="8"/>
      <c r="P115" s="131" t="str">
        <f t="shared" ref="P115:V115" si="117">left(F115,1)</f>
        <v>3</v>
      </c>
      <c r="Q115" s="131" t="str">
        <f t="shared" si="117"/>
        <v>4</v>
      </c>
      <c r="R115" s="131" t="str">
        <f t="shared" si="117"/>
        <v>3</v>
      </c>
      <c r="S115" s="131" t="str">
        <f t="shared" si="117"/>
        <v>3</v>
      </c>
      <c r="T115" s="131" t="str">
        <f t="shared" si="117"/>
        <v>4</v>
      </c>
      <c r="U115" s="131" t="str">
        <f t="shared" si="117"/>
        <v>4</v>
      </c>
      <c r="V115" s="131" t="str">
        <f t="shared" si="117"/>
        <v>4</v>
      </c>
      <c r="W115" s="119">
        <f t="shared" si="3"/>
        <v>25</v>
      </c>
      <c r="X115" s="119" t="str">
        <f t="shared" si="4"/>
        <v>Cukup Siap</v>
      </c>
      <c r="Y115" s="119" t="str">
        <f t="shared" si="5"/>
        <v>perlu pendampingan awal</v>
      </c>
    </row>
    <row r="116" ht="24.0" customHeight="1">
      <c r="A116" s="104">
        <f>IFERROR(__xludf.DUMMYFUNCTION("""COMPUTED_VALUE"""),45967.67904662037)</f>
        <v>45967.67905</v>
      </c>
      <c r="B116" s="7" t="str">
        <f>IFERROR(__xludf.DUMMYFUNCTION("""COMPUTED_VALUE"""),"nabilmujtaba426@gmail.com")</f>
        <v>nabilmujtaba426@gmail.com</v>
      </c>
      <c r="C116" s="7" t="str">
        <f>IFERROR(__xludf.DUMMYFUNCTION("""COMPUTED_VALUE"""),"Arjuna Permana Putra")</f>
        <v>Arjuna Permana Putra</v>
      </c>
      <c r="D116" s="7" t="str">
        <f>IFERROR(__xludf.DUMMYFUNCTION("""COMPUTED_VALUE"""),"A250022")</f>
        <v>A250022</v>
      </c>
      <c r="E116" s="7" t="str">
        <f>IFERROR(__xludf.DUMMYFUNCTION("""COMPUTED_VALUE"""),"MTs Putra")</f>
        <v>MTs Putra</v>
      </c>
      <c r="F116" s="8" t="str">
        <f>IFERROR(__xludf.DUMMYFUNCTION("""COMPUTED_VALUE"""),"5: Sangat jelas, kuat, dan sesuai visi pesantren (ingin belajar agama, mandiri, dekat dengan Allah).")</f>
        <v>5: Sangat jelas, kuat, dan sesuai visi pesantren (ingin belajar agama, mandiri, dekat dengan Allah).</v>
      </c>
      <c r="G116" s="8" t="str">
        <f>IFERROR(__xludf.DUMMYFUNCTION("""COMPUTED_VALUE"""),"5: Lingkungan sangat mendukung (keluarga islami, shalat berjamaah, kontrol gadget baik).")</f>
        <v>5: Lingkungan sangat mendukung (keluarga islami, shalat berjamaah, kontrol gadget baik).</v>
      </c>
      <c r="H116" s="8" t="str">
        <f>IFERROR(__xludf.DUMMYFUNCTION("""COMPUTED_VALUE"""),"5: Hobi bermanfaat (olahraga, membaca, permainan edukatif).")</f>
        <v>5: Hobi bermanfaat (olahraga, membaca, permainan edukatif).</v>
      </c>
      <c r="I116" s="8" t="str">
        <f>IFERROR(__xludf.DUMMYFUNCTION("""COMPUTED_VALUE"""),"5: Berteman dengan lingkungan positif (masjid, teman shalih/shalihah).")</f>
        <v>5: Berteman dengan lingkungan positif (masjid, teman shalih/shalihah).</v>
      </c>
      <c r="J116" s="8" t="str">
        <f>IFERROR(__xludf.DUMMYFUNCTION("""COMPUTED_VALUE"""),"5: Jelas menolak, punya alasan agama/ilmu.")</f>
        <v>5: Jelas menolak, punya alasan agama/ilmu.</v>
      </c>
      <c r="K116" s="8" t="str">
        <f>IFERROR(__xludf.DUMMYFUNCTION("""COMPUTED_VALUE"""),"5: Menolak dengan tegas, paham bahaya dan dosa.")</f>
        <v>5: Menolak dengan tegas, paham bahaya dan dosa.</v>
      </c>
      <c r="L116" s="8" t="str">
        <f>IFERROR(__xludf.DUMMYFUNCTION("""COMPUTED_VALUE"""),"5: Hobi positif, produktif, mendukung pengembangan diri (olahraga, membaca, seni islami).")</f>
        <v>5: Hobi positif, produktif, mendukung pengembangan diri (olahraga, membaca, seni islami).</v>
      </c>
      <c r="M116" s="8" t="str">
        <f>IFERROR(__xludf.DUMMYFUNCTION("""COMPUTED_VALUE"""),"Nabil Mujtaba")</f>
        <v>Nabil Mujtaba</v>
      </c>
      <c r="N116" s="8" t="str">
        <f>IFERROR(__xludf.DUMMYFUNCTION("""COMPUTED_VALUE"""),"A. Sangat Layak diterima (potensi besar berkembang di pesantren).")</f>
        <v>A. Sangat Layak diterima (potensi besar berkembang di pesantren).</v>
      </c>
      <c r="O116" s="8"/>
      <c r="P116" s="131" t="str">
        <f t="shared" ref="P116:V116" si="118">left(F116,1)</f>
        <v>5</v>
      </c>
      <c r="Q116" s="131" t="str">
        <f t="shared" si="118"/>
        <v>5</v>
      </c>
      <c r="R116" s="131" t="str">
        <f t="shared" si="118"/>
        <v>5</v>
      </c>
      <c r="S116" s="131" t="str">
        <f t="shared" si="118"/>
        <v>5</v>
      </c>
      <c r="T116" s="131" t="str">
        <f t="shared" si="118"/>
        <v>5</v>
      </c>
      <c r="U116" s="131" t="str">
        <f t="shared" si="118"/>
        <v>5</v>
      </c>
      <c r="V116" s="131" t="str">
        <f t="shared" si="118"/>
        <v>5</v>
      </c>
      <c r="W116" s="119">
        <f t="shared" si="3"/>
        <v>35</v>
      </c>
      <c r="X116" s="119" t="str">
        <f t="shared" si="4"/>
        <v>Siap</v>
      </c>
      <c r="Y116" s="119" t="str">
        <f t="shared" si="5"/>
        <v>bisa mengikuti pola pesantren dengan baik</v>
      </c>
    </row>
    <row r="117" ht="24.0" customHeight="1">
      <c r="A117" s="104">
        <f>IFERROR(__xludf.DUMMYFUNCTION("""COMPUTED_VALUE"""),45967.74337574074)</f>
        <v>45967.74338</v>
      </c>
      <c r="B117" s="7" t="str">
        <f>IFERROR(__xludf.DUMMYFUNCTION("""COMPUTED_VALUE"""),"muhajirlah@gmail.com")</f>
        <v>muhajirlah@gmail.com</v>
      </c>
      <c r="C117" s="7" t="str">
        <f>IFERROR(__xludf.DUMMYFUNCTION("""COMPUTED_VALUE"""),"Ananda Hezky Faeyza")</f>
        <v>Ananda Hezky Faeyza</v>
      </c>
      <c r="D117" s="7" t="str">
        <f>IFERROR(__xludf.DUMMYFUNCTION("""COMPUTED_VALUE"""),"C250024")</f>
        <v>C250024</v>
      </c>
      <c r="E117" s="7" t="str">
        <f>IFERROR(__xludf.DUMMYFUNCTION("""COMPUTED_VALUE"""),"SMA Putra")</f>
        <v>SMA Putra</v>
      </c>
      <c r="F117" s="8" t="str">
        <f>IFERROR(__xludf.DUMMYFUNCTION("""COMPUTED_VALUE"""),"5: Sangat jelas, kuat, dan sesuai visi pesantren (ingin belajar agama, mandiri, dekat dengan Allah).")</f>
        <v>5: Sangat jelas, kuat, dan sesuai visi pesantren (ingin belajar agama, mandiri, dekat dengan Allah).</v>
      </c>
      <c r="G117" s="8" t="str">
        <f>IFERROR(__xludf.DUMMYFUNCTION("""COMPUTED_VALUE"""),"3: Lingkungan biasa saja, kadang ada pengaruh negatif.")</f>
        <v>3: Lingkungan biasa saja, kadang ada pengaruh negatif.</v>
      </c>
      <c r="H117" s="8" t="str">
        <f>IFERROR(__xludf.DUMMYFUNCTION("""COMPUTED_VALUE"""),"4: Game rekreasi wajar, tidak berlebihan.")</f>
        <v>4: Game rekreasi wajar, tidak berlebihan.</v>
      </c>
      <c r="I117" s="8" t="str">
        <f>IFERROR(__xludf.DUMMYFUNCTION("""COMPUTED_VALUE"""),"3: Teman biasa saja, netral.")</f>
        <v>3: Teman biasa saja, netral.</v>
      </c>
      <c r="J117" s="8" t="str">
        <f>IFERROR(__xludf.DUMMYFUNCTION("""COMPUTED_VALUE"""),"5: Jelas menolak, punya alasan agama/ilmu.")</f>
        <v>5: Jelas menolak, punya alasan agama/ilmu.</v>
      </c>
      <c r="K117" s="8" t="str">
        <f>IFERROR(__xludf.DUMMYFUNCTION("""COMPUTED_VALUE"""),"5: Menolak dengan tegas, paham bahaya dan dosa.")</f>
        <v>5: Menolak dengan tegas, paham bahaya dan dosa.</v>
      </c>
      <c r="L117" s="8" t="str">
        <f>IFERROR(__xludf.DUMMYFUNCTION("""COMPUTED_VALUE"""),"5: Hobi positif, produktif, mendukung pengembangan diri (olahraga, membaca, seni islami).")</f>
        <v>5: Hobi positif, produktif, mendukung pengembangan diri (olahraga, membaca, seni islami).</v>
      </c>
      <c r="M117" s="8" t="str">
        <f>IFERROR(__xludf.DUMMYFUNCTION("""COMPUTED_VALUE"""),"Muhajir")</f>
        <v>Muhajir</v>
      </c>
      <c r="N117" s="8" t="str">
        <f>IFERROR(__xludf.DUMMYFUNCTION("""COMPUTED_VALUE"""),"A. Sangat Layak diterima (potensi besar berkembang di pesantren).")</f>
        <v>A. Sangat Layak diterima (potensi besar berkembang di pesantren).</v>
      </c>
      <c r="O117" s="8"/>
      <c r="P117" s="131" t="str">
        <f t="shared" ref="P117:V117" si="119">left(F117,1)</f>
        <v>5</v>
      </c>
      <c r="Q117" s="131" t="str">
        <f t="shared" si="119"/>
        <v>3</v>
      </c>
      <c r="R117" s="131" t="str">
        <f t="shared" si="119"/>
        <v>4</v>
      </c>
      <c r="S117" s="131" t="str">
        <f t="shared" si="119"/>
        <v>3</v>
      </c>
      <c r="T117" s="131" t="str">
        <f t="shared" si="119"/>
        <v>5</v>
      </c>
      <c r="U117" s="131" t="str">
        <f t="shared" si="119"/>
        <v>5</v>
      </c>
      <c r="V117" s="131" t="str">
        <f t="shared" si="119"/>
        <v>5</v>
      </c>
      <c r="W117" s="119">
        <f t="shared" si="3"/>
        <v>30</v>
      </c>
      <c r="X117" s="119" t="str">
        <f t="shared" si="4"/>
        <v>Siap</v>
      </c>
      <c r="Y117" s="119" t="str">
        <f t="shared" si="5"/>
        <v>bisa mengikuti pola pesantren dengan baik</v>
      </c>
    </row>
    <row r="118" ht="24.0" customHeight="1">
      <c r="A118" s="104">
        <f>IFERROR(__xludf.DUMMYFUNCTION("""COMPUTED_VALUE"""),45967.82576703704)</f>
        <v>45967.82577</v>
      </c>
      <c r="B118" s="7" t="str">
        <f>IFERROR(__xludf.DUMMYFUNCTION("""COMPUTED_VALUE"""),"nabilmujtaba426@gmail.com")</f>
        <v>nabilmujtaba426@gmail.com</v>
      </c>
      <c r="C118" s="7" t="str">
        <f>IFERROR(__xludf.DUMMYFUNCTION("""COMPUTED_VALUE"""),"Faruq Ahmad Asy-Syirbuni")</f>
        <v>Faruq Ahmad Asy-Syirbuni</v>
      </c>
      <c r="D118" s="7" t="str">
        <f>IFERROR(__xludf.DUMMYFUNCTION("""COMPUTED_VALUE"""),"A250026")</f>
        <v>A250026</v>
      </c>
      <c r="E118" s="7" t="str">
        <f>IFERROR(__xludf.DUMMYFUNCTION("""COMPUTED_VALUE"""),"MTs Putra")</f>
        <v>MTs Putra</v>
      </c>
      <c r="F118" s="8" t="str">
        <f>IFERROR(__xludf.DUMMYFUNCTION("""COMPUTED_VALUE"""),"5: Sangat jelas, kuat, dan sesuai visi pesantren (ingin belajar agama, mandiri, dekat dengan Allah).")</f>
        <v>5: Sangat jelas, kuat, dan sesuai visi pesantren (ingin belajar agama, mandiri, dekat dengan Allah).</v>
      </c>
      <c r="G118" s="8" t="str">
        <f>IFERROR(__xludf.DUMMYFUNCTION("""COMPUTED_VALUE"""),"5: Lingkungan sangat mendukung (keluarga islami, shalat berjamaah, kontrol gadget baik).")</f>
        <v>5: Lingkungan sangat mendukung (keluarga islami, shalat berjamaah, kontrol gadget baik).</v>
      </c>
      <c r="H118" s="8" t="str">
        <f>IFERROR(__xludf.DUMMYFUNCTION("""COMPUTED_VALUE"""),"5: Hobi bermanfaat (olahraga, membaca, permainan edukatif).")</f>
        <v>5: Hobi bermanfaat (olahraga, membaca, permainan edukatif).</v>
      </c>
      <c r="I118" s="8" t="str">
        <f>IFERROR(__xludf.DUMMYFUNCTION("""COMPUTED_VALUE"""),"5: Berteman dengan lingkungan positif (masjid, teman shalih/shalihah).")</f>
        <v>5: Berteman dengan lingkungan positif (masjid, teman shalih/shalihah).</v>
      </c>
      <c r="J118" s="8" t="str">
        <f>IFERROR(__xludf.DUMMYFUNCTION("""COMPUTED_VALUE"""),"4: Menolak, tapi alasannya umum.")</f>
        <v>4: Menolak, tapi alasannya umum.</v>
      </c>
      <c r="K118" s="8" t="str">
        <f>IFERROR(__xludf.DUMMYFUNCTION("""COMPUTED_VALUE"""),"4: Menolak, tapi belum terlalu paham alasannya.")</f>
        <v>4: Menolak, tapi belum terlalu paham alasannya.</v>
      </c>
      <c r="L118" s="8" t="str">
        <f>IFERROR(__xludf.DUMMYFUNCTION("""COMPUTED_VALUE"""),"5: Hobi positif, produktif, mendukung pengembangan diri (olahraga, membaca, seni islami).")</f>
        <v>5: Hobi positif, produktif, mendukung pengembangan diri (olahraga, membaca, seni islami).</v>
      </c>
      <c r="M118" s="8" t="str">
        <f>IFERROR(__xludf.DUMMYFUNCTION("""COMPUTED_VALUE"""),"Nabil Mujtaba")</f>
        <v>Nabil Mujtaba</v>
      </c>
      <c r="N118" s="8" t="str">
        <f>IFERROR(__xludf.DUMMYFUNCTION("""COMPUTED_VALUE"""),"A. Sangat Layak diterima (potensi besar berkembang di pesantren).")</f>
        <v>A. Sangat Layak diterima (potensi besar berkembang di pesantren).</v>
      </c>
      <c r="O118" s="8"/>
      <c r="P118" s="131" t="str">
        <f t="shared" ref="P118:V118" si="120">left(F118,1)</f>
        <v>5</v>
      </c>
      <c r="Q118" s="131" t="str">
        <f t="shared" si="120"/>
        <v>5</v>
      </c>
      <c r="R118" s="131" t="str">
        <f t="shared" si="120"/>
        <v>5</v>
      </c>
      <c r="S118" s="131" t="str">
        <f t="shared" si="120"/>
        <v>5</v>
      </c>
      <c r="T118" s="131" t="str">
        <f t="shared" si="120"/>
        <v>4</v>
      </c>
      <c r="U118" s="131" t="str">
        <f t="shared" si="120"/>
        <v>4</v>
      </c>
      <c r="V118" s="131" t="str">
        <f t="shared" si="120"/>
        <v>5</v>
      </c>
      <c r="W118" s="119">
        <f t="shared" si="3"/>
        <v>33</v>
      </c>
      <c r="X118" s="119" t="str">
        <f t="shared" si="4"/>
        <v>Siap</v>
      </c>
      <c r="Y118" s="119" t="str">
        <f t="shared" si="5"/>
        <v>bisa mengikuti pola pesantren dengan baik</v>
      </c>
    </row>
    <row r="119" ht="24.0" customHeight="1">
      <c r="A119" s="104">
        <f>IFERROR(__xludf.DUMMYFUNCTION("""COMPUTED_VALUE"""),45967.83286167824)</f>
        <v>45967.83286</v>
      </c>
      <c r="B119" s="7" t="str">
        <f>IFERROR(__xludf.DUMMYFUNCTION("""COMPUTED_VALUE"""),"halimahnurjalalhfnjl@gmail.com")</f>
        <v>halimahnurjalalhfnjl@gmail.com</v>
      </c>
      <c r="C119" s="7" t="str">
        <f>IFERROR(__xludf.DUMMYFUNCTION("""COMPUTED_VALUE"""),"Najla Ulfa")</f>
        <v>Najla Ulfa</v>
      </c>
      <c r="D119" s="7" t="str">
        <f>IFERROR(__xludf.DUMMYFUNCTION("""COMPUTED_VALUE"""),"E250009")</f>
        <v>E250009</v>
      </c>
      <c r="E119" s="7" t="str">
        <f>IFERROR(__xludf.DUMMYFUNCTION("""COMPUTED_VALUE"""),"IL Putri")</f>
        <v>IL Putri</v>
      </c>
      <c r="F119" s="8" t="str">
        <f>IFERROR(__xludf.DUMMYFUNCTION("""COMPUTED_VALUE"""),"5: Sangat jelas, kuat, dan sesuai visi pesantren (ingin belajar agama, mandiri, dekat dengan Allah).")</f>
        <v>5: Sangat jelas, kuat, dan sesuai visi pesantren (ingin belajar agama, mandiri, dekat dengan Allah).</v>
      </c>
      <c r="G119" s="8" t="str">
        <f>IFERROR(__xludf.DUMMYFUNCTION("""COMPUTED_VALUE"""),"5: Lingkungan sangat mendukung (keluarga islami, shalat berjamaah, kontrol gadget baik).")</f>
        <v>5: Lingkungan sangat mendukung (keluarga islami, shalat berjamaah, kontrol gadget baik).</v>
      </c>
      <c r="H119" s="8" t="str">
        <f>IFERROR(__xludf.DUMMYFUNCTION("""COMPUTED_VALUE"""),"5: Hobi bermanfaat (olahraga, membaca, permainan edukatif).")</f>
        <v>5: Hobi bermanfaat (olahraga, membaca, permainan edukatif).</v>
      </c>
      <c r="I119" s="8" t="str">
        <f>IFERROR(__xludf.DUMMYFUNCTION("""COMPUTED_VALUE"""),"5: Berteman dengan lingkungan positif (masjid, teman shalih/shalihah).")</f>
        <v>5: Berteman dengan lingkungan positif (masjid, teman shalih/shalihah).</v>
      </c>
      <c r="J119" s="8" t="str">
        <f>IFERROR(__xludf.DUMMYFUNCTION("""COMPUTED_VALUE"""),"5: Jelas menolak, punya alasan agama/ilmu.")</f>
        <v>5: Jelas menolak, punya alasan agama/ilmu.</v>
      </c>
      <c r="K119" s="8" t="str">
        <f>IFERROR(__xludf.DUMMYFUNCTION("""COMPUTED_VALUE"""),"5: Menolak dengan tegas, paham bahaya dan dosa.")</f>
        <v>5: Menolak dengan tegas, paham bahaya dan dosa.</v>
      </c>
      <c r="L119" s="8" t="str">
        <f>IFERROR(__xludf.DUMMYFUNCTION("""COMPUTED_VALUE"""),"5: Hobi positif, produktif, mendukung pengembangan diri (olahraga, membaca, seni islami).")</f>
        <v>5: Hobi positif, produktif, mendukung pengembangan diri (olahraga, membaca, seni islami).</v>
      </c>
      <c r="M119" s="8" t="str">
        <f>IFERROR(__xludf.DUMMYFUNCTION("""COMPUTED_VALUE"""),"Halimah Fauziah ")</f>
        <v>Halimah Fauziah </v>
      </c>
      <c r="N119" s="8" t="str">
        <f>IFERROR(__xludf.DUMMYFUNCTION("""COMPUTED_VALUE"""),"A. Sangat Layak diterima (potensi besar berkembang di pesantren).")</f>
        <v>A. Sangat Layak diterima (potensi besar berkembang di pesantren).</v>
      </c>
      <c r="O119" s="8" t="str">
        <f>IFERROR(__xludf.DUMMYFUNCTION("""COMPUTED_VALUE"""),"Pemahaman agama baik, motivasi belajar tinggi")</f>
        <v>Pemahaman agama baik, motivasi belajar tinggi</v>
      </c>
      <c r="P119" s="131" t="str">
        <f t="shared" ref="P119:V119" si="121">left(F119,1)</f>
        <v>5</v>
      </c>
      <c r="Q119" s="131" t="str">
        <f t="shared" si="121"/>
        <v>5</v>
      </c>
      <c r="R119" s="131" t="str">
        <f t="shared" si="121"/>
        <v>5</v>
      </c>
      <c r="S119" s="131" t="str">
        <f t="shared" si="121"/>
        <v>5</v>
      </c>
      <c r="T119" s="131" t="str">
        <f t="shared" si="121"/>
        <v>5</v>
      </c>
      <c r="U119" s="131" t="str">
        <f t="shared" si="121"/>
        <v>5</v>
      </c>
      <c r="V119" s="131" t="str">
        <f t="shared" si="121"/>
        <v>5</v>
      </c>
      <c r="W119" s="119">
        <f t="shared" si="3"/>
        <v>35</v>
      </c>
      <c r="X119" s="119" t="str">
        <f t="shared" si="4"/>
        <v>Siap</v>
      </c>
      <c r="Y119" s="119" t="str">
        <f t="shared" si="5"/>
        <v>bisa mengikuti pola pesantren dengan baik</v>
      </c>
    </row>
    <row r="120" ht="24.0" customHeight="1">
      <c r="A120" s="104">
        <f>IFERROR(__xludf.DUMMYFUNCTION("""COMPUTED_VALUE"""),45967.86130163194)</f>
        <v>45967.8613</v>
      </c>
      <c r="B120" s="7" t="str">
        <f>IFERROR(__xludf.DUMMYFUNCTION("""COMPUTED_VALUE"""),"alfaruqsyauqi513@gmail.com")</f>
        <v>alfaruqsyauqi513@gmail.com</v>
      </c>
      <c r="C120" s="7" t="str">
        <f>IFERROR(__xludf.DUMMYFUNCTION("""COMPUTED_VALUE"""),"Muhammad Hamudi Alfarizi")</f>
        <v>Muhammad Hamudi Alfarizi</v>
      </c>
      <c r="D120" s="7" t="str">
        <f>IFERROR(__xludf.DUMMYFUNCTION("""COMPUTED_VALUE"""),"A250062")</f>
        <v>A250062</v>
      </c>
      <c r="E120" s="7" t="str">
        <f>IFERROR(__xludf.DUMMYFUNCTION("""COMPUTED_VALUE"""),"MTs Putra")</f>
        <v>MTs Putra</v>
      </c>
      <c r="F120" s="8" t="str">
        <f>IFERROR(__xludf.DUMMYFUNCTION("""COMPUTED_VALUE"""),"4: Cukup jelas, alasan positif namun masih umum.")</f>
        <v>4: Cukup jelas, alasan positif namun masih umum.</v>
      </c>
      <c r="G120" s="8" t="str">
        <f>IFERROR(__xludf.DUMMYFUNCTION("""COMPUTED_VALUE"""),"4: Lingkungan cukup mendukung, ada perhatian orang tua.")</f>
        <v>4: Lingkungan cukup mendukung, ada perhatian orang tua.</v>
      </c>
      <c r="H120" s="8" t="str">
        <f>IFERROR(__xludf.DUMMYFUNCTION("""COMPUTED_VALUE"""),"4: Game rekreasi wajar, tidak berlebihan.")</f>
        <v>4: Game rekreasi wajar, tidak berlebihan.</v>
      </c>
      <c r="I120" s="8" t="str">
        <f>IFERROR(__xludf.DUMMYFUNCTION("""COMPUTED_VALUE"""),"5: Berteman dengan lingkungan positif (masjid, teman shalih/shalihah).")</f>
        <v>5: Berteman dengan lingkungan positif (masjid, teman shalih/shalihah).</v>
      </c>
      <c r="J120" s="8" t="str">
        <f>IFERROR(__xludf.DUMMYFUNCTION("""COMPUTED_VALUE"""),"4: Menolak, tapi alasannya umum.")</f>
        <v>4: Menolak, tapi alasannya umum.</v>
      </c>
      <c r="K120" s="8" t="str">
        <f>IFERROR(__xludf.DUMMYFUNCTION("""COMPUTED_VALUE"""),"5: Menolak dengan tegas, paham bahaya dan dosa.")</f>
        <v>5: Menolak dengan tegas, paham bahaya dan dosa.</v>
      </c>
      <c r="L120" s="8" t="str">
        <f>IFERROR(__xludf.DUMMYFUNCTION("""COMPUTED_VALUE"""),"5: Hobi positif, produktif, mendukung pengembangan diri (olahraga, membaca, seni islami).")</f>
        <v>5: Hobi positif, produktif, mendukung pengembangan diri (olahraga, membaca, seni islami).</v>
      </c>
      <c r="M120" s="8" t="str">
        <f>IFERROR(__xludf.DUMMYFUNCTION("""COMPUTED_VALUE"""),"Muhammad syauqi alfaruq")</f>
        <v>Muhammad syauqi alfaruq</v>
      </c>
      <c r="N120" s="8" t="str">
        <f>IFERROR(__xludf.DUMMYFUNCTION("""COMPUTED_VALUE"""),"C. Perlu Pertimbangan (butuh bimbingan khusus).")</f>
        <v>C. Perlu Pertimbangan (butuh bimbingan khusus).</v>
      </c>
      <c r="O120" s="8"/>
      <c r="P120" s="131" t="str">
        <f t="shared" ref="P120:V120" si="122">left(F120,1)</f>
        <v>4</v>
      </c>
      <c r="Q120" s="131" t="str">
        <f t="shared" si="122"/>
        <v>4</v>
      </c>
      <c r="R120" s="131" t="str">
        <f t="shared" si="122"/>
        <v>4</v>
      </c>
      <c r="S120" s="131" t="str">
        <f t="shared" si="122"/>
        <v>5</v>
      </c>
      <c r="T120" s="131" t="str">
        <f t="shared" si="122"/>
        <v>4</v>
      </c>
      <c r="U120" s="131" t="str">
        <f t="shared" si="122"/>
        <v>5</v>
      </c>
      <c r="V120" s="131" t="str">
        <f t="shared" si="122"/>
        <v>5</v>
      </c>
      <c r="W120" s="119">
        <f t="shared" si="3"/>
        <v>31</v>
      </c>
      <c r="X120" s="119" t="str">
        <f t="shared" si="4"/>
        <v>Siap</v>
      </c>
      <c r="Y120" s="119" t="str">
        <f t="shared" si="5"/>
        <v>bisa mengikuti pola pesantren dengan baik</v>
      </c>
    </row>
    <row r="121" ht="24.0" customHeight="1">
      <c r="A121" s="104">
        <f>IFERROR(__xludf.DUMMYFUNCTION("""COMPUTED_VALUE"""),45967.865558680554)</f>
        <v>45967.86556</v>
      </c>
      <c r="B121" s="7" t="str">
        <f>IFERROR(__xludf.DUMMYFUNCTION("""COMPUTED_VALUE"""),"halimahnurjalalhfnjl@gmail.com")</f>
        <v>halimahnurjalalhfnjl@gmail.com</v>
      </c>
      <c r="C121" s="7" t="str">
        <f>IFERROR(__xludf.DUMMYFUNCTION("""COMPUTED_VALUE"""),"Nidaul Husna")</f>
        <v>Nidaul Husna</v>
      </c>
      <c r="D121" s="7" t="str">
        <f>IFERROR(__xludf.DUMMYFUNCTION("""COMPUTED_VALUE"""),"F250003")</f>
        <v>F250003</v>
      </c>
      <c r="E121" s="7" t="str">
        <f>IFERROR(__xludf.DUMMYFUNCTION("""COMPUTED_VALUE"""),"IL Putri")</f>
        <v>IL Putri</v>
      </c>
      <c r="F121" s="8" t="str">
        <f>IFERROR(__xludf.DUMMYFUNCTION("""COMPUTED_VALUE"""),"5: Sangat jelas, kuat, dan sesuai visi pesantren (ingin belajar agama, mandiri, dekat dengan Allah).")</f>
        <v>5: Sangat jelas, kuat, dan sesuai visi pesantren (ingin belajar agama, mandiri, dekat dengan Allah).</v>
      </c>
      <c r="G121" s="8" t="str">
        <f>IFERROR(__xludf.DUMMYFUNCTION("""COMPUTED_VALUE"""),"5: Lingkungan sangat mendukung (keluarga islami, shalat berjamaah, kontrol gadget baik).")</f>
        <v>5: Lingkungan sangat mendukung (keluarga islami, shalat berjamaah, kontrol gadget baik).</v>
      </c>
      <c r="H121" s="8" t="str">
        <f>IFERROR(__xludf.DUMMYFUNCTION("""COMPUTED_VALUE"""),"5: Hobi bermanfaat (olahraga, membaca, permainan edukatif).")</f>
        <v>5: Hobi bermanfaat (olahraga, membaca, permainan edukatif).</v>
      </c>
      <c r="I121" s="8" t="str">
        <f>IFERROR(__xludf.DUMMYFUNCTION("""COMPUTED_VALUE"""),"5: Berteman dengan lingkungan positif (masjid, teman shalih/shalihah).")</f>
        <v>5: Berteman dengan lingkungan positif (masjid, teman shalih/shalihah).</v>
      </c>
      <c r="J121" s="8" t="str">
        <f>IFERROR(__xludf.DUMMYFUNCTION("""COMPUTED_VALUE"""),"5: Jelas menolak, punya alasan agama/ilmu.")</f>
        <v>5: Jelas menolak, punya alasan agama/ilmu.</v>
      </c>
      <c r="K121" s="8" t="str">
        <f>IFERROR(__xludf.DUMMYFUNCTION("""COMPUTED_VALUE"""),"5: Menolak dengan tegas, paham bahaya dan dosa.")</f>
        <v>5: Menolak dengan tegas, paham bahaya dan dosa.</v>
      </c>
      <c r="L121" s="8" t="str">
        <f>IFERROR(__xludf.DUMMYFUNCTION("""COMPUTED_VALUE"""),"5: Hobi positif, produktif, mendukung pengembangan diri (olahraga, membaca, seni islami).")</f>
        <v>5: Hobi positif, produktif, mendukung pengembangan diri (olahraga, membaca, seni islami).</v>
      </c>
      <c r="M121" s="8" t="str">
        <f>IFERROR(__xludf.DUMMYFUNCTION("""COMPUTED_VALUE"""),"Halimah Fauziah ")</f>
        <v>Halimah Fauziah </v>
      </c>
      <c r="N121" s="8" t="str">
        <f>IFERROR(__xludf.DUMMYFUNCTION("""COMPUTED_VALUE"""),"A. Sangat Layak diterima (potensi besar berkembang di pesantren).")</f>
        <v>A. Sangat Layak diterima (potensi besar berkembang di pesantren).</v>
      </c>
      <c r="O121" s="8" t="str">
        <f>IFERROR(__xludf.DUMMYFUNCTION("""COMPUTED_VALUE"""),"Ananda menunjukkan akhlak yang positif dengan akhlak yang baik. Hanya saja jarang komunikasi dengan lingkungan luar karena sekolah nya homeschooling memiliki hafalan 12 juz")</f>
        <v>Ananda menunjukkan akhlak yang positif dengan akhlak yang baik. Hanya saja jarang komunikasi dengan lingkungan luar karena sekolah nya homeschooling memiliki hafalan 12 juz</v>
      </c>
      <c r="P121" s="131" t="str">
        <f t="shared" ref="P121:V121" si="123">left(F121,1)</f>
        <v>5</v>
      </c>
      <c r="Q121" s="131" t="str">
        <f t="shared" si="123"/>
        <v>5</v>
      </c>
      <c r="R121" s="131" t="str">
        <f t="shared" si="123"/>
        <v>5</v>
      </c>
      <c r="S121" s="131" t="str">
        <f t="shared" si="123"/>
        <v>5</v>
      </c>
      <c r="T121" s="131" t="str">
        <f t="shared" si="123"/>
        <v>5</v>
      </c>
      <c r="U121" s="131" t="str">
        <f t="shared" si="123"/>
        <v>5</v>
      </c>
      <c r="V121" s="131" t="str">
        <f t="shared" si="123"/>
        <v>5</v>
      </c>
      <c r="W121" s="119">
        <f t="shared" si="3"/>
        <v>35</v>
      </c>
      <c r="X121" s="119" t="str">
        <f t="shared" si="4"/>
        <v>Siap</v>
      </c>
      <c r="Y121" s="119" t="str">
        <f t="shared" si="5"/>
        <v>bisa mengikuti pola pesantren dengan baik</v>
      </c>
    </row>
    <row r="122" ht="24.0" customHeight="1">
      <c r="A122" s="104">
        <f>IFERROR(__xludf.DUMMYFUNCTION("""COMPUTED_VALUE"""),45968.39970386574)</f>
        <v>45968.3997</v>
      </c>
      <c r="B122" s="7" t="str">
        <f>IFERROR(__xludf.DUMMYFUNCTION("""COMPUTED_VALUE"""),"nabilmujtaba426@gmail.com")</f>
        <v>nabilmujtaba426@gmail.com</v>
      </c>
      <c r="C122" s="7" t="str">
        <f>IFERROR(__xludf.DUMMYFUNCTION("""COMPUTED_VALUE"""),"Achmad Kaisan Sidqi")</f>
        <v>Achmad Kaisan Sidqi</v>
      </c>
      <c r="D122" s="7" t="str">
        <f>IFERROR(__xludf.DUMMYFUNCTION("""COMPUTED_VALUE"""),"C250007")</f>
        <v>C250007</v>
      </c>
      <c r="E122" s="7" t="str">
        <f>IFERROR(__xludf.DUMMYFUNCTION("""COMPUTED_VALUE"""),"SMA Putra")</f>
        <v>SMA Putra</v>
      </c>
      <c r="F122" s="8" t="str">
        <f>IFERROR(__xludf.DUMMYFUNCTION("""COMPUTED_VALUE"""),"1: Tidak ada motivasi, terpaksa, atau menolak.")</f>
        <v>1: Tidak ada motivasi, terpaksa, atau menolak.</v>
      </c>
      <c r="G122" s="8" t="str">
        <f>IFERROR(__xludf.DUMMYFUNCTION("""COMPUTED_VALUE"""),"1: Lingkungan sangat tidak mendukung (bebas tanpa kontrol, pergaulan buruk).")</f>
        <v>1: Lingkungan sangat tidak mendukung (bebas tanpa kontrol, pergaulan buruk).</v>
      </c>
      <c r="H122" s="8" t="str">
        <f>IFERROR(__xludf.DUMMYFUNCTION("""COMPUTED_VALUE"""),"1: Sangat kecanduan game, mengganggu sekolah/ibadah.")</f>
        <v>1: Sangat kecanduan game, mengganggu sekolah/ibadah.</v>
      </c>
      <c r="I122" s="8" t="str">
        <f>IFERROR(__xludf.DUMMYFUNCTION("""COMPUTED_VALUE"""),"1: Nongkrong dengan kelompok bermasalah (merokok, tawuran, dll).")</f>
        <v>1: Nongkrong dengan kelompok bermasalah (merokok, tawuran, dll).</v>
      </c>
      <c r="J122" s="8" t="str">
        <f>IFERROR(__xludf.DUMMYFUNCTION("""COMPUTED_VALUE"""),"1: Aktif menggunakan rokok/vape/pod.")</f>
        <v>1: Aktif menggunakan rokok/vape/pod.</v>
      </c>
      <c r="K122" s="8" t="str">
        <f>IFERROR(__xludf.DUMMYFUNCTION("""COMPUTED_VALUE"""),"3: Pernah melihat, tapi merasa salah dan ingin menjauhi.")</f>
        <v>3: Pernah melihat, tapi merasa salah dan ingin menjauhi.</v>
      </c>
      <c r="L122" s="8" t="str">
        <f>IFERROR(__xludf.DUMMYFUNCTION("""COMPUTED_VALUE"""),"1: Hobi negatif (rokok, balapan liar, dll).")</f>
        <v>1: Hobi negatif (rokok, balapan liar, dll).</v>
      </c>
      <c r="M122" s="8" t="str">
        <f>IFERROR(__xludf.DUMMYFUNCTION("""COMPUTED_VALUE"""),"Nabil Mujtaba")</f>
        <v>Nabil Mujtaba</v>
      </c>
      <c r="N122" s="8" t="str">
        <f>IFERROR(__xludf.DUMMYFUNCTION("""COMPUTED_VALUE"""),"E. Tidak layak diterima saat ini.")</f>
        <v>E. Tidak layak diterima saat ini.</v>
      </c>
      <c r="O122" s="8" t="str">
        <f>IFERROR(__xludf.DUMMYFUNCTION("""COMPUTED_VALUE"""),"DIKELUARKAN DARI PONDOK KARENA SP3, AKTIF PEROKOK")</f>
        <v>DIKELUARKAN DARI PONDOK KARENA SP3, AKTIF PEROKOK</v>
      </c>
      <c r="P122" s="131" t="str">
        <f t="shared" ref="P122:V122" si="124">left(F122,1)</f>
        <v>1</v>
      </c>
      <c r="Q122" s="131" t="str">
        <f t="shared" si="124"/>
        <v>1</v>
      </c>
      <c r="R122" s="131" t="str">
        <f t="shared" si="124"/>
        <v>1</v>
      </c>
      <c r="S122" s="131" t="str">
        <f t="shared" si="124"/>
        <v>1</v>
      </c>
      <c r="T122" s="131" t="str">
        <f t="shared" si="124"/>
        <v>1</v>
      </c>
      <c r="U122" s="131" t="str">
        <f t="shared" si="124"/>
        <v>3</v>
      </c>
      <c r="V122" s="131" t="str">
        <f t="shared" si="124"/>
        <v>1</v>
      </c>
      <c r="W122" s="119">
        <f t="shared" si="3"/>
        <v>9</v>
      </c>
      <c r="X122" s="119" t="str">
        <f t="shared" si="4"/>
        <v>Belum Siap</v>
      </c>
      <c r="Y122" s="119" t="str">
        <f t="shared" si="5"/>
        <v>butuh bimbingan intensif</v>
      </c>
    </row>
    <row r="123" ht="24.0" customHeight="1">
      <c r="A123" s="104">
        <f>IFERROR(__xludf.DUMMYFUNCTION("""COMPUTED_VALUE"""),45968.62230210648)</f>
        <v>45968.6223</v>
      </c>
      <c r="B123" s="7" t="str">
        <f>IFERROR(__xludf.DUMMYFUNCTION("""COMPUTED_VALUE"""),"muhajirlah@gmail.com")</f>
        <v>muhajirlah@gmail.com</v>
      </c>
      <c r="C123" s="7" t="str">
        <f>IFERROR(__xludf.DUMMYFUNCTION("""COMPUTED_VALUE"""),"MUHAMMAD NADHIF RAISYAUQI")</f>
        <v>MUHAMMAD NADHIF RAISYAUQI</v>
      </c>
      <c r="D123" s="7" t="str">
        <f>IFERROR(__xludf.DUMMYFUNCTION("""COMPUTED_VALUE"""),"A250075")</f>
        <v>A250075</v>
      </c>
      <c r="E123" s="7" t="str">
        <f>IFERROR(__xludf.DUMMYFUNCTION("""COMPUTED_VALUE"""),"MTs Putra")</f>
        <v>MTs Putra</v>
      </c>
      <c r="F123" s="8" t="str">
        <f>IFERROR(__xludf.DUMMYFUNCTION("""COMPUTED_VALUE"""),"5: Sangat jelas, kuat, dan sesuai visi pesantren (ingin belajar agama, mandiri, dekat dengan Allah).")</f>
        <v>5: Sangat jelas, kuat, dan sesuai visi pesantren (ingin belajar agama, mandiri, dekat dengan Allah).</v>
      </c>
      <c r="G123" s="8" t="str">
        <f>IFERROR(__xludf.DUMMYFUNCTION("""COMPUTED_VALUE"""),"5: Lingkungan sangat mendukung (keluarga islami, shalat berjamaah, kontrol gadget baik).")</f>
        <v>5: Lingkungan sangat mendukung (keluarga islami, shalat berjamaah, kontrol gadget baik).</v>
      </c>
      <c r="H123" s="8" t="str">
        <f>IFERROR(__xludf.DUMMYFUNCTION("""COMPUTED_VALUE"""),"4: Game rekreasi wajar, tidak berlebihan.")</f>
        <v>4: Game rekreasi wajar, tidak berlebihan.</v>
      </c>
      <c r="I123" s="8" t="str">
        <f>IFERROR(__xludf.DUMMYFUNCTION("""COMPUTED_VALUE"""),"4: Mayoritas teman baik, ada sedikit yang kurang baik.")</f>
        <v>4: Mayoritas teman baik, ada sedikit yang kurang baik.</v>
      </c>
      <c r="J123" s="8" t="str">
        <f>IFERROR(__xludf.DUMMYFUNCTION("""COMPUTED_VALUE"""),"5: Jelas menolak, punya alasan agama/ilmu.")</f>
        <v>5: Jelas menolak, punya alasan agama/ilmu.</v>
      </c>
      <c r="K123" s="8" t="str">
        <f>IFERROR(__xludf.DUMMYFUNCTION("""COMPUTED_VALUE"""),"4: Menolak, tapi belum terlalu paham alasannya.")</f>
        <v>4: Menolak, tapi belum terlalu paham alasannya.</v>
      </c>
      <c r="L123" s="8" t="str">
        <f>IFERROR(__xludf.DUMMYFUNCTION("""COMPUTED_VALUE"""),"5: Hobi positif, produktif, mendukung pengembangan diri (olahraga, membaca, seni islami).")</f>
        <v>5: Hobi positif, produktif, mendukung pengembangan diri (olahraga, membaca, seni islami).</v>
      </c>
      <c r="M123" s="8" t="str">
        <f>IFERROR(__xludf.DUMMYFUNCTION("""COMPUTED_VALUE"""),"Muhajir")</f>
        <v>Muhajir</v>
      </c>
      <c r="N123" s="8" t="str">
        <f>IFERROR(__xludf.DUMMYFUNCTION("""COMPUTED_VALUE"""),"A. Sangat Layak diterima (potensi besar berkembang di pesantren).")</f>
        <v>A. Sangat Layak diterima (potensi besar berkembang di pesantren).</v>
      </c>
      <c r="O123" s="8"/>
      <c r="P123" s="131" t="str">
        <f t="shared" ref="P123:V123" si="125">left(F123,1)</f>
        <v>5</v>
      </c>
      <c r="Q123" s="131" t="str">
        <f t="shared" si="125"/>
        <v>5</v>
      </c>
      <c r="R123" s="131" t="str">
        <f t="shared" si="125"/>
        <v>4</v>
      </c>
      <c r="S123" s="131" t="str">
        <f t="shared" si="125"/>
        <v>4</v>
      </c>
      <c r="T123" s="131" t="str">
        <f t="shared" si="125"/>
        <v>5</v>
      </c>
      <c r="U123" s="131" t="str">
        <f t="shared" si="125"/>
        <v>4</v>
      </c>
      <c r="V123" s="131" t="str">
        <f t="shared" si="125"/>
        <v>5</v>
      </c>
      <c r="W123" s="119">
        <f t="shared" si="3"/>
        <v>32</v>
      </c>
      <c r="X123" s="119" t="str">
        <f t="shared" si="4"/>
        <v>Siap</v>
      </c>
      <c r="Y123" s="119" t="str">
        <f t="shared" si="5"/>
        <v>bisa mengikuti pola pesantren dengan baik</v>
      </c>
    </row>
    <row r="124" ht="24.0" customHeight="1">
      <c r="A124" s="104">
        <f>IFERROR(__xludf.DUMMYFUNCTION("""COMPUTED_VALUE"""),45968.67446704861)</f>
        <v>45968.67447</v>
      </c>
      <c r="B124" s="7" t="str">
        <f>IFERROR(__xludf.DUMMYFUNCTION("""COMPUTED_VALUE"""),"muhajirlah@gmail.com")</f>
        <v>muhajirlah@gmail.com</v>
      </c>
      <c r="C124" s="7" t="str">
        <f>IFERROR(__xludf.DUMMYFUNCTION("""COMPUTED_VALUE"""),"Geysa Reyfan ")</f>
        <v>Geysa Reyfan </v>
      </c>
      <c r="D124" s="7" t="str">
        <f>IFERROR(__xludf.DUMMYFUNCTION("""COMPUTED_VALUE"""),"A250083")</f>
        <v>A250083</v>
      </c>
      <c r="E124" s="7" t="str">
        <f>IFERROR(__xludf.DUMMYFUNCTION("""COMPUTED_VALUE"""),"MTs Putra")</f>
        <v>MTs Putra</v>
      </c>
      <c r="F124" s="8" t="str">
        <f>IFERROR(__xludf.DUMMYFUNCTION("""COMPUTED_VALUE"""),"3: Alasan kurang terarah, dipengaruhi orang tua, tapi ada kesediaan.")</f>
        <v>3: Alasan kurang terarah, dipengaruhi orang tua, tapi ada kesediaan.</v>
      </c>
      <c r="G124" s="8" t="str">
        <f>IFERROR(__xludf.DUMMYFUNCTION("""COMPUTED_VALUE"""),"3: Lingkungan biasa saja, kadang ada pengaruh negatif.")</f>
        <v>3: Lingkungan biasa saja, kadang ada pengaruh negatif.</v>
      </c>
      <c r="H124" s="8" t="str">
        <f>IFERROR(__xludf.DUMMYFUNCTION("""COMPUTED_VALUE"""),"3: Game online, tapi masih bisa dikontrol.")</f>
        <v>3: Game online, tapi masih bisa dikontrol.</v>
      </c>
      <c r="I124" s="8" t="str">
        <f>IFERROR(__xludf.DUMMYFUNCTION("""COMPUTED_VALUE"""),"3: Teman biasa saja, netral.")</f>
        <v>3: Teman biasa saja, netral.</v>
      </c>
      <c r="J124" s="8" t="str">
        <f>IFERROR(__xludf.DUMMYFUNCTION("""COMPUTED_VALUE"""),"3: Netral/tidak tahu, belum ada sikap tegas.")</f>
        <v>3: Netral/tidak tahu, belum ada sikap tegas.</v>
      </c>
      <c r="K124" s="8" t="str">
        <f>IFERROR(__xludf.DUMMYFUNCTION("""COMPUTED_VALUE"""),"4: Menolak, tapi belum terlalu paham alasannya.")</f>
        <v>4: Menolak, tapi belum terlalu paham alasannya.</v>
      </c>
      <c r="L124" s="8" t="str">
        <f>IFERROR(__xludf.DUMMYFUNCTION("""COMPUTED_VALUE"""),"4: Hobi umum yang wajar (menggambar, dll).")</f>
        <v>4: Hobi umum yang wajar (menggambar, dll).</v>
      </c>
      <c r="M124" s="8" t="str">
        <f>IFERROR(__xludf.DUMMYFUNCTION("""COMPUTED_VALUE"""),"Muhajir")</f>
        <v>Muhajir</v>
      </c>
      <c r="N124" s="8" t="str">
        <f>IFERROR(__xludf.DUMMYFUNCTION("""COMPUTED_VALUE"""),"C. Perlu Pertimbangan (butuh bimbingan khusus).")</f>
        <v>C. Perlu Pertimbangan (butuh bimbingan khusus).</v>
      </c>
      <c r="O124" s="8" t="str">
        <f>IFERROR(__xludf.DUMMYFUNCTION("""COMPUTED_VALUE"""),"Anak nya ingin sekolah di umum namun ortu nya ingin anak nya di pesantren kan.. ")</f>
        <v>Anak nya ingin sekolah di umum namun ortu nya ingin anak nya di pesantren kan.. </v>
      </c>
      <c r="P124" s="131" t="str">
        <f t="shared" ref="P124:V124" si="126">left(F124,1)</f>
        <v>3</v>
      </c>
      <c r="Q124" s="131" t="str">
        <f t="shared" si="126"/>
        <v>3</v>
      </c>
      <c r="R124" s="131" t="str">
        <f t="shared" si="126"/>
        <v>3</v>
      </c>
      <c r="S124" s="131" t="str">
        <f t="shared" si="126"/>
        <v>3</v>
      </c>
      <c r="T124" s="131" t="str">
        <f t="shared" si="126"/>
        <v>3</v>
      </c>
      <c r="U124" s="131" t="str">
        <f t="shared" si="126"/>
        <v>4</v>
      </c>
      <c r="V124" s="131" t="str">
        <f t="shared" si="126"/>
        <v>4</v>
      </c>
      <c r="W124" s="119">
        <f t="shared" si="3"/>
        <v>23</v>
      </c>
      <c r="X124" s="119" t="str">
        <f t="shared" si="4"/>
        <v>Cukup Siap</v>
      </c>
      <c r="Y124" s="119" t="str">
        <f t="shared" si="5"/>
        <v>perlu pendampingan awal</v>
      </c>
    </row>
    <row r="125" ht="24.0" customHeight="1">
      <c r="A125" s="104">
        <f>IFERROR(__xludf.DUMMYFUNCTION("""COMPUTED_VALUE"""),45968.71683046296)</f>
        <v>45968.71683</v>
      </c>
      <c r="B125" s="7" t="str">
        <f>IFERROR(__xludf.DUMMYFUNCTION("""COMPUTED_VALUE"""),"rimamaryani5606@gmail.com")</f>
        <v>rimamaryani5606@gmail.com</v>
      </c>
      <c r="C125" s="7" t="str">
        <f>IFERROR(__xludf.DUMMYFUNCTION("""COMPUTED_VALUE"""),"ADLIN AR RIHAILY")</f>
        <v>ADLIN AR RIHAILY</v>
      </c>
      <c r="D125" s="7" t="str">
        <f>IFERROR(__xludf.DUMMYFUNCTION("""COMPUTED_VALUE"""),"D250020")</f>
        <v>D250020</v>
      </c>
      <c r="E125" s="7" t="str">
        <f>IFERROR(__xludf.DUMMYFUNCTION("""COMPUTED_VALUE"""),"MTs Putri")</f>
        <v>MTs Putri</v>
      </c>
      <c r="F125" s="8" t="str">
        <f>IFERROR(__xludf.DUMMYFUNCTION("""COMPUTED_VALUE"""),"5: Sangat jelas, kuat, dan sesuai visi pesantren (ingin belajar agama, mandiri, dekat dengan Allah).")</f>
        <v>5: Sangat jelas, kuat, dan sesuai visi pesantren (ingin belajar agama, mandiri, dekat dengan Allah).</v>
      </c>
      <c r="G125" s="8" t="str">
        <f>IFERROR(__xludf.DUMMYFUNCTION("""COMPUTED_VALUE"""),"5: Lingkungan sangat mendukung (keluarga islami, shalat berjamaah, kontrol gadget baik).")</f>
        <v>5: Lingkungan sangat mendukung (keluarga islami, shalat berjamaah, kontrol gadget baik).</v>
      </c>
      <c r="H125" s="8" t="str">
        <f>IFERROR(__xludf.DUMMYFUNCTION("""COMPUTED_VALUE"""),"5: Hobi bermanfaat (olahraga, membaca, permainan edukatif).")</f>
        <v>5: Hobi bermanfaat (olahraga, membaca, permainan edukatif).</v>
      </c>
      <c r="I125" s="8" t="str">
        <f>IFERROR(__xludf.DUMMYFUNCTION("""COMPUTED_VALUE"""),"5: Berteman dengan lingkungan positif (masjid, teman shalih/shalihah).")</f>
        <v>5: Berteman dengan lingkungan positif (masjid, teman shalih/shalihah).</v>
      </c>
      <c r="J125" s="8" t="str">
        <f>IFERROR(__xludf.DUMMYFUNCTION("""COMPUTED_VALUE"""),"4: Menolak, tapi alasannya umum.")</f>
        <v>4: Menolak, tapi alasannya umum.</v>
      </c>
      <c r="K125" s="8" t="str">
        <f>IFERROR(__xludf.DUMMYFUNCTION("""COMPUTED_VALUE"""),"5: Menolak dengan tegas, paham bahaya dan dosa.")</f>
        <v>5: Menolak dengan tegas, paham bahaya dan dosa.</v>
      </c>
      <c r="L125" s="8" t="str">
        <f>IFERROR(__xludf.DUMMYFUNCTION("""COMPUTED_VALUE"""),"4: Hobi umum yang wajar (menggambar, dll).")</f>
        <v>4: Hobi umum yang wajar (menggambar, dll).</v>
      </c>
      <c r="M125" s="8" t="str">
        <f>IFERROR(__xludf.DUMMYFUNCTION("""COMPUTED_VALUE"""),"RIMA MARYANI PUTRI UTAMI, S.Pd.I")</f>
        <v>RIMA MARYANI PUTRI UTAMI, S.Pd.I</v>
      </c>
      <c r="N125" s="8" t="str">
        <f>IFERROR(__xludf.DUMMYFUNCTION("""COMPUTED_VALUE"""),"A. Sangat Layak diterima (potensi besar berkembang di pesantren).")</f>
        <v>A. Sangat Layak diterima (potensi besar berkembang di pesantren).</v>
      </c>
      <c r="O125" s="8" t="str">
        <f>IFERROR(__xludf.DUMMYFUNCTION("""COMPUTED_VALUE"""),"Alhamdulillah ananda baik, komunikatif dan sopan dalam berinteraksi. Ananda memiliki potensi yang baik untuk mengikuti kehidupan di pesantren. ")</f>
        <v>Alhamdulillah ananda baik, komunikatif dan sopan dalam berinteraksi. Ananda memiliki potensi yang baik untuk mengikuti kehidupan di pesantren. </v>
      </c>
      <c r="P125" s="131" t="str">
        <f t="shared" ref="P125:V125" si="127">left(F125,1)</f>
        <v>5</v>
      </c>
      <c r="Q125" s="131" t="str">
        <f t="shared" si="127"/>
        <v>5</v>
      </c>
      <c r="R125" s="131" t="str">
        <f t="shared" si="127"/>
        <v>5</v>
      </c>
      <c r="S125" s="131" t="str">
        <f t="shared" si="127"/>
        <v>5</v>
      </c>
      <c r="T125" s="131" t="str">
        <f t="shared" si="127"/>
        <v>4</v>
      </c>
      <c r="U125" s="131" t="str">
        <f t="shared" si="127"/>
        <v>5</v>
      </c>
      <c r="V125" s="131" t="str">
        <f t="shared" si="127"/>
        <v>4</v>
      </c>
      <c r="W125" s="119">
        <f t="shared" si="3"/>
        <v>33</v>
      </c>
      <c r="X125" s="119" t="str">
        <f t="shared" si="4"/>
        <v>Siap</v>
      </c>
      <c r="Y125" s="119" t="str">
        <f t="shared" si="5"/>
        <v>bisa mengikuti pola pesantren dengan baik</v>
      </c>
    </row>
    <row r="126" ht="24.0" customHeight="1">
      <c r="A126" s="104">
        <f>IFERROR(__xludf.DUMMYFUNCTION("""COMPUTED_VALUE"""),45968.71833527778)</f>
        <v>45968.71834</v>
      </c>
      <c r="B126" s="7" t="str">
        <f>IFERROR(__xludf.DUMMYFUNCTION("""COMPUTED_VALUE"""),"zaldoyrizaldi@gmail.com")</f>
        <v>zaldoyrizaldi@gmail.com</v>
      </c>
      <c r="C126" s="7" t="str">
        <f>IFERROR(__xludf.DUMMYFUNCTION("""COMPUTED_VALUE"""),"Ahmad kamaludin")</f>
        <v>Ahmad kamaludin</v>
      </c>
      <c r="D126" s="7" t="str">
        <f>IFERROR(__xludf.DUMMYFUNCTION("""COMPUTED_VALUE"""),"A250030")</f>
        <v>A250030</v>
      </c>
      <c r="E126" s="7" t="str">
        <f>IFERROR(__xludf.DUMMYFUNCTION("""COMPUTED_VALUE"""),"MTs Putra")</f>
        <v>MTs Putra</v>
      </c>
      <c r="F126" s="8" t="str">
        <f>IFERROR(__xludf.DUMMYFUNCTION("""COMPUTED_VALUE"""),"4: Cukup jelas, alasan positif namun masih umum.")</f>
        <v>4: Cukup jelas, alasan positif namun masih umum.</v>
      </c>
      <c r="G126" s="8" t="str">
        <f>IFERROR(__xludf.DUMMYFUNCTION("""COMPUTED_VALUE"""),"4: Lingkungan cukup mendukung, ada perhatian orang tua.")</f>
        <v>4: Lingkungan cukup mendukung, ada perhatian orang tua.</v>
      </c>
      <c r="H126" s="8" t="str">
        <f>IFERROR(__xludf.DUMMYFUNCTION("""COMPUTED_VALUE"""),"4: Game rekreasi wajar, tidak berlebihan.")</f>
        <v>4: Game rekreasi wajar, tidak berlebihan.</v>
      </c>
      <c r="I126" s="8" t="str">
        <f>IFERROR(__xludf.DUMMYFUNCTION("""COMPUTED_VALUE"""),"3: Teman biasa saja, netral.")</f>
        <v>3: Teman biasa saja, netral.</v>
      </c>
      <c r="J126" s="8" t="str">
        <f>IFERROR(__xludf.DUMMYFUNCTION("""COMPUTED_VALUE"""),"5: Jelas menolak, punya alasan agama/ilmu.")</f>
        <v>5: Jelas menolak, punya alasan agama/ilmu.</v>
      </c>
      <c r="K126" s="8" t="str">
        <f>IFERROR(__xludf.DUMMYFUNCTION("""COMPUTED_VALUE"""),"4: Menolak, tapi belum terlalu paham alasannya.")</f>
        <v>4: Menolak, tapi belum terlalu paham alasannya.</v>
      </c>
      <c r="L126" s="8" t="str">
        <f>IFERROR(__xludf.DUMMYFUNCTION("""COMPUTED_VALUE"""),"4: Hobi umum yang wajar (menggambar, dll).")</f>
        <v>4: Hobi umum yang wajar (menggambar, dll).</v>
      </c>
      <c r="M126" s="8" t="str">
        <f>IFERROR(__xludf.DUMMYFUNCTION("""COMPUTED_VALUE"""),"rizaldi")</f>
        <v>rizaldi</v>
      </c>
      <c r="N126" s="8" t="str">
        <f>IFERROR(__xludf.DUMMYFUNCTION("""COMPUTED_VALUE"""),"B. Layak diterima dengan catatan pembinaan.")</f>
        <v>B. Layak diterima dengan catatan pembinaan.</v>
      </c>
      <c r="O126" s="8" t="str">
        <f>IFERROR(__xludf.DUMMYFUNCTION("""COMPUTED_VALUE"""),"anak nya klo kita misalkan seperti usamah, susah di tebak, di tanya ini itu loading n
ya lumayan lama")</f>
        <v>anak nya klo kita misalkan seperti usamah, susah di tebak, di tanya ini itu loading n
ya lumayan lama</v>
      </c>
      <c r="P126" s="131" t="str">
        <f t="shared" ref="P126:V126" si="128">left(F126,1)</f>
        <v>4</v>
      </c>
      <c r="Q126" s="131" t="str">
        <f t="shared" si="128"/>
        <v>4</v>
      </c>
      <c r="R126" s="131" t="str">
        <f t="shared" si="128"/>
        <v>4</v>
      </c>
      <c r="S126" s="131" t="str">
        <f t="shared" si="128"/>
        <v>3</v>
      </c>
      <c r="T126" s="131" t="str">
        <f t="shared" si="128"/>
        <v>5</v>
      </c>
      <c r="U126" s="131" t="str">
        <f t="shared" si="128"/>
        <v>4</v>
      </c>
      <c r="V126" s="131" t="str">
        <f t="shared" si="128"/>
        <v>4</v>
      </c>
      <c r="W126" s="119">
        <f t="shared" si="3"/>
        <v>28</v>
      </c>
      <c r="X126" s="119" t="str">
        <f t="shared" si="4"/>
        <v>Cukup Siap</v>
      </c>
      <c r="Y126" s="119" t="str">
        <f t="shared" si="5"/>
        <v>perlu pendampingan awal</v>
      </c>
    </row>
    <row r="127" ht="24.0" customHeight="1">
      <c r="A127" s="104">
        <f>IFERROR(__xludf.DUMMYFUNCTION("""COMPUTED_VALUE"""),45968.82252630787)</f>
        <v>45968.82253</v>
      </c>
      <c r="B127" s="7" t="str">
        <f>IFERROR(__xludf.DUMMYFUNCTION("""COMPUTED_VALUE"""),"zaldoyrizaldi@gmail.com")</f>
        <v>zaldoyrizaldi@gmail.com</v>
      </c>
      <c r="C127" s="7" t="str">
        <f>IFERROR(__xludf.DUMMYFUNCTION("""COMPUTED_VALUE"""),"RAYYAN MUZAFFAR FIRDAUS	")</f>
        <v>RAYYAN MUZAFFAR FIRDAUS	</v>
      </c>
      <c r="D127" s="7" t="str">
        <f>IFERROR(__xludf.DUMMYFUNCTION("""COMPUTED_VALUE"""),"A250039")</f>
        <v>A250039</v>
      </c>
      <c r="E127" s="7" t="str">
        <f>IFERROR(__xludf.DUMMYFUNCTION("""COMPUTED_VALUE"""),"MTs Putra")</f>
        <v>MTs Putra</v>
      </c>
      <c r="F127" s="8" t="str">
        <f>IFERROR(__xludf.DUMMYFUNCTION("""COMPUTED_VALUE"""),"5: Sangat jelas, kuat, dan sesuai visi pesantren (ingin belajar agama, mandiri, dekat dengan Allah).")</f>
        <v>5: Sangat jelas, kuat, dan sesuai visi pesantren (ingin belajar agama, mandiri, dekat dengan Allah).</v>
      </c>
      <c r="G127" s="8" t="str">
        <f>IFERROR(__xludf.DUMMYFUNCTION("""COMPUTED_VALUE"""),"5: Lingkungan sangat mendukung (keluarga islami, shalat berjamaah, kontrol gadget baik).")</f>
        <v>5: Lingkungan sangat mendukung (keluarga islami, shalat berjamaah, kontrol gadget baik).</v>
      </c>
      <c r="H127" s="8" t="str">
        <f>IFERROR(__xludf.DUMMYFUNCTION("""COMPUTED_VALUE"""),"4: Game rekreasi wajar, tidak berlebihan.")</f>
        <v>4: Game rekreasi wajar, tidak berlebihan.</v>
      </c>
      <c r="I127" s="8" t="str">
        <f>IFERROR(__xludf.DUMMYFUNCTION("""COMPUTED_VALUE"""),"5: Berteman dengan lingkungan positif (masjid, teman shalih/shalihah).")</f>
        <v>5: Berteman dengan lingkungan positif (masjid, teman shalih/shalihah).</v>
      </c>
      <c r="J127" s="8" t="str">
        <f>IFERROR(__xludf.DUMMYFUNCTION("""COMPUTED_VALUE"""),"4: Menolak, tapi alasannya umum.")</f>
        <v>4: Menolak, tapi alasannya umum.</v>
      </c>
      <c r="K127" s="8" t="str">
        <f>IFERROR(__xludf.DUMMYFUNCTION("""COMPUTED_VALUE"""),"4: Menolak, tapi belum terlalu paham alasannya.")</f>
        <v>4: Menolak, tapi belum terlalu paham alasannya.</v>
      </c>
      <c r="L127" s="8" t="str">
        <f>IFERROR(__xludf.DUMMYFUNCTION("""COMPUTED_VALUE"""),"4: Hobi umum yang wajar (menggambar, dll).")</f>
        <v>4: Hobi umum yang wajar (menggambar, dll).</v>
      </c>
      <c r="M127" s="8" t="str">
        <f>IFERROR(__xludf.DUMMYFUNCTION("""COMPUTED_VALUE"""),"rizaldi")</f>
        <v>rizaldi</v>
      </c>
      <c r="N127" s="8" t="str">
        <f>IFERROR(__xludf.DUMMYFUNCTION("""COMPUTED_VALUE"""),"A. Sangat Layak diterima (potensi besar berkembang di pesantren).")</f>
        <v>A. Sangat Layak diterima (potensi besar berkembang di pesantren).</v>
      </c>
      <c r="O127" s="8" t="str">
        <f>IFERROR(__xludf.DUMMYFUNCTION("""COMPUTED_VALUE"""),"insyaallah anaknya mudah untuk di arahkan, karena keseharian di rumah nya juga terjaga")</f>
        <v>insyaallah anaknya mudah untuk di arahkan, karena keseharian di rumah nya juga terjaga</v>
      </c>
      <c r="P127" s="131" t="str">
        <f t="shared" ref="P127:V127" si="129">left(F127,1)</f>
        <v>5</v>
      </c>
      <c r="Q127" s="131" t="str">
        <f t="shared" si="129"/>
        <v>5</v>
      </c>
      <c r="R127" s="131" t="str">
        <f t="shared" si="129"/>
        <v>4</v>
      </c>
      <c r="S127" s="131" t="str">
        <f t="shared" si="129"/>
        <v>5</v>
      </c>
      <c r="T127" s="131" t="str">
        <f t="shared" si="129"/>
        <v>4</v>
      </c>
      <c r="U127" s="131" t="str">
        <f t="shared" si="129"/>
        <v>4</v>
      </c>
      <c r="V127" s="131" t="str">
        <f t="shared" si="129"/>
        <v>4</v>
      </c>
      <c r="W127" s="119">
        <f t="shared" si="3"/>
        <v>31</v>
      </c>
      <c r="X127" s="119" t="str">
        <f t="shared" si="4"/>
        <v>Siap</v>
      </c>
      <c r="Y127" s="119" t="str">
        <f t="shared" si="5"/>
        <v>bisa mengikuti pola pesantren dengan baik</v>
      </c>
    </row>
    <row r="128" ht="24.0" customHeight="1">
      <c r="A128" s="104">
        <f>IFERROR(__xludf.DUMMYFUNCTION("""COMPUTED_VALUE"""),45968.82842388889)</f>
        <v>45968.82842</v>
      </c>
      <c r="B128" s="7" t="str">
        <f>IFERROR(__xludf.DUMMYFUNCTION("""COMPUTED_VALUE"""),"alfaruqsyauqi513@gmail.com")</f>
        <v>alfaruqsyauqi513@gmail.com</v>
      </c>
      <c r="C128" s="7" t="str">
        <f>IFERROR(__xludf.DUMMYFUNCTION("""COMPUTED_VALUE"""),"Muhammad Kamil Athaillah rizki")</f>
        <v>Muhammad Kamil Athaillah rizki</v>
      </c>
      <c r="D128" s="7" t="str">
        <f>IFERROR(__xludf.DUMMYFUNCTION("""COMPUTED_VALUE"""),"A250053")</f>
        <v>A250053</v>
      </c>
      <c r="E128" s="7" t="str">
        <f>IFERROR(__xludf.DUMMYFUNCTION("""COMPUTED_VALUE"""),"MTs Putra")</f>
        <v>MTs Putra</v>
      </c>
      <c r="F128" s="8" t="str">
        <f>IFERROR(__xludf.DUMMYFUNCTION("""COMPUTED_VALUE"""),"5: Sangat jelas, kuat, dan sesuai visi pesantren (ingin belajar agama, mandiri, dekat dengan Allah).")</f>
        <v>5: Sangat jelas, kuat, dan sesuai visi pesantren (ingin belajar agama, mandiri, dekat dengan Allah).</v>
      </c>
      <c r="G128" s="8" t="str">
        <f>IFERROR(__xludf.DUMMYFUNCTION("""COMPUTED_VALUE"""),"5: Lingkungan sangat mendukung (keluarga islami, shalat berjamaah, kontrol gadget baik).")</f>
        <v>5: Lingkungan sangat mendukung (keluarga islami, shalat berjamaah, kontrol gadget baik).</v>
      </c>
      <c r="H128" s="8" t="str">
        <f>IFERROR(__xludf.DUMMYFUNCTION("""COMPUTED_VALUE"""),"4: Game rekreasi wajar, tidak berlebihan.")</f>
        <v>4: Game rekreasi wajar, tidak berlebihan.</v>
      </c>
      <c r="I128" s="8" t="str">
        <f>IFERROR(__xludf.DUMMYFUNCTION("""COMPUTED_VALUE"""),"4: Mayoritas teman baik, ada sedikit yang kurang baik.")</f>
        <v>4: Mayoritas teman baik, ada sedikit yang kurang baik.</v>
      </c>
      <c r="J128" s="8" t="str">
        <f>IFERROR(__xludf.DUMMYFUNCTION("""COMPUTED_VALUE"""),"5: Jelas menolak, punya alasan agama/ilmu.")</f>
        <v>5: Jelas menolak, punya alasan agama/ilmu.</v>
      </c>
      <c r="K128" s="8" t="str">
        <f>IFERROR(__xludf.DUMMYFUNCTION("""COMPUTED_VALUE"""),"5: Menolak dengan tegas, paham bahaya dan dosa.")</f>
        <v>5: Menolak dengan tegas, paham bahaya dan dosa.</v>
      </c>
      <c r="L128" s="8" t="str">
        <f>IFERROR(__xludf.DUMMYFUNCTION("""COMPUTED_VALUE"""),"4: Hobi umum yang wajar (menggambar, dll).")</f>
        <v>4: Hobi umum yang wajar (menggambar, dll).</v>
      </c>
      <c r="M128" s="8" t="str">
        <f>IFERROR(__xludf.DUMMYFUNCTION("""COMPUTED_VALUE"""),"Muhammad syauqi alfaruq")</f>
        <v>Muhammad syauqi alfaruq</v>
      </c>
      <c r="N128" s="8" t="str">
        <f>IFERROR(__xludf.DUMMYFUNCTION("""COMPUTED_VALUE"""),"B. Layak diterima dengan catatan pembinaan.")</f>
        <v>B. Layak diterima dengan catatan pembinaan.</v>
      </c>
      <c r="O128" s="8" t="str">
        <f>IFERROR(__xludf.DUMMYFUNCTION("""COMPUTED_VALUE"""),"Orangnya cenderung gampang terkena bullying")</f>
        <v>Orangnya cenderung gampang terkena bullying</v>
      </c>
      <c r="P128" s="131" t="str">
        <f t="shared" ref="P128:V128" si="130">left(F128,1)</f>
        <v>5</v>
      </c>
      <c r="Q128" s="131" t="str">
        <f t="shared" si="130"/>
        <v>5</v>
      </c>
      <c r="R128" s="131" t="str">
        <f t="shared" si="130"/>
        <v>4</v>
      </c>
      <c r="S128" s="131" t="str">
        <f t="shared" si="130"/>
        <v>4</v>
      </c>
      <c r="T128" s="131" t="str">
        <f t="shared" si="130"/>
        <v>5</v>
      </c>
      <c r="U128" s="131" t="str">
        <f t="shared" si="130"/>
        <v>5</v>
      </c>
      <c r="V128" s="131" t="str">
        <f t="shared" si="130"/>
        <v>4</v>
      </c>
      <c r="W128" s="119">
        <f t="shared" si="3"/>
        <v>32</v>
      </c>
      <c r="X128" s="119" t="str">
        <f t="shared" si="4"/>
        <v>Siap</v>
      </c>
      <c r="Y128" s="119" t="str">
        <f t="shared" si="5"/>
        <v>bisa mengikuti pola pesantren dengan baik</v>
      </c>
    </row>
    <row r="129" ht="24.0" customHeight="1">
      <c r="A129" s="104">
        <f>IFERROR(__xludf.DUMMYFUNCTION("""COMPUTED_VALUE"""),45968.89988840278)</f>
        <v>45968.89989</v>
      </c>
      <c r="B129" s="7" t="str">
        <f>IFERROR(__xludf.DUMMYFUNCTION("""COMPUTED_VALUE"""),"alfaruqsyauqi513@gmail.com")</f>
        <v>alfaruqsyauqi513@gmail.com</v>
      </c>
      <c r="C129" s="7" t="str">
        <f>IFERROR(__xludf.DUMMYFUNCTION("""COMPUTED_VALUE"""),"Urwatulwutsqo")</f>
        <v>Urwatulwutsqo</v>
      </c>
      <c r="D129" s="7" t="str">
        <f>IFERROR(__xludf.DUMMYFUNCTION("""COMPUTED_VALUE"""),"A250082")</f>
        <v>A250082</v>
      </c>
      <c r="E129" s="7" t="str">
        <f>IFERROR(__xludf.DUMMYFUNCTION("""COMPUTED_VALUE"""),"MTs Putra")</f>
        <v>MTs Putra</v>
      </c>
      <c r="F129" s="8" t="str">
        <f>IFERROR(__xludf.DUMMYFUNCTION("""COMPUTED_VALUE"""),"3: Alasan kurang terarah, dipengaruhi orang tua, tapi ada kesediaan.")</f>
        <v>3: Alasan kurang terarah, dipengaruhi orang tua, tapi ada kesediaan.</v>
      </c>
      <c r="G129" s="8" t="str">
        <f>IFERROR(__xludf.DUMMYFUNCTION("""COMPUTED_VALUE"""),"4: Lingkungan cukup mendukung, ada perhatian orang tua.")</f>
        <v>4: Lingkungan cukup mendukung, ada perhatian orang tua.</v>
      </c>
      <c r="H129" s="8" t="str">
        <f>IFERROR(__xludf.DUMMYFUNCTION("""COMPUTED_VALUE"""),"3: Game online, tapi masih bisa dikontrol.")</f>
        <v>3: Game online, tapi masih bisa dikontrol.</v>
      </c>
      <c r="I129" s="8" t="str">
        <f>IFERROR(__xludf.DUMMYFUNCTION("""COMPUTED_VALUE"""),"4: Mayoritas teman baik, ada sedikit yang kurang baik.")</f>
        <v>4: Mayoritas teman baik, ada sedikit yang kurang baik.</v>
      </c>
      <c r="J129" s="8" t="str">
        <f>IFERROR(__xludf.DUMMYFUNCTION("""COMPUTED_VALUE"""),"5: Jelas menolak, punya alasan agama/ilmu.")</f>
        <v>5: Jelas menolak, punya alasan agama/ilmu.</v>
      </c>
      <c r="K129" s="8" t="str">
        <f>IFERROR(__xludf.DUMMYFUNCTION("""COMPUTED_VALUE"""),"5: Menolak dengan tegas, paham bahaya dan dosa.")</f>
        <v>5: Menolak dengan tegas, paham bahaya dan dosa.</v>
      </c>
      <c r="L129" s="8" t="str">
        <f>IFERROR(__xludf.DUMMYFUNCTION("""COMPUTED_VALUE"""),"5: Hobi positif, produktif, mendukung pengembangan diri (olahraga, membaca, seni islami).")</f>
        <v>5: Hobi positif, produktif, mendukung pengembangan diri (olahraga, membaca, seni islami).</v>
      </c>
      <c r="M129" s="8" t="str">
        <f>IFERROR(__xludf.DUMMYFUNCTION("""COMPUTED_VALUE"""),"Muhammad Syauqi alfaruq ")</f>
        <v>Muhammad Syauqi alfaruq </v>
      </c>
      <c r="N129" s="8" t="str">
        <f>IFERROR(__xludf.DUMMYFUNCTION("""COMPUTED_VALUE"""),"C. Perlu Pertimbangan (butuh bimbingan khusus).")</f>
        <v>C. Perlu Pertimbangan (butuh bimbingan khusus).</v>
      </c>
      <c r="O129" s="8" t="str">
        <f>IFERROR(__xludf.DUMMYFUNCTION("""COMPUTED_VALUE"""),"Jawaban nya tidak dari diri sendiri, melainkan mengikuti arahan orang tua")</f>
        <v>Jawaban nya tidak dari diri sendiri, melainkan mengikuti arahan orang tua</v>
      </c>
      <c r="P129" s="131" t="str">
        <f t="shared" ref="P129:V129" si="131">left(F129,1)</f>
        <v>3</v>
      </c>
      <c r="Q129" s="131" t="str">
        <f t="shared" si="131"/>
        <v>4</v>
      </c>
      <c r="R129" s="131" t="str">
        <f t="shared" si="131"/>
        <v>3</v>
      </c>
      <c r="S129" s="131" t="str">
        <f t="shared" si="131"/>
        <v>4</v>
      </c>
      <c r="T129" s="131" t="str">
        <f t="shared" si="131"/>
        <v>5</v>
      </c>
      <c r="U129" s="131" t="str">
        <f t="shared" si="131"/>
        <v>5</v>
      </c>
      <c r="V129" s="131" t="str">
        <f t="shared" si="131"/>
        <v>5</v>
      </c>
      <c r="W129" s="119">
        <f t="shared" si="3"/>
        <v>29</v>
      </c>
      <c r="X129" s="119" t="str">
        <f t="shared" si="4"/>
        <v>Siap</v>
      </c>
      <c r="Y129" s="119" t="str">
        <f t="shared" si="5"/>
        <v>bisa mengikuti pola pesantren dengan baik</v>
      </c>
    </row>
    <row r="130" ht="24.0" customHeight="1">
      <c r="A130" s="104">
        <f>IFERROR(__xludf.DUMMYFUNCTION("""COMPUTED_VALUE"""),45968.92625957176)</f>
        <v>45968.92626</v>
      </c>
      <c r="B130" s="7" t="str">
        <f>IFERROR(__xludf.DUMMYFUNCTION("""COMPUTED_VALUE"""),"halimahnurjalalhfnjl@gmail.com")</f>
        <v>halimahnurjalalhfnjl@gmail.com</v>
      </c>
      <c r="C130" s="7" t="str">
        <f>IFERROR(__xludf.DUMMYFUNCTION("""COMPUTED_VALUE"""),"Unaysah")</f>
        <v>Unaysah</v>
      </c>
      <c r="D130" s="7" t="str">
        <f>IFERROR(__xludf.DUMMYFUNCTION("""COMPUTED_VALUE"""),"F250002")</f>
        <v>F250002</v>
      </c>
      <c r="E130" s="7" t="str">
        <f>IFERROR(__xludf.DUMMYFUNCTION("""COMPUTED_VALUE"""),"IL Putri")</f>
        <v>IL Putri</v>
      </c>
      <c r="F130" s="8" t="str">
        <f>IFERROR(__xludf.DUMMYFUNCTION("""COMPUTED_VALUE"""),"5: Sangat jelas, kuat, dan sesuai visi pesantren (ingin belajar agama, mandiri, dekat dengan Allah).")</f>
        <v>5: Sangat jelas, kuat, dan sesuai visi pesantren (ingin belajar agama, mandiri, dekat dengan Allah).</v>
      </c>
      <c r="G130" s="8" t="str">
        <f>IFERROR(__xludf.DUMMYFUNCTION("""COMPUTED_VALUE"""),"5: Lingkungan sangat mendukung (keluarga islami, shalat berjamaah, kontrol gadget baik).")</f>
        <v>5: Lingkungan sangat mendukung (keluarga islami, shalat berjamaah, kontrol gadget baik).</v>
      </c>
      <c r="H130" s="8" t="str">
        <f>IFERROR(__xludf.DUMMYFUNCTION("""COMPUTED_VALUE"""),"5: Hobi bermanfaat (olahraga, membaca, permainan edukatif).")</f>
        <v>5: Hobi bermanfaat (olahraga, membaca, permainan edukatif).</v>
      </c>
      <c r="I130" s="8" t="str">
        <f>IFERROR(__xludf.DUMMYFUNCTION("""COMPUTED_VALUE"""),"5: Berteman dengan lingkungan positif (masjid, teman shalih/shalihah).")</f>
        <v>5: Berteman dengan lingkungan positif (masjid, teman shalih/shalihah).</v>
      </c>
      <c r="J130" s="8" t="str">
        <f>IFERROR(__xludf.DUMMYFUNCTION("""COMPUTED_VALUE"""),"5: Jelas menolak, punya alasan agama/ilmu.")</f>
        <v>5: Jelas menolak, punya alasan agama/ilmu.</v>
      </c>
      <c r="K130" s="8" t="str">
        <f>IFERROR(__xludf.DUMMYFUNCTION("""COMPUTED_VALUE"""),"5: Menolak dengan tegas, paham bahaya dan dosa.")</f>
        <v>5: Menolak dengan tegas, paham bahaya dan dosa.</v>
      </c>
      <c r="L130" s="8" t="str">
        <f>IFERROR(__xludf.DUMMYFUNCTION("""COMPUTED_VALUE"""),"5: Hobi positif, produktif, mendukung pengembangan diri (olahraga, membaca, seni islami).")</f>
        <v>5: Hobi positif, produktif, mendukung pengembangan diri (olahraga, membaca, seni islami).</v>
      </c>
      <c r="M130" s="8" t="str">
        <f>IFERROR(__xludf.DUMMYFUNCTION("""COMPUTED_VALUE"""),"Halimah Fauziah ")</f>
        <v>Halimah Fauziah </v>
      </c>
      <c r="N130" s="8" t="str">
        <f>IFERROR(__xludf.DUMMYFUNCTION("""COMPUTED_VALUE"""),"A. Sangat Layak diterima (potensi besar berkembang di pesantren).")</f>
        <v>A. Sangat Layak diterima (potensi besar berkembang di pesantren).</v>
      </c>
      <c r="O130" s="8" t="str">
        <f>IFERROR(__xludf.DUMMYFUNCTION("""COMPUTED_VALUE"""),"Ananda berkepribadian baik, semula mengira IL jenjang SMA namun sudah dijelaskan IL kelas persiapan menuju tingkat SMA.")</f>
        <v>Ananda berkepribadian baik, semula mengira IL jenjang SMA namun sudah dijelaskan IL kelas persiapan menuju tingkat SMA.</v>
      </c>
      <c r="P130" s="131" t="str">
        <f t="shared" ref="P130:V130" si="132">left(F130,1)</f>
        <v>5</v>
      </c>
      <c r="Q130" s="131" t="str">
        <f t="shared" si="132"/>
        <v>5</v>
      </c>
      <c r="R130" s="131" t="str">
        <f t="shared" si="132"/>
        <v>5</v>
      </c>
      <c r="S130" s="131" t="str">
        <f t="shared" si="132"/>
        <v>5</v>
      </c>
      <c r="T130" s="131" t="str">
        <f t="shared" si="132"/>
        <v>5</v>
      </c>
      <c r="U130" s="131" t="str">
        <f t="shared" si="132"/>
        <v>5</v>
      </c>
      <c r="V130" s="131" t="str">
        <f t="shared" si="132"/>
        <v>5</v>
      </c>
      <c r="W130" s="119">
        <f t="shared" si="3"/>
        <v>35</v>
      </c>
      <c r="X130" s="119" t="str">
        <f t="shared" si="4"/>
        <v>Siap</v>
      </c>
      <c r="Y130" s="119" t="str">
        <f t="shared" si="5"/>
        <v>bisa mengikuti pola pesantren dengan baik</v>
      </c>
    </row>
    <row r="131" ht="24.0" customHeight="1">
      <c r="A131" s="104">
        <f>IFERROR(__xludf.DUMMYFUNCTION("""COMPUTED_VALUE"""),45968.928732835644)</f>
        <v>45968.92873</v>
      </c>
      <c r="B131" s="7" t="str">
        <f>IFERROR(__xludf.DUMMYFUNCTION("""COMPUTED_VALUE"""),"halimahnurjalalhfnjl@gmail.com")</f>
        <v>halimahnurjalalhfnjl@gmail.com</v>
      </c>
      <c r="C131" s="7" t="str">
        <f>IFERROR(__xludf.DUMMYFUNCTION("""COMPUTED_VALUE"""),"Aisah")</f>
        <v>Aisah</v>
      </c>
      <c r="D131" s="7" t="str">
        <f>IFERROR(__xludf.DUMMYFUNCTION("""COMPUTED_VALUE"""),"D250032")</f>
        <v>D250032</v>
      </c>
      <c r="E131" s="7" t="str">
        <f>IFERROR(__xludf.DUMMYFUNCTION("""COMPUTED_VALUE"""),"MTs Putri")</f>
        <v>MTs Putri</v>
      </c>
      <c r="F131" s="8" t="str">
        <f>IFERROR(__xludf.DUMMYFUNCTION("""COMPUTED_VALUE"""),"3: Alasan kurang terarah, dipengaruhi orang tua, tapi ada kesediaan.")</f>
        <v>3: Alasan kurang terarah, dipengaruhi orang tua, tapi ada kesediaan.</v>
      </c>
      <c r="G131" s="8" t="str">
        <f>IFERROR(__xludf.DUMMYFUNCTION("""COMPUTED_VALUE"""),"4: Lingkungan cukup mendukung, ada perhatian orang tua.")</f>
        <v>4: Lingkungan cukup mendukung, ada perhatian orang tua.</v>
      </c>
      <c r="H131" s="8" t="str">
        <f>IFERROR(__xludf.DUMMYFUNCTION("""COMPUTED_VALUE"""),"5: Hobi bermanfaat (olahraga, membaca, permainan edukatif).")</f>
        <v>5: Hobi bermanfaat (olahraga, membaca, permainan edukatif).</v>
      </c>
      <c r="I131" s="8" t="str">
        <f>IFERROR(__xludf.DUMMYFUNCTION("""COMPUTED_VALUE"""),"5: Berteman dengan lingkungan positif (masjid, teman shalih/shalihah).")</f>
        <v>5: Berteman dengan lingkungan positif (masjid, teman shalih/shalihah).</v>
      </c>
      <c r="J131" s="8" t="str">
        <f>IFERROR(__xludf.DUMMYFUNCTION("""COMPUTED_VALUE"""),"4: Menolak, tapi alasannya umum.")</f>
        <v>4: Menolak, tapi alasannya umum.</v>
      </c>
      <c r="K131" s="8" t="str">
        <f>IFERROR(__xludf.DUMMYFUNCTION("""COMPUTED_VALUE"""),"4: Menolak, tapi belum terlalu paham alasannya.")</f>
        <v>4: Menolak, tapi belum terlalu paham alasannya.</v>
      </c>
      <c r="L131" s="8" t="str">
        <f>IFERROR(__xludf.DUMMYFUNCTION("""COMPUTED_VALUE"""),"4: Hobi umum yang wajar (menggambar, dll).")</f>
        <v>4: Hobi umum yang wajar (menggambar, dll).</v>
      </c>
      <c r="M131" s="8" t="str">
        <f>IFERROR(__xludf.DUMMYFUNCTION("""COMPUTED_VALUE"""),"Halimah Fauziah ")</f>
        <v>Halimah Fauziah </v>
      </c>
      <c r="N131" s="8" t="str">
        <f>IFERROR(__xludf.DUMMYFUNCTION("""COMPUTED_VALUE"""),"A. Sangat Layak diterima (potensi besar berkembang di pesantren).")</f>
        <v>A. Sangat Layak diterima (potensi besar berkembang di pesantren).</v>
      </c>
      <c r="O131" s="8" t="str">
        <f>IFERROR(__xludf.DUMMYFUNCTION("""COMPUTED_VALUE"""),"Ananda pemalu, dalam menjawab masih harus didampingi ummi nya")</f>
        <v>Ananda pemalu, dalam menjawab masih harus didampingi ummi nya</v>
      </c>
      <c r="P131" s="131" t="str">
        <f t="shared" ref="P131:V131" si="133">left(F131,1)</f>
        <v>3</v>
      </c>
      <c r="Q131" s="131" t="str">
        <f t="shared" si="133"/>
        <v>4</v>
      </c>
      <c r="R131" s="131" t="str">
        <f t="shared" si="133"/>
        <v>5</v>
      </c>
      <c r="S131" s="131" t="str">
        <f t="shared" si="133"/>
        <v>5</v>
      </c>
      <c r="T131" s="131" t="str">
        <f t="shared" si="133"/>
        <v>4</v>
      </c>
      <c r="U131" s="131" t="str">
        <f t="shared" si="133"/>
        <v>4</v>
      </c>
      <c r="V131" s="131" t="str">
        <f t="shared" si="133"/>
        <v>4</v>
      </c>
      <c r="W131" s="119">
        <f t="shared" si="3"/>
        <v>29</v>
      </c>
      <c r="X131" s="119" t="str">
        <f t="shared" si="4"/>
        <v>Siap</v>
      </c>
      <c r="Y131" s="119" t="str">
        <f t="shared" si="5"/>
        <v>bisa mengikuti pola pesantren dengan baik</v>
      </c>
    </row>
    <row r="132" ht="24.0" customHeight="1">
      <c r="A132" s="104">
        <f>IFERROR(__xludf.DUMMYFUNCTION("""COMPUTED_VALUE"""),45969.36386660879)</f>
        <v>45969.36387</v>
      </c>
      <c r="B132" s="7" t="str">
        <f>IFERROR(__xludf.DUMMYFUNCTION("""COMPUTED_VALUE"""),"zaldoyrizaldi@gmail.com")</f>
        <v>zaldoyrizaldi@gmail.com</v>
      </c>
      <c r="C132" s="7" t="str">
        <f>IFERROR(__xludf.DUMMYFUNCTION("""COMPUTED_VALUE"""),"Suhail Aiman")</f>
        <v>Suhail Aiman</v>
      </c>
      <c r="D132" s="7" t="str">
        <f>IFERROR(__xludf.DUMMYFUNCTION("""COMPUTED_VALUE"""),"A250045")</f>
        <v>A250045</v>
      </c>
      <c r="E132" s="7" t="str">
        <f>IFERROR(__xludf.DUMMYFUNCTION("""COMPUTED_VALUE"""),"MTs Putra")</f>
        <v>MTs Putra</v>
      </c>
      <c r="F132" s="8" t="str">
        <f>IFERROR(__xludf.DUMMYFUNCTION("""COMPUTED_VALUE"""),"4: Cukup jelas, alasan positif namun masih umum.")</f>
        <v>4: Cukup jelas, alasan positif namun masih umum.</v>
      </c>
      <c r="G132" s="8" t="str">
        <f>IFERROR(__xludf.DUMMYFUNCTION("""COMPUTED_VALUE"""),"5: Lingkungan sangat mendukung (keluarga islami, shalat berjamaah, kontrol gadget baik).")</f>
        <v>5: Lingkungan sangat mendukung (keluarga islami, shalat berjamaah, kontrol gadget baik).</v>
      </c>
      <c r="H132" s="8" t="str">
        <f>IFERROR(__xludf.DUMMYFUNCTION("""COMPUTED_VALUE"""),"5: Hobi bermanfaat (olahraga, membaca, permainan edukatif).")</f>
        <v>5: Hobi bermanfaat (olahraga, membaca, permainan edukatif).</v>
      </c>
      <c r="I132" s="8" t="str">
        <f>IFERROR(__xludf.DUMMYFUNCTION("""COMPUTED_VALUE"""),"5: Berteman dengan lingkungan positif (masjid, teman shalih/shalihah).")</f>
        <v>5: Berteman dengan lingkungan positif (masjid, teman shalih/shalihah).</v>
      </c>
      <c r="J132" s="8" t="str">
        <f>IFERROR(__xludf.DUMMYFUNCTION("""COMPUTED_VALUE"""),"5: Jelas menolak, punya alasan agama/ilmu.")</f>
        <v>5: Jelas menolak, punya alasan agama/ilmu.</v>
      </c>
      <c r="K132" s="8" t="str">
        <f>IFERROR(__xludf.DUMMYFUNCTION("""COMPUTED_VALUE"""),"5: Menolak dengan tegas, paham bahaya dan dosa.")</f>
        <v>5: Menolak dengan tegas, paham bahaya dan dosa.</v>
      </c>
      <c r="L132" s="8" t="str">
        <f>IFERROR(__xludf.DUMMYFUNCTION("""COMPUTED_VALUE"""),"5: Hobi positif, produktif, mendukung pengembangan diri (olahraga, membaca, seni islami).")</f>
        <v>5: Hobi positif, produktif, mendukung pengembangan diri (olahraga, membaca, seni islami).</v>
      </c>
      <c r="M132" s="8" t="str">
        <f>IFERROR(__xludf.DUMMYFUNCTION("""COMPUTED_VALUE"""),"rizald")</f>
        <v>rizald</v>
      </c>
      <c r="N132" s="8" t="str">
        <f>IFERROR(__xludf.DUMMYFUNCTION("""COMPUTED_VALUE"""),"A. Sangat Layak diterima (potensi besar berkembang di pesantren).")</f>
        <v>A. Sangat Layak diterima (potensi besar berkembang di pesantren).</v>
      </c>
      <c r="O132" s="8" t="str">
        <f>IFERROR(__xludf.DUMMYFUNCTION("""COMPUTED_VALUE"""),"tidak ada catatan anak nya ust amin")</f>
        <v>tidak ada catatan anak nya ust amin</v>
      </c>
      <c r="P132" s="131" t="str">
        <f t="shared" ref="P132:V132" si="134">left(F132,1)</f>
        <v>4</v>
      </c>
      <c r="Q132" s="131" t="str">
        <f t="shared" si="134"/>
        <v>5</v>
      </c>
      <c r="R132" s="131" t="str">
        <f t="shared" si="134"/>
        <v>5</v>
      </c>
      <c r="S132" s="131" t="str">
        <f t="shared" si="134"/>
        <v>5</v>
      </c>
      <c r="T132" s="131" t="str">
        <f t="shared" si="134"/>
        <v>5</v>
      </c>
      <c r="U132" s="131" t="str">
        <f t="shared" si="134"/>
        <v>5</v>
      </c>
      <c r="V132" s="131" t="str">
        <f t="shared" si="134"/>
        <v>5</v>
      </c>
      <c r="W132" s="119">
        <f t="shared" si="3"/>
        <v>34</v>
      </c>
      <c r="X132" s="119" t="str">
        <f t="shared" si="4"/>
        <v>Siap</v>
      </c>
      <c r="Y132" s="119" t="str">
        <f t="shared" si="5"/>
        <v>bisa mengikuti pola pesantren dengan baik</v>
      </c>
    </row>
    <row r="133" ht="24.0" customHeight="1">
      <c r="A133" s="104">
        <f>IFERROR(__xludf.DUMMYFUNCTION("""COMPUTED_VALUE"""),45969.365222962966)</f>
        <v>45969.36522</v>
      </c>
      <c r="B133" s="7" t="str">
        <f>IFERROR(__xludf.DUMMYFUNCTION("""COMPUTED_VALUE"""),"zaldoyrizaldi@gmail.com")</f>
        <v>zaldoyrizaldi@gmail.com</v>
      </c>
      <c r="C133" s="7" t="str">
        <f>IFERROR(__xludf.DUMMYFUNCTION("""COMPUTED_VALUE"""),"Abbas Raihan")</f>
        <v>Abbas Raihan</v>
      </c>
      <c r="D133" s="7" t="str">
        <f>IFERROR(__xludf.DUMMYFUNCTION("""COMPUTED_VALUE"""),"B250019")</f>
        <v>B250019</v>
      </c>
      <c r="E133" s="7" t="str">
        <f>IFERROR(__xludf.DUMMYFUNCTION("""COMPUTED_VALUE"""),"IL Putra")</f>
        <v>IL Putra</v>
      </c>
      <c r="F133" s="8" t="str">
        <f>IFERROR(__xludf.DUMMYFUNCTION("""COMPUTED_VALUE"""),"5: Sangat jelas, kuat, dan sesuai visi pesantren (ingin belajar agama, mandiri, dekat dengan Allah).")</f>
        <v>5: Sangat jelas, kuat, dan sesuai visi pesantren (ingin belajar agama, mandiri, dekat dengan Allah).</v>
      </c>
      <c r="G133" s="8" t="str">
        <f>IFERROR(__xludf.DUMMYFUNCTION("""COMPUTED_VALUE"""),"5: Lingkungan sangat mendukung (keluarga islami, shalat berjamaah, kontrol gadget baik).")</f>
        <v>5: Lingkungan sangat mendukung (keluarga islami, shalat berjamaah, kontrol gadget baik).</v>
      </c>
      <c r="H133" s="8" t="str">
        <f>IFERROR(__xludf.DUMMYFUNCTION("""COMPUTED_VALUE"""),"5: Hobi bermanfaat (olahraga, membaca, permainan edukatif).")</f>
        <v>5: Hobi bermanfaat (olahraga, membaca, permainan edukatif).</v>
      </c>
      <c r="I133" s="8" t="str">
        <f>IFERROR(__xludf.DUMMYFUNCTION("""COMPUTED_VALUE"""),"5: Berteman dengan lingkungan positif (masjid, teman shalih/shalihah).")</f>
        <v>5: Berteman dengan lingkungan positif (masjid, teman shalih/shalihah).</v>
      </c>
      <c r="J133" s="8" t="str">
        <f>IFERROR(__xludf.DUMMYFUNCTION("""COMPUTED_VALUE"""),"5: Jelas menolak, punya alasan agama/ilmu.")</f>
        <v>5: Jelas menolak, punya alasan agama/ilmu.</v>
      </c>
      <c r="K133" s="8" t="str">
        <f>IFERROR(__xludf.DUMMYFUNCTION("""COMPUTED_VALUE"""),"5: Menolak dengan tegas, paham bahaya dan dosa.")</f>
        <v>5: Menolak dengan tegas, paham bahaya dan dosa.</v>
      </c>
      <c r="L133" s="8" t="str">
        <f>IFERROR(__xludf.DUMMYFUNCTION("""COMPUTED_VALUE"""),"5: Hobi positif, produktif, mendukung pengembangan diri (olahraga, membaca, seni islami).")</f>
        <v>5: Hobi positif, produktif, mendukung pengembangan diri (olahraga, membaca, seni islami).</v>
      </c>
      <c r="M133" s="8" t="str">
        <f>IFERROR(__xludf.DUMMYFUNCTION("""COMPUTED_VALUE"""),"rizaldi")</f>
        <v>rizaldi</v>
      </c>
      <c r="N133" s="8" t="str">
        <f>IFERROR(__xludf.DUMMYFUNCTION("""COMPUTED_VALUE"""),"A. Sangat Layak diterima (potensi besar berkembang di pesantren).")</f>
        <v>A. Sangat Layak diterima (potensi besar berkembang di pesantren).</v>
      </c>
      <c r="O133" s="8" t="str">
        <f>IFERROR(__xludf.DUMMYFUNCTION("""COMPUTED_VALUE"""),"tidak ada catatan, anak ust amin")</f>
        <v>tidak ada catatan, anak ust amin</v>
      </c>
      <c r="P133" s="131" t="str">
        <f t="shared" ref="P133:V133" si="135">left(F133,1)</f>
        <v>5</v>
      </c>
      <c r="Q133" s="131" t="str">
        <f t="shared" si="135"/>
        <v>5</v>
      </c>
      <c r="R133" s="131" t="str">
        <f t="shared" si="135"/>
        <v>5</v>
      </c>
      <c r="S133" s="131" t="str">
        <f t="shared" si="135"/>
        <v>5</v>
      </c>
      <c r="T133" s="131" t="str">
        <f t="shared" si="135"/>
        <v>5</v>
      </c>
      <c r="U133" s="131" t="str">
        <f t="shared" si="135"/>
        <v>5</v>
      </c>
      <c r="V133" s="131" t="str">
        <f t="shared" si="135"/>
        <v>5</v>
      </c>
      <c r="W133" s="119">
        <f t="shared" si="3"/>
        <v>35</v>
      </c>
      <c r="X133" s="119" t="str">
        <f t="shared" si="4"/>
        <v>Siap</v>
      </c>
      <c r="Y133" s="119" t="str">
        <f t="shared" si="5"/>
        <v>bisa mengikuti pola pesantren dengan baik</v>
      </c>
    </row>
    <row r="134" ht="24.0" customHeight="1">
      <c r="A134" s="104">
        <f>IFERROR(__xludf.DUMMYFUNCTION("""COMPUTED_VALUE"""),45969.39454407408)</f>
        <v>45969.39454</v>
      </c>
      <c r="B134" s="7" t="str">
        <f>IFERROR(__xludf.DUMMYFUNCTION("""COMPUTED_VALUE"""),"muhajirlah@gmail.com")</f>
        <v>muhajirlah@gmail.com</v>
      </c>
      <c r="C134" s="7" t="str">
        <f>IFERROR(__xludf.DUMMYFUNCTION("""COMPUTED_VALUE"""),"Naufal Taqqy hafifurrahman")</f>
        <v>Naufal Taqqy hafifurrahman</v>
      </c>
      <c r="D134" s="7" t="str">
        <f>IFERROR(__xludf.DUMMYFUNCTION("""COMPUTED_VALUE"""),"‎B250029")</f>
        <v>‎B250029</v>
      </c>
      <c r="E134" s="7" t="str">
        <f>IFERROR(__xludf.DUMMYFUNCTION("""COMPUTED_VALUE"""),"SMA Putra")</f>
        <v>SMA Putra</v>
      </c>
      <c r="F134" s="8" t="str">
        <f>IFERROR(__xludf.DUMMYFUNCTION("""COMPUTED_VALUE"""),"5: Sangat jelas, kuat, dan sesuai visi pesantren (ingin belajar agama, mandiri, dekat dengan Allah).")</f>
        <v>5: Sangat jelas, kuat, dan sesuai visi pesantren (ingin belajar agama, mandiri, dekat dengan Allah).</v>
      </c>
      <c r="G134" s="8" t="str">
        <f>IFERROR(__xludf.DUMMYFUNCTION("""COMPUTED_VALUE"""),"5: Lingkungan sangat mendukung (keluarga islami, shalat berjamaah, kontrol gadget baik).")</f>
        <v>5: Lingkungan sangat mendukung (keluarga islami, shalat berjamaah, kontrol gadget baik).</v>
      </c>
      <c r="H134" s="8" t="str">
        <f>IFERROR(__xludf.DUMMYFUNCTION("""COMPUTED_VALUE"""),"5: Hobi bermanfaat (olahraga, membaca, permainan edukatif).")</f>
        <v>5: Hobi bermanfaat (olahraga, membaca, permainan edukatif).</v>
      </c>
      <c r="I134" s="8" t="str">
        <f>IFERROR(__xludf.DUMMYFUNCTION("""COMPUTED_VALUE"""),"5: Berteman dengan lingkungan positif (masjid, teman shalih/shalihah).")</f>
        <v>5: Berteman dengan lingkungan positif (masjid, teman shalih/shalihah).</v>
      </c>
      <c r="J134" s="8" t="str">
        <f>IFERROR(__xludf.DUMMYFUNCTION("""COMPUTED_VALUE"""),"5: Jelas menolak, punya alasan agama/ilmu.")</f>
        <v>5: Jelas menolak, punya alasan agama/ilmu.</v>
      </c>
      <c r="K134" s="8" t="str">
        <f>IFERROR(__xludf.DUMMYFUNCTION("""COMPUTED_VALUE"""),"5: Menolak dengan tegas, paham bahaya dan dosa.")</f>
        <v>5: Menolak dengan tegas, paham bahaya dan dosa.</v>
      </c>
      <c r="L134" s="8" t="str">
        <f>IFERROR(__xludf.DUMMYFUNCTION("""COMPUTED_VALUE"""),"5: Hobi positif, produktif, mendukung pengembangan diri (olahraga, membaca, seni islami).")</f>
        <v>5: Hobi positif, produktif, mendukung pengembangan diri (olahraga, membaca, seni islami).</v>
      </c>
      <c r="M134" s="8" t="str">
        <f>IFERROR(__xludf.DUMMYFUNCTION("""COMPUTED_VALUE"""),"Muhajir")</f>
        <v>Muhajir</v>
      </c>
      <c r="N134" s="8" t="str">
        <f>IFERROR(__xludf.DUMMYFUNCTION("""COMPUTED_VALUE"""),"A. Sangat Layak diterima (potensi besar berkembang di pesantren).")</f>
        <v>A. Sangat Layak diterima (potensi besar berkembang di pesantren).</v>
      </c>
      <c r="O134" s="8"/>
      <c r="P134" s="131" t="str">
        <f t="shared" ref="P134:V134" si="136">left(F134,1)</f>
        <v>5</v>
      </c>
      <c r="Q134" s="131" t="str">
        <f t="shared" si="136"/>
        <v>5</v>
      </c>
      <c r="R134" s="131" t="str">
        <f t="shared" si="136"/>
        <v>5</v>
      </c>
      <c r="S134" s="131" t="str">
        <f t="shared" si="136"/>
        <v>5</v>
      </c>
      <c r="T134" s="131" t="str">
        <f t="shared" si="136"/>
        <v>5</v>
      </c>
      <c r="U134" s="131" t="str">
        <f t="shared" si="136"/>
        <v>5</v>
      </c>
      <c r="V134" s="131" t="str">
        <f t="shared" si="136"/>
        <v>5</v>
      </c>
      <c r="W134" s="119">
        <f t="shared" si="3"/>
        <v>35</v>
      </c>
      <c r="X134" s="119" t="str">
        <f t="shared" si="4"/>
        <v>Siap</v>
      </c>
      <c r="Y134" s="119" t="str">
        <f t="shared" si="5"/>
        <v>bisa mengikuti pola pesantren dengan baik</v>
      </c>
    </row>
    <row r="135" ht="24.0" customHeight="1">
      <c r="A135" s="104">
        <f>IFERROR(__xludf.DUMMYFUNCTION("""COMPUTED_VALUE"""),45969.535813298615)</f>
        <v>45969.53581</v>
      </c>
      <c r="B135" s="7" t="str">
        <f>IFERROR(__xludf.DUMMYFUNCTION("""COMPUTED_VALUE"""),"nabilmujtaba426@gmail.com")</f>
        <v>nabilmujtaba426@gmail.com</v>
      </c>
      <c r="C135" s="7" t="str">
        <f>IFERROR(__xludf.DUMMYFUNCTION("""COMPUTED_VALUE"""),"miizan alghifary dizlilar ")</f>
        <v>miizan alghifary dizlilar </v>
      </c>
      <c r="D135" s="7" t="str">
        <f>IFERROR(__xludf.DUMMYFUNCTION("""COMPUTED_VALUE"""),"B250008")</f>
        <v>B250008</v>
      </c>
      <c r="E135" s="7" t="str">
        <f>IFERROR(__xludf.DUMMYFUNCTION("""COMPUTED_VALUE"""),"IL Putra")</f>
        <v>IL Putra</v>
      </c>
      <c r="F135" s="8" t="str">
        <f>IFERROR(__xludf.DUMMYFUNCTION("""COMPUTED_VALUE"""),"4: Cukup jelas, alasan positif namun masih umum.")</f>
        <v>4: Cukup jelas, alasan positif namun masih umum.</v>
      </c>
      <c r="G135" s="8" t="str">
        <f>IFERROR(__xludf.DUMMYFUNCTION("""COMPUTED_VALUE"""),"4: Lingkungan cukup mendukung, ada perhatian orang tua.")</f>
        <v>4: Lingkungan cukup mendukung, ada perhatian orang tua.</v>
      </c>
      <c r="H135" s="8" t="str">
        <f>IFERROR(__xludf.DUMMYFUNCTION("""COMPUTED_VALUE"""),"4: Game rekreasi wajar, tidak berlebihan.")</f>
        <v>4: Game rekreasi wajar, tidak berlebihan.</v>
      </c>
      <c r="I135" s="8" t="str">
        <f>IFERROR(__xludf.DUMMYFUNCTION("""COMPUTED_VALUE"""),"4: Mayoritas teman baik, ada sedikit yang kurang baik.")</f>
        <v>4: Mayoritas teman baik, ada sedikit yang kurang baik.</v>
      </c>
      <c r="J135" s="8" t="str">
        <f>IFERROR(__xludf.DUMMYFUNCTION("""COMPUTED_VALUE"""),"5: Jelas menolak, punya alasan agama/ilmu.")</f>
        <v>5: Jelas menolak, punya alasan agama/ilmu.</v>
      </c>
      <c r="K135" s="8" t="str">
        <f>IFERROR(__xludf.DUMMYFUNCTION("""COMPUTED_VALUE"""),"5: Menolak dengan tegas, paham bahaya dan dosa.")</f>
        <v>5: Menolak dengan tegas, paham bahaya dan dosa.</v>
      </c>
      <c r="L135" s="8" t="str">
        <f>IFERROR(__xludf.DUMMYFUNCTION("""COMPUTED_VALUE"""),"4: Hobi umum yang wajar (menggambar, dll).")</f>
        <v>4: Hobi umum yang wajar (menggambar, dll).</v>
      </c>
      <c r="M135" s="8" t="str">
        <f>IFERROR(__xludf.DUMMYFUNCTION("""COMPUTED_VALUE"""),"Nabil Mujtaba")</f>
        <v>Nabil Mujtaba</v>
      </c>
      <c r="N135" s="8" t="str">
        <f>IFERROR(__xludf.DUMMYFUNCTION("""COMPUTED_VALUE"""),"B. Layak diterima dengan catatan pembinaan.")</f>
        <v>B. Layak diterima dengan catatan pembinaan.</v>
      </c>
      <c r="O135" s="8"/>
      <c r="P135" s="131" t="str">
        <f t="shared" ref="P135:V135" si="137">left(F135,1)</f>
        <v>4</v>
      </c>
      <c r="Q135" s="131" t="str">
        <f t="shared" si="137"/>
        <v>4</v>
      </c>
      <c r="R135" s="131" t="str">
        <f t="shared" si="137"/>
        <v>4</v>
      </c>
      <c r="S135" s="131" t="str">
        <f t="shared" si="137"/>
        <v>4</v>
      </c>
      <c r="T135" s="131" t="str">
        <f t="shared" si="137"/>
        <v>5</v>
      </c>
      <c r="U135" s="131" t="str">
        <f t="shared" si="137"/>
        <v>5</v>
      </c>
      <c r="V135" s="131" t="str">
        <f t="shared" si="137"/>
        <v>4</v>
      </c>
      <c r="W135" s="119">
        <f t="shared" si="3"/>
        <v>30</v>
      </c>
      <c r="X135" s="119" t="str">
        <f t="shared" si="4"/>
        <v>Siap</v>
      </c>
      <c r="Y135" s="119" t="str">
        <f t="shared" si="5"/>
        <v>bisa mengikuti pola pesantren dengan baik</v>
      </c>
    </row>
    <row r="136" ht="24.0" customHeight="1">
      <c r="A136" s="104">
        <f>IFERROR(__xludf.DUMMYFUNCTION("""COMPUTED_VALUE"""),45969.552322812495)</f>
        <v>45969.55232</v>
      </c>
      <c r="B136" s="7" t="str">
        <f>IFERROR(__xludf.DUMMYFUNCTION("""COMPUTED_VALUE"""),"nabilmujtaba426@gmail.com")</f>
        <v>nabilmujtaba426@gmail.com</v>
      </c>
      <c r="C136" s="7" t="str">
        <f>IFERROR(__xludf.DUMMYFUNCTION("""COMPUTED_VALUE"""),"M.Daffa Barokah ")</f>
        <v>M.Daffa Barokah </v>
      </c>
      <c r="D136" s="7" t="str">
        <f>IFERROR(__xludf.DUMMYFUNCTION("""COMPUTED_VALUE"""),"C250006")</f>
        <v>C250006</v>
      </c>
      <c r="E136" s="7" t="str">
        <f>IFERROR(__xludf.DUMMYFUNCTION("""COMPUTED_VALUE"""),"IL Putra")</f>
        <v>IL Putra</v>
      </c>
      <c r="F136" s="8" t="str">
        <f>IFERROR(__xludf.DUMMYFUNCTION("""COMPUTED_VALUE"""),"4: Cukup jelas, alasan positif namun masih umum.")</f>
        <v>4: Cukup jelas, alasan positif namun masih umum.</v>
      </c>
      <c r="G136" s="8" t="str">
        <f>IFERROR(__xludf.DUMMYFUNCTION("""COMPUTED_VALUE"""),"4: Lingkungan cukup mendukung, ada perhatian orang tua.")</f>
        <v>4: Lingkungan cukup mendukung, ada perhatian orang tua.</v>
      </c>
      <c r="H136" s="8" t="str">
        <f>IFERROR(__xludf.DUMMYFUNCTION("""COMPUTED_VALUE"""),"4: Game rekreasi wajar, tidak berlebihan.")</f>
        <v>4: Game rekreasi wajar, tidak berlebihan.</v>
      </c>
      <c r="I136" s="8" t="str">
        <f>IFERROR(__xludf.DUMMYFUNCTION("""COMPUTED_VALUE"""),"4: Mayoritas teman baik, ada sedikit yang kurang baik.")</f>
        <v>4: Mayoritas teman baik, ada sedikit yang kurang baik.</v>
      </c>
      <c r="J136" s="8" t="str">
        <f>IFERROR(__xludf.DUMMYFUNCTION("""COMPUTED_VALUE"""),"4: Menolak, tapi alasannya umum.")</f>
        <v>4: Menolak, tapi alasannya umum.</v>
      </c>
      <c r="K136" s="8" t="str">
        <f>IFERROR(__xludf.DUMMYFUNCTION("""COMPUTED_VALUE"""),"4: Menolak, tapi belum terlalu paham alasannya.")</f>
        <v>4: Menolak, tapi belum terlalu paham alasannya.</v>
      </c>
      <c r="L136" s="8" t="str">
        <f>IFERROR(__xludf.DUMMYFUNCTION("""COMPUTED_VALUE"""),"4: Hobi umum yang wajar (menggambar, dll).")</f>
        <v>4: Hobi umum yang wajar (menggambar, dll).</v>
      </c>
      <c r="M136" s="8" t="str">
        <f>IFERROR(__xludf.DUMMYFUNCTION("""COMPUTED_VALUE"""),"Nabil Mujtaba")</f>
        <v>Nabil Mujtaba</v>
      </c>
      <c r="N136" s="8" t="str">
        <f>IFERROR(__xludf.DUMMYFUNCTION("""COMPUTED_VALUE"""),"C. Perlu Pertimbangan (butuh bimbingan khusus).")</f>
        <v>C. Perlu Pertimbangan (butuh bimbingan khusus).</v>
      </c>
      <c r="O136" s="8"/>
      <c r="P136" s="131" t="str">
        <f t="shared" ref="P136:V136" si="138">left(F136,1)</f>
        <v>4</v>
      </c>
      <c r="Q136" s="131" t="str">
        <f t="shared" si="138"/>
        <v>4</v>
      </c>
      <c r="R136" s="131" t="str">
        <f t="shared" si="138"/>
        <v>4</v>
      </c>
      <c r="S136" s="131" t="str">
        <f t="shared" si="138"/>
        <v>4</v>
      </c>
      <c r="T136" s="131" t="str">
        <f t="shared" si="138"/>
        <v>4</v>
      </c>
      <c r="U136" s="131" t="str">
        <f t="shared" si="138"/>
        <v>4</v>
      </c>
      <c r="V136" s="131" t="str">
        <f t="shared" si="138"/>
        <v>4</v>
      </c>
      <c r="W136" s="119">
        <f t="shared" si="3"/>
        <v>28</v>
      </c>
      <c r="X136" s="119" t="str">
        <f t="shared" si="4"/>
        <v>Cukup Siap</v>
      </c>
      <c r="Y136" s="119" t="str">
        <f t="shared" si="5"/>
        <v>perlu pendampingan awal</v>
      </c>
    </row>
    <row r="137" ht="24.0" customHeight="1">
      <c r="A137" s="104">
        <f>IFERROR(__xludf.DUMMYFUNCTION("""COMPUTED_VALUE"""),45969.56399957176)</f>
        <v>45969.564</v>
      </c>
      <c r="B137" s="7" t="str">
        <f>IFERROR(__xludf.DUMMYFUNCTION("""COMPUTED_VALUE"""),"nabilmujtaba426@gmail.com")</f>
        <v>nabilmujtaba426@gmail.com</v>
      </c>
      <c r="C137" s="7" t="str">
        <f>IFERROR(__xludf.DUMMYFUNCTION("""COMPUTED_VALUE"""),"Muhammad Risky Shapin")</f>
        <v>Muhammad Risky Shapin</v>
      </c>
      <c r="D137" s="7" t="str">
        <f>IFERROR(__xludf.DUMMYFUNCTION("""COMPUTED_VALUE"""),"B250011")</f>
        <v>B250011</v>
      </c>
      <c r="E137" s="7" t="str">
        <f>IFERROR(__xludf.DUMMYFUNCTION("""COMPUTED_VALUE"""),"IL Putra")</f>
        <v>IL Putra</v>
      </c>
      <c r="F137" s="8" t="str">
        <f>IFERROR(__xludf.DUMMYFUNCTION("""COMPUTED_VALUE"""),"5: Sangat jelas, kuat, dan sesuai visi pesantren (ingin belajar agama, mandiri, dekat dengan Allah).")</f>
        <v>5: Sangat jelas, kuat, dan sesuai visi pesantren (ingin belajar agama, mandiri, dekat dengan Allah).</v>
      </c>
      <c r="G137" s="8" t="str">
        <f>IFERROR(__xludf.DUMMYFUNCTION("""COMPUTED_VALUE"""),"5: Lingkungan sangat mendukung (keluarga islami, shalat berjamaah, kontrol gadget baik).")</f>
        <v>5: Lingkungan sangat mendukung (keluarga islami, shalat berjamaah, kontrol gadget baik).</v>
      </c>
      <c r="H137" s="8" t="str">
        <f>IFERROR(__xludf.DUMMYFUNCTION("""COMPUTED_VALUE"""),"5: Hobi bermanfaat (olahraga, membaca, permainan edukatif).")</f>
        <v>5: Hobi bermanfaat (olahraga, membaca, permainan edukatif).</v>
      </c>
      <c r="I137" s="8" t="str">
        <f>IFERROR(__xludf.DUMMYFUNCTION("""COMPUTED_VALUE"""),"5: Berteman dengan lingkungan positif (masjid, teman shalih/shalihah).")</f>
        <v>5: Berteman dengan lingkungan positif (masjid, teman shalih/shalihah).</v>
      </c>
      <c r="J137" s="8" t="str">
        <f>IFERROR(__xludf.DUMMYFUNCTION("""COMPUTED_VALUE"""),"5: Jelas menolak, punya alasan agama/ilmu.")</f>
        <v>5: Jelas menolak, punya alasan agama/ilmu.</v>
      </c>
      <c r="K137" s="8" t="str">
        <f>IFERROR(__xludf.DUMMYFUNCTION("""COMPUTED_VALUE"""),"5: Menolak dengan tegas, paham bahaya dan dosa.")</f>
        <v>5: Menolak dengan tegas, paham bahaya dan dosa.</v>
      </c>
      <c r="L137" s="8" t="str">
        <f>IFERROR(__xludf.DUMMYFUNCTION("""COMPUTED_VALUE"""),"5: Hobi positif, produktif, mendukung pengembangan diri (olahraga, membaca, seni islami).")</f>
        <v>5: Hobi positif, produktif, mendukung pengembangan diri (olahraga, membaca, seni islami).</v>
      </c>
      <c r="M137" s="8" t="str">
        <f>IFERROR(__xludf.DUMMYFUNCTION("""COMPUTED_VALUE"""),"Nabil Mujtaba")</f>
        <v>Nabil Mujtaba</v>
      </c>
      <c r="N137" s="8" t="str">
        <f>IFERROR(__xludf.DUMMYFUNCTION("""COMPUTED_VALUE"""),"A. Sangat Layak diterima (potensi besar berkembang di pesantren).")</f>
        <v>A. Sangat Layak diterima (potensi besar berkembang di pesantren).</v>
      </c>
      <c r="O137" s="8"/>
      <c r="P137" s="131" t="str">
        <f t="shared" ref="P137:V137" si="139">left(F137,1)</f>
        <v>5</v>
      </c>
      <c r="Q137" s="131" t="str">
        <f t="shared" si="139"/>
        <v>5</v>
      </c>
      <c r="R137" s="131" t="str">
        <f t="shared" si="139"/>
        <v>5</v>
      </c>
      <c r="S137" s="131" t="str">
        <f t="shared" si="139"/>
        <v>5</v>
      </c>
      <c r="T137" s="131" t="str">
        <f t="shared" si="139"/>
        <v>5</v>
      </c>
      <c r="U137" s="131" t="str">
        <f t="shared" si="139"/>
        <v>5</v>
      </c>
      <c r="V137" s="131" t="str">
        <f t="shared" si="139"/>
        <v>5</v>
      </c>
      <c r="W137" s="119">
        <f t="shared" si="3"/>
        <v>35</v>
      </c>
      <c r="X137" s="119" t="str">
        <f t="shared" si="4"/>
        <v>Siap</v>
      </c>
      <c r="Y137" s="119" t="str">
        <f t="shared" si="5"/>
        <v>bisa mengikuti pola pesantren dengan baik</v>
      </c>
    </row>
    <row r="138" ht="24.0" customHeight="1">
      <c r="A138" s="104">
        <f>IFERROR(__xludf.DUMMYFUNCTION("""COMPUTED_VALUE"""),45969.72074428241)</f>
        <v>45969.72074</v>
      </c>
      <c r="B138" s="7" t="str">
        <f>IFERROR(__xludf.DUMMYFUNCTION("""COMPUTED_VALUE"""),"muhajirlah@gmail.com")</f>
        <v>muhajirlah@gmail.com</v>
      </c>
      <c r="C138" s="7" t="str">
        <f>IFERROR(__xludf.DUMMYFUNCTION("""COMPUTED_VALUE"""),"Bisma Adhi Saputra")</f>
        <v>Bisma Adhi Saputra</v>
      </c>
      <c r="D138" s="7" t="str">
        <f>IFERROR(__xludf.DUMMYFUNCTION("""COMPUTED_VALUE"""),"‎B250028")</f>
        <v>‎B250028</v>
      </c>
      <c r="E138" s="7" t="str">
        <f>IFERROR(__xludf.DUMMYFUNCTION("""COMPUTED_VALUE"""),"IL Putra")</f>
        <v>IL Putra</v>
      </c>
      <c r="F138" s="8" t="str">
        <f>IFERROR(__xludf.DUMMYFUNCTION("""COMPUTED_VALUE"""),"2: Alasan lemah, tidak paham tujuan pesantren.")</f>
        <v>2: Alasan lemah, tidak paham tujuan pesantren.</v>
      </c>
      <c r="G138" s="8" t="str">
        <f>IFERROR(__xludf.DUMMYFUNCTION("""COMPUTED_VALUE"""),"3: Lingkungan biasa saja, kadang ada pengaruh negatif.")</f>
        <v>3: Lingkungan biasa saja, kadang ada pengaruh negatif.</v>
      </c>
      <c r="H138" s="8" t="str">
        <f>IFERROR(__xludf.DUMMYFUNCTION("""COMPUTED_VALUE"""),"3: Game online, tapi masih bisa dikontrol.")</f>
        <v>3: Game online, tapi masih bisa dikontrol.</v>
      </c>
      <c r="I138" s="8" t="str">
        <f>IFERROR(__xludf.DUMMYFUNCTION("""COMPUTED_VALUE"""),"3: Teman biasa saja, netral.")</f>
        <v>3: Teman biasa saja, netral.</v>
      </c>
      <c r="J138" s="8" t="str">
        <f>IFERROR(__xludf.DUMMYFUNCTION("""COMPUTED_VALUE"""),"4: Menolak, tapi alasannya umum.")</f>
        <v>4: Menolak, tapi alasannya umum.</v>
      </c>
      <c r="K138" s="8" t="str">
        <f>IFERROR(__xludf.DUMMYFUNCTION("""COMPUTED_VALUE"""),"4: Menolak, tapi belum terlalu paham alasannya.")</f>
        <v>4: Menolak, tapi belum terlalu paham alasannya.</v>
      </c>
      <c r="L138" s="8" t="str">
        <f>IFERROR(__xludf.DUMMYFUNCTION("""COMPUTED_VALUE"""),"5: Hobi positif, produktif, mendukung pengembangan diri (olahraga, membaca, seni islami).")</f>
        <v>5: Hobi positif, produktif, mendukung pengembangan diri (olahraga, membaca, seni islami).</v>
      </c>
      <c r="M138" s="8" t="str">
        <f>IFERROR(__xludf.DUMMYFUNCTION("""COMPUTED_VALUE"""),"Muhajir")</f>
        <v>Muhajir</v>
      </c>
      <c r="N138" s="8" t="str">
        <f>IFERROR(__xludf.DUMMYFUNCTION("""COMPUTED_VALUE"""),"C. Perlu Pertimbangan (butuh bimbingan khusus).")</f>
        <v>C. Perlu Pertimbangan (butuh bimbingan khusus).</v>
      </c>
      <c r="O138" s="8" t="str">
        <f>IFERROR(__xludf.DUMMYFUNCTION("""COMPUTED_VALUE"""),"Tidak ada motivasi jelas untuk masuk mahad. ")</f>
        <v>Tidak ada motivasi jelas untuk masuk mahad. </v>
      </c>
      <c r="P138" s="131" t="str">
        <f t="shared" ref="P138:V138" si="140">left(F138,1)</f>
        <v>2</v>
      </c>
      <c r="Q138" s="131" t="str">
        <f t="shared" si="140"/>
        <v>3</v>
      </c>
      <c r="R138" s="131" t="str">
        <f t="shared" si="140"/>
        <v>3</v>
      </c>
      <c r="S138" s="131" t="str">
        <f t="shared" si="140"/>
        <v>3</v>
      </c>
      <c r="T138" s="131" t="str">
        <f t="shared" si="140"/>
        <v>4</v>
      </c>
      <c r="U138" s="131" t="str">
        <f t="shared" si="140"/>
        <v>4</v>
      </c>
      <c r="V138" s="131" t="str">
        <f t="shared" si="140"/>
        <v>5</v>
      </c>
      <c r="W138" s="119">
        <f t="shared" si="3"/>
        <v>24</v>
      </c>
      <c r="X138" s="119" t="str">
        <f t="shared" si="4"/>
        <v>Cukup Siap</v>
      </c>
      <c r="Y138" s="119" t="str">
        <f t="shared" si="5"/>
        <v>perlu pendampingan awal</v>
      </c>
    </row>
    <row r="139" ht="24.0" customHeight="1">
      <c r="A139" s="104">
        <f>IFERROR(__xludf.DUMMYFUNCTION("""COMPUTED_VALUE"""),45970.34993064815)</f>
        <v>45970.34993</v>
      </c>
      <c r="B139" s="7" t="str">
        <f>IFERROR(__xludf.DUMMYFUNCTION("""COMPUTED_VALUE"""),"nabilmujtaba426@gmail.com")</f>
        <v>nabilmujtaba426@gmail.com</v>
      </c>
      <c r="C139" s="7" t="str">
        <f>IFERROR(__xludf.DUMMYFUNCTION("""COMPUTED_VALUE"""),"Fadlan Waldi Zamzami")</f>
        <v>Fadlan Waldi Zamzami</v>
      </c>
      <c r="D139" s="7" t="str">
        <f>IFERROR(__xludf.DUMMYFUNCTION("""COMPUTED_VALUE"""),"C250005")</f>
        <v>C250005</v>
      </c>
      <c r="E139" s="7" t="str">
        <f>IFERROR(__xludf.DUMMYFUNCTION("""COMPUTED_VALUE"""),"SMA Putra")</f>
        <v>SMA Putra</v>
      </c>
      <c r="F139" s="8" t="str">
        <f>IFERROR(__xludf.DUMMYFUNCTION("""COMPUTED_VALUE"""),"5: Sangat jelas, kuat, dan sesuai visi pesantren (ingin belajar agama, mandiri, dekat dengan Allah).")</f>
        <v>5: Sangat jelas, kuat, dan sesuai visi pesantren (ingin belajar agama, mandiri, dekat dengan Allah).</v>
      </c>
      <c r="G139" s="8" t="str">
        <f>IFERROR(__xludf.DUMMYFUNCTION("""COMPUTED_VALUE"""),"5: Lingkungan sangat mendukung (keluarga islami, shalat berjamaah, kontrol gadget baik).")</f>
        <v>5: Lingkungan sangat mendukung (keluarga islami, shalat berjamaah, kontrol gadget baik).</v>
      </c>
      <c r="H139" s="8" t="str">
        <f>IFERROR(__xludf.DUMMYFUNCTION("""COMPUTED_VALUE"""),"5: Hobi bermanfaat (olahraga, membaca, permainan edukatif).")</f>
        <v>5: Hobi bermanfaat (olahraga, membaca, permainan edukatif).</v>
      </c>
      <c r="I139" s="8" t="str">
        <f>IFERROR(__xludf.DUMMYFUNCTION("""COMPUTED_VALUE"""),"5: Berteman dengan lingkungan positif (masjid, teman shalih/shalihah).")</f>
        <v>5: Berteman dengan lingkungan positif (masjid, teman shalih/shalihah).</v>
      </c>
      <c r="J139" s="8" t="str">
        <f>IFERROR(__xludf.DUMMYFUNCTION("""COMPUTED_VALUE"""),"5: Jelas menolak, punya alasan agama/ilmu.")</f>
        <v>5: Jelas menolak, punya alasan agama/ilmu.</v>
      </c>
      <c r="K139" s="8" t="str">
        <f>IFERROR(__xludf.DUMMYFUNCTION("""COMPUTED_VALUE"""),"5: Menolak dengan tegas, paham bahaya dan dosa.")</f>
        <v>5: Menolak dengan tegas, paham bahaya dan dosa.</v>
      </c>
      <c r="L139" s="8" t="str">
        <f>IFERROR(__xludf.DUMMYFUNCTION("""COMPUTED_VALUE"""),"5: Hobi positif, produktif, mendukung pengembangan diri (olahraga, membaca, seni islami).")</f>
        <v>5: Hobi positif, produktif, mendukung pengembangan diri (olahraga, membaca, seni islami).</v>
      </c>
      <c r="M139" s="8" t="str">
        <f>IFERROR(__xludf.DUMMYFUNCTION("""COMPUTED_VALUE"""),"Nabil Mujtaba")</f>
        <v>Nabil Mujtaba</v>
      </c>
      <c r="N139" s="8" t="str">
        <f>IFERROR(__xludf.DUMMYFUNCTION("""COMPUTED_VALUE"""),"A. Sangat Layak diterima (potensi besar berkembang di pesantren).")</f>
        <v>A. Sangat Layak diterima (potensi besar berkembang di pesantren).</v>
      </c>
      <c r="O139" s="8"/>
      <c r="P139" s="131" t="str">
        <f t="shared" ref="P139:V139" si="141">left(F139,1)</f>
        <v>5</v>
      </c>
      <c r="Q139" s="131" t="str">
        <f t="shared" si="141"/>
        <v>5</v>
      </c>
      <c r="R139" s="131" t="str">
        <f t="shared" si="141"/>
        <v>5</v>
      </c>
      <c r="S139" s="131" t="str">
        <f t="shared" si="141"/>
        <v>5</v>
      </c>
      <c r="T139" s="131" t="str">
        <f t="shared" si="141"/>
        <v>5</v>
      </c>
      <c r="U139" s="131" t="str">
        <f t="shared" si="141"/>
        <v>5</v>
      </c>
      <c r="V139" s="131" t="str">
        <f t="shared" si="141"/>
        <v>5</v>
      </c>
      <c r="W139" s="119">
        <f t="shared" si="3"/>
        <v>35</v>
      </c>
      <c r="X139" s="119" t="str">
        <f t="shared" si="4"/>
        <v>Siap</v>
      </c>
      <c r="Y139" s="119" t="str">
        <f t="shared" si="5"/>
        <v>bisa mengikuti pola pesantren dengan baik</v>
      </c>
    </row>
    <row r="140" ht="24.0" customHeight="1">
      <c r="A140" s="104">
        <f>IFERROR(__xludf.DUMMYFUNCTION("""COMPUTED_VALUE"""),45970.54999962963)</f>
        <v>45970.55</v>
      </c>
      <c r="B140" s="7" t="str">
        <f>IFERROR(__xludf.DUMMYFUNCTION("""COMPUTED_VALUE"""),"nabilmujtaba426@gmail.com")</f>
        <v>nabilmujtaba426@gmail.com</v>
      </c>
      <c r="C140" s="7" t="str">
        <f>IFERROR(__xludf.DUMMYFUNCTION("""COMPUTED_VALUE"""),"Salman Alfarizi Alamsyah ")</f>
        <v>Salman Alfarizi Alamsyah </v>
      </c>
      <c r="D140" s="7" t="str">
        <f>IFERROR(__xludf.DUMMYFUNCTION("""COMPUTED_VALUE"""),"B250012")</f>
        <v>B250012</v>
      </c>
      <c r="E140" s="7" t="str">
        <f>IFERROR(__xludf.DUMMYFUNCTION("""COMPUTED_VALUE"""),"IL Putra")</f>
        <v>IL Putra</v>
      </c>
      <c r="F140" s="8" t="str">
        <f>IFERROR(__xludf.DUMMYFUNCTION("""COMPUTED_VALUE"""),"4: Cukup jelas, alasan positif namun masih umum.")</f>
        <v>4: Cukup jelas, alasan positif namun masih umum.</v>
      </c>
      <c r="G140" s="8" t="str">
        <f>IFERROR(__xludf.DUMMYFUNCTION("""COMPUTED_VALUE"""),"4: Lingkungan cukup mendukung, ada perhatian orang tua.")</f>
        <v>4: Lingkungan cukup mendukung, ada perhatian orang tua.</v>
      </c>
      <c r="H140" s="8" t="str">
        <f>IFERROR(__xludf.DUMMYFUNCTION("""COMPUTED_VALUE"""),"4: Game rekreasi wajar, tidak berlebihan.")</f>
        <v>4: Game rekreasi wajar, tidak berlebihan.</v>
      </c>
      <c r="I140" s="8" t="str">
        <f>IFERROR(__xludf.DUMMYFUNCTION("""COMPUTED_VALUE"""),"4: Mayoritas teman baik, ada sedikit yang kurang baik.")</f>
        <v>4: Mayoritas teman baik, ada sedikit yang kurang baik.</v>
      </c>
      <c r="J140" s="8" t="str">
        <f>IFERROR(__xludf.DUMMYFUNCTION("""COMPUTED_VALUE"""),"5: Jelas menolak, punya alasan agama/ilmu.")</f>
        <v>5: Jelas menolak, punya alasan agama/ilmu.</v>
      </c>
      <c r="K140" s="8" t="str">
        <f>IFERROR(__xludf.DUMMYFUNCTION("""COMPUTED_VALUE"""),"5: Menolak dengan tegas, paham bahaya dan dosa.")</f>
        <v>5: Menolak dengan tegas, paham bahaya dan dosa.</v>
      </c>
      <c r="L140" s="8" t="str">
        <f>IFERROR(__xludf.DUMMYFUNCTION("""COMPUTED_VALUE"""),"4: Hobi umum yang wajar (menggambar, dll).")</f>
        <v>4: Hobi umum yang wajar (menggambar, dll).</v>
      </c>
      <c r="M140" s="8" t="str">
        <f>IFERROR(__xludf.DUMMYFUNCTION("""COMPUTED_VALUE"""),"Nabil Mujtaba")</f>
        <v>Nabil Mujtaba</v>
      </c>
      <c r="N140" s="8" t="str">
        <f>IFERROR(__xludf.DUMMYFUNCTION("""COMPUTED_VALUE"""),"A. Sangat Layak diterima (potensi besar berkembang di pesantren).")</f>
        <v>A. Sangat Layak diterima (potensi besar berkembang di pesantren).</v>
      </c>
      <c r="O140" s="8"/>
      <c r="P140" s="131" t="str">
        <f t="shared" ref="P140:V140" si="142">left(F140,1)</f>
        <v>4</v>
      </c>
      <c r="Q140" s="131" t="str">
        <f t="shared" si="142"/>
        <v>4</v>
      </c>
      <c r="R140" s="131" t="str">
        <f t="shared" si="142"/>
        <v>4</v>
      </c>
      <c r="S140" s="131" t="str">
        <f t="shared" si="142"/>
        <v>4</v>
      </c>
      <c r="T140" s="131" t="str">
        <f t="shared" si="142"/>
        <v>5</v>
      </c>
      <c r="U140" s="131" t="str">
        <f t="shared" si="142"/>
        <v>5</v>
      </c>
      <c r="V140" s="131" t="str">
        <f t="shared" si="142"/>
        <v>4</v>
      </c>
      <c r="W140" s="119">
        <f t="shared" si="3"/>
        <v>30</v>
      </c>
      <c r="X140" s="119" t="str">
        <f t="shared" si="4"/>
        <v>Siap</v>
      </c>
      <c r="Y140" s="119" t="str">
        <f t="shared" si="5"/>
        <v>bisa mengikuti pola pesantren dengan baik</v>
      </c>
    </row>
    <row r="141" ht="24.0" customHeight="1">
      <c r="A141" s="104">
        <f>IFERROR(__xludf.DUMMYFUNCTION("""COMPUTED_VALUE"""),45970.70402385417)</f>
        <v>45970.70402</v>
      </c>
      <c r="B141" s="7" t="str">
        <f>IFERROR(__xludf.DUMMYFUNCTION("""COMPUTED_VALUE"""),"alfaruqsyauqi513@gmail.com")</f>
        <v>alfaruqsyauqi513@gmail.com</v>
      </c>
      <c r="C141" s="7" t="str">
        <f>IFERROR(__xludf.DUMMYFUNCTION("""COMPUTED_VALUE"""),"Abdurrahman dihya arrobi")</f>
        <v>Abdurrahman dihya arrobi</v>
      </c>
      <c r="D141" s="7" t="str">
        <f>IFERROR(__xludf.DUMMYFUNCTION("""COMPUTED_VALUE"""),"A250056")</f>
        <v>A250056</v>
      </c>
      <c r="E141" s="7" t="str">
        <f>IFERROR(__xludf.DUMMYFUNCTION("""COMPUTED_VALUE"""),"MTs Putra")</f>
        <v>MTs Putra</v>
      </c>
      <c r="F141" s="8" t="str">
        <f>IFERROR(__xludf.DUMMYFUNCTION("""COMPUTED_VALUE"""),"3: Alasan kurang terarah, dipengaruhi orang tua, tapi ada kesediaan.")</f>
        <v>3: Alasan kurang terarah, dipengaruhi orang tua, tapi ada kesediaan.</v>
      </c>
      <c r="G141" s="8" t="str">
        <f>IFERROR(__xludf.DUMMYFUNCTION("""COMPUTED_VALUE"""),"4: Lingkungan cukup mendukung, ada perhatian orang tua.")</f>
        <v>4: Lingkungan cukup mendukung, ada perhatian orang tua.</v>
      </c>
      <c r="H141" s="8" t="str">
        <f>IFERROR(__xludf.DUMMYFUNCTION("""COMPUTED_VALUE"""),"5: Hobi bermanfaat (olahraga, membaca, permainan edukatif).")</f>
        <v>5: Hobi bermanfaat (olahraga, membaca, permainan edukatif).</v>
      </c>
      <c r="I141" s="8" t="str">
        <f>IFERROR(__xludf.DUMMYFUNCTION("""COMPUTED_VALUE"""),"5: Berteman dengan lingkungan positif (masjid, teman shalih/shalihah).")</f>
        <v>5: Berteman dengan lingkungan positif (masjid, teman shalih/shalihah).</v>
      </c>
      <c r="J141" s="8" t="str">
        <f>IFERROR(__xludf.DUMMYFUNCTION("""COMPUTED_VALUE"""),"5: Jelas menolak, punya alasan agama/ilmu.")</f>
        <v>5: Jelas menolak, punya alasan agama/ilmu.</v>
      </c>
      <c r="K141" s="8" t="str">
        <f>IFERROR(__xludf.DUMMYFUNCTION("""COMPUTED_VALUE"""),"5: Menolak dengan tegas, paham bahaya dan dosa.")</f>
        <v>5: Menolak dengan tegas, paham bahaya dan dosa.</v>
      </c>
      <c r="L141" s="8" t="str">
        <f>IFERROR(__xludf.DUMMYFUNCTION("""COMPUTED_VALUE"""),"5: Hobi positif, produktif, mendukung pengembangan diri (olahraga, membaca, seni islami).")</f>
        <v>5: Hobi positif, produktif, mendukung pengembangan diri (olahraga, membaca, seni islami).</v>
      </c>
      <c r="M141" s="8" t="str">
        <f>IFERROR(__xludf.DUMMYFUNCTION("""COMPUTED_VALUE"""),"Muhammad syauqi alfaruq")</f>
        <v>Muhammad syauqi alfaruq</v>
      </c>
      <c r="N141" s="8" t="str">
        <f>IFERROR(__xludf.DUMMYFUNCTION("""COMPUTED_VALUE"""),"B. Layak diterima dengan catatan pembinaan.")</f>
        <v>B. Layak diterima dengan catatan pembinaan.</v>
      </c>
      <c r="O141" s="8" t="str">
        <f>IFERROR(__xludf.DUMMYFUNCTION("""COMPUTED_VALUE"""),"Masih kurang motivasi untuk belajar di pondok, tapi menuruti kata orang tua")</f>
        <v>Masih kurang motivasi untuk belajar di pondok, tapi menuruti kata orang tua</v>
      </c>
      <c r="P141" s="131" t="str">
        <f t="shared" ref="P141:V141" si="143">left(F141,1)</f>
        <v>3</v>
      </c>
      <c r="Q141" s="131" t="str">
        <f t="shared" si="143"/>
        <v>4</v>
      </c>
      <c r="R141" s="131" t="str">
        <f t="shared" si="143"/>
        <v>5</v>
      </c>
      <c r="S141" s="131" t="str">
        <f t="shared" si="143"/>
        <v>5</v>
      </c>
      <c r="T141" s="131" t="str">
        <f t="shared" si="143"/>
        <v>5</v>
      </c>
      <c r="U141" s="131" t="str">
        <f t="shared" si="143"/>
        <v>5</v>
      </c>
      <c r="V141" s="131" t="str">
        <f t="shared" si="143"/>
        <v>5</v>
      </c>
      <c r="W141" s="119">
        <f t="shared" si="3"/>
        <v>32</v>
      </c>
      <c r="X141" s="119" t="str">
        <f t="shared" si="4"/>
        <v>Siap</v>
      </c>
      <c r="Y141" s="119" t="str">
        <f t="shared" si="5"/>
        <v>bisa mengikuti pola pesantren dengan baik</v>
      </c>
    </row>
    <row r="142" ht="24.0" customHeight="1">
      <c r="A142" s="104">
        <f>IFERROR(__xludf.DUMMYFUNCTION("""COMPUTED_VALUE"""),45971.359362233794)</f>
        <v>45971.35936</v>
      </c>
      <c r="B142" s="7" t="str">
        <f>IFERROR(__xludf.DUMMYFUNCTION("""COMPUTED_VALUE"""),"rimamaryani5606@gmail.com")</f>
        <v>rimamaryani5606@gmail.com</v>
      </c>
      <c r="C142" s="7" t="str">
        <f>IFERROR(__xludf.DUMMYFUNCTION("""COMPUTED_VALUE"""),"Naisya Tazqia Qolbi")</f>
        <v>Naisya Tazqia Qolbi</v>
      </c>
      <c r="D142" s="7" t="str">
        <f>IFERROR(__xludf.DUMMYFUNCTION("""COMPUTED_VALUE"""),"F250001")</f>
        <v>F250001</v>
      </c>
      <c r="E142" s="7" t="str">
        <f>IFERROR(__xludf.DUMMYFUNCTION("""COMPUTED_VALUE"""),"IL Putri")</f>
        <v>IL Putri</v>
      </c>
      <c r="F142" s="8" t="str">
        <f>IFERROR(__xludf.DUMMYFUNCTION("""COMPUTED_VALUE"""),"4: Cukup jelas, alasan positif namun masih umum.")</f>
        <v>4: Cukup jelas, alasan positif namun masih umum.</v>
      </c>
      <c r="G142" s="8" t="str">
        <f>IFERROR(__xludf.DUMMYFUNCTION("""COMPUTED_VALUE"""),"5: Lingkungan sangat mendukung (keluarga islami, shalat berjamaah, kontrol gadget baik).")</f>
        <v>5: Lingkungan sangat mendukung (keluarga islami, shalat berjamaah, kontrol gadget baik).</v>
      </c>
      <c r="H142" s="8" t="str">
        <f>IFERROR(__xludf.DUMMYFUNCTION("""COMPUTED_VALUE"""),"5: Hobi bermanfaat (olahraga, membaca, permainan edukatif).")</f>
        <v>5: Hobi bermanfaat (olahraga, membaca, permainan edukatif).</v>
      </c>
      <c r="I142" s="8" t="str">
        <f>IFERROR(__xludf.DUMMYFUNCTION("""COMPUTED_VALUE"""),"3: Teman biasa saja, netral.")</f>
        <v>3: Teman biasa saja, netral.</v>
      </c>
      <c r="J142" s="8" t="str">
        <f>IFERROR(__xludf.DUMMYFUNCTION("""COMPUTED_VALUE"""),"4: Menolak, tapi alasannya umum.")</f>
        <v>4: Menolak, tapi alasannya umum.</v>
      </c>
      <c r="K142" s="8" t="str">
        <f>IFERROR(__xludf.DUMMYFUNCTION("""COMPUTED_VALUE"""),"4: Menolak, tapi belum terlalu paham alasannya.")</f>
        <v>4: Menolak, tapi belum terlalu paham alasannya.</v>
      </c>
      <c r="L142" s="8" t="str">
        <f>IFERROR(__xludf.DUMMYFUNCTION("""COMPUTED_VALUE"""),"5: Hobi positif, produktif, mendukung pengembangan diri (olahraga, membaca, seni islami).")</f>
        <v>5: Hobi positif, produktif, mendukung pengembangan diri (olahraga, membaca, seni islami).</v>
      </c>
      <c r="M142" s="8" t="str">
        <f>IFERROR(__xludf.DUMMYFUNCTION("""COMPUTED_VALUE"""),"Rima MAryani Putri Utami, S.Pd.I")</f>
        <v>Rima MAryani Putri Utami, S.Pd.I</v>
      </c>
      <c r="N142" s="8" t="str">
        <f>IFERROR(__xludf.DUMMYFUNCTION("""COMPUTED_VALUE"""),"A. Sangat Layak diterima (potensi besar berkembang di pesantren).")</f>
        <v>A. Sangat Layak diterima (potensi besar berkembang di pesantren).</v>
      </c>
      <c r="O142" s="8" t="str">
        <f>IFERROR(__xludf.DUMMYFUNCTION("""COMPUTED_VALUE"""),"Alhamdulillah ananda sangat baik, komunikatif dan sopan. punya dasar kepesantrenan yang baik karena ananda saat ini sedang mondok di pesantren tahfidz.")</f>
        <v>Alhamdulillah ananda sangat baik, komunikatif dan sopan. punya dasar kepesantrenan yang baik karena ananda saat ini sedang mondok di pesantren tahfidz.</v>
      </c>
      <c r="P142" s="131" t="str">
        <f t="shared" ref="P142:V142" si="144">left(F142,1)</f>
        <v>4</v>
      </c>
      <c r="Q142" s="131" t="str">
        <f t="shared" si="144"/>
        <v>5</v>
      </c>
      <c r="R142" s="131" t="str">
        <f t="shared" si="144"/>
        <v>5</v>
      </c>
      <c r="S142" s="131" t="str">
        <f t="shared" si="144"/>
        <v>3</v>
      </c>
      <c r="T142" s="131" t="str">
        <f t="shared" si="144"/>
        <v>4</v>
      </c>
      <c r="U142" s="131" t="str">
        <f t="shared" si="144"/>
        <v>4</v>
      </c>
      <c r="V142" s="131" t="str">
        <f t="shared" si="144"/>
        <v>5</v>
      </c>
      <c r="W142" s="119">
        <f t="shared" si="3"/>
        <v>30</v>
      </c>
      <c r="X142" s="119" t="str">
        <f t="shared" si="4"/>
        <v>Siap</v>
      </c>
      <c r="Y142" s="119" t="str">
        <f t="shared" si="5"/>
        <v>bisa mengikuti pola pesantren dengan baik</v>
      </c>
    </row>
    <row r="143" ht="24.0" customHeight="1">
      <c r="A143" s="104">
        <f>IFERROR(__xludf.DUMMYFUNCTION("""COMPUTED_VALUE"""),45971.58135361111)</f>
        <v>45971.58135</v>
      </c>
      <c r="B143" s="7" t="str">
        <f>IFERROR(__xludf.DUMMYFUNCTION("""COMPUTED_VALUE"""),"muhajirlah@gmail.com")</f>
        <v>muhajirlah@gmail.com</v>
      </c>
      <c r="C143" s="7" t="str">
        <f>IFERROR(__xludf.DUMMYFUNCTION("""COMPUTED_VALUE"""),"AL RAFFI HAFIZH IRHAM ZAKARIA")</f>
        <v>AL RAFFI HAFIZH IRHAM ZAKARIA</v>
      </c>
      <c r="D143" s="7" t="str">
        <f>IFERROR(__xludf.DUMMYFUNCTION("""COMPUTED_VALUE"""),"C250025")</f>
        <v>C250025</v>
      </c>
      <c r="E143" s="7" t="str">
        <f>IFERROR(__xludf.DUMMYFUNCTION("""COMPUTED_VALUE"""),"IL Putra")</f>
        <v>IL Putra</v>
      </c>
      <c r="F143" s="8" t="str">
        <f>IFERROR(__xludf.DUMMYFUNCTION("""COMPUTED_VALUE"""),"5: Sangat jelas, kuat, dan sesuai visi pesantren (ingin belajar agama, mandiri, dekat dengan Allah).")</f>
        <v>5: Sangat jelas, kuat, dan sesuai visi pesantren (ingin belajar agama, mandiri, dekat dengan Allah).</v>
      </c>
      <c r="G143" s="8" t="str">
        <f>IFERROR(__xludf.DUMMYFUNCTION("""COMPUTED_VALUE"""),"4: Lingkungan cukup mendukung, ada perhatian orang tua.")</f>
        <v>4: Lingkungan cukup mendukung, ada perhatian orang tua.</v>
      </c>
      <c r="H143" s="8" t="str">
        <f>IFERROR(__xludf.DUMMYFUNCTION("""COMPUTED_VALUE"""),"5: Hobi bermanfaat (olahraga, membaca, permainan edukatif).")</f>
        <v>5: Hobi bermanfaat (olahraga, membaca, permainan edukatif).</v>
      </c>
      <c r="I143" s="8" t="str">
        <f>IFERROR(__xludf.DUMMYFUNCTION("""COMPUTED_VALUE"""),"5: Berteman dengan lingkungan positif (masjid, teman shalih/shalihah).")</f>
        <v>5: Berteman dengan lingkungan positif (masjid, teman shalih/shalihah).</v>
      </c>
      <c r="J143" s="8" t="str">
        <f>IFERROR(__xludf.DUMMYFUNCTION("""COMPUTED_VALUE"""),"5: Jelas menolak, punya alasan agama/ilmu.")</f>
        <v>5: Jelas menolak, punya alasan agama/ilmu.</v>
      </c>
      <c r="K143" s="8" t="str">
        <f>IFERROR(__xludf.DUMMYFUNCTION("""COMPUTED_VALUE"""),"5: Menolak dengan tegas, paham bahaya dan dosa.")</f>
        <v>5: Menolak dengan tegas, paham bahaya dan dosa.</v>
      </c>
      <c r="L143" s="8" t="str">
        <f>IFERROR(__xludf.DUMMYFUNCTION("""COMPUTED_VALUE"""),"4: Hobi umum yang wajar (menggambar, dll).")</f>
        <v>4: Hobi umum yang wajar (menggambar, dll).</v>
      </c>
      <c r="M143" s="8" t="str">
        <f>IFERROR(__xludf.DUMMYFUNCTION("""COMPUTED_VALUE"""),"Muhajir")</f>
        <v>Muhajir</v>
      </c>
      <c r="N143" s="8" t="str">
        <f>IFERROR(__xludf.DUMMYFUNCTION("""COMPUTED_VALUE"""),"A. Sangat Layak diterima (potensi besar berkembang di pesantren).")</f>
        <v>A. Sangat Layak diterima (potensi besar berkembang di pesantren).</v>
      </c>
      <c r="O143" s="8"/>
      <c r="P143" s="131" t="str">
        <f t="shared" ref="P143:V143" si="145">left(F143,1)</f>
        <v>5</v>
      </c>
      <c r="Q143" s="131" t="str">
        <f t="shared" si="145"/>
        <v>4</v>
      </c>
      <c r="R143" s="131" t="str">
        <f t="shared" si="145"/>
        <v>5</v>
      </c>
      <c r="S143" s="131" t="str">
        <f t="shared" si="145"/>
        <v>5</v>
      </c>
      <c r="T143" s="131" t="str">
        <f t="shared" si="145"/>
        <v>5</v>
      </c>
      <c r="U143" s="131" t="str">
        <f t="shared" si="145"/>
        <v>5</v>
      </c>
      <c r="V143" s="131" t="str">
        <f t="shared" si="145"/>
        <v>4</v>
      </c>
      <c r="W143" s="119">
        <f t="shared" si="3"/>
        <v>33</v>
      </c>
      <c r="X143" s="119" t="str">
        <f t="shared" si="4"/>
        <v>Siap</v>
      </c>
      <c r="Y143" s="119" t="str">
        <f t="shared" si="5"/>
        <v>bisa mengikuti pola pesantren dengan baik</v>
      </c>
    </row>
    <row r="144" ht="24.0" customHeight="1">
      <c r="A144" s="104">
        <f>IFERROR(__xludf.DUMMYFUNCTION("""COMPUTED_VALUE"""),45971.8451855787)</f>
        <v>45971.84519</v>
      </c>
      <c r="B144" s="7" t="str">
        <f>IFERROR(__xludf.DUMMYFUNCTION("""COMPUTED_VALUE"""),"mujtabanabil426@gmail.com")</f>
        <v>mujtabanabil426@gmail.com</v>
      </c>
      <c r="C144" s="7" t="str">
        <f>IFERROR(__xludf.DUMMYFUNCTION("""COMPUTED_VALUE"""),"syabil al fachrizzi")</f>
        <v>syabil al fachrizzi</v>
      </c>
      <c r="D144" s="7" t="str">
        <f>IFERROR(__xludf.DUMMYFUNCTION("""COMPUTED_VALUE"""),"A250047")</f>
        <v>A250047</v>
      </c>
      <c r="E144" s="7" t="str">
        <f>IFERROR(__xludf.DUMMYFUNCTION("""COMPUTED_VALUE"""),"MTs Putra")</f>
        <v>MTs Putra</v>
      </c>
      <c r="F144" s="8" t="str">
        <f>IFERROR(__xludf.DUMMYFUNCTION("""COMPUTED_VALUE"""),"2: Alasan lemah, tidak paham tujuan pesantren.")</f>
        <v>2: Alasan lemah, tidak paham tujuan pesantren.</v>
      </c>
      <c r="G144" s="8" t="str">
        <f>IFERROR(__xludf.DUMMYFUNCTION("""COMPUTED_VALUE"""),"4: Lingkungan cukup mendukung, ada perhatian orang tua.")</f>
        <v>4: Lingkungan cukup mendukung, ada perhatian orang tua.</v>
      </c>
      <c r="H144" s="8" t="str">
        <f>IFERROR(__xludf.DUMMYFUNCTION("""COMPUTED_VALUE"""),"5: Hobi bermanfaat (olahraga, membaca, permainan edukatif).")</f>
        <v>5: Hobi bermanfaat (olahraga, membaca, permainan edukatif).</v>
      </c>
      <c r="I144" s="8" t="str">
        <f>IFERROR(__xludf.DUMMYFUNCTION("""COMPUTED_VALUE"""),"4: Mayoritas teman baik, ada sedikit yang kurang baik.")</f>
        <v>4: Mayoritas teman baik, ada sedikit yang kurang baik.</v>
      </c>
      <c r="J144" s="8" t="str">
        <f>IFERROR(__xludf.DUMMYFUNCTION("""COMPUTED_VALUE"""),"3: Netral/tidak tahu, belum ada sikap tegas.")</f>
        <v>3: Netral/tidak tahu, belum ada sikap tegas.</v>
      </c>
      <c r="K144" s="8" t="str">
        <f>IFERROR(__xludf.DUMMYFUNCTION("""COMPUTED_VALUE"""),"5: Menolak dengan tegas, paham bahaya dan dosa.")</f>
        <v>5: Menolak dengan tegas, paham bahaya dan dosa.</v>
      </c>
      <c r="L144" s="8" t="str">
        <f>IFERROR(__xludf.DUMMYFUNCTION("""COMPUTED_VALUE"""),"5: Hobi positif, produktif, mendukung pengembangan diri (olahraga, membaca, seni islami).")</f>
        <v>5: Hobi positif, produktif, mendukung pengembangan diri (olahraga, membaca, seni islami).</v>
      </c>
      <c r="M144" s="8" t="str">
        <f>IFERROR(__xludf.DUMMYFUNCTION("""COMPUTED_VALUE"""),"RIZALDI")</f>
        <v>RIZALDI</v>
      </c>
      <c r="N144" s="8" t="str">
        <f>IFERROR(__xludf.DUMMYFUNCTION("""COMPUTED_VALUE"""),"A. Sangat Layak diterima (potensi besar berkembang di pesantren).")</f>
        <v>A. Sangat Layak diterima (potensi besar berkembang di pesantren).</v>
      </c>
      <c r="O144" s="8" t="str">
        <f>IFERROR(__xludf.DUMMYFUNCTION("""COMPUTED_VALUE"""),"TIDAK ADA CATATN ANAKNYA BAGUS PUNYA TUJUAN YANG JELAS ")</f>
        <v>TIDAK ADA CATATN ANAKNYA BAGUS PUNYA TUJUAN YANG JELAS </v>
      </c>
      <c r="P144" s="131" t="str">
        <f t="shared" ref="P144:V144" si="146">left(F144,1)</f>
        <v>2</v>
      </c>
      <c r="Q144" s="131" t="str">
        <f t="shared" si="146"/>
        <v>4</v>
      </c>
      <c r="R144" s="131" t="str">
        <f t="shared" si="146"/>
        <v>5</v>
      </c>
      <c r="S144" s="131" t="str">
        <f t="shared" si="146"/>
        <v>4</v>
      </c>
      <c r="T144" s="131" t="str">
        <f t="shared" si="146"/>
        <v>3</v>
      </c>
      <c r="U144" s="131" t="str">
        <f t="shared" si="146"/>
        <v>5</v>
      </c>
      <c r="V144" s="131" t="str">
        <f t="shared" si="146"/>
        <v>5</v>
      </c>
      <c r="W144" s="119">
        <f t="shared" si="3"/>
        <v>28</v>
      </c>
      <c r="X144" s="119" t="str">
        <f t="shared" si="4"/>
        <v>Cukup Siap</v>
      </c>
      <c r="Y144" s="119" t="str">
        <f t="shared" si="5"/>
        <v>perlu pendampingan awal</v>
      </c>
    </row>
    <row r="145" ht="24.0" customHeight="1">
      <c r="A145" s="104">
        <f>IFERROR(__xludf.DUMMYFUNCTION("""COMPUTED_VALUE"""),45971.846201712964)</f>
        <v>45971.8462</v>
      </c>
      <c r="B145" s="7" t="str">
        <f>IFERROR(__xludf.DUMMYFUNCTION("""COMPUTED_VALUE"""),"muhajirlah@gmail.com")</f>
        <v>muhajirlah@gmail.com</v>
      </c>
      <c r="C145" s="7" t="str">
        <f>IFERROR(__xludf.DUMMYFUNCTION("""COMPUTED_VALUE"""),"Rifqi Fathurrohman")</f>
        <v>Rifqi Fathurrohman</v>
      </c>
      <c r="D145" s="7" t="str">
        <f>IFERROR(__xludf.DUMMYFUNCTION("""COMPUTED_VALUE"""),"‎A250084")</f>
        <v>‎A250084</v>
      </c>
      <c r="E145" s="7" t="str">
        <f>IFERROR(__xludf.DUMMYFUNCTION("""COMPUTED_VALUE"""),"MTs Putra")</f>
        <v>MTs Putra</v>
      </c>
      <c r="F145" s="8" t="str">
        <f>IFERROR(__xludf.DUMMYFUNCTION("""COMPUTED_VALUE"""),"5: Sangat jelas, kuat, dan sesuai visi pesantren (ingin belajar agama, mandiri, dekat dengan Allah).")</f>
        <v>5: Sangat jelas, kuat, dan sesuai visi pesantren (ingin belajar agama, mandiri, dekat dengan Allah).</v>
      </c>
      <c r="G145" s="8" t="str">
        <f>IFERROR(__xludf.DUMMYFUNCTION("""COMPUTED_VALUE"""),"5: Lingkungan sangat mendukung (keluarga islami, shalat berjamaah, kontrol gadget baik).")</f>
        <v>5: Lingkungan sangat mendukung (keluarga islami, shalat berjamaah, kontrol gadget baik).</v>
      </c>
      <c r="H145" s="8" t="str">
        <f>IFERROR(__xludf.DUMMYFUNCTION("""COMPUTED_VALUE"""),"5: Hobi bermanfaat (olahraga, membaca, permainan edukatif).")</f>
        <v>5: Hobi bermanfaat (olahraga, membaca, permainan edukatif).</v>
      </c>
      <c r="I145" s="8" t="str">
        <f>IFERROR(__xludf.DUMMYFUNCTION("""COMPUTED_VALUE"""),"4: Mayoritas teman baik, ada sedikit yang kurang baik.")</f>
        <v>4: Mayoritas teman baik, ada sedikit yang kurang baik.</v>
      </c>
      <c r="J145" s="8" t="str">
        <f>IFERROR(__xludf.DUMMYFUNCTION("""COMPUTED_VALUE"""),"4: Menolak, tapi alasannya umum.")</f>
        <v>4: Menolak, tapi alasannya umum.</v>
      </c>
      <c r="K145" s="8" t="str">
        <f>IFERROR(__xludf.DUMMYFUNCTION("""COMPUTED_VALUE"""),"5: Menolak dengan tegas, paham bahaya dan dosa.")</f>
        <v>5: Menolak dengan tegas, paham bahaya dan dosa.</v>
      </c>
      <c r="L145" s="8" t="str">
        <f>IFERROR(__xludf.DUMMYFUNCTION("""COMPUTED_VALUE"""),"5: Hobi positif, produktif, mendukung pengembangan diri (olahraga, membaca, seni islami).")</f>
        <v>5: Hobi positif, produktif, mendukung pengembangan diri (olahraga, membaca, seni islami).</v>
      </c>
      <c r="M145" s="8" t="str">
        <f>IFERROR(__xludf.DUMMYFUNCTION("""COMPUTED_VALUE"""),"Muhajir")</f>
        <v>Muhajir</v>
      </c>
      <c r="N145" s="8" t="str">
        <f>IFERROR(__xludf.DUMMYFUNCTION("""COMPUTED_VALUE"""),"A. Sangat Layak diterima (potensi besar berkembang di pesantren).")</f>
        <v>A. Sangat Layak diterima (potensi besar berkembang di pesantren).</v>
      </c>
      <c r="O145" s="8"/>
      <c r="P145" s="131" t="str">
        <f t="shared" ref="P145:V145" si="147">left(F145,1)</f>
        <v>5</v>
      </c>
      <c r="Q145" s="131" t="str">
        <f t="shared" si="147"/>
        <v>5</v>
      </c>
      <c r="R145" s="131" t="str">
        <f t="shared" si="147"/>
        <v>5</v>
      </c>
      <c r="S145" s="131" t="str">
        <f t="shared" si="147"/>
        <v>4</v>
      </c>
      <c r="T145" s="131" t="str">
        <f t="shared" si="147"/>
        <v>4</v>
      </c>
      <c r="U145" s="131" t="str">
        <f t="shared" si="147"/>
        <v>5</v>
      </c>
      <c r="V145" s="131" t="str">
        <f t="shared" si="147"/>
        <v>5</v>
      </c>
      <c r="W145" s="119">
        <f t="shared" si="3"/>
        <v>33</v>
      </c>
      <c r="X145" s="119" t="str">
        <f t="shared" si="4"/>
        <v>Siap</v>
      </c>
      <c r="Y145" s="119" t="str">
        <f t="shared" si="5"/>
        <v>bisa mengikuti pola pesantren dengan baik</v>
      </c>
    </row>
    <row r="146" ht="24.0" customHeight="1">
      <c r="A146" s="104">
        <f>IFERROR(__xludf.DUMMYFUNCTION("""COMPUTED_VALUE"""),45972.90193127315)</f>
        <v>45972.90193</v>
      </c>
      <c r="B146" s="7" t="str">
        <f>IFERROR(__xludf.DUMMYFUNCTION("""COMPUTED_VALUE"""),"zaldoyrizaldi@gmail.com")</f>
        <v>zaldoyrizaldi@gmail.com</v>
      </c>
      <c r="C146" s="7" t="str">
        <f>IFERROR(__xludf.DUMMYFUNCTION("""COMPUTED_VALUE"""),"Muhammad Naufal rafif atallah")</f>
        <v>Muhammad Naufal rafif atallah</v>
      </c>
      <c r="D146" s="7" t="str">
        <f>IFERROR(__xludf.DUMMYFUNCTION("""COMPUTED_VALUE"""),"B250016")</f>
        <v>B250016</v>
      </c>
      <c r="E146" s="7" t="str">
        <f>IFERROR(__xludf.DUMMYFUNCTION("""COMPUTED_VALUE"""),"IL Putra")</f>
        <v>IL Putra</v>
      </c>
      <c r="F146" s="8" t="str">
        <f>IFERROR(__xludf.DUMMYFUNCTION("""COMPUTED_VALUE"""),"5: Sangat jelas, kuat, dan sesuai visi pesantren (ingin belajar agama, mandiri, dekat dengan Allah).")</f>
        <v>5: Sangat jelas, kuat, dan sesuai visi pesantren (ingin belajar agama, mandiri, dekat dengan Allah).</v>
      </c>
      <c r="G146" s="8" t="str">
        <f>IFERROR(__xludf.DUMMYFUNCTION("""COMPUTED_VALUE"""),"5: Lingkungan sangat mendukung (keluarga islami, shalat berjamaah, kontrol gadget baik).")</f>
        <v>5: Lingkungan sangat mendukung (keluarga islami, shalat berjamaah, kontrol gadget baik).</v>
      </c>
      <c r="H146" s="8" t="str">
        <f>IFERROR(__xludf.DUMMYFUNCTION("""COMPUTED_VALUE"""),"5: Hobi bermanfaat (olahraga, membaca, permainan edukatif).")</f>
        <v>5: Hobi bermanfaat (olahraga, membaca, permainan edukatif).</v>
      </c>
      <c r="I146" s="8" t="str">
        <f>IFERROR(__xludf.DUMMYFUNCTION("""COMPUTED_VALUE"""),"5: Berteman dengan lingkungan positif (masjid, teman shalih/shalihah).")</f>
        <v>5: Berteman dengan lingkungan positif (masjid, teman shalih/shalihah).</v>
      </c>
      <c r="J146" s="8" t="str">
        <f>IFERROR(__xludf.DUMMYFUNCTION("""COMPUTED_VALUE"""),"4: Menolak, tapi alasannya umum.")</f>
        <v>4: Menolak, tapi alasannya umum.</v>
      </c>
      <c r="K146" s="8" t="str">
        <f>IFERROR(__xludf.DUMMYFUNCTION("""COMPUTED_VALUE"""),"4: Menolak, tapi belum terlalu paham alasannya.")</f>
        <v>4: Menolak, tapi belum terlalu paham alasannya.</v>
      </c>
      <c r="L146" s="8" t="str">
        <f>IFERROR(__xludf.DUMMYFUNCTION("""COMPUTED_VALUE"""),"5: Hobi positif, produktif, mendukung pengembangan diri (olahraga, membaca, seni islami).")</f>
        <v>5: Hobi positif, produktif, mendukung pengembangan diri (olahraga, membaca, seni islami).</v>
      </c>
      <c r="M146" s="8" t="str">
        <f>IFERROR(__xludf.DUMMYFUNCTION("""COMPUTED_VALUE"""),"rizaldi")</f>
        <v>rizaldi</v>
      </c>
      <c r="N146" s="8" t="str">
        <f>IFERROR(__xludf.DUMMYFUNCTION("""COMPUTED_VALUE"""),"A. Sangat Layak diterima (potensi besar berkembang di pesantren).")</f>
        <v>A. Sangat Layak diterima (potensi besar berkembang di pesantren).</v>
      </c>
      <c r="O146" s="8" t="str">
        <f>IFERROR(__xludf.DUMMYFUNCTION("""COMPUTED_VALUE"""),"punya keinginan menuntut agama yg bagus dan ingin kuliah di luar negri jadi milih di sini dan tidak punya rekor pelanggaran di pesantren sebelumnya ")</f>
        <v>punya keinginan menuntut agama yg bagus dan ingin kuliah di luar negri jadi milih di sini dan tidak punya rekor pelanggaran di pesantren sebelumnya </v>
      </c>
      <c r="P146" s="131" t="str">
        <f t="shared" ref="P146:V146" si="148">left(F146,1)</f>
        <v>5</v>
      </c>
      <c r="Q146" s="131" t="str">
        <f t="shared" si="148"/>
        <v>5</v>
      </c>
      <c r="R146" s="131" t="str">
        <f t="shared" si="148"/>
        <v>5</v>
      </c>
      <c r="S146" s="131" t="str">
        <f t="shared" si="148"/>
        <v>5</v>
      </c>
      <c r="T146" s="131" t="str">
        <f t="shared" si="148"/>
        <v>4</v>
      </c>
      <c r="U146" s="131" t="str">
        <f t="shared" si="148"/>
        <v>4</v>
      </c>
      <c r="V146" s="131" t="str">
        <f t="shared" si="148"/>
        <v>5</v>
      </c>
      <c r="W146" s="119">
        <f t="shared" si="3"/>
        <v>33</v>
      </c>
      <c r="X146" s="119" t="str">
        <f t="shared" si="4"/>
        <v>Siap</v>
      </c>
      <c r="Y146" s="119" t="str">
        <f t="shared" si="5"/>
        <v>bisa mengikuti pola pesantren dengan baik</v>
      </c>
    </row>
    <row r="147" ht="24.0" customHeight="1">
      <c r="A147" s="106">
        <f>IFERROR(__xludf.DUMMYFUNCTION("""COMPUTED_VALUE"""),45973.68708625)</f>
        <v>45973.68709</v>
      </c>
      <c r="B147" s="108" t="str">
        <f>IFERROR(__xludf.DUMMYFUNCTION("""COMPUTED_VALUE"""),"muhajirlah@gmail.com")</f>
        <v>muhajirlah@gmail.com</v>
      </c>
      <c r="C147" s="108" t="str">
        <f>IFERROR(__xludf.DUMMYFUNCTION("""COMPUTED_VALUE"""),"KHUBAIB ABDUL AZIZ")</f>
        <v>KHUBAIB ABDUL AZIZ</v>
      </c>
      <c r="D147" s="108" t="str">
        <f>IFERROR(__xludf.DUMMYFUNCTION("""COMPUTED_VALUE"""),"‎C250022")</f>
        <v>‎C250022</v>
      </c>
      <c r="E147" s="108" t="str">
        <f>IFERROR(__xludf.DUMMYFUNCTION("""COMPUTED_VALUE"""),"SMA Putra")</f>
        <v>SMA Putra</v>
      </c>
      <c r="F147" s="125" t="str">
        <f>IFERROR(__xludf.DUMMYFUNCTION("""COMPUTED_VALUE"""),"5: Sangat jelas, kuat, dan sesuai visi pesantren (ingin belajar agama, mandiri, dekat dengan Allah).")</f>
        <v>5: Sangat jelas, kuat, dan sesuai visi pesantren (ingin belajar agama, mandiri, dekat dengan Allah).</v>
      </c>
      <c r="G147" s="125" t="str">
        <f>IFERROR(__xludf.DUMMYFUNCTION("""COMPUTED_VALUE"""),"5: Lingkungan sangat mendukung (keluarga islami, shalat berjamaah, kontrol gadget baik).")</f>
        <v>5: Lingkungan sangat mendukung (keluarga islami, shalat berjamaah, kontrol gadget baik).</v>
      </c>
      <c r="H147" s="125" t="str">
        <f>IFERROR(__xludf.DUMMYFUNCTION("""COMPUTED_VALUE"""),"4: Game rekreasi wajar, tidak berlebihan.")</f>
        <v>4: Game rekreasi wajar, tidak berlebihan.</v>
      </c>
      <c r="I147" s="125" t="str">
        <f>IFERROR(__xludf.DUMMYFUNCTION("""COMPUTED_VALUE"""),"5: Berteman dengan lingkungan positif (masjid, teman shalih/shalihah).")</f>
        <v>5: Berteman dengan lingkungan positif (masjid, teman shalih/shalihah).</v>
      </c>
      <c r="J147" s="125" t="str">
        <f>IFERROR(__xludf.DUMMYFUNCTION("""COMPUTED_VALUE"""),"5: Jelas menolak, punya alasan agama/ilmu.")</f>
        <v>5: Jelas menolak, punya alasan agama/ilmu.</v>
      </c>
      <c r="K147" s="125" t="str">
        <f>IFERROR(__xludf.DUMMYFUNCTION("""COMPUTED_VALUE"""),"5: Menolak dengan tegas, paham bahaya dan dosa.")</f>
        <v>5: Menolak dengan tegas, paham bahaya dan dosa.</v>
      </c>
      <c r="L147" s="125" t="str">
        <f>IFERROR(__xludf.DUMMYFUNCTION("""COMPUTED_VALUE"""),"5: Hobi positif, produktif, mendukung pengembangan diri (olahraga, membaca, seni islami).")</f>
        <v>5: Hobi positif, produktif, mendukung pengembangan diri (olahraga, membaca, seni islami).</v>
      </c>
      <c r="M147" s="125" t="str">
        <f>IFERROR(__xludf.DUMMYFUNCTION("""COMPUTED_VALUE"""),"Muhajir")</f>
        <v>Muhajir</v>
      </c>
      <c r="N147" s="125" t="str">
        <f>IFERROR(__xludf.DUMMYFUNCTION("""COMPUTED_VALUE"""),"A. Sangat Layak diterima (potensi besar berkembang di pesantren).")</f>
        <v>A. Sangat Layak diterima (potensi besar berkembang di pesantren).</v>
      </c>
      <c r="O147" s="125"/>
      <c r="P147" s="148" t="str">
        <f t="shared" ref="P147:V147" si="149">left(F147,1)</f>
        <v>5</v>
      </c>
      <c r="Q147" s="148" t="str">
        <f t="shared" si="149"/>
        <v>5</v>
      </c>
      <c r="R147" s="148" t="str">
        <f t="shared" si="149"/>
        <v>4</v>
      </c>
      <c r="S147" s="148" t="str">
        <f t="shared" si="149"/>
        <v>5</v>
      </c>
      <c r="T147" s="148" t="str">
        <f t="shared" si="149"/>
        <v>5</v>
      </c>
      <c r="U147" s="148" t="str">
        <f t="shared" si="149"/>
        <v>5</v>
      </c>
      <c r="V147" s="148" t="str">
        <f t="shared" si="149"/>
        <v>5</v>
      </c>
      <c r="W147" s="126">
        <f t="shared" si="3"/>
        <v>34</v>
      </c>
      <c r="X147" s="126" t="str">
        <f t="shared" si="4"/>
        <v>Siap</v>
      </c>
      <c r="Y147" s="126" t="str">
        <f t="shared" si="5"/>
        <v>bisa mengikuti pola pesantren dengan baik</v>
      </c>
      <c r="Z147" s="108"/>
      <c r="AA147" s="108"/>
      <c r="AB147" s="108"/>
      <c r="AC147" s="108"/>
      <c r="AD147" s="108"/>
      <c r="AE147" s="108"/>
    </row>
    <row r="148" ht="24.0" customHeight="1">
      <c r="A148" s="104">
        <f>IFERROR(__xludf.DUMMYFUNCTION("""COMPUTED_VALUE"""),45988.68994497685)</f>
        <v>45988.68994</v>
      </c>
      <c r="B148" s="7" t="str">
        <f>IFERROR(__xludf.DUMMYFUNCTION("""COMPUTED_VALUE"""),"halimahnurjalalhfnjl@gmail.com")</f>
        <v>halimahnurjalalhfnjl@gmail.com</v>
      </c>
      <c r="C148" s="7" t="str">
        <f>IFERROR(__xludf.DUMMYFUNCTION("""COMPUTED_VALUE"""),"Kimora Amanda Putri")</f>
        <v>Kimora Amanda Putri</v>
      </c>
      <c r="D148" s="7" t="str">
        <f>IFERROR(__xludf.DUMMYFUNCTION("""COMPUTED_VALUE"""),"D250033")</f>
        <v>D250033</v>
      </c>
      <c r="E148" s="7" t="str">
        <f>IFERROR(__xludf.DUMMYFUNCTION("""COMPUTED_VALUE"""),"MTs Putri")</f>
        <v>MTs Putri</v>
      </c>
      <c r="F148" s="8" t="str">
        <f>IFERROR(__xludf.DUMMYFUNCTION("""COMPUTED_VALUE"""),"4: Cukup jelas, alasan positif namun masih umum.")</f>
        <v>4: Cukup jelas, alasan positif namun masih umum.</v>
      </c>
      <c r="G148" s="8" t="str">
        <f>IFERROR(__xludf.DUMMYFUNCTION("""COMPUTED_VALUE"""),"4: Lingkungan cukup mendukung, ada perhatian orang tua.")</f>
        <v>4: Lingkungan cukup mendukung, ada perhatian orang tua.</v>
      </c>
      <c r="H148" s="8" t="str">
        <f>IFERROR(__xludf.DUMMYFUNCTION("""COMPUTED_VALUE"""),"5: Hobi bermanfaat (olahraga, membaca, permainan edukatif).")</f>
        <v>5: Hobi bermanfaat (olahraga, membaca, permainan edukatif).</v>
      </c>
      <c r="I148" s="8" t="str">
        <f>IFERROR(__xludf.DUMMYFUNCTION("""COMPUTED_VALUE"""),"5: Berteman dengan lingkungan positif (masjid, teman shalih/shalihah).")</f>
        <v>5: Berteman dengan lingkungan positif (masjid, teman shalih/shalihah).</v>
      </c>
      <c r="J148" s="8" t="str">
        <f>IFERROR(__xludf.DUMMYFUNCTION("""COMPUTED_VALUE"""),"4: Menolak, tapi alasannya umum.")</f>
        <v>4: Menolak, tapi alasannya umum.</v>
      </c>
      <c r="K148" s="8" t="str">
        <f>IFERROR(__xludf.DUMMYFUNCTION("""COMPUTED_VALUE"""),"4: Menolak, tapi belum terlalu paham alasannya.")</f>
        <v>4: Menolak, tapi belum terlalu paham alasannya.</v>
      </c>
      <c r="L148" s="8" t="str">
        <f>IFERROR(__xludf.DUMMYFUNCTION("""COMPUTED_VALUE"""),"5: Hobi positif, produktif, mendukung pengembangan diri (olahraga, membaca, seni islami).")</f>
        <v>5: Hobi positif, produktif, mendukung pengembangan diri (olahraga, membaca, seni islami).</v>
      </c>
      <c r="M148" s="8" t="str">
        <f>IFERROR(__xludf.DUMMYFUNCTION("""COMPUTED_VALUE"""),"Halimah Fauziah ")</f>
        <v>Halimah Fauziah </v>
      </c>
      <c r="N148" s="8" t="str">
        <f>IFERROR(__xludf.DUMMYFUNCTION("""COMPUTED_VALUE"""),"A. Sangat Layak diterima (potensi besar berkembang di pesantren).")</f>
        <v>A. Sangat Layak diterima (potensi besar berkembang di pesantren).</v>
      </c>
      <c r="O148" s="8" t="str">
        <f>IFERROR(__xludf.DUMMYFUNCTION("""COMPUTED_VALUE"""),"Ananda sopan dalam berbicara namun pemalu ")</f>
        <v>Ananda sopan dalam berbicara namun pemalu </v>
      </c>
      <c r="P148" s="131" t="str">
        <f t="shared" ref="P148:V148" si="150">left(F148,1)</f>
        <v>4</v>
      </c>
      <c r="Q148" s="131" t="str">
        <f t="shared" si="150"/>
        <v>4</v>
      </c>
      <c r="R148" s="131" t="str">
        <f t="shared" si="150"/>
        <v>5</v>
      </c>
      <c r="S148" s="131" t="str">
        <f t="shared" si="150"/>
        <v>5</v>
      </c>
      <c r="T148" s="131" t="str">
        <f t="shared" si="150"/>
        <v>4</v>
      </c>
      <c r="U148" s="131" t="str">
        <f t="shared" si="150"/>
        <v>4</v>
      </c>
      <c r="V148" s="131" t="str">
        <f t="shared" si="150"/>
        <v>5</v>
      </c>
      <c r="W148" s="119">
        <f t="shared" si="3"/>
        <v>31</v>
      </c>
      <c r="X148" s="119" t="str">
        <f t="shared" si="4"/>
        <v>Siap</v>
      </c>
      <c r="Y148" s="119" t="str">
        <f t="shared" si="5"/>
        <v>bisa mengikuti pola pesantren dengan baik</v>
      </c>
    </row>
    <row r="149" ht="24.0" customHeight="1">
      <c r="A149" s="104">
        <f>IFERROR(__xludf.DUMMYFUNCTION("""COMPUTED_VALUE"""),45989.7074115162)</f>
        <v>45989.70741</v>
      </c>
      <c r="B149" s="7" t="str">
        <f>IFERROR(__xludf.DUMMYFUNCTION("""COMPUTED_VALUE"""),"halimahnurjalalhfnjl@gmail.com")</f>
        <v>halimahnurjalalhfnjl@gmail.com</v>
      </c>
      <c r="C149" s="7" t="str">
        <f>IFERROR(__xludf.DUMMYFUNCTION("""COMPUTED_VALUE"""),"Aisha Salma Mutmainnah ")</f>
        <v>Aisha Salma Mutmainnah </v>
      </c>
      <c r="D149" s="7" t="str">
        <f>IFERROR(__xludf.DUMMYFUNCTION("""COMPUTED_VALUE"""),"D250034")</f>
        <v>D250034</v>
      </c>
      <c r="E149" s="7" t="str">
        <f>IFERROR(__xludf.DUMMYFUNCTION("""COMPUTED_VALUE"""),"MTs Putri")</f>
        <v>MTs Putri</v>
      </c>
      <c r="F149" s="8" t="str">
        <f>IFERROR(__xludf.DUMMYFUNCTION("""COMPUTED_VALUE"""),"4: Cukup jelas, alasan positif namun masih umum.")</f>
        <v>4: Cukup jelas, alasan positif namun masih umum.</v>
      </c>
      <c r="G149" s="8" t="str">
        <f>IFERROR(__xludf.DUMMYFUNCTION("""COMPUTED_VALUE"""),"5: Lingkungan sangat mendukung (keluarga islami, shalat berjamaah, kontrol gadget baik).")</f>
        <v>5: Lingkungan sangat mendukung (keluarga islami, shalat berjamaah, kontrol gadget baik).</v>
      </c>
      <c r="H149" s="8" t="str">
        <f>IFERROR(__xludf.DUMMYFUNCTION("""COMPUTED_VALUE"""),"5: Hobi bermanfaat (olahraga, membaca, permainan edukatif).")</f>
        <v>5: Hobi bermanfaat (olahraga, membaca, permainan edukatif).</v>
      </c>
      <c r="I149" s="8" t="str">
        <f>IFERROR(__xludf.DUMMYFUNCTION("""COMPUTED_VALUE"""),"4: Mayoritas teman baik, ada sedikit yang kurang baik.")</f>
        <v>4: Mayoritas teman baik, ada sedikit yang kurang baik.</v>
      </c>
      <c r="J149" s="8" t="str">
        <f>IFERROR(__xludf.DUMMYFUNCTION("""COMPUTED_VALUE"""),"4: Menolak, tapi alasannya umum.")</f>
        <v>4: Menolak, tapi alasannya umum.</v>
      </c>
      <c r="K149" s="8" t="str">
        <f>IFERROR(__xludf.DUMMYFUNCTION("""COMPUTED_VALUE"""),"4: Menolak, tapi belum terlalu paham alasannya.")</f>
        <v>4: Menolak, tapi belum terlalu paham alasannya.</v>
      </c>
      <c r="L149" s="8" t="str">
        <f>IFERROR(__xludf.DUMMYFUNCTION("""COMPUTED_VALUE"""),"5: Hobi positif, produktif, mendukung pengembangan diri (olahraga, membaca, seni islami).")</f>
        <v>5: Hobi positif, produktif, mendukung pengembangan diri (olahraga, membaca, seni islami).</v>
      </c>
      <c r="M149" s="8" t="str">
        <f>IFERROR(__xludf.DUMMYFUNCTION("""COMPUTED_VALUE"""),"Halimah Fauziah ")</f>
        <v>Halimah Fauziah </v>
      </c>
      <c r="N149" s="8" t="str">
        <f>IFERROR(__xludf.DUMMYFUNCTION("""COMPUTED_VALUE"""),"A. Sangat Layak diterima (potensi besar berkembang di pesantren).")</f>
        <v>A. Sangat Layak diterima (potensi besar berkembang di pesantren).</v>
      </c>
      <c r="O149" s="8" t="str">
        <f>IFERROR(__xludf.DUMMYFUNCTION("""COMPUTED_VALUE"""),"Ananda sangat baik dalam menjawab, santun dan sopan serta memiliki semangat belajar di pesantren ")</f>
        <v>Ananda sangat baik dalam menjawab, santun dan sopan serta memiliki semangat belajar di pesantren </v>
      </c>
      <c r="P149" s="131" t="str">
        <f t="shared" ref="P149:V149" si="151">left(F149,1)</f>
        <v>4</v>
      </c>
      <c r="Q149" s="131" t="str">
        <f t="shared" si="151"/>
        <v>5</v>
      </c>
      <c r="R149" s="131" t="str">
        <f t="shared" si="151"/>
        <v>5</v>
      </c>
      <c r="S149" s="131" t="str">
        <f t="shared" si="151"/>
        <v>4</v>
      </c>
      <c r="T149" s="131" t="str">
        <f t="shared" si="151"/>
        <v>4</v>
      </c>
      <c r="U149" s="131" t="str">
        <f t="shared" si="151"/>
        <v>4</v>
      </c>
      <c r="V149" s="131" t="str">
        <f t="shared" si="151"/>
        <v>5</v>
      </c>
      <c r="W149" s="119">
        <f t="shared" si="3"/>
        <v>31</v>
      </c>
      <c r="X149" s="119" t="str">
        <f t="shared" si="4"/>
        <v>Siap</v>
      </c>
      <c r="Y149" s="119" t="str">
        <f t="shared" si="5"/>
        <v>bisa mengikuti pola pesantren dengan baik</v>
      </c>
    </row>
    <row r="150" ht="24.0" customHeight="1">
      <c r="A150" s="104">
        <f>IFERROR(__xludf.DUMMYFUNCTION("""COMPUTED_VALUE"""),45989.843437523145)</f>
        <v>45989.84344</v>
      </c>
      <c r="B150" s="7" t="str">
        <f>IFERROR(__xludf.DUMMYFUNCTION("""COMPUTED_VALUE"""),"halimahnurjalalhfnjl@gmail.com")</f>
        <v>halimahnurjalalhfnjl@gmail.com</v>
      </c>
      <c r="C150" s="7" t="str">
        <f>IFERROR(__xludf.DUMMYFUNCTION("""COMPUTED_VALUE"""),"Naisya Ashadia Rusli ")</f>
        <v>Naisya Ashadia Rusli </v>
      </c>
      <c r="D150" s="7" t="str">
        <f>IFERROR(__xludf.DUMMYFUNCTION("""COMPUTED_VALUE"""),"D250035")</f>
        <v>D250035</v>
      </c>
      <c r="E150" s="7" t="str">
        <f>IFERROR(__xludf.DUMMYFUNCTION("""COMPUTED_VALUE"""),"MTs Putri")</f>
        <v>MTs Putri</v>
      </c>
      <c r="F150" s="8" t="str">
        <f>IFERROR(__xludf.DUMMYFUNCTION("""COMPUTED_VALUE"""),"4: Cukup jelas, alasan positif namun masih umum.")</f>
        <v>4: Cukup jelas, alasan positif namun masih umum.</v>
      </c>
      <c r="G150" s="8" t="str">
        <f>IFERROR(__xludf.DUMMYFUNCTION("""COMPUTED_VALUE"""),"4: Lingkungan cukup mendukung, ada perhatian orang tua.")</f>
        <v>4: Lingkungan cukup mendukung, ada perhatian orang tua.</v>
      </c>
      <c r="H150" s="8" t="str">
        <f>IFERROR(__xludf.DUMMYFUNCTION("""COMPUTED_VALUE"""),"5: Hobi bermanfaat (olahraga, membaca, permainan edukatif).")</f>
        <v>5: Hobi bermanfaat (olahraga, membaca, permainan edukatif).</v>
      </c>
      <c r="I150" s="8" t="str">
        <f>IFERROR(__xludf.DUMMYFUNCTION("""COMPUTED_VALUE"""),"5: Berteman dengan lingkungan positif (masjid, teman shalih/shalihah).")</f>
        <v>5: Berteman dengan lingkungan positif (masjid, teman shalih/shalihah).</v>
      </c>
      <c r="J150" s="8" t="str">
        <f>IFERROR(__xludf.DUMMYFUNCTION("""COMPUTED_VALUE"""),"4: Menolak, tapi alasannya umum.")</f>
        <v>4: Menolak, tapi alasannya umum.</v>
      </c>
      <c r="K150" s="8" t="str">
        <f>IFERROR(__xludf.DUMMYFUNCTION("""COMPUTED_VALUE"""),"4: Menolak, tapi belum terlalu paham alasannya.")</f>
        <v>4: Menolak, tapi belum terlalu paham alasannya.</v>
      </c>
      <c r="L150" s="8" t="str">
        <f>IFERROR(__xludf.DUMMYFUNCTION("""COMPUTED_VALUE"""),"4: Hobi umum yang wajar (menggambar, dll).")</f>
        <v>4: Hobi umum yang wajar (menggambar, dll).</v>
      </c>
      <c r="M150" s="8" t="str">
        <f>IFERROR(__xludf.DUMMYFUNCTION("""COMPUTED_VALUE"""),"Halimah Fauziah ")</f>
        <v>Halimah Fauziah </v>
      </c>
      <c r="N150" s="8" t="str">
        <f>IFERROR(__xludf.DUMMYFUNCTION("""COMPUTED_VALUE"""),"A. Sangat Layak diterima (potensi besar berkembang di pesantren).")</f>
        <v>A. Sangat Layak diterima (potensi besar berkembang di pesantren).</v>
      </c>
      <c r="O150" s="8" t="str">
        <f>IFERROR(__xludf.DUMMYFUNCTION("""COMPUTED_VALUE"""),"Memiliki kemampuan sikap yang sopan dan hormat, belum memiliki hafalan banyak, baru bebrp surat juz 30 ")</f>
        <v>Memiliki kemampuan sikap yang sopan dan hormat, belum memiliki hafalan banyak, baru bebrp surat juz 30 </v>
      </c>
      <c r="P150" s="131" t="str">
        <f t="shared" ref="P150:V150" si="152">left(F150,1)</f>
        <v>4</v>
      </c>
      <c r="Q150" s="131" t="str">
        <f t="shared" si="152"/>
        <v>4</v>
      </c>
      <c r="R150" s="131" t="str">
        <f t="shared" si="152"/>
        <v>5</v>
      </c>
      <c r="S150" s="131" t="str">
        <f t="shared" si="152"/>
        <v>5</v>
      </c>
      <c r="T150" s="131" t="str">
        <f t="shared" si="152"/>
        <v>4</v>
      </c>
      <c r="U150" s="131" t="str">
        <f t="shared" si="152"/>
        <v>4</v>
      </c>
      <c r="V150" s="131" t="str">
        <f t="shared" si="152"/>
        <v>4</v>
      </c>
      <c r="W150" s="119">
        <f t="shared" si="3"/>
        <v>30</v>
      </c>
      <c r="X150" s="119" t="str">
        <f t="shared" si="4"/>
        <v>Siap</v>
      </c>
      <c r="Y150" s="119" t="str">
        <f t="shared" si="5"/>
        <v>bisa mengikuti pola pesantren dengan baik</v>
      </c>
    </row>
    <row r="151" ht="24.0" customHeight="1">
      <c r="A151" s="104">
        <f>IFERROR(__xludf.DUMMYFUNCTION("""COMPUTED_VALUE"""),45992.634476238425)</f>
        <v>45992.63448</v>
      </c>
      <c r="B151" s="7" t="str">
        <f>IFERROR(__xludf.DUMMYFUNCTION("""COMPUTED_VALUE"""),"rimamaryani5606@gmail.com")</f>
        <v>rimamaryani5606@gmail.com</v>
      </c>
      <c r="C151" s="7" t="str">
        <f>IFERROR(__xludf.DUMMYFUNCTION("""COMPUTED_VALUE"""),"Nanda Faizah Muttaqiyah")</f>
        <v>Nanda Faizah Muttaqiyah</v>
      </c>
      <c r="D151" s="7" t="str">
        <f>IFERROR(__xludf.DUMMYFUNCTION("""COMPUTED_VALUE"""),"E250010")</f>
        <v>E250010</v>
      </c>
      <c r="E151" s="7" t="str">
        <f>IFERROR(__xludf.DUMMYFUNCTION("""COMPUTED_VALUE"""),"IL Putri")</f>
        <v>IL Putri</v>
      </c>
      <c r="F151" s="8" t="str">
        <f>IFERROR(__xludf.DUMMYFUNCTION("""COMPUTED_VALUE"""),"4: Cukup jelas, alasan positif namun masih umum.")</f>
        <v>4: Cukup jelas, alasan positif namun masih umum.</v>
      </c>
      <c r="G151" s="8" t="str">
        <f>IFERROR(__xludf.DUMMYFUNCTION("""COMPUTED_VALUE"""),"4: Lingkungan cukup mendukung, ada perhatian orang tua.")</f>
        <v>4: Lingkungan cukup mendukung, ada perhatian orang tua.</v>
      </c>
      <c r="H151" s="8" t="str">
        <f>IFERROR(__xludf.DUMMYFUNCTION("""COMPUTED_VALUE"""),"5: Hobi bermanfaat (olahraga, membaca, permainan edukatif).")</f>
        <v>5: Hobi bermanfaat (olahraga, membaca, permainan edukatif).</v>
      </c>
      <c r="I151" s="8" t="str">
        <f>IFERROR(__xludf.DUMMYFUNCTION("""COMPUTED_VALUE"""),"3: Teman biasa saja, netral.")</f>
        <v>3: Teman biasa saja, netral.</v>
      </c>
      <c r="J151" s="8" t="str">
        <f>IFERROR(__xludf.DUMMYFUNCTION("""COMPUTED_VALUE"""),"5: Jelas menolak, punya alasan agama/ilmu.")</f>
        <v>5: Jelas menolak, punya alasan agama/ilmu.</v>
      </c>
      <c r="K151" s="8" t="str">
        <f>IFERROR(__xludf.DUMMYFUNCTION("""COMPUTED_VALUE"""),"5: Menolak dengan tegas, paham bahaya dan dosa.")</f>
        <v>5: Menolak dengan tegas, paham bahaya dan dosa.</v>
      </c>
      <c r="L151" s="8" t="str">
        <f>IFERROR(__xludf.DUMMYFUNCTION("""COMPUTED_VALUE"""),"4: Hobi umum yang wajar (menggambar, dll).")</f>
        <v>4: Hobi umum yang wajar (menggambar, dll).</v>
      </c>
      <c r="M151" s="8" t="str">
        <f>IFERROR(__xludf.DUMMYFUNCTION("""COMPUTED_VALUE"""),"Rima maryani Putri Utami, S.Pd.I")</f>
        <v>Rima maryani Putri Utami, S.Pd.I</v>
      </c>
      <c r="N151" s="8" t="str">
        <f>IFERROR(__xludf.DUMMYFUNCTION("""COMPUTED_VALUE"""),"A. Sangat Layak diterima (potensi besar berkembang di pesantren).")</f>
        <v>A. Sangat Layak diterima (potensi besar berkembang di pesantren).</v>
      </c>
      <c r="O151" s="8" t="str">
        <f>IFERROR(__xludf.DUMMYFUNCTION("""COMPUTED_VALUE"""),"Alhamdulillah, wawancara dengan ananda berjalan dengan baik. ananda siap untuk masuk dan belajar di jenjang IL.")</f>
        <v>Alhamdulillah, wawancara dengan ananda berjalan dengan baik. ananda siap untuk masuk dan belajar di jenjang IL.</v>
      </c>
      <c r="P151" s="131" t="str">
        <f t="shared" ref="P151:V151" si="153">left(F151,1)</f>
        <v>4</v>
      </c>
      <c r="Q151" s="131" t="str">
        <f t="shared" si="153"/>
        <v>4</v>
      </c>
      <c r="R151" s="131" t="str">
        <f t="shared" si="153"/>
        <v>5</v>
      </c>
      <c r="S151" s="131" t="str">
        <f t="shared" si="153"/>
        <v>3</v>
      </c>
      <c r="T151" s="131" t="str">
        <f t="shared" si="153"/>
        <v>5</v>
      </c>
      <c r="U151" s="131" t="str">
        <f t="shared" si="153"/>
        <v>5</v>
      </c>
      <c r="V151" s="131" t="str">
        <f t="shared" si="153"/>
        <v>4</v>
      </c>
      <c r="W151" s="119">
        <f t="shared" si="3"/>
        <v>30</v>
      </c>
      <c r="X151" s="119" t="str">
        <f t="shared" si="4"/>
        <v>Siap</v>
      </c>
      <c r="Y151" s="119" t="str">
        <f t="shared" si="5"/>
        <v>bisa mengikuti pola pesantren dengan baik</v>
      </c>
    </row>
    <row r="152" ht="24.0" customHeight="1">
      <c r="A152" s="104">
        <f>IFERROR(__xludf.DUMMYFUNCTION("""COMPUTED_VALUE"""),46029.80644930556)</f>
        <v>46029.80645</v>
      </c>
      <c r="B152" s="7" t="str">
        <f>IFERROR(__xludf.DUMMYFUNCTION("""COMPUTED_VALUE"""),"halimahnurjalalhfnjl@gmail.com")</f>
        <v>halimahnurjalalhfnjl@gmail.com</v>
      </c>
      <c r="C152" s="7" t="str">
        <f>IFERROR(__xludf.DUMMYFUNCTION("""COMPUTED_VALUE"""),"Ratu Rafifa putri mulyana")</f>
        <v>Ratu Rafifa putri mulyana</v>
      </c>
      <c r="D152" s="7" t="str">
        <f>IFERROR(__xludf.DUMMYFUNCTION("""COMPUTED_VALUE"""),"D250036")</f>
        <v>D250036</v>
      </c>
      <c r="E152" s="7" t="str">
        <f>IFERROR(__xludf.DUMMYFUNCTION("""COMPUTED_VALUE"""),"MTs Putri")</f>
        <v>MTs Putri</v>
      </c>
      <c r="F152" s="8" t="str">
        <f>IFERROR(__xludf.DUMMYFUNCTION("""COMPUTED_VALUE"""),"5: Sangat jelas, kuat, dan sesuai visi pesantren (ingin belajar agama, mandiri, dekat dengan Allah).")</f>
        <v>5: Sangat jelas, kuat, dan sesuai visi pesantren (ingin belajar agama, mandiri, dekat dengan Allah).</v>
      </c>
      <c r="G152" s="8" t="str">
        <f>IFERROR(__xludf.DUMMYFUNCTION("""COMPUTED_VALUE"""),"5: Lingkungan sangat mendukung (keluarga islami, shalat berjamaah, kontrol gadget baik).")</f>
        <v>5: Lingkungan sangat mendukung (keluarga islami, shalat berjamaah, kontrol gadget baik).</v>
      </c>
      <c r="H152" s="8" t="str">
        <f>IFERROR(__xludf.DUMMYFUNCTION("""COMPUTED_VALUE"""),"4: Game rekreasi wajar, tidak berlebihan.")</f>
        <v>4: Game rekreasi wajar, tidak berlebihan.</v>
      </c>
      <c r="I152" s="8" t="str">
        <f>IFERROR(__xludf.DUMMYFUNCTION("""COMPUTED_VALUE"""),"5: Berteman dengan lingkungan positif (masjid, teman shalih/shalihah).")</f>
        <v>5: Berteman dengan lingkungan positif (masjid, teman shalih/shalihah).</v>
      </c>
      <c r="J152" s="8" t="str">
        <f>IFERROR(__xludf.DUMMYFUNCTION("""COMPUTED_VALUE"""),"5: Jelas menolak, punya alasan agama/ilmu.")</f>
        <v>5: Jelas menolak, punya alasan agama/ilmu.</v>
      </c>
      <c r="K152" s="8" t="str">
        <f>IFERROR(__xludf.DUMMYFUNCTION("""COMPUTED_VALUE"""),"5: Menolak dengan tegas, paham bahaya dan dosa.")</f>
        <v>5: Menolak dengan tegas, paham bahaya dan dosa.</v>
      </c>
      <c r="L152" s="8" t="str">
        <f>IFERROR(__xludf.DUMMYFUNCTION("""COMPUTED_VALUE"""),"4: Hobi umum yang wajar (menggambar, dll).")</f>
        <v>4: Hobi umum yang wajar (menggambar, dll).</v>
      </c>
      <c r="M152" s="8" t="str">
        <f>IFERROR(__xludf.DUMMYFUNCTION("""COMPUTED_VALUE"""),"Halimah Fauziah ")</f>
        <v>Halimah Fauziah </v>
      </c>
      <c r="N152" s="8" t="str">
        <f>IFERROR(__xludf.DUMMYFUNCTION("""COMPUTED_VALUE"""),"A. Sangat Layak diterima (potensi besar berkembang di pesantren).")</f>
        <v>A. Sangat Layak diterima (potensi besar berkembang di pesantren).</v>
      </c>
      <c r="O152" s="8" t="str">
        <f>IFERROR(__xludf.DUMMYFUNCTION("""COMPUTED_VALUE"""),"Di puas ananda mempunyai kakak di kls 9. Ananda memiliki semangat untuk mondok karena melihat keseharian kakanya ketika libur")</f>
        <v>Di puas ananda mempunyai kakak di kls 9. Ananda memiliki semangat untuk mondok karena melihat keseharian kakanya ketika libur</v>
      </c>
      <c r="P152" s="131" t="str">
        <f t="shared" ref="P152:V152" si="154">left(F152,1)</f>
        <v>5</v>
      </c>
      <c r="Q152" s="131" t="str">
        <f t="shared" si="154"/>
        <v>5</v>
      </c>
      <c r="R152" s="131" t="str">
        <f t="shared" si="154"/>
        <v>4</v>
      </c>
      <c r="S152" s="131" t="str">
        <f t="shared" si="154"/>
        <v>5</v>
      </c>
      <c r="T152" s="131" t="str">
        <f t="shared" si="154"/>
        <v>5</v>
      </c>
      <c r="U152" s="131" t="str">
        <f t="shared" si="154"/>
        <v>5</v>
      </c>
      <c r="V152" s="131" t="str">
        <f t="shared" si="154"/>
        <v>4</v>
      </c>
      <c r="W152" s="119">
        <f t="shared" si="3"/>
        <v>33</v>
      </c>
      <c r="X152" s="119" t="str">
        <f t="shared" si="4"/>
        <v>Siap</v>
      </c>
      <c r="Y152" s="119" t="str">
        <f t="shared" si="5"/>
        <v>bisa mengikuti pola pesantren dengan baik</v>
      </c>
    </row>
    <row r="153" ht="24.0" customHeight="1">
      <c r="A153" s="7"/>
      <c r="B153" s="7"/>
      <c r="C153" s="7" t="str">
        <f>IFERROR(__xludf.DUMMYFUNCTION("""COMPUTED_VALUE"""),"Zakaria reynaldo")</f>
        <v>Zakaria reynaldo</v>
      </c>
      <c r="D153" s="7" t="str">
        <f>IFERROR(__xludf.DUMMYFUNCTION("""COMPUTED_VALUE"""),"C0000")</f>
        <v>C0000</v>
      </c>
      <c r="E153" s="7" t="str">
        <f>IFERROR(__xludf.DUMMYFUNCTION("""COMPUTED_VALUE"""),"SMA")</f>
        <v>SMA</v>
      </c>
      <c r="F153" s="8" t="str">
        <f>IFERROR(__xludf.DUMMYFUNCTION("""COMPUTED_VALUE"""),"3: Alasan kurang terarah, dipengaruhi orang tua, tapi ada kesediaan.")</f>
        <v>3: Alasan kurang terarah, dipengaruhi orang tua, tapi ada kesediaan.</v>
      </c>
      <c r="G153" s="8" t="str">
        <f>IFERROR(__xludf.DUMMYFUNCTION("""COMPUTED_VALUE"""),"4: Lingkungan cukup mendukung, ada perhatian orang tua.")</f>
        <v>4: Lingkungan cukup mendukung, ada perhatian orang tua.</v>
      </c>
      <c r="H153" s="8" t="str">
        <f>IFERROR(__xludf.DUMMYFUNCTION("""COMPUTED_VALUE"""),"5: Hobi bermanfaat (olahraga, membaca, permainan edukatif).")</f>
        <v>5: Hobi bermanfaat (olahraga, membaca, permainan edukatif).</v>
      </c>
      <c r="I153" s="8" t="str">
        <f>IFERROR(__xludf.DUMMYFUNCTION("""COMPUTED_VALUE"""),"5: Berteman dengan lingkungan positif (masjid, teman shalih/shalihah).")</f>
        <v>5: Berteman dengan lingkungan positif (masjid, teman shalih/shalihah).</v>
      </c>
      <c r="J153" s="8" t="str">
        <f>IFERROR(__xludf.DUMMYFUNCTION("""COMPUTED_VALUE"""),"5: Jelas menolak, punya alasan agama/ilmu.")</f>
        <v>5: Jelas menolak, punya alasan agama/ilmu.</v>
      </c>
      <c r="K153" s="8" t="str">
        <f>IFERROR(__xludf.DUMMYFUNCTION("""COMPUTED_VALUE"""),"5: Menolak dengan tegas, paham bahaya dan dosa.")</f>
        <v>5: Menolak dengan tegas, paham bahaya dan dosa.</v>
      </c>
      <c r="L153" s="8" t="str">
        <f>IFERROR(__xludf.DUMMYFUNCTION("""COMPUTED_VALUE"""),"5: Hobi positif, produktif, mendukung pengembangan diri (olahraga, membaca, seni islami).")</f>
        <v>5: Hobi positif, produktif, mendukung pengembangan diri (olahraga, membaca, seni islami).</v>
      </c>
      <c r="M153" s="8"/>
      <c r="N153" s="8" t="str">
        <f>IFERROR(__xludf.DUMMYFUNCTION("""COMPUTED_VALUE"""),"B. Layak diterima dengan catatan pembinaan.")</f>
        <v>B. Layak diterima dengan catatan pembinaan.</v>
      </c>
      <c r="O153" s="8"/>
      <c r="P153" s="8"/>
      <c r="Q153" s="8"/>
      <c r="R153" s="8"/>
      <c r="S153" s="8"/>
      <c r="T153" s="8"/>
      <c r="U153" s="8"/>
      <c r="V153" s="8"/>
    </row>
    <row r="154" ht="24.0" customHeight="1">
      <c r="A154" s="7"/>
      <c r="B154" s="7"/>
      <c r="C154" s="7"/>
      <c r="D154" s="7"/>
      <c r="E154" s="7"/>
      <c r="F154" s="8"/>
      <c r="G154" s="8"/>
      <c r="H154" s="8"/>
      <c r="I154" s="8"/>
      <c r="J154" s="8"/>
      <c r="K154" s="8"/>
      <c r="L154" s="8"/>
      <c r="M154" s="8"/>
      <c r="N154" s="8"/>
      <c r="O154" s="8"/>
      <c r="P154" s="8"/>
      <c r="Q154" s="8"/>
      <c r="R154" s="8"/>
      <c r="S154" s="8"/>
      <c r="T154" s="8"/>
      <c r="U154" s="8"/>
      <c r="V154" s="8"/>
    </row>
    <row r="155" ht="24.0" customHeight="1">
      <c r="A155" s="7"/>
      <c r="B155" s="7"/>
      <c r="C155" s="7"/>
      <c r="D155" s="7"/>
      <c r="E155" s="7"/>
      <c r="F155" s="8"/>
      <c r="G155" s="8"/>
      <c r="H155" s="8"/>
      <c r="I155" s="8"/>
      <c r="J155" s="8"/>
      <c r="K155" s="8"/>
      <c r="L155" s="8"/>
      <c r="M155" s="8"/>
      <c r="N155" s="8"/>
      <c r="O155" s="8"/>
      <c r="P155" s="8"/>
      <c r="Q155" s="8"/>
      <c r="R155" s="8"/>
      <c r="S155" s="8"/>
      <c r="T155" s="8"/>
      <c r="U155" s="8"/>
      <c r="V155" s="8"/>
    </row>
    <row r="156" ht="24.0" customHeight="1">
      <c r="A156" s="7"/>
      <c r="B156" s="7"/>
      <c r="C156" s="7"/>
      <c r="D156" s="7"/>
      <c r="E156" s="7"/>
      <c r="F156" s="8"/>
      <c r="G156" s="8"/>
      <c r="H156" s="8"/>
      <c r="I156" s="8"/>
      <c r="J156" s="8"/>
      <c r="K156" s="8"/>
      <c r="L156" s="8"/>
      <c r="M156" s="8"/>
      <c r="N156" s="8"/>
      <c r="O156" s="8"/>
      <c r="P156" s="8"/>
      <c r="Q156" s="8"/>
      <c r="R156" s="8"/>
      <c r="S156" s="8"/>
      <c r="T156" s="8"/>
      <c r="U156" s="8"/>
      <c r="V156" s="8"/>
    </row>
    <row r="157" ht="24.0" customHeight="1">
      <c r="A157" s="7"/>
      <c r="B157" s="7"/>
      <c r="C157" s="7"/>
      <c r="D157" s="7"/>
      <c r="E157" s="7"/>
      <c r="F157" s="8"/>
      <c r="G157" s="8"/>
      <c r="H157" s="8"/>
      <c r="I157" s="8"/>
      <c r="J157" s="8"/>
      <c r="K157" s="8"/>
      <c r="L157" s="8"/>
      <c r="M157" s="8"/>
      <c r="N157" s="8"/>
      <c r="O157" s="8"/>
      <c r="P157" s="8"/>
      <c r="Q157" s="8"/>
      <c r="R157" s="8"/>
      <c r="S157" s="8"/>
      <c r="T157" s="8"/>
      <c r="U157" s="8"/>
      <c r="V157" s="8"/>
    </row>
    <row r="158" ht="24.0" customHeight="1">
      <c r="A158" s="7"/>
      <c r="B158" s="7"/>
      <c r="C158" s="7"/>
      <c r="D158" s="7"/>
      <c r="E158" s="7"/>
      <c r="F158" s="8"/>
      <c r="G158" s="8"/>
      <c r="H158" s="8"/>
      <c r="I158" s="8"/>
      <c r="J158" s="8"/>
      <c r="K158" s="8"/>
      <c r="L158" s="8"/>
      <c r="M158" s="8"/>
      <c r="N158" s="8"/>
      <c r="O158" s="8"/>
      <c r="P158" s="8"/>
      <c r="Q158" s="8"/>
      <c r="R158" s="8"/>
      <c r="S158" s="8"/>
      <c r="T158" s="8"/>
      <c r="U158" s="8"/>
      <c r="V158" s="8"/>
    </row>
    <row r="159" ht="24.0" customHeight="1">
      <c r="A159" s="7"/>
      <c r="B159" s="7"/>
      <c r="C159" s="7"/>
      <c r="D159" s="7"/>
      <c r="E159" s="7"/>
      <c r="F159" s="8"/>
      <c r="G159" s="8"/>
      <c r="H159" s="8"/>
      <c r="I159" s="8"/>
      <c r="J159" s="8"/>
      <c r="K159" s="8"/>
      <c r="L159" s="8"/>
      <c r="M159" s="8"/>
      <c r="N159" s="8"/>
      <c r="O159" s="8"/>
      <c r="P159" s="8"/>
      <c r="Q159" s="8"/>
      <c r="R159" s="8"/>
      <c r="S159" s="8"/>
      <c r="T159" s="8"/>
      <c r="U159" s="8"/>
      <c r="V159" s="8"/>
    </row>
    <row r="160" ht="24.0" customHeight="1">
      <c r="A160" s="7"/>
      <c r="B160" s="7"/>
      <c r="C160" s="7"/>
      <c r="D160" s="7"/>
      <c r="E160" s="7"/>
      <c r="F160" s="8"/>
      <c r="G160" s="8"/>
      <c r="H160" s="8"/>
      <c r="I160" s="8"/>
      <c r="J160" s="8"/>
      <c r="K160" s="8"/>
      <c r="L160" s="8"/>
      <c r="M160" s="8"/>
      <c r="N160" s="8"/>
      <c r="O160" s="8"/>
      <c r="P160" s="8"/>
      <c r="Q160" s="8"/>
      <c r="R160" s="8"/>
      <c r="S160" s="8"/>
      <c r="T160" s="8"/>
      <c r="U160" s="8"/>
      <c r="V160" s="8"/>
    </row>
    <row r="161" ht="24.0" customHeight="1">
      <c r="A161" s="7"/>
      <c r="B161" s="7"/>
      <c r="C161" s="7"/>
      <c r="D161" s="7"/>
      <c r="E161" s="7"/>
      <c r="F161" s="8"/>
      <c r="G161" s="8"/>
      <c r="H161" s="8"/>
      <c r="I161" s="8"/>
      <c r="J161" s="8"/>
      <c r="K161" s="8"/>
      <c r="L161" s="8"/>
      <c r="M161" s="8"/>
      <c r="N161" s="8"/>
      <c r="O161" s="8"/>
      <c r="P161" s="8"/>
      <c r="Q161" s="8"/>
      <c r="R161" s="8"/>
      <c r="S161" s="8"/>
      <c r="T161" s="8"/>
      <c r="U161" s="8"/>
      <c r="V161" s="8"/>
    </row>
    <row r="162" ht="24.0" customHeight="1">
      <c r="A162" s="7"/>
      <c r="B162" s="7"/>
      <c r="C162" s="7"/>
      <c r="D162" s="7"/>
      <c r="E162" s="7"/>
      <c r="F162" s="8"/>
      <c r="G162" s="8"/>
      <c r="H162" s="8"/>
      <c r="I162" s="8"/>
      <c r="J162" s="8"/>
      <c r="K162" s="8"/>
      <c r="L162" s="8"/>
      <c r="M162" s="8"/>
      <c r="N162" s="8"/>
      <c r="O162" s="8"/>
      <c r="P162" s="8"/>
      <c r="Q162" s="8"/>
      <c r="R162" s="8"/>
      <c r="S162" s="8"/>
      <c r="T162" s="8"/>
      <c r="U162" s="8"/>
      <c r="V162" s="8"/>
    </row>
    <row r="163" ht="24.0" customHeight="1">
      <c r="A163" s="7"/>
      <c r="B163" s="7"/>
      <c r="C163" s="7"/>
      <c r="D163" s="7"/>
      <c r="E163" s="7"/>
      <c r="F163" s="8"/>
      <c r="G163" s="8"/>
      <c r="H163" s="8"/>
      <c r="I163" s="8"/>
      <c r="J163" s="8"/>
      <c r="K163" s="8"/>
      <c r="L163" s="8"/>
      <c r="M163" s="8"/>
      <c r="N163" s="8"/>
      <c r="O163" s="8"/>
      <c r="P163" s="8"/>
      <c r="Q163" s="8"/>
      <c r="R163" s="8"/>
      <c r="S163" s="8"/>
      <c r="T163" s="8"/>
      <c r="U163" s="8"/>
      <c r="V163" s="8"/>
    </row>
    <row r="164" ht="24.0" customHeight="1">
      <c r="A164" s="7"/>
      <c r="B164" s="7"/>
      <c r="C164" s="7"/>
      <c r="D164" s="7"/>
      <c r="E164" s="7"/>
      <c r="F164" s="8"/>
      <c r="G164" s="8"/>
      <c r="H164" s="8"/>
      <c r="I164" s="8"/>
      <c r="J164" s="8"/>
      <c r="K164" s="8"/>
      <c r="L164" s="8"/>
      <c r="M164" s="8"/>
      <c r="N164" s="8"/>
      <c r="O164" s="8"/>
      <c r="P164" s="8"/>
      <c r="Q164" s="8"/>
      <c r="R164" s="8"/>
      <c r="S164" s="8"/>
      <c r="T164" s="8"/>
      <c r="U164" s="8"/>
      <c r="V164" s="8"/>
    </row>
    <row r="165" ht="24.0" customHeight="1">
      <c r="A165" s="7"/>
      <c r="B165" s="7"/>
      <c r="C165" s="7"/>
      <c r="D165" s="7"/>
      <c r="E165" s="7"/>
      <c r="F165" s="8"/>
      <c r="G165" s="8"/>
      <c r="H165" s="8"/>
      <c r="I165" s="8"/>
      <c r="J165" s="8"/>
      <c r="K165" s="8"/>
      <c r="L165" s="8"/>
      <c r="M165" s="8"/>
      <c r="N165" s="8"/>
      <c r="O165" s="8"/>
      <c r="P165" s="8"/>
      <c r="Q165" s="8"/>
      <c r="R165" s="8"/>
      <c r="S165" s="8"/>
      <c r="T165" s="8"/>
      <c r="U165" s="8"/>
      <c r="V165" s="8"/>
    </row>
    <row r="166" ht="24.0" customHeight="1">
      <c r="A166" s="7"/>
      <c r="B166" s="7"/>
      <c r="C166" s="7"/>
      <c r="D166" s="7"/>
      <c r="E166" s="7"/>
      <c r="F166" s="8"/>
      <c r="G166" s="8"/>
      <c r="H166" s="8"/>
      <c r="I166" s="8"/>
      <c r="J166" s="8"/>
      <c r="K166" s="8"/>
      <c r="L166" s="8"/>
      <c r="M166" s="8"/>
      <c r="N166" s="8"/>
      <c r="O166" s="8"/>
      <c r="P166" s="8"/>
      <c r="Q166" s="8"/>
      <c r="R166" s="8"/>
      <c r="S166" s="8"/>
      <c r="T166" s="8"/>
      <c r="U166" s="8"/>
      <c r="V166" s="8"/>
    </row>
    <row r="167" ht="24.0" customHeight="1">
      <c r="A167" s="7"/>
      <c r="B167" s="7"/>
      <c r="C167" s="7"/>
      <c r="D167" s="7"/>
      <c r="E167" s="7"/>
      <c r="F167" s="8"/>
      <c r="G167" s="8"/>
      <c r="H167" s="8"/>
      <c r="I167" s="8"/>
      <c r="J167" s="8"/>
      <c r="K167" s="8"/>
      <c r="L167" s="8"/>
      <c r="M167" s="8"/>
      <c r="N167" s="8"/>
      <c r="O167" s="8"/>
      <c r="P167" s="8"/>
      <c r="Q167" s="8"/>
      <c r="R167" s="8"/>
      <c r="S167" s="8"/>
      <c r="T167" s="8"/>
      <c r="U167" s="8"/>
      <c r="V167" s="8"/>
    </row>
    <row r="168" ht="24.0" customHeight="1">
      <c r="A168" s="7"/>
      <c r="B168" s="7"/>
      <c r="C168" s="7"/>
      <c r="D168" s="7"/>
      <c r="E168" s="7"/>
      <c r="F168" s="8"/>
      <c r="G168" s="8"/>
      <c r="H168" s="8"/>
      <c r="I168" s="8"/>
      <c r="J168" s="8"/>
      <c r="K168" s="8"/>
      <c r="L168" s="8"/>
      <c r="M168" s="8"/>
      <c r="N168" s="8"/>
      <c r="O168" s="8"/>
      <c r="P168" s="8"/>
      <c r="Q168" s="8"/>
      <c r="R168" s="8"/>
      <c r="S168" s="8"/>
      <c r="T168" s="8"/>
      <c r="U168" s="8"/>
      <c r="V168" s="8"/>
    </row>
    <row r="169" ht="24.0" customHeight="1">
      <c r="A169" s="7"/>
      <c r="B169" s="7"/>
      <c r="C169" s="7"/>
      <c r="D169" s="7"/>
      <c r="E169" s="7"/>
      <c r="F169" s="8"/>
      <c r="G169" s="8"/>
      <c r="H169" s="8"/>
      <c r="I169" s="8"/>
      <c r="J169" s="8"/>
      <c r="K169" s="8"/>
      <c r="L169" s="8"/>
      <c r="M169" s="8"/>
      <c r="N169" s="8"/>
      <c r="O169" s="8"/>
      <c r="P169" s="8"/>
      <c r="Q169" s="8"/>
      <c r="R169" s="8"/>
      <c r="S169" s="8"/>
      <c r="T169" s="8"/>
      <c r="U169" s="8"/>
      <c r="V169" s="8"/>
    </row>
    <row r="170" ht="24.0" customHeight="1">
      <c r="A170" s="7"/>
      <c r="B170" s="7"/>
      <c r="C170" s="7"/>
      <c r="D170" s="7"/>
      <c r="E170" s="7"/>
      <c r="F170" s="8"/>
      <c r="G170" s="8"/>
      <c r="H170" s="8"/>
      <c r="I170" s="8"/>
      <c r="J170" s="8"/>
      <c r="K170" s="8"/>
      <c r="L170" s="8"/>
      <c r="M170" s="8"/>
      <c r="N170" s="8"/>
      <c r="O170" s="8"/>
      <c r="P170" s="8"/>
      <c r="Q170" s="8"/>
      <c r="R170" s="8"/>
      <c r="S170" s="8"/>
      <c r="T170" s="8"/>
      <c r="U170" s="8"/>
      <c r="V170" s="8"/>
    </row>
    <row r="171" ht="24.0" customHeight="1">
      <c r="A171" s="7"/>
      <c r="B171" s="7"/>
      <c r="C171" s="7"/>
      <c r="D171" s="7"/>
      <c r="E171" s="7"/>
      <c r="F171" s="8"/>
      <c r="G171" s="8"/>
      <c r="H171" s="8"/>
      <c r="I171" s="8"/>
      <c r="J171" s="8"/>
      <c r="K171" s="8"/>
      <c r="L171" s="8"/>
      <c r="M171" s="8"/>
      <c r="N171" s="8"/>
      <c r="O171" s="8"/>
      <c r="P171" s="8"/>
      <c r="Q171" s="8"/>
      <c r="R171" s="8"/>
      <c r="S171" s="8"/>
      <c r="T171" s="8"/>
      <c r="U171" s="8"/>
      <c r="V171" s="8"/>
    </row>
    <row r="172" ht="24.0" customHeight="1">
      <c r="A172" s="7"/>
      <c r="B172" s="7"/>
      <c r="C172" s="7"/>
      <c r="D172" s="7"/>
      <c r="E172" s="7"/>
      <c r="F172" s="8"/>
      <c r="G172" s="8"/>
      <c r="H172" s="8"/>
      <c r="I172" s="8"/>
      <c r="J172" s="8"/>
      <c r="K172" s="8"/>
      <c r="L172" s="8"/>
      <c r="M172" s="8"/>
      <c r="N172" s="8"/>
      <c r="O172" s="8"/>
      <c r="P172" s="8"/>
      <c r="Q172" s="8"/>
      <c r="R172" s="8"/>
      <c r="S172" s="8"/>
      <c r="T172" s="8"/>
      <c r="U172" s="8"/>
      <c r="V172" s="8"/>
    </row>
    <row r="173" ht="24.0" customHeight="1">
      <c r="A173" s="7"/>
      <c r="B173" s="7"/>
      <c r="C173" s="7"/>
      <c r="D173" s="7"/>
      <c r="E173" s="7"/>
      <c r="F173" s="8"/>
      <c r="G173" s="8"/>
      <c r="H173" s="8"/>
      <c r="I173" s="8"/>
      <c r="J173" s="8"/>
      <c r="K173" s="8"/>
      <c r="L173" s="8"/>
      <c r="M173" s="8"/>
      <c r="N173" s="8"/>
      <c r="O173" s="8"/>
      <c r="P173" s="8"/>
      <c r="Q173" s="8"/>
      <c r="R173" s="8"/>
      <c r="S173" s="8"/>
      <c r="T173" s="8"/>
      <c r="U173" s="8"/>
      <c r="V173" s="8"/>
    </row>
    <row r="174" ht="24.0" customHeight="1">
      <c r="A174" s="7"/>
      <c r="B174" s="7"/>
      <c r="C174" s="7"/>
      <c r="D174" s="7"/>
      <c r="E174" s="7"/>
      <c r="F174" s="8"/>
      <c r="G174" s="8"/>
      <c r="H174" s="8"/>
      <c r="I174" s="8"/>
      <c r="J174" s="8"/>
      <c r="K174" s="8"/>
      <c r="L174" s="8"/>
      <c r="M174" s="8"/>
      <c r="N174" s="8"/>
      <c r="O174" s="8"/>
      <c r="P174" s="8"/>
      <c r="Q174" s="8"/>
      <c r="R174" s="8"/>
      <c r="S174" s="8"/>
      <c r="T174" s="8"/>
      <c r="U174" s="8"/>
      <c r="V174" s="8"/>
    </row>
    <row r="175" ht="24.0" customHeight="1">
      <c r="A175" s="7"/>
      <c r="B175" s="7"/>
      <c r="C175" s="7"/>
      <c r="D175" s="7"/>
      <c r="E175" s="7"/>
      <c r="F175" s="8"/>
      <c r="G175" s="8"/>
      <c r="H175" s="8"/>
      <c r="I175" s="8"/>
      <c r="J175" s="8"/>
      <c r="K175" s="8"/>
      <c r="L175" s="8"/>
      <c r="M175" s="8"/>
      <c r="N175" s="8"/>
      <c r="O175" s="8"/>
      <c r="P175" s="8"/>
      <c r="Q175" s="8"/>
      <c r="R175" s="8"/>
      <c r="S175" s="8"/>
      <c r="T175" s="8"/>
      <c r="U175" s="8"/>
      <c r="V175" s="8"/>
    </row>
    <row r="176" ht="24.0" customHeight="1">
      <c r="A176" s="7"/>
      <c r="B176" s="7"/>
      <c r="C176" s="7"/>
      <c r="D176" s="7"/>
      <c r="E176" s="7"/>
      <c r="F176" s="8"/>
      <c r="G176" s="8"/>
      <c r="H176" s="8"/>
      <c r="I176" s="8"/>
      <c r="J176" s="8"/>
      <c r="K176" s="8"/>
      <c r="L176" s="8"/>
      <c r="M176" s="8"/>
      <c r="N176" s="8"/>
      <c r="O176" s="8"/>
      <c r="P176" s="8"/>
      <c r="Q176" s="8"/>
      <c r="R176" s="8"/>
      <c r="S176" s="8"/>
      <c r="T176" s="8"/>
      <c r="U176" s="8"/>
      <c r="V176" s="8"/>
    </row>
    <row r="177" ht="24.0" customHeight="1">
      <c r="A177" s="7"/>
      <c r="B177" s="7"/>
      <c r="C177" s="7"/>
      <c r="D177" s="7"/>
      <c r="E177" s="7"/>
      <c r="F177" s="8"/>
      <c r="G177" s="8"/>
      <c r="H177" s="8"/>
      <c r="I177" s="8"/>
      <c r="J177" s="8"/>
      <c r="K177" s="8"/>
      <c r="L177" s="8"/>
      <c r="M177" s="8"/>
      <c r="N177" s="8"/>
      <c r="O177" s="8"/>
      <c r="P177" s="8"/>
      <c r="Q177" s="8"/>
      <c r="R177" s="8"/>
      <c r="S177" s="8"/>
      <c r="T177" s="8"/>
      <c r="U177" s="8"/>
      <c r="V177" s="8"/>
    </row>
    <row r="178" ht="24.0" customHeight="1">
      <c r="A178" s="7"/>
      <c r="B178" s="7"/>
      <c r="C178" s="7"/>
      <c r="D178" s="7"/>
      <c r="E178" s="7"/>
      <c r="F178" s="8"/>
      <c r="G178" s="8"/>
      <c r="H178" s="8"/>
      <c r="I178" s="8"/>
      <c r="J178" s="8"/>
      <c r="K178" s="8"/>
      <c r="L178" s="8"/>
      <c r="M178" s="8"/>
      <c r="N178" s="8"/>
      <c r="O178" s="8"/>
      <c r="P178" s="8"/>
      <c r="Q178" s="8"/>
      <c r="R178" s="8"/>
      <c r="S178" s="8"/>
      <c r="T178" s="8"/>
      <c r="U178" s="8"/>
      <c r="V178" s="8"/>
    </row>
    <row r="179" ht="24.0" customHeight="1">
      <c r="A179" s="7"/>
      <c r="B179" s="7"/>
      <c r="C179" s="7"/>
      <c r="D179" s="7"/>
      <c r="E179" s="7"/>
      <c r="F179" s="8"/>
      <c r="G179" s="8"/>
      <c r="H179" s="8"/>
      <c r="I179" s="8"/>
      <c r="J179" s="8"/>
      <c r="K179" s="8"/>
      <c r="L179" s="8"/>
      <c r="M179" s="8"/>
      <c r="N179" s="8"/>
      <c r="O179" s="8"/>
      <c r="P179" s="8"/>
      <c r="Q179" s="8"/>
      <c r="R179" s="8"/>
      <c r="S179" s="8"/>
      <c r="T179" s="8"/>
      <c r="U179" s="8"/>
      <c r="V179" s="8"/>
    </row>
    <row r="180" ht="24.0" customHeight="1">
      <c r="A180" s="7"/>
      <c r="B180" s="7"/>
      <c r="C180" s="7"/>
      <c r="D180" s="7"/>
      <c r="E180" s="7"/>
      <c r="F180" s="8"/>
      <c r="G180" s="8"/>
      <c r="H180" s="8"/>
      <c r="I180" s="8"/>
      <c r="J180" s="8"/>
      <c r="K180" s="8"/>
      <c r="L180" s="8"/>
      <c r="M180" s="8"/>
      <c r="N180" s="8"/>
      <c r="O180" s="8"/>
      <c r="P180" s="8"/>
      <c r="Q180" s="8"/>
      <c r="R180" s="8"/>
      <c r="S180" s="8"/>
      <c r="T180" s="8"/>
      <c r="U180" s="8"/>
      <c r="V180" s="8"/>
    </row>
    <row r="181" ht="24.0" customHeight="1">
      <c r="A181" s="7"/>
      <c r="B181" s="7"/>
      <c r="C181" s="7"/>
      <c r="D181" s="7"/>
      <c r="E181" s="7"/>
      <c r="F181" s="8"/>
      <c r="G181" s="8"/>
      <c r="H181" s="8"/>
      <c r="I181" s="8"/>
      <c r="J181" s="8"/>
      <c r="K181" s="8"/>
      <c r="L181" s="8"/>
      <c r="M181" s="8"/>
      <c r="N181" s="8"/>
      <c r="O181" s="8"/>
      <c r="P181" s="8"/>
      <c r="Q181" s="8"/>
      <c r="R181" s="8"/>
      <c r="S181" s="8"/>
      <c r="T181" s="8"/>
      <c r="U181" s="8"/>
      <c r="V181" s="8"/>
    </row>
    <row r="182" ht="24.0" customHeight="1">
      <c r="A182" s="7"/>
      <c r="B182" s="7"/>
      <c r="C182" s="7"/>
      <c r="D182" s="7"/>
      <c r="E182" s="7"/>
      <c r="F182" s="8"/>
      <c r="G182" s="8"/>
      <c r="H182" s="8"/>
      <c r="I182" s="8"/>
      <c r="J182" s="8"/>
      <c r="K182" s="8"/>
      <c r="L182" s="8"/>
      <c r="M182" s="8"/>
      <c r="N182" s="8"/>
      <c r="O182" s="8"/>
      <c r="P182" s="8"/>
      <c r="Q182" s="8"/>
      <c r="R182" s="8"/>
      <c r="S182" s="8"/>
      <c r="T182" s="8"/>
      <c r="U182" s="8"/>
      <c r="V182" s="8"/>
    </row>
    <row r="183" ht="24.0" customHeight="1">
      <c r="A183" s="7"/>
      <c r="B183" s="7"/>
      <c r="C183" s="7"/>
      <c r="D183" s="7"/>
      <c r="E183" s="7"/>
      <c r="F183" s="8"/>
      <c r="G183" s="8"/>
      <c r="H183" s="8"/>
      <c r="I183" s="8"/>
      <c r="J183" s="8"/>
      <c r="K183" s="8"/>
      <c r="L183" s="8"/>
      <c r="M183" s="8"/>
      <c r="N183" s="8"/>
      <c r="O183" s="8"/>
      <c r="P183" s="8"/>
      <c r="Q183" s="8"/>
      <c r="R183" s="8"/>
      <c r="S183" s="8"/>
      <c r="T183" s="8"/>
      <c r="U183" s="8"/>
      <c r="V183" s="8"/>
    </row>
    <row r="184" ht="24.0" customHeight="1">
      <c r="A184" s="7"/>
      <c r="B184" s="7"/>
      <c r="C184" s="7"/>
      <c r="D184" s="7"/>
      <c r="E184" s="7"/>
      <c r="F184" s="8"/>
      <c r="G184" s="8"/>
      <c r="H184" s="8"/>
      <c r="I184" s="8"/>
      <c r="J184" s="8"/>
      <c r="K184" s="8"/>
      <c r="L184" s="8"/>
      <c r="M184" s="8"/>
      <c r="N184" s="8"/>
      <c r="O184" s="8"/>
      <c r="P184" s="8"/>
      <c r="Q184" s="8"/>
      <c r="R184" s="8"/>
      <c r="S184" s="8"/>
      <c r="T184" s="8"/>
      <c r="U184" s="8"/>
      <c r="V184" s="8"/>
    </row>
    <row r="185" ht="24.0" customHeight="1">
      <c r="A185" s="7"/>
      <c r="B185" s="7"/>
      <c r="C185" s="7"/>
      <c r="D185" s="7"/>
      <c r="E185" s="7"/>
      <c r="F185" s="8"/>
      <c r="G185" s="8"/>
      <c r="H185" s="8"/>
      <c r="I185" s="8"/>
      <c r="J185" s="8"/>
      <c r="K185" s="8"/>
      <c r="L185" s="8"/>
      <c r="M185" s="8"/>
      <c r="N185" s="8"/>
      <c r="O185" s="8"/>
      <c r="P185" s="8"/>
      <c r="Q185" s="8"/>
      <c r="R185" s="8"/>
      <c r="S185" s="8"/>
      <c r="T185" s="8"/>
      <c r="U185" s="8"/>
      <c r="V185" s="8"/>
    </row>
    <row r="186" ht="24.0" customHeight="1">
      <c r="A186" s="7"/>
      <c r="B186" s="7"/>
      <c r="C186" s="7"/>
      <c r="D186" s="7"/>
      <c r="E186" s="7"/>
      <c r="F186" s="8"/>
      <c r="G186" s="8"/>
      <c r="H186" s="8"/>
      <c r="I186" s="8"/>
      <c r="J186" s="8"/>
      <c r="K186" s="8"/>
      <c r="L186" s="8"/>
      <c r="M186" s="8"/>
      <c r="N186" s="8"/>
      <c r="O186" s="8"/>
      <c r="P186" s="8"/>
      <c r="Q186" s="8"/>
      <c r="R186" s="8"/>
      <c r="S186" s="8"/>
      <c r="T186" s="8"/>
      <c r="U186" s="8"/>
      <c r="V186" s="8"/>
    </row>
    <row r="187" ht="24.0" customHeight="1">
      <c r="A187" s="7"/>
      <c r="B187" s="7"/>
      <c r="C187" s="7"/>
      <c r="D187" s="7"/>
      <c r="E187" s="7"/>
      <c r="F187" s="8"/>
      <c r="G187" s="8"/>
      <c r="H187" s="8"/>
      <c r="I187" s="8"/>
      <c r="J187" s="8"/>
      <c r="K187" s="8"/>
      <c r="L187" s="8"/>
      <c r="M187" s="8"/>
      <c r="N187" s="8"/>
      <c r="O187" s="8"/>
      <c r="P187" s="8"/>
      <c r="Q187" s="8"/>
      <c r="R187" s="8"/>
      <c r="S187" s="8"/>
      <c r="T187" s="8"/>
      <c r="U187" s="8"/>
      <c r="V187" s="8"/>
    </row>
    <row r="188" ht="24.0" customHeight="1">
      <c r="A188" s="7"/>
      <c r="B188" s="7"/>
      <c r="C188" s="7"/>
      <c r="D188" s="7"/>
      <c r="E188" s="7"/>
      <c r="F188" s="8"/>
      <c r="G188" s="8"/>
      <c r="H188" s="8"/>
      <c r="I188" s="8"/>
      <c r="J188" s="8"/>
      <c r="K188" s="8"/>
      <c r="L188" s="8"/>
      <c r="M188" s="8"/>
      <c r="N188" s="8"/>
      <c r="O188" s="8"/>
      <c r="P188" s="8"/>
      <c r="Q188" s="8"/>
      <c r="R188" s="8"/>
      <c r="S188" s="8"/>
      <c r="T188" s="8"/>
      <c r="U188" s="8"/>
      <c r="V188" s="8"/>
    </row>
    <row r="189" ht="24.0" customHeight="1">
      <c r="A189" s="7"/>
      <c r="B189" s="7"/>
      <c r="C189" s="7"/>
      <c r="D189" s="7"/>
      <c r="E189" s="7"/>
      <c r="F189" s="8"/>
      <c r="G189" s="8"/>
      <c r="H189" s="8"/>
      <c r="I189" s="8"/>
      <c r="J189" s="8"/>
      <c r="K189" s="8"/>
      <c r="L189" s="8"/>
      <c r="M189" s="8"/>
      <c r="N189" s="8"/>
      <c r="O189" s="8"/>
      <c r="P189" s="8"/>
      <c r="Q189" s="8"/>
      <c r="R189" s="8"/>
      <c r="S189" s="8"/>
      <c r="T189" s="8"/>
      <c r="U189" s="8"/>
      <c r="V189" s="8"/>
    </row>
    <row r="190" ht="24.0" customHeight="1">
      <c r="A190" s="7"/>
      <c r="B190" s="7"/>
      <c r="C190" s="7"/>
      <c r="D190" s="7"/>
      <c r="E190" s="7"/>
      <c r="F190" s="8"/>
      <c r="G190" s="8"/>
      <c r="H190" s="8"/>
      <c r="I190" s="8"/>
      <c r="J190" s="8"/>
      <c r="K190" s="8"/>
      <c r="L190" s="8"/>
      <c r="M190" s="8"/>
      <c r="N190" s="8"/>
      <c r="O190" s="8"/>
      <c r="P190" s="8"/>
      <c r="Q190" s="8"/>
      <c r="R190" s="8"/>
      <c r="S190" s="8"/>
      <c r="T190" s="8"/>
      <c r="U190" s="8"/>
      <c r="V190" s="8"/>
    </row>
    <row r="191" ht="24.0" customHeight="1">
      <c r="A191" s="7"/>
      <c r="B191" s="7"/>
      <c r="C191" s="7"/>
      <c r="D191" s="7"/>
      <c r="E191" s="7"/>
      <c r="F191" s="8"/>
      <c r="G191" s="8"/>
      <c r="H191" s="8"/>
      <c r="I191" s="8"/>
      <c r="J191" s="8"/>
      <c r="K191" s="8"/>
      <c r="L191" s="8"/>
      <c r="M191" s="8"/>
      <c r="N191" s="8"/>
      <c r="O191" s="8"/>
      <c r="P191" s="8"/>
      <c r="Q191" s="8"/>
      <c r="R191" s="8"/>
      <c r="S191" s="8"/>
      <c r="T191" s="8"/>
      <c r="U191" s="8"/>
      <c r="V191" s="8"/>
    </row>
    <row r="192" ht="24.0" customHeight="1">
      <c r="A192" s="7"/>
      <c r="B192" s="7"/>
      <c r="C192" s="7"/>
      <c r="D192" s="7"/>
      <c r="E192" s="7"/>
      <c r="F192" s="8"/>
      <c r="G192" s="8"/>
      <c r="H192" s="8"/>
      <c r="I192" s="8"/>
      <c r="J192" s="8"/>
      <c r="K192" s="8"/>
      <c r="L192" s="8"/>
      <c r="M192" s="8"/>
      <c r="N192" s="8"/>
      <c r="O192" s="8"/>
      <c r="P192" s="8"/>
      <c r="Q192" s="8"/>
      <c r="R192" s="8"/>
      <c r="S192" s="8"/>
      <c r="T192" s="8"/>
      <c r="U192" s="8"/>
      <c r="V192" s="8"/>
    </row>
    <row r="193" ht="24.0" customHeight="1">
      <c r="A193" s="7"/>
      <c r="B193" s="7"/>
      <c r="C193" s="7"/>
      <c r="D193" s="7"/>
      <c r="E193" s="7"/>
      <c r="F193" s="8"/>
      <c r="G193" s="8"/>
      <c r="H193" s="8"/>
      <c r="I193" s="8"/>
      <c r="J193" s="8"/>
      <c r="K193" s="8"/>
      <c r="L193" s="8"/>
      <c r="M193" s="8"/>
      <c r="N193" s="8"/>
      <c r="O193" s="8"/>
      <c r="P193" s="8"/>
      <c r="Q193" s="8"/>
      <c r="R193" s="8"/>
      <c r="S193" s="8"/>
      <c r="T193" s="8"/>
      <c r="U193" s="8"/>
      <c r="V193" s="8"/>
    </row>
    <row r="194" ht="24.0" customHeight="1">
      <c r="A194" s="7"/>
      <c r="B194" s="7"/>
      <c r="C194" s="7"/>
      <c r="D194" s="7"/>
      <c r="E194" s="7"/>
      <c r="F194" s="8"/>
      <c r="G194" s="8"/>
      <c r="H194" s="8"/>
      <c r="I194" s="8"/>
      <c r="J194" s="8"/>
      <c r="K194" s="8"/>
      <c r="L194" s="8"/>
      <c r="M194" s="8"/>
      <c r="N194" s="8"/>
      <c r="O194" s="8"/>
      <c r="P194" s="8"/>
      <c r="Q194" s="8"/>
      <c r="R194" s="8"/>
      <c r="S194" s="8"/>
      <c r="T194" s="8"/>
      <c r="U194" s="8"/>
      <c r="V194" s="8"/>
    </row>
    <row r="195" ht="24.0" customHeight="1">
      <c r="A195" s="7"/>
      <c r="B195" s="7"/>
      <c r="C195" s="7"/>
      <c r="D195" s="7"/>
      <c r="E195" s="7"/>
      <c r="F195" s="8"/>
      <c r="G195" s="8"/>
      <c r="H195" s="8"/>
      <c r="I195" s="8"/>
      <c r="J195" s="8"/>
      <c r="K195" s="8"/>
      <c r="L195" s="8"/>
      <c r="M195" s="8"/>
      <c r="N195" s="8"/>
      <c r="O195" s="8"/>
      <c r="P195" s="8"/>
      <c r="Q195" s="8"/>
      <c r="R195" s="8"/>
      <c r="S195" s="8"/>
      <c r="T195" s="8"/>
      <c r="U195" s="8"/>
      <c r="V195" s="8"/>
    </row>
    <row r="196" ht="24.0" customHeight="1">
      <c r="A196" s="7"/>
      <c r="B196" s="7"/>
      <c r="C196" s="7"/>
      <c r="D196" s="7"/>
      <c r="E196" s="7"/>
      <c r="F196" s="8"/>
      <c r="G196" s="8"/>
      <c r="H196" s="8"/>
      <c r="I196" s="8"/>
      <c r="J196" s="8"/>
      <c r="K196" s="8"/>
      <c r="L196" s="8"/>
      <c r="M196" s="8"/>
      <c r="N196" s="8"/>
      <c r="O196" s="8"/>
      <c r="P196" s="8"/>
      <c r="Q196" s="8"/>
      <c r="R196" s="8"/>
      <c r="S196" s="8"/>
      <c r="T196" s="8"/>
      <c r="U196" s="8"/>
      <c r="V196" s="8"/>
    </row>
    <row r="197" ht="24.0" customHeight="1">
      <c r="A197" s="7"/>
      <c r="B197" s="7"/>
      <c r="C197" s="7"/>
      <c r="D197" s="7"/>
      <c r="E197" s="7"/>
      <c r="F197" s="8"/>
      <c r="G197" s="8"/>
      <c r="H197" s="8"/>
      <c r="I197" s="8"/>
      <c r="J197" s="8"/>
      <c r="K197" s="8"/>
      <c r="L197" s="8"/>
      <c r="M197" s="8"/>
      <c r="N197" s="8"/>
      <c r="O197" s="8"/>
      <c r="P197" s="8"/>
      <c r="Q197" s="8"/>
      <c r="R197" s="8"/>
      <c r="S197" s="8"/>
      <c r="T197" s="8"/>
      <c r="U197" s="8"/>
      <c r="V197" s="8"/>
    </row>
    <row r="198" ht="24.0" customHeight="1">
      <c r="A198" s="7"/>
      <c r="B198" s="7"/>
      <c r="C198" s="7"/>
      <c r="D198" s="7"/>
      <c r="E198" s="7"/>
      <c r="F198" s="8"/>
      <c r="G198" s="8"/>
      <c r="H198" s="8"/>
      <c r="I198" s="8"/>
      <c r="J198" s="8"/>
      <c r="K198" s="8"/>
      <c r="L198" s="8"/>
      <c r="M198" s="8"/>
      <c r="N198" s="8"/>
      <c r="O198" s="8"/>
      <c r="P198" s="8"/>
      <c r="Q198" s="8"/>
      <c r="R198" s="8"/>
      <c r="S198" s="8"/>
      <c r="T198" s="8"/>
      <c r="U198" s="8"/>
      <c r="V198" s="8"/>
    </row>
    <row r="199" ht="24.0" customHeight="1">
      <c r="A199" s="7"/>
      <c r="B199" s="7"/>
      <c r="C199" s="7"/>
      <c r="D199" s="7"/>
      <c r="E199" s="7"/>
      <c r="F199" s="8"/>
      <c r="G199" s="8"/>
      <c r="H199" s="8"/>
      <c r="I199" s="8"/>
      <c r="J199" s="8"/>
      <c r="K199" s="8"/>
      <c r="L199" s="8"/>
      <c r="M199" s="8"/>
      <c r="N199" s="8"/>
      <c r="O199" s="8"/>
      <c r="P199" s="8"/>
      <c r="Q199" s="8"/>
      <c r="R199" s="8"/>
      <c r="S199" s="8"/>
      <c r="T199" s="8"/>
      <c r="U199" s="8"/>
      <c r="V199" s="8"/>
    </row>
    <row r="200" ht="24.0" customHeight="1">
      <c r="A200" s="7"/>
      <c r="B200" s="7"/>
      <c r="C200" s="7"/>
      <c r="D200" s="7"/>
      <c r="E200" s="7"/>
      <c r="F200" s="8"/>
      <c r="G200" s="8"/>
      <c r="H200" s="8"/>
      <c r="I200" s="8"/>
      <c r="J200" s="8"/>
      <c r="K200" s="8"/>
      <c r="L200" s="8"/>
      <c r="M200" s="8"/>
      <c r="N200" s="8"/>
      <c r="O200" s="8"/>
      <c r="P200" s="8"/>
      <c r="Q200" s="8"/>
      <c r="R200" s="8"/>
      <c r="S200" s="8"/>
      <c r="T200" s="8"/>
      <c r="U200" s="8"/>
      <c r="V200" s="8"/>
    </row>
    <row r="201" ht="24.0" customHeight="1">
      <c r="A201" s="7"/>
      <c r="B201" s="7"/>
      <c r="C201" s="7"/>
      <c r="D201" s="7"/>
      <c r="E201" s="7"/>
      <c r="F201" s="8"/>
      <c r="G201" s="8"/>
      <c r="H201" s="8"/>
      <c r="I201" s="8"/>
      <c r="J201" s="8"/>
      <c r="K201" s="8"/>
      <c r="L201" s="8"/>
      <c r="M201" s="8"/>
      <c r="N201" s="8"/>
      <c r="O201" s="8"/>
      <c r="P201" s="8"/>
      <c r="Q201" s="8"/>
      <c r="R201" s="8"/>
      <c r="S201" s="8"/>
      <c r="T201" s="8"/>
      <c r="U201" s="8"/>
      <c r="V201" s="8"/>
    </row>
    <row r="202" ht="24.0" customHeight="1">
      <c r="A202" s="7"/>
      <c r="B202" s="7"/>
      <c r="C202" s="7"/>
      <c r="D202" s="7"/>
      <c r="E202" s="7"/>
      <c r="F202" s="8"/>
      <c r="G202" s="8"/>
      <c r="H202" s="8"/>
      <c r="I202" s="8"/>
      <c r="J202" s="8"/>
      <c r="K202" s="8"/>
      <c r="L202" s="8"/>
      <c r="M202" s="8"/>
      <c r="N202" s="8"/>
      <c r="O202" s="8"/>
      <c r="P202" s="8"/>
      <c r="Q202" s="8"/>
      <c r="R202" s="8"/>
      <c r="S202" s="8"/>
      <c r="T202" s="8"/>
      <c r="U202" s="8"/>
      <c r="V202" s="8"/>
    </row>
    <row r="203" ht="24.0" customHeight="1">
      <c r="A203" s="7"/>
      <c r="B203" s="7"/>
      <c r="C203" s="7"/>
      <c r="D203" s="7"/>
      <c r="E203" s="7"/>
      <c r="F203" s="8"/>
      <c r="G203" s="8"/>
      <c r="H203" s="8"/>
      <c r="I203" s="8"/>
      <c r="J203" s="8"/>
      <c r="K203" s="8"/>
      <c r="L203" s="8"/>
      <c r="M203" s="8"/>
      <c r="N203" s="8"/>
      <c r="O203" s="8"/>
      <c r="P203" s="8"/>
      <c r="Q203" s="8"/>
      <c r="R203" s="8"/>
      <c r="S203" s="8"/>
      <c r="T203" s="8"/>
      <c r="U203" s="8"/>
      <c r="V203" s="8"/>
    </row>
    <row r="204" ht="24.0" customHeight="1">
      <c r="A204" s="7"/>
      <c r="B204" s="7"/>
      <c r="C204" s="7"/>
      <c r="D204" s="7"/>
      <c r="E204" s="7"/>
      <c r="F204" s="8"/>
      <c r="G204" s="8"/>
      <c r="H204" s="8"/>
      <c r="I204" s="8"/>
      <c r="J204" s="8"/>
      <c r="K204" s="8"/>
      <c r="L204" s="8"/>
      <c r="M204" s="8"/>
      <c r="N204" s="8"/>
      <c r="O204" s="8"/>
      <c r="P204" s="8"/>
      <c r="Q204" s="8"/>
      <c r="R204" s="8"/>
      <c r="S204" s="8"/>
      <c r="T204" s="8"/>
      <c r="U204" s="8"/>
      <c r="V204" s="8"/>
    </row>
    <row r="205" ht="24.0" customHeight="1">
      <c r="A205" s="7"/>
      <c r="B205" s="7"/>
      <c r="C205" s="7"/>
      <c r="D205" s="7"/>
      <c r="E205" s="7"/>
      <c r="F205" s="8"/>
      <c r="G205" s="8"/>
      <c r="H205" s="8"/>
      <c r="I205" s="8"/>
      <c r="J205" s="8"/>
      <c r="K205" s="8"/>
      <c r="L205" s="8"/>
      <c r="M205" s="8"/>
      <c r="N205" s="8"/>
      <c r="O205" s="8"/>
      <c r="P205" s="8"/>
      <c r="Q205" s="8"/>
      <c r="R205" s="8"/>
      <c r="S205" s="8"/>
      <c r="T205" s="8"/>
      <c r="U205" s="8"/>
      <c r="V205" s="8"/>
    </row>
    <row r="206" ht="24.0" customHeight="1">
      <c r="A206" s="7"/>
      <c r="B206" s="7"/>
      <c r="C206" s="7"/>
      <c r="D206" s="7"/>
      <c r="E206" s="7"/>
      <c r="F206" s="8"/>
      <c r="G206" s="8"/>
      <c r="H206" s="8"/>
      <c r="I206" s="8"/>
      <c r="J206" s="8"/>
      <c r="K206" s="8"/>
      <c r="L206" s="8"/>
      <c r="M206" s="8"/>
      <c r="N206" s="8"/>
      <c r="O206" s="8"/>
      <c r="P206" s="8"/>
      <c r="Q206" s="8"/>
      <c r="R206" s="8"/>
      <c r="S206" s="8"/>
      <c r="T206" s="8"/>
      <c r="U206" s="8"/>
      <c r="V206" s="8"/>
    </row>
    <row r="207" ht="24.0" customHeight="1">
      <c r="A207" s="7"/>
      <c r="B207" s="7"/>
      <c r="C207" s="7"/>
      <c r="D207" s="7"/>
      <c r="E207" s="7"/>
      <c r="F207" s="8"/>
      <c r="G207" s="8"/>
      <c r="H207" s="8"/>
      <c r="I207" s="8"/>
      <c r="J207" s="8"/>
      <c r="K207" s="8"/>
      <c r="L207" s="8"/>
      <c r="M207" s="8"/>
      <c r="N207" s="8"/>
      <c r="O207" s="8"/>
      <c r="P207" s="8"/>
      <c r="Q207" s="8"/>
      <c r="R207" s="8"/>
      <c r="S207" s="8"/>
      <c r="T207" s="8"/>
      <c r="U207" s="8"/>
      <c r="V207" s="8"/>
    </row>
    <row r="208" ht="24.0" customHeight="1">
      <c r="A208" s="7"/>
      <c r="B208" s="7"/>
      <c r="C208" s="7"/>
      <c r="D208" s="7"/>
      <c r="E208" s="7"/>
      <c r="F208" s="8"/>
      <c r="G208" s="8"/>
      <c r="H208" s="8"/>
      <c r="I208" s="8"/>
      <c r="J208" s="8"/>
      <c r="K208" s="8"/>
      <c r="L208" s="8"/>
      <c r="M208" s="8"/>
      <c r="N208" s="8"/>
      <c r="O208" s="8"/>
      <c r="P208" s="8"/>
      <c r="Q208" s="8"/>
      <c r="R208" s="8"/>
      <c r="S208" s="8"/>
      <c r="T208" s="8"/>
      <c r="U208" s="8"/>
      <c r="V208" s="8"/>
    </row>
    <row r="209" ht="24.0" customHeight="1">
      <c r="A209" s="7"/>
      <c r="B209" s="7"/>
      <c r="C209" s="7"/>
      <c r="D209" s="7"/>
      <c r="E209" s="7"/>
      <c r="F209" s="8"/>
      <c r="G209" s="8"/>
      <c r="H209" s="8"/>
      <c r="I209" s="8"/>
      <c r="J209" s="8"/>
      <c r="K209" s="8"/>
      <c r="L209" s="8"/>
      <c r="M209" s="8"/>
      <c r="N209" s="8"/>
      <c r="O209" s="8"/>
      <c r="P209" s="8"/>
      <c r="Q209" s="8"/>
      <c r="R209" s="8"/>
      <c r="S209" s="8"/>
      <c r="T209" s="8"/>
      <c r="U209" s="8"/>
      <c r="V209" s="8"/>
    </row>
    <row r="210" ht="24.0" customHeight="1">
      <c r="A210" s="7"/>
      <c r="B210" s="7"/>
      <c r="C210" s="7"/>
      <c r="D210" s="7"/>
      <c r="E210" s="7"/>
      <c r="F210" s="8"/>
      <c r="G210" s="8"/>
      <c r="H210" s="8"/>
      <c r="I210" s="8"/>
      <c r="J210" s="8"/>
      <c r="K210" s="8"/>
      <c r="L210" s="8"/>
      <c r="M210" s="8"/>
      <c r="N210" s="8"/>
      <c r="O210" s="8"/>
      <c r="P210" s="8"/>
      <c r="Q210" s="8"/>
      <c r="R210" s="8"/>
      <c r="S210" s="8"/>
      <c r="T210" s="8"/>
      <c r="U210" s="8"/>
      <c r="V210" s="8"/>
    </row>
    <row r="211" ht="24.0" customHeight="1">
      <c r="A211" s="7"/>
      <c r="B211" s="7"/>
      <c r="C211" s="7"/>
      <c r="D211" s="7"/>
      <c r="E211" s="7"/>
      <c r="F211" s="8"/>
      <c r="G211" s="8"/>
      <c r="H211" s="8"/>
      <c r="I211" s="8"/>
      <c r="J211" s="8"/>
      <c r="K211" s="8"/>
      <c r="L211" s="8"/>
      <c r="M211" s="8"/>
      <c r="N211" s="8"/>
      <c r="O211" s="8"/>
      <c r="P211" s="8"/>
      <c r="Q211" s="8"/>
      <c r="R211" s="8"/>
      <c r="S211" s="8"/>
      <c r="T211" s="8"/>
      <c r="U211" s="8"/>
      <c r="V211" s="8"/>
    </row>
    <row r="212" ht="24.0" customHeight="1">
      <c r="A212" s="7"/>
      <c r="B212" s="7"/>
      <c r="C212" s="7"/>
      <c r="D212" s="7"/>
      <c r="E212" s="7"/>
      <c r="F212" s="8"/>
      <c r="G212" s="8"/>
      <c r="H212" s="8"/>
      <c r="I212" s="8"/>
      <c r="J212" s="8"/>
      <c r="K212" s="8"/>
      <c r="L212" s="8"/>
      <c r="M212" s="8"/>
      <c r="N212" s="8"/>
      <c r="O212" s="8"/>
      <c r="P212" s="8"/>
      <c r="Q212" s="8"/>
      <c r="R212" s="8"/>
      <c r="S212" s="8"/>
      <c r="T212" s="8"/>
      <c r="U212" s="8"/>
      <c r="V212" s="8"/>
    </row>
    <row r="213" ht="24.0" customHeight="1">
      <c r="A213" s="7"/>
      <c r="B213" s="7"/>
      <c r="C213" s="7"/>
      <c r="D213" s="7"/>
      <c r="E213" s="7"/>
      <c r="F213" s="8"/>
      <c r="G213" s="8"/>
      <c r="H213" s="8"/>
      <c r="I213" s="8"/>
      <c r="J213" s="8"/>
      <c r="K213" s="8"/>
      <c r="L213" s="8"/>
      <c r="M213" s="8"/>
      <c r="N213" s="8"/>
      <c r="O213" s="8"/>
      <c r="P213" s="8"/>
      <c r="Q213" s="8"/>
      <c r="R213" s="8"/>
      <c r="S213" s="8"/>
      <c r="T213" s="8"/>
      <c r="U213" s="8"/>
      <c r="V213" s="8"/>
    </row>
    <row r="214" ht="24.0" customHeight="1">
      <c r="A214" s="7"/>
      <c r="B214" s="7"/>
      <c r="C214" s="7"/>
      <c r="D214" s="7"/>
      <c r="E214" s="7"/>
      <c r="F214" s="8"/>
      <c r="G214" s="8"/>
      <c r="H214" s="8"/>
      <c r="I214" s="8"/>
      <c r="J214" s="8"/>
      <c r="K214" s="8"/>
      <c r="L214" s="8"/>
      <c r="M214" s="8"/>
      <c r="N214" s="8"/>
      <c r="O214" s="8"/>
      <c r="P214" s="8"/>
      <c r="Q214" s="8"/>
      <c r="R214" s="8"/>
      <c r="S214" s="8"/>
      <c r="T214" s="8"/>
      <c r="U214" s="8"/>
      <c r="V214" s="8"/>
    </row>
    <row r="215" ht="24.0" customHeight="1">
      <c r="A215" s="7"/>
      <c r="B215" s="7"/>
      <c r="C215" s="7"/>
      <c r="D215" s="7"/>
      <c r="E215" s="7"/>
      <c r="F215" s="8"/>
      <c r="G215" s="8"/>
      <c r="H215" s="8"/>
      <c r="I215" s="8"/>
      <c r="J215" s="8"/>
      <c r="K215" s="8"/>
      <c r="L215" s="8"/>
      <c r="M215" s="8"/>
      <c r="N215" s="8"/>
      <c r="O215" s="8"/>
      <c r="P215" s="8"/>
      <c r="Q215" s="8"/>
      <c r="R215" s="8"/>
      <c r="S215" s="8"/>
      <c r="T215" s="8"/>
      <c r="U215" s="8"/>
      <c r="V215" s="8"/>
    </row>
    <row r="216" ht="24.0" customHeight="1">
      <c r="A216" s="7"/>
      <c r="B216" s="7"/>
      <c r="C216" s="7"/>
      <c r="D216" s="7"/>
      <c r="E216" s="7"/>
      <c r="F216" s="8"/>
      <c r="G216" s="8"/>
      <c r="H216" s="8"/>
      <c r="I216" s="8"/>
      <c r="J216" s="8"/>
      <c r="K216" s="8"/>
      <c r="L216" s="8"/>
      <c r="M216" s="8"/>
      <c r="N216" s="8"/>
      <c r="O216" s="8"/>
      <c r="P216" s="8"/>
      <c r="Q216" s="8"/>
      <c r="R216" s="8"/>
      <c r="S216" s="8"/>
      <c r="T216" s="8"/>
      <c r="U216" s="8"/>
      <c r="V216" s="8"/>
    </row>
    <row r="217" ht="24.0" customHeight="1">
      <c r="A217" s="7"/>
      <c r="B217" s="7"/>
      <c r="C217" s="7"/>
      <c r="D217" s="7"/>
      <c r="E217" s="7"/>
      <c r="F217" s="8"/>
      <c r="G217" s="8"/>
      <c r="H217" s="8"/>
      <c r="I217" s="8"/>
      <c r="J217" s="8"/>
      <c r="K217" s="8"/>
      <c r="L217" s="8"/>
      <c r="M217" s="8"/>
      <c r="N217" s="8"/>
      <c r="O217" s="8"/>
      <c r="P217" s="8"/>
      <c r="Q217" s="8"/>
      <c r="R217" s="8"/>
      <c r="S217" s="8"/>
      <c r="T217" s="8"/>
      <c r="U217" s="8"/>
      <c r="V217" s="8"/>
    </row>
    <row r="218" ht="24.0" customHeight="1">
      <c r="A218" s="7"/>
      <c r="B218" s="7"/>
      <c r="C218" s="7"/>
      <c r="D218" s="7"/>
      <c r="E218" s="7"/>
      <c r="F218" s="8"/>
      <c r="G218" s="8"/>
      <c r="H218" s="8"/>
      <c r="I218" s="8"/>
      <c r="J218" s="8"/>
      <c r="K218" s="8"/>
      <c r="L218" s="8"/>
      <c r="M218" s="8"/>
      <c r="N218" s="8"/>
      <c r="O218" s="8"/>
      <c r="P218" s="8"/>
      <c r="Q218" s="8"/>
      <c r="R218" s="8"/>
      <c r="S218" s="8"/>
      <c r="T218" s="8"/>
      <c r="U218" s="8"/>
      <c r="V218" s="8"/>
    </row>
    <row r="219" ht="24.0" customHeight="1">
      <c r="A219" s="7"/>
      <c r="B219" s="7"/>
      <c r="C219" s="7"/>
      <c r="D219" s="7"/>
      <c r="E219" s="7"/>
      <c r="F219" s="8"/>
      <c r="G219" s="8"/>
      <c r="H219" s="8"/>
      <c r="I219" s="8"/>
      <c r="J219" s="8"/>
      <c r="K219" s="8"/>
      <c r="L219" s="8"/>
      <c r="M219" s="8"/>
      <c r="N219" s="8"/>
      <c r="O219" s="8"/>
      <c r="P219" s="8"/>
      <c r="Q219" s="8"/>
      <c r="R219" s="8"/>
      <c r="S219" s="8"/>
      <c r="T219" s="8"/>
      <c r="U219" s="8"/>
      <c r="V219" s="8"/>
    </row>
    <row r="220" ht="24.0" customHeight="1">
      <c r="A220" s="7"/>
      <c r="B220" s="7"/>
      <c r="C220" s="7"/>
      <c r="D220" s="7"/>
      <c r="E220" s="7"/>
      <c r="F220" s="8"/>
      <c r="G220" s="8"/>
      <c r="H220" s="8"/>
      <c r="I220" s="8"/>
      <c r="J220" s="8"/>
      <c r="K220" s="8"/>
      <c r="L220" s="8"/>
      <c r="M220" s="8"/>
      <c r="N220" s="8"/>
      <c r="O220" s="8"/>
      <c r="P220" s="8"/>
      <c r="Q220" s="8"/>
      <c r="R220" s="8"/>
      <c r="S220" s="8"/>
      <c r="T220" s="8"/>
      <c r="U220" s="8"/>
      <c r="V220" s="8"/>
    </row>
    <row r="221" ht="24.0" customHeight="1">
      <c r="A221" s="7"/>
      <c r="B221" s="7"/>
      <c r="C221" s="7"/>
      <c r="D221" s="7"/>
      <c r="E221" s="7"/>
      <c r="F221" s="8"/>
      <c r="G221" s="8"/>
      <c r="H221" s="8"/>
      <c r="I221" s="8"/>
      <c r="J221" s="8"/>
      <c r="K221" s="8"/>
      <c r="L221" s="8"/>
      <c r="M221" s="8"/>
      <c r="N221" s="8"/>
      <c r="O221" s="8"/>
      <c r="P221" s="8"/>
      <c r="Q221" s="8"/>
      <c r="R221" s="8"/>
      <c r="S221" s="8"/>
      <c r="T221" s="8"/>
      <c r="U221" s="8"/>
      <c r="V221" s="8"/>
    </row>
    <row r="222" ht="24.0" customHeight="1">
      <c r="A222" s="7"/>
      <c r="B222" s="7"/>
      <c r="C222" s="7"/>
      <c r="D222" s="7"/>
      <c r="E222" s="7"/>
      <c r="F222" s="8"/>
      <c r="G222" s="8"/>
      <c r="H222" s="8"/>
      <c r="I222" s="8"/>
      <c r="J222" s="8"/>
      <c r="K222" s="8"/>
      <c r="L222" s="8"/>
      <c r="M222" s="8"/>
      <c r="N222" s="8"/>
      <c r="O222" s="8"/>
      <c r="P222" s="8"/>
      <c r="Q222" s="8"/>
      <c r="R222" s="8"/>
      <c r="S222" s="8"/>
      <c r="T222" s="8"/>
      <c r="U222" s="8"/>
      <c r="V222" s="8"/>
    </row>
    <row r="223" ht="24.0" customHeight="1">
      <c r="A223" s="7"/>
      <c r="B223" s="7"/>
      <c r="C223" s="7"/>
      <c r="D223" s="7"/>
      <c r="E223" s="7"/>
      <c r="F223" s="8"/>
      <c r="G223" s="8"/>
      <c r="H223" s="8"/>
      <c r="I223" s="8"/>
      <c r="J223" s="8"/>
      <c r="K223" s="8"/>
      <c r="L223" s="8"/>
      <c r="M223" s="8"/>
      <c r="N223" s="8"/>
      <c r="O223" s="8"/>
      <c r="P223" s="8"/>
      <c r="Q223" s="8"/>
      <c r="R223" s="8"/>
      <c r="S223" s="8"/>
      <c r="T223" s="8"/>
      <c r="U223" s="8"/>
      <c r="V223" s="8"/>
    </row>
    <row r="224" ht="24.0" customHeight="1">
      <c r="A224" s="7"/>
      <c r="B224" s="7"/>
      <c r="C224" s="7"/>
      <c r="D224" s="7"/>
      <c r="E224" s="7"/>
      <c r="F224" s="8"/>
      <c r="G224" s="8"/>
      <c r="H224" s="8"/>
      <c r="I224" s="8"/>
      <c r="J224" s="8"/>
      <c r="K224" s="8"/>
      <c r="L224" s="8"/>
      <c r="M224" s="8"/>
      <c r="N224" s="8"/>
      <c r="O224" s="8"/>
      <c r="P224" s="8"/>
      <c r="Q224" s="8"/>
      <c r="R224" s="8"/>
      <c r="S224" s="8"/>
      <c r="T224" s="8"/>
      <c r="U224" s="8"/>
      <c r="V224" s="8"/>
    </row>
    <row r="225" ht="24.0" customHeight="1">
      <c r="A225" s="7"/>
      <c r="B225" s="7"/>
      <c r="C225" s="7"/>
      <c r="D225" s="7"/>
      <c r="E225" s="7"/>
      <c r="F225" s="8"/>
      <c r="G225" s="8"/>
      <c r="H225" s="8"/>
      <c r="I225" s="8"/>
      <c r="J225" s="8"/>
      <c r="K225" s="8"/>
      <c r="L225" s="8"/>
      <c r="M225" s="8"/>
      <c r="N225" s="8"/>
      <c r="O225" s="8"/>
      <c r="P225" s="8"/>
      <c r="Q225" s="8"/>
      <c r="R225" s="8"/>
      <c r="S225" s="8"/>
      <c r="T225" s="8"/>
      <c r="U225" s="8"/>
      <c r="V225" s="8"/>
    </row>
    <row r="226" ht="24.0" customHeight="1">
      <c r="A226" s="7"/>
      <c r="B226" s="7"/>
      <c r="C226" s="7"/>
      <c r="D226" s="7"/>
      <c r="E226" s="7"/>
      <c r="F226" s="8"/>
      <c r="G226" s="8"/>
      <c r="H226" s="8"/>
      <c r="I226" s="8"/>
      <c r="J226" s="8"/>
      <c r="K226" s="8"/>
      <c r="L226" s="8"/>
      <c r="M226" s="8"/>
      <c r="N226" s="8"/>
      <c r="O226" s="8"/>
      <c r="P226" s="8"/>
      <c r="Q226" s="8"/>
      <c r="R226" s="8"/>
      <c r="S226" s="8"/>
      <c r="T226" s="8"/>
      <c r="U226" s="8"/>
      <c r="V226" s="8"/>
    </row>
    <row r="227" ht="24.0" customHeight="1">
      <c r="A227" s="7"/>
      <c r="B227" s="7"/>
      <c r="C227" s="7"/>
      <c r="D227" s="7"/>
      <c r="E227" s="7"/>
      <c r="F227" s="8"/>
      <c r="G227" s="8"/>
      <c r="H227" s="8"/>
      <c r="I227" s="8"/>
      <c r="J227" s="8"/>
      <c r="K227" s="8"/>
      <c r="L227" s="8"/>
      <c r="M227" s="8"/>
      <c r="N227" s="8"/>
      <c r="O227" s="8"/>
      <c r="P227" s="8"/>
      <c r="Q227" s="8"/>
      <c r="R227" s="8"/>
      <c r="S227" s="8"/>
      <c r="T227" s="8"/>
      <c r="U227" s="8"/>
      <c r="V227" s="8"/>
    </row>
    <row r="228" ht="24.0" customHeight="1">
      <c r="A228" s="7"/>
      <c r="B228" s="7"/>
      <c r="C228" s="7"/>
      <c r="D228" s="7"/>
      <c r="E228" s="7"/>
      <c r="F228" s="8"/>
      <c r="G228" s="8"/>
      <c r="H228" s="8"/>
      <c r="I228" s="8"/>
      <c r="J228" s="8"/>
      <c r="K228" s="8"/>
      <c r="L228" s="8"/>
      <c r="M228" s="8"/>
      <c r="N228" s="8"/>
      <c r="O228" s="8"/>
      <c r="P228" s="8"/>
      <c r="Q228" s="8"/>
      <c r="R228" s="8"/>
      <c r="S228" s="8"/>
      <c r="T228" s="8"/>
      <c r="U228" s="8"/>
      <c r="V228" s="8"/>
    </row>
    <row r="229" ht="24.0" customHeight="1">
      <c r="A229" s="7"/>
      <c r="B229" s="7"/>
      <c r="C229" s="7"/>
      <c r="D229" s="7"/>
      <c r="E229" s="7"/>
      <c r="F229" s="8"/>
      <c r="G229" s="8"/>
      <c r="H229" s="8"/>
      <c r="I229" s="8"/>
      <c r="J229" s="8"/>
      <c r="K229" s="8"/>
      <c r="L229" s="8"/>
      <c r="M229" s="8"/>
      <c r="N229" s="8"/>
      <c r="O229" s="8"/>
      <c r="P229" s="8"/>
      <c r="Q229" s="8"/>
      <c r="R229" s="8"/>
      <c r="S229" s="8"/>
      <c r="T229" s="8"/>
      <c r="U229" s="8"/>
      <c r="V229" s="8"/>
    </row>
    <row r="230" ht="24.0" customHeight="1">
      <c r="A230" s="7"/>
      <c r="B230" s="7"/>
      <c r="C230" s="7"/>
      <c r="D230" s="7"/>
      <c r="E230" s="7"/>
      <c r="F230" s="8"/>
      <c r="G230" s="8"/>
      <c r="H230" s="8"/>
      <c r="I230" s="8"/>
      <c r="J230" s="8"/>
      <c r="K230" s="8"/>
      <c r="L230" s="8"/>
      <c r="M230" s="8"/>
      <c r="N230" s="8"/>
      <c r="O230" s="8"/>
      <c r="P230" s="8"/>
      <c r="Q230" s="8"/>
      <c r="R230" s="8"/>
      <c r="S230" s="8"/>
      <c r="T230" s="8"/>
      <c r="U230" s="8"/>
      <c r="V230" s="8"/>
    </row>
    <row r="231" ht="24.0" customHeight="1">
      <c r="A231" s="7"/>
      <c r="B231" s="7"/>
      <c r="C231" s="7"/>
      <c r="D231" s="7"/>
      <c r="E231" s="7"/>
      <c r="F231" s="8"/>
      <c r="G231" s="8"/>
      <c r="H231" s="8"/>
      <c r="I231" s="8"/>
      <c r="J231" s="8"/>
      <c r="K231" s="8"/>
      <c r="L231" s="8"/>
      <c r="M231" s="8"/>
      <c r="N231" s="8"/>
      <c r="O231" s="8"/>
      <c r="P231" s="8"/>
      <c r="Q231" s="8"/>
      <c r="R231" s="8"/>
      <c r="S231" s="8"/>
      <c r="T231" s="8"/>
      <c r="U231" s="8"/>
      <c r="V231" s="8"/>
    </row>
    <row r="232" ht="24.0" customHeight="1">
      <c r="A232" s="7"/>
      <c r="B232" s="7"/>
      <c r="C232" s="7"/>
      <c r="D232" s="7"/>
      <c r="E232" s="7"/>
      <c r="F232" s="8"/>
      <c r="G232" s="8"/>
      <c r="H232" s="8"/>
      <c r="I232" s="8"/>
      <c r="J232" s="8"/>
      <c r="K232" s="8"/>
      <c r="L232" s="8"/>
      <c r="M232" s="8"/>
      <c r="N232" s="8"/>
      <c r="O232" s="8"/>
      <c r="P232" s="8"/>
      <c r="Q232" s="8"/>
      <c r="R232" s="8"/>
      <c r="S232" s="8"/>
      <c r="T232" s="8"/>
      <c r="U232" s="8"/>
      <c r="V232" s="8"/>
    </row>
    <row r="233" ht="24.0" customHeight="1">
      <c r="A233" s="7"/>
      <c r="B233" s="7"/>
      <c r="C233" s="7"/>
      <c r="D233" s="7"/>
      <c r="E233" s="7"/>
      <c r="F233" s="8"/>
      <c r="G233" s="8"/>
      <c r="H233" s="8"/>
      <c r="I233" s="8"/>
      <c r="J233" s="8"/>
      <c r="K233" s="8"/>
      <c r="L233" s="8"/>
      <c r="M233" s="8"/>
      <c r="N233" s="8"/>
      <c r="O233" s="8"/>
      <c r="P233" s="8"/>
      <c r="Q233" s="8"/>
      <c r="R233" s="8"/>
      <c r="S233" s="8"/>
      <c r="T233" s="8"/>
      <c r="U233" s="8"/>
      <c r="V233" s="8"/>
    </row>
    <row r="234" ht="24.0" customHeight="1">
      <c r="A234" s="7"/>
      <c r="B234" s="7"/>
      <c r="C234" s="7"/>
      <c r="D234" s="7"/>
      <c r="E234" s="7"/>
      <c r="F234" s="8"/>
      <c r="G234" s="8"/>
      <c r="H234" s="8"/>
      <c r="I234" s="8"/>
      <c r="J234" s="8"/>
      <c r="K234" s="8"/>
      <c r="L234" s="8"/>
      <c r="M234" s="8"/>
      <c r="N234" s="8"/>
      <c r="O234" s="8"/>
      <c r="P234" s="8"/>
      <c r="Q234" s="8"/>
      <c r="R234" s="8"/>
      <c r="S234" s="8"/>
      <c r="T234" s="8"/>
      <c r="U234" s="8"/>
      <c r="V234" s="8"/>
    </row>
    <row r="235" ht="24.0" customHeight="1">
      <c r="A235" s="7"/>
      <c r="B235" s="7"/>
      <c r="C235" s="7"/>
      <c r="D235" s="7"/>
      <c r="E235" s="7"/>
      <c r="F235" s="8"/>
      <c r="G235" s="8"/>
      <c r="H235" s="8"/>
      <c r="I235" s="8"/>
      <c r="J235" s="8"/>
      <c r="K235" s="8"/>
      <c r="L235" s="8"/>
      <c r="M235" s="8"/>
      <c r="N235" s="8"/>
      <c r="O235" s="8"/>
      <c r="P235" s="8"/>
      <c r="Q235" s="8"/>
      <c r="R235" s="8"/>
      <c r="S235" s="8"/>
      <c r="T235" s="8"/>
      <c r="U235" s="8"/>
      <c r="V235" s="8"/>
    </row>
    <row r="236" ht="24.0" customHeight="1">
      <c r="A236" s="7"/>
      <c r="B236" s="7"/>
      <c r="C236" s="7"/>
      <c r="D236" s="7"/>
      <c r="E236" s="7"/>
      <c r="F236" s="8"/>
      <c r="G236" s="8"/>
      <c r="H236" s="8"/>
      <c r="I236" s="8"/>
      <c r="J236" s="8"/>
      <c r="K236" s="8"/>
      <c r="L236" s="8"/>
      <c r="M236" s="8"/>
      <c r="N236" s="8"/>
      <c r="O236" s="8"/>
      <c r="P236" s="8"/>
      <c r="Q236" s="8"/>
      <c r="R236" s="8"/>
      <c r="S236" s="8"/>
      <c r="T236" s="8"/>
      <c r="U236" s="8"/>
      <c r="V236" s="8"/>
    </row>
    <row r="237" ht="24.0" customHeight="1">
      <c r="A237" s="7"/>
      <c r="B237" s="7"/>
      <c r="C237" s="7"/>
      <c r="D237" s="7"/>
      <c r="E237" s="7"/>
      <c r="F237" s="8"/>
      <c r="G237" s="8"/>
      <c r="H237" s="8"/>
      <c r="I237" s="8"/>
      <c r="J237" s="8"/>
      <c r="K237" s="8"/>
      <c r="L237" s="8"/>
      <c r="M237" s="8"/>
      <c r="N237" s="8"/>
      <c r="O237" s="8"/>
      <c r="P237" s="8"/>
      <c r="Q237" s="8"/>
      <c r="R237" s="8"/>
      <c r="S237" s="8"/>
      <c r="T237" s="8"/>
      <c r="U237" s="8"/>
      <c r="V237" s="8"/>
    </row>
    <row r="238" ht="24.0" customHeight="1">
      <c r="A238" s="7"/>
      <c r="B238" s="7"/>
      <c r="C238" s="7"/>
      <c r="D238" s="7"/>
      <c r="E238" s="7"/>
      <c r="F238" s="8"/>
      <c r="G238" s="8"/>
      <c r="H238" s="8"/>
      <c r="I238" s="8"/>
      <c r="J238" s="8"/>
      <c r="K238" s="8"/>
      <c r="L238" s="8"/>
      <c r="M238" s="8"/>
      <c r="N238" s="8"/>
      <c r="O238" s="8"/>
      <c r="P238" s="8"/>
      <c r="Q238" s="8"/>
      <c r="R238" s="8"/>
      <c r="S238" s="8"/>
      <c r="T238" s="8"/>
      <c r="U238" s="8"/>
      <c r="V238" s="8"/>
    </row>
    <row r="239" ht="24.0" customHeight="1">
      <c r="A239" s="7"/>
      <c r="B239" s="7"/>
      <c r="C239" s="7"/>
      <c r="D239" s="7"/>
      <c r="E239" s="7"/>
      <c r="F239" s="8"/>
      <c r="G239" s="8"/>
      <c r="H239" s="8"/>
      <c r="I239" s="8"/>
      <c r="J239" s="8"/>
      <c r="K239" s="8"/>
      <c r="L239" s="8"/>
      <c r="M239" s="8"/>
      <c r="N239" s="8"/>
      <c r="O239" s="8"/>
      <c r="P239" s="8"/>
      <c r="Q239" s="8"/>
      <c r="R239" s="8"/>
      <c r="S239" s="8"/>
      <c r="T239" s="8"/>
      <c r="U239" s="8"/>
      <c r="V239" s="8"/>
    </row>
    <row r="240" ht="24.0" customHeight="1">
      <c r="A240" s="7"/>
      <c r="B240" s="7"/>
      <c r="C240" s="7"/>
      <c r="D240" s="7"/>
      <c r="E240" s="7"/>
      <c r="F240" s="8"/>
      <c r="G240" s="8"/>
      <c r="H240" s="8"/>
      <c r="I240" s="8"/>
      <c r="J240" s="8"/>
      <c r="K240" s="8"/>
      <c r="L240" s="8"/>
      <c r="M240" s="8"/>
      <c r="N240" s="8"/>
      <c r="O240" s="8"/>
      <c r="P240" s="8"/>
      <c r="Q240" s="8"/>
      <c r="R240" s="8"/>
      <c r="S240" s="8"/>
      <c r="T240" s="8"/>
      <c r="U240" s="8"/>
      <c r="V240" s="8"/>
    </row>
    <row r="241" ht="24.0" customHeight="1">
      <c r="A241" s="7"/>
      <c r="B241" s="7"/>
      <c r="C241" s="7"/>
      <c r="D241" s="7"/>
      <c r="E241" s="7"/>
      <c r="F241" s="8"/>
      <c r="G241" s="8"/>
      <c r="H241" s="8"/>
      <c r="I241" s="8"/>
      <c r="J241" s="8"/>
      <c r="K241" s="8"/>
      <c r="L241" s="8"/>
      <c r="M241" s="8"/>
      <c r="N241" s="8"/>
      <c r="O241" s="8"/>
      <c r="P241" s="8"/>
      <c r="Q241" s="8"/>
      <c r="R241" s="8"/>
      <c r="S241" s="8"/>
      <c r="T241" s="8"/>
      <c r="U241" s="8"/>
      <c r="V241" s="8"/>
    </row>
    <row r="242" ht="24.0" customHeight="1">
      <c r="A242" s="7"/>
      <c r="B242" s="7"/>
      <c r="C242" s="7"/>
      <c r="D242" s="7"/>
      <c r="E242" s="7"/>
      <c r="F242" s="8"/>
      <c r="G242" s="8"/>
      <c r="H242" s="8"/>
      <c r="I242" s="8"/>
      <c r="J242" s="8"/>
      <c r="K242" s="8"/>
      <c r="L242" s="8"/>
      <c r="M242" s="8"/>
      <c r="N242" s="8"/>
      <c r="O242" s="8"/>
      <c r="P242" s="8"/>
      <c r="Q242" s="8"/>
      <c r="R242" s="8"/>
      <c r="S242" s="8"/>
      <c r="T242" s="8"/>
      <c r="U242" s="8"/>
      <c r="V242" s="8"/>
    </row>
    <row r="243" ht="24.0" customHeight="1">
      <c r="A243" s="7"/>
      <c r="B243" s="7"/>
      <c r="C243" s="7"/>
      <c r="D243" s="7"/>
      <c r="E243" s="7"/>
      <c r="F243" s="8"/>
      <c r="G243" s="8"/>
      <c r="H243" s="8"/>
      <c r="I243" s="8"/>
      <c r="J243" s="8"/>
      <c r="K243" s="8"/>
      <c r="L243" s="8"/>
      <c r="M243" s="8"/>
      <c r="N243" s="8"/>
      <c r="O243" s="8"/>
      <c r="P243" s="8"/>
      <c r="Q243" s="8"/>
      <c r="R243" s="8"/>
      <c r="S243" s="8"/>
      <c r="T243" s="8"/>
      <c r="U243" s="8"/>
      <c r="V243" s="8"/>
    </row>
    <row r="244" ht="24.0" customHeight="1">
      <c r="A244" s="7"/>
      <c r="B244" s="7"/>
      <c r="C244" s="7"/>
      <c r="D244" s="7"/>
      <c r="E244" s="7"/>
      <c r="F244" s="8"/>
      <c r="G244" s="8"/>
      <c r="H244" s="8"/>
      <c r="I244" s="8"/>
      <c r="J244" s="8"/>
      <c r="K244" s="8"/>
      <c r="L244" s="8"/>
      <c r="M244" s="8"/>
      <c r="N244" s="8"/>
      <c r="O244" s="8"/>
      <c r="P244" s="8"/>
      <c r="Q244" s="8"/>
      <c r="R244" s="8"/>
      <c r="S244" s="8"/>
      <c r="T244" s="8"/>
      <c r="U244" s="8"/>
      <c r="V244" s="8"/>
    </row>
    <row r="245" ht="24.0" customHeight="1">
      <c r="A245" s="7"/>
      <c r="B245" s="7"/>
      <c r="C245" s="7"/>
      <c r="D245" s="7"/>
      <c r="E245" s="7"/>
      <c r="F245" s="8"/>
      <c r="G245" s="8"/>
      <c r="H245" s="8"/>
      <c r="I245" s="8"/>
      <c r="J245" s="8"/>
      <c r="K245" s="8"/>
      <c r="L245" s="8"/>
      <c r="M245" s="8"/>
      <c r="N245" s="8"/>
      <c r="O245" s="8"/>
      <c r="P245" s="8"/>
      <c r="Q245" s="8"/>
      <c r="R245" s="8"/>
      <c r="S245" s="8"/>
      <c r="T245" s="8"/>
      <c r="U245" s="8"/>
      <c r="V245" s="8"/>
    </row>
    <row r="246" ht="24.0" customHeight="1">
      <c r="A246" s="7"/>
      <c r="B246" s="7"/>
      <c r="C246" s="7"/>
      <c r="D246" s="7"/>
      <c r="E246" s="7"/>
      <c r="F246" s="8"/>
      <c r="G246" s="8"/>
      <c r="H246" s="8"/>
      <c r="I246" s="8"/>
      <c r="J246" s="8"/>
      <c r="K246" s="8"/>
      <c r="L246" s="8"/>
      <c r="M246" s="8"/>
      <c r="N246" s="8"/>
      <c r="O246" s="8"/>
      <c r="P246" s="8"/>
      <c r="Q246" s="8"/>
      <c r="R246" s="8"/>
      <c r="S246" s="8"/>
      <c r="T246" s="8"/>
      <c r="U246" s="8"/>
      <c r="V246" s="8"/>
    </row>
    <row r="247" ht="24.0" customHeight="1">
      <c r="A247" s="7"/>
      <c r="B247" s="7"/>
      <c r="C247" s="7"/>
      <c r="D247" s="7"/>
      <c r="E247" s="7"/>
      <c r="F247" s="8"/>
      <c r="G247" s="8"/>
      <c r="H247" s="8"/>
      <c r="I247" s="8"/>
      <c r="J247" s="8"/>
      <c r="K247" s="8"/>
      <c r="L247" s="8"/>
      <c r="M247" s="8"/>
      <c r="N247" s="8"/>
      <c r="O247" s="8"/>
      <c r="P247" s="8"/>
      <c r="Q247" s="8"/>
      <c r="R247" s="8"/>
      <c r="S247" s="8"/>
      <c r="T247" s="8"/>
      <c r="U247" s="8"/>
      <c r="V247" s="8"/>
    </row>
    <row r="248" ht="24.0" customHeight="1">
      <c r="A248" s="7"/>
      <c r="B248" s="7"/>
      <c r="C248" s="7"/>
      <c r="D248" s="7"/>
      <c r="E248" s="7"/>
      <c r="F248" s="8"/>
      <c r="G248" s="8"/>
      <c r="H248" s="8"/>
      <c r="I248" s="8"/>
      <c r="J248" s="8"/>
      <c r="K248" s="8"/>
      <c r="L248" s="8"/>
      <c r="M248" s="8"/>
      <c r="N248" s="8"/>
      <c r="O248" s="8"/>
      <c r="P248" s="8"/>
      <c r="Q248" s="8"/>
      <c r="R248" s="8"/>
      <c r="S248" s="8"/>
      <c r="T248" s="8"/>
      <c r="U248" s="8"/>
      <c r="V248" s="8"/>
    </row>
    <row r="249" ht="24.0" customHeight="1">
      <c r="A249" s="7"/>
      <c r="B249" s="7"/>
      <c r="C249" s="7"/>
      <c r="D249" s="7"/>
      <c r="E249" s="7"/>
      <c r="F249" s="8"/>
      <c r="G249" s="8"/>
      <c r="H249" s="8"/>
      <c r="I249" s="8"/>
      <c r="J249" s="8"/>
      <c r="K249" s="8"/>
      <c r="L249" s="8"/>
      <c r="M249" s="8"/>
      <c r="N249" s="8"/>
      <c r="O249" s="8"/>
      <c r="P249" s="8"/>
      <c r="Q249" s="8"/>
      <c r="R249" s="8"/>
      <c r="S249" s="8"/>
      <c r="T249" s="8"/>
      <c r="U249" s="8"/>
      <c r="V249" s="8"/>
    </row>
    <row r="250" ht="24.0" customHeight="1">
      <c r="A250" s="7"/>
      <c r="B250" s="7"/>
      <c r="C250" s="7"/>
      <c r="D250" s="7"/>
      <c r="E250" s="7"/>
      <c r="F250" s="8"/>
      <c r="G250" s="8"/>
      <c r="H250" s="8"/>
      <c r="I250" s="8"/>
      <c r="J250" s="8"/>
      <c r="K250" s="8"/>
      <c r="L250" s="8"/>
      <c r="M250" s="8"/>
      <c r="N250" s="8"/>
      <c r="O250" s="8"/>
      <c r="P250" s="8"/>
      <c r="Q250" s="8"/>
      <c r="R250" s="8"/>
      <c r="S250" s="8"/>
      <c r="T250" s="8"/>
      <c r="U250" s="8"/>
      <c r="V250" s="8"/>
    </row>
    <row r="251" ht="24.0" customHeight="1">
      <c r="A251" s="7"/>
      <c r="B251" s="7"/>
      <c r="C251" s="7"/>
      <c r="D251" s="7"/>
      <c r="E251" s="7"/>
      <c r="F251" s="8"/>
      <c r="G251" s="8"/>
      <c r="H251" s="8"/>
      <c r="I251" s="8"/>
      <c r="J251" s="8"/>
      <c r="K251" s="8"/>
      <c r="L251" s="8"/>
      <c r="M251" s="8"/>
      <c r="N251" s="8"/>
      <c r="O251" s="8"/>
      <c r="P251" s="8"/>
      <c r="Q251" s="8"/>
      <c r="R251" s="8"/>
      <c r="S251" s="8"/>
      <c r="T251" s="8"/>
      <c r="U251" s="8"/>
      <c r="V251" s="8"/>
    </row>
    <row r="252" ht="24.0" customHeight="1">
      <c r="A252" s="7"/>
      <c r="B252" s="7"/>
      <c r="C252" s="7"/>
      <c r="D252" s="7"/>
      <c r="E252" s="7"/>
      <c r="F252" s="8"/>
      <c r="G252" s="8"/>
      <c r="H252" s="8"/>
      <c r="I252" s="8"/>
      <c r="J252" s="8"/>
      <c r="K252" s="8"/>
      <c r="L252" s="8"/>
      <c r="M252" s="8"/>
      <c r="N252" s="8"/>
      <c r="O252" s="8"/>
      <c r="P252" s="8"/>
      <c r="Q252" s="8"/>
      <c r="R252" s="8"/>
      <c r="S252" s="8"/>
      <c r="T252" s="8"/>
      <c r="U252" s="8"/>
      <c r="V252" s="8"/>
    </row>
    <row r="253" ht="24.0" customHeight="1">
      <c r="F253" s="8"/>
      <c r="G253" s="8"/>
      <c r="H253" s="8"/>
      <c r="I253" s="8"/>
      <c r="J253" s="8"/>
      <c r="K253" s="8"/>
      <c r="L253" s="8"/>
      <c r="M253" s="8"/>
      <c r="N253" s="8"/>
      <c r="O253" s="8"/>
      <c r="P253" s="8"/>
      <c r="Q253" s="8"/>
      <c r="R253" s="8"/>
      <c r="S253" s="8"/>
      <c r="T253" s="8"/>
      <c r="U253" s="8"/>
      <c r="V253" s="8"/>
    </row>
    <row r="254" ht="24.0" customHeight="1">
      <c r="F254" s="8"/>
      <c r="G254" s="8"/>
      <c r="H254" s="8"/>
      <c r="I254" s="8"/>
      <c r="J254" s="8"/>
      <c r="K254" s="8"/>
      <c r="L254" s="8"/>
      <c r="M254" s="8"/>
      <c r="N254" s="8"/>
      <c r="O254" s="8"/>
      <c r="P254" s="8"/>
      <c r="Q254" s="8"/>
      <c r="R254" s="8"/>
      <c r="S254" s="8"/>
      <c r="T254" s="8"/>
      <c r="U254" s="8"/>
      <c r="V254" s="8"/>
    </row>
    <row r="255" ht="24.0" customHeight="1">
      <c r="F255" s="8"/>
      <c r="G255" s="8"/>
      <c r="H255" s="8"/>
      <c r="I255" s="8"/>
      <c r="J255" s="8"/>
      <c r="K255" s="8"/>
      <c r="L255" s="8"/>
      <c r="M255" s="8"/>
      <c r="N255" s="8"/>
      <c r="O255" s="8"/>
      <c r="P255" s="8"/>
      <c r="Q255" s="8"/>
      <c r="R255" s="8"/>
      <c r="S255" s="8"/>
      <c r="T255" s="8"/>
      <c r="U255" s="8"/>
      <c r="V255" s="8"/>
    </row>
    <row r="256" ht="24.0" customHeight="1">
      <c r="F256" s="8"/>
      <c r="G256" s="8"/>
      <c r="H256" s="8"/>
      <c r="I256" s="8"/>
      <c r="J256" s="8"/>
      <c r="K256" s="8"/>
      <c r="L256" s="8"/>
      <c r="M256" s="8"/>
      <c r="N256" s="8"/>
      <c r="O256" s="8"/>
      <c r="P256" s="8"/>
      <c r="Q256" s="8"/>
      <c r="R256" s="8"/>
      <c r="S256" s="8"/>
      <c r="T256" s="8"/>
      <c r="U256" s="8"/>
      <c r="V256" s="8"/>
    </row>
    <row r="257" ht="24.0" customHeight="1">
      <c r="F257" s="8"/>
      <c r="G257" s="8"/>
      <c r="H257" s="8"/>
      <c r="I257" s="8"/>
      <c r="J257" s="8"/>
      <c r="K257" s="8"/>
      <c r="L257" s="8"/>
      <c r="M257" s="8"/>
      <c r="N257" s="8"/>
      <c r="O257" s="8"/>
      <c r="P257" s="8"/>
      <c r="Q257" s="8"/>
      <c r="R257" s="8"/>
      <c r="S257" s="8"/>
      <c r="T257" s="8"/>
      <c r="U257" s="8"/>
      <c r="V257" s="8"/>
    </row>
    <row r="258" ht="24.0" customHeight="1">
      <c r="F258" s="8"/>
      <c r="G258" s="8"/>
      <c r="H258" s="8"/>
      <c r="I258" s="8"/>
      <c r="J258" s="8"/>
      <c r="K258" s="8"/>
      <c r="L258" s="8"/>
      <c r="M258" s="8"/>
      <c r="N258" s="8"/>
      <c r="O258" s="8"/>
      <c r="P258" s="8"/>
      <c r="Q258" s="8"/>
      <c r="R258" s="8"/>
      <c r="S258" s="8"/>
      <c r="T258" s="8"/>
      <c r="U258" s="8"/>
      <c r="V258" s="8"/>
    </row>
    <row r="259" ht="24.0" customHeight="1">
      <c r="F259" s="8"/>
      <c r="G259" s="8"/>
      <c r="H259" s="8"/>
      <c r="I259" s="8"/>
      <c r="J259" s="8"/>
      <c r="K259" s="8"/>
      <c r="L259" s="8"/>
      <c r="M259" s="8"/>
      <c r="N259" s="8"/>
      <c r="O259" s="8"/>
      <c r="P259" s="8"/>
      <c r="Q259" s="8"/>
      <c r="R259" s="8"/>
      <c r="S259" s="8"/>
      <c r="T259" s="8"/>
      <c r="U259" s="8"/>
      <c r="V259" s="8"/>
    </row>
    <row r="260" ht="24.0" customHeight="1">
      <c r="F260" s="8"/>
      <c r="G260" s="8"/>
      <c r="H260" s="8"/>
      <c r="I260" s="8"/>
      <c r="J260" s="8"/>
      <c r="K260" s="8"/>
      <c r="L260" s="8"/>
      <c r="M260" s="8"/>
      <c r="N260" s="8"/>
      <c r="O260" s="8"/>
      <c r="P260" s="8"/>
      <c r="Q260" s="8"/>
      <c r="R260" s="8"/>
      <c r="S260" s="8"/>
      <c r="T260" s="8"/>
      <c r="U260" s="8"/>
      <c r="V260" s="8"/>
    </row>
    <row r="261" ht="24.0" customHeight="1">
      <c r="F261" s="8"/>
      <c r="G261" s="8"/>
      <c r="H261" s="8"/>
      <c r="I261" s="8"/>
      <c r="J261" s="8"/>
      <c r="K261" s="8"/>
      <c r="L261" s="8"/>
      <c r="M261" s="8"/>
      <c r="N261" s="8"/>
      <c r="O261" s="8"/>
      <c r="P261" s="8"/>
      <c r="Q261" s="8"/>
      <c r="R261" s="8"/>
      <c r="S261" s="8"/>
      <c r="T261" s="8"/>
      <c r="U261" s="8"/>
      <c r="V261" s="8"/>
    </row>
    <row r="262" ht="24.0" customHeight="1">
      <c r="F262" s="8"/>
      <c r="G262" s="8"/>
      <c r="H262" s="8"/>
      <c r="I262" s="8"/>
      <c r="J262" s="8"/>
      <c r="K262" s="8"/>
      <c r="L262" s="8"/>
      <c r="M262" s="8"/>
      <c r="N262" s="8"/>
      <c r="O262" s="8"/>
      <c r="P262" s="8"/>
      <c r="Q262" s="8"/>
      <c r="R262" s="8"/>
      <c r="S262" s="8"/>
      <c r="T262" s="8"/>
      <c r="U262" s="8"/>
      <c r="V262" s="8"/>
    </row>
    <row r="263" ht="24.0" customHeight="1">
      <c r="F263" s="8"/>
      <c r="G263" s="8"/>
      <c r="H263" s="8"/>
      <c r="I263" s="8"/>
      <c r="J263" s="8"/>
      <c r="K263" s="8"/>
      <c r="L263" s="8"/>
      <c r="M263" s="8"/>
      <c r="N263" s="8"/>
      <c r="O263" s="8"/>
      <c r="P263" s="8"/>
      <c r="Q263" s="8"/>
      <c r="R263" s="8"/>
      <c r="S263" s="8"/>
      <c r="T263" s="8"/>
      <c r="U263" s="8"/>
      <c r="V263" s="8"/>
    </row>
    <row r="264" ht="24.0" customHeight="1">
      <c r="F264" s="8"/>
      <c r="G264" s="8"/>
      <c r="H264" s="8"/>
      <c r="I264" s="8"/>
      <c r="J264" s="8"/>
      <c r="K264" s="8"/>
      <c r="L264" s="8"/>
      <c r="M264" s="8"/>
      <c r="N264" s="8"/>
      <c r="O264" s="8"/>
      <c r="P264" s="8"/>
      <c r="Q264" s="8"/>
      <c r="R264" s="8"/>
      <c r="S264" s="8"/>
      <c r="T264" s="8"/>
      <c r="U264" s="8"/>
      <c r="V264" s="8"/>
    </row>
    <row r="265" ht="24.0" customHeight="1">
      <c r="F265" s="8"/>
      <c r="G265" s="8"/>
      <c r="H265" s="8"/>
      <c r="I265" s="8"/>
      <c r="J265" s="8"/>
      <c r="K265" s="8"/>
      <c r="L265" s="8"/>
      <c r="M265" s="8"/>
      <c r="N265" s="8"/>
      <c r="O265" s="8"/>
      <c r="P265" s="8"/>
      <c r="Q265" s="8"/>
      <c r="R265" s="8"/>
      <c r="S265" s="8"/>
      <c r="T265" s="8"/>
      <c r="U265" s="8"/>
      <c r="V265" s="8"/>
    </row>
    <row r="266" ht="24.0" customHeight="1">
      <c r="F266" s="8"/>
      <c r="G266" s="8"/>
      <c r="H266" s="8"/>
      <c r="I266" s="8"/>
      <c r="J266" s="8"/>
      <c r="K266" s="8"/>
      <c r="L266" s="8"/>
      <c r="M266" s="8"/>
      <c r="N266" s="8"/>
      <c r="O266" s="8"/>
      <c r="P266" s="8"/>
      <c r="Q266" s="8"/>
      <c r="R266" s="8"/>
      <c r="S266" s="8"/>
      <c r="T266" s="8"/>
      <c r="U266" s="8"/>
      <c r="V266" s="8"/>
    </row>
    <row r="267" ht="24.0" customHeight="1">
      <c r="F267" s="8"/>
      <c r="G267" s="8"/>
      <c r="H267" s="8"/>
      <c r="I267" s="8"/>
      <c r="J267" s="8"/>
      <c r="K267" s="8"/>
      <c r="L267" s="8"/>
      <c r="M267" s="8"/>
      <c r="N267" s="8"/>
      <c r="O267" s="8"/>
      <c r="P267" s="8"/>
      <c r="Q267" s="8"/>
      <c r="R267" s="8"/>
      <c r="S267" s="8"/>
      <c r="T267" s="8"/>
      <c r="U267" s="8"/>
      <c r="V267" s="8"/>
    </row>
    <row r="268" ht="24.0" customHeight="1">
      <c r="F268" s="8"/>
      <c r="G268" s="8"/>
      <c r="H268" s="8"/>
      <c r="I268" s="8"/>
      <c r="J268" s="8"/>
      <c r="K268" s="8"/>
      <c r="L268" s="8"/>
      <c r="M268" s="8"/>
      <c r="N268" s="8"/>
      <c r="O268" s="8"/>
      <c r="P268" s="8"/>
      <c r="Q268" s="8"/>
      <c r="R268" s="8"/>
      <c r="S268" s="8"/>
      <c r="T268" s="8"/>
      <c r="U268" s="8"/>
      <c r="V268" s="8"/>
    </row>
    <row r="269" ht="24.0" customHeight="1">
      <c r="F269" s="8"/>
      <c r="G269" s="8"/>
      <c r="H269" s="8"/>
      <c r="I269" s="8"/>
      <c r="J269" s="8"/>
      <c r="K269" s="8"/>
      <c r="L269" s="8"/>
      <c r="M269" s="8"/>
      <c r="N269" s="8"/>
      <c r="O269" s="8"/>
      <c r="P269" s="8"/>
      <c r="Q269" s="8"/>
      <c r="R269" s="8"/>
      <c r="S269" s="8"/>
      <c r="T269" s="8"/>
      <c r="U269" s="8"/>
      <c r="V269" s="8"/>
    </row>
    <row r="270" ht="24.0" customHeight="1">
      <c r="F270" s="8"/>
      <c r="G270" s="8"/>
      <c r="H270" s="8"/>
      <c r="I270" s="8"/>
      <c r="J270" s="8"/>
      <c r="K270" s="8"/>
      <c r="L270" s="8"/>
      <c r="M270" s="8"/>
      <c r="N270" s="8"/>
      <c r="O270" s="8"/>
      <c r="P270" s="8"/>
      <c r="Q270" s="8"/>
      <c r="R270" s="8"/>
      <c r="S270" s="8"/>
      <c r="T270" s="8"/>
      <c r="U270" s="8"/>
      <c r="V270" s="8"/>
    </row>
    <row r="271" ht="24.0" customHeight="1">
      <c r="F271" s="8"/>
      <c r="G271" s="8"/>
      <c r="H271" s="8"/>
      <c r="I271" s="8"/>
      <c r="J271" s="8"/>
      <c r="K271" s="8"/>
      <c r="L271" s="8"/>
      <c r="M271" s="8"/>
      <c r="N271" s="8"/>
      <c r="O271" s="8"/>
      <c r="P271" s="8"/>
      <c r="Q271" s="8"/>
      <c r="R271" s="8"/>
      <c r="S271" s="8"/>
      <c r="T271" s="8"/>
      <c r="U271" s="8"/>
      <c r="V271" s="8"/>
    </row>
    <row r="272" ht="24.0" customHeight="1">
      <c r="F272" s="8"/>
      <c r="G272" s="8"/>
      <c r="H272" s="8"/>
      <c r="I272" s="8"/>
      <c r="J272" s="8"/>
      <c r="K272" s="8"/>
      <c r="L272" s="8"/>
      <c r="M272" s="8"/>
      <c r="N272" s="8"/>
      <c r="O272" s="8"/>
      <c r="P272" s="8"/>
      <c r="Q272" s="8"/>
      <c r="R272" s="8"/>
      <c r="S272" s="8"/>
      <c r="T272" s="8"/>
      <c r="U272" s="8"/>
      <c r="V272" s="8"/>
    </row>
    <row r="273" ht="24.0" customHeight="1">
      <c r="F273" s="8"/>
      <c r="G273" s="8"/>
      <c r="H273" s="8"/>
      <c r="I273" s="8"/>
      <c r="J273" s="8"/>
      <c r="K273" s="8"/>
      <c r="L273" s="8"/>
      <c r="M273" s="8"/>
      <c r="N273" s="8"/>
      <c r="O273" s="8"/>
      <c r="P273" s="8"/>
      <c r="Q273" s="8"/>
      <c r="R273" s="8"/>
      <c r="S273" s="8"/>
      <c r="T273" s="8"/>
      <c r="U273" s="8"/>
      <c r="V273" s="8"/>
    </row>
    <row r="274" ht="24.0" customHeight="1">
      <c r="F274" s="8"/>
      <c r="G274" s="8"/>
      <c r="H274" s="8"/>
      <c r="I274" s="8"/>
      <c r="J274" s="8"/>
      <c r="K274" s="8"/>
      <c r="L274" s="8"/>
      <c r="M274" s="8"/>
      <c r="N274" s="8"/>
      <c r="O274" s="8"/>
      <c r="P274" s="8"/>
      <c r="Q274" s="8"/>
      <c r="R274" s="8"/>
      <c r="S274" s="8"/>
      <c r="T274" s="8"/>
      <c r="U274" s="8"/>
      <c r="V274" s="8"/>
    </row>
    <row r="275" ht="24.0" customHeight="1">
      <c r="F275" s="8"/>
      <c r="G275" s="8"/>
      <c r="H275" s="8"/>
      <c r="I275" s="8"/>
      <c r="J275" s="8"/>
      <c r="K275" s="8"/>
      <c r="L275" s="8"/>
      <c r="M275" s="8"/>
      <c r="N275" s="8"/>
      <c r="O275" s="8"/>
      <c r="P275" s="8"/>
      <c r="Q275" s="8"/>
      <c r="R275" s="8"/>
      <c r="S275" s="8"/>
      <c r="T275" s="8"/>
      <c r="U275" s="8"/>
      <c r="V275" s="8"/>
    </row>
    <row r="276" ht="24.0" customHeight="1">
      <c r="F276" s="8"/>
      <c r="G276" s="8"/>
      <c r="H276" s="8"/>
      <c r="I276" s="8"/>
      <c r="J276" s="8"/>
      <c r="K276" s="8"/>
      <c r="L276" s="8"/>
      <c r="M276" s="8"/>
      <c r="N276" s="8"/>
      <c r="O276" s="8"/>
      <c r="P276" s="8"/>
      <c r="Q276" s="8"/>
      <c r="R276" s="8"/>
      <c r="S276" s="8"/>
      <c r="T276" s="8"/>
      <c r="U276" s="8"/>
      <c r="V276" s="8"/>
    </row>
    <row r="277" ht="24.0" customHeight="1">
      <c r="F277" s="8"/>
      <c r="G277" s="8"/>
      <c r="H277" s="8"/>
      <c r="I277" s="8"/>
      <c r="J277" s="8"/>
      <c r="K277" s="8"/>
      <c r="L277" s="8"/>
      <c r="M277" s="8"/>
      <c r="N277" s="8"/>
      <c r="O277" s="8"/>
      <c r="P277" s="8"/>
      <c r="Q277" s="8"/>
      <c r="R277" s="8"/>
      <c r="S277" s="8"/>
      <c r="T277" s="8"/>
      <c r="U277" s="8"/>
      <c r="V277" s="8"/>
    </row>
    <row r="278" ht="24.0" customHeight="1">
      <c r="F278" s="8"/>
      <c r="G278" s="8"/>
      <c r="H278" s="8"/>
      <c r="I278" s="8"/>
      <c r="J278" s="8"/>
      <c r="K278" s="8"/>
      <c r="L278" s="8"/>
      <c r="M278" s="8"/>
      <c r="N278" s="8"/>
      <c r="O278" s="8"/>
      <c r="P278" s="8"/>
      <c r="Q278" s="8"/>
      <c r="R278" s="8"/>
      <c r="S278" s="8"/>
      <c r="T278" s="8"/>
      <c r="U278" s="8"/>
      <c r="V278" s="8"/>
    </row>
    <row r="279" ht="24.0" customHeight="1">
      <c r="F279" s="8"/>
      <c r="G279" s="8"/>
      <c r="H279" s="8"/>
      <c r="I279" s="8"/>
      <c r="J279" s="8"/>
      <c r="K279" s="8"/>
      <c r="L279" s="8"/>
      <c r="M279" s="8"/>
      <c r="N279" s="8"/>
      <c r="O279" s="8"/>
      <c r="P279" s="8"/>
      <c r="Q279" s="8"/>
      <c r="R279" s="8"/>
      <c r="S279" s="8"/>
      <c r="T279" s="8"/>
      <c r="U279" s="8"/>
      <c r="V279" s="8"/>
    </row>
    <row r="280" ht="24.0" customHeight="1">
      <c r="F280" s="8"/>
      <c r="G280" s="8"/>
      <c r="H280" s="8"/>
      <c r="I280" s="8"/>
      <c r="J280" s="8"/>
      <c r="K280" s="8"/>
      <c r="L280" s="8"/>
      <c r="M280" s="8"/>
      <c r="N280" s="8"/>
      <c r="O280" s="8"/>
      <c r="P280" s="8"/>
      <c r="Q280" s="8"/>
      <c r="R280" s="8"/>
      <c r="S280" s="8"/>
      <c r="T280" s="8"/>
      <c r="U280" s="8"/>
      <c r="V280" s="8"/>
    </row>
    <row r="281" ht="24.0" customHeight="1">
      <c r="F281" s="8"/>
      <c r="G281" s="8"/>
      <c r="H281" s="8"/>
      <c r="I281" s="8"/>
      <c r="J281" s="8"/>
      <c r="K281" s="8"/>
      <c r="L281" s="8"/>
      <c r="M281" s="8"/>
      <c r="N281" s="8"/>
      <c r="O281" s="8"/>
      <c r="P281" s="8"/>
      <c r="Q281" s="8"/>
      <c r="R281" s="8"/>
      <c r="S281" s="8"/>
      <c r="T281" s="8"/>
      <c r="U281" s="8"/>
      <c r="V281" s="8"/>
    </row>
    <row r="282" ht="24.0" customHeight="1">
      <c r="F282" s="8"/>
      <c r="G282" s="8"/>
      <c r="H282" s="8"/>
      <c r="I282" s="8"/>
      <c r="J282" s="8"/>
      <c r="K282" s="8"/>
      <c r="L282" s="8"/>
      <c r="M282" s="8"/>
      <c r="N282" s="8"/>
      <c r="O282" s="8"/>
      <c r="P282" s="8"/>
      <c r="Q282" s="8"/>
      <c r="R282" s="8"/>
      <c r="S282" s="8"/>
      <c r="T282" s="8"/>
      <c r="U282" s="8"/>
      <c r="V282" s="8"/>
    </row>
    <row r="283" ht="24.0" customHeight="1">
      <c r="F283" s="8"/>
      <c r="G283" s="8"/>
      <c r="H283" s="8"/>
      <c r="I283" s="8"/>
      <c r="J283" s="8"/>
      <c r="K283" s="8"/>
      <c r="L283" s="8"/>
      <c r="M283" s="8"/>
      <c r="N283" s="8"/>
      <c r="O283" s="8"/>
      <c r="P283" s="8"/>
      <c r="Q283" s="8"/>
      <c r="R283" s="8"/>
      <c r="S283" s="8"/>
      <c r="T283" s="8"/>
      <c r="U283" s="8"/>
      <c r="V283" s="8"/>
    </row>
    <row r="284" ht="24.0" customHeight="1">
      <c r="F284" s="8"/>
      <c r="G284" s="8"/>
      <c r="H284" s="8"/>
      <c r="I284" s="8"/>
      <c r="J284" s="8"/>
      <c r="K284" s="8"/>
      <c r="L284" s="8"/>
      <c r="M284" s="8"/>
      <c r="N284" s="8"/>
      <c r="O284" s="8"/>
      <c r="P284" s="8"/>
      <c r="Q284" s="8"/>
      <c r="R284" s="8"/>
      <c r="S284" s="8"/>
      <c r="T284" s="8"/>
      <c r="U284" s="8"/>
      <c r="V284" s="8"/>
    </row>
    <row r="285" ht="24.0" customHeight="1">
      <c r="F285" s="8"/>
      <c r="G285" s="8"/>
      <c r="H285" s="8"/>
      <c r="I285" s="8"/>
      <c r="J285" s="8"/>
      <c r="K285" s="8"/>
      <c r="L285" s="8"/>
      <c r="M285" s="8"/>
      <c r="N285" s="8"/>
      <c r="O285" s="8"/>
      <c r="P285" s="8"/>
      <c r="Q285" s="8"/>
      <c r="R285" s="8"/>
      <c r="S285" s="8"/>
      <c r="T285" s="8"/>
      <c r="U285" s="8"/>
      <c r="V285" s="8"/>
    </row>
    <row r="286" ht="24.0" customHeight="1">
      <c r="F286" s="8"/>
      <c r="G286" s="8"/>
      <c r="H286" s="8"/>
      <c r="I286" s="8"/>
      <c r="J286" s="8"/>
      <c r="K286" s="8"/>
      <c r="L286" s="8"/>
      <c r="M286" s="8"/>
      <c r="N286" s="8"/>
      <c r="O286" s="8"/>
      <c r="P286" s="8"/>
      <c r="Q286" s="8"/>
      <c r="R286" s="8"/>
      <c r="S286" s="8"/>
      <c r="T286" s="8"/>
      <c r="U286" s="8"/>
      <c r="V286" s="8"/>
    </row>
    <row r="287" ht="24.0" customHeight="1">
      <c r="F287" s="8"/>
      <c r="G287" s="8"/>
      <c r="H287" s="8"/>
      <c r="I287" s="8"/>
      <c r="J287" s="8"/>
      <c r="K287" s="8"/>
      <c r="L287" s="8"/>
      <c r="M287" s="8"/>
      <c r="N287" s="8"/>
      <c r="O287" s="8"/>
      <c r="P287" s="8"/>
      <c r="Q287" s="8"/>
      <c r="R287" s="8"/>
      <c r="S287" s="8"/>
      <c r="T287" s="8"/>
      <c r="U287" s="8"/>
      <c r="V287" s="8"/>
    </row>
    <row r="288" ht="24.0" customHeight="1">
      <c r="F288" s="8"/>
      <c r="G288" s="8"/>
      <c r="H288" s="8"/>
      <c r="I288" s="8"/>
      <c r="J288" s="8"/>
      <c r="K288" s="8"/>
      <c r="L288" s="8"/>
      <c r="M288" s="8"/>
      <c r="N288" s="8"/>
      <c r="O288" s="8"/>
      <c r="P288" s="8"/>
      <c r="Q288" s="8"/>
      <c r="R288" s="8"/>
      <c r="S288" s="8"/>
      <c r="T288" s="8"/>
      <c r="U288" s="8"/>
      <c r="V288" s="8"/>
    </row>
    <row r="289" ht="24.0" customHeight="1">
      <c r="F289" s="8"/>
      <c r="G289" s="8"/>
      <c r="H289" s="8"/>
      <c r="I289" s="8"/>
      <c r="J289" s="8"/>
      <c r="K289" s="8"/>
      <c r="L289" s="8"/>
      <c r="M289" s="8"/>
      <c r="N289" s="8"/>
      <c r="O289" s="8"/>
      <c r="P289" s="8"/>
      <c r="Q289" s="8"/>
      <c r="R289" s="8"/>
      <c r="S289" s="8"/>
      <c r="T289" s="8"/>
      <c r="U289" s="8"/>
      <c r="V289" s="8"/>
    </row>
    <row r="290" ht="24.0" customHeight="1">
      <c r="F290" s="8"/>
      <c r="G290" s="8"/>
      <c r="H290" s="8"/>
      <c r="I290" s="8"/>
      <c r="J290" s="8"/>
      <c r="K290" s="8"/>
      <c r="L290" s="8"/>
      <c r="M290" s="8"/>
      <c r="N290" s="8"/>
      <c r="O290" s="8"/>
      <c r="P290" s="8"/>
      <c r="Q290" s="8"/>
      <c r="R290" s="8"/>
      <c r="S290" s="8"/>
      <c r="T290" s="8"/>
      <c r="U290" s="8"/>
      <c r="V290" s="8"/>
    </row>
    <row r="291" ht="24.0" customHeight="1">
      <c r="F291" s="8"/>
      <c r="G291" s="8"/>
      <c r="H291" s="8"/>
      <c r="I291" s="8"/>
      <c r="J291" s="8"/>
      <c r="K291" s="8"/>
      <c r="L291" s="8"/>
      <c r="M291" s="8"/>
      <c r="N291" s="8"/>
      <c r="O291" s="8"/>
      <c r="P291" s="8"/>
      <c r="Q291" s="8"/>
      <c r="R291" s="8"/>
      <c r="S291" s="8"/>
      <c r="T291" s="8"/>
      <c r="U291" s="8"/>
      <c r="V291" s="8"/>
    </row>
    <row r="292" ht="24.0" customHeight="1">
      <c r="F292" s="8"/>
      <c r="G292" s="8"/>
      <c r="H292" s="8"/>
      <c r="I292" s="8"/>
      <c r="J292" s="8"/>
      <c r="K292" s="8"/>
      <c r="L292" s="8"/>
      <c r="M292" s="8"/>
      <c r="N292" s="8"/>
      <c r="O292" s="8"/>
      <c r="P292" s="8"/>
      <c r="Q292" s="8"/>
      <c r="R292" s="8"/>
      <c r="S292" s="8"/>
      <c r="T292" s="8"/>
      <c r="U292" s="8"/>
      <c r="V292" s="8"/>
    </row>
    <row r="293" ht="24.0" customHeight="1">
      <c r="F293" s="8"/>
      <c r="G293" s="8"/>
      <c r="H293" s="8"/>
      <c r="I293" s="8"/>
      <c r="J293" s="8"/>
      <c r="K293" s="8"/>
      <c r="L293" s="8"/>
      <c r="M293" s="8"/>
      <c r="N293" s="8"/>
      <c r="O293" s="8"/>
      <c r="P293" s="8"/>
      <c r="Q293" s="8"/>
      <c r="R293" s="8"/>
      <c r="S293" s="8"/>
      <c r="T293" s="8"/>
      <c r="U293" s="8"/>
      <c r="V293" s="8"/>
    </row>
    <row r="294" ht="24.0" customHeight="1">
      <c r="F294" s="8"/>
      <c r="G294" s="8"/>
      <c r="H294" s="8"/>
      <c r="I294" s="8"/>
      <c r="J294" s="8"/>
      <c r="K294" s="8"/>
      <c r="L294" s="8"/>
      <c r="M294" s="8"/>
      <c r="N294" s="8"/>
      <c r="O294" s="8"/>
      <c r="P294" s="8"/>
      <c r="Q294" s="8"/>
      <c r="R294" s="8"/>
      <c r="S294" s="8"/>
      <c r="T294" s="8"/>
      <c r="U294" s="8"/>
      <c r="V294" s="8"/>
    </row>
    <row r="295" ht="24.0" customHeight="1">
      <c r="F295" s="8"/>
      <c r="G295" s="8"/>
      <c r="H295" s="8"/>
      <c r="I295" s="8"/>
      <c r="J295" s="8"/>
      <c r="K295" s="8"/>
      <c r="L295" s="8"/>
      <c r="M295" s="8"/>
      <c r="N295" s="8"/>
      <c r="O295" s="8"/>
      <c r="P295" s="8"/>
      <c r="Q295" s="8"/>
      <c r="R295" s="8"/>
      <c r="S295" s="8"/>
      <c r="T295" s="8"/>
      <c r="U295" s="8"/>
      <c r="V295" s="8"/>
    </row>
    <row r="296" ht="24.0" customHeight="1">
      <c r="F296" s="8"/>
      <c r="G296" s="8"/>
      <c r="H296" s="8"/>
      <c r="I296" s="8"/>
      <c r="J296" s="8"/>
      <c r="K296" s="8"/>
      <c r="L296" s="8"/>
      <c r="M296" s="8"/>
      <c r="N296" s="8"/>
      <c r="O296" s="8"/>
      <c r="P296" s="8"/>
      <c r="Q296" s="8"/>
      <c r="R296" s="8"/>
      <c r="S296" s="8"/>
      <c r="T296" s="8"/>
      <c r="U296" s="8"/>
      <c r="V296" s="8"/>
    </row>
    <row r="297" ht="24.0" customHeight="1">
      <c r="F297" s="8"/>
      <c r="G297" s="8"/>
      <c r="H297" s="8"/>
      <c r="I297" s="8"/>
      <c r="J297" s="8"/>
      <c r="K297" s="8"/>
      <c r="L297" s="8"/>
      <c r="M297" s="8"/>
      <c r="N297" s="8"/>
      <c r="O297" s="8"/>
      <c r="P297" s="8"/>
      <c r="Q297" s="8"/>
      <c r="R297" s="8"/>
      <c r="S297" s="8"/>
      <c r="T297" s="8"/>
      <c r="U297" s="8"/>
      <c r="V297" s="8"/>
    </row>
    <row r="298" ht="24.0" customHeight="1">
      <c r="F298" s="8"/>
      <c r="G298" s="8"/>
      <c r="H298" s="8"/>
      <c r="I298" s="8"/>
      <c r="J298" s="8"/>
      <c r="K298" s="8"/>
      <c r="L298" s="8"/>
      <c r="M298" s="8"/>
      <c r="N298" s="8"/>
      <c r="O298" s="8"/>
      <c r="P298" s="8"/>
      <c r="Q298" s="8"/>
      <c r="R298" s="8"/>
      <c r="S298" s="8"/>
      <c r="T298" s="8"/>
      <c r="U298" s="8"/>
      <c r="V298" s="8"/>
    </row>
    <row r="299" ht="24.0" customHeight="1">
      <c r="F299" s="8"/>
      <c r="G299" s="8"/>
      <c r="H299" s="8"/>
      <c r="I299" s="8"/>
      <c r="J299" s="8"/>
      <c r="K299" s="8"/>
      <c r="L299" s="8"/>
      <c r="M299" s="8"/>
      <c r="N299" s="8"/>
      <c r="O299" s="8"/>
      <c r="P299" s="8"/>
      <c r="Q299" s="8"/>
      <c r="R299" s="8"/>
      <c r="S299" s="8"/>
      <c r="T299" s="8"/>
      <c r="U299" s="8"/>
      <c r="V299" s="8"/>
    </row>
    <row r="300" ht="24.0" customHeight="1">
      <c r="F300" s="8"/>
      <c r="G300" s="8"/>
      <c r="H300" s="8"/>
      <c r="I300" s="8"/>
      <c r="J300" s="8"/>
      <c r="K300" s="8"/>
      <c r="L300" s="8"/>
      <c r="M300" s="8"/>
      <c r="N300" s="8"/>
      <c r="O300" s="8"/>
      <c r="P300" s="8"/>
      <c r="Q300" s="8"/>
      <c r="R300" s="8"/>
      <c r="S300" s="8"/>
      <c r="T300" s="8"/>
      <c r="U300" s="8"/>
      <c r="V300" s="8"/>
    </row>
    <row r="301" ht="24.0" customHeight="1">
      <c r="F301" s="8"/>
      <c r="G301" s="8"/>
      <c r="H301" s="8"/>
      <c r="I301" s="8"/>
      <c r="J301" s="8"/>
      <c r="K301" s="8"/>
      <c r="L301" s="8"/>
      <c r="M301" s="8"/>
      <c r="N301" s="8"/>
      <c r="O301" s="8"/>
      <c r="P301" s="8"/>
      <c r="Q301" s="8"/>
      <c r="R301" s="8"/>
      <c r="S301" s="8"/>
      <c r="T301" s="8"/>
      <c r="U301" s="8"/>
      <c r="V301" s="8"/>
    </row>
    <row r="302" ht="24.0" customHeight="1">
      <c r="F302" s="8"/>
      <c r="G302" s="8"/>
      <c r="H302" s="8"/>
      <c r="I302" s="8"/>
      <c r="J302" s="8"/>
      <c r="K302" s="8"/>
      <c r="L302" s="8"/>
      <c r="M302" s="8"/>
      <c r="N302" s="8"/>
      <c r="O302" s="8"/>
      <c r="P302" s="8"/>
      <c r="Q302" s="8"/>
      <c r="R302" s="8"/>
      <c r="S302" s="8"/>
      <c r="T302" s="8"/>
      <c r="U302" s="8"/>
      <c r="V302" s="8"/>
    </row>
    <row r="303" ht="24.0" customHeight="1">
      <c r="F303" s="8"/>
      <c r="G303" s="8"/>
      <c r="H303" s="8"/>
      <c r="I303" s="8"/>
      <c r="J303" s="8"/>
      <c r="K303" s="8"/>
      <c r="L303" s="8"/>
      <c r="M303" s="8"/>
      <c r="N303" s="8"/>
      <c r="O303" s="8"/>
      <c r="P303" s="8"/>
      <c r="Q303" s="8"/>
      <c r="R303" s="8"/>
      <c r="S303" s="8"/>
      <c r="T303" s="8"/>
      <c r="U303" s="8"/>
      <c r="V303" s="8"/>
    </row>
    <row r="304" ht="24.0" customHeight="1">
      <c r="F304" s="8"/>
      <c r="G304" s="8"/>
      <c r="H304" s="8"/>
      <c r="I304" s="8"/>
      <c r="J304" s="8"/>
      <c r="K304" s="8"/>
      <c r="L304" s="8"/>
      <c r="M304" s="8"/>
      <c r="N304" s="8"/>
      <c r="O304" s="8"/>
      <c r="P304" s="8"/>
      <c r="Q304" s="8"/>
      <c r="R304" s="8"/>
      <c r="S304" s="8"/>
      <c r="T304" s="8"/>
      <c r="U304" s="8"/>
      <c r="V304" s="8"/>
    </row>
    <row r="305" ht="24.0" customHeight="1">
      <c r="F305" s="8"/>
      <c r="G305" s="8"/>
      <c r="H305" s="8"/>
      <c r="I305" s="8"/>
      <c r="J305" s="8"/>
      <c r="K305" s="8"/>
      <c r="L305" s="8"/>
      <c r="M305" s="8"/>
      <c r="N305" s="8"/>
      <c r="O305" s="8"/>
      <c r="P305" s="8"/>
      <c r="Q305" s="8"/>
      <c r="R305" s="8"/>
      <c r="S305" s="8"/>
      <c r="T305" s="8"/>
      <c r="U305" s="8"/>
      <c r="V305" s="8"/>
    </row>
    <row r="306" ht="24.0" customHeight="1">
      <c r="F306" s="8"/>
      <c r="G306" s="8"/>
      <c r="H306" s="8"/>
      <c r="I306" s="8"/>
      <c r="J306" s="8"/>
      <c r="K306" s="8"/>
      <c r="L306" s="8"/>
      <c r="M306" s="8"/>
      <c r="N306" s="8"/>
      <c r="O306" s="8"/>
      <c r="P306" s="8"/>
      <c r="Q306" s="8"/>
      <c r="R306" s="8"/>
      <c r="S306" s="8"/>
      <c r="T306" s="8"/>
      <c r="U306" s="8"/>
      <c r="V306" s="8"/>
    </row>
    <row r="307" ht="24.0" customHeight="1">
      <c r="F307" s="8"/>
      <c r="G307" s="8"/>
      <c r="H307" s="8"/>
      <c r="I307" s="8"/>
      <c r="J307" s="8"/>
      <c r="K307" s="8"/>
      <c r="L307" s="8"/>
      <c r="M307" s="8"/>
      <c r="N307" s="8"/>
      <c r="O307" s="8"/>
      <c r="P307" s="8"/>
      <c r="Q307" s="8"/>
      <c r="R307" s="8"/>
      <c r="S307" s="8"/>
      <c r="T307" s="8"/>
      <c r="U307" s="8"/>
      <c r="V307" s="8"/>
    </row>
    <row r="308" ht="24.0" customHeight="1">
      <c r="F308" s="8"/>
      <c r="G308" s="8"/>
      <c r="H308" s="8"/>
      <c r="I308" s="8"/>
      <c r="J308" s="8"/>
      <c r="K308" s="8"/>
      <c r="L308" s="8"/>
      <c r="M308" s="8"/>
      <c r="N308" s="8"/>
      <c r="O308" s="8"/>
      <c r="P308" s="8"/>
      <c r="Q308" s="8"/>
      <c r="R308" s="8"/>
      <c r="S308" s="8"/>
      <c r="T308" s="8"/>
      <c r="U308" s="8"/>
      <c r="V308" s="8"/>
    </row>
    <row r="309" ht="24.0" customHeight="1">
      <c r="F309" s="8"/>
      <c r="G309" s="8"/>
      <c r="H309" s="8"/>
      <c r="I309" s="8"/>
      <c r="J309" s="8"/>
      <c r="K309" s="8"/>
      <c r="L309" s="8"/>
      <c r="M309" s="8"/>
      <c r="N309" s="8"/>
      <c r="O309" s="8"/>
      <c r="P309" s="8"/>
      <c r="Q309" s="8"/>
      <c r="R309" s="8"/>
      <c r="S309" s="8"/>
      <c r="T309" s="8"/>
      <c r="U309" s="8"/>
      <c r="V309" s="8"/>
    </row>
    <row r="310" ht="24.0" customHeight="1">
      <c r="F310" s="8"/>
      <c r="G310" s="8"/>
      <c r="H310" s="8"/>
      <c r="I310" s="8"/>
      <c r="J310" s="8"/>
      <c r="K310" s="8"/>
      <c r="L310" s="8"/>
      <c r="M310" s="8"/>
      <c r="N310" s="8"/>
      <c r="O310" s="8"/>
      <c r="P310" s="8"/>
      <c r="Q310" s="8"/>
      <c r="R310" s="8"/>
      <c r="S310" s="8"/>
      <c r="T310" s="8"/>
      <c r="U310" s="8"/>
      <c r="V310" s="8"/>
    </row>
    <row r="311" ht="24.0" customHeight="1">
      <c r="F311" s="8"/>
      <c r="G311" s="8"/>
      <c r="H311" s="8"/>
      <c r="I311" s="8"/>
      <c r="J311" s="8"/>
      <c r="K311" s="8"/>
      <c r="L311" s="8"/>
      <c r="M311" s="8"/>
      <c r="N311" s="8"/>
      <c r="O311" s="8"/>
      <c r="P311" s="8"/>
      <c r="Q311" s="8"/>
      <c r="R311" s="8"/>
      <c r="S311" s="8"/>
      <c r="T311" s="8"/>
      <c r="U311" s="8"/>
      <c r="V311" s="8"/>
    </row>
    <row r="312" ht="24.0" customHeight="1">
      <c r="F312" s="8"/>
      <c r="G312" s="8"/>
      <c r="H312" s="8"/>
      <c r="I312" s="8"/>
      <c r="J312" s="8"/>
      <c r="K312" s="8"/>
      <c r="L312" s="8"/>
      <c r="M312" s="8"/>
      <c r="N312" s="8"/>
      <c r="O312" s="8"/>
      <c r="P312" s="8"/>
      <c r="Q312" s="8"/>
      <c r="R312" s="8"/>
      <c r="S312" s="8"/>
      <c r="T312" s="8"/>
      <c r="U312" s="8"/>
      <c r="V312" s="8"/>
    </row>
    <row r="313" ht="24.0" customHeight="1">
      <c r="F313" s="8"/>
      <c r="G313" s="8"/>
      <c r="H313" s="8"/>
      <c r="I313" s="8"/>
      <c r="J313" s="8"/>
      <c r="K313" s="8"/>
      <c r="L313" s="8"/>
      <c r="M313" s="8"/>
      <c r="N313" s="8"/>
      <c r="O313" s="8"/>
      <c r="P313" s="8"/>
      <c r="Q313" s="8"/>
      <c r="R313" s="8"/>
      <c r="S313" s="8"/>
      <c r="T313" s="8"/>
      <c r="U313" s="8"/>
      <c r="V313" s="8"/>
    </row>
    <row r="314" ht="24.0" customHeight="1">
      <c r="F314" s="8"/>
      <c r="G314" s="8"/>
      <c r="H314" s="8"/>
      <c r="I314" s="8"/>
      <c r="J314" s="8"/>
      <c r="K314" s="8"/>
      <c r="L314" s="8"/>
      <c r="M314" s="8"/>
      <c r="N314" s="8"/>
      <c r="O314" s="8"/>
      <c r="P314" s="8"/>
      <c r="Q314" s="8"/>
      <c r="R314" s="8"/>
      <c r="S314" s="8"/>
      <c r="T314" s="8"/>
      <c r="U314" s="8"/>
      <c r="V314" s="8"/>
    </row>
    <row r="315" ht="24.0" customHeight="1">
      <c r="F315" s="8"/>
      <c r="G315" s="8"/>
      <c r="H315" s="8"/>
      <c r="I315" s="8"/>
      <c r="J315" s="8"/>
      <c r="K315" s="8"/>
      <c r="L315" s="8"/>
      <c r="M315" s="8"/>
      <c r="N315" s="8"/>
      <c r="O315" s="8"/>
      <c r="P315" s="8"/>
      <c r="Q315" s="8"/>
      <c r="R315" s="8"/>
      <c r="S315" s="8"/>
      <c r="T315" s="8"/>
      <c r="U315" s="8"/>
      <c r="V315" s="8"/>
    </row>
    <row r="316" ht="24.0" customHeight="1">
      <c r="F316" s="8"/>
      <c r="G316" s="8"/>
      <c r="H316" s="8"/>
      <c r="I316" s="8"/>
      <c r="J316" s="8"/>
      <c r="K316" s="8"/>
      <c r="L316" s="8"/>
      <c r="M316" s="8"/>
      <c r="N316" s="8"/>
      <c r="O316" s="8"/>
      <c r="P316" s="8"/>
      <c r="Q316" s="8"/>
      <c r="R316" s="8"/>
      <c r="S316" s="8"/>
      <c r="T316" s="8"/>
      <c r="U316" s="8"/>
      <c r="V316" s="8"/>
    </row>
    <row r="317" ht="24.0" customHeight="1">
      <c r="F317" s="8"/>
      <c r="G317" s="8"/>
      <c r="H317" s="8"/>
      <c r="I317" s="8"/>
      <c r="J317" s="8"/>
      <c r="K317" s="8"/>
      <c r="L317" s="8"/>
      <c r="M317" s="8"/>
      <c r="N317" s="8"/>
      <c r="O317" s="8"/>
      <c r="P317" s="8"/>
      <c r="Q317" s="8"/>
      <c r="R317" s="8"/>
      <c r="S317" s="8"/>
      <c r="T317" s="8"/>
      <c r="U317" s="8"/>
      <c r="V317" s="8"/>
    </row>
    <row r="318" ht="24.0" customHeight="1">
      <c r="F318" s="8"/>
      <c r="G318" s="8"/>
      <c r="H318" s="8"/>
      <c r="I318" s="8"/>
      <c r="J318" s="8"/>
      <c r="K318" s="8"/>
      <c r="L318" s="8"/>
      <c r="M318" s="8"/>
      <c r="N318" s="8"/>
      <c r="O318" s="8"/>
      <c r="P318" s="8"/>
      <c r="Q318" s="8"/>
      <c r="R318" s="8"/>
      <c r="S318" s="8"/>
      <c r="T318" s="8"/>
      <c r="U318" s="8"/>
      <c r="V318" s="8"/>
    </row>
    <row r="319" ht="24.0" customHeight="1">
      <c r="F319" s="8"/>
      <c r="G319" s="8"/>
      <c r="H319" s="8"/>
      <c r="I319" s="8"/>
      <c r="J319" s="8"/>
      <c r="K319" s="8"/>
      <c r="L319" s="8"/>
      <c r="M319" s="8"/>
      <c r="N319" s="8"/>
      <c r="O319" s="8"/>
      <c r="P319" s="8"/>
      <c r="Q319" s="8"/>
      <c r="R319" s="8"/>
      <c r="S319" s="8"/>
      <c r="T319" s="8"/>
      <c r="U319" s="8"/>
      <c r="V319" s="8"/>
    </row>
    <row r="320" ht="24.0" customHeight="1">
      <c r="F320" s="8"/>
      <c r="G320" s="8"/>
      <c r="H320" s="8"/>
      <c r="I320" s="8"/>
      <c r="J320" s="8"/>
      <c r="K320" s="8"/>
      <c r="L320" s="8"/>
      <c r="M320" s="8"/>
      <c r="N320" s="8"/>
      <c r="O320" s="8"/>
      <c r="P320" s="8"/>
      <c r="Q320" s="8"/>
      <c r="R320" s="8"/>
      <c r="S320" s="8"/>
      <c r="T320" s="8"/>
      <c r="U320" s="8"/>
      <c r="V320" s="8"/>
    </row>
    <row r="321" ht="24.0" customHeight="1">
      <c r="F321" s="8"/>
      <c r="G321" s="8"/>
      <c r="H321" s="8"/>
      <c r="I321" s="8"/>
      <c r="J321" s="8"/>
      <c r="K321" s="8"/>
      <c r="L321" s="8"/>
      <c r="M321" s="8"/>
      <c r="N321" s="8"/>
      <c r="O321" s="8"/>
      <c r="P321" s="8"/>
      <c r="Q321" s="8"/>
      <c r="R321" s="8"/>
      <c r="S321" s="8"/>
      <c r="T321" s="8"/>
      <c r="U321" s="8"/>
      <c r="V321" s="8"/>
    </row>
    <row r="322" ht="24.0" customHeight="1">
      <c r="F322" s="8"/>
      <c r="G322" s="8"/>
      <c r="H322" s="8"/>
      <c r="I322" s="8"/>
      <c r="J322" s="8"/>
      <c r="K322" s="8"/>
      <c r="L322" s="8"/>
      <c r="M322" s="8"/>
      <c r="N322" s="8"/>
      <c r="O322" s="8"/>
      <c r="P322" s="8"/>
      <c r="Q322" s="8"/>
      <c r="R322" s="8"/>
      <c r="S322" s="8"/>
      <c r="T322" s="8"/>
      <c r="U322" s="8"/>
      <c r="V322" s="8"/>
    </row>
    <row r="323" ht="24.0" customHeight="1">
      <c r="F323" s="8"/>
      <c r="G323" s="8"/>
      <c r="H323" s="8"/>
      <c r="I323" s="8"/>
      <c r="J323" s="8"/>
      <c r="K323" s="8"/>
      <c r="L323" s="8"/>
      <c r="M323" s="8"/>
      <c r="N323" s="8"/>
      <c r="O323" s="8"/>
      <c r="P323" s="8"/>
      <c r="Q323" s="8"/>
      <c r="R323" s="8"/>
      <c r="S323" s="8"/>
      <c r="T323" s="8"/>
      <c r="U323" s="8"/>
      <c r="V323" s="8"/>
    </row>
    <row r="324" ht="24.0" customHeight="1">
      <c r="F324" s="8"/>
      <c r="G324" s="8"/>
      <c r="H324" s="8"/>
      <c r="I324" s="8"/>
      <c r="J324" s="8"/>
      <c r="K324" s="8"/>
      <c r="L324" s="8"/>
      <c r="M324" s="8"/>
      <c r="N324" s="8"/>
      <c r="O324" s="8"/>
      <c r="P324" s="8"/>
      <c r="Q324" s="8"/>
      <c r="R324" s="8"/>
      <c r="S324" s="8"/>
      <c r="T324" s="8"/>
      <c r="U324" s="8"/>
      <c r="V324" s="8"/>
    </row>
    <row r="325" ht="24.0" customHeight="1">
      <c r="F325" s="8"/>
      <c r="G325" s="8"/>
      <c r="H325" s="8"/>
      <c r="I325" s="8"/>
      <c r="J325" s="8"/>
      <c r="K325" s="8"/>
      <c r="L325" s="8"/>
      <c r="M325" s="8"/>
      <c r="N325" s="8"/>
      <c r="O325" s="8"/>
      <c r="P325" s="8"/>
      <c r="Q325" s="8"/>
      <c r="R325" s="8"/>
      <c r="S325" s="8"/>
      <c r="T325" s="8"/>
      <c r="U325" s="8"/>
      <c r="V325" s="8"/>
    </row>
    <row r="326" ht="24.0" customHeight="1">
      <c r="F326" s="8"/>
      <c r="G326" s="8"/>
      <c r="H326" s="8"/>
      <c r="I326" s="8"/>
      <c r="J326" s="8"/>
      <c r="K326" s="8"/>
      <c r="L326" s="8"/>
      <c r="M326" s="8"/>
      <c r="N326" s="8"/>
      <c r="O326" s="8"/>
      <c r="P326" s="8"/>
      <c r="Q326" s="8"/>
      <c r="R326" s="8"/>
      <c r="S326" s="8"/>
      <c r="T326" s="8"/>
      <c r="U326" s="8"/>
      <c r="V326" s="8"/>
    </row>
    <row r="327" ht="24.0" customHeight="1">
      <c r="F327" s="8"/>
      <c r="G327" s="8"/>
      <c r="H327" s="8"/>
      <c r="I327" s="8"/>
      <c r="J327" s="8"/>
      <c r="K327" s="8"/>
      <c r="L327" s="8"/>
      <c r="M327" s="8"/>
      <c r="N327" s="8"/>
      <c r="O327" s="8"/>
      <c r="P327" s="8"/>
      <c r="Q327" s="8"/>
      <c r="R327" s="8"/>
      <c r="S327" s="8"/>
      <c r="T327" s="8"/>
      <c r="U327" s="8"/>
      <c r="V327" s="8"/>
    </row>
    <row r="328" ht="24.0" customHeight="1">
      <c r="F328" s="8"/>
      <c r="G328" s="8"/>
      <c r="H328" s="8"/>
      <c r="I328" s="8"/>
      <c r="J328" s="8"/>
      <c r="K328" s="8"/>
      <c r="L328" s="8"/>
      <c r="M328" s="8"/>
      <c r="N328" s="8"/>
      <c r="O328" s="8"/>
      <c r="P328" s="8"/>
      <c r="Q328" s="8"/>
      <c r="R328" s="8"/>
      <c r="S328" s="8"/>
      <c r="T328" s="8"/>
      <c r="U328" s="8"/>
      <c r="V328" s="8"/>
    </row>
    <row r="329" ht="24.0" customHeight="1">
      <c r="F329" s="8"/>
      <c r="G329" s="8"/>
      <c r="H329" s="8"/>
      <c r="I329" s="8"/>
      <c r="J329" s="8"/>
      <c r="K329" s="8"/>
      <c r="L329" s="8"/>
      <c r="M329" s="8"/>
      <c r="N329" s="8"/>
      <c r="O329" s="8"/>
      <c r="P329" s="8"/>
      <c r="Q329" s="8"/>
      <c r="R329" s="8"/>
      <c r="S329" s="8"/>
      <c r="T329" s="8"/>
      <c r="U329" s="8"/>
      <c r="V329" s="8"/>
    </row>
    <row r="330" ht="24.0" customHeight="1">
      <c r="F330" s="8"/>
      <c r="G330" s="8"/>
      <c r="H330" s="8"/>
      <c r="I330" s="8"/>
      <c r="J330" s="8"/>
      <c r="K330" s="8"/>
      <c r="L330" s="8"/>
      <c r="M330" s="8"/>
      <c r="N330" s="8"/>
      <c r="O330" s="8"/>
      <c r="P330" s="8"/>
      <c r="Q330" s="8"/>
      <c r="R330" s="8"/>
      <c r="S330" s="8"/>
      <c r="T330" s="8"/>
      <c r="U330" s="8"/>
      <c r="V330" s="8"/>
    </row>
    <row r="331" ht="24.0" customHeight="1">
      <c r="F331" s="8"/>
      <c r="G331" s="8"/>
      <c r="H331" s="8"/>
      <c r="I331" s="8"/>
      <c r="J331" s="8"/>
      <c r="K331" s="8"/>
      <c r="L331" s="8"/>
      <c r="M331" s="8"/>
      <c r="N331" s="8"/>
      <c r="O331" s="8"/>
      <c r="P331" s="8"/>
      <c r="Q331" s="8"/>
      <c r="R331" s="8"/>
      <c r="S331" s="8"/>
      <c r="T331" s="8"/>
      <c r="U331" s="8"/>
      <c r="V331" s="8"/>
    </row>
    <row r="332" ht="24.0" customHeight="1">
      <c r="F332" s="8"/>
      <c r="G332" s="8"/>
      <c r="H332" s="8"/>
      <c r="I332" s="8"/>
      <c r="J332" s="8"/>
      <c r="K332" s="8"/>
      <c r="L332" s="8"/>
      <c r="M332" s="8"/>
      <c r="N332" s="8"/>
      <c r="O332" s="8"/>
      <c r="P332" s="8"/>
      <c r="Q332" s="8"/>
      <c r="R332" s="8"/>
      <c r="S332" s="8"/>
      <c r="T332" s="8"/>
      <c r="U332" s="8"/>
      <c r="V332" s="8"/>
    </row>
    <row r="333" ht="24.0" customHeight="1">
      <c r="F333" s="8"/>
      <c r="G333" s="8"/>
      <c r="H333" s="8"/>
      <c r="I333" s="8"/>
      <c r="J333" s="8"/>
      <c r="K333" s="8"/>
      <c r="L333" s="8"/>
      <c r="M333" s="8"/>
      <c r="N333" s="8"/>
      <c r="O333" s="8"/>
      <c r="P333" s="8"/>
      <c r="Q333" s="8"/>
      <c r="R333" s="8"/>
      <c r="S333" s="8"/>
      <c r="T333" s="8"/>
      <c r="U333" s="8"/>
      <c r="V333" s="8"/>
    </row>
    <row r="334" ht="24.0" customHeight="1">
      <c r="F334" s="8"/>
      <c r="G334" s="8"/>
      <c r="H334" s="8"/>
      <c r="I334" s="8"/>
      <c r="J334" s="8"/>
      <c r="K334" s="8"/>
      <c r="L334" s="8"/>
      <c r="M334" s="8"/>
      <c r="N334" s="8"/>
      <c r="O334" s="8"/>
      <c r="P334" s="8"/>
      <c r="Q334" s="8"/>
      <c r="R334" s="8"/>
      <c r="S334" s="8"/>
      <c r="T334" s="8"/>
      <c r="U334" s="8"/>
      <c r="V334" s="8"/>
    </row>
    <row r="335" ht="24.0" customHeight="1">
      <c r="F335" s="8"/>
      <c r="G335" s="8"/>
      <c r="H335" s="8"/>
      <c r="I335" s="8"/>
      <c r="J335" s="8"/>
      <c r="K335" s="8"/>
      <c r="L335" s="8"/>
      <c r="M335" s="8"/>
      <c r="N335" s="8"/>
      <c r="O335" s="8"/>
      <c r="P335" s="8"/>
      <c r="Q335" s="8"/>
      <c r="R335" s="8"/>
      <c r="S335" s="8"/>
      <c r="T335" s="8"/>
      <c r="U335" s="8"/>
      <c r="V335" s="8"/>
    </row>
    <row r="336" ht="24.0" customHeight="1">
      <c r="F336" s="8"/>
      <c r="G336" s="8"/>
      <c r="H336" s="8"/>
      <c r="I336" s="8"/>
      <c r="J336" s="8"/>
      <c r="K336" s="8"/>
      <c r="L336" s="8"/>
      <c r="M336" s="8"/>
      <c r="N336" s="8"/>
      <c r="O336" s="8"/>
      <c r="P336" s="8"/>
      <c r="Q336" s="8"/>
      <c r="R336" s="8"/>
      <c r="S336" s="8"/>
      <c r="T336" s="8"/>
      <c r="U336" s="8"/>
      <c r="V336" s="8"/>
    </row>
    <row r="337" ht="24.0" customHeight="1">
      <c r="F337" s="8"/>
      <c r="G337" s="8"/>
      <c r="H337" s="8"/>
      <c r="I337" s="8"/>
      <c r="J337" s="8"/>
      <c r="K337" s="8"/>
      <c r="L337" s="8"/>
      <c r="M337" s="8"/>
      <c r="N337" s="8"/>
      <c r="O337" s="8"/>
      <c r="P337" s="8"/>
      <c r="Q337" s="8"/>
      <c r="R337" s="8"/>
      <c r="S337" s="8"/>
      <c r="T337" s="8"/>
      <c r="U337" s="8"/>
      <c r="V337" s="8"/>
    </row>
    <row r="338" ht="24.0" customHeight="1">
      <c r="F338" s="8"/>
      <c r="G338" s="8"/>
      <c r="H338" s="8"/>
      <c r="I338" s="8"/>
      <c r="J338" s="8"/>
      <c r="K338" s="8"/>
      <c r="L338" s="8"/>
      <c r="M338" s="8"/>
      <c r="N338" s="8"/>
      <c r="O338" s="8"/>
      <c r="P338" s="8"/>
      <c r="Q338" s="8"/>
      <c r="R338" s="8"/>
      <c r="S338" s="8"/>
      <c r="T338" s="8"/>
      <c r="U338" s="8"/>
      <c r="V338" s="8"/>
    </row>
    <row r="339" ht="24.0" customHeight="1">
      <c r="F339" s="8"/>
      <c r="G339" s="8"/>
      <c r="H339" s="8"/>
      <c r="I339" s="8"/>
      <c r="J339" s="8"/>
      <c r="K339" s="8"/>
      <c r="L339" s="8"/>
      <c r="M339" s="8"/>
      <c r="N339" s="8"/>
      <c r="O339" s="8"/>
      <c r="P339" s="8"/>
      <c r="Q339" s="8"/>
      <c r="R339" s="8"/>
      <c r="S339" s="8"/>
      <c r="T339" s="8"/>
      <c r="U339" s="8"/>
      <c r="V339" s="8"/>
    </row>
    <row r="340" ht="24.0" customHeight="1">
      <c r="F340" s="8"/>
      <c r="G340" s="8"/>
      <c r="H340" s="8"/>
      <c r="I340" s="8"/>
      <c r="J340" s="8"/>
      <c r="K340" s="8"/>
      <c r="L340" s="8"/>
      <c r="M340" s="8"/>
      <c r="N340" s="8"/>
      <c r="O340" s="8"/>
      <c r="P340" s="8"/>
      <c r="Q340" s="8"/>
      <c r="R340" s="8"/>
      <c r="S340" s="8"/>
      <c r="T340" s="8"/>
      <c r="U340" s="8"/>
      <c r="V340" s="8"/>
    </row>
    <row r="341" ht="24.0" customHeight="1">
      <c r="F341" s="8"/>
      <c r="G341" s="8"/>
      <c r="H341" s="8"/>
      <c r="I341" s="8"/>
      <c r="J341" s="8"/>
      <c r="K341" s="8"/>
      <c r="L341" s="8"/>
      <c r="M341" s="8"/>
      <c r="N341" s="8"/>
      <c r="O341" s="8"/>
      <c r="P341" s="8"/>
      <c r="Q341" s="8"/>
      <c r="R341" s="8"/>
      <c r="S341" s="8"/>
      <c r="T341" s="8"/>
      <c r="U341" s="8"/>
      <c r="V341" s="8"/>
    </row>
    <row r="342" ht="24.0" customHeight="1">
      <c r="F342" s="8"/>
      <c r="G342" s="8"/>
      <c r="H342" s="8"/>
      <c r="I342" s="8"/>
      <c r="J342" s="8"/>
      <c r="K342" s="8"/>
      <c r="L342" s="8"/>
      <c r="M342" s="8"/>
      <c r="N342" s="8"/>
      <c r="O342" s="8"/>
      <c r="P342" s="8"/>
      <c r="Q342" s="8"/>
      <c r="R342" s="8"/>
      <c r="S342" s="8"/>
      <c r="T342" s="8"/>
      <c r="U342" s="8"/>
      <c r="V342" s="8"/>
    </row>
    <row r="343" ht="24.0" customHeight="1">
      <c r="F343" s="8"/>
      <c r="G343" s="8"/>
      <c r="H343" s="8"/>
      <c r="I343" s="8"/>
      <c r="J343" s="8"/>
      <c r="K343" s="8"/>
      <c r="L343" s="8"/>
      <c r="M343" s="8"/>
      <c r="N343" s="8"/>
      <c r="O343" s="8"/>
      <c r="P343" s="8"/>
      <c r="Q343" s="8"/>
      <c r="R343" s="8"/>
      <c r="S343" s="8"/>
      <c r="T343" s="8"/>
      <c r="U343" s="8"/>
      <c r="V343" s="8"/>
    </row>
    <row r="344" ht="24.0" customHeight="1">
      <c r="F344" s="8"/>
      <c r="G344" s="8"/>
      <c r="H344" s="8"/>
      <c r="I344" s="8"/>
      <c r="J344" s="8"/>
      <c r="K344" s="8"/>
      <c r="L344" s="8"/>
      <c r="M344" s="8"/>
      <c r="N344" s="8"/>
      <c r="O344" s="8"/>
      <c r="P344" s="8"/>
      <c r="Q344" s="8"/>
      <c r="R344" s="8"/>
      <c r="S344" s="8"/>
      <c r="T344" s="8"/>
      <c r="U344" s="8"/>
      <c r="V344" s="8"/>
    </row>
    <row r="345" ht="24.0" customHeight="1">
      <c r="F345" s="8"/>
      <c r="G345" s="8"/>
      <c r="H345" s="8"/>
      <c r="I345" s="8"/>
      <c r="J345" s="8"/>
      <c r="K345" s="8"/>
      <c r="L345" s="8"/>
      <c r="M345" s="8"/>
      <c r="N345" s="8"/>
      <c r="O345" s="8"/>
      <c r="P345" s="8"/>
      <c r="Q345" s="8"/>
      <c r="R345" s="8"/>
      <c r="S345" s="8"/>
      <c r="T345" s="8"/>
      <c r="U345" s="8"/>
      <c r="V345" s="8"/>
    </row>
    <row r="346" ht="24.0" customHeight="1">
      <c r="F346" s="8"/>
      <c r="G346" s="8"/>
      <c r="H346" s="8"/>
      <c r="I346" s="8"/>
      <c r="J346" s="8"/>
      <c r="K346" s="8"/>
      <c r="L346" s="8"/>
      <c r="M346" s="8"/>
      <c r="N346" s="8"/>
      <c r="O346" s="8"/>
      <c r="P346" s="8"/>
      <c r="Q346" s="8"/>
      <c r="R346" s="8"/>
      <c r="S346" s="8"/>
      <c r="T346" s="8"/>
      <c r="U346" s="8"/>
      <c r="V346" s="8"/>
    </row>
    <row r="347" ht="24.0" customHeight="1">
      <c r="F347" s="8"/>
      <c r="G347" s="8"/>
      <c r="H347" s="8"/>
      <c r="I347" s="8"/>
      <c r="J347" s="8"/>
      <c r="K347" s="8"/>
      <c r="L347" s="8"/>
      <c r="M347" s="8"/>
      <c r="N347" s="8"/>
      <c r="O347" s="8"/>
      <c r="P347" s="8"/>
      <c r="Q347" s="8"/>
      <c r="R347" s="8"/>
      <c r="S347" s="8"/>
      <c r="T347" s="8"/>
      <c r="U347" s="8"/>
      <c r="V347" s="8"/>
    </row>
    <row r="348" ht="24.0" customHeight="1">
      <c r="F348" s="8"/>
      <c r="G348" s="8"/>
      <c r="H348" s="8"/>
      <c r="I348" s="8"/>
      <c r="J348" s="8"/>
      <c r="K348" s="8"/>
      <c r="L348" s="8"/>
      <c r="M348" s="8"/>
      <c r="N348" s="8"/>
      <c r="O348" s="8"/>
      <c r="P348" s="8"/>
      <c r="Q348" s="8"/>
      <c r="R348" s="8"/>
      <c r="S348" s="8"/>
      <c r="T348" s="8"/>
      <c r="U348" s="8"/>
      <c r="V348" s="8"/>
    </row>
    <row r="349" ht="24.0" customHeight="1">
      <c r="F349" s="8"/>
      <c r="G349" s="8"/>
      <c r="H349" s="8"/>
      <c r="I349" s="8"/>
      <c r="J349" s="8"/>
      <c r="K349" s="8"/>
      <c r="L349" s="8"/>
      <c r="M349" s="8"/>
      <c r="N349" s="8"/>
      <c r="O349" s="8"/>
      <c r="P349" s="8"/>
      <c r="Q349" s="8"/>
      <c r="R349" s="8"/>
      <c r="S349" s="8"/>
      <c r="T349" s="8"/>
      <c r="U349" s="8"/>
      <c r="V349" s="8"/>
    </row>
    <row r="350" ht="24.0" customHeight="1">
      <c r="F350" s="8"/>
      <c r="G350" s="8"/>
      <c r="H350" s="8"/>
      <c r="I350" s="8"/>
      <c r="J350" s="8"/>
      <c r="K350" s="8"/>
      <c r="L350" s="8"/>
      <c r="M350" s="8"/>
      <c r="N350" s="8"/>
      <c r="O350" s="8"/>
      <c r="P350" s="8"/>
      <c r="Q350" s="8"/>
      <c r="R350" s="8"/>
      <c r="S350" s="8"/>
      <c r="T350" s="8"/>
      <c r="U350" s="8"/>
      <c r="V350" s="8"/>
    </row>
    <row r="351" ht="24.0" customHeight="1">
      <c r="F351" s="8"/>
      <c r="G351" s="8"/>
      <c r="H351" s="8"/>
      <c r="I351" s="8"/>
      <c r="J351" s="8"/>
      <c r="K351" s="8"/>
      <c r="L351" s="8"/>
      <c r="M351" s="8"/>
      <c r="N351" s="8"/>
      <c r="O351" s="8"/>
      <c r="P351" s="8"/>
      <c r="Q351" s="8"/>
      <c r="R351" s="8"/>
      <c r="S351" s="8"/>
      <c r="T351" s="8"/>
      <c r="U351" s="8"/>
      <c r="V351" s="8"/>
    </row>
    <row r="352" ht="24.0" customHeight="1">
      <c r="F352" s="8"/>
      <c r="G352" s="8"/>
      <c r="H352" s="8"/>
      <c r="I352" s="8"/>
      <c r="J352" s="8"/>
      <c r="K352" s="8"/>
      <c r="L352" s="8"/>
      <c r="M352" s="8"/>
      <c r="N352" s="8"/>
      <c r="O352" s="8"/>
      <c r="P352" s="8"/>
      <c r="Q352" s="8"/>
      <c r="R352" s="8"/>
      <c r="S352" s="8"/>
      <c r="T352" s="8"/>
      <c r="U352" s="8"/>
      <c r="V352" s="8"/>
    </row>
    <row r="353" ht="24.0" customHeight="1">
      <c r="F353" s="8"/>
      <c r="G353" s="8"/>
      <c r="H353" s="8"/>
      <c r="I353" s="8"/>
      <c r="J353" s="8"/>
      <c r="K353" s="8"/>
      <c r="L353" s="8"/>
      <c r="M353" s="8"/>
      <c r="N353" s="8"/>
      <c r="O353" s="8"/>
      <c r="P353" s="8"/>
      <c r="Q353" s="8"/>
      <c r="R353" s="8"/>
      <c r="S353" s="8"/>
      <c r="T353" s="8"/>
      <c r="U353" s="8"/>
      <c r="V353" s="8"/>
    </row>
    <row r="354" ht="24.0" customHeight="1">
      <c r="F354" s="8"/>
      <c r="G354" s="8"/>
      <c r="H354" s="8"/>
      <c r="I354" s="8"/>
      <c r="J354" s="8"/>
      <c r="K354" s="8"/>
      <c r="L354" s="8"/>
      <c r="M354" s="8"/>
      <c r="N354" s="8"/>
      <c r="O354" s="8"/>
      <c r="P354" s="8"/>
      <c r="Q354" s="8"/>
      <c r="R354" s="8"/>
      <c r="S354" s="8"/>
      <c r="T354" s="8"/>
      <c r="U354" s="8"/>
      <c r="V354" s="8"/>
    </row>
    <row r="355" ht="24.0" customHeight="1">
      <c r="F355" s="8"/>
      <c r="G355" s="8"/>
      <c r="H355" s="8"/>
      <c r="I355" s="8"/>
      <c r="J355" s="8"/>
      <c r="K355" s="8"/>
      <c r="L355" s="8"/>
      <c r="M355" s="8"/>
      <c r="N355" s="8"/>
      <c r="O355" s="8"/>
      <c r="P355" s="8"/>
      <c r="Q355" s="8"/>
      <c r="R355" s="8"/>
      <c r="S355" s="8"/>
      <c r="T355" s="8"/>
      <c r="U355" s="8"/>
      <c r="V355" s="8"/>
    </row>
    <row r="356" ht="24.0" customHeight="1">
      <c r="F356" s="8"/>
      <c r="G356" s="8"/>
      <c r="H356" s="8"/>
      <c r="I356" s="8"/>
      <c r="J356" s="8"/>
      <c r="K356" s="8"/>
      <c r="L356" s="8"/>
      <c r="M356" s="8"/>
      <c r="N356" s="8"/>
      <c r="O356" s="8"/>
      <c r="P356" s="8"/>
      <c r="Q356" s="8"/>
      <c r="R356" s="8"/>
      <c r="S356" s="8"/>
      <c r="T356" s="8"/>
      <c r="U356" s="8"/>
      <c r="V356" s="8"/>
    </row>
    <row r="357" ht="24.0" customHeight="1">
      <c r="F357" s="8"/>
      <c r="G357" s="8"/>
      <c r="H357" s="8"/>
      <c r="I357" s="8"/>
      <c r="J357" s="8"/>
      <c r="K357" s="8"/>
      <c r="L357" s="8"/>
      <c r="M357" s="8"/>
      <c r="N357" s="8"/>
      <c r="O357" s="8"/>
      <c r="P357" s="8"/>
      <c r="Q357" s="8"/>
      <c r="R357" s="8"/>
      <c r="S357" s="8"/>
      <c r="T357" s="8"/>
      <c r="U357" s="8"/>
      <c r="V357" s="8"/>
    </row>
    <row r="358" ht="24.0" customHeight="1">
      <c r="F358" s="8"/>
      <c r="G358" s="8"/>
      <c r="H358" s="8"/>
      <c r="I358" s="8"/>
      <c r="J358" s="8"/>
      <c r="K358" s="8"/>
      <c r="L358" s="8"/>
      <c r="M358" s="8"/>
      <c r="N358" s="8"/>
      <c r="O358" s="8"/>
      <c r="P358" s="8"/>
      <c r="Q358" s="8"/>
      <c r="R358" s="8"/>
      <c r="S358" s="8"/>
      <c r="T358" s="8"/>
      <c r="U358" s="8"/>
      <c r="V358" s="8"/>
    </row>
    <row r="359" ht="24.0" customHeight="1">
      <c r="F359" s="8"/>
      <c r="G359" s="8"/>
      <c r="H359" s="8"/>
      <c r="I359" s="8"/>
      <c r="J359" s="8"/>
      <c r="K359" s="8"/>
      <c r="L359" s="8"/>
      <c r="M359" s="8"/>
      <c r="N359" s="8"/>
      <c r="O359" s="8"/>
      <c r="P359" s="8"/>
      <c r="Q359" s="8"/>
      <c r="R359" s="8"/>
      <c r="S359" s="8"/>
      <c r="T359" s="8"/>
      <c r="U359" s="8"/>
      <c r="V359" s="8"/>
    </row>
    <row r="360" ht="24.0" customHeight="1">
      <c r="F360" s="8"/>
      <c r="G360" s="8"/>
      <c r="H360" s="8"/>
      <c r="I360" s="8"/>
      <c r="J360" s="8"/>
      <c r="K360" s="8"/>
      <c r="L360" s="8"/>
      <c r="M360" s="8"/>
      <c r="N360" s="8"/>
      <c r="O360" s="8"/>
      <c r="P360" s="8"/>
      <c r="Q360" s="8"/>
      <c r="R360" s="8"/>
      <c r="S360" s="8"/>
      <c r="T360" s="8"/>
      <c r="U360" s="8"/>
      <c r="V360" s="8"/>
    </row>
    <row r="361" ht="24.0" customHeight="1">
      <c r="F361" s="8"/>
      <c r="G361" s="8"/>
      <c r="H361" s="8"/>
      <c r="I361" s="8"/>
      <c r="J361" s="8"/>
      <c r="K361" s="8"/>
      <c r="L361" s="8"/>
      <c r="M361" s="8"/>
      <c r="N361" s="8"/>
      <c r="O361" s="8"/>
      <c r="P361" s="8"/>
      <c r="Q361" s="8"/>
      <c r="R361" s="8"/>
      <c r="S361" s="8"/>
      <c r="T361" s="8"/>
      <c r="U361" s="8"/>
      <c r="V361" s="8"/>
    </row>
    <row r="362" ht="24.0" customHeight="1">
      <c r="F362" s="8"/>
      <c r="G362" s="8"/>
      <c r="H362" s="8"/>
      <c r="I362" s="8"/>
      <c r="J362" s="8"/>
      <c r="K362" s="8"/>
      <c r="L362" s="8"/>
      <c r="M362" s="8"/>
      <c r="N362" s="8"/>
      <c r="O362" s="8"/>
      <c r="P362" s="8"/>
      <c r="Q362" s="8"/>
      <c r="R362" s="8"/>
      <c r="S362" s="8"/>
      <c r="T362" s="8"/>
      <c r="U362" s="8"/>
      <c r="V362" s="8"/>
    </row>
    <row r="363" ht="24.0" customHeight="1">
      <c r="F363" s="8"/>
      <c r="G363" s="8"/>
      <c r="H363" s="8"/>
      <c r="I363" s="8"/>
      <c r="J363" s="8"/>
      <c r="K363" s="8"/>
      <c r="L363" s="8"/>
      <c r="M363" s="8"/>
      <c r="N363" s="8"/>
      <c r="O363" s="8"/>
      <c r="P363" s="8"/>
      <c r="Q363" s="8"/>
      <c r="R363" s="8"/>
      <c r="S363" s="8"/>
      <c r="T363" s="8"/>
      <c r="U363" s="8"/>
      <c r="V363" s="8"/>
    </row>
    <row r="364" ht="24.0" customHeight="1">
      <c r="F364" s="8"/>
      <c r="G364" s="8"/>
      <c r="H364" s="8"/>
      <c r="I364" s="8"/>
      <c r="J364" s="8"/>
      <c r="K364" s="8"/>
      <c r="L364" s="8"/>
      <c r="M364" s="8"/>
      <c r="N364" s="8"/>
      <c r="O364" s="8"/>
      <c r="P364" s="8"/>
      <c r="Q364" s="8"/>
      <c r="R364" s="8"/>
      <c r="S364" s="8"/>
      <c r="T364" s="8"/>
      <c r="U364" s="8"/>
      <c r="V364" s="8"/>
    </row>
    <row r="365" ht="24.0" customHeight="1">
      <c r="F365" s="8"/>
      <c r="G365" s="8"/>
      <c r="H365" s="8"/>
      <c r="I365" s="8"/>
      <c r="J365" s="8"/>
      <c r="K365" s="8"/>
      <c r="L365" s="8"/>
      <c r="M365" s="8"/>
      <c r="N365" s="8"/>
      <c r="O365" s="8"/>
      <c r="P365" s="8"/>
      <c r="Q365" s="8"/>
      <c r="R365" s="8"/>
      <c r="S365" s="8"/>
      <c r="T365" s="8"/>
      <c r="U365" s="8"/>
      <c r="V365" s="8"/>
    </row>
    <row r="366" ht="24.0" customHeight="1">
      <c r="F366" s="8"/>
      <c r="G366" s="8"/>
      <c r="H366" s="8"/>
      <c r="I366" s="8"/>
      <c r="J366" s="8"/>
      <c r="K366" s="8"/>
      <c r="L366" s="8"/>
      <c r="M366" s="8"/>
      <c r="N366" s="8"/>
      <c r="O366" s="8"/>
      <c r="P366" s="8"/>
      <c r="Q366" s="8"/>
      <c r="R366" s="8"/>
      <c r="S366" s="8"/>
      <c r="T366" s="8"/>
      <c r="U366" s="8"/>
      <c r="V366" s="8"/>
    </row>
    <row r="367" ht="24.0" customHeight="1">
      <c r="F367" s="8"/>
      <c r="G367" s="8"/>
      <c r="H367" s="8"/>
      <c r="I367" s="8"/>
      <c r="J367" s="8"/>
      <c r="K367" s="8"/>
      <c r="L367" s="8"/>
      <c r="M367" s="8"/>
      <c r="N367" s="8"/>
      <c r="O367" s="8"/>
      <c r="P367" s="8"/>
      <c r="Q367" s="8"/>
      <c r="R367" s="8"/>
      <c r="S367" s="8"/>
      <c r="T367" s="8"/>
      <c r="U367" s="8"/>
      <c r="V367" s="8"/>
    </row>
    <row r="368" ht="24.0" customHeight="1">
      <c r="F368" s="8"/>
      <c r="G368" s="8"/>
      <c r="H368" s="8"/>
      <c r="I368" s="8"/>
      <c r="J368" s="8"/>
      <c r="K368" s="8"/>
      <c r="L368" s="8"/>
      <c r="M368" s="8"/>
      <c r="N368" s="8"/>
      <c r="O368" s="8"/>
      <c r="P368" s="8"/>
      <c r="Q368" s="8"/>
      <c r="R368" s="8"/>
      <c r="S368" s="8"/>
      <c r="T368" s="8"/>
      <c r="U368" s="8"/>
      <c r="V368" s="8"/>
    </row>
    <row r="369" ht="24.0" customHeight="1">
      <c r="F369" s="8"/>
      <c r="G369" s="8"/>
      <c r="H369" s="8"/>
      <c r="I369" s="8"/>
      <c r="J369" s="8"/>
      <c r="K369" s="8"/>
      <c r="L369" s="8"/>
      <c r="M369" s="8"/>
      <c r="N369" s="8"/>
      <c r="O369" s="8"/>
      <c r="P369" s="8"/>
      <c r="Q369" s="8"/>
      <c r="R369" s="8"/>
      <c r="S369" s="8"/>
      <c r="T369" s="8"/>
      <c r="U369" s="8"/>
      <c r="V369" s="8"/>
    </row>
    <row r="370" ht="24.0" customHeight="1">
      <c r="F370" s="8"/>
      <c r="G370" s="8"/>
      <c r="H370" s="8"/>
      <c r="I370" s="8"/>
      <c r="J370" s="8"/>
      <c r="K370" s="8"/>
      <c r="L370" s="8"/>
      <c r="M370" s="8"/>
      <c r="N370" s="8"/>
      <c r="O370" s="8"/>
      <c r="P370" s="8"/>
      <c r="Q370" s="8"/>
      <c r="R370" s="8"/>
      <c r="S370" s="8"/>
      <c r="T370" s="8"/>
      <c r="U370" s="8"/>
      <c r="V370" s="8"/>
    </row>
    <row r="371" ht="24.0" customHeight="1">
      <c r="F371" s="8"/>
      <c r="G371" s="8"/>
      <c r="H371" s="8"/>
      <c r="I371" s="8"/>
      <c r="J371" s="8"/>
      <c r="K371" s="8"/>
      <c r="L371" s="8"/>
      <c r="M371" s="8"/>
      <c r="N371" s="8"/>
      <c r="O371" s="8"/>
      <c r="P371" s="8"/>
      <c r="Q371" s="8"/>
      <c r="R371" s="8"/>
      <c r="S371" s="8"/>
      <c r="T371" s="8"/>
      <c r="U371" s="8"/>
      <c r="V371" s="8"/>
    </row>
    <row r="372" ht="24.0" customHeight="1">
      <c r="F372" s="8"/>
      <c r="G372" s="8"/>
      <c r="H372" s="8"/>
      <c r="I372" s="8"/>
      <c r="J372" s="8"/>
      <c r="K372" s="8"/>
      <c r="L372" s="8"/>
      <c r="M372" s="8"/>
      <c r="N372" s="8"/>
      <c r="O372" s="8"/>
      <c r="P372" s="8"/>
      <c r="Q372" s="8"/>
      <c r="R372" s="8"/>
      <c r="S372" s="8"/>
      <c r="T372" s="8"/>
      <c r="U372" s="8"/>
      <c r="V372" s="8"/>
    </row>
    <row r="373" ht="24.0" customHeight="1">
      <c r="F373" s="8"/>
      <c r="G373" s="8"/>
      <c r="H373" s="8"/>
      <c r="I373" s="8"/>
      <c r="J373" s="8"/>
      <c r="K373" s="8"/>
      <c r="L373" s="8"/>
      <c r="M373" s="8"/>
      <c r="N373" s="8"/>
      <c r="O373" s="8"/>
      <c r="P373" s="8"/>
      <c r="Q373" s="8"/>
      <c r="R373" s="8"/>
      <c r="S373" s="8"/>
      <c r="T373" s="8"/>
      <c r="U373" s="8"/>
      <c r="V373" s="8"/>
    </row>
    <row r="374" ht="24.0" customHeight="1">
      <c r="F374" s="8"/>
      <c r="G374" s="8"/>
      <c r="H374" s="8"/>
      <c r="I374" s="8"/>
      <c r="J374" s="8"/>
      <c r="K374" s="8"/>
      <c r="L374" s="8"/>
      <c r="M374" s="8"/>
      <c r="N374" s="8"/>
      <c r="O374" s="8"/>
      <c r="P374" s="8"/>
      <c r="Q374" s="8"/>
      <c r="R374" s="8"/>
      <c r="S374" s="8"/>
      <c r="T374" s="8"/>
      <c r="U374" s="8"/>
      <c r="V374" s="8"/>
    </row>
    <row r="375" ht="24.0" customHeight="1">
      <c r="F375" s="8"/>
      <c r="G375" s="8"/>
      <c r="H375" s="8"/>
      <c r="I375" s="8"/>
      <c r="J375" s="8"/>
      <c r="K375" s="8"/>
      <c r="L375" s="8"/>
      <c r="M375" s="8"/>
      <c r="N375" s="8"/>
      <c r="O375" s="8"/>
      <c r="P375" s="8"/>
      <c r="Q375" s="8"/>
      <c r="R375" s="8"/>
      <c r="S375" s="8"/>
      <c r="T375" s="8"/>
      <c r="U375" s="8"/>
      <c r="V375" s="8"/>
    </row>
    <row r="376" ht="24.0" customHeight="1">
      <c r="F376" s="8"/>
      <c r="G376" s="8"/>
      <c r="H376" s="8"/>
      <c r="I376" s="8"/>
      <c r="J376" s="8"/>
      <c r="K376" s="8"/>
      <c r="L376" s="8"/>
      <c r="M376" s="8"/>
      <c r="N376" s="8"/>
      <c r="O376" s="8"/>
      <c r="P376" s="8"/>
      <c r="Q376" s="8"/>
      <c r="R376" s="8"/>
      <c r="S376" s="8"/>
      <c r="T376" s="8"/>
      <c r="U376" s="8"/>
      <c r="V376" s="8"/>
    </row>
    <row r="377" ht="24.0" customHeight="1">
      <c r="F377" s="8"/>
      <c r="G377" s="8"/>
      <c r="H377" s="8"/>
      <c r="I377" s="8"/>
      <c r="J377" s="8"/>
      <c r="K377" s="8"/>
      <c r="L377" s="8"/>
      <c r="M377" s="8"/>
      <c r="N377" s="8"/>
      <c r="O377" s="8"/>
      <c r="P377" s="8"/>
      <c r="Q377" s="8"/>
      <c r="R377" s="8"/>
      <c r="S377" s="8"/>
      <c r="T377" s="8"/>
      <c r="U377" s="8"/>
      <c r="V377" s="8"/>
    </row>
    <row r="378" ht="24.0" customHeight="1">
      <c r="F378" s="8"/>
      <c r="G378" s="8"/>
      <c r="H378" s="8"/>
      <c r="I378" s="8"/>
      <c r="J378" s="8"/>
      <c r="K378" s="8"/>
      <c r="L378" s="8"/>
      <c r="M378" s="8"/>
      <c r="N378" s="8"/>
      <c r="O378" s="8"/>
      <c r="P378" s="8"/>
      <c r="Q378" s="8"/>
      <c r="R378" s="8"/>
      <c r="S378" s="8"/>
      <c r="T378" s="8"/>
      <c r="U378" s="8"/>
      <c r="V378" s="8"/>
    </row>
    <row r="379" ht="24.0" customHeight="1">
      <c r="F379" s="8"/>
      <c r="G379" s="8"/>
      <c r="H379" s="8"/>
      <c r="I379" s="8"/>
      <c r="J379" s="8"/>
      <c r="K379" s="8"/>
      <c r="L379" s="8"/>
      <c r="M379" s="8"/>
      <c r="N379" s="8"/>
      <c r="O379" s="8"/>
      <c r="P379" s="8"/>
      <c r="Q379" s="8"/>
      <c r="R379" s="8"/>
      <c r="S379" s="8"/>
      <c r="T379" s="8"/>
      <c r="U379" s="8"/>
      <c r="V379" s="8"/>
    </row>
    <row r="380" ht="24.0" customHeight="1">
      <c r="F380" s="8"/>
      <c r="G380" s="8"/>
      <c r="H380" s="8"/>
      <c r="I380" s="8"/>
      <c r="J380" s="8"/>
      <c r="K380" s="8"/>
      <c r="L380" s="8"/>
      <c r="M380" s="8"/>
      <c r="N380" s="8"/>
      <c r="O380" s="8"/>
      <c r="P380" s="8"/>
      <c r="Q380" s="8"/>
      <c r="R380" s="8"/>
      <c r="S380" s="8"/>
      <c r="T380" s="8"/>
      <c r="U380" s="8"/>
      <c r="V380" s="8"/>
    </row>
    <row r="381" ht="24.0" customHeight="1">
      <c r="F381" s="8"/>
      <c r="G381" s="8"/>
      <c r="H381" s="8"/>
      <c r="I381" s="8"/>
      <c r="J381" s="8"/>
      <c r="K381" s="8"/>
      <c r="L381" s="8"/>
      <c r="M381" s="8"/>
      <c r="N381" s="8"/>
      <c r="O381" s="8"/>
      <c r="P381" s="8"/>
      <c r="Q381" s="8"/>
      <c r="R381" s="8"/>
      <c r="S381" s="8"/>
      <c r="T381" s="8"/>
      <c r="U381" s="8"/>
      <c r="V381" s="8"/>
    </row>
    <row r="382" ht="24.0" customHeight="1">
      <c r="F382" s="8"/>
      <c r="G382" s="8"/>
      <c r="H382" s="8"/>
      <c r="I382" s="8"/>
      <c r="J382" s="8"/>
      <c r="K382" s="8"/>
      <c r="L382" s="8"/>
      <c r="M382" s="8"/>
      <c r="N382" s="8"/>
      <c r="O382" s="8"/>
      <c r="P382" s="8"/>
      <c r="Q382" s="8"/>
      <c r="R382" s="8"/>
      <c r="S382" s="8"/>
      <c r="T382" s="8"/>
      <c r="U382" s="8"/>
      <c r="V382" s="8"/>
    </row>
    <row r="383" ht="24.0" customHeight="1">
      <c r="F383" s="8"/>
      <c r="G383" s="8"/>
      <c r="H383" s="8"/>
      <c r="I383" s="8"/>
      <c r="J383" s="8"/>
      <c r="K383" s="8"/>
      <c r="L383" s="8"/>
      <c r="M383" s="8"/>
      <c r="N383" s="8"/>
      <c r="O383" s="8"/>
      <c r="P383" s="8"/>
      <c r="Q383" s="8"/>
      <c r="R383" s="8"/>
      <c r="S383" s="8"/>
      <c r="T383" s="8"/>
      <c r="U383" s="8"/>
      <c r="V383" s="8"/>
    </row>
    <row r="384" ht="24.0" customHeight="1">
      <c r="F384" s="8"/>
      <c r="G384" s="8"/>
      <c r="H384" s="8"/>
      <c r="I384" s="8"/>
      <c r="J384" s="8"/>
      <c r="K384" s="8"/>
      <c r="L384" s="8"/>
      <c r="M384" s="8"/>
      <c r="N384" s="8"/>
      <c r="O384" s="8"/>
      <c r="P384" s="8"/>
      <c r="Q384" s="8"/>
      <c r="R384" s="8"/>
      <c r="S384" s="8"/>
      <c r="T384" s="8"/>
      <c r="U384" s="8"/>
      <c r="V384" s="8"/>
    </row>
    <row r="385" ht="24.0" customHeight="1">
      <c r="F385" s="8"/>
      <c r="G385" s="8"/>
      <c r="H385" s="8"/>
      <c r="I385" s="8"/>
      <c r="J385" s="8"/>
      <c r="K385" s="8"/>
      <c r="L385" s="8"/>
      <c r="M385" s="8"/>
      <c r="N385" s="8"/>
      <c r="O385" s="8"/>
      <c r="P385" s="8"/>
      <c r="Q385" s="8"/>
      <c r="R385" s="8"/>
      <c r="S385" s="8"/>
      <c r="T385" s="8"/>
      <c r="U385" s="8"/>
      <c r="V385" s="8"/>
    </row>
    <row r="386" ht="24.0" customHeight="1">
      <c r="F386" s="8"/>
      <c r="G386" s="8"/>
      <c r="H386" s="8"/>
      <c r="I386" s="8"/>
      <c r="J386" s="8"/>
      <c r="K386" s="8"/>
      <c r="L386" s="8"/>
      <c r="M386" s="8"/>
      <c r="N386" s="8"/>
      <c r="O386" s="8"/>
      <c r="P386" s="8"/>
      <c r="Q386" s="8"/>
      <c r="R386" s="8"/>
      <c r="S386" s="8"/>
      <c r="T386" s="8"/>
      <c r="U386" s="8"/>
      <c r="V386" s="8"/>
    </row>
    <row r="387" ht="24.0" customHeight="1">
      <c r="F387" s="8"/>
      <c r="G387" s="8"/>
      <c r="H387" s="8"/>
      <c r="I387" s="8"/>
      <c r="J387" s="8"/>
      <c r="K387" s="8"/>
      <c r="L387" s="8"/>
      <c r="M387" s="8"/>
      <c r="N387" s="8"/>
      <c r="O387" s="8"/>
      <c r="P387" s="8"/>
      <c r="Q387" s="8"/>
      <c r="R387" s="8"/>
      <c r="S387" s="8"/>
      <c r="T387" s="8"/>
      <c r="U387" s="8"/>
      <c r="V387" s="8"/>
    </row>
    <row r="388" ht="24.0" customHeight="1">
      <c r="F388" s="8"/>
      <c r="G388" s="8"/>
      <c r="H388" s="8"/>
      <c r="I388" s="8"/>
      <c r="J388" s="8"/>
      <c r="K388" s="8"/>
      <c r="L388" s="8"/>
      <c r="M388" s="8"/>
      <c r="N388" s="8"/>
      <c r="O388" s="8"/>
      <c r="P388" s="8"/>
      <c r="Q388" s="8"/>
      <c r="R388" s="8"/>
      <c r="S388" s="8"/>
      <c r="T388" s="8"/>
      <c r="U388" s="8"/>
      <c r="V388" s="8"/>
    </row>
    <row r="389" ht="24.0" customHeight="1">
      <c r="F389" s="8"/>
      <c r="G389" s="8"/>
      <c r="H389" s="8"/>
      <c r="I389" s="8"/>
      <c r="J389" s="8"/>
      <c r="K389" s="8"/>
      <c r="L389" s="8"/>
      <c r="M389" s="8"/>
      <c r="N389" s="8"/>
      <c r="O389" s="8"/>
      <c r="P389" s="8"/>
      <c r="Q389" s="8"/>
      <c r="R389" s="8"/>
      <c r="S389" s="8"/>
      <c r="T389" s="8"/>
      <c r="U389" s="8"/>
      <c r="V389" s="8"/>
    </row>
    <row r="390" ht="24.0" customHeight="1">
      <c r="F390" s="8"/>
      <c r="G390" s="8"/>
      <c r="H390" s="8"/>
      <c r="I390" s="8"/>
      <c r="J390" s="8"/>
      <c r="K390" s="8"/>
      <c r="L390" s="8"/>
      <c r="M390" s="8"/>
      <c r="N390" s="8"/>
      <c r="O390" s="8"/>
      <c r="P390" s="8"/>
      <c r="Q390" s="8"/>
      <c r="R390" s="8"/>
      <c r="S390" s="8"/>
      <c r="T390" s="8"/>
      <c r="U390" s="8"/>
      <c r="V390" s="8"/>
    </row>
    <row r="391" ht="24.0" customHeight="1">
      <c r="F391" s="8"/>
      <c r="G391" s="8"/>
      <c r="H391" s="8"/>
      <c r="I391" s="8"/>
      <c r="J391" s="8"/>
      <c r="K391" s="8"/>
      <c r="L391" s="8"/>
      <c r="M391" s="8"/>
      <c r="N391" s="8"/>
      <c r="O391" s="8"/>
      <c r="P391" s="8"/>
      <c r="Q391" s="8"/>
      <c r="R391" s="8"/>
      <c r="S391" s="8"/>
      <c r="T391" s="8"/>
      <c r="U391" s="8"/>
      <c r="V391" s="8"/>
    </row>
    <row r="392" ht="24.0" customHeight="1">
      <c r="F392" s="8"/>
      <c r="G392" s="8"/>
      <c r="H392" s="8"/>
      <c r="I392" s="8"/>
      <c r="J392" s="8"/>
      <c r="K392" s="8"/>
      <c r="L392" s="8"/>
      <c r="M392" s="8"/>
      <c r="N392" s="8"/>
      <c r="O392" s="8"/>
      <c r="P392" s="8"/>
      <c r="Q392" s="8"/>
      <c r="R392" s="8"/>
      <c r="S392" s="8"/>
      <c r="T392" s="8"/>
      <c r="U392" s="8"/>
      <c r="V392" s="8"/>
    </row>
    <row r="393" ht="24.0" customHeight="1">
      <c r="F393" s="8"/>
      <c r="G393" s="8"/>
      <c r="H393" s="8"/>
      <c r="I393" s="8"/>
      <c r="J393" s="8"/>
      <c r="K393" s="8"/>
      <c r="L393" s="8"/>
      <c r="M393" s="8"/>
      <c r="N393" s="8"/>
      <c r="O393" s="8"/>
      <c r="P393" s="8"/>
      <c r="Q393" s="8"/>
      <c r="R393" s="8"/>
      <c r="S393" s="8"/>
      <c r="T393" s="8"/>
      <c r="U393" s="8"/>
      <c r="V393" s="8"/>
    </row>
    <row r="394" ht="24.0" customHeight="1">
      <c r="F394" s="8"/>
      <c r="G394" s="8"/>
      <c r="H394" s="8"/>
      <c r="I394" s="8"/>
      <c r="J394" s="8"/>
      <c r="K394" s="8"/>
      <c r="L394" s="8"/>
      <c r="M394" s="8"/>
      <c r="N394" s="8"/>
      <c r="O394" s="8"/>
      <c r="P394" s="8"/>
      <c r="Q394" s="8"/>
      <c r="R394" s="8"/>
      <c r="S394" s="8"/>
      <c r="T394" s="8"/>
      <c r="U394" s="8"/>
      <c r="V394" s="8"/>
    </row>
    <row r="395" ht="24.0" customHeight="1">
      <c r="F395" s="8"/>
      <c r="G395" s="8"/>
      <c r="H395" s="8"/>
      <c r="I395" s="8"/>
      <c r="J395" s="8"/>
      <c r="K395" s="8"/>
      <c r="L395" s="8"/>
      <c r="M395" s="8"/>
      <c r="N395" s="8"/>
      <c r="O395" s="8"/>
      <c r="P395" s="8"/>
      <c r="Q395" s="8"/>
      <c r="R395" s="8"/>
      <c r="S395" s="8"/>
      <c r="T395" s="8"/>
      <c r="U395" s="8"/>
      <c r="V395" s="8"/>
    </row>
    <row r="396" ht="24.0" customHeight="1">
      <c r="F396" s="8"/>
      <c r="G396" s="8"/>
      <c r="H396" s="8"/>
      <c r="I396" s="8"/>
      <c r="J396" s="8"/>
      <c r="K396" s="8"/>
      <c r="L396" s="8"/>
      <c r="M396" s="8"/>
      <c r="N396" s="8"/>
      <c r="O396" s="8"/>
      <c r="P396" s="8"/>
      <c r="Q396" s="8"/>
      <c r="R396" s="8"/>
      <c r="S396" s="8"/>
      <c r="T396" s="8"/>
      <c r="U396" s="8"/>
      <c r="V396" s="8"/>
    </row>
    <row r="397" ht="24.0" customHeight="1">
      <c r="F397" s="8"/>
      <c r="G397" s="8"/>
      <c r="H397" s="8"/>
      <c r="I397" s="8"/>
      <c r="J397" s="8"/>
      <c r="K397" s="8"/>
      <c r="L397" s="8"/>
      <c r="M397" s="8"/>
      <c r="N397" s="8"/>
      <c r="O397" s="8"/>
      <c r="P397" s="8"/>
      <c r="Q397" s="8"/>
      <c r="R397" s="8"/>
      <c r="S397" s="8"/>
      <c r="T397" s="8"/>
      <c r="U397" s="8"/>
      <c r="V397" s="8"/>
    </row>
    <row r="398" ht="24.0" customHeight="1">
      <c r="F398" s="8"/>
      <c r="G398" s="8"/>
      <c r="H398" s="8"/>
      <c r="I398" s="8"/>
      <c r="J398" s="8"/>
      <c r="K398" s="8"/>
      <c r="L398" s="8"/>
      <c r="M398" s="8"/>
      <c r="N398" s="8"/>
      <c r="O398" s="8"/>
      <c r="P398" s="8"/>
      <c r="Q398" s="8"/>
      <c r="R398" s="8"/>
      <c r="S398" s="8"/>
      <c r="T398" s="8"/>
      <c r="U398" s="8"/>
      <c r="V398" s="8"/>
    </row>
    <row r="399" ht="24.0" customHeight="1">
      <c r="F399" s="8"/>
      <c r="G399" s="8"/>
      <c r="H399" s="8"/>
      <c r="I399" s="8"/>
      <c r="J399" s="8"/>
      <c r="K399" s="8"/>
      <c r="L399" s="8"/>
      <c r="M399" s="8"/>
      <c r="N399" s="8"/>
      <c r="O399" s="8"/>
      <c r="P399" s="8"/>
      <c r="Q399" s="8"/>
      <c r="R399" s="8"/>
      <c r="S399" s="8"/>
      <c r="T399" s="8"/>
      <c r="U399" s="8"/>
      <c r="V399" s="8"/>
    </row>
    <row r="400" ht="24.0" customHeight="1">
      <c r="F400" s="8"/>
      <c r="G400" s="8"/>
      <c r="H400" s="8"/>
      <c r="I400" s="8"/>
      <c r="J400" s="8"/>
      <c r="K400" s="8"/>
      <c r="L400" s="8"/>
      <c r="M400" s="8"/>
      <c r="N400" s="8"/>
      <c r="O400" s="8"/>
      <c r="P400" s="8"/>
      <c r="Q400" s="8"/>
      <c r="R400" s="8"/>
      <c r="S400" s="8"/>
      <c r="T400" s="8"/>
      <c r="U400" s="8"/>
      <c r="V400" s="8"/>
    </row>
    <row r="401" ht="24.0" customHeight="1">
      <c r="F401" s="8"/>
      <c r="G401" s="8"/>
      <c r="H401" s="8"/>
      <c r="I401" s="8"/>
      <c r="J401" s="8"/>
      <c r="K401" s="8"/>
      <c r="L401" s="8"/>
      <c r="M401" s="8"/>
      <c r="N401" s="8"/>
      <c r="O401" s="8"/>
      <c r="P401" s="8"/>
      <c r="Q401" s="8"/>
      <c r="R401" s="8"/>
      <c r="S401" s="8"/>
      <c r="T401" s="8"/>
      <c r="U401" s="8"/>
      <c r="V401" s="8"/>
    </row>
    <row r="402" ht="24.0" customHeight="1">
      <c r="F402" s="8"/>
      <c r="G402" s="8"/>
      <c r="H402" s="8"/>
      <c r="I402" s="8"/>
      <c r="J402" s="8"/>
      <c r="K402" s="8"/>
      <c r="L402" s="8"/>
      <c r="M402" s="8"/>
      <c r="N402" s="8"/>
      <c r="O402" s="8"/>
      <c r="P402" s="8"/>
      <c r="Q402" s="8"/>
      <c r="R402" s="8"/>
      <c r="S402" s="8"/>
      <c r="T402" s="8"/>
      <c r="U402" s="8"/>
      <c r="V402" s="8"/>
    </row>
    <row r="403" ht="24.0" customHeight="1">
      <c r="F403" s="8"/>
      <c r="G403" s="8"/>
      <c r="H403" s="8"/>
      <c r="I403" s="8"/>
      <c r="J403" s="8"/>
      <c r="K403" s="8"/>
      <c r="L403" s="8"/>
      <c r="M403" s="8"/>
      <c r="N403" s="8"/>
      <c r="O403" s="8"/>
      <c r="P403" s="8"/>
      <c r="Q403" s="8"/>
      <c r="R403" s="8"/>
      <c r="S403" s="8"/>
      <c r="T403" s="8"/>
      <c r="U403" s="8"/>
      <c r="V403" s="8"/>
    </row>
    <row r="404" ht="24.0" customHeight="1">
      <c r="F404" s="8"/>
      <c r="G404" s="8"/>
      <c r="H404" s="8"/>
      <c r="I404" s="8"/>
      <c r="J404" s="8"/>
      <c r="K404" s="8"/>
      <c r="L404" s="8"/>
      <c r="M404" s="8"/>
      <c r="N404" s="8"/>
      <c r="O404" s="8"/>
      <c r="P404" s="8"/>
      <c r="Q404" s="8"/>
      <c r="R404" s="8"/>
      <c r="S404" s="8"/>
      <c r="T404" s="8"/>
      <c r="U404" s="8"/>
      <c r="V404" s="8"/>
    </row>
    <row r="405" ht="24.0" customHeight="1">
      <c r="F405" s="8"/>
      <c r="G405" s="8"/>
      <c r="H405" s="8"/>
      <c r="I405" s="8"/>
      <c r="J405" s="8"/>
      <c r="K405" s="8"/>
      <c r="L405" s="8"/>
      <c r="M405" s="8"/>
      <c r="N405" s="8"/>
      <c r="O405" s="8"/>
      <c r="P405" s="8"/>
      <c r="Q405" s="8"/>
      <c r="R405" s="8"/>
      <c r="S405" s="8"/>
      <c r="T405" s="8"/>
      <c r="U405" s="8"/>
      <c r="V405" s="8"/>
    </row>
    <row r="406" ht="24.0" customHeight="1">
      <c r="F406" s="8"/>
      <c r="G406" s="8"/>
      <c r="H406" s="8"/>
      <c r="I406" s="8"/>
      <c r="J406" s="8"/>
      <c r="K406" s="8"/>
      <c r="L406" s="8"/>
      <c r="M406" s="8"/>
      <c r="N406" s="8"/>
      <c r="O406" s="8"/>
      <c r="P406" s="8"/>
      <c r="Q406" s="8"/>
      <c r="R406" s="8"/>
      <c r="S406" s="8"/>
      <c r="T406" s="8"/>
      <c r="U406" s="8"/>
      <c r="V406" s="8"/>
    </row>
    <row r="407" ht="24.0" customHeight="1">
      <c r="F407" s="8"/>
      <c r="G407" s="8"/>
      <c r="H407" s="8"/>
      <c r="I407" s="8"/>
      <c r="J407" s="8"/>
      <c r="K407" s="8"/>
      <c r="L407" s="8"/>
      <c r="M407" s="8"/>
      <c r="N407" s="8"/>
      <c r="O407" s="8"/>
      <c r="P407" s="8"/>
      <c r="Q407" s="8"/>
      <c r="R407" s="8"/>
      <c r="S407" s="8"/>
      <c r="T407" s="8"/>
      <c r="U407" s="8"/>
      <c r="V407" s="8"/>
    </row>
    <row r="408" ht="24.0" customHeight="1">
      <c r="F408" s="8"/>
      <c r="G408" s="8"/>
      <c r="H408" s="8"/>
      <c r="I408" s="8"/>
      <c r="J408" s="8"/>
      <c r="K408" s="8"/>
      <c r="L408" s="8"/>
      <c r="M408" s="8"/>
      <c r="N408" s="8"/>
      <c r="O408" s="8"/>
      <c r="P408" s="8"/>
      <c r="Q408" s="8"/>
      <c r="R408" s="8"/>
      <c r="S408" s="8"/>
      <c r="T408" s="8"/>
      <c r="U408" s="8"/>
      <c r="V408" s="8"/>
    </row>
    <row r="409" ht="24.0" customHeight="1">
      <c r="F409" s="8"/>
      <c r="G409" s="8"/>
      <c r="H409" s="8"/>
      <c r="I409" s="8"/>
      <c r="J409" s="8"/>
      <c r="K409" s="8"/>
      <c r="L409" s="8"/>
      <c r="M409" s="8"/>
      <c r="N409" s="8"/>
      <c r="O409" s="8"/>
      <c r="P409" s="8"/>
      <c r="Q409" s="8"/>
      <c r="R409" s="8"/>
      <c r="S409" s="8"/>
      <c r="T409" s="8"/>
      <c r="U409" s="8"/>
      <c r="V409" s="8"/>
    </row>
    <row r="410" ht="24.0" customHeight="1">
      <c r="F410" s="8"/>
      <c r="G410" s="8"/>
      <c r="H410" s="8"/>
      <c r="I410" s="8"/>
      <c r="J410" s="8"/>
      <c r="K410" s="8"/>
      <c r="L410" s="8"/>
      <c r="M410" s="8"/>
      <c r="N410" s="8"/>
      <c r="O410" s="8"/>
      <c r="P410" s="8"/>
      <c r="Q410" s="8"/>
      <c r="R410" s="8"/>
      <c r="S410" s="8"/>
      <c r="T410" s="8"/>
      <c r="U410" s="8"/>
      <c r="V410" s="8"/>
    </row>
    <row r="411" ht="24.0" customHeight="1">
      <c r="F411" s="8"/>
      <c r="G411" s="8"/>
      <c r="H411" s="8"/>
      <c r="I411" s="8"/>
      <c r="J411" s="8"/>
      <c r="K411" s="8"/>
      <c r="L411" s="8"/>
      <c r="M411" s="8"/>
      <c r="N411" s="8"/>
      <c r="O411" s="8"/>
      <c r="P411" s="8"/>
      <c r="Q411" s="8"/>
      <c r="R411" s="8"/>
      <c r="S411" s="8"/>
      <c r="T411" s="8"/>
      <c r="U411" s="8"/>
      <c r="V411" s="8"/>
    </row>
    <row r="412" ht="24.0" customHeight="1">
      <c r="F412" s="8"/>
      <c r="G412" s="8"/>
      <c r="H412" s="8"/>
      <c r="I412" s="8"/>
      <c r="J412" s="8"/>
      <c r="K412" s="8"/>
      <c r="L412" s="8"/>
      <c r="M412" s="8"/>
      <c r="N412" s="8"/>
      <c r="O412" s="8"/>
      <c r="P412" s="8"/>
      <c r="Q412" s="8"/>
      <c r="R412" s="8"/>
      <c r="S412" s="8"/>
      <c r="T412" s="8"/>
      <c r="U412" s="8"/>
      <c r="V412" s="8"/>
    </row>
    <row r="413" ht="24.0" customHeight="1">
      <c r="F413" s="8"/>
      <c r="G413" s="8"/>
      <c r="H413" s="8"/>
      <c r="I413" s="8"/>
      <c r="J413" s="8"/>
      <c r="K413" s="8"/>
      <c r="L413" s="8"/>
      <c r="M413" s="8"/>
      <c r="N413" s="8"/>
      <c r="O413" s="8"/>
      <c r="P413" s="8"/>
      <c r="Q413" s="8"/>
      <c r="R413" s="8"/>
      <c r="S413" s="8"/>
      <c r="T413" s="8"/>
      <c r="U413" s="8"/>
      <c r="V413" s="8"/>
    </row>
    <row r="414" ht="24.0" customHeight="1">
      <c r="F414" s="8"/>
      <c r="G414" s="8"/>
      <c r="H414" s="8"/>
      <c r="I414" s="8"/>
      <c r="J414" s="8"/>
      <c r="K414" s="8"/>
      <c r="L414" s="8"/>
      <c r="M414" s="8"/>
      <c r="N414" s="8"/>
      <c r="O414" s="8"/>
      <c r="P414" s="8"/>
      <c r="Q414" s="8"/>
      <c r="R414" s="8"/>
      <c r="S414" s="8"/>
      <c r="T414" s="8"/>
      <c r="U414" s="8"/>
      <c r="V414" s="8"/>
    </row>
    <row r="415" ht="24.0" customHeight="1">
      <c r="F415" s="8"/>
      <c r="G415" s="8"/>
      <c r="H415" s="8"/>
      <c r="I415" s="8"/>
      <c r="J415" s="8"/>
      <c r="K415" s="8"/>
      <c r="L415" s="8"/>
      <c r="M415" s="8"/>
      <c r="N415" s="8"/>
      <c r="O415" s="8"/>
      <c r="P415" s="8"/>
      <c r="Q415" s="8"/>
      <c r="R415" s="8"/>
      <c r="S415" s="8"/>
      <c r="T415" s="8"/>
      <c r="U415" s="8"/>
      <c r="V415" s="8"/>
    </row>
    <row r="416" ht="24.0" customHeight="1">
      <c r="F416" s="8"/>
      <c r="G416" s="8"/>
      <c r="H416" s="8"/>
      <c r="I416" s="8"/>
      <c r="J416" s="8"/>
      <c r="K416" s="8"/>
      <c r="L416" s="8"/>
      <c r="M416" s="8"/>
      <c r="N416" s="8"/>
      <c r="O416" s="8"/>
      <c r="P416" s="8"/>
      <c r="Q416" s="8"/>
      <c r="R416" s="8"/>
      <c r="S416" s="8"/>
      <c r="T416" s="8"/>
      <c r="U416" s="8"/>
      <c r="V416" s="8"/>
    </row>
    <row r="417" ht="24.0" customHeight="1">
      <c r="F417" s="8"/>
      <c r="G417" s="8"/>
      <c r="H417" s="8"/>
      <c r="I417" s="8"/>
      <c r="J417" s="8"/>
      <c r="K417" s="8"/>
      <c r="L417" s="8"/>
      <c r="M417" s="8"/>
      <c r="N417" s="8"/>
      <c r="O417" s="8"/>
      <c r="P417" s="8"/>
      <c r="Q417" s="8"/>
      <c r="R417" s="8"/>
      <c r="S417" s="8"/>
      <c r="T417" s="8"/>
      <c r="U417" s="8"/>
      <c r="V417" s="8"/>
    </row>
    <row r="418" ht="24.0" customHeight="1">
      <c r="F418" s="8"/>
      <c r="G418" s="8"/>
      <c r="H418" s="8"/>
      <c r="I418" s="8"/>
      <c r="J418" s="8"/>
      <c r="K418" s="8"/>
      <c r="L418" s="8"/>
      <c r="M418" s="8"/>
      <c r="N418" s="8"/>
      <c r="O418" s="8"/>
      <c r="P418" s="8"/>
      <c r="Q418" s="8"/>
      <c r="R418" s="8"/>
      <c r="S418" s="8"/>
      <c r="T418" s="8"/>
      <c r="U418" s="8"/>
      <c r="V418" s="8"/>
    </row>
    <row r="419" ht="24.0" customHeight="1">
      <c r="F419" s="8"/>
      <c r="G419" s="8"/>
      <c r="H419" s="8"/>
      <c r="I419" s="8"/>
      <c r="J419" s="8"/>
      <c r="K419" s="8"/>
      <c r="L419" s="8"/>
      <c r="M419" s="8"/>
      <c r="N419" s="8"/>
      <c r="O419" s="8"/>
      <c r="P419" s="8"/>
      <c r="Q419" s="8"/>
      <c r="R419" s="8"/>
      <c r="S419" s="8"/>
      <c r="T419" s="8"/>
      <c r="U419" s="8"/>
      <c r="V419" s="8"/>
    </row>
    <row r="420" ht="24.0" customHeight="1">
      <c r="F420" s="8"/>
      <c r="G420" s="8"/>
      <c r="H420" s="8"/>
      <c r="I420" s="8"/>
      <c r="J420" s="8"/>
      <c r="K420" s="8"/>
      <c r="L420" s="8"/>
      <c r="M420" s="8"/>
      <c r="N420" s="8"/>
      <c r="O420" s="8"/>
      <c r="P420" s="8"/>
      <c r="Q420" s="8"/>
      <c r="R420" s="8"/>
      <c r="S420" s="8"/>
      <c r="T420" s="8"/>
      <c r="U420" s="8"/>
      <c r="V420" s="8"/>
    </row>
    <row r="421" ht="24.0" customHeight="1">
      <c r="F421" s="8"/>
      <c r="G421" s="8"/>
      <c r="H421" s="8"/>
      <c r="I421" s="8"/>
      <c r="J421" s="8"/>
      <c r="K421" s="8"/>
      <c r="L421" s="8"/>
      <c r="M421" s="8"/>
      <c r="N421" s="8"/>
      <c r="O421" s="8"/>
      <c r="P421" s="8"/>
      <c r="Q421" s="8"/>
      <c r="R421" s="8"/>
      <c r="S421" s="8"/>
      <c r="T421" s="8"/>
      <c r="U421" s="8"/>
      <c r="V421" s="8"/>
    </row>
    <row r="422" ht="24.0" customHeight="1">
      <c r="F422" s="8"/>
      <c r="G422" s="8"/>
      <c r="H422" s="8"/>
      <c r="I422" s="8"/>
      <c r="J422" s="8"/>
      <c r="K422" s="8"/>
      <c r="L422" s="8"/>
      <c r="M422" s="8"/>
      <c r="N422" s="8"/>
      <c r="O422" s="8"/>
      <c r="P422" s="8"/>
      <c r="Q422" s="8"/>
      <c r="R422" s="8"/>
      <c r="S422" s="8"/>
      <c r="T422" s="8"/>
      <c r="U422" s="8"/>
      <c r="V422" s="8"/>
    </row>
    <row r="423" ht="24.0" customHeight="1">
      <c r="F423" s="8"/>
      <c r="G423" s="8"/>
      <c r="H423" s="8"/>
      <c r="I423" s="8"/>
      <c r="J423" s="8"/>
      <c r="K423" s="8"/>
      <c r="L423" s="8"/>
      <c r="M423" s="8"/>
      <c r="N423" s="8"/>
      <c r="O423" s="8"/>
      <c r="P423" s="8"/>
      <c r="Q423" s="8"/>
      <c r="R423" s="8"/>
      <c r="S423" s="8"/>
      <c r="T423" s="8"/>
      <c r="U423" s="8"/>
      <c r="V423" s="8"/>
    </row>
    <row r="424" ht="24.0" customHeight="1">
      <c r="F424" s="8"/>
      <c r="G424" s="8"/>
      <c r="H424" s="8"/>
      <c r="I424" s="8"/>
      <c r="J424" s="8"/>
      <c r="K424" s="8"/>
      <c r="L424" s="8"/>
      <c r="M424" s="8"/>
      <c r="N424" s="8"/>
      <c r="O424" s="8"/>
      <c r="P424" s="8"/>
      <c r="Q424" s="8"/>
      <c r="R424" s="8"/>
      <c r="S424" s="8"/>
      <c r="T424" s="8"/>
      <c r="U424" s="8"/>
      <c r="V424" s="8"/>
    </row>
    <row r="425" ht="24.0" customHeight="1">
      <c r="F425" s="8"/>
      <c r="G425" s="8"/>
      <c r="H425" s="8"/>
      <c r="I425" s="8"/>
      <c r="J425" s="8"/>
      <c r="K425" s="8"/>
      <c r="L425" s="8"/>
      <c r="M425" s="8"/>
      <c r="N425" s="8"/>
      <c r="O425" s="8"/>
      <c r="P425" s="8"/>
      <c r="Q425" s="8"/>
      <c r="R425" s="8"/>
      <c r="S425" s="8"/>
      <c r="T425" s="8"/>
      <c r="U425" s="8"/>
      <c r="V425" s="8"/>
    </row>
    <row r="426" ht="24.0" customHeight="1">
      <c r="F426" s="8"/>
      <c r="G426" s="8"/>
      <c r="H426" s="8"/>
      <c r="I426" s="8"/>
      <c r="J426" s="8"/>
      <c r="K426" s="8"/>
      <c r="L426" s="8"/>
      <c r="M426" s="8"/>
      <c r="N426" s="8"/>
      <c r="O426" s="8"/>
      <c r="P426" s="8"/>
      <c r="Q426" s="8"/>
      <c r="R426" s="8"/>
      <c r="S426" s="8"/>
      <c r="T426" s="8"/>
      <c r="U426" s="8"/>
      <c r="V426" s="8"/>
    </row>
    <row r="427" ht="24.0" customHeight="1">
      <c r="F427" s="8"/>
      <c r="G427" s="8"/>
      <c r="H427" s="8"/>
      <c r="I427" s="8"/>
      <c r="J427" s="8"/>
      <c r="K427" s="8"/>
      <c r="L427" s="8"/>
      <c r="M427" s="8"/>
      <c r="N427" s="8"/>
      <c r="O427" s="8"/>
      <c r="P427" s="8"/>
      <c r="Q427" s="8"/>
      <c r="R427" s="8"/>
      <c r="S427" s="8"/>
      <c r="T427" s="8"/>
      <c r="U427" s="8"/>
      <c r="V427" s="8"/>
    </row>
    <row r="428" ht="24.0" customHeight="1">
      <c r="F428" s="8"/>
      <c r="G428" s="8"/>
      <c r="H428" s="8"/>
      <c r="I428" s="8"/>
      <c r="J428" s="8"/>
      <c r="K428" s="8"/>
      <c r="L428" s="8"/>
      <c r="M428" s="8"/>
      <c r="N428" s="8"/>
      <c r="O428" s="8"/>
      <c r="P428" s="8"/>
      <c r="Q428" s="8"/>
      <c r="R428" s="8"/>
      <c r="S428" s="8"/>
      <c r="T428" s="8"/>
      <c r="U428" s="8"/>
      <c r="V428" s="8"/>
    </row>
    <row r="429" ht="24.0" customHeight="1">
      <c r="F429" s="8"/>
      <c r="G429" s="8"/>
      <c r="H429" s="8"/>
      <c r="I429" s="8"/>
      <c r="J429" s="8"/>
      <c r="K429" s="8"/>
      <c r="L429" s="8"/>
      <c r="M429" s="8"/>
      <c r="N429" s="8"/>
      <c r="O429" s="8"/>
      <c r="P429" s="8"/>
      <c r="Q429" s="8"/>
      <c r="R429" s="8"/>
      <c r="S429" s="8"/>
      <c r="T429" s="8"/>
      <c r="U429" s="8"/>
      <c r="V429" s="8"/>
    </row>
    <row r="430" ht="24.0" customHeight="1">
      <c r="F430" s="8"/>
      <c r="G430" s="8"/>
      <c r="H430" s="8"/>
      <c r="I430" s="8"/>
      <c r="J430" s="8"/>
      <c r="K430" s="8"/>
      <c r="L430" s="8"/>
      <c r="M430" s="8"/>
      <c r="N430" s="8"/>
      <c r="O430" s="8"/>
      <c r="P430" s="8"/>
      <c r="Q430" s="8"/>
      <c r="R430" s="8"/>
      <c r="S430" s="8"/>
      <c r="T430" s="8"/>
      <c r="U430" s="8"/>
      <c r="V430" s="8"/>
    </row>
    <row r="431" ht="24.0" customHeight="1">
      <c r="F431" s="8"/>
      <c r="G431" s="8"/>
      <c r="H431" s="8"/>
      <c r="I431" s="8"/>
      <c r="J431" s="8"/>
      <c r="K431" s="8"/>
      <c r="L431" s="8"/>
      <c r="M431" s="8"/>
      <c r="N431" s="8"/>
      <c r="O431" s="8"/>
      <c r="P431" s="8"/>
      <c r="Q431" s="8"/>
      <c r="R431" s="8"/>
      <c r="S431" s="8"/>
      <c r="T431" s="8"/>
      <c r="U431" s="8"/>
      <c r="V431" s="8"/>
    </row>
    <row r="432" ht="24.0" customHeight="1">
      <c r="F432" s="8"/>
      <c r="G432" s="8"/>
      <c r="H432" s="8"/>
      <c r="I432" s="8"/>
      <c r="J432" s="8"/>
      <c r="K432" s="8"/>
      <c r="L432" s="8"/>
      <c r="M432" s="8"/>
      <c r="N432" s="8"/>
      <c r="O432" s="8"/>
      <c r="P432" s="8"/>
      <c r="Q432" s="8"/>
      <c r="R432" s="8"/>
      <c r="S432" s="8"/>
      <c r="T432" s="8"/>
      <c r="U432" s="8"/>
      <c r="V432" s="8"/>
    </row>
    <row r="433" ht="24.0" customHeight="1">
      <c r="F433" s="8"/>
      <c r="G433" s="8"/>
      <c r="H433" s="8"/>
      <c r="I433" s="8"/>
      <c r="J433" s="8"/>
      <c r="K433" s="8"/>
      <c r="L433" s="8"/>
      <c r="M433" s="8"/>
      <c r="N433" s="8"/>
      <c r="O433" s="8"/>
      <c r="P433" s="8"/>
      <c r="Q433" s="8"/>
      <c r="R433" s="8"/>
      <c r="S433" s="8"/>
      <c r="T433" s="8"/>
      <c r="U433" s="8"/>
      <c r="V433" s="8"/>
    </row>
    <row r="434" ht="24.0" customHeight="1">
      <c r="F434" s="8"/>
      <c r="G434" s="8"/>
      <c r="H434" s="8"/>
      <c r="I434" s="8"/>
      <c r="J434" s="8"/>
      <c r="K434" s="8"/>
      <c r="L434" s="8"/>
      <c r="M434" s="8"/>
      <c r="N434" s="8"/>
      <c r="O434" s="8"/>
      <c r="P434" s="8"/>
      <c r="Q434" s="8"/>
      <c r="R434" s="8"/>
      <c r="S434" s="8"/>
      <c r="T434" s="8"/>
      <c r="U434" s="8"/>
      <c r="V434" s="8"/>
    </row>
    <row r="435" ht="24.0" customHeight="1">
      <c r="F435" s="8"/>
      <c r="G435" s="8"/>
      <c r="H435" s="8"/>
      <c r="I435" s="8"/>
      <c r="J435" s="8"/>
      <c r="K435" s="8"/>
      <c r="L435" s="8"/>
      <c r="M435" s="8"/>
      <c r="N435" s="8"/>
      <c r="O435" s="8"/>
      <c r="P435" s="8"/>
      <c r="Q435" s="8"/>
      <c r="R435" s="8"/>
      <c r="S435" s="8"/>
      <c r="T435" s="8"/>
      <c r="U435" s="8"/>
      <c r="V435" s="8"/>
    </row>
    <row r="436" ht="24.0" customHeight="1">
      <c r="F436" s="8"/>
      <c r="G436" s="8"/>
      <c r="H436" s="8"/>
      <c r="I436" s="8"/>
      <c r="J436" s="8"/>
      <c r="K436" s="8"/>
      <c r="L436" s="8"/>
      <c r="M436" s="8"/>
      <c r="N436" s="8"/>
      <c r="O436" s="8"/>
      <c r="P436" s="8"/>
      <c r="Q436" s="8"/>
      <c r="R436" s="8"/>
      <c r="S436" s="8"/>
      <c r="T436" s="8"/>
      <c r="U436" s="8"/>
      <c r="V436" s="8"/>
    </row>
    <row r="437" ht="24.0" customHeight="1">
      <c r="F437" s="8"/>
      <c r="G437" s="8"/>
      <c r="H437" s="8"/>
      <c r="I437" s="8"/>
      <c r="J437" s="8"/>
      <c r="K437" s="8"/>
      <c r="L437" s="8"/>
      <c r="M437" s="8"/>
      <c r="N437" s="8"/>
      <c r="O437" s="8"/>
      <c r="P437" s="8"/>
      <c r="Q437" s="8"/>
      <c r="R437" s="8"/>
      <c r="S437" s="8"/>
      <c r="T437" s="8"/>
      <c r="U437" s="8"/>
      <c r="V437" s="8"/>
    </row>
    <row r="438" ht="24.0" customHeight="1">
      <c r="F438" s="8"/>
      <c r="G438" s="8"/>
      <c r="H438" s="8"/>
      <c r="I438" s="8"/>
      <c r="J438" s="8"/>
      <c r="K438" s="8"/>
      <c r="L438" s="8"/>
      <c r="M438" s="8"/>
      <c r="N438" s="8"/>
      <c r="O438" s="8"/>
      <c r="P438" s="8"/>
      <c r="Q438" s="8"/>
      <c r="R438" s="8"/>
      <c r="S438" s="8"/>
      <c r="T438" s="8"/>
      <c r="U438" s="8"/>
      <c r="V438" s="8"/>
    </row>
    <row r="439" ht="24.0" customHeight="1">
      <c r="F439" s="8"/>
      <c r="G439" s="8"/>
      <c r="H439" s="8"/>
      <c r="I439" s="8"/>
      <c r="J439" s="8"/>
      <c r="K439" s="8"/>
      <c r="L439" s="8"/>
      <c r="M439" s="8"/>
      <c r="N439" s="8"/>
      <c r="O439" s="8"/>
      <c r="P439" s="8"/>
      <c r="Q439" s="8"/>
      <c r="R439" s="8"/>
      <c r="S439" s="8"/>
      <c r="T439" s="8"/>
      <c r="U439" s="8"/>
      <c r="V439" s="8"/>
    </row>
    <row r="440" ht="24.0" customHeight="1">
      <c r="F440" s="8"/>
      <c r="G440" s="8"/>
      <c r="H440" s="8"/>
      <c r="I440" s="8"/>
      <c r="J440" s="8"/>
      <c r="K440" s="8"/>
      <c r="L440" s="8"/>
      <c r="M440" s="8"/>
      <c r="N440" s="8"/>
      <c r="O440" s="8"/>
      <c r="P440" s="8"/>
      <c r="Q440" s="8"/>
      <c r="R440" s="8"/>
      <c r="S440" s="8"/>
      <c r="T440" s="8"/>
      <c r="U440" s="8"/>
      <c r="V440" s="8"/>
    </row>
    <row r="441" ht="24.0" customHeight="1">
      <c r="F441" s="8"/>
      <c r="G441" s="8"/>
      <c r="H441" s="8"/>
      <c r="I441" s="8"/>
      <c r="J441" s="8"/>
      <c r="K441" s="8"/>
      <c r="L441" s="8"/>
      <c r="M441" s="8"/>
      <c r="N441" s="8"/>
      <c r="O441" s="8"/>
      <c r="P441" s="8"/>
      <c r="Q441" s="8"/>
      <c r="R441" s="8"/>
      <c r="S441" s="8"/>
      <c r="T441" s="8"/>
      <c r="U441" s="8"/>
      <c r="V441" s="8"/>
    </row>
    <row r="442" ht="24.0" customHeight="1">
      <c r="F442" s="8"/>
      <c r="G442" s="8"/>
      <c r="H442" s="8"/>
      <c r="I442" s="8"/>
      <c r="J442" s="8"/>
      <c r="K442" s="8"/>
      <c r="L442" s="8"/>
      <c r="M442" s="8"/>
      <c r="N442" s="8"/>
      <c r="O442" s="8"/>
      <c r="P442" s="8"/>
      <c r="Q442" s="8"/>
      <c r="R442" s="8"/>
      <c r="S442" s="8"/>
      <c r="T442" s="8"/>
      <c r="U442" s="8"/>
      <c r="V442" s="8"/>
    </row>
    <row r="443" ht="24.0" customHeight="1">
      <c r="F443" s="8"/>
      <c r="G443" s="8"/>
      <c r="H443" s="8"/>
      <c r="I443" s="8"/>
      <c r="J443" s="8"/>
      <c r="K443" s="8"/>
      <c r="L443" s="8"/>
      <c r="M443" s="8"/>
      <c r="N443" s="8"/>
      <c r="O443" s="8"/>
      <c r="P443" s="8"/>
      <c r="Q443" s="8"/>
      <c r="R443" s="8"/>
      <c r="S443" s="8"/>
      <c r="T443" s="8"/>
      <c r="U443" s="8"/>
      <c r="V443" s="8"/>
    </row>
    <row r="444" ht="24.0" customHeight="1">
      <c r="F444" s="8"/>
      <c r="G444" s="8"/>
      <c r="H444" s="8"/>
      <c r="I444" s="8"/>
      <c r="J444" s="8"/>
      <c r="K444" s="8"/>
      <c r="L444" s="8"/>
      <c r="M444" s="8"/>
      <c r="N444" s="8"/>
      <c r="O444" s="8"/>
      <c r="P444" s="8"/>
      <c r="Q444" s="8"/>
      <c r="R444" s="8"/>
      <c r="S444" s="8"/>
      <c r="T444" s="8"/>
      <c r="U444" s="8"/>
      <c r="V444" s="8"/>
    </row>
    <row r="445" ht="24.0" customHeight="1">
      <c r="F445" s="8"/>
      <c r="G445" s="8"/>
      <c r="H445" s="8"/>
      <c r="I445" s="8"/>
      <c r="J445" s="8"/>
      <c r="K445" s="8"/>
      <c r="L445" s="8"/>
      <c r="M445" s="8"/>
      <c r="N445" s="8"/>
      <c r="O445" s="8"/>
      <c r="P445" s="8"/>
      <c r="Q445" s="8"/>
      <c r="R445" s="8"/>
      <c r="S445" s="8"/>
      <c r="T445" s="8"/>
      <c r="U445" s="8"/>
      <c r="V445" s="8"/>
    </row>
    <row r="446" ht="24.0" customHeight="1">
      <c r="F446" s="8"/>
      <c r="G446" s="8"/>
      <c r="H446" s="8"/>
      <c r="I446" s="8"/>
      <c r="J446" s="8"/>
      <c r="K446" s="8"/>
      <c r="L446" s="8"/>
      <c r="M446" s="8"/>
      <c r="N446" s="8"/>
      <c r="O446" s="8"/>
      <c r="P446" s="8"/>
      <c r="Q446" s="8"/>
      <c r="R446" s="8"/>
      <c r="S446" s="8"/>
      <c r="T446" s="8"/>
      <c r="U446" s="8"/>
      <c r="V446" s="8"/>
    </row>
    <row r="447" ht="24.0" customHeight="1">
      <c r="F447" s="8"/>
      <c r="G447" s="8"/>
      <c r="H447" s="8"/>
      <c r="I447" s="8"/>
      <c r="J447" s="8"/>
      <c r="K447" s="8"/>
      <c r="L447" s="8"/>
      <c r="M447" s="8"/>
      <c r="N447" s="8"/>
      <c r="O447" s="8"/>
      <c r="P447" s="8"/>
      <c r="Q447" s="8"/>
      <c r="R447" s="8"/>
      <c r="S447" s="8"/>
      <c r="T447" s="8"/>
      <c r="U447" s="8"/>
      <c r="V447" s="8"/>
    </row>
    <row r="448" ht="24.0" customHeight="1">
      <c r="F448" s="8"/>
      <c r="G448" s="8"/>
      <c r="H448" s="8"/>
      <c r="I448" s="8"/>
      <c r="J448" s="8"/>
      <c r="K448" s="8"/>
      <c r="L448" s="8"/>
      <c r="M448" s="8"/>
      <c r="N448" s="8"/>
      <c r="O448" s="8"/>
      <c r="P448" s="8"/>
      <c r="Q448" s="8"/>
      <c r="R448" s="8"/>
      <c r="S448" s="8"/>
      <c r="T448" s="8"/>
      <c r="U448" s="8"/>
      <c r="V448" s="8"/>
    </row>
    <row r="449" ht="24.0" customHeight="1">
      <c r="F449" s="8"/>
      <c r="G449" s="8"/>
      <c r="H449" s="8"/>
      <c r="I449" s="8"/>
      <c r="J449" s="8"/>
      <c r="K449" s="8"/>
      <c r="L449" s="8"/>
      <c r="M449" s="8"/>
      <c r="N449" s="8"/>
      <c r="O449" s="8"/>
      <c r="P449" s="8"/>
      <c r="Q449" s="8"/>
      <c r="R449" s="8"/>
      <c r="S449" s="8"/>
      <c r="T449" s="8"/>
      <c r="U449" s="8"/>
      <c r="V449" s="8"/>
    </row>
    <row r="450" ht="24.0" customHeight="1">
      <c r="F450" s="8"/>
      <c r="G450" s="8"/>
      <c r="H450" s="8"/>
      <c r="I450" s="8"/>
      <c r="J450" s="8"/>
      <c r="K450" s="8"/>
      <c r="L450" s="8"/>
      <c r="M450" s="8"/>
      <c r="N450" s="8"/>
      <c r="O450" s="8"/>
      <c r="P450" s="8"/>
      <c r="Q450" s="8"/>
      <c r="R450" s="8"/>
      <c r="S450" s="8"/>
      <c r="T450" s="8"/>
      <c r="U450" s="8"/>
      <c r="V450" s="8"/>
    </row>
    <row r="451" ht="24.0" customHeight="1">
      <c r="F451" s="8"/>
      <c r="G451" s="8"/>
      <c r="H451" s="8"/>
      <c r="I451" s="8"/>
      <c r="J451" s="8"/>
      <c r="K451" s="8"/>
      <c r="L451" s="8"/>
      <c r="M451" s="8"/>
      <c r="N451" s="8"/>
      <c r="O451" s="8"/>
      <c r="P451" s="8"/>
      <c r="Q451" s="8"/>
      <c r="R451" s="8"/>
      <c r="S451" s="8"/>
      <c r="T451" s="8"/>
      <c r="U451" s="8"/>
      <c r="V451" s="8"/>
    </row>
    <row r="452" ht="24.0" customHeight="1">
      <c r="F452" s="8"/>
      <c r="G452" s="8"/>
      <c r="H452" s="8"/>
      <c r="I452" s="8"/>
      <c r="J452" s="8"/>
      <c r="K452" s="8"/>
      <c r="L452" s="8"/>
      <c r="M452" s="8"/>
      <c r="N452" s="8"/>
      <c r="O452" s="8"/>
      <c r="P452" s="8"/>
      <c r="Q452" s="8"/>
      <c r="R452" s="8"/>
      <c r="S452" s="8"/>
      <c r="T452" s="8"/>
      <c r="U452" s="8"/>
      <c r="V452" s="8"/>
    </row>
    <row r="453" ht="24.0" customHeight="1">
      <c r="F453" s="8"/>
      <c r="G453" s="8"/>
      <c r="H453" s="8"/>
      <c r="I453" s="8"/>
      <c r="J453" s="8"/>
      <c r="K453" s="8"/>
      <c r="L453" s="8"/>
      <c r="M453" s="8"/>
      <c r="N453" s="8"/>
      <c r="O453" s="8"/>
      <c r="P453" s="8"/>
      <c r="Q453" s="8"/>
      <c r="R453" s="8"/>
      <c r="S453" s="8"/>
      <c r="T453" s="8"/>
      <c r="U453" s="8"/>
      <c r="V453" s="8"/>
    </row>
    <row r="454" ht="24.0" customHeight="1">
      <c r="F454" s="8"/>
      <c r="G454" s="8"/>
      <c r="H454" s="8"/>
      <c r="I454" s="8"/>
      <c r="J454" s="8"/>
      <c r="K454" s="8"/>
      <c r="L454" s="8"/>
      <c r="M454" s="8"/>
      <c r="N454" s="8"/>
      <c r="O454" s="8"/>
      <c r="P454" s="8"/>
      <c r="Q454" s="8"/>
      <c r="R454" s="8"/>
      <c r="S454" s="8"/>
      <c r="T454" s="8"/>
      <c r="U454" s="8"/>
      <c r="V454" s="8"/>
    </row>
    <row r="455" ht="24.0" customHeight="1">
      <c r="F455" s="8"/>
      <c r="G455" s="8"/>
      <c r="H455" s="8"/>
      <c r="I455" s="8"/>
      <c r="J455" s="8"/>
      <c r="K455" s="8"/>
      <c r="L455" s="8"/>
      <c r="M455" s="8"/>
      <c r="N455" s="8"/>
      <c r="O455" s="8"/>
      <c r="P455" s="8"/>
      <c r="Q455" s="8"/>
      <c r="R455" s="8"/>
      <c r="S455" s="8"/>
      <c r="T455" s="8"/>
      <c r="U455" s="8"/>
      <c r="V455" s="8"/>
    </row>
    <row r="456" ht="24.0" customHeight="1">
      <c r="F456" s="8"/>
      <c r="G456" s="8"/>
      <c r="H456" s="8"/>
      <c r="I456" s="8"/>
      <c r="J456" s="8"/>
      <c r="K456" s="8"/>
      <c r="L456" s="8"/>
      <c r="M456" s="8"/>
      <c r="N456" s="8"/>
      <c r="O456" s="8"/>
      <c r="P456" s="8"/>
      <c r="Q456" s="8"/>
      <c r="R456" s="8"/>
      <c r="S456" s="8"/>
      <c r="T456" s="8"/>
      <c r="U456" s="8"/>
      <c r="V456" s="8"/>
    </row>
    <row r="457" ht="24.0" customHeight="1">
      <c r="F457" s="8"/>
      <c r="G457" s="8"/>
      <c r="H457" s="8"/>
      <c r="I457" s="8"/>
      <c r="J457" s="8"/>
      <c r="K457" s="8"/>
      <c r="L457" s="8"/>
      <c r="M457" s="8"/>
      <c r="N457" s="8"/>
      <c r="O457" s="8"/>
      <c r="P457" s="8"/>
      <c r="Q457" s="8"/>
      <c r="R457" s="8"/>
      <c r="S457" s="8"/>
      <c r="T457" s="8"/>
      <c r="U457" s="8"/>
      <c r="V457" s="8"/>
    </row>
    <row r="458" ht="24.0" customHeight="1">
      <c r="F458" s="8"/>
      <c r="G458" s="8"/>
      <c r="H458" s="8"/>
      <c r="I458" s="8"/>
      <c r="J458" s="8"/>
      <c r="K458" s="8"/>
      <c r="L458" s="8"/>
      <c r="M458" s="8"/>
      <c r="N458" s="8"/>
      <c r="O458" s="8"/>
      <c r="P458" s="8"/>
      <c r="Q458" s="8"/>
      <c r="R458" s="8"/>
      <c r="S458" s="8"/>
      <c r="T458" s="8"/>
      <c r="U458" s="8"/>
      <c r="V458" s="8"/>
    </row>
    <row r="459" ht="24.0" customHeight="1">
      <c r="F459" s="8"/>
      <c r="G459" s="8"/>
      <c r="H459" s="8"/>
      <c r="I459" s="8"/>
      <c r="J459" s="8"/>
      <c r="K459" s="8"/>
      <c r="L459" s="8"/>
      <c r="M459" s="8"/>
      <c r="N459" s="8"/>
      <c r="O459" s="8"/>
      <c r="P459" s="8"/>
      <c r="Q459" s="8"/>
      <c r="R459" s="8"/>
      <c r="S459" s="8"/>
      <c r="T459" s="8"/>
      <c r="U459" s="8"/>
      <c r="V459" s="8"/>
    </row>
    <row r="460" ht="24.0" customHeight="1">
      <c r="F460" s="8"/>
      <c r="G460" s="8"/>
      <c r="H460" s="8"/>
      <c r="I460" s="8"/>
      <c r="J460" s="8"/>
      <c r="K460" s="8"/>
      <c r="L460" s="8"/>
      <c r="M460" s="8"/>
      <c r="N460" s="8"/>
      <c r="O460" s="8"/>
      <c r="P460" s="8"/>
      <c r="Q460" s="8"/>
      <c r="R460" s="8"/>
      <c r="S460" s="8"/>
      <c r="T460" s="8"/>
      <c r="U460" s="8"/>
      <c r="V460" s="8"/>
    </row>
    <row r="461" ht="24.0" customHeight="1">
      <c r="F461" s="8"/>
      <c r="G461" s="8"/>
      <c r="H461" s="8"/>
      <c r="I461" s="8"/>
      <c r="J461" s="8"/>
      <c r="K461" s="8"/>
      <c r="L461" s="8"/>
      <c r="M461" s="8"/>
      <c r="N461" s="8"/>
      <c r="O461" s="8"/>
      <c r="P461" s="8"/>
      <c r="Q461" s="8"/>
      <c r="R461" s="8"/>
      <c r="S461" s="8"/>
      <c r="T461" s="8"/>
      <c r="U461" s="8"/>
      <c r="V461" s="8"/>
    </row>
    <row r="462" ht="24.0" customHeight="1">
      <c r="F462" s="8"/>
      <c r="G462" s="8"/>
      <c r="H462" s="8"/>
      <c r="I462" s="8"/>
      <c r="J462" s="8"/>
      <c r="K462" s="8"/>
      <c r="L462" s="8"/>
      <c r="M462" s="8"/>
      <c r="N462" s="8"/>
      <c r="O462" s="8"/>
      <c r="P462" s="8"/>
      <c r="Q462" s="8"/>
      <c r="R462" s="8"/>
      <c r="S462" s="8"/>
      <c r="T462" s="8"/>
      <c r="U462" s="8"/>
      <c r="V462" s="8"/>
    </row>
    <row r="463" ht="24.0" customHeight="1">
      <c r="F463" s="8"/>
      <c r="G463" s="8"/>
      <c r="H463" s="8"/>
      <c r="I463" s="8"/>
      <c r="J463" s="8"/>
      <c r="K463" s="8"/>
      <c r="L463" s="8"/>
      <c r="M463" s="8"/>
      <c r="N463" s="8"/>
      <c r="O463" s="8"/>
      <c r="P463" s="8"/>
      <c r="Q463" s="8"/>
      <c r="R463" s="8"/>
      <c r="S463" s="8"/>
      <c r="T463" s="8"/>
      <c r="U463" s="8"/>
      <c r="V463" s="8"/>
    </row>
    <row r="464" ht="24.0" customHeight="1">
      <c r="F464" s="8"/>
      <c r="G464" s="8"/>
      <c r="H464" s="8"/>
      <c r="I464" s="8"/>
      <c r="J464" s="8"/>
      <c r="K464" s="8"/>
      <c r="L464" s="8"/>
      <c r="M464" s="8"/>
      <c r="N464" s="8"/>
      <c r="O464" s="8"/>
      <c r="P464" s="8"/>
      <c r="Q464" s="8"/>
      <c r="R464" s="8"/>
      <c r="S464" s="8"/>
      <c r="T464" s="8"/>
      <c r="U464" s="8"/>
      <c r="V464" s="8"/>
    </row>
    <row r="465" ht="24.0" customHeight="1">
      <c r="F465" s="8"/>
      <c r="G465" s="8"/>
      <c r="H465" s="8"/>
      <c r="I465" s="8"/>
      <c r="J465" s="8"/>
      <c r="K465" s="8"/>
      <c r="L465" s="8"/>
      <c r="M465" s="8"/>
      <c r="N465" s="8"/>
      <c r="O465" s="8"/>
      <c r="P465" s="8"/>
      <c r="Q465" s="8"/>
      <c r="R465" s="8"/>
      <c r="S465" s="8"/>
      <c r="T465" s="8"/>
      <c r="U465" s="8"/>
      <c r="V465" s="8"/>
    </row>
    <row r="466" ht="24.0" customHeight="1">
      <c r="F466" s="8"/>
      <c r="G466" s="8"/>
      <c r="H466" s="8"/>
      <c r="I466" s="8"/>
      <c r="J466" s="8"/>
      <c r="K466" s="8"/>
      <c r="L466" s="8"/>
      <c r="M466" s="8"/>
      <c r="N466" s="8"/>
      <c r="O466" s="8"/>
      <c r="P466" s="8"/>
      <c r="Q466" s="8"/>
      <c r="R466" s="8"/>
      <c r="S466" s="8"/>
      <c r="T466" s="8"/>
      <c r="U466" s="8"/>
      <c r="V466" s="8"/>
    </row>
    <row r="467" ht="24.0" customHeight="1">
      <c r="F467" s="8"/>
      <c r="G467" s="8"/>
      <c r="H467" s="8"/>
      <c r="I467" s="8"/>
      <c r="J467" s="8"/>
      <c r="K467" s="8"/>
      <c r="L467" s="8"/>
      <c r="M467" s="8"/>
      <c r="N467" s="8"/>
      <c r="O467" s="8"/>
      <c r="P467" s="8"/>
      <c r="Q467" s="8"/>
      <c r="R467" s="8"/>
      <c r="S467" s="8"/>
      <c r="T467" s="8"/>
      <c r="U467" s="8"/>
      <c r="V467" s="8"/>
    </row>
    <row r="468" ht="24.0" customHeight="1">
      <c r="F468" s="8"/>
      <c r="G468" s="8"/>
      <c r="H468" s="8"/>
      <c r="I468" s="8"/>
      <c r="J468" s="8"/>
      <c r="K468" s="8"/>
      <c r="L468" s="8"/>
      <c r="M468" s="8"/>
      <c r="N468" s="8"/>
      <c r="O468" s="8"/>
      <c r="P468" s="8"/>
      <c r="Q468" s="8"/>
      <c r="R468" s="8"/>
      <c r="S468" s="8"/>
      <c r="T468" s="8"/>
      <c r="U468" s="8"/>
      <c r="V468" s="8"/>
    </row>
    <row r="469" ht="24.0" customHeight="1">
      <c r="F469" s="8"/>
      <c r="G469" s="8"/>
      <c r="H469" s="8"/>
      <c r="I469" s="8"/>
      <c r="J469" s="8"/>
      <c r="K469" s="8"/>
      <c r="L469" s="8"/>
      <c r="M469" s="8"/>
      <c r="N469" s="8"/>
      <c r="O469" s="8"/>
      <c r="P469" s="8"/>
      <c r="Q469" s="8"/>
      <c r="R469" s="8"/>
      <c r="S469" s="8"/>
      <c r="T469" s="8"/>
      <c r="U469" s="8"/>
      <c r="V469" s="8"/>
    </row>
    <row r="470" ht="24.0" customHeight="1">
      <c r="F470" s="8"/>
      <c r="G470" s="8"/>
      <c r="H470" s="8"/>
      <c r="I470" s="8"/>
      <c r="J470" s="8"/>
      <c r="K470" s="8"/>
      <c r="L470" s="8"/>
      <c r="M470" s="8"/>
      <c r="N470" s="8"/>
      <c r="O470" s="8"/>
      <c r="P470" s="8"/>
      <c r="Q470" s="8"/>
      <c r="R470" s="8"/>
      <c r="S470" s="8"/>
      <c r="T470" s="8"/>
      <c r="U470" s="8"/>
      <c r="V470" s="8"/>
    </row>
    <row r="471" ht="24.0" customHeight="1">
      <c r="F471" s="8"/>
      <c r="G471" s="8"/>
      <c r="H471" s="8"/>
      <c r="I471" s="8"/>
      <c r="J471" s="8"/>
      <c r="K471" s="8"/>
      <c r="L471" s="8"/>
      <c r="M471" s="8"/>
      <c r="N471" s="8"/>
      <c r="O471" s="8"/>
      <c r="P471" s="8"/>
      <c r="Q471" s="8"/>
      <c r="R471" s="8"/>
      <c r="S471" s="8"/>
      <c r="T471" s="8"/>
      <c r="U471" s="8"/>
      <c r="V471" s="8"/>
    </row>
    <row r="472" ht="24.0" customHeight="1">
      <c r="F472" s="8"/>
      <c r="G472" s="8"/>
      <c r="H472" s="8"/>
      <c r="I472" s="8"/>
      <c r="J472" s="8"/>
      <c r="K472" s="8"/>
      <c r="L472" s="8"/>
      <c r="M472" s="8"/>
      <c r="N472" s="8"/>
      <c r="O472" s="8"/>
      <c r="P472" s="8"/>
      <c r="Q472" s="8"/>
      <c r="R472" s="8"/>
      <c r="S472" s="8"/>
      <c r="T472" s="8"/>
      <c r="U472" s="8"/>
      <c r="V472" s="8"/>
    </row>
    <row r="473" ht="24.0" customHeight="1">
      <c r="F473" s="8"/>
      <c r="G473" s="8"/>
      <c r="H473" s="8"/>
      <c r="I473" s="8"/>
      <c r="J473" s="8"/>
      <c r="K473" s="8"/>
      <c r="L473" s="8"/>
      <c r="M473" s="8"/>
      <c r="N473" s="8"/>
      <c r="O473" s="8"/>
      <c r="P473" s="8"/>
      <c r="Q473" s="8"/>
      <c r="R473" s="8"/>
      <c r="S473" s="8"/>
      <c r="T473" s="8"/>
      <c r="U473" s="8"/>
      <c r="V473" s="8"/>
    </row>
    <row r="474" ht="24.0" customHeight="1">
      <c r="F474" s="8"/>
      <c r="G474" s="8"/>
      <c r="H474" s="8"/>
      <c r="I474" s="8"/>
      <c r="J474" s="8"/>
      <c r="K474" s="8"/>
      <c r="L474" s="8"/>
      <c r="M474" s="8"/>
      <c r="N474" s="8"/>
      <c r="O474" s="8"/>
      <c r="P474" s="8"/>
      <c r="Q474" s="8"/>
      <c r="R474" s="8"/>
      <c r="S474" s="8"/>
      <c r="T474" s="8"/>
      <c r="U474" s="8"/>
      <c r="V474" s="8"/>
    </row>
    <row r="475" ht="24.0" customHeight="1">
      <c r="F475" s="8"/>
      <c r="G475" s="8"/>
      <c r="H475" s="8"/>
      <c r="I475" s="8"/>
      <c r="J475" s="8"/>
      <c r="K475" s="8"/>
      <c r="L475" s="8"/>
      <c r="M475" s="8"/>
      <c r="N475" s="8"/>
      <c r="O475" s="8"/>
      <c r="P475" s="8"/>
      <c r="Q475" s="8"/>
      <c r="R475" s="8"/>
      <c r="S475" s="8"/>
      <c r="T475" s="8"/>
      <c r="U475" s="8"/>
      <c r="V475" s="8"/>
    </row>
    <row r="476" ht="24.0" customHeight="1">
      <c r="F476" s="8"/>
      <c r="G476" s="8"/>
      <c r="H476" s="8"/>
      <c r="I476" s="8"/>
      <c r="J476" s="8"/>
      <c r="K476" s="8"/>
      <c r="L476" s="8"/>
      <c r="M476" s="8"/>
      <c r="N476" s="8"/>
      <c r="O476" s="8"/>
      <c r="P476" s="8"/>
      <c r="Q476" s="8"/>
      <c r="R476" s="8"/>
      <c r="S476" s="8"/>
      <c r="T476" s="8"/>
      <c r="U476" s="8"/>
      <c r="V476" s="8"/>
    </row>
    <row r="477" ht="24.0" customHeight="1">
      <c r="F477" s="8"/>
      <c r="G477" s="8"/>
      <c r="H477" s="8"/>
      <c r="I477" s="8"/>
      <c r="J477" s="8"/>
      <c r="K477" s="8"/>
      <c r="L477" s="8"/>
      <c r="M477" s="8"/>
      <c r="N477" s="8"/>
      <c r="O477" s="8"/>
      <c r="P477" s="8"/>
      <c r="Q477" s="8"/>
      <c r="R477" s="8"/>
      <c r="S477" s="8"/>
      <c r="T477" s="8"/>
      <c r="U477" s="8"/>
      <c r="V477" s="8"/>
    </row>
    <row r="478" ht="24.0" customHeight="1">
      <c r="F478" s="8"/>
      <c r="G478" s="8"/>
      <c r="H478" s="8"/>
      <c r="I478" s="8"/>
      <c r="J478" s="8"/>
      <c r="K478" s="8"/>
      <c r="L478" s="8"/>
      <c r="M478" s="8"/>
      <c r="N478" s="8"/>
      <c r="O478" s="8"/>
      <c r="P478" s="8"/>
      <c r="Q478" s="8"/>
      <c r="R478" s="8"/>
      <c r="S478" s="8"/>
      <c r="T478" s="8"/>
      <c r="U478" s="8"/>
      <c r="V478" s="8"/>
    </row>
    <row r="479" ht="24.0" customHeight="1">
      <c r="F479" s="8"/>
      <c r="G479" s="8"/>
      <c r="H479" s="8"/>
      <c r="I479" s="8"/>
      <c r="J479" s="8"/>
      <c r="K479" s="8"/>
      <c r="L479" s="8"/>
      <c r="M479" s="8"/>
      <c r="N479" s="8"/>
      <c r="O479" s="8"/>
      <c r="P479" s="8"/>
      <c r="Q479" s="8"/>
      <c r="R479" s="8"/>
      <c r="S479" s="8"/>
      <c r="T479" s="8"/>
      <c r="U479" s="8"/>
      <c r="V479" s="8"/>
    </row>
    <row r="480" ht="24.0" customHeight="1">
      <c r="F480" s="8"/>
      <c r="G480" s="8"/>
      <c r="H480" s="8"/>
      <c r="I480" s="8"/>
      <c r="J480" s="8"/>
      <c r="K480" s="8"/>
      <c r="L480" s="8"/>
      <c r="M480" s="8"/>
      <c r="N480" s="8"/>
      <c r="O480" s="8"/>
      <c r="P480" s="8"/>
      <c r="Q480" s="8"/>
      <c r="R480" s="8"/>
      <c r="S480" s="8"/>
      <c r="T480" s="8"/>
      <c r="U480" s="8"/>
      <c r="V480" s="8"/>
    </row>
    <row r="481" ht="24.0" customHeight="1">
      <c r="F481" s="8"/>
      <c r="G481" s="8"/>
      <c r="H481" s="8"/>
      <c r="I481" s="8"/>
      <c r="J481" s="8"/>
      <c r="K481" s="8"/>
      <c r="L481" s="8"/>
      <c r="M481" s="8"/>
      <c r="N481" s="8"/>
      <c r="O481" s="8"/>
      <c r="P481" s="8"/>
      <c r="Q481" s="8"/>
      <c r="R481" s="8"/>
      <c r="S481" s="8"/>
      <c r="T481" s="8"/>
      <c r="U481" s="8"/>
      <c r="V481" s="8"/>
    </row>
    <row r="482" ht="24.0" customHeight="1">
      <c r="F482" s="8"/>
      <c r="G482" s="8"/>
      <c r="H482" s="8"/>
      <c r="I482" s="8"/>
      <c r="J482" s="8"/>
      <c r="K482" s="8"/>
      <c r="L482" s="8"/>
      <c r="M482" s="8"/>
      <c r="N482" s="8"/>
      <c r="O482" s="8"/>
      <c r="P482" s="8"/>
      <c r="Q482" s="8"/>
      <c r="R482" s="8"/>
      <c r="S482" s="8"/>
      <c r="T482" s="8"/>
      <c r="U482" s="8"/>
      <c r="V482" s="8"/>
    </row>
    <row r="483" ht="24.0" customHeight="1">
      <c r="F483" s="8"/>
      <c r="G483" s="8"/>
      <c r="H483" s="8"/>
      <c r="I483" s="8"/>
      <c r="J483" s="8"/>
      <c r="K483" s="8"/>
      <c r="L483" s="8"/>
      <c r="M483" s="8"/>
      <c r="N483" s="8"/>
      <c r="O483" s="8"/>
      <c r="P483" s="8"/>
      <c r="Q483" s="8"/>
      <c r="R483" s="8"/>
      <c r="S483" s="8"/>
      <c r="T483" s="8"/>
      <c r="U483" s="8"/>
      <c r="V483" s="8"/>
    </row>
    <row r="484" ht="24.0" customHeight="1">
      <c r="F484" s="8"/>
      <c r="G484" s="8"/>
      <c r="H484" s="8"/>
      <c r="I484" s="8"/>
      <c r="J484" s="8"/>
      <c r="K484" s="8"/>
      <c r="L484" s="8"/>
      <c r="M484" s="8"/>
      <c r="N484" s="8"/>
      <c r="O484" s="8"/>
      <c r="P484" s="8"/>
      <c r="Q484" s="8"/>
      <c r="R484" s="8"/>
      <c r="S484" s="8"/>
      <c r="T484" s="8"/>
      <c r="U484" s="8"/>
      <c r="V484" s="8"/>
    </row>
    <row r="485" ht="24.0" customHeight="1">
      <c r="F485" s="8"/>
      <c r="G485" s="8"/>
      <c r="H485" s="8"/>
      <c r="I485" s="8"/>
      <c r="J485" s="8"/>
      <c r="K485" s="8"/>
      <c r="L485" s="8"/>
      <c r="M485" s="8"/>
      <c r="N485" s="8"/>
      <c r="O485" s="8"/>
      <c r="P485" s="8"/>
      <c r="Q485" s="8"/>
      <c r="R485" s="8"/>
      <c r="S485" s="8"/>
      <c r="T485" s="8"/>
      <c r="U485" s="8"/>
      <c r="V485" s="8"/>
    </row>
    <row r="486" ht="24.0" customHeight="1">
      <c r="F486" s="8"/>
      <c r="G486" s="8"/>
      <c r="H486" s="8"/>
      <c r="I486" s="8"/>
      <c r="J486" s="8"/>
      <c r="K486" s="8"/>
      <c r="L486" s="8"/>
      <c r="M486" s="8"/>
      <c r="N486" s="8"/>
      <c r="O486" s="8"/>
      <c r="P486" s="8"/>
      <c r="Q486" s="8"/>
      <c r="R486" s="8"/>
      <c r="S486" s="8"/>
      <c r="T486" s="8"/>
      <c r="U486" s="8"/>
      <c r="V486" s="8"/>
    </row>
    <row r="487" ht="24.0" customHeight="1">
      <c r="F487" s="8"/>
      <c r="G487" s="8"/>
      <c r="H487" s="8"/>
      <c r="I487" s="8"/>
      <c r="J487" s="8"/>
      <c r="K487" s="8"/>
      <c r="L487" s="8"/>
      <c r="M487" s="8"/>
      <c r="N487" s="8"/>
      <c r="O487" s="8"/>
      <c r="P487" s="8"/>
      <c r="Q487" s="8"/>
      <c r="R487" s="8"/>
      <c r="S487" s="8"/>
      <c r="T487" s="8"/>
      <c r="U487" s="8"/>
      <c r="V487" s="8"/>
    </row>
    <row r="488" ht="24.0" customHeight="1">
      <c r="F488" s="8"/>
      <c r="G488" s="8"/>
      <c r="H488" s="8"/>
      <c r="I488" s="8"/>
      <c r="J488" s="8"/>
      <c r="K488" s="8"/>
      <c r="L488" s="8"/>
      <c r="M488" s="8"/>
      <c r="N488" s="8"/>
      <c r="O488" s="8"/>
      <c r="P488" s="8"/>
      <c r="Q488" s="8"/>
      <c r="R488" s="8"/>
      <c r="S488" s="8"/>
      <c r="T488" s="8"/>
      <c r="U488" s="8"/>
      <c r="V488" s="8"/>
    </row>
    <row r="489" ht="24.0" customHeight="1">
      <c r="F489" s="8"/>
      <c r="G489" s="8"/>
      <c r="H489" s="8"/>
      <c r="I489" s="8"/>
      <c r="J489" s="8"/>
      <c r="K489" s="8"/>
      <c r="L489" s="8"/>
      <c r="M489" s="8"/>
      <c r="N489" s="8"/>
      <c r="O489" s="8"/>
      <c r="P489" s="8"/>
      <c r="Q489" s="8"/>
      <c r="R489" s="8"/>
      <c r="S489" s="8"/>
      <c r="T489" s="8"/>
      <c r="U489" s="8"/>
      <c r="V489" s="8"/>
    </row>
    <row r="490" ht="24.0" customHeight="1">
      <c r="F490" s="8"/>
      <c r="G490" s="8"/>
      <c r="H490" s="8"/>
      <c r="I490" s="8"/>
      <c r="J490" s="8"/>
      <c r="K490" s="8"/>
      <c r="L490" s="8"/>
      <c r="M490" s="8"/>
      <c r="N490" s="8"/>
      <c r="O490" s="8"/>
      <c r="P490" s="8"/>
      <c r="Q490" s="8"/>
      <c r="R490" s="8"/>
      <c r="S490" s="8"/>
      <c r="T490" s="8"/>
      <c r="U490" s="8"/>
      <c r="V490" s="8"/>
    </row>
    <row r="491" ht="24.0" customHeight="1">
      <c r="F491" s="8"/>
      <c r="G491" s="8"/>
      <c r="H491" s="8"/>
      <c r="I491" s="8"/>
      <c r="J491" s="8"/>
      <c r="K491" s="8"/>
      <c r="L491" s="8"/>
      <c r="M491" s="8"/>
      <c r="N491" s="8"/>
      <c r="O491" s="8"/>
      <c r="P491" s="8"/>
      <c r="Q491" s="8"/>
      <c r="R491" s="8"/>
      <c r="S491" s="8"/>
      <c r="T491" s="8"/>
      <c r="U491" s="8"/>
      <c r="V491" s="8"/>
    </row>
    <row r="492" ht="24.0" customHeight="1">
      <c r="F492" s="8"/>
      <c r="G492" s="8"/>
      <c r="H492" s="8"/>
      <c r="I492" s="8"/>
      <c r="J492" s="8"/>
      <c r="K492" s="8"/>
      <c r="L492" s="8"/>
      <c r="M492" s="8"/>
      <c r="N492" s="8"/>
      <c r="O492" s="8"/>
      <c r="P492" s="8"/>
      <c r="Q492" s="8"/>
      <c r="R492" s="8"/>
      <c r="S492" s="8"/>
      <c r="T492" s="8"/>
      <c r="U492" s="8"/>
      <c r="V492" s="8"/>
    </row>
    <row r="493" ht="24.0" customHeight="1">
      <c r="F493" s="8"/>
      <c r="G493" s="8"/>
      <c r="H493" s="8"/>
      <c r="I493" s="8"/>
      <c r="J493" s="8"/>
      <c r="K493" s="8"/>
      <c r="L493" s="8"/>
      <c r="M493" s="8"/>
      <c r="N493" s="8"/>
      <c r="O493" s="8"/>
      <c r="P493" s="8"/>
      <c r="Q493" s="8"/>
      <c r="R493" s="8"/>
      <c r="S493" s="8"/>
      <c r="T493" s="8"/>
      <c r="U493" s="8"/>
      <c r="V493" s="8"/>
    </row>
    <row r="494" ht="24.0" customHeight="1">
      <c r="F494" s="8"/>
      <c r="G494" s="8"/>
      <c r="H494" s="8"/>
      <c r="I494" s="8"/>
      <c r="J494" s="8"/>
      <c r="K494" s="8"/>
      <c r="L494" s="8"/>
      <c r="M494" s="8"/>
      <c r="N494" s="8"/>
      <c r="O494" s="8"/>
      <c r="P494" s="8"/>
      <c r="Q494" s="8"/>
      <c r="R494" s="8"/>
      <c r="S494" s="8"/>
      <c r="T494" s="8"/>
      <c r="U494" s="8"/>
      <c r="V494" s="8"/>
    </row>
    <row r="495" ht="24.0" customHeight="1">
      <c r="F495" s="8"/>
      <c r="G495" s="8"/>
      <c r="H495" s="8"/>
      <c r="I495" s="8"/>
      <c r="J495" s="8"/>
      <c r="K495" s="8"/>
      <c r="L495" s="8"/>
      <c r="M495" s="8"/>
      <c r="N495" s="8"/>
      <c r="O495" s="8"/>
      <c r="P495" s="8"/>
      <c r="Q495" s="8"/>
      <c r="R495" s="8"/>
      <c r="S495" s="8"/>
      <c r="T495" s="8"/>
      <c r="U495" s="8"/>
      <c r="V495" s="8"/>
    </row>
    <row r="496" ht="24.0" customHeight="1">
      <c r="F496" s="8"/>
      <c r="G496" s="8"/>
      <c r="H496" s="8"/>
      <c r="I496" s="8"/>
      <c r="J496" s="8"/>
      <c r="K496" s="8"/>
      <c r="L496" s="8"/>
      <c r="M496" s="8"/>
      <c r="N496" s="8"/>
      <c r="O496" s="8"/>
      <c r="P496" s="8"/>
      <c r="Q496" s="8"/>
      <c r="R496" s="8"/>
      <c r="S496" s="8"/>
      <c r="T496" s="8"/>
      <c r="U496" s="8"/>
      <c r="V496" s="8"/>
    </row>
    <row r="497" ht="24.0" customHeight="1">
      <c r="F497" s="8"/>
      <c r="G497" s="8"/>
      <c r="H497" s="8"/>
      <c r="I497" s="8"/>
      <c r="J497" s="8"/>
      <c r="K497" s="8"/>
      <c r="L497" s="8"/>
      <c r="M497" s="8"/>
      <c r="N497" s="8"/>
      <c r="O497" s="8"/>
      <c r="P497" s="8"/>
      <c r="Q497" s="8"/>
      <c r="R497" s="8"/>
      <c r="S497" s="8"/>
      <c r="T497" s="8"/>
      <c r="U497" s="8"/>
      <c r="V497" s="8"/>
    </row>
    <row r="498" ht="24.0" customHeight="1">
      <c r="F498" s="8"/>
      <c r="G498" s="8"/>
      <c r="H498" s="8"/>
      <c r="I498" s="8"/>
      <c r="J498" s="8"/>
      <c r="K498" s="8"/>
      <c r="L498" s="8"/>
      <c r="M498" s="8"/>
      <c r="N498" s="8"/>
      <c r="O498" s="8"/>
      <c r="P498" s="8"/>
      <c r="Q498" s="8"/>
      <c r="R498" s="8"/>
      <c r="S498" s="8"/>
      <c r="T498" s="8"/>
      <c r="U498" s="8"/>
      <c r="V498" s="8"/>
    </row>
    <row r="499" ht="24.0" customHeight="1">
      <c r="F499" s="8"/>
      <c r="G499" s="8"/>
      <c r="H499" s="8"/>
      <c r="I499" s="8"/>
      <c r="J499" s="8"/>
      <c r="K499" s="8"/>
      <c r="L499" s="8"/>
      <c r="M499" s="8"/>
      <c r="N499" s="8"/>
      <c r="O499" s="8"/>
      <c r="P499" s="8"/>
      <c r="Q499" s="8"/>
      <c r="R499" s="8"/>
      <c r="S499" s="8"/>
      <c r="T499" s="8"/>
      <c r="U499" s="8"/>
      <c r="V499" s="8"/>
    </row>
    <row r="500" ht="24.0" customHeight="1">
      <c r="F500" s="8"/>
      <c r="G500" s="8"/>
      <c r="H500" s="8"/>
      <c r="I500" s="8"/>
      <c r="J500" s="8"/>
      <c r="K500" s="8"/>
      <c r="L500" s="8"/>
      <c r="M500" s="8"/>
      <c r="N500" s="8"/>
      <c r="O500" s="8"/>
      <c r="P500" s="8"/>
      <c r="Q500" s="8"/>
      <c r="R500" s="8"/>
      <c r="S500" s="8"/>
      <c r="T500" s="8"/>
      <c r="U500" s="8"/>
      <c r="V500" s="8"/>
    </row>
    <row r="501" ht="24.0" customHeight="1">
      <c r="F501" s="8"/>
      <c r="G501" s="8"/>
      <c r="H501" s="8"/>
      <c r="I501" s="8"/>
      <c r="J501" s="8"/>
      <c r="K501" s="8"/>
      <c r="L501" s="8"/>
      <c r="M501" s="8"/>
      <c r="N501" s="8"/>
      <c r="O501" s="8"/>
      <c r="P501" s="8"/>
      <c r="Q501" s="8"/>
      <c r="R501" s="8"/>
      <c r="S501" s="8"/>
      <c r="T501" s="8"/>
      <c r="U501" s="8"/>
      <c r="V501" s="8"/>
    </row>
    <row r="502" ht="24.0" customHeight="1">
      <c r="F502" s="8"/>
      <c r="G502" s="8"/>
      <c r="H502" s="8"/>
      <c r="I502" s="8"/>
      <c r="J502" s="8"/>
      <c r="K502" s="8"/>
      <c r="L502" s="8"/>
      <c r="M502" s="8"/>
      <c r="N502" s="8"/>
      <c r="O502" s="8"/>
      <c r="P502" s="8"/>
      <c r="Q502" s="8"/>
      <c r="R502" s="8"/>
      <c r="S502" s="8"/>
      <c r="T502" s="8"/>
      <c r="U502" s="8"/>
      <c r="V502" s="8"/>
    </row>
    <row r="503" ht="24.0" customHeight="1">
      <c r="F503" s="8"/>
      <c r="G503" s="8"/>
      <c r="H503" s="8"/>
      <c r="I503" s="8"/>
      <c r="J503" s="8"/>
      <c r="K503" s="8"/>
      <c r="L503" s="8"/>
      <c r="M503" s="8"/>
      <c r="N503" s="8"/>
      <c r="O503" s="8"/>
      <c r="P503" s="8"/>
      <c r="Q503" s="8"/>
      <c r="R503" s="8"/>
      <c r="S503" s="8"/>
      <c r="T503" s="8"/>
      <c r="U503" s="8"/>
      <c r="V503" s="8"/>
    </row>
    <row r="504" ht="24.0" customHeight="1">
      <c r="F504" s="8"/>
      <c r="G504" s="8"/>
      <c r="H504" s="8"/>
      <c r="I504" s="8"/>
      <c r="J504" s="8"/>
      <c r="K504" s="8"/>
      <c r="L504" s="8"/>
      <c r="M504" s="8"/>
      <c r="N504" s="8"/>
      <c r="O504" s="8"/>
      <c r="P504" s="8"/>
      <c r="Q504" s="8"/>
      <c r="R504" s="8"/>
      <c r="S504" s="8"/>
      <c r="T504" s="8"/>
      <c r="U504" s="8"/>
      <c r="V504" s="8"/>
    </row>
    <row r="505" ht="24.0" customHeight="1">
      <c r="F505" s="8"/>
      <c r="G505" s="8"/>
      <c r="H505" s="8"/>
      <c r="I505" s="8"/>
      <c r="J505" s="8"/>
      <c r="K505" s="8"/>
      <c r="L505" s="8"/>
      <c r="M505" s="8"/>
      <c r="N505" s="8"/>
      <c r="O505" s="8"/>
      <c r="P505" s="8"/>
      <c r="Q505" s="8"/>
      <c r="R505" s="8"/>
      <c r="S505" s="8"/>
      <c r="T505" s="8"/>
      <c r="U505" s="8"/>
      <c r="V505" s="8"/>
    </row>
    <row r="506" ht="24.0" customHeight="1">
      <c r="F506" s="8"/>
      <c r="G506" s="8"/>
      <c r="H506" s="8"/>
      <c r="I506" s="8"/>
      <c r="J506" s="8"/>
      <c r="K506" s="8"/>
      <c r="L506" s="8"/>
      <c r="M506" s="8"/>
      <c r="N506" s="8"/>
      <c r="O506" s="8"/>
      <c r="P506" s="8"/>
      <c r="Q506" s="8"/>
      <c r="R506" s="8"/>
      <c r="S506" s="8"/>
      <c r="T506" s="8"/>
      <c r="U506" s="8"/>
      <c r="V506" s="8"/>
    </row>
    <row r="507" ht="24.0" customHeight="1">
      <c r="F507" s="8"/>
      <c r="G507" s="8"/>
      <c r="H507" s="8"/>
      <c r="I507" s="8"/>
      <c r="J507" s="8"/>
      <c r="K507" s="8"/>
      <c r="L507" s="8"/>
      <c r="M507" s="8"/>
      <c r="N507" s="8"/>
      <c r="O507" s="8"/>
      <c r="P507" s="8"/>
      <c r="Q507" s="8"/>
      <c r="R507" s="8"/>
      <c r="S507" s="8"/>
      <c r="T507" s="8"/>
      <c r="U507" s="8"/>
      <c r="V507" s="8"/>
    </row>
    <row r="508" ht="24.0" customHeight="1">
      <c r="F508" s="8"/>
      <c r="G508" s="8"/>
      <c r="H508" s="8"/>
      <c r="I508" s="8"/>
      <c r="J508" s="8"/>
      <c r="K508" s="8"/>
      <c r="L508" s="8"/>
      <c r="M508" s="8"/>
      <c r="N508" s="8"/>
      <c r="O508" s="8"/>
      <c r="P508" s="8"/>
      <c r="Q508" s="8"/>
      <c r="R508" s="8"/>
      <c r="S508" s="8"/>
      <c r="T508" s="8"/>
      <c r="U508" s="8"/>
      <c r="V508" s="8"/>
    </row>
    <row r="509" ht="24.0" customHeight="1">
      <c r="F509" s="8"/>
      <c r="G509" s="8"/>
      <c r="H509" s="8"/>
      <c r="I509" s="8"/>
      <c r="J509" s="8"/>
      <c r="K509" s="8"/>
      <c r="L509" s="8"/>
      <c r="M509" s="8"/>
      <c r="N509" s="8"/>
      <c r="O509" s="8"/>
      <c r="P509" s="8"/>
      <c r="Q509" s="8"/>
      <c r="R509" s="8"/>
      <c r="S509" s="8"/>
      <c r="T509" s="8"/>
      <c r="U509" s="8"/>
      <c r="V509" s="8"/>
    </row>
    <row r="510" ht="24.0" customHeight="1">
      <c r="F510" s="8"/>
      <c r="G510" s="8"/>
      <c r="H510" s="8"/>
      <c r="I510" s="8"/>
      <c r="J510" s="8"/>
      <c r="K510" s="8"/>
      <c r="L510" s="8"/>
      <c r="M510" s="8"/>
      <c r="N510" s="8"/>
      <c r="O510" s="8"/>
      <c r="P510" s="8"/>
      <c r="Q510" s="8"/>
      <c r="R510" s="8"/>
      <c r="S510" s="8"/>
      <c r="T510" s="8"/>
      <c r="U510" s="8"/>
      <c r="V510" s="8"/>
    </row>
    <row r="511" ht="24.0" customHeight="1">
      <c r="F511" s="8"/>
      <c r="G511" s="8"/>
      <c r="H511" s="8"/>
      <c r="I511" s="8"/>
      <c r="J511" s="8"/>
      <c r="K511" s="8"/>
      <c r="L511" s="8"/>
      <c r="M511" s="8"/>
      <c r="N511" s="8"/>
      <c r="O511" s="8"/>
      <c r="P511" s="8"/>
      <c r="Q511" s="8"/>
      <c r="R511" s="8"/>
      <c r="S511" s="8"/>
      <c r="T511" s="8"/>
      <c r="U511" s="8"/>
      <c r="V511" s="8"/>
    </row>
    <row r="512" ht="24.0" customHeight="1">
      <c r="F512" s="8"/>
      <c r="G512" s="8"/>
      <c r="H512" s="8"/>
      <c r="I512" s="8"/>
      <c r="J512" s="8"/>
      <c r="K512" s="8"/>
      <c r="L512" s="8"/>
      <c r="M512" s="8"/>
      <c r="N512" s="8"/>
      <c r="O512" s="8"/>
      <c r="P512" s="8"/>
      <c r="Q512" s="8"/>
      <c r="R512" s="8"/>
      <c r="S512" s="8"/>
      <c r="T512" s="8"/>
      <c r="U512" s="8"/>
      <c r="V512" s="8"/>
    </row>
    <row r="513" ht="24.0" customHeight="1">
      <c r="F513" s="8"/>
      <c r="G513" s="8"/>
      <c r="H513" s="8"/>
      <c r="I513" s="8"/>
      <c r="J513" s="8"/>
      <c r="K513" s="8"/>
      <c r="L513" s="8"/>
      <c r="M513" s="8"/>
      <c r="N513" s="8"/>
      <c r="O513" s="8"/>
      <c r="P513" s="8"/>
      <c r="Q513" s="8"/>
      <c r="R513" s="8"/>
      <c r="S513" s="8"/>
      <c r="T513" s="8"/>
      <c r="U513" s="8"/>
      <c r="V513" s="8"/>
    </row>
    <row r="514" ht="24.0" customHeight="1">
      <c r="F514" s="8"/>
      <c r="G514" s="8"/>
      <c r="H514" s="8"/>
      <c r="I514" s="8"/>
      <c r="J514" s="8"/>
      <c r="K514" s="8"/>
      <c r="L514" s="8"/>
      <c r="M514" s="8"/>
      <c r="N514" s="8"/>
      <c r="O514" s="8"/>
      <c r="P514" s="8"/>
      <c r="Q514" s="8"/>
      <c r="R514" s="8"/>
      <c r="S514" s="8"/>
      <c r="T514" s="8"/>
      <c r="U514" s="8"/>
      <c r="V514" s="8"/>
    </row>
    <row r="515" ht="24.0" customHeight="1">
      <c r="F515" s="8"/>
      <c r="G515" s="8"/>
      <c r="H515" s="8"/>
      <c r="I515" s="8"/>
      <c r="J515" s="8"/>
      <c r="K515" s="8"/>
      <c r="L515" s="8"/>
      <c r="M515" s="8"/>
      <c r="N515" s="8"/>
      <c r="O515" s="8"/>
      <c r="P515" s="8"/>
      <c r="Q515" s="8"/>
      <c r="R515" s="8"/>
      <c r="S515" s="8"/>
      <c r="T515" s="8"/>
      <c r="U515" s="8"/>
      <c r="V515" s="8"/>
    </row>
    <row r="516" ht="24.0" customHeight="1">
      <c r="F516" s="8"/>
      <c r="G516" s="8"/>
      <c r="H516" s="8"/>
      <c r="I516" s="8"/>
      <c r="J516" s="8"/>
      <c r="K516" s="8"/>
      <c r="L516" s="8"/>
      <c r="M516" s="8"/>
      <c r="N516" s="8"/>
      <c r="O516" s="8"/>
      <c r="P516" s="8"/>
      <c r="Q516" s="8"/>
      <c r="R516" s="8"/>
      <c r="S516" s="8"/>
      <c r="T516" s="8"/>
      <c r="U516" s="8"/>
      <c r="V516" s="8"/>
    </row>
    <row r="517" ht="24.0" customHeight="1">
      <c r="F517" s="8"/>
      <c r="G517" s="8"/>
      <c r="H517" s="8"/>
      <c r="I517" s="8"/>
      <c r="J517" s="8"/>
      <c r="K517" s="8"/>
      <c r="L517" s="8"/>
      <c r="M517" s="8"/>
      <c r="N517" s="8"/>
      <c r="O517" s="8"/>
      <c r="P517" s="8"/>
      <c r="Q517" s="8"/>
      <c r="R517" s="8"/>
      <c r="S517" s="8"/>
      <c r="T517" s="8"/>
      <c r="U517" s="8"/>
      <c r="V517" s="8"/>
    </row>
    <row r="518" ht="24.0" customHeight="1">
      <c r="F518" s="8"/>
      <c r="G518" s="8"/>
      <c r="H518" s="8"/>
      <c r="I518" s="8"/>
      <c r="J518" s="8"/>
      <c r="K518" s="8"/>
      <c r="L518" s="8"/>
      <c r="M518" s="8"/>
      <c r="N518" s="8"/>
      <c r="O518" s="8"/>
      <c r="P518" s="8"/>
      <c r="Q518" s="8"/>
      <c r="R518" s="8"/>
      <c r="S518" s="8"/>
      <c r="T518" s="8"/>
      <c r="U518" s="8"/>
      <c r="V518" s="8"/>
    </row>
    <row r="519" ht="24.0" customHeight="1">
      <c r="F519" s="8"/>
      <c r="G519" s="8"/>
      <c r="H519" s="8"/>
      <c r="I519" s="8"/>
      <c r="J519" s="8"/>
      <c r="K519" s="8"/>
      <c r="L519" s="8"/>
      <c r="M519" s="8"/>
      <c r="N519" s="8"/>
      <c r="O519" s="8"/>
      <c r="P519" s="8"/>
      <c r="Q519" s="8"/>
      <c r="R519" s="8"/>
      <c r="S519" s="8"/>
      <c r="T519" s="8"/>
      <c r="U519" s="8"/>
      <c r="V519" s="8"/>
    </row>
    <row r="520" ht="24.0" customHeight="1">
      <c r="F520" s="8"/>
      <c r="G520" s="8"/>
      <c r="H520" s="8"/>
      <c r="I520" s="8"/>
      <c r="J520" s="8"/>
      <c r="K520" s="8"/>
      <c r="L520" s="8"/>
      <c r="M520" s="8"/>
      <c r="N520" s="8"/>
      <c r="O520" s="8"/>
      <c r="P520" s="8"/>
      <c r="Q520" s="8"/>
      <c r="R520" s="8"/>
      <c r="S520" s="8"/>
      <c r="T520" s="8"/>
      <c r="U520" s="8"/>
      <c r="V520" s="8"/>
    </row>
    <row r="521" ht="24.0" customHeight="1">
      <c r="F521" s="8"/>
      <c r="G521" s="8"/>
      <c r="H521" s="8"/>
      <c r="I521" s="8"/>
      <c r="J521" s="8"/>
      <c r="K521" s="8"/>
      <c r="L521" s="8"/>
      <c r="M521" s="8"/>
      <c r="N521" s="8"/>
      <c r="O521" s="8"/>
      <c r="P521" s="8"/>
      <c r="Q521" s="8"/>
      <c r="R521" s="8"/>
      <c r="S521" s="8"/>
      <c r="T521" s="8"/>
      <c r="U521" s="8"/>
      <c r="V521" s="8"/>
    </row>
    <row r="522" ht="24.0" customHeight="1">
      <c r="F522" s="8"/>
      <c r="G522" s="8"/>
      <c r="H522" s="8"/>
      <c r="I522" s="8"/>
      <c r="J522" s="8"/>
      <c r="K522" s="8"/>
      <c r="L522" s="8"/>
      <c r="M522" s="8"/>
      <c r="N522" s="8"/>
      <c r="O522" s="8"/>
      <c r="P522" s="8"/>
      <c r="Q522" s="8"/>
      <c r="R522" s="8"/>
      <c r="S522" s="8"/>
      <c r="T522" s="8"/>
      <c r="U522" s="8"/>
      <c r="V522" s="8"/>
    </row>
    <row r="523" ht="24.0" customHeight="1">
      <c r="F523" s="8"/>
      <c r="G523" s="8"/>
      <c r="H523" s="8"/>
      <c r="I523" s="8"/>
      <c r="J523" s="8"/>
      <c r="K523" s="8"/>
      <c r="L523" s="8"/>
      <c r="M523" s="8"/>
      <c r="N523" s="8"/>
      <c r="O523" s="8"/>
      <c r="P523" s="8"/>
      <c r="Q523" s="8"/>
      <c r="R523" s="8"/>
      <c r="S523" s="8"/>
      <c r="T523" s="8"/>
      <c r="U523" s="8"/>
      <c r="V523" s="8"/>
    </row>
    <row r="524" ht="24.0" customHeight="1">
      <c r="F524" s="8"/>
      <c r="G524" s="8"/>
      <c r="H524" s="8"/>
      <c r="I524" s="8"/>
      <c r="J524" s="8"/>
      <c r="K524" s="8"/>
      <c r="L524" s="8"/>
      <c r="M524" s="8"/>
      <c r="N524" s="8"/>
      <c r="O524" s="8"/>
      <c r="P524" s="8"/>
      <c r="Q524" s="8"/>
      <c r="R524" s="8"/>
      <c r="S524" s="8"/>
      <c r="T524" s="8"/>
      <c r="U524" s="8"/>
      <c r="V524" s="8"/>
    </row>
    <row r="525" ht="24.0" customHeight="1">
      <c r="F525" s="8"/>
      <c r="G525" s="8"/>
      <c r="H525" s="8"/>
      <c r="I525" s="8"/>
      <c r="J525" s="8"/>
      <c r="K525" s="8"/>
      <c r="L525" s="8"/>
      <c r="M525" s="8"/>
      <c r="N525" s="8"/>
      <c r="O525" s="8"/>
      <c r="P525" s="8"/>
      <c r="Q525" s="8"/>
      <c r="R525" s="8"/>
      <c r="S525" s="8"/>
      <c r="T525" s="8"/>
      <c r="U525" s="8"/>
      <c r="V525" s="8"/>
    </row>
    <row r="526" ht="24.0" customHeight="1">
      <c r="F526" s="8"/>
      <c r="G526" s="8"/>
      <c r="H526" s="8"/>
      <c r="I526" s="8"/>
      <c r="J526" s="8"/>
      <c r="K526" s="8"/>
      <c r="L526" s="8"/>
      <c r="M526" s="8"/>
      <c r="N526" s="8"/>
      <c r="O526" s="8"/>
      <c r="P526" s="8"/>
      <c r="Q526" s="8"/>
      <c r="R526" s="8"/>
      <c r="S526" s="8"/>
      <c r="T526" s="8"/>
      <c r="U526" s="8"/>
      <c r="V526" s="8"/>
    </row>
    <row r="527" ht="24.0" customHeight="1">
      <c r="F527" s="8"/>
      <c r="G527" s="8"/>
      <c r="H527" s="8"/>
      <c r="I527" s="8"/>
      <c r="J527" s="8"/>
      <c r="K527" s="8"/>
      <c r="L527" s="8"/>
      <c r="M527" s="8"/>
      <c r="N527" s="8"/>
      <c r="O527" s="8"/>
      <c r="P527" s="8"/>
      <c r="Q527" s="8"/>
      <c r="R527" s="8"/>
      <c r="S527" s="8"/>
      <c r="T527" s="8"/>
      <c r="U527" s="8"/>
      <c r="V527" s="8"/>
    </row>
    <row r="528" ht="24.0" customHeight="1">
      <c r="F528" s="8"/>
      <c r="G528" s="8"/>
      <c r="H528" s="8"/>
      <c r="I528" s="8"/>
      <c r="J528" s="8"/>
      <c r="K528" s="8"/>
      <c r="L528" s="8"/>
      <c r="M528" s="8"/>
      <c r="N528" s="8"/>
      <c r="O528" s="8"/>
      <c r="P528" s="8"/>
      <c r="Q528" s="8"/>
      <c r="R528" s="8"/>
      <c r="S528" s="8"/>
      <c r="T528" s="8"/>
      <c r="U528" s="8"/>
      <c r="V528" s="8"/>
    </row>
    <row r="529" ht="24.0" customHeight="1">
      <c r="F529" s="8"/>
      <c r="G529" s="8"/>
      <c r="H529" s="8"/>
      <c r="I529" s="8"/>
      <c r="J529" s="8"/>
      <c r="K529" s="8"/>
      <c r="L529" s="8"/>
      <c r="M529" s="8"/>
      <c r="N529" s="8"/>
      <c r="O529" s="8"/>
      <c r="P529" s="8"/>
      <c r="Q529" s="8"/>
      <c r="R529" s="8"/>
      <c r="S529" s="8"/>
      <c r="T529" s="8"/>
      <c r="U529" s="8"/>
      <c r="V529" s="8"/>
    </row>
    <row r="530" ht="24.0" customHeight="1">
      <c r="F530" s="8"/>
      <c r="G530" s="8"/>
      <c r="H530" s="8"/>
      <c r="I530" s="8"/>
      <c r="J530" s="8"/>
      <c r="K530" s="8"/>
      <c r="L530" s="8"/>
      <c r="M530" s="8"/>
      <c r="N530" s="8"/>
      <c r="O530" s="8"/>
      <c r="P530" s="8"/>
      <c r="Q530" s="8"/>
      <c r="R530" s="8"/>
      <c r="S530" s="8"/>
      <c r="T530" s="8"/>
      <c r="U530" s="8"/>
      <c r="V530" s="8"/>
    </row>
    <row r="531" ht="24.0" customHeight="1">
      <c r="F531" s="8"/>
      <c r="G531" s="8"/>
      <c r="H531" s="8"/>
      <c r="I531" s="8"/>
      <c r="J531" s="8"/>
      <c r="K531" s="8"/>
      <c r="L531" s="8"/>
      <c r="M531" s="8"/>
      <c r="N531" s="8"/>
      <c r="O531" s="8"/>
      <c r="P531" s="8"/>
      <c r="Q531" s="8"/>
      <c r="R531" s="8"/>
      <c r="S531" s="8"/>
      <c r="T531" s="8"/>
      <c r="U531" s="8"/>
      <c r="V531" s="8"/>
    </row>
    <row r="532" ht="24.0" customHeight="1">
      <c r="F532" s="8"/>
      <c r="G532" s="8"/>
      <c r="H532" s="8"/>
      <c r="I532" s="8"/>
      <c r="J532" s="8"/>
      <c r="K532" s="8"/>
      <c r="L532" s="8"/>
      <c r="M532" s="8"/>
      <c r="N532" s="8"/>
      <c r="O532" s="8"/>
      <c r="P532" s="8"/>
      <c r="Q532" s="8"/>
      <c r="R532" s="8"/>
      <c r="S532" s="8"/>
      <c r="T532" s="8"/>
      <c r="U532" s="8"/>
      <c r="V532" s="8"/>
    </row>
    <row r="533" ht="24.0" customHeight="1">
      <c r="F533" s="8"/>
      <c r="G533" s="8"/>
      <c r="H533" s="8"/>
      <c r="I533" s="8"/>
      <c r="J533" s="8"/>
      <c r="K533" s="8"/>
      <c r="L533" s="8"/>
      <c r="M533" s="8"/>
      <c r="N533" s="8"/>
      <c r="O533" s="8"/>
      <c r="P533" s="8"/>
      <c r="Q533" s="8"/>
      <c r="R533" s="8"/>
      <c r="S533" s="8"/>
      <c r="T533" s="8"/>
      <c r="U533" s="8"/>
      <c r="V533" s="8"/>
    </row>
    <row r="534" ht="24.0" customHeight="1">
      <c r="F534" s="8"/>
      <c r="G534" s="8"/>
      <c r="H534" s="8"/>
      <c r="I534" s="8"/>
      <c r="J534" s="8"/>
      <c r="K534" s="8"/>
      <c r="L534" s="8"/>
      <c r="M534" s="8"/>
      <c r="N534" s="8"/>
      <c r="O534" s="8"/>
      <c r="P534" s="8"/>
      <c r="Q534" s="8"/>
      <c r="R534" s="8"/>
      <c r="S534" s="8"/>
      <c r="T534" s="8"/>
      <c r="U534" s="8"/>
      <c r="V534" s="8"/>
    </row>
    <row r="535" ht="24.0" customHeight="1">
      <c r="F535" s="8"/>
      <c r="G535" s="8"/>
      <c r="H535" s="8"/>
      <c r="I535" s="8"/>
      <c r="J535" s="8"/>
      <c r="K535" s="8"/>
      <c r="L535" s="8"/>
      <c r="M535" s="8"/>
      <c r="N535" s="8"/>
      <c r="O535" s="8"/>
      <c r="P535" s="8"/>
      <c r="Q535" s="8"/>
      <c r="R535" s="8"/>
      <c r="S535" s="8"/>
      <c r="T535" s="8"/>
      <c r="U535" s="8"/>
      <c r="V535" s="8"/>
    </row>
    <row r="536" ht="24.0" customHeight="1">
      <c r="F536" s="8"/>
      <c r="G536" s="8"/>
      <c r="H536" s="8"/>
      <c r="I536" s="8"/>
      <c r="J536" s="8"/>
      <c r="K536" s="8"/>
      <c r="L536" s="8"/>
      <c r="M536" s="8"/>
      <c r="N536" s="8"/>
      <c r="O536" s="8"/>
      <c r="P536" s="8"/>
      <c r="Q536" s="8"/>
      <c r="R536" s="8"/>
      <c r="S536" s="8"/>
      <c r="T536" s="8"/>
      <c r="U536" s="8"/>
      <c r="V536" s="8"/>
    </row>
    <row r="537" ht="24.0" customHeight="1">
      <c r="F537" s="8"/>
      <c r="G537" s="8"/>
      <c r="H537" s="8"/>
      <c r="I537" s="8"/>
      <c r="J537" s="8"/>
      <c r="K537" s="8"/>
      <c r="L537" s="8"/>
      <c r="M537" s="8"/>
      <c r="N537" s="8"/>
      <c r="O537" s="8"/>
      <c r="P537" s="8"/>
      <c r="Q537" s="8"/>
      <c r="R537" s="8"/>
      <c r="S537" s="8"/>
      <c r="T537" s="8"/>
      <c r="U537" s="8"/>
      <c r="V537" s="8"/>
    </row>
    <row r="538" ht="24.0" customHeight="1">
      <c r="F538" s="8"/>
      <c r="G538" s="8"/>
      <c r="H538" s="8"/>
      <c r="I538" s="8"/>
      <c r="J538" s="8"/>
      <c r="K538" s="8"/>
      <c r="L538" s="8"/>
      <c r="M538" s="8"/>
      <c r="N538" s="8"/>
      <c r="O538" s="8"/>
      <c r="P538" s="8"/>
      <c r="Q538" s="8"/>
      <c r="R538" s="8"/>
      <c r="S538" s="8"/>
      <c r="T538" s="8"/>
      <c r="U538" s="8"/>
      <c r="V538" s="8"/>
    </row>
    <row r="539" ht="24.0" customHeight="1">
      <c r="F539" s="8"/>
      <c r="G539" s="8"/>
      <c r="H539" s="8"/>
      <c r="I539" s="8"/>
      <c r="J539" s="8"/>
      <c r="K539" s="8"/>
      <c r="L539" s="8"/>
      <c r="M539" s="8"/>
      <c r="N539" s="8"/>
      <c r="O539" s="8"/>
      <c r="P539" s="8"/>
      <c r="Q539" s="8"/>
      <c r="R539" s="8"/>
      <c r="S539" s="8"/>
      <c r="T539" s="8"/>
      <c r="U539" s="8"/>
      <c r="V539" s="8"/>
    </row>
    <row r="540" ht="24.0" customHeight="1">
      <c r="F540" s="8"/>
      <c r="G540" s="8"/>
      <c r="H540" s="8"/>
      <c r="I540" s="8"/>
      <c r="J540" s="8"/>
      <c r="K540" s="8"/>
      <c r="L540" s="8"/>
      <c r="M540" s="8"/>
      <c r="N540" s="8"/>
      <c r="O540" s="8"/>
      <c r="P540" s="8"/>
      <c r="Q540" s="8"/>
      <c r="R540" s="8"/>
      <c r="S540" s="8"/>
      <c r="T540" s="8"/>
      <c r="U540" s="8"/>
      <c r="V540" s="8"/>
    </row>
    <row r="541" ht="24.0" customHeight="1">
      <c r="F541" s="8"/>
      <c r="G541" s="8"/>
      <c r="H541" s="8"/>
      <c r="I541" s="8"/>
      <c r="J541" s="8"/>
      <c r="K541" s="8"/>
      <c r="L541" s="8"/>
      <c r="M541" s="8"/>
      <c r="N541" s="8"/>
      <c r="O541" s="8"/>
      <c r="P541" s="8"/>
      <c r="Q541" s="8"/>
      <c r="R541" s="8"/>
      <c r="S541" s="8"/>
      <c r="T541" s="8"/>
      <c r="U541" s="8"/>
      <c r="V541" s="8"/>
    </row>
    <row r="542" ht="24.0" customHeight="1">
      <c r="F542" s="8"/>
      <c r="G542" s="8"/>
      <c r="H542" s="8"/>
      <c r="I542" s="8"/>
      <c r="J542" s="8"/>
      <c r="K542" s="8"/>
      <c r="L542" s="8"/>
      <c r="M542" s="8"/>
      <c r="N542" s="8"/>
      <c r="O542" s="8"/>
      <c r="P542" s="8"/>
      <c r="Q542" s="8"/>
      <c r="R542" s="8"/>
      <c r="S542" s="8"/>
      <c r="T542" s="8"/>
      <c r="U542" s="8"/>
      <c r="V542" s="8"/>
    </row>
    <row r="543" ht="24.0" customHeight="1">
      <c r="F543" s="8"/>
      <c r="G543" s="8"/>
      <c r="H543" s="8"/>
      <c r="I543" s="8"/>
      <c r="J543" s="8"/>
      <c r="K543" s="8"/>
      <c r="L543" s="8"/>
      <c r="M543" s="8"/>
      <c r="N543" s="8"/>
      <c r="O543" s="8"/>
      <c r="P543" s="8"/>
      <c r="Q543" s="8"/>
      <c r="R543" s="8"/>
      <c r="S543" s="8"/>
      <c r="T543" s="8"/>
      <c r="U543" s="8"/>
      <c r="V543" s="8"/>
    </row>
    <row r="544" ht="24.0" customHeight="1">
      <c r="F544" s="8"/>
      <c r="G544" s="8"/>
      <c r="H544" s="8"/>
      <c r="I544" s="8"/>
      <c r="J544" s="8"/>
      <c r="K544" s="8"/>
      <c r="L544" s="8"/>
      <c r="M544" s="8"/>
      <c r="N544" s="8"/>
      <c r="O544" s="8"/>
      <c r="P544" s="8"/>
      <c r="Q544" s="8"/>
      <c r="R544" s="8"/>
      <c r="S544" s="8"/>
      <c r="T544" s="8"/>
      <c r="U544" s="8"/>
      <c r="V544" s="8"/>
    </row>
    <row r="545" ht="24.0" customHeight="1">
      <c r="F545" s="8"/>
      <c r="G545" s="8"/>
      <c r="H545" s="8"/>
      <c r="I545" s="8"/>
      <c r="J545" s="8"/>
      <c r="K545" s="8"/>
      <c r="L545" s="8"/>
      <c r="M545" s="8"/>
      <c r="N545" s="8"/>
      <c r="O545" s="8"/>
      <c r="P545" s="8"/>
      <c r="Q545" s="8"/>
      <c r="R545" s="8"/>
      <c r="S545" s="8"/>
      <c r="T545" s="8"/>
      <c r="U545" s="8"/>
      <c r="V545" s="8"/>
    </row>
    <row r="546" ht="24.0" customHeight="1">
      <c r="F546" s="8"/>
      <c r="G546" s="8"/>
      <c r="H546" s="8"/>
      <c r="I546" s="8"/>
      <c r="J546" s="8"/>
      <c r="K546" s="8"/>
      <c r="L546" s="8"/>
      <c r="M546" s="8"/>
      <c r="N546" s="8"/>
      <c r="O546" s="8"/>
      <c r="P546" s="8"/>
      <c r="Q546" s="8"/>
      <c r="R546" s="8"/>
      <c r="S546" s="8"/>
      <c r="T546" s="8"/>
      <c r="U546" s="8"/>
      <c r="V546" s="8"/>
    </row>
    <row r="547" ht="24.0" customHeight="1">
      <c r="F547" s="8"/>
      <c r="G547" s="8"/>
      <c r="H547" s="8"/>
      <c r="I547" s="8"/>
      <c r="J547" s="8"/>
      <c r="K547" s="8"/>
      <c r="L547" s="8"/>
      <c r="M547" s="8"/>
      <c r="N547" s="8"/>
      <c r="O547" s="8"/>
      <c r="P547" s="8"/>
      <c r="Q547" s="8"/>
      <c r="R547" s="8"/>
      <c r="S547" s="8"/>
      <c r="T547" s="8"/>
      <c r="U547" s="8"/>
      <c r="V547" s="8"/>
    </row>
    <row r="548" ht="24.0" customHeight="1">
      <c r="F548" s="8"/>
      <c r="G548" s="8"/>
      <c r="H548" s="8"/>
      <c r="I548" s="8"/>
      <c r="J548" s="8"/>
      <c r="K548" s="8"/>
      <c r="L548" s="8"/>
      <c r="M548" s="8"/>
      <c r="N548" s="8"/>
      <c r="O548" s="8"/>
      <c r="P548" s="8"/>
      <c r="Q548" s="8"/>
      <c r="R548" s="8"/>
      <c r="S548" s="8"/>
      <c r="T548" s="8"/>
      <c r="U548" s="8"/>
      <c r="V548" s="8"/>
    </row>
    <row r="549" ht="24.0" customHeight="1">
      <c r="F549" s="8"/>
      <c r="G549" s="8"/>
      <c r="H549" s="8"/>
      <c r="I549" s="8"/>
      <c r="J549" s="8"/>
      <c r="K549" s="8"/>
      <c r="L549" s="8"/>
      <c r="M549" s="8"/>
      <c r="N549" s="8"/>
      <c r="O549" s="8"/>
      <c r="P549" s="8"/>
      <c r="Q549" s="8"/>
      <c r="R549" s="8"/>
      <c r="S549" s="8"/>
      <c r="T549" s="8"/>
      <c r="U549" s="8"/>
      <c r="V549" s="8"/>
    </row>
    <row r="550" ht="24.0" customHeight="1">
      <c r="F550" s="8"/>
      <c r="G550" s="8"/>
      <c r="H550" s="8"/>
      <c r="I550" s="8"/>
      <c r="J550" s="8"/>
      <c r="K550" s="8"/>
      <c r="L550" s="8"/>
      <c r="M550" s="8"/>
      <c r="N550" s="8"/>
      <c r="O550" s="8"/>
      <c r="P550" s="8"/>
      <c r="Q550" s="8"/>
      <c r="R550" s="8"/>
      <c r="S550" s="8"/>
      <c r="T550" s="8"/>
      <c r="U550" s="8"/>
      <c r="V550" s="8"/>
    </row>
    <row r="551" ht="24.0" customHeight="1">
      <c r="F551" s="8"/>
      <c r="G551" s="8"/>
      <c r="H551" s="8"/>
      <c r="I551" s="8"/>
      <c r="J551" s="8"/>
      <c r="K551" s="8"/>
      <c r="L551" s="8"/>
      <c r="M551" s="8"/>
      <c r="N551" s="8"/>
      <c r="O551" s="8"/>
      <c r="P551" s="8"/>
      <c r="Q551" s="8"/>
      <c r="R551" s="8"/>
      <c r="S551" s="8"/>
      <c r="T551" s="8"/>
      <c r="U551" s="8"/>
      <c r="V551" s="8"/>
    </row>
    <row r="552" ht="24.0" customHeight="1">
      <c r="F552" s="8"/>
      <c r="G552" s="8"/>
      <c r="H552" s="8"/>
      <c r="I552" s="8"/>
      <c r="J552" s="8"/>
      <c r="K552" s="8"/>
      <c r="L552" s="8"/>
      <c r="M552" s="8"/>
      <c r="N552" s="8"/>
      <c r="O552" s="8"/>
      <c r="P552" s="8"/>
      <c r="Q552" s="8"/>
      <c r="R552" s="8"/>
      <c r="S552" s="8"/>
      <c r="T552" s="8"/>
      <c r="U552" s="8"/>
      <c r="V552" s="8"/>
    </row>
    <row r="553" ht="24.0" customHeight="1">
      <c r="F553" s="8"/>
      <c r="G553" s="8"/>
      <c r="H553" s="8"/>
      <c r="I553" s="8"/>
      <c r="J553" s="8"/>
      <c r="K553" s="8"/>
      <c r="L553" s="8"/>
      <c r="M553" s="8"/>
      <c r="N553" s="8"/>
      <c r="O553" s="8"/>
      <c r="P553" s="8"/>
      <c r="Q553" s="8"/>
      <c r="R553" s="8"/>
      <c r="S553" s="8"/>
      <c r="T553" s="8"/>
      <c r="U553" s="8"/>
      <c r="V553" s="8"/>
    </row>
    <row r="554" ht="24.0" customHeight="1">
      <c r="F554" s="8"/>
      <c r="G554" s="8"/>
      <c r="H554" s="8"/>
      <c r="I554" s="8"/>
      <c r="J554" s="8"/>
      <c r="K554" s="8"/>
      <c r="L554" s="8"/>
      <c r="M554" s="8"/>
      <c r="N554" s="8"/>
      <c r="O554" s="8"/>
      <c r="P554" s="8"/>
      <c r="Q554" s="8"/>
      <c r="R554" s="8"/>
      <c r="S554" s="8"/>
      <c r="T554" s="8"/>
      <c r="U554" s="8"/>
      <c r="V554" s="8"/>
    </row>
    <row r="555" ht="24.0" customHeight="1">
      <c r="F555" s="8"/>
      <c r="G555" s="8"/>
      <c r="H555" s="8"/>
      <c r="I555" s="8"/>
      <c r="J555" s="8"/>
      <c r="K555" s="8"/>
      <c r="L555" s="8"/>
      <c r="M555" s="8"/>
      <c r="N555" s="8"/>
      <c r="O555" s="8"/>
      <c r="P555" s="8"/>
      <c r="Q555" s="8"/>
      <c r="R555" s="8"/>
      <c r="S555" s="8"/>
      <c r="T555" s="8"/>
      <c r="U555" s="8"/>
      <c r="V555" s="8"/>
    </row>
    <row r="556" ht="24.0" customHeight="1">
      <c r="F556" s="8"/>
      <c r="G556" s="8"/>
      <c r="H556" s="8"/>
      <c r="I556" s="8"/>
      <c r="J556" s="8"/>
      <c r="K556" s="8"/>
      <c r="L556" s="8"/>
      <c r="M556" s="8"/>
      <c r="N556" s="8"/>
      <c r="O556" s="8"/>
      <c r="P556" s="8"/>
      <c r="Q556" s="8"/>
      <c r="R556" s="8"/>
      <c r="S556" s="8"/>
      <c r="T556" s="8"/>
      <c r="U556" s="8"/>
      <c r="V556" s="8"/>
    </row>
    <row r="557" ht="24.0" customHeight="1">
      <c r="F557" s="8"/>
      <c r="G557" s="8"/>
      <c r="H557" s="8"/>
      <c r="I557" s="8"/>
      <c r="J557" s="8"/>
      <c r="K557" s="8"/>
      <c r="L557" s="8"/>
      <c r="M557" s="8"/>
      <c r="N557" s="8"/>
      <c r="O557" s="8"/>
      <c r="P557" s="8"/>
      <c r="Q557" s="8"/>
      <c r="R557" s="8"/>
      <c r="S557" s="8"/>
      <c r="T557" s="8"/>
      <c r="U557" s="8"/>
      <c r="V557" s="8"/>
    </row>
    <row r="558" ht="24.0" customHeight="1">
      <c r="F558" s="8"/>
      <c r="G558" s="8"/>
      <c r="H558" s="8"/>
      <c r="I558" s="8"/>
      <c r="J558" s="8"/>
      <c r="K558" s="8"/>
      <c r="L558" s="8"/>
      <c r="M558" s="8"/>
      <c r="N558" s="8"/>
      <c r="O558" s="8"/>
      <c r="P558" s="8"/>
      <c r="Q558" s="8"/>
      <c r="R558" s="8"/>
      <c r="S558" s="8"/>
      <c r="T558" s="8"/>
      <c r="U558" s="8"/>
      <c r="V558" s="8"/>
    </row>
    <row r="559" ht="24.0" customHeight="1">
      <c r="F559" s="8"/>
      <c r="G559" s="8"/>
      <c r="H559" s="8"/>
      <c r="I559" s="8"/>
      <c r="J559" s="8"/>
      <c r="K559" s="8"/>
      <c r="L559" s="8"/>
      <c r="M559" s="8"/>
      <c r="N559" s="8"/>
      <c r="O559" s="8"/>
      <c r="P559" s="8"/>
      <c r="Q559" s="8"/>
      <c r="R559" s="8"/>
      <c r="S559" s="8"/>
      <c r="T559" s="8"/>
      <c r="U559" s="8"/>
      <c r="V559" s="8"/>
    </row>
    <row r="560" ht="24.0" customHeight="1">
      <c r="F560" s="8"/>
      <c r="G560" s="8"/>
      <c r="H560" s="8"/>
      <c r="I560" s="8"/>
      <c r="J560" s="8"/>
      <c r="K560" s="8"/>
      <c r="L560" s="8"/>
      <c r="M560" s="8"/>
      <c r="N560" s="8"/>
      <c r="O560" s="8"/>
      <c r="P560" s="8"/>
      <c r="Q560" s="8"/>
      <c r="R560" s="8"/>
      <c r="S560" s="8"/>
      <c r="T560" s="8"/>
      <c r="U560" s="8"/>
      <c r="V560" s="8"/>
    </row>
    <row r="561" ht="24.0" customHeight="1">
      <c r="F561" s="8"/>
      <c r="G561" s="8"/>
      <c r="H561" s="8"/>
      <c r="I561" s="8"/>
      <c r="J561" s="8"/>
      <c r="K561" s="8"/>
      <c r="L561" s="8"/>
      <c r="M561" s="8"/>
      <c r="N561" s="8"/>
      <c r="O561" s="8"/>
      <c r="P561" s="8"/>
      <c r="Q561" s="8"/>
      <c r="R561" s="8"/>
      <c r="S561" s="8"/>
      <c r="T561" s="8"/>
      <c r="U561" s="8"/>
      <c r="V561" s="8"/>
    </row>
    <row r="562" ht="24.0" customHeight="1">
      <c r="F562" s="8"/>
      <c r="G562" s="8"/>
      <c r="H562" s="8"/>
      <c r="I562" s="8"/>
      <c r="J562" s="8"/>
      <c r="K562" s="8"/>
      <c r="L562" s="8"/>
      <c r="M562" s="8"/>
      <c r="N562" s="8"/>
      <c r="O562" s="8"/>
      <c r="P562" s="8"/>
      <c r="Q562" s="8"/>
      <c r="R562" s="8"/>
      <c r="S562" s="8"/>
      <c r="T562" s="8"/>
      <c r="U562" s="8"/>
      <c r="V562" s="8"/>
    </row>
    <row r="563" ht="24.0" customHeight="1">
      <c r="F563" s="8"/>
      <c r="G563" s="8"/>
      <c r="H563" s="8"/>
      <c r="I563" s="8"/>
      <c r="J563" s="8"/>
      <c r="K563" s="8"/>
      <c r="L563" s="8"/>
      <c r="M563" s="8"/>
      <c r="N563" s="8"/>
      <c r="O563" s="8"/>
      <c r="P563" s="8"/>
      <c r="Q563" s="8"/>
      <c r="R563" s="8"/>
      <c r="S563" s="8"/>
      <c r="T563" s="8"/>
      <c r="U563" s="8"/>
      <c r="V563" s="8"/>
    </row>
    <row r="564" ht="24.0" customHeight="1">
      <c r="F564" s="8"/>
      <c r="G564" s="8"/>
      <c r="H564" s="8"/>
      <c r="I564" s="8"/>
      <c r="J564" s="8"/>
      <c r="K564" s="8"/>
      <c r="L564" s="8"/>
      <c r="M564" s="8"/>
      <c r="N564" s="8"/>
      <c r="O564" s="8"/>
      <c r="P564" s="8"/>
      <c r="Q564" s="8"/>
      <c r="R564" s="8"/>
      <c r="S564" s="8"/>
      <c r="T564" s="8"/>
      <c r="U564" s="8"/>
      <c r="V564" s="8"/>
    </row>
    <row r="565" ht="24.0" customHeight="1">
      <c r="F565" s="8"/>
      <c r="G565" s="8"/>
      <c r="H565" s="8"/>
      <c r="I565" s="8"/>
      <c r="J565" s="8"/>
      <c r="K565" s="8"/>
      <c r="L565" s="8"/>
      <c r="M565" s="8"/>
      <c r="N565" s="8"/>
      <c r="O565" s="8"/>
      <c r="P565" s="8"/>
      <c r="Q565" s="8"/>
      <c r="R565" s="8"/>
      <c r="S565" s="8"/>
      <c r="T565" s="8"/>
      <c r="U565" s="8"/>
      <c r="V565" s="8"/>
    </row>
    <row r="566" ht="24.0" customHeight="1">
      <c r="F566" s="8"/>
      <c r="G566" s="8"/>
      <c r="H566" s="8"/>
      <c r="I566" s="8"/>
      <c r="J566" s="8"/>
      <c r="K566" s="8"/>
      <c r="L566" s="8"/>
      <c r="M566" s="8"/>
      <c r="N566" s="8"/>
      <c r="O566" s="8"/>
      <c r="P566" s="8"/>
      <c r="Q566" s="8"/>
      <c r="R566" s="8"/>
      <c r="S566" s="8"/>
      <c r="T566" s="8"/>
      <c r="U566" s="8"/>
      <c r="V566" s="8"/>
    </row>
    <row r="567" ht="24.0" customHeight="1">
      <c r="F567" s="8"/>
      <c r="G567" s="8"/>
      <c r="H567" s="8"/>
      <c r="I567" s="8"/>
      <c r="J567" s="8"/>
      <c r="K567" s="8"/>
      <c r="L567" s="8"/>
      <c r="M567" s="8"/>
      <c r="N567" s="8"/>
      <c r="O567" s="8"/>
      <c r="P567" s="8"/>
      <c r="Q567" s="8"/>
      <c r="R567" s="8"/>
      <c r="S567" s="8"/>
      <c r="T567" s="8"/>
      <c r="U567" s="8"/>
      <c r="V567" s="8"/>
    </row>
    <row r="568" ht="24.0" customHeight="1">
      <c r="F568" s="8"/>
      <c r="G568" s="8"/>
      <c r="H568" s="8"/>
      <c r="I568" s="8"/>
      <c r="J568" s="8"/>
      <c r="K568" s="8"/>
      <c r="L568" s="8"/>
      <c r="M568" s="8"/>
      <c r="N568" s="8"/>
      <c r="O568" s="8"/>
      <c r="P568" s="8"/>
      <c r="Q568" s="8"/>
      <c r="R568" s="8"/>
      <c r="S568" s="8"/>
      <c r="T568" s="8"/>
      <c r="U568" s="8"/>
      <c r="V568" s="8"/>
    </row>
    <row r="569" ht="24.0" customHeight="1">
      <c r="F569" s="8"/>
      <c r="G569" s="8"/>
      <c r="H569" s="8"/>
      <c r="I569" s="8"/>
      <c r="J569" s="8"/>
      <c r="K569" s="8"/>
      <c r="L569" s="8"/>
      <c r="M569" s="8"/>
      <c r="N569" s="8"/>
      <c r="O569" s="8"/>
      <c r="P569" s="8"/>
      <c r="Q569" s="8"/>
      <c r="R569" s="8"/>
      <c r="S569" s="8"/>
      <c r="T569" s="8"/>
      <c r="U569" s="8"/>
      <c r="V569" s="8"/>
    </row>
    <row r="570" ht="24.0" customHeight="1">
      <c r="F570" s="8"/>
      <c r="G570" s="8"/>
      <c r="H570" s="8"/>
      <c r="I570" s="8"/>
      <c r="J570" s="8"/>
      <c r="K570" s="8"/>
      <c r="L570" s="8"/>
      <c r="M570" s="8"/>
      <c r="N570" s="8"/>
      <c r="O570" s="8"/>
      <c r="P570" s="8"/>
      <c r="Q570" s="8"/>
      <c r="R570" s="8"/>
      <c r="S570" s="8"/>
      <c r="T570" s="8"/>
      <c r="U570" s="8"/>
      <c r="V570" s="8"/>
    </row>
    <row r="571" ht="24.0" customHeight="1">
      <c r="F571" s="8"/>
      <c r="G571" s="8"/>
      <c r="H571" s="8"/>
      <c r="I571" s="8"/>
      <c r="J571" s="8"/>
      <c r="K571" s="8"/>
      <c r="L571" s="8"/>
      <c r="M571" s="8"/>
      <c r="N571" s="8"/>
      <c r="O571" s="8"/>
      <c r="P571" s="8"/>
      <c r="Q571" s="8"/>
      <c r="R571" s="8"/>
      <c r="S571" s="8"/>
      <c r="T571" s="8"/>
      <c r="U571" s="8"/>
      <c r="V571" s="8"/>
    </row>
    <row r="572" ht="24.0" customHeight="1">
      <c r="F572" s="8"/>
      <c r="G572" s="8"/>
      <c r="H572" s="8"/>
      <c r="I572" s="8"/>
      <c r="J572" s="8"/>
      <c r="K572" s="8"/>
      <c r="L572" s="8"/>
      <c r="M572" s="8"/>
      <c r="N572" s="8"/>
      <c r="O572" s="8"/>
      <c r="P572" s="8"/>
      <c r="Q572" s="8"/>
      <c r="R572" s="8"/>
      <c r="S572" s="8"/>
      <c r="T572" s="8"/>
      <c r="U572" s="8"/>
      <c r="V572" s="8"/>
    </row>
    <row r="573" ht="24.0" customHeight="1">
      <c r="F573" s="8"/>
      <c r="G573" s="8"/>
      <c r="H573" s="8"/>
      <c r="I573" s="8"/>
      <c r="J573" s="8"/>
      <c r="K573" s="8"/>
      <c r="L573" s="8"/>
      <c r="M573" s="8"/>
      <c r="N573" s="8"/>
      <c r="O573" s="8"/>
      <c r="P573" s="8"/>
      <c r="Q573" s="8"/>
      <c r="R573" s="8"/>
      <c r="S573" s="8"/>
      <c r="T573" s="8"/>
      <c r="U573" s="8"/>
      <c r="V573" s="8"/>
    </row>
    <row r="574" ht="24.0" customHeight="1">
      <c r="F574" s="8"/>
      <c r="G574" s="8"/>
      <c r="H574" s="8"/>
      <c r="I574" s="8"/>
      <c r="J574" s="8"/>
      <c r="K574" s="8"/>
      <c r="L574" s="8"/>
      <c r="M574" s="8"/>
      <c r="N574" s="8"/>
      <c r="O574" s="8"/>
      <c r="P574" s="8"/>
      <c r="Q574" s="8"/>
      <c r="R574" s="8"/>
      <c r="S574" s="8"/>
      <c r="T574" s="8"/>
      <c r="U574" s="8"/>
      <c r="V574" s="8"/>
    </row>
    <row r="575" ht="24.0" customHeight="1">
      <c r="F575" s="8"/>
      <c r="G575" s="8"/>
      <c r="H575" s="8"/>
      <c r="I575" s="8"/>
      <c r="J575" s="8"/>
      <c r="K575" s="8"/>
      <c r="L575" s="8"/>
      <c r="M575" s="8"/>
      <c r="N575" s="8"/>
      <c r="O575" s="8"/>
      <c r="P575" s="8"/>
      <c r="Q575" s="8"/>
      <c r="R575" s="8"/>
      <c r="S575" s="8"/>
      <c r="T575" s="8"/>
      <c r="U575" s="8"/>
      <c r="V575" s="8"/>
    </row>
    <row r="576" ht="24.0" customHeight="1">
      <c r="F576" s="8"/>
      <c r="G576" s="8"/>
      <c r="H576" s="8"/>
      <c r="I576" s="8"/>
      <c r="J576" s="8"/>
      <c r="K576" s="8"/>
      <c r="L576" s="8"/>
      <c r="M576" s="8"/>
      <c r="N576" s="8"/>
      <c r="O576" s="8"/>
      <c r="P576" s="8"/>
      <c r="Q576" s="8"/>
      <c r="R576" s="8"/>
      <c r="S576" s="8"/>
      <c r="T576" s="8"/>
      <c r="U576" s="8"/>
      <c r="V576" s="8"/>
    </row>
    <row r="577" ht="24.0" customHeight="1">
      <c r="F577" s="8"/>
      <c r="G577" s="8"/>
      <c r="H577" s="8"/>
      <c r="I577" s="8"/>
      <c r="J577" s="8"/>
      <c r="K577" s="8"/>
      <c r="L577" s="8"/>
      <c r="M577" s="8"/>
      <c r="N577" s="8"/>
      <c r="O577" s="8"/>
      <c r="P577" s="8"/>
      <c r="Q577" s="8"/>
      <c r="R577" s="8"/>
      <c r="S577" s="8"/>
      <c r="T577" s="8"/>
      <c r="U577" s="8"/>
      <c r="V577" s="8"/>
    </row>
    <row r="578" ht="24.0" customHeight="1">
      <c r="F578" s="8"/>
      <c r="G578" s="8"/>
      <c r="H578" s="8"/>
      <c r="I578" s="8"/>
      <c r="J578" s="8"/>
      <c r="K578" s="8"/>
      <c r="L578" s="8"/>
      <c r="M578" s="8"/>
      <c r="N578" s="8"/>
      <c r="O578" s="8"/>
      <c r="P578" s="8"/>
      <c r="Q578" s="8"/>
      <c r="R578" s="8"/>
      <c r="S578" s="8"/>
      <c r="T578" s="8"/>
      <c r="U578" s="8"/>
      <c r="V578" s="8"/>
    </row>
    <row r="579" ht="24.0" customHeight="1">
      <c r="F579" s="8"/>
      <c r="G579" s="8"/>
      <c r="H579" s="8"/>
      <c r="I579" s="8"/>
      <c r="J579" s="8"/>
      <c r="K579" s="8"/>
      <c r="L579" s="8"/>
      <c r="M579" s="8"/>
      <c r="N579" s="8"/>
      <c r="O579" s="8"/>
      <c r="P579" s="8"/>
      <c r="Q579" s="8"/>
      <c r="R579" s="8"/>
      <c r="S579" s="8"/>
      <c r="T579" s="8"/>
      <c r="U579" s="8"/>
      <c r="V579" s="8"/>
    </row>
    <row r="580" ht="24.0" customHeight="1">
      <c r="F580" s="8"/>
      <c r="G580" s="8"/>
      <c r="H580" s="8"/>
      <c r="I580" s="8"/>
      <c r="J580" s="8"/>
      <c r="K580" s="8"/>
      <c r="L580" s="8"/>
      <c r="M580" s="8"/>
      <c r="N580" s="8"/>
      <c r="O580" s="8"/>
      <c r="P580" s="8"/>
      <c r="Q580" s="8"/>
      <c r="R580" s="8"/>
      <c r="S580" s="8"/>
      <c r="T580" s="8"/>
      <c r="U580" s="8"/>
      <c r="V580" s="8"/>
    </row>
    <row r="581" ht="24.0" customHeight="1">
      <c r="F581" s="8"/>
      <c r="G581" s="8"/>
      <c r="H581" s="8"/>
      <c r="I581" s="8"/>
      <c r="J581" s="8"/>
      <c r="K581" s="8"/>
      <c r="L581" s="8"/>
      <c r="M581" s="8"/>
      <c r="N581" s="8"/>
      <c r="O581" s="8"/>
      <c r="P581" s="8"/>
      <c r="Q581" s="8"/>
      <c r="R581" s="8"/>
      <c r="S581" s="8"/>
      <c r="T581" s="8"/>
      <c r="U581" s="8"/>
      <c r="V581" s="8"/>
    </row>
    <row r="582" ht="24.0" customHeight="1">
      <c r="F582" s="8"/>
      <c r="G582" s="8"/>
      <c r="H582" s="8"/>
      <c r="I582" s="8"/>
      <c r="J582" s="8"/>
      <c r="K582" s="8"/>
      <c r="L582" s="8"/>
      <c r="M582" s="8"/>
      <c r="N582" s="8"/>
      <c r="O582" s="8"/>
      <c r="P582" s="8"/>
      <c r="Q582" s="8"/>
      <c r="R582" s="8"/>
      <c r="S582" s="8"/>
      <c r="T582" s="8"/>
      <c r="U582" s="8"/>
      <c r="V582" s="8"/>
    </row>
    <row r="583" ht="24.0" customHeight="1">
      <c r="F583" s="8"/>
      <c r="G583" s="8"/>
      <c r="H583" s="8"/>
      <c r="I583" s="8"/>
      <c r="J583" s="8"/>
      <c r="K583" s="8"/>
      <c r="L583" s="8"/>
      <c r="M583" s="8"/>
      <c r="N583" s="8"/>
      <c r="O583" s="8"/>
      <c r="P583" s="8"/>
      <c r="Q583" s="8"/>
      <c r="R583" s="8"/>
      <c r="S583" s="8"/>
      <c r="T583" s="8"/>
      <c r="U583" s="8"/>
      <c r="V583" s="8"/>
    </row>
    <row r="584" ht="24.0" customHeight="1">
      <c r="F584" s="8"/>
      <c r="G584" s="8"/>
      <c r="H584" s="8"/>
      <c r="I584" s="8"/>
      <c r="J584" s="8"/>
      <c r="K584" s="8"/>
      <c r="L584" s="8"/>
      <c r="M584" s="8"/>
      <c r="N584" s="8"/>
      <c r="O584" s="8"/>
      <c r="P584" s="8"/>
      <c r="Q584" s="8"/>
      <c r="R584" s="8"/>
      <c r="S584" s="8"/>
      <c r="T584" s="8"/>
      <c r="U584" s="8"/>
      <c r="V584" s="8"/>
    </row>
    <row r="585" ht="24.0" customHeight="1">
      <c r="F585" s="8"/>
      <c r="G585" s="8"/>
      <c r="H585" s="8"/>
      <c r="I585" s="8"/>
      <c r="J585" s="8"/>
      <c r="K585" s="8"/>
      <c r="L585" s="8"/>
      <c r="M585" s="8"/>
      <c r="N585" s="8"/>
      <c r="O585" s="8"/>
      <c r="P585" s="8"/>
      <c r="Q585" s="8"/>
      <c r="R585" s="8"/>
      <c r="S585" s="8"/>
      <c r="T585" s="8"/>
      <c r="U585" s="8"/>
      <c r="V585" s="8"/>
    </row>
    <row r="586" ht="24.0" customHeight="1">
      <c r="F586" s="8"/>
      <c r="G586" s="8"/>
      <c r="H586" s="8"/>
      <c r="I586" s="8"/>
      <c r="J586" s="8"/>
      <c r="K586" s="8"/>
      <c r="L586" s="8"/>
      <c r="M586" s="8"/>
      <c r="N586" s="8"/>
      <c r="O586" s="8"/>
      <c r="P586" s="8"/>
      <c r="Q586" s="8"/>
      <c r="R586" s="8"/>
      <c r="S586" s="8"/>
      <c r="T586" s="8"/>
      <c r="U586" s="8"/>
      <c r="V586" s="8"/>
    </row>
    <row r="587" ht="24.0" customHeight="1">
      <c r="F587" s="8"/>
      <c r="G587" s="8"/>
      <c r="H587" s="8"/>
      <c r="I587" s="8"/>
      <c r="J587" s="8"/>
      <c r="K587" s="8"/>
      <c r="L587" s="8"/>
      <c r="M587" s="8"/>
      <c r="N587" s="8"/>
      <c r="O587" s="8"/>
      <c r="P587" s="8"/>
      <c r="Q587" s="8"/>
      <c r="R587" s="8"/>
      <c r="S587" s="8"/>
      <c r="T587" s="8"/>
      <c r="U587" s="8"/>
      <c r="V587" s="8"/>
    </row>
    <row r="588" ht="24.0" customHeight="1">
      <c r="F588" s="8"/>
      <c r="G588" s="8"/>
      <c r="H588" s="8"/>
      <c r="I588" s="8"/>
      <c r="J588" s="8"/>
      <c r="K588" s="8"/>
      <c r="L588" s="8"/>
      <c r="M588" s="8"/>
      <c r="N588" s="8"/>
      <c r="O588" s="8"/>
      <c r="P588" s="8"/>
      <c r="Q588" s="8"/>
      <c r="R588" s="8"/>
      <c r="S588" s="8"/>
      <c r="T588" s="8"/>
      <c r="U588" s="8"/>
      <c r="V588" s="8"/>
    </row>
    <row r="589" ht="24.0" customHeight="1">
      <c r="F589" s="8"/>
      <c r="G589" s="8"/>
      <c r="H589" s="8"/>
      <c r="I589" s="8"/>
      <c r="J589" s="8"/>
      <c r="K589" s="8"/>
      <c r="L589" s="8"/>
      <c r="M589" s="8"/>
      <c r="N589" s="8"/>
      <c r="O589" s="8"/>
      <c r="P589" s="8"/>
      <c r="Q589" s="8"/>
      <c r="R589" s="8"/>
      <c r="S589" s="8"/>
      <c r="T589" s="8"/>
      <c r="U589" s="8"/>
      <c r="V589" s="8"/>
    </row>
    <row r="590" ht="24.0" customHeight="1">
      <c r="F590" s="8"/>
      <c r="G590" s="8"/>
      <c r="H590" s="8"/>
      <c r="I590" s="8"/>
      <c r="J590" s="8"/>
      <c r="K590" s="8"/>
      <c r="L590" s="8"/>
      <c r="M590" s="8"/>
      <c r="N590" s="8"/>
      <c r="O590" s="8"/>
      <c r="P590" s="8"/>
      <c r="Q590" s="8"/>
      <c r="R590" s="8"/>
      <c r="S590" s="8"/>
      <c r="T590" s="8"/>
      <c r="U590" s="8"/>
      <c r="V590" s="8"/>
    </row>
    <row r="591" ht="24.0" customHeight="1">
      <c r="F591" s="8"/>
      <c r="G591" s="8"/>
      <c r="H591" s="8"/>
      <c r="I591" s="8"/>
      <c r="J591" s="8"/>
      <c r="K591" s="8"/>
      <c r="L591" s="8"/>
      <c r="M591" s="8"/>
      <c r="N591" s="8"/>
      <c r="O591" s="8"/>
      <c r="P591" s="8"/>
      <c r="Q591" s="8"/>
      <c r="R591" s="8"/>
      <c r="S591" s="8"/>
      <c r="T591" s="8"/>
      <c r="U591" s="8"/>
      <c r="V591" s="8"/>
    </row>
    <row r="592" ht="24.0" customHeight="1">
      <c r="F592" s="8"/>
      <c r="G592" s="8"/>
      <c r="H592" s="8"/>
      <c r="I592" s="8"/>
      <c r="J592" s="8"/>
      <c r="K592" s="8"/>
      <c r="L592" s="8"/>
      <c r="M592" s="8"/>
      <c r="N592" s="8"/>
      <c r="O592" s="8"/>
      <c r="P592" s="8"/>
      <c r="Q592" s="8"/>
      <c r="R592" s="8"/>
      <c r="S592" s="8"/>
      <c r="T592" s="8"/>
      <c r="U592" s="8"/>
      <c r="V592" s="8"/>
    </row>
    <row r="593" ht="24.0" customHeight="1">
      <c r="F593" s="8"/>
      <c r="G593" s="8"/>
      <c r="H593" s="8"/>
      <c r="I593" s="8"/>
      <c r="J593" s="8"/>
      <c r="K593" s="8"/>
      <c r="L593" s="8"/>
      <c r="M593" s="8"/>
      <c r="N593" s="8"/>
      <c r="O593" s="8"/>
      <c r="P593" s="8"/>
      <c r="Q593" s="8"/>
      <c r="R593" s="8"/>
      <c r="S593" s="8"/>
      <c r="T593" s="8"/>
      <c r="U593" s="8"/>
      <c r="V593" s="8"/>
    </row>
    <row r="594" ht="24.0" customHeight="1">
      <c r="F594" s="8"/>
      <c r="G594" s="8"/>
      <c r="H594" s="8"/>
      <c r="I594" s="8"/>
      <c r="J594" s="8"/>
      <c r="K594" s="8"/>
      <c r="L594" s="8"/>
      <c r="M594" s="8"/>
      <c r="N594" s="8"/>
      <c r="O594" s="8"/>
      <c r="P594" s="8"/>
      <c r="Q594" s="8"/>
      <c r="R594" s="8"/>
      <c r="S594" s="8"/>
      <c r="T594" s="8"/>
      <c r="U594" s="8"/>
      <c r="V594" s="8"/>
    </row>
    <row r="595" ht="24.0" customHeight="1">
      <c r="F595" s="8"/>
      <c r="G595" s="8"/>
      <c r="H595" s="8"/>
      <c r="I595" s="8"/>
      <c r="J595" s="8"/>
      <c r="K595" s="8"/>
      <c r="L595" s="8"/>
      <c r="M595" s="8"/>
      <c r="N595" s="8"/>
      <c r="O595" s="8"/>
      <c r="P595" s="8"/>
      <c r="Q595" s="8"/>
      <c r="R595" s="8"/>
      <c r="S595" s="8"/>
      <c r="T595" s="8"/>
      <c r="U595" s="8"/>
      <c r="V595" s="8"/>
    </row>
    <row r="596" ht="24.0" customHeight="1">
      <c r="F596" s="8"/>
      <c r="G596" s="8"/>
      <c r="H596" s="8"/>
      <c r="I596" s="8"/>
      <c r="J596" s="8"/>
      <c r="K596" s="8"/>
      <c r="L596" s="8"/>
      <c r="M596" s="8"/>
      <c r="N596" s="8"/>
      <c r="O596" s="8"/>
      <c r="P596" s="8"/>
      <c r="Q596" s="8"/>
      <c r="R596" s="8"/>
      <c r="S596" s="8"/>
      <c r="T596" s="8"/>
      <c r="U596" s="8"/>
      <c r="V596" s="8"/>
    </row>
    <row r="597" ht="24.0" customHeight="1">
      <c r="F597" s="8"/>
      <c r="G597" s="8"/>
      <c r="H597" s="8"/>
      <c r="I597" s="8"/>
      <c r="J597" s="8"/>
      <c r="K597" s="8"/>
      <c r="L597" s="8"/>
      <c r="M597" s="8"/>
      <c r="N597" s="8"/>
      <c r="O597" s="8"/>
      <c r="P597" s="8"/>
      <c r="Q597" s="8"/>
      <c r="R597" s="8"/>
      <c r="S597" s="8"/>
      <c r="T597" s="8"/>
      <c r="U597" s="8"/>
      <c r="V597" s="8"/>
    </row>
    <row r="598" ht="24.0" customHeight="1">
      <c r="F598" s="8"/>
      <c r="G598" s="8"/>
      <c r="H598" s="8"/>
      <c r="I598" s="8"/>
      <c r="J598" s="8"/>
      <c r="K598" s="8"/>
      <c r="L598" s="8"/>
      <c r="M598" s="8"/>
      <c r="N598" s="8"/>
      <c r="O598" s="8"/>
      <c r="P598" s="8"/>
      <c r="Q598" s="8"/>
      <c r="R598" s="8"/>
      <c r="S598" s="8"/>
      <c r="T598" s="8"/>
      <c r="U598" s="8"/>
      <c r="V598" s="8"/>
    </row>
    <row r="599" ht="24.0" customHeight="1">
      <c r="F599" s="8"/>
      <c r="G599" s="8"/>
      <c r="H599" s="8"/>
      <c r="I599" s="8"/>
      <c r="J599" s="8"/>
      <c r="K599" s="8"/>
      <c r="L599" s="8"/>
      <c r="M599" s="8"/>
      <c r="N599" s="8"/>
      <c r="O599" s="8"/>
      <c r="P599" s="8"/>
      <c r="Q599" s="8"/>
      <c r="R599" s="8"/>
      <c r="S599" s="8"/>
      <c r="T599" s="8"/>
      <c r="U599" s="8"/>
      <c r="V599" s="8"/>
    </row>
    <row r="600" ht="24.0" customHeight="1">
      <c r="F600" s="8"/>
      <c r="G600" s="8"/>
      <c r="H600" s="8"/>
      <c r="I600" s="8"/>
      <c r="J600" s="8"/>
      <c r="K600" s="8"/>
      <c r="L600" s="8"/>
      <c r="M600" s="8"/>
      <c r="N600" s="8"/>
      <c r="O600" s="8"/>
      <c r="P600" s="8"/>
      <c r="Q600" s="8"/>
      <c r="R600" s="8"/>
      <c r="S600" s="8"/>
      <c r="T600" s="8"/>
      <c r="U600" s="8"/>
      <c r="V600" s="8"/>
    </row>
    <row r="601" ht="24.0" customHeight="1">
      <c r="F601" s="8"/>
      <c r="G601" s="8"/>
      <c r="H601" s="8"/>
      <c r="I601" s="8"/>
      <c r="J601" s="8"/>
      <c r="K601" s="8"/>
      <c r="L601" s="8"/>
      <c r="M601" s="8"/>
      <c r="N601" s="8"/>
      <c r="O601" s="8"/>
      <c r="P601" s="8"/>
      <c r="Q601" s="8"/>
      <c r="R601" s="8"/>
      <c r="S601" s="8"/>
      <c r="T601" s="8"/>
      <c r="U601" s="8"/>
      <c r="V601" s="8"/>
    </row>
    <row r="602" ht="24.0" customHeight="1">
      <c r="F602" s="8"/>
      <c r="G602" s="8"/>
      <c r="H602" s="8"/>
      <c r="I602" s="8"/>
      <c r="J602" s="8"/>
      <c r="K602" s="8"/>
      <c r="L602" s="8"/>
      <c r="M602" s="8"/>
      <c r="N602" s="8"/>
      <c r="O602" s="8"/>
      <c r="P602" s="8"/>
      <c r="Q602" s="8"/>
      <c r="R602" s="8"/>
      <c r="S602" s="8"/>
      <c r="T602" s="8"/>
      <c r="U602" s="8"/>
      <c r="V602" s="8"/>
    </row>
    <row r="603" ht="24.0" customHeight="1">
      <c r="F603" s="8"/>
      <c r="G603" s="8"/>
      <c r="H603" s="8"/>
      <c r="I603" s="8"/>
      <c r="J603" s="8"/>
      <c r="K603" s="8"/>
      <c r="L603" s="8"/>
      <c r="M603" s="8"/>
      <c r="N603" s="8"/>
      <c r="O603" s="8"/>
      <c r="P603" s="8"/>
      <c r="Q603" s="8"/>
      <c r="R603" s="8"/>
      <c r="S603" s="8"/>
      <c r="T603" s="8"/>
      <c r="U603" s="8"/>
      <c r="V603" s="8"/>
    </row>
    <row r="604" ht="24.0" customHeight="1">
      <c r="F604" s="8"/>
      <c r="G604" s="8"/>
      <c r="H604" s="8"/>
      <c r="I604" s="8"/>
      <c r="J604" s="8"/>
      <c r="K604" s="8"/>
      <c r="L604" s="8"/>
      <c r="M604" s="8"/>
      <c r="N604" s="8"/>
      <c r="O604" s="8"/>
      <c r="P604" s="8"/>
      <c r="Q604" s="8"/>
      <c r="R604" s="8"/>
      <c r="S604" s="8"/>
      <c r="T604" s="8"/>
      <c r="U604" s="8"/>
      <c r="V604" s="8"/>
    </row>
    <row r="605" ht="24.0" customHeight="1">
      <c r="F605" s="8"/>
      <c r="G605" s="8"/>
      <c r="H605" s="8"/>
      <c r="I605" s="8"/>
      <c r="J605" s="8"/>
      <c r="K605" s="8"/>
      <c r="L605" s="8"/>
      <c r="M605" s="8"/>
      <c r="N605" s="8"/>
      <c r="O605" s="8"/>
      <c r="P605" s="8"/>
      <c r="Q605" s="8"/>
      <c r="R605" s="8"/>
      <c r="S605" s="8"/>
      <c r="T605" s="8"/>
      <c r="U605" s="8"/>
      <c r="V605" s="8"/>
    </row>
    <row r="606" ht="24.0" customHeight="1">
      <c r="F606" s="8"/>
      <c r="G606" s="8"/>
      <c r="H606" s="8"/>
      <c r="I606" s="8"/>
      <c r="J606" s="8"/>
      <c r="K606" s="8"/>
      <c r="L606" s="8"/>
      <c r="M606" s="8"/>
      <c r="N606" s="8"/>
      <c r="O606" s="8"/>
      <c r="P606" s="8"/>
      <c r="Q606" s="8"/>
      <c r="R606" s="8"/>
      <c r="S606" s="8"/>
      <c r="T606" s="8"/>
      <c r="U606" s="8"/>
      <c r="V606" s="8"/>
    </row>
    <row r="607" ht="24.0" customHeight="1">
      <c r="F607" s="8"/>
      <c r="G607" s="8"/>
      <c r="H607" s="8"/>
      <c r="I607" s="8"/>
      <c r="J607" s="8"/>
      <c r="K607" s="8"/>
      <c r="L607" s="8"/>
      <c r="M607" s="8"/>
      <c r="N607" s="8"/>
      <c r="O607" s="8"/>
      <c r="P607" s="8"/>
      <c r="Q607" s="8"/>
      <c r="R607" s="8"/>
      <c r="S607" s="8"/>
      <c r="T607" s="8"/>
      <c r="U607" s="8"/>
      <c r="V607" s="8"/>
    </row>
    <row r="608" ht="24.0" customHeight="1">
      <c r="F608" s="8"/>
      <c r="G608" s="8"/>
      <c r="H608" s="8"/>
      <c r="I608" s="8"/>
      <c r="J608" s="8"/>
      <c r="K608" s="8"/>
      <c r="L608" s="8"/>
      <c r="M608" s="8"/>
      <c r="N608" s="8"/>
      <c r="O608" s="8"/>
      <c r="P608" s="8"/>
      <c r="Q608" s="8"/>
      <c r="R608" s="8"/>
      <c r="S608" s="8"/>
      <c r="T608" s="8"/>
      <c r="U608" s="8"/>
      <c r="V608" s="8"/>
    </row>
    <row r="609" ht="24.0" customHeight="1">
      <c r="F609" s="8"/>
      <c r="G609" s="8"/>
      <c r="H609" s="8"/>
      <c r="I609" s="8"/>
      <c r="J609" s="8"/>
      <c r="K609" s="8"/>
      <c r="L609" s="8"/>
      <c r="M609" s="8"/>
      <c r="N609" s="8"/>
      <c r="O609" s="8"/>
      <c r="P609" s="8"/>
      <c r="Q609" s="8"/>
      <c r="R609" s="8"/>
      <c r="S609" s="8"/>
      <c r="T609" s="8"/>
      <c r="U609" s="8"/>
      <c r="V609" s="8"/>
    </row>
    <row r="610" ht="24.0" customHeight="1">
      <c r="F610" s="8"/>
      <c r="G610" s="8"/>
      <c r="H610" s="8"/>
      <c r="I610" s="8"/>
      <c r="J610" s="8"/>
      <c r="K610" s="8"/>
      <c r="L610" s="8"/>
      <c r="M610" s="8"/>
      <c r="N610" s="8"/>
      <c r="O610" s="8"/>
      <c r="P610" s="8"/>
      <c r="Q610" s="8"/>
      <c r="R610" s="8"/>
      <c r="S610" s="8"/>
      <c r="T610" s="8"/>
      <c r="U610" s="8"/>
      <c r="V610" s="8"/>
    </row>
    <row r="611" ht="24.0" customHeight="1">
      <c r="F611" s="8"/>
      <c r="G611" s="8"/>
      <c r="H611" s="8"/>
      <c r="I611" s="8"/>
      <c r="J611" s="8"/>
      <c r="K611" s="8"/>
      <c r="L611" s="8"/>
      <c r="M611" s="8"/>
      <c r="N611" s="8"/>
      <c r="O611" s="8"/>
      <c r="P611" s="8"/>
      <c r="Q611" s="8"/>
      <c r="R611" s="8"/>
      <c r="S611" s="8"/>
      <c r="T611" s="8"/>
      <c r="U611" s="8"/>
      <c r="V611" s="8"/>
    </row>
    <row r="612" ht="24.0" customHeight="1">
      <c r="F612" s="8"/>
      <c r="G612" s="8"/>
      <c r="H612" s="8"/>
      <c r="I612" s="8"/>
      <c r="J612" s="8"/>
      <c r="K612" s="8"/>
      <c r="L612" s="8"/>
      <c r="M612" s="8"/>
      <c r="N612" s="8"/>
      <c r="O612" s="8"/>
      <c r="P612" s="8"/>
      <c r="Q612" s="8"/>
      <c r="R612" s="8"/>
      <c r="S612" s="8"/>
      <c r="T612" s="8"/>
      <c r="U612" s="8"/>
      <c r="V612" s="8"/>
    </row>
    <row r="613" ht="24.0" customHeight="1">
      <c r="F613" s="8"/>
      <c r="G613" s="8"/>
      <c r="H613" s="8"/>
      <c r="I613" s="8"/>
      <c r="J613" s="8"/>
      <c r="K613" s="8"/>
      <c r="L613" s="8"/>
      <c r="M613" s="8"/>
      <c r="N613" s="8"/>
      <c r="O613" s="8"/>
      <c r="P613" s="8"/>
      <c r="Q613" s="8"/>
      <c r="R613" s="8"/>
      <c r="S613" s="8"/>
      <c r="T613" s="8"/>
      <c r="U613" s="8"/>
      <c r="V613" s="8"/>
    </row>
    <row r="614" ht="24.0" customHeight="1">
      <c r="F614" s="8"/>
      <c r="G614" s="8"/>
      <c r="H614" s="8"/>
      <c r="I614" s="8"/>
      <c r="J614" s="8"/>
      <c r="K614" s="8"/>
      <c r="L614" s="8"/>
      <c r="M614" s="8"/>
      <c r="N614" s="8"/>
      <c r="O614" s="8"/>
      <c r="P614" s="8"/>
      <c r="Q614" s="8"/>
      <c r="R614" s="8"/>
      <c r="S614" s="8"/>
      <c r="T614" s="8"/>
      <c r="U614" s="8"/>
      <c r="V614" s="8"/>
    </row>
    <row r="615" ht="24.0" customHeight="1">
      <c r="F615" s="8"/>
      <c r="G615" s="8"/>
      <c r="H615" s="8"/>
      <c r="I615" s="8"/>
      <c r="J615" s="8"/>
      <c r="K615" s="8"/>
      <c r="L615" s="8"/>
      <c r="M615" s="8"/>
      <c r="N615" s="8"/>
      <c r="O615" s="8"/>
      <c r="P615" s="8"/>
      <c r="Q615" s="8"/>
      <c r="R615" s="8"/>
      <c r="S615" s="8"/>
      <c r="T615" s="8"/>
      <c r="U615" s="8"/>
      <c r="V615" s="8"/>
    </row>
    <row r="616" ht="24.0" customHeight="1">
      <c r="F616" s="8"/>
      <c r="G616" s="8"/>
      <c r="H616" s="8"/>
      <c r="I616" s="8"/>
      <c r="J616" s="8"/>
      <c r="K616" s="8"/>
      <c r="L616" s="8"/>
      <c r="M616" s="8"/>
      <c r="N616" s="8"/>
      <c r="O616" s="8"/>
      <c r="P616" s="8"/>
      <c r="Q616" s="8"/>
      <c r="R616" s="8"/>
      <c r="S616" s="8"/>
      <c r="T616" s="8"/>
      <c r="U616" s="8"/>
      <c r="V616" s="8"/>
    </row>
    <row r="617" ht="24.0" customHeight="1">
      <c r="F617" s="8"/>
      <c r="G617" s="8"/>
      <c r="H617" s="8"/>
      <c r="I617" s="8"/>
      <c r="J617" s="8"/>
      <c r="K617" s="8"/>
      <c r="L617" s="8"/>
      <c r="M617" s="8"/>
      <c r="N617" s="8"/>
      <c r="O617" s="8"/>
      <c r="P617" s="8"/>
      <c r="Q617" s="8"/>
      <c r="R617" s="8"/>
      <c r="S617" s="8"/>
      <c r="T617" s="8"/>
      <c r="U617" s="8"/>
      <c r="V617" s="8"/>
    </row>
    <row r="618" ht="24.0" customHeight="1">
      <c r="F618" s="8"/>
      <c r="G618" s="8"/>
      <c r="H618" s="8"/>
      <c r="I618" s="8"/>
      <c r="J618" s="8"/>
      <c r="K618" s="8"/>
      <c r="L618" s="8"/>
      <c r="M618" s="8"/>
      <c r="N618" s="8"/>
      <c r="O618" s="8"/>
      <c r="P618" s="8"/>
      <c r="Q618" s="8"/>
      <c r="R618" s="8"/>
      <c r="S618" s="8"/>
      <c r="T618" s="8"/>
      <c r="U618" s="8"/>
      <c r="V618" s="8"/>
    </row>
    <row r="619" ht="24.0" customHeight="1">
      <c r="F619" s="8"/>
      <c r="G619" s="8"/>
      <c r="H619" s="8"/>
      <c r="I619" s="8"/>
      <c r="J619" s="8"/>
      <c r="K619" s="8"/>
      <c r="L619" s="8"/>
      <c r="M619" s="8"/>
      <c r="N619" s="8"/>
      <c r="O619" s="8"/>
      <c r="P619" s="8"/>
      <c r="Q619" s="8"/>
      <c r="R619" s="8"/>
      <c r="S619" s="8"/>
      <c r="T619" s="8"/>
      <c r="U619" s="8"/>
      <c r="V619" s="8"/>
    </row>
    <row r="620" ht="24.0" customHeight="1">
      <c r="F620" s="8"/>
      <c r="G620" s="8"/>
      <c r="H620" s="8"/>
      <c r="I620" s="8"/>
      <c r="J620" s="8"/>
      <c r="K620" s="8"/>
      <c r="L620" s="8"/>
      <c r="M620" s="8"/>
      <c r="N620" s="8"/>
      <c r="O620" s="8"/>
      <c r="P620" s="8"/>
      <c r="Q620" s="8"/>
      <c r="R620" s="8"/>
      <c r="S620" s="8"/>
      <c r="T620" s="8"/>
      <c r="U620" s="8"/>
      <c r="V620" s="8"/>
    </row>
    <row r="621" ht="24.0" customHeight="1">
      <c r="F621" s="8"/>
      <c r="G621" s="8"/>
      <c r="H621" s="8"/>
      <c r="I621" s="8"/>
      <c r="J621" s="8"/>
      <c r="K621" s="8"/>
      <c r="L621" s="8"/>
      <c r="M621" s="8"/>
      <c r="N621" s="8"/>
      <c r="O621" s="8"/>
      <c r="P621" s="8"/>
      <c r="Q621" s="8"/>
      <c r="R621" s="8"/>
      <c r="S621" s="8"/>
      <c r="T621" s="8"/>
      <c r="U621" s="8"/>
      <c r="V621" s="8"/>
    </row>
    <row r="622" ht="24.0" customHeight="1">
      <c r="F622" s="8"/>
      <c r="G622" s="8"/>
      <c r="H622" s="8"/>
      <c r="I622" s="8"/>
      <c r="J622" s="8"/>
      <c r="K622" s="8"/>
      <c r="L622" s="8"/>
      <c r="M622" s="8"/>
      <c r="N622" s="8"/>
      <c r="O622" s="8"/>
      <c r="P622" s="8"/>
      <c r="Q622" s="8"/>
      <c r="R622" s="8"/>
      <c r="S622" s="8"/>
      <c r="T622" s="8"/>
      <c r="U622" s="8"/>
      <c r="V622" s="8"/>
    </row>
    <row r="623" ht="24.0" customHeight="1">
      <c r="F623" s="8"/>
      <c r="G623" s="8"/>
      <c r="H623" s="8"/>
      <c r="I623" s="8"/>
      <c r="J623" s="8"/>
      <c r="K623" s="8"/>
      <c r="L623" s="8"/>
      <c r="M623" s="8"/>
      <c r="N623" s="8"/>
      <c r="O623" s="8"/>
      <c r="P623" s="8"/>
      <c r="Q623" s="8"/>
      <c r="R623" s="8"/>
      <c r="S623" s="8"/>
      <c r="T623" s="8"/>
      <c r="U623" s="8"/>
      <c r="V623" s="8"/>
    </row>
    <row r="624" ht="24.0" customHeight="1">
      <c r="F624" s="8"/>
      <c r="G624" s="8"/>
      <c r="H624" s="8"/>
      <c r="I624" s="8"/>
      <c r="J624" s="8"/>
      <c r="K624" s="8"/>
      <c r="L624" s="8"/>
      <c r="M624" s="8"/>
      <c r="N624" s="8"/>
      <c r="O624" s="8"/>
      <c r="P624" s="8"/>
      <c r="Q624" s="8"/>
      <c r="R624" s="8"/>
      <c r="S624" s="8"/>
      <c r="T624" s="8"/>
      <c r="U624" s="8"/>
      <c r="V624" s="8"/>
    </row>
    <row r="625" ht="24.0" customHeight="1">
      <c r="F625" s="8"/>
      <c r="G625" s="8"/>
      <c r="H625" s="8"/>
      <c r="I625" s="8"/>
      <c r="J625" s="8"/>
      <c r="K625" s="8"/>
      <c r="L625" s="8"/>
      <c r="M625" s="8"/>
      <c r="N625" s="8"/>
      <c r="O625" s="8"/>
      <c r="P625" s="8"/>
      <c r="Q625" s="8"/>
      <c r="R625" s="8"/>
      <c r="S625" s="8"/>
      <c r="T625" s="8"/>
      <c r="U625" s="8"/>
      <c r="V625" s="8"/>
    </row>
    <row r="626" ht="24.0" customHeight="1">
      <c r="F626" s="8"/>
      <c r="G626" s="8"/>
      <c r="H626" s="8"/>
      <c r="I626" s="8"/>
      <c r="J626" s="8"/>
      <c r="K626" s="8"/>
      <c r="L626" s="8"/>
      <c r="M626" s="8"/>
      <c r="N626" s="8"/>
      <c r="O626" s="8"/>
      <c r="P626" s="8"/>
      <c r="Q626" s="8"/>
      <c r="R626" s="8"/>
      <c r="S626" s="8"/>
      <c r="T626" s="8"/>
      <c r="U626" s="8"/>
      <c r="V626" s="8"/>
    </row>
    <row r="627" ht="24.0" customHeight="1">
      <c r="F627" s="8"/>
      <c r="G627" s="8"/>
      <c r="H627" s="8"/>
      <c r="I627" s="8"/>
      <c r="J627" s="8"/>
      <c r="K627" s="8"/>
      <c r="L627" s="8"/>
      <c r="M627" s="8"/>
      <c r="N627" s="8"/>
      <c r="O627" s="8"/>
      <c r="P627" s="8"/>
      <c r="Q627" s="8"/>
      <c r="R627" s="8"/>
      <c r="S627" s="8"/>
      <c r="T627" s="8"/>
      <c r="U627" s="8"/>
      <c r="V627" s="8"/>
    </row>
    <row r="628" ht="24.0" customHeight="1">
      <c r="F628" s="8"/>
      <c r="G628" s="8"/>
      <c r="H628" s="8"/>
      <c r="I628" s="8"/>
      <c r="J628" s="8"/>
      <c r="K628" s="8"/>
      <c r="L628" s="8"/>
      <c r="M628" s="8"/>
      <c r="N628" s="8"/>
      <c r="O628" s="8"/>
      <c r="P628" s="8"/>
      <c r="Q628" s="8"/>
      <c r="R628" s="8"/>
      <c r="S628" s="8"/>
      <c r="T628" s="8"/>
      <c r="U628" s="8"/>
      <c r="V628" s="8"/>
    </row>
    <row r="629" ht="24.0" customHeight="1">
      <c r="F629" s="8"/>
      <c r="G629" s="8"/>
      <c r="H629" s="8"/>
      <c r="I629" s="8"/>
      <c r="J629" s="8"/>
      <c r="K629" s="8"/>
      <c r="L629" s="8"/>
      <c r="M629" s="8"/>
      <c r="N629" s="8"/>
      <c r="O629" s="8"/>
      <c r="P629" s="8"/>
      <c r="Q629" s="8"/>
      <c r="R629" s="8"/>
      <c r="S629" s="8"/>
      <c r="T629" s="8"/>
      <c r="U629" s="8"/>
      <c r="V629" s="8"/>
    </row>
    <row r="630" ht="24.0" customHeight="1">
      <c r="F630" s="8"/>
      <c r="G630" s="8"/>
      <c r="H630" s="8"/>
      <c r="I630" s="8"/>
      <c r="J630" s="8"/>
      <c r="K630" s="8"/>
      <c r="L630" s="8"/>
      <c r="M630" s="8"/>
      <c r="N630" s="8"/>
      <c r="O630" s="8"/>
      <c r="P630" s="8"/>
      <c r="Q630" s="8"/>
      <c r="R630" s="8"/>
      <c r="S630" s="8"/>
      <c r="T630" s="8"/>
      <c r="U630" s="8"/>
      <c r="V630" s="8"/>
    </row>
    <row r="631" ht="24.0" customHeight="1">
      <c r="F631" s="8"/>
      <c r="G631" s="8"/>
      <c r="H631" s="8"/>
      <c r="I631" s="8"/>
      <c r="J631" s="8"/>
      <c r="K631" s="8"/>
      <c r="L631" s="8"/>
      <c r="M631" s="8"/>
      <c r="N631" s="8"/>
      <c r="O631" s="8"/>
      <c r="P631" s="8"/>
      <c r="Q631" s="8"/>
      <c r="R631" s="8"/>
      <c r="S631" s="8"/>
      <c r="T631" s="8"/>
      <c r="U631" s="8"/>
      <c r="V631" s="8"/>
    </row>
    <row r="632" ht="24.0" customHeight="1">
      <c r="F632" s="8"/>
      <c r="G632" s="8"/>
      <c r="H632" s="8"/>
      <c r="I632" s="8"/>
      <c r="J632" s="8"/>
      <c r="K632" s="8"/>
      <c r="L632" s="8"/>
      <c r="M632" s="8"/>
      <c r="N632" s="8"/>
      <c r="O632" s="8"/>
      <c r="P632" s="8"/>
      <c r="Q632" s="8"/>
      <c r="R632" s="8"/>
      <c r="S632" s="8"/>
      <c r="T632" s="8"/>
      <c r="U632" s="8"/>
      <c r="V632" s="8"/>
    </row>
    <row r="633" ht="24.0" customHeight="1">
      <c r="F633" s="8"/>
      <c r="G633" s="8"/>
      <c r="H633" s="8"/>
      <c r="I633" s="8"/>
      <c r="J633" s="8"/>
      <c r="K633" s="8"/>
      <c r="L633" s="8"/>
      <c r="M633" s="8"/>
      <c r="N633" s="8"/>
      <c r="O633" s="8"/>
      <c r="P633" s="8"/>
      <c r="Q633" s="8"/>
      <c r="R633" s="8"/>
      <c r="S633" s="8"/>
      <c r="T633" s="8"/>
      <c r="U633" s="8"/>
      <c r="V633" s="8"/>
    </row>
    <row r="634" ht="24.0" customHeight="1">
      <c r="F634" s="8"/>
      <c r="G634" s="8"/>
      <c r="H634" s="8"/>
      <c r="I634" s="8"/>
      <c r="J634" s="8"/>
      <c r="K634" s="8"/>
      <c r="L634" s="8"/>
      <c r="M634" s="8"/>
      <c r="N634" s="8"/>
      <c r="O634" s="8"/>
      <c r="P634" s="8"/>
      <c r="Q634" s="8"/>
      <c r="R634" s="8"/>
      <c r="S634" s="8"/>
      <c r="T634" s="8"/>
      <c r="U634" s="8"/>
      <c r="V634" s="8"/>
    </row>
    <row r="635" ht="24.0" customHeight="1">
      <c r="F635" s="8"/>
      <c r="G635" s="8"/>
      <c r="H635" s="8"/>
      <c r="I635" s="8"/>
      <c r="J635" s="8"/>
      <c r="K635" s="8"/>
      <c r="L635" s="8"/>
      <c r="M635" s="8"/>
      <c r="N635" s="8"/>
      <c r="O635" s="8"/>
      <c r="P635" s="8"/>
      <c r="Q635" s="8"/>
      <c r="R635" s="8"/>
      <c r="S635" s="8"/>
      <c r="T635" s="8"/>
      <c r="U635" s="8"/>
      <c r="V635" s="8"/>
    </row>
    <row r="636" ht="24.0" customHeight="1">
      <c r="F636" s="8"/>
      <c r="G636" s="8"/>
      <c r="H636" s="8"/>
      <c r="I636" s="8"/>
      <c r="J636" s="8"/>
      <c r="K636" s="8"/>
      <c r="L636" s="8"/>
      <c r="M636" s="8"/>
      <c r="N636" s="8"/>
      <c r="O636" s="8"/>
      <c r="P636" s="8"/>
      <c r="Q636" s="8"/>
      <c r="R636" s="8"/>
      <c r="S636" s="8"/>
      <c r="T636" s="8"/>
      <c r="U636" s="8"/>
      <c r="V636" s="8"/>
    </row>
    <row r="637" ht="24.0" customHeight="1">
      <c r="F637" s="8"/>
      <c r="G637" s="8"/>
      <c r="H637" s="8"/>
      <c r="I637" s="8"/>
      <c r="J637" s="8"/>
      <c r="K637" s="8"/>
      <c r="L637" s="8"/>
      <c r="M637" s="8"/>
      <c r="N637" s="8"/>
      <c r="O637" s="8"/>
      <c r="P637" s="8"/>
      <c r="Q637" s="8"/>
      <c r="R637" s="8"/>
      <c r="S637" s="8"/>
      <c r="T637" s="8"/>
      <c r="U637" s="8"/>
      <c r="V637" s="8"/>
    </row>
    <row r="638" ht="24.0" customHeight="1">
      <c r="F638" s="8"/>
      <c r="G638" s="8"/>
      <c r="H638" s="8"/>
      <c r="I638" s="8"/>
      <c r="J638" s="8"/>
      <c r="K638" s="8"/>
      <c r="L638" s="8"/>
      <c r="M638" s="8"/>
      <c r="N638" s="8"/>
      <c r="O638" s="8"/>
      <c r="P638" s="8"/>
      <c r="Q638" s="8"/>
      <c r="R638" s="8"/>
      <c r="S638" s="8"/>
      <c r="T638" s="8"/>
      <c r="U638" s="8"/>
      <c r="V638" s="8"/>
    </row>
    <row r="639" ht="24.0" customHeight="1">
      <c r="F639" s="8"/>
      <c r="G639" s="8"/>
      <c r="H639" s="8"/>
      <c r="I639" s="8"/>
      <c r="J639" s="8"/>
      <c r="K639" s="8"/>
      <c r="L639" s="8"/>
      <c r="M639" s="8"/>
      <c r="N639" s="8"/>
      <c r="O639" s="8"/>
      <c r="P639" s="8"/>
      <c r="Q639" s="8"/>
      <c r="R639" s="8"/>
      <c r="S639" s="8"/>
      <c r="T639" s="8"/>
      <c r="U639" s="8"/>
      <c r="V639" s="8"/>
    </row>
    <row r="640" ht="24.0" customHeight="1">
      <c r="F640" s="8"/>
      <c r="G640" s="8"/>
      <c r="H640" s="8"/>
      <c r="I640" s="8"/>
      <c r="J640" s="8"/>
      <c r="K640" s="8"/>
      <c r="L640" s="8"/>
      <c r="M640" s="8"/>
      <c r="N640" s="8"/>
      <c r="O640" s="8"/>
      <c r="P640" s="8"/>
      <c r="Q640" s="8"/>
      <c r="R640" s="8"/>
      <c r="S640" s="8"/>
      <c r="T640" s="8"/>
      <c r="U640" s="8"/>
      <c r="V640" s="8"/>
    </row>
    <row r="641" ht="24.0" customHeight="1">
      <c r="F641" s="8"/>
      <c r="G641" s="8"/>
      <c r="H641" s="8"/>
      <c r="I641" s="8"/>
      <c r="J641" s="8"/>
      <c r="K641" s="8"/>
      <c r="L641" s="8"/>
      <c r="M641" s="8"/>
      <c r="N641" s="8"/>
      <c r="O641" s="8"/>
      <c r="P641" s="8"/>
      <c r="Q641" s="8"/>
      <c r="R641" s="8"/>
      <c r="S641" s="8"/>
      <c r="T641" s="8"/>
      <c r="U641" s="8"/>
      <c r="V641" s="8"/>
    </row>
    <row r="642" ht="24.0" customHeight="1">
      <c r="F642" s="8"/>
      <c r="G642" s="8"/>
      <c r="H642" s="8"/>
      <c r="I642" s="8"/>
      <c r="J642" s="8"/>
      <c r="K642" s="8"/>
      <c r="L642" s="8"/>
      <c r="M642" s="8"/>
      <c r="N642" s="8"/>
      <c r="O642" s="8"/>
      <c r="P642" s="8"/>
      <c r="Q642" s="8"/>
      <c r="R642" s="8"/>
      <c r="S642" s="8"/>
      <c r="T642" s="8"/>
      <c r="U642" s="8"/>
      <c r="V642" s="8"/>
    </row>
    <row r="643" ht="24.0" customHeight="1">
      <c r="F643" s="8"/>
      <c r="G643" s="8"/>
      <c r="H643" s="8"/>
      <c r="I643" s="8"/>
      <c r="J643" s="8"/>
      <c r="K643" s="8"/>
      <c r="L643" s="8"/>
      <c r="M643" s="8"/>
      <c r="N643" s="8"/>
      <c r="O643" s="8"/>
      <c r="P643" s="8"/>
      <c r="Q643" s="8"/>
      <c r="R643" s="8"/>
      <c r="S643" s="8"/>
      <c r="T643" s="8"/>
      <c r="U643" s="8"/>
      <c r="V643" s="8"/>
    </row>
    <row r="644" ht="24.0" customHeight="1">
      <c r="F644" s="8"/>
      <c r="G644" s="8"/>
      <c r="H644" s="8"/>
      <c r="I644" s="8"/>
      <c r="J644" s="8"/>
      <c r="K644" s="8"/>
      <c r="L644" s="8"/>
      <c r="M644" s="8"/>
      <c r="N644" s="8"/>
      <c r="O644" s="8"/>
      <c r="P644" s="8"/>
      <c r="Q644" s="8"/>
      <c r="R644" s="8"/>
      <c r="S644" s="8"/>
      <c r="T644" s="8"/>
      <c r="U644" s="8"/>
      <c r="V644" s="8"/>
    </row>
    <row r="645" ht="24.0" customHeight="1">
      <c r="F645" s="8"/>
      <c r="G645" s="8"/>
      <c r="H645" s="8"/>
      <c r="I645" s="8"/>
      <c r="J645" s="8"/>
      <c r="K645" s="8"/>
      <c r="L645" s="8"/>
      <c r="M645" s="8"/>
      <c r="N645" s="8"/>
      <c r="O645" s="8"/>
      <c r="P645" s="8"/>
      <c r="Q645" s="8"/>
      <c r="R645" s="8"/>
      <c r="S645" s="8"/>
      <c r="T645" s="8"/>
      <c r="U645" s="8"/>
      <c r="V645" s="8"/>
    </row>
    <row r="646" ht="24.0" customHeight="1">
      <c r="F646" s="8"/>
      <c r="G646" s="8"/>
      <c r="H646" s="8"/>
      <c r="I646" s="8"/>
      <c r="J646" s="8"/>
      <c r="K646" s="8"/>
      <c r="L646" s="8"/>
      <c r="M646" s="8"/>
      <c r="N646" s="8"/>
      <c r="O646" s="8"/>
      <c r="P646" s="8"/>
      <c r="Q646" s="8"/>
      <c r="R646" s="8"/>
      <c r="S646" s="8"/>
      <c r="T646" s="8"/>
      <c r="U646" s="8"/>
      <c r="V646" s="8"/>
    </row>
    <row r="647" ht="24.0" customHeight="1">
      <c r="F647" s="8"/>
      <c r="G647" s="8"/>
      <c r="H647" s="8"/>
      <c r="I647" s="8"/>
      <c r="J647" s="8"/>
      <c r="K647" s="8"/>
      <c r="L647" s="8"/>
      <c r="M647" s="8"/>
      <c r="N647" s="8"/>
      <c r="O647" s="8"/>
      <c r="P647" s="8"/>
      <c r="Q647" s="8"/>
      <c r="R647" s="8"/>
      <c r="S647" s="8"/>
      <c r="T647" s="8"/>
      <c r="U647" s="8"/>
      <c r="V647" s="8"/>
    </row>
    <row r="648" ht="24.0" customHeight="1">
      <c r="F648" s="8"/>
      <c r="G648" s="8"/>
      <c r="H648" s="8"/>
      <c r="I648" s="8"/>
      <c r="J648" s="8"/>
      <c r="K648" s="8"/>
      <c r="L648" s="8"/>
      <c r="M648" s="8"/>
      <c r="N648" s="8"/>
      <c r="O648" s="8"/>
      <c r="P648" s="8"/>
      <c r="Q648" s="8"/>
      <c r="R648" s="8"/>
      <c r="S648" s="8"/>
      <c r="T648" s="8"/>
      <c r="U648" s="8"/>
      <c r="V648" s="8"/>
    </row>
    <row r="649" ht="24.0" customHeight="1">
      <c r="F649" s="8"/>
      <c r="G649" s="8"/>
      <c r="H649" s="8"/>
      <c r="I649" s="8"/>
      <c r="J649" s="8"/>
      <c r="K649" s="8"/>
      <c r="L649" s="8"/>
      <c r="M649" s="8"/>
      <c r="N649" s="8"/>
      <c r="O649" s="8"/>
      <c r="P649" s="8"/>
      <c r="Q649" s="8"/>
      <c r="R649" s="8"/>
      <c r="S649" s="8"/>
      <c r="T649" s="8"/>
      <c r="U649" s="8"/>
      <c r="V649" s="8"/>
    </row>
    <row r="650" ht="24.0" customHeight="1">
      <c r="F650" s="8"/>
      <c r="G650" s="8"/>
      <c r="H650" s="8"/>
      <c r="I650" s="8"/>
      <c r="J650" s="8"/>
      <c r="K650" s="8"/>
      <c r="L650" s="8"/>
      <c r="M650" s="8"/>
      <c r="N650" s="8"/>
      <c r="O650" s="8"/>
      <c r="P650" s="8"/>
      <c r="Q650" s="8"/>
      <c r="R650" s="8"/>
      <c r="S650" s="8"/>
      <c r="T650" s="8"/>
      <c r="U650" s="8"/>
      <c r="V650" s="8"/>
    </row>
    <row r="651" ht="24.0" customHeight="1">
      <c r="F651" s="8"/>
      <c r="G651" s="8"/>
      <c r="H651" s="8"/>
      <c r="I651" s="8"/>
      <c r="J651" s="8"/>
      <c r="K651" s="8"/>
      <c r="L651" s="8"/>
      <c r="M651" s="8"/>
      <c r="N651" s="8"/>
      <c r="O651" s="8"/>
      <c r="P651" s="8"/>
      <c r="Q651" s="8"/>
      <c r="R651" s="8"/>
      <c r="S651" s="8"/>
      <c r="T651" s="8"/>
      <c r="U651" s="8"/>
      <c r="V651" s="8"/>
    </row>
    <row r="652" ht="24.0" customHeight="1">
      <c r="F652" s="8"/>
      <c r="G652" s="8"/>
      <c r="H652" s="8"/>
      <c r="I652" s="8"/>
      <c r="J652" s="8"/>
      <c r="K652" s="8"/>
      <c r="L652" s="8"/>
      <c r="M652" s="8"/>
      <c r="N652" s="8"/>
      <c r="O652" s="8"/>
      <c r="P652" s="8"/>
      <c r="Q652" s="8"/>
      <c r="R652" s="8"/>
      <c r="S652" s="8"/>
      <c r="T652" s="8"/>
      <c r="U652" s="8"/>
      <c r="V652" s="8"/>
    </row>
    <row r="653" ht="24.0" customHeight="1">
      <c r="F653" s="8"/>
      <c r="G653" s="8"/>
      <c r="H653" s="8"/>
      <c r="I653" s="8"/>
      <c r="J653" s="8"/>
      <c r="K653" s="8"/>
      <c r="L653" s="8"/>
      <c r="M653" s="8"/>
      <c r="N653" s="8"/>
      <c r="O653" s="8"/>
      <c r="P653" s="8"/>
      <c r="Q653" s="8"/>
      <c r="R653" s="8"/>
      <c r="S653" s="8"/>
      <c r="T653" s="8"/>
      <c r="U653" s="8"/>
      <c r="V653" s="8"/>
    </row>
    <row r="654" ht="24.0" customHeight="1">
      <c r="F654" s="8"/>
      <c r="G654" s="8"/>
      <c r="H654" s="8"/>
      <c r="I654" s="8"/>
      <c r="J654" s="8"/>
      <c r="K654" s="8"/>
      <c r="L654" s="8"/>
      <c r="M654" s="8"/>
      <c r="N654" s="8"/>
      <c r="O654" s="8"/>
      <c r="P654" s="8"/>
      <c r="Q654" s="8"/>
      <c r="R654" s="8"/>
      <c r="S654" s="8"/>
      <c r="T654" s="8"/>
      <c r="U654" s="8"/>
      <c r="V654" s="8"/>
    </row>
    <row r="655" ht="24.0" customHeight="1">
      <c r="F655" s="8"/>
      <c r="G655" s="8"/>
      <c r="H655" s="8"/>
      <c r="I655" s="8"/>
      <c r="J655" s="8"/>
      <c r="K655" s="8"/>
      <c r="L655" s="8"/>
      <c r="M655" s="8"/>
      <c r="N655" s="8"/>
      <c r="O655" s="8"/>
      <c r="P655" s="8"/>
      <c r="Q655" s="8"/>
      <c r="R655" s="8"/>
      <c r="S655" s="8"/>
      <c r="T655" s="8"/>
      <c r="U655" s="8"/>
      <c r="V655" s="8"/>
    </row>
    <row r="656" ht="24.0" customHeight="1">
      <c r="F656" s="8"/>
      <c r="G656" s="8"/>
      <c r="H656" s="8"/>
      <c r="I656" s="8"/>
      <c r="J656" s="8"/>
      <c r="K656" s="8"/>
      <c r="L656" s="8"/>
      <c r="M656" s="8"/>
      <c r="N656" s="8"/>
      <c r="O656" s="8"/>
      <c r="P656" s="8"/>
      <c r="Q656" s="8"/>
      <c r="R656" s="8"/>
      <c r="S656" s="8"/>
      <c r="T656" s="8"/>
      <c r="U656" s="8"/>
      <c r="V656" s="8"/>
    </row>
    <row r="657" ht="24.0" customHeight="1">
      <c r="F657" s="8"/>
      <c r="G657" s="8"/>
      <c r="H657" s="8"/>
      <c r="I657" s="8"/>
      <c r="J657" s="8"/>
      <c r="K657" s="8"/>
      <c r="L657" s="8"/>
      <c r="M657" s="8"/>
      <c r="N657" s="8"/>
      <c r="O657" s="8"/>
      <c r="P657" s="8"/>
      <c r="Q657" s="8"/>
      <c r="R657" s="8"/>
      <c r="S657" s="8"/>
      <c r="T657" s="8"/>
      <c r="U657" s="8"/>
      <c r="V657" s="8"/>
    </row>
    <row r="658" ht="24.0" customHeight="1">
      <c r="F658" s="8"/>
      <c r="G658" s="8"/>
      <c r="H658" s="8"/>
      <c r="I658" s="8"/>
      <c r="J658" s="8"/>
      <c r="K658" s="8"/>
      <c r="L658" s="8"/>
      <c r="M658" s="8"/>
      <c r="N658" s="8"/>
      <c r="O658" s="8"/>
      <c r="P658" s="8"/>
      <c r="Q658" s="8"/>
      <c r="R658" s="8"/>
      <c r="S658" s="8"/>
      <c r="T658" s="8"/>
      <c r="U658" s="8"/>
      <c r="V658" s="8"/>
    </row>
    <row r="659" ht="24.0" customHeight="1">
      <c r="F659" s="8"/>
      <c r="G659" s="8"/>
      <c r="H659" s="8"/>
      <c r="I659" s="8"/>
      <c r="J659" s="8"/>
      <c r="K659" s="8"/>
      <c r="L659" s="8"/>
      <c r="M659" s="8"/>
      <c r="N659" s="8"/>
      <c r="O659" s="8"/>
      <c r="P659" s="8"/>
      <c r="Q659" s="8"/>
      <c r="R659" s="8"/>
      <c r="S659" s="8"/>
      <c r="T659" s="8"/>
      <c r="U659" s="8"/>
      <c r="V659" s="8"/>
    </row>
    <row r="660" ht="24.0" customHeight="1">
      <c r="F660" s="8"/>
      <c r="G660" s="8"/>
      <c r="H660" s="8"/>
      <c r="I660" s="8"/>
      <c r="J660" s="8"/>
      <c r="K660" s="8"/>
      <c r="L660" s="8"/>
      <c r="M660" s="8"/>
      <c r="N660" s="8"/>
      <c r="O660" s="8"/>
      <c r="P660" s="8"/>
      <c r="Q660" s="8"/>
      <c r="R660" s="8"/>
      <c r="S660" s="8"/>
      <c r="T660" s="8"/>
      <c r="U660" s="8"/>
      <c r="V660" s="8"/>
    </row>
    <row r="661" ht="24.0" customHeight="1">
      <c r="F661" s="8"/>
      <c r="G661" s="8"/>
      <c r="H661" s="8"/>
      <c r="I661" s="8"/>
      <c r="J661" s="8"/>
      <c r="K661" s="8"/>
      <c r="L661" s="8"/>
      <c r="M661" s="8"/>
      <c r="N661" s="8"/>
      <c r="O661" s="8"/>
      <c r="P661" s="8"/>
      <c r="Q661" s="8"/>
      <c r="R661" s="8"/>
      <c r="S661" s="8"/>
      <c r="T661" s="8"/>
      <c r="U661" s="8"/>
      <c r="V661" s="8"/>
    </row>
    <row r="662" ht="24.0" customHeight="1">
      <c r="F662" s="8"/>
      <c r="G662" s="8"/>
      <c r="H662" s="8"/>
      <c r="I662" s="8"/>
      <c r="J662" s="8"/>
      <c r="K662" s="8"/>
      <c r="L662" s="8"/>
      <c r="M662" s="8"/>
      <c r="N662" s="8"/>
      <c r="O662" s="8"/>
      <c r="P662" s="8"/>
      <c r="Q662" s="8"/>
      <c r="R662" s="8"/>
      <c r="S662" s="8"/>
      <c r="T662" s="8"/>
      <c r="U662" s="8"/>
      <c r="V662" s="8"/>
    </row>
    <row r="663" ht="24.0" customHeight="1">
      <c r="F663" s="8"/>
      <c r="G663" s="8"/>
      <c r="H663" s="8"/>
      <c r="I663" s="8"/>
      <c r="J663" s="8"/>
      <c r="K663" s="8"/>
      <c r="L663" s="8"/>
      <c r="M663" s="8"/>
      <c r="N663" s="8"/>
      <c r="O663" s="8"/>
      <c r="P663" s="8"/>
      <c r="Q663" s="8"/>
      <c r="R663" s="8"/>
      <c r="S663" s="8"/>
      <c r="T663" s="8"/>
      <c r="U663" s="8"/>
      <c r="V663" s="8"/>
    </row>
    <row r="664" ht="24.0" customHeight="1">
      <c r="F664" s="8"/>
      <c r="G664" s="8"/>
      <c r="H664" s="8"/>
      <c r="I664" s="8"/>
      <c r="J664" s="8"/>
      <c r="K664" s="8"/>
      <c r="L664" s="8"/>
      <c r="M664" s="8"/>
      <c r="N664" s="8"/>
      <c r="O664" s="8"/>
      <c r="P664" s="8"/>
      <c r="Q664" s="8"/>
      <c r="R664" s="8"/>
      <c r="S664" s="8"/>
      <c r="T664" s="8"/>
      <c r="U664" s="8"/>
      <c r="V664" s="8"/>
    </row>
    <row r="665" ht="24.0" customHeight="1">
      <c r="F665" s="8"/>
      <c r="G665" s="8"/>
      <c r="H665" s="8"/>
      <c r="I665" s="8"/>
      <c r="J665" s="8"/>
      <c r="K665" s="8"/>
      <c r="L665" s="8"/>
      <c r="M665" s="8"/>
      <c r="N665" s="8"/>
      <c r="O665" s="8"/>
      <c r="P665" s="8"/>
      <c r="Q665" s="8"/>
      <c r="R665" s="8"/>
      <c r="S665" s="8"/>
      <c r="T665" s="8"/>
      <c r="U665" s="8"/>
      <c r="V665" s="8"/>
    </row>
    <row r="666" ht="24.0" customHeight="1">
      <c r="F666" s="8"/>
      <c r="G666" s="8"/>
      <c r="H666" s="8"/>
      <c r="I666" s="8"/>
      <c r="J666" s="8"/>
      <c r="K666" s="8"/>
      <c r="L666" s="8"/>
      <c r="M666" s="8"/>
      <c r="N666" s="8"/>
      <c r="O666" s="8"/>
      <c r="P666" s="8"/>
      <c r="Q666" s="8"/>
      <c r="R666" s="8"/>
      <c r="S666" s="8"/>
      <c r="T666" s="8"/>
      <c r="U666" s="8"/>
      <c r="V666" s="8"/>
    </row>
    <row r="667" ht="24.0" customHeight="1">
      <c r="F667" s="8"/>
      <c r="G667" s="8"/>
      <c r="H667" s="8"/>
      <c r="I667" s="8"/>
      <c r="J667" s="8"/>
      <c r="K667" s="8"/>
      <c r="L667" s="8"/>
      <c r="M667" s="8"/>
      <c r="N667" s="8"/>
      <c r="O667" s="8"/>
      <c r="P667" s="8"/>
      <c r="Q667" s="8"/>
      <c r="R667" s="8"/>
      <c r="S667" s="8"/>
      <c r="T667" s="8"/>
      <c r="U667" s="8"/>
      <c r="V667" s="8"/>
    </row>
    <row r="668" ht="24.0" customHeight="1">
      <c r="F668" s="8"/>
      <c r="G668" s="8"/>
      <c r="H668" s="8"/>
      <c r="I668" s="8"/>
      <c r="J668" s="8"/>
      <c r="K668" s="8"/>
      <c r="L668" s="8"/>
      <c r="M668" s="8"/>
      <c r="N668" s="8"/>
      <c r="O668" s="8"/>
      <c r="P668" s="8"/>
      <c r="Q668" s="8"/>
      <c r="R668" s="8"/>
      <c r="S668" s="8"/>
      <c r="T668" s="8"/>
      <c r="U668" s="8"/>
      <c r="V668" s="8"/>
    </row>
    <row r="669" ht="24.0" customHeight="1">
      <c r="F669" s="8"/>
      <c r="G669" s="8"/>
      <c r="H669" s="8"/>
      <c r="I669" s="8"/>
      <c r="J669" s="8"/>
      <c r="K669" s="8"/>
      <c r="L669" s="8"/>
      <c r="M669" s="8"/>
      <c r="N669" s="8"/>
      <c r="O669" s="8"/>
      <c r="P669" s="8"/>
      <c r="Q669" s="8"/>
      <c r="R669" s="8"/>
      <c r="S669" s="8"/>
      <c r="T669" s="8"/>
      <c r="U669" s="8"/>
      <c r="V669" s="8"/>
    </row>
    <row r="670" ht="24.0" customHeight="1">
      <c r="F670" s="8"/>
      <c r="G670" s="8"/>
      <c r="H670" s="8"/>
      <c r="I670" s="8"/>
      <c r="J670" s="8"/>
      <c r="K670" s="8"/>
      <c r="L670" s="8"/>
      <c r="M670" s="8"/>
      <c r="N670" s="8"/>
      <c r="O670" s="8"/>
      <c r="P670" s="8"/>
      <c r="Q670" s="8"/>
      <c r="R670" s="8"/>
      <c r="S670" s="8"/>
      <c r="T670" s="8"/>
      <c r="U670" s="8"/>
      <c r="V670" s="8"/>
    </row>
    <row r="671" ht="24.0" customHeight="1">
      <c r="F671" s="8"/>
      <c r="G671" s="8"/>
      <c r="H671" s="8"/>
      <c r="I671" s="8"/>
      <c r="J671" s="8"/>
      <c r="K671" s="8"/>
      <c r="L671" s="8"/>
      <c r="M671" s="8"/>
      <c r="N671" s="8"/>
      <c r="O671" s="8"/>
      <c r="P671" s="8"/>
      <c r="Q671" s="8"/>
      <c r="R671" s="8"/>
      <c r="S671" s="8"/>
      <c r="T671" s="8"/>
      <c r="U671" s="8"/>
      <c r="V671" s="8"/>
    </row>
    <row r="672" ht="24.0" customHeight="1">
      <c r="F672" s="8"/>
      <c r="G672" s="8"/>
      <c r="H672" s="8"/>
      <c r="I672" s="8"/>
      <c r="J672" s="8"/>
      <c r="K672" s="8"/>
      <c r="L672" s="8"/>
      <c r="M672" s="8"/>
      <c r="N672" s="8"/>
      <c r="O672" s="8"/>
      <c r="P672" s="8"/>
      <c r="Q672" s="8"/>
      <c r="R672" s="8"/>
      <c r="S672" s="8"/>
      <c r="T672" s="8"/>
      <c r="U672" s="8"/>
      <c r="V672" s="8"/>
    </row>
    <row r="673" ht="24.0" customHeight="1">
      <c r="F673" s="8"/>
      <c r="G673" s="8"/>
      <c r="H673" s="8"/>
      <c r="I673" s="8"/>
      <c r="J673" s="8"/>
      <c r="K673" s="8"/>
      <c r="L673" s="8"/>
      <c r="M673" s="8"/>
      <c r="N673" s="8"/>
      <c r="O673" s="8"/>
      <c r="P673" s="8"/>
      <c r="Q673" s="8"/>
      <c r="R673" s="8"/>
      <c r="S673" s="8"/>
      <c r="T673" s="8"/>
      <c r="U673" s="8"/>
      <c r="V673" s="8"/>
    </row>
    <row r="674" ht="24.0" customHeight="1">
      <c r="F674" s="8"/>
      <c r="G674" s="8"/>
      <c r="H674" s="8"/>
      <c r="I674" s="8"/>
      <c r="J674" s="8"/>
      <c r="K674" s="8"/>
      <c r="L674" s="8"/>
      <c r="M674" s="8"/>
      <c r="N674" s="8"/>
      <c r="O674" s="8"/>
      <c r="P674" s="8"/>
      <c r="Q674" s="8"/>
      <c r="R674" s="8"/>
      <c r="S674" s="8"/>
      <c r="T674" s="8"/>
      <c r="U674" s="8"/>
      <c r="V674" s="8"/>
    </row>
    <row r="675" ht="24.0" customHeight="1">
      <c r="F675" s="8"/>
      <c r="G675" s="8"/>
      <c r="H675" s="8"/>
      <c r="I675" s="8"/>
      <c r="J675" s="8"/>
      <c r="K675" s="8"/>
      <c r="L675" s="8"/>
      <c r="M675" s="8"/>
      <c r="N675" s="8"/>
      <c r="O675" s="8"/>
      <c r="P675" s="8"/>
      <c r="Q675" s="8"/>
      <c r="R675" s="8"/>
      <c r="S675" s="8"/>
      <c r="T675" s="8"/>
      <c r="U675" s="8"/>
      <c r="V675" s="8"/>
    </row>
    <row r="676" ht="24.0" customHeight="1">
      <c r="F676" s="8"/>
      <c r="G676" s="8"/>
      <c r="H676" s="8"/>
      <c r="I676" s="8"/>
      <c r="J676" s="8"/>
      <c r="K676" s="8"/>
      <c r="L676" s="8"/>
      <c r="M676" s="8"/>
      <c r="N676" s="8"/>
      <c r="O676" s="8"/>
      <c r="P676" s="8"/>
      <c r="Q676" s="8"/>
      <c r="R676" s="8"/>
      <c r="S676" s="8"/>
      <c r="T676" s="8"/>
      <c r="U676" s="8"/>
      <c r="V676" s="8"/>
    </row>
    <row r="677" ht="24.0" customHeight="1">
      <c r="F677" s="8"/>
      <c r="G677" s="8"/>
      <c r="H677" s="8"/>
      <c r="I677" s="8"/>
      <c r="J677" s="8"/>
      <c r="K677" s="8"/>
      <c r="L677" s="8"/>
      <c r="M677" s="8"/>
      <c r="N677" s="8"/>
      <c r="O677" s="8"/>
      <c r="P677" s="8"/>
      <c r="Q677" s="8"/>
      <c r="R677" s="8"/>
      <c r="S677" s="8"/>
      <c r="T677" s="8"/>
      <c r="U677" s="8"/>
      <c r="V677" s="8"/>
    </row>
    <row r="678" ht="24.0" customHeight="1">
      <c r="F678" s="8"/>
      <c r="G678" s="8"/>
      <c r="H678" s="8"/>
      <c r="I678" s="8"/>
      <c r="J678" s="8"/>
      <c r="K678" s="8"/>
      <c r="L678" s="8"/>
      <c r="M678" s="8"/>
      <c r="N678" s="8"/>
      <c r="O678" s="8"/>
      <c r="P678" s="8"/>
      <c r="Q678" s="8"/>
      <c r="R678" s="8"/>
      <c r="S678" s="8"/>
      <c r="T678" s="8"/>
      <c r="U678" s="8"/>
      <c r="V678" s="8"/>
    </row>
    <row r="679" ht="24.0" customHeight="1">
      <c r="F679" s="8"/>
      <c r="G679" s="8"/>
      <c r="H679" s="8"/>
      <c r="I679" s="8"/>
      <c r="J679" s="8"/>
      <c r="K679" s="8"/>
      <c r="L679" s="8"/>
      <c r="M679" s="8"/>
      <c r="N679" s="8"/>
      <c r="O679" s="8"/>
      <c r="P679" s="8"/>
      <c r="Q679" s="8"/>
      <c r="R679" s="8"/>
      <c r="S679" s="8"/>
      <c r="T679" s="8"/>
      <c r="U679" s="8"/>
      <c r="V679" s="8"/>
    </row>
    <row r="680" ht="24.0" customHeight="1">
      <c r="F680" s="8"/>
      <c r="G680" s="8"/>
      <c r="H680" s="8"/>
      <c r="I680" s="8"/>
      <c r="J680" s="8"/>
      <c r="K680" s="8"/>
      <c r="L680" s="8"/>
      <c r="M680" s="8"/>
      <c r="N680" s="8"/>
      <c r="O680" s="8"/>
      <c r="P680" s="8"/>
      <c r="Q680" s="8"/>
      <c r="R680" s="8"/>
      <c r="S680" s="8"/>
      <c r="T680" s="8"/>
      <c r="U680" s="8"/>
      <c r="V680" s="8"/>
    </row>
    <row r="681" ht="24.0" customHeight="1">
      <c r="F681" s="8"/>
      <c r="G681" s="8"/>
      <c r="H681" s="8"/>
      <c r="I681" s="8"/>
      <c r="J681" s="8"/>
      <c r="K681" s="8"/>
      <c r="L681" s="8"/>
      <c r="M681" s="8"/>
      <c r="N681" s="8"/>
      <c r="O681" s="8"/>
      <c r="P681" s="8"/>
      <c r="Q681" s="8"/>
      <c r="R681" s="8"/>
      <c r="S681" s="8"/>
      <c r="T681" s="8"/>
      <c r="U681" s="8"/>
      <c r="V681" s="8"/>
    </row>
    <row r="682" ht="24.0" customHeight="1">
      <c r="F682" s="8"/>
      <c r="G682" s="8"/>
      <c r="H682" s="8"/>
      <c r="I682" s="8"/>
      <c r="J682" s="8"/>
      <c r="K682" s="8"/>
      <c r="L682" s="8"/>
      <c r="M682" s="8"/>
      <c r="N682" s="8"/>
      <c r="O682" s="8"/>
      <c r="P682" s="8"/>
      <c r="Q682" s="8"/>
      <c r="R682" s="8"/>
      <c r="S682" s="8"/>
      <c r="T682" s="8"/>
      <c r="U682" s="8"/>
      <c r="V682" s="8"/>
    </row>
    <row r="683" ht="24.0" customHeight="1">
      <c r="F683" s="8"/>
      <c r="G683" s="8"/>
      <c r="H683" s="8"/>
      <c r="I683" s="8"/>
      <c r="J683" s="8"/>
      <c r="K683" s="8"/>
      <c r="L683" s="8"/>
      <c r="M683" s="8"/>
      <c r="N683" s="8"/>
      <c r="O683" s="8"/>
      <c r="P683" s="8"/>
      <c r="Q683" s="8"/>
      <c r="R683" s="8"/>
      <c r="S683" s="8"/>
      <c r="T683" s="8"/>
      <c r="U683" s="8"/>
      <c r="V683" s="8"/>
    </row>
    <row r="684" ht="24.0" customHeight="1">
      <c r="F684" s="8"/>
      <c r="G684" s="8"/>
      <c r="H684" s="8"/>
      <c r="I684" s="8"/>
      <c r="J684" s="8"/>
      <c r="K684" s="8"/>
      <c r="L684" s="8"/>
      <c r="M684" s="8"/>
      <c r="N684" s="8"/>
      <c r="O684" s="8"/>
      <c r="P684" s="8"/>
      <c r="Q684" s="8"/>
      <c r="R684" s="8"/>
      <c r="S684" s="8"/>
      <c r="T684" s="8"/>
      <c r="U684" s="8"/>
      <c r="V684" s="8"/>
    </row>
    <row r="685" ht="24.0" customHeight="1">
      <c r="F685" s="8"/>
      <c r="G685" s="8"/>
      <c r="H685" s="8"/>
      <c r="I685" s="8"/>
      <c r="J685" s="8"/>
      <c r="K685" s="8"/>
      <c r="L685" s="8"/>
      <c r="M685" s="8"/>
      <c r="N685" s="8"/>
      <c r="O685" s="8"/>
      <c r="P685" s="8"/>
      <c r="Q685" s="8"/>
      <c r="R685" s="8"/>
      <c r="S685" s="8"/>
      <c r="T685" s="8"/>
      <c r="U685" s="8"/>
      <c r="V685" s="8"/>
    </row>
    <row r="686" ht="24.0" customHeight="1">
      <c r="F686" s="8"/>
      <c r="G686" s="8"/>
      <c r="H686" s="8"/>
      <c r="I686" s="8"/>
      <c r="J686" s="8"/>
      <c r="K686" s="8"/>
      <c r="L686" s="8"/>
      <c r="M686" s="8"/>
      <c r="N686" s="8"/>
      <c r="O686" s="8"/>
      <c r="P686" s="8"/>
      <c r="Q686" s="8"/>
      <c r="R686" s="8"/>
      <c r="S686" s="8"/>
      <c r="T686" s="8"/>
      <c r="U686" s="8"/>
      <c r="V686" s="8"/>
    </row>
    <row r="687" ht="24.0" customHeight="1">
      <c r="F687" s="8"/>
      <c r="G687" s="8"/>
      <c r="H687" s="8"/>
      <c r="I687" s="8"/>
      <c r="J687" s="8"/>
      <c r="K687" s="8"/>
      <c r="L687" s="8"/>
      <c r="M687" s="8"/>
      <c r="N687" s="8"/>
      <c r="O687" s="8"/>
      <c r="P687" s="8"/>
      <c r="Q687" s="8"/>
      <c r="R687" s="8"/>
      <c r="S687" s="8"/>
      <c r="T687" s="8"/>
      <c r="U687" s="8"/>
      <c r="V687" s="8"/>
    </row>
    <row r="688" ht="24.0" customHeight="1">
      <c r="F688" s="8"/>
      <c r="G688" s="8"/>
      <c r="H688" s="8"/>
      <c r="I688" s="8"/>
      <c r="J688" s="8"/>
      <c r="K688" s="8"/>
      <c r="L688" s="8"/>
      <c r="M688" s="8"/>
      <c r="N688" s="8"/>
      <c r="O688" s="8"/>
      <c r="P688" s="8"/>
      <c r="Q688" s="8"/>
      <c r="R688" s="8"/>
      <c r="S688" s="8"/>
      <c r="T688" s="8"/>
      <c r="U688" s="8"/>
      <c r="V688" s="8"/>
    </row>
    <row r="689" ht="24.0" customHeight="1">
      <c r="F689" s="8"/>
      <c r="G689" s="8"/>
      <c r="H689" s="8"/>
      <c r="I689" s="8"/>
      <c r="J689" s="8"/>
      <c r="K689" s="8"/>
      <c r="L689" s="8"/>
      <c r="M689" s="8"/>
      <c r="N689" s="8"/>
      <c r="O689" s="8"/>
      <c r="P689" s="8"/>
      <c r="Q689" s="8"/>
      <c r="R689" s="8"/>
      <c r="S689" s="8"/>
      <c r="T689" s="8"/>
      <c r="U689" s="8"/>
      <c r="V689" s="8"/>
    </row>
    <row r="690" ht="24.0" customHeight="1">
      <c r="F690" s="8"/>
      <c r="G690" s="8"/>
      <c r="H690" s="8"/>
      <c r="I690" s="8"/>
      <c r="J690" s="8"/>
      <c r="K690" s="8"/>
      <c r="L690" s="8"/>
      <c r="M690" s="8"/>
      <c r="N690" s="8"/>
      <c r="O690" s="8"/>
      <c r="P690" s="8"/>
      <c r="Q690" s="8"/>
      <c r="R690" s="8"/>
      <c r="S690" s="8"/>
      <c r="T690" s="8"/>
      <c r="U690" s="8"/>
      <c r="V690" s="8"/>
    </row>
    <row r="691" ht="24.0" customHeight="1">
      <c r="F691" s="8"/>
      <c r="G691" s="8"/>
      <c r="H691" s="8"/>
      <c r="I691" s="8"/>
      <c r="J691" s="8"/>
      <c r="K691" s="8"/>
      <c r="L691" s="8"/>
      <c r="M691" s="8"/>
      <c r="N691" s="8"/>
      <c r="O691" s="8"/>
      <c r="P691" s="8"/>
      <c r="Q691" s="8"/>
      <c r="R691" s="8"/>
      <c r="S691" s="8"/>
      <c r="T691" s="8"/>
      <c r="U691" s="8"/>
      <c r="V691" s="8"/>
    </row>
    <row r="692" ht="24.0" customHeight="1">
      <c r="F692" s="8"/>
      <c r="G692" s="8"/>
      <c r="H692" s="8"/>
      <c r="I692" s="8"/>
      <c r="J692" s="8"/>
      <c r="K692" s="8"/>
      <c r="L692" s="8"/>
      <c r="M692" s="8"/>
      <c r="N692" s="8"/>
      <c r="O692" s="8"/>
      <c r="P692" s="8"/>
      <c r="Q692" s="8"/>
      <c r="R692" s="8"/>
      <c r="S692" s="8"/>
      <c r="T692" s="8"/>
      <c r="U692" s="8"/>
      <c r="V692" s="8"/>
    </row>
    <row r="693" ht="24.0" customHeight="1">
      <c r="F693" s="8"/>
      <c r="G693" s="8"/>
      <c r="H693" s="8"/>
      <c r="I693" s="8"/>
      <c r="J693" s="8"/>
      <c r="K693" s="8"/>
      <c r="L693" s="8"/>
      <c r="M693" s="8"/>
      <c r="N693" s="8"/>
      <c r="O693" s="8"/>
      <c r="P693" s="8"/>
      <c r="Q693" s="8"/>
      <c r="R693" s="8"/>
      <c r="S693" s="8"/>
      <c r="T693" s="8"/>
      <c r="U693" s="8"/>
      <c r="V693" s="8"/>
    </row>
    <row r="694" ht="24.0" customHeight="1">
      <c r="F694" s="8"/>
      <c r="G694" s="8"/>
      <c r="H694" s="8"/>
      <c r="I694" s="8"/>
      <c r="J694" s="8"/>
      <c r="K694" s="8"/>
      <c r="L694" s="8"/>
      <c r="M694" s="8"/>
      <c r="N694" s="8"/>
      <c r="O694" s="8"/>
      <c r="P694" s="8"/>
      <c r="Q694" s="8"/>
      <c r="R694" s="8"/>
      <c r="S694" s="8"/>
      <c r="T694" s="8"/>
      <c r="U694" s="8"/>
      <c r="V694" s="8"/>
    </row>
    <row r="695" ht="24.0" customHeight="1">
      <c r="F695" s="8"/>
      <c r="G695" s="8"/>
      <c r="H695" s="8"/>
      <c r="I695" s="8"/>
      <c r="J695" s="8"/>
      <c r="K695" s="8"/>
      <c r="L695" s="8"/>
      <c r="M695" s="8"/>
      <c r="N695" s="8"/>
      <c r="O695" s="8"/>
      <c r="P695" s="8"/>
      <c r="Q695" s="8"/>
      <c r="R695" s="8"/>
      <c r="S695" s="8"/>
      <c r="T695" s="8"/>
      <c r="U695" s="8"/>
      <c r="V695" s="8"/>
    </row>
    <row r="696" ht="24.0" customHeight="1">
      <c r="F696" s="8"/>
      <c r="G696" s="8"/>
      <c r="H696" s="8"/>
      <c r="I696" s="8"/>
      <c r="J696" s="8"/>
      <c r="K696" s="8"/>
      <c r="L696" s="8"/>
      <c r="M696" s="8"/>
      <c r="N696" s="8"/>
      <c r="O696" s="8"/>
      <c r="P696" s="8"/>
      <c r="Q696" s="8"/>
      <c r="R696" s="8"/>
      <c r="S696" s="8"/>
      <c r="T696" s="8"/>
      <c r="U696" s="8"/>
      <c r="V696" s="8"/>
    </row>
    <row r="697" ht="24.0" customHeight="1">
      <c r="F697" s="8"/>
      <c r="G697" s="8"/>
      <c r="H697" s="8"/>
      <c r="I697" s="8"/>
      <c r="J697" s="8"/>
      <c r="K697" s="8"/>
      <c r="L697" s="8"/>
      <c r="M697" s="8"/>
      <c r="N697" s="8"/>
      <c r="O697" s="8"/>
      <c r="P697" s="8"/>
      <c r="Q697" s="8"/>
      <c r="R697" s="8"/>
      <c r="S697" s="8"/>
      <c r="T697" s="8"/>
      <c r="U697" s="8"/>
      <c r="V697" s="8"/>
    </row>
    <row r="698" ht="24.0" customHeight="1">
      <c r="F698" s="8"/>
      <c r="G698" s="8"/>
      <c r="H698" s="8"/>
      <c r="I698" s="8"/>
      <c r="J698" s="8"/>
      <c r="K698" s="8"/>
      <c r="L698" s="8"/>
      <c r="M698" s="8"/>
      <c r="N698" s="8"/>
      <c r="O698" s="8"/>
      <c r="P698" s="8"/>
      <c r="Q698" s="8"/>
      <c r="R698" s="8"/>
      <c r="S698" s="8"/>
      <c r="T698" s="8"/>
      <c r="U698" s="8"/>
      <c r="V698" s="8"/>
    </row>
    <row r="699" ht="24.0" customHeight="1">
      <c r="F699" s="8"/>
      <c r="G699" s="8"/>
      <c r="H699" s="8"/>
      <c r="I699" s="8"/>
      <c r="J699" s="8"/>
      <c r="K699" s="8"/>
      <c r="L699" s="8"/>
      <c r="M699" s="8"/>
      <c r="N699" s="8"/>
      <c r="O699" s="8"/>
      <c r="P699" s="8"/>
      <c r="Q699" s="8"/>
      <c r="R699" s="8"/>
      <c r="S699" s="8"/>
      <c r="T699" s="8"/>
      <c r="U699" s="8"/>
      <c r="V699" s="8"/>
    </row>
    <row r="700" ht="24.0" customHeight="1">
      <c r="F700" s="8"/>
      <c r="G700" s="8"/>
      <c r="H700" s="8"/>
      <c r="I700" s="8"/>
      <c r="J700" s="8"/>
      <c r="K700" s="8"/>
      <c r="L700" s="8"/>
      <c r="M700" s="8"/>
      <c r="N700" s="8"/>
      <c r="O700" s="8"/>
      <c r="P700" s="8"/>
      <c r="Q700" s="8"/>
      <c r="R700" s="8"/>
      <c r="S700" s="8"/>
      <c r="T700" s="8"/>
      <c r="U700" s="8"/>
      <c r="V700" s="8"/>
    </row>
    <row r="701" ht="24.0" customHeight="1">
      <c r="F701" s="8"/>
      <c r="G701" s="8"/>
      <c r="H701" s="8"/>
      <c r="I701" s="8"/>
      <c r="J701" s="8"/>
      <c r="K701" s="8"/>
      <c r="L701" s="8"/>
      <c r="M701" s="8"/>
      <c r="N701" s="8"/>
      <c r="O701" s="8"/>
      <c r="P701" s="8"/>
      <c r="Q701" s="8"/>
      <c r="R701" s="8"/>
      <c r="S701" s="8"/>
      <c r="T701" s="8"/>
      <c r="U701" s="8"/>
      <c r="V701" s="8"/>
    </row>
    <row r="702" ht="24.0" customHeight="1">
      <c r="F702" s="8"/>
      <c r="G702" s="8"/>
      <c r="H702" s="8"/>
      <c r="I702" s="8"/>
      <c r="J702" s="8"/>
      <c r="K702" s="8"/>
      <c r="L702" s="8"/>
      <c r="M702" s="8"/>
      <c r="N702" s="8"/>
      <c r="O702" s="8"/>
      <c r="P702" s="8"/>
      <c r="Q702" s="8"/>
      <c r="R702" s="8"/>
      <c r="S702" s="8"/>
      <c r="T702" s="8"/>
      <c r="U702" s="8"/>
      <c r="V702" s="8"/>
    </row>
    <row r="703" ht="24.0" customHeight="1">
      <c r="F703" s="8"/>
      <c r="G703" s="8"/>
      <c r="H703" s="8"/>
      <c r="I703" s="8"/>
      <c r="J703" s="8"/>
      <c r="K703" s="8"/>
      <c r="L703" s="8"/>
      <c r="M703" s="8"/>
      <c r="N703" s="8"/>
      <c r="O703" s="8"/>
      <c r="P703" s="8"/>
      <c r="Q703" s="8"/>
      <c r="R703" s="8"/>
      <c r="S703" s="8"/>
      <c r="T703" s="8"/>
      <c r="U703" s="8"/>
      <c r="V703" s="8"/>
    </row>
    <row r="704" ht="24.0" customHeight="1">
      <c r="F704" s="8"/>
      <c r="G704" s="8"/>
      <c r="H704" s="8"/>
      <c r="I704" s="8"/>
      <c r="J704" s="8"/>
      <c r="K704" s="8"/>
      <c r="L704" s="8"/>
      <c r="M704" s="8"/>
      <c r="N704" s="8"/>
      <c r="O704" s="8"/>
      <c r="P704" s="8"/>
      <c r="Q704" s="8"/>
      <c r="R704" s="8"/>
      <c r="S704" s="8"/>
      <c r="T704" s="8"/>
      <c r="U704" s="8"/>
      <c r="V704" s="8"/>
    </row>
    <row r="705" ht="24.0" customHeight="1">
      <c r="F705" s="8"/>
      <c r="G705" s="8"/>
      <c r="H705" s="8"/>
      <c r="I705" s="8"/>
      <c r="J705" s="8"/>
      <c r="K705" s="8"/>
      <c r="L705" s="8"/>
      <c r="M705" s="8"/>
      <c r="N705" s="8"/>
      <c r="O705" s="8"/>
      <c r="P705" s="8"/>
      <c r="Q705" s="8"/>
      <c r="R705" s="8"/>
      <c r="S705" s="8"/>
      <c r="T705" s="8"/>
      <c r="U705" s="8"/>
      <c r="V705" s="8"/>
    </row>
    <row r="706" ht="24.0" customHeight="1">
      <c r="F706" s="8"/>
      <c r="G706" s="8"/>
      <c r="H706" s="8"/>
      <c r="I706" s="8"/>
      <c r="J706" s="8"/>
      <c r="K706" s="8"/>
      <c r="L706" s="8"/>
      <c r="M706" s="8"/>
      <c r="N706" s="8"/>
      <c r="O706" s="8"/>
      <c r="P706" s="8"/>
      <c r="Q706" s="8"/>
      <c r="R706" s="8"/>
      <c r="S706" s="8"/>
      <c r="T706" s="8"/>
      <c r="U706" s="8"/>
      <c r="V706" s="8"/>
    </row>
    <row r="707" ht="24.0" customHeight="1">
      <c r="F707" s="8"/>
      <c r="G707" s="8"/>
      <c r="H707" s="8"/>
      <c r="I707" s="8"/>
      <c r="J707" s="8"/>
      <c r="K707" s="8"/>
      <c r="L707" s="8"/>
      <c r="M707" s="8"/>
      <c r="N707" s="8"/>
      <c r="O707" s="8"/>
      <c r="P707" s="8"/>
      <c r="Q707" s="8"/>
      <c r="R707" s="8"/>
      <c r="S707" s="8"/>
      <c r="T707" s="8"/>
      <c r="U707" s="8"/>
      <c r="V707" s="8"/>
    </row>
    <row r="708" ht="24.0" customHeight="1">
      <c r="F708" s="8"/>
      <c r="G708" s="8"/>
      <c r="H708" s="8"/>
      <c r="I708" s="8"/>
      <c r="J708" s="8"/>
      <c r="K708" s="8"/>
      <c r="L708" s="8"/>
      <c r="M708" s="8"/>
      <c r="N708" s="8"/>
      <c r="O708" s="8"/>
      <c r="P708" s="8"/>
      <c r="Q708" s="8"/>
      <c r="R708" s="8"/>
      <c r="S708" s="8"/>
      <c r="T708" s="8"/>
      <c r="U708" s="8"/>
      <c r="V708" s="8"/>
    </row>
    <row r="709" ht="24.0" customHeight="1">
      <c r="F709" s="8"/>
      <c r="G709" s="8"/>
      <c r="H709" s="8"/>
      <c r="I709" s="8"/>
      <c r="J709" s="8"/>
      <c r="K709" s="8"/>
      <c r="L709" s="8"/>
      <c r="M709" s="8"/>
      <c r="N709" s="8"/>
      <c r="O709" s="8"/>
      <c r="P709" s="8"/>
      <c r="Q709" s="8"/>
      <c r="R709" s="8"/>
      <c r="S709" s="8"/>
      <c r="T709" s="8"/>
      <c r="U709" s="8"/>
      <c r="V709" s="8"/>
    </row>
    <row r="710" ht="24.0" customHeight="1">
      <c r="F710" s="8"/>
      <c r="G710" s="8"/>
      <c r="H710" s="8"/>
      <c r="I710" s="8"/>
      <c r="J710" s="8"/>
      <c r="K710" s="8"/>
      <c r="L710" s="8"/>
      <c r="M710" s="8"/>
      <c r="N710" s="8"/>
      <c r="O710" s="8"/>
      <c r="P710" s="8"/>
      <c r="Q710" s="8"/>
      <c r="R710" s="8"/>
      <c r="S710" s="8"/>
      <c r="T710" s="8"/>
      <c r="U710" s="8"/>
      <c r="V710" s="8"/>
    </row>
    <row r="711" ht="24.0" customHeight="1">
      <c r="F711" s="8"/>
      <c r="G711" s="8"/>
      <c r="H711" s="8"/>
      <c r="I711" s="8"/>
      <c r="J711" s="8"/>
      <c r="K711" s="8"/>
      <c r="L711" s="8"/>
      <c r="M711" s="8"/>
      <c r="N711" s="8"/>
      <c r="O711" s="8"/>
      <c r="P711" s="8"/>
      <c r="Q711" s="8"/>
      <c r="R711" s="8"/>
      <c r="S711" s="8"/>
      <c r="T711" s="8"/>
      <c r="U711" s="8"/>
      <c r="V711" s="8"/>
    </row>
    <row r="712" ht="24.0" customHeight="1">
      <c r="F712" s="8"/>
      <c r="G712" s="8"/>
      <c r="H712" s="8"/>
      <c r="I712" s="8"/>
      <c r="J712" s="8"/>
      <c r="K712" s="8"/>
      <c r="L712" s="8"/>
      <c r="M712" s="8"/>
      <c r="N712" s="8"/>
      <c r="O712" s="8"/>
      <c r="P712" s="8"/>
      <c r="Q712" s="8"/>
      <c r="R712" s="8"/>
      <c r="S712" s="8"/>
      <c r="T712" s="8"/>
      <c r="U712" s="8"/>
      <c r="V712" s="8"/>
    </row>
    <row r="713" ht="24.0" customHeight="1">
      <c r="F713" s="8"/>
      <c r="G713" s="8"/>
      <c r="H713" s="8"/>
      <c r="I713" s="8"/>
      <c r="J713" s="8"/>
      <c r="K713" s="8"/>
      <c r="L713" s="8"/>
      <c r="M713" s="8"/>
      <c r="N713" s="8"/>
      <c r="O713" s="8"/>
      <c r="P713" s="8"/>
      <c r="Q713" s="8"/>
      <c r="R713" s="8"/>
      <c r="S713" s="8"/>
      <c r="T713" s="8"/>
      <c r="U713" s="8"/>
      <c r="V713" s="8"/>
    </row>
    <row r="714" ht="24.0" customHeight="1">
      <c r="F714" s="8"/>
      <c r="G714" s="8"/>
      <c r="H714" s="8"/>
      <c r="I714" s="8"/>
      <c r="J714" s="8"/>
      <c r="K714" s="8"/>
      <c r="L714" s="8"/>
      <c r="M714" s="8"/>
      <c r="N714" s="8"/>
      <c r="O714" s="8"/>
      <c r="P714" s="8"/>
      <c r="Q714" s="8"/>
      <c r="R714" s="8"/>
      <c r="S714" s="8"/>
      <c r="T714" s="8"/>
      <c r="U714" s="8"/>
      <c r="V714" s="8"/>
    </row>
    <row r="715" ht="24.0" customHeight="1">
      <c r="F715" s="8"/>
      <c r="G715" s="8"/>
      <c r="H715" s="8"/>
      <c r="I715" s="8"/>
      <c r="J715" s="8"/>
      <c r="K715" s="8"/>
      <c r="L715" s="8"/>
      <c r="M715" s="8"/>
      <c r="N715" s="8"/>
      <c r="O715" s="8"/>
      <c r="P715" s="8"/>
      <c r="Q715" s="8"/>
      <c r="R715" s="8"/>
      <c r="S715" s="8"/>
      <c r="T715" s="8"/>
      <c r="U715" s="8"/>
      <c r="V715" s="8"/>
    </row>
    <row r="716" ht="24.0" customHeight="1">
      <c r="F716" s="8"/>
      <c r="G716" s="8"/>
      <c r="H716" s="8"/>
      <c r="I716" s="8"/>
      <c r="J716" s="8"/>
      <c r="K716" s="8"/>
      <c r="L716" s="8"/>
      <c r="M716" s="8"/>
      <c r="N716" s="8"/>
      <c r="O716" s="8"/>
      <c r="P716" s="8"/>
      <c r="Q716" s="8"/>
      <c r="R716" s="8"/>
      <c r="S716" s="8"/>
      <c r="T716" s="8"/>
      <c r="U716" s="8"/>
      <c r="V716" s="8"/>
    </row>
    <row r="717" ht="24.0" customHeight="1">
      <c r="F717" s="8"/>
      <c r="G717" s="8"/>
      <c r="H717" s="8"/>
      <c r="I717" s="8"/>
      <c r="J717" s="8"/>
      <c r="K717" s="8"/>
      <c r="L717" s="8"/>
      <c r="M717" s="8"/>
      <c r="N717" s="8"/>
      <c r="O717" s="8"/>
      <c r="P717" s="8"/>
      <c r="Q717" s="8"/>
      <c r="R717" s="8"/>
      <c r="S717" s="8"/>
      <c r="T717" s="8"/>
      <c r="U717" s="8"/>
      <c r="V717" s="8"/>
    </row>
    <row r="718" ht="24.0" customHeight="1">
      <c r="F718" s="8"/>
      <c r="G718" s="8"/>
      <c r="H718" s="8"/>
      <c r="I718" s="8"/>
      <c r="J718" s="8"/>
      <c r="K718" s="8"/>
      <c r="L718" s="8"/>
      <c r="M718" s="8"/>
      <c r="N718" s="8"/>
      <c r="O718" s="8"/>
      <c r="P718" s="8"/>
      <c r="Q718" s="8"/>
      <c r="R718" s="8"/>
      <c r="S718" s="8"/>
      <c r="T718" s="8"/>
      <c r="U718" s="8"/>
      <c r="V718" s="8"/>
    </row>
    <row r="719" ht="24.0" customHeight="1">
      <c r="F719" s="8"/>
      <c r="G719" s="8"/>
      <c r="H719" s="8"/>
      <c r="I719" s="8"/>
      <c r="J719" s="8"/>
      <c r="K719" s="8"/>
      <c r="L719" s="8"/>
      <c r="M719" s="8"/>
      <c r="N719" s="8"/>
      <c r="O719" s="8"/>
      <c r="P719" s="8"/>
      <c r="Q719" s="8"/>
      <c r="R719" s="8"/>
      <c r="S719" s="8"/>
      <c r="T719" s="8"/>
      <c r="U719" s="8"/>
      <c r="V719" s="8"/>
    </row>
    <row r="720" ht="24.0" customHeight="1">
      <c r="F720" s="8"/>
      <c r="G720" s="8"/>
      <c r="H720" s="8"/>
      <c r="I720" s="8"/>
      <c r="J720" s="8"/>
      <c r="K720" s="8"/>
      <c r="L720" s="8"/>
      <c r="M720" s="8"/>
      <c r="N720" s="8"/>
      <c r="O720" s="8"/>
      <c r="P720" s="8"/>
      <c r="Q720" s="8"/>
      <c r="R720" s="8"/>
      <c r="S720" s="8"/>
      <c r="T720" s="8"/>
      <c r="U720" s="8"/>
      <c r="V720" s="8"/>
    </row>
    <row r="721" ht="24.0" customHeight="1">
      <c r="F721" s="8"/>
      <c r="G721" s="8"/>
      <c r="H721" s="8"/>
      <c r="I721" s="8"/>
      <c r="J721" s="8"/>
      <c r="K721" s="8"/>
      <c r="L721" s="8"/>
      <c r="M721" s="8"/>
      <c r="N721" s="8"/>
      <c r="O721" s="8"/>
      <c r="P721" s="8"/>
      <c r="Q721" s="8"/>
      <c r="R721" s="8"/>
      <c r="S721" s="8"/>
      <c r="T721" s="8"/>
      <c r="U721" s="8"/>
      <c r="V721" s="8"/>
    </row>
    <row r="722" ht="24.0" customHeight="1">
      <c r="F722" s="8"/>
      <c r="G722" s="8"/>
      <c r="H722" s="8"/>
      <c r="I722" s="8"/>
      <c r="J722" s="8"/>
      <c r="K722" s="8"/>
      <c r="L722" s="8"/>
      <c r="M722" s="8"/>
      <c r="N722" s="8"/>
      <c r="O722" s="8"/>
      <c r="P722" s="8"/>
      <c r="Q722" s="8"/>
      <c r="R722" s="8"/>
      <c r="S722" s="8"/>
      <c r="T722" s="8"/>
      <c r="U722" s="8"/>
      <c r="V722" s="8"/>
    </row>
    <row r="723" ht="24.0" customHeight="1">
      <c r="F723" s="8"/>
      <c r="G723" s="8"/>
      <c r="H723" s="8"/>
      <c r="I723" s="8"/>
      <c r="J723" s="8"/>
      <c r="K723" s="8"/>
      <c r="L723" s="8"/>
      <c r="M723" s="8"/>
      <c r="N723" s="8"/>
      <c r="O723" s="8"/>
      <c r="P723" s="8"/>
      <c r="Q723" s="8"/>
      <c r="R723" s="8"/>
      <c r="S723" s="8"/>
      <c r="T723" s="8"/>
      <c r="U723" s="8"/>
      <c r="V723" s="8"/>
    </row>
    <row r="724" ht="24.0" customHeight="1">
      <c r="F724" s="8"/>
      <c r="G724" s="8"/>
      <c r="H724" s="8"/>
      <c r="I724" s="8"/>
      <c r="J724" s="8"/>
      <c r="K724" s="8"/>
      <c r="L724" s="8"/>
      <c r="M724" s="8"/>
      <c r="N724" s="8"/>
      <c r="O724" s="8"/>
      <c r="P724" s="8"/>
      <c r="Q724" s="8"/>
      <c r="R724" s="8"/>
      <c r="S724" s="8"/>
      <c r="T724" s="8"/>
      <c r="U724" s="8"/>
      <c r="V724" s="8"/>
    </row>
    <row r="725" ht="24.0" customHeight="1">
      <c r="F725" s="8"/>
      <c r="G725" s="8"/>
      <c r="H725" s="8"/>
      <c r="I725" s="8"/>
      <c r="J725" s="8"/>
      <c r="K725" s="8"/>
      <c r="L725" s="8"/>
      <c r="M725" s="8"/>
      <c r="N725" s="8"/>
      <c r="O725" s="8"/>
      <c r="P725" s="8"/>
      <c r="Q725" s="8"/>
      <c r="R725" s="8"/>
      <c r="S725" s="8"/>
      <c r="T725" s="8"/>
      <c r="U725" s="8"/>
      <c r="V725" s="8"/>
    </row>
    <row r="726" ht="24.0" customHeight="1">
      <c r="F726" s="8"/>
      <c r="G726" s="8"/>
      <c r="H726" s="8"/>
      <c r="I726" s="8"/>
      <c r="J726" s="8"/>
      <c r="K726" s="8"/>
      <c r="L726" s="8"/>
      <c r="M726" s="8"/>
      <c r="N726" s="8"/>
      <c r="O726" s="8"/>
      <c r="P726" s="8"/>
      <c r="Q726" s="8"/>
      <c r="R726" s="8"/>
      <c r="S726" s="8"/>
      <c r="T726" s="8"/>
      <c r="U726" s="8"/>
      <c r="V726" s="8"/>
    </row>
    <row r="727" ht="24.0" customHeight="1">
      <c r="F727" s="8"/>
      <c r="G727" s="8"/>
      <c r="H727" s="8"/>
      <c r="I727" s="8"/>
      <c r="J727" s="8"/>
      <c r="K727" s="8"/>
      <c r="L727" s="8"/>
      <c r="M727" s="8"/>
      <c r="N727" s="8"/>
      <c r="O727" s="8"/>
      <c r="P727" s="8"/>
      <c r="Q727" s="8"/>
      <c r="R727" s="8"/>
      <c r="S727" s="8"/>
      <c r="T727" s="8"/>
      <c r="U727" s="8"/>
      <c r="V727" s="8"/>
    </row>
    <row r="728" ht="24.0" customHeight="1">
      <c r="F728" s="8"/>
      <c r="G728" s="8"/>
      <c r="H728" s="8"/>
      <c r="I728" s="8"/>
      <c r="J728" s="8"/>
      <c r="K728" s="8"/>
      <c r="L728" s="8"/>
      <c r="M728" s="8"/>
      <c r="N728" s="8"/>
      <c r="O728" s="8"/>
      <c r="P728" s="8"/>
      <c r="Q728" s="8"/>
      <c r="R728" s="8"/>
      <c r="S728" s="8"/>
      <c r="T728" s="8"/>
      <c r="U728" s="8"/>
      <c r="V728" s="8"/>
    </row>
    <row r="729" ht="24.0" customHeight="1">
      <c r="F729" s="8"/>
      <c r="G729" s="8"/>
      <c r="H729" s="8"/>
      <c r="I729" s="8"/>
      <c r="J729" s="8"/>
      <c r="K729" s="8"/>
      <c r="L729" s="8"/>
      <c r="M729" s="8"/>
      <c r="N729" s="8"/>
      <c r="O729" s="8"/>
      <c r="P729" s="8"/>
      <c r="Q729" s="8"/>
      <c r="R729" s="8"/>
      <c r="S729" s="8"/>
      <c r="T729" s="8"/>
      <c r="U729" s="8"/>
      <c r="V729" s="8"/>
    </row>
    <row r="730" ht="24.0" customHeight="1">
      <c r="F730" s="8"/>
      <c r="G730" s="8"/>
      <c r="H730" s="8"/>
      <c r="I730" s="8"/>
      <c r="J730" s="8"/>
      <c r="K730" s="8"/>
      <c r="L730" s="8"/>
      <c r="M730" s="8"/>
      <c r="N730" s="8"/>
      <c r="O730" s="8"/>
      <c r="P730" s="8"/>
      <c r="Q730" s="8"/>
      <c r="R730" s="8"/>
      <c r="S730" s="8"/>
      <c r="T730" s="8"/>
      <c r="U730" s="8"/>
      <c r="V730" s="8"/>
    </row>
    <row r="731" ht="24.0" customHeight="1">
      <c r="F731" s="8"/>
      <c r="G731" s="8"/>
      <c r="H731" s="8"/>
      <c r="I731" s="8"/>
      <c r="J731" s="8"/>
      <c r="K731" s="8"/>
      <c r="L731" s="8"/>
      <c r="M731" s="8"/>
      <c r="N731" s="8"/>
      <c r="O731" s="8"/>
      <c r="P731" s="8"/>
      <c r="Q731" s="8"/>
      <c r="R731" s="8"/>
      <c r="S731" s="8"/>
      <c r="T731" s="8"/>
      <c r="U731" s="8"/>
      <c r="V731" s="8"/>
    </row>
    <row r="732" ht="24.0" customHeight="1">
      <c r="F732" s="8"/>
      <c r="G732" s="8"/>
      <c r="H732" s="8"/>
      <c r="I732" s="8"/>
      <c r="J732" s="8"/>
      <c r="K732" s="8"/>
      <c r="L732" s="8"/>
      <c r="M732" s="8"/>
      <c r="N732" s="8"/>
      <c r="O732" s="8"/>
      <c r="P732" s="8"/>
      <c r="Q732" s="8"/>
      <c r="R732" s="8"/>
      <c r="S732" s="8"/>
      <c r="T732" s="8"/>
      <c r="U732" s="8"/>
      <c r="V732" s="8"/>
    </row>
    <row r="733" ht="24.0" customHeight="1">
      <c r="F733" s="8"/>
      <c r="G733" s="8"/>
      <c r="H733" s="8"/>
      <c r="I733" s="8"/>
      <c r="J733" s="8"/>
      <c r="K733" s="8"/>
      <c r="L733" s="8"/>
      <c r="M733" s="8"/>
      <c r="N733" s="8"/>
      <c r="O733" s="8"/>
      <c r="P733" s="8"/>
      <c r="Q733" s="8"/>
      <c r="R733" s="8"/>
      <c r="S733" s="8"/>
      <c r="T733" s="8"/>
      <c r="U733" s="8"/>
      <c r="V733" s="8"/>
    </row>
    <row r="734" ht="24.0" customHeight="1">
      <c r="F734" s="8"/>
      <c r="G734" s="8"/>
      <c r="H734" s="8"/>
      <c r="I734" s="8"/>
      <c r="J734" s="8"/>
      <c r="K734" s="8"/>
      <c r="L734" s="8"/>
      <c r="M734" s="8"/>
      <c r="N734" s="8"/>
      <c r="O734" s="8"/>
      <c r="P734" s="8"/>
      <c r="Q734" s="8"/>
      <c r="R734" s="8"/>
      <c r="S734" s="8"/>
      <c r="T734" s="8"/>
      <c r="U734" s="8"/>
      <c r="V734" s="8"/>
    </row>
    <row r="735" ht="24.0" customHeight="1">
      <c r="F735" s="8"/>
      <c r="G735" s="8"/>
      <c r="H735" s="8"/>
      <c r="I735" s="8"/>
      <c r="J735" s="8"/>
      <c r="K735" s="8"/>
      <c r="L735" s="8"/>
      <c r="M735" s="8"/>
      <c r="N735" s="8"/>
      <c r="O735" s="8"/>
      <c r="P735" s="8"/>
      <c r="Q735" s="8"/>
      <c r="R735" s="8"/>
      <c r="S735" s="8"/>
      <c r="T735" s="8"/>
      <c r="U735" s="8"/>
      <c r="V735" s="8"/>
    </row>
    <row r="736" ht="24.0" customHeight="1">
      <c r="F736" s="8"/>
      <c r="G736" s="8"/>
      <c r="H736" s="8"/>
      <c r="I736" s="8"/>
      <c r="J736" s="8"/>
      <c r="K736" s="8"/>
      <c r="L736" s="8"/>
      <c r="M736" s="8"/>
      <c r="N736" s="8"/>
      <c r="O736" s="8"/>
      <c r="P736" s="8"/>
      <c r="Q736" s="8"/>
      <c r="R736" s="8"/>
      <c r="S736" s="8"/>
      <c r="T736" s="8"/>
      <c r="U736" s="8"/>
      <c r="V736" s="8"/>
    </row>
    <row r="737" ht="24.0" customHeight="1">
      <c r="F737" s="8"/>
      <c r="G737" s="8"/>
      <c r="H737" s="8"/>
      <c r="I737" s="8"/>
      <c r="J737" s="8"/>
      <c r="K737" s="8"/>
      <c r="L737" s="8"/>
      <c r="M737" s="8"/>
      <c r="N737" s="8"/>
      <c r="O737" s="8"/>
      <c r="P737" s="8"/>
      <c r="Q737" s="8"/>
      <c r="R737" s="8"/>
      <c r="S737" s="8"/>
      <c r="T737" s="8"/>
      <c r="U737" s="8"/>
      <c r="V737" s="8"/>
    </row>
    <row r="738" ht="24.0" customHeight="1">
      <c r="F738" s="8"/>
      <c r="G738" s="8"/>
      <c r="H738" s="8"/>
      <c r="I738" s="8"/>
      <c r="J738" s="8"/>
      <c r="K738" s="8"/>
      <c r="L738" s="8"/>
      <c r="M738" s="8"/>
      <c r="N738" s="8"/>
      <c r="O738" s="8"/>
      <c r="P738" s="8"/>
      <c r="Q738" s="8"/>
      <c r="R738" s="8"/>
      <c r="S738" s="8"/>
      <c r="T738" s="8"/>
      <c r="U738" s="8"/>
      <c r="V738" s="8"/>
    </row>
    <row r="739" ht="24.0" customHeight="1">
      <c r="F739" s="8"/>
      <c r="G739" s="8"/>
      <c r="H739" s="8"/>
      <c r="I739" s="8"/>
      <c r="J739" s="8"/>
      <c r="K739" s="8"/>
      <c r="L739" s="8"/>
      <c r="M739" s="8"/>
      <c r="N739" s="8"/>
      <c r="O739" s="8"/>
      <c r="P739" s="8"/>
      <c r="Q739" s="8"/>
      <c r="R739" s="8"/>
      <c r="S739" s="8"/>
      <c r="T739" s="8"/>
      <c r="U739" s="8"/>
      <c r="V739" s="8"/>
    </row>
    <row r="740" ht="24.0" customHeight="1">
      <c r="F740" s="8"/>
      <c r="G740" s="8"/>
      <c r="H740" s="8"/>
      <c r="I740" s="8"/>
      <c r="J740" s="8"/>
      <c r="K740" s="8"/>
      <c r="L740" s="8"/>
      <c r="M740" s="8"/>
      <c r="N740" s="8"/>
      <c r="O740" s="8"/>
      <c r="P740" s="8"/>
      <c r="Q740" s="8"/>
      <c r="R740" s="8"/>
      <c r="S740" s="8"/>
      <c r="T740" s="8"/>
      <c r="U740" s="8"/>
      <c r="V740" s="8"/>
    </row>
    <row r="741" ht="24.0" customHeight="1">
      <c r="F741" s="8"/>
      <c r="G741" s="8"/>
      <c r="H741" s="8"/>
      <c r="I741" s="8"/>
      <c r="J741" s="8"/>
      <c r="K741" s="8"/>
      <c r="L741" s="8"/>
      <c r="M741" s="8"/>
      <c r="N741" s="8"/>
      <c r="O741" s="8"/>
      <c r="P741" s="8"/>
      <c r="Q741" s="8"/>
      <c r="R741" s="8"/>
      <c r="S741" s="8"/>
      <c r="T741" s="8"/>
      <c r="U741" s="8"/>
      <c r="V741" s="8"/>
    </row>
    <row r="742" ht="24.0" customHeight="1">
      <c r="F742" s="8"/>
      <c r="G742" s="8"/>
      <c r="H742" s="8"/>
      <c r="I742" s="8"/>
      <c r="J742" s="8"/>
      <c r="K742" s="8"/>
      <c r="L742" s="8"/>
      <c r="M742" s="8"/>
      <c r="N742" s="8"/>
      <c r="O742" s="8"/>
      <c r="P742" s="8"/>
      <c r="Q742" s="8"/>
      <c r="R742" s="8"/>
      <c r="S742" s="8"/>
      <c r="T742" s="8"/>
      <c r="U742" s="8"/>
      <c r="V742" s="8"/>
    </row>
    <row r="743" ht="24.0" customHeight="1">
      <c r="F743" s="8"/>
      <c r="G743" s="8"/>
      <c r="H743" s="8"/>
      <c r="I743" s="8"/>
      <c r="J743" s="8"/>
      <c r="K743" s="8"/>
      <c r="L743" s="8"/>
      <c r="M743" s="8"/>
      <c r="N743" s="8"/>
      <c r="O743" s="8"/>
      <c r="P743" s="8"/>
      <c r="Q743" s="8"/>
      <c r="R743" s="8"/>
      <c r="S743" s="8"/>
      <c r="T743" s="8"/>
      <c r="U743" s="8"/>
      <c r="V743" s="8"/>
    </row>
    <row r="744" ht="24.0" customHeight="1">
      <c r="F744" s="8"/>
      <c r="G744" s="8"/>
      <c r="H744" s="8"/>
      <c r="I744" s="8"/>
      <c r="J744" s="8"/>
      <c r="K744" s="8"/>
      <c r="L744" s="8"/>
      <c r="M744" s="8"/>
      <c r="N744" s="8"/>
      <c r="O744" s="8"/>
      <c r="P744" s="8"/>
      <c r="Q744" s="8"/>
      <c r="R744" s="8"/>
      <c r="S744" s="8"/>
      <c r="T744" s="8"/>
      <c r="U744" s="8"/>
      <c r="V744" s="8"/>
    </row>
    <row r="745" ht="24.0" customHeight="1">
      <c r="F745" s="8"/>
      <c r="G745" s="8"/>
      <c r="H745" s="8"/>
      <c r="I745" s="8"/>
      <c r="J745" s="8"/>
      <c r="K745" s="8"/>
      <c r="L745" s="8"/>
      <c r="M745" s="8"/>
      <c r="N745" s="8"/>
      <c r="O745" s="8"/>
      <c r="P745" s="8"/>
      <c r="Q745" s="8"/>
      <c r="R745" s="8"/>
      <c r="S745" s="8"/>
      <c r="T745" s="8"/>
      <c r="U745" s="8"/>
      <c r="V745" s="8"/>
    </row>
    <row r="746" ht="24.0" customHeight="1">
      <c r="F746" s="8"/>
      <c r="G746" s="8"/>
      <c r="H746" s="8"/>
      <c r="I746" s="8"/>
      <c r="J746" s="8"/>
      <c r="K746" s="8"/>
      <c r="L746" s="8"/>
      <c r="M746" s="8"/>
      <c r="N746" s="8"/>
      <c r="O746" s="8"/>
      <c r="P746" s="8"/>
      <c r="Q746" s="8"/>
      <c r="R746" s="8"/>
      <c r="S746" s="8"/>
      <c r="T746" s="8"/>
      <c r="U746" s="8"/>
      <c r="V746" s="8"/>
    </row>
    <row r="747" ht="24.0" customHeight="1">
      <c r="F747" s="8"/>
      <c r="G747" s="8"/>
      <c r="H747" s="8"/>
      <c r="I747" s="8"/>
      <c r="J747" s="8"/>
      <c r="K747" s="8"/>
      <c r="L747" s="8"/>
      <c r="M747" s="8"/>
      <c r="N747" s="8"/>
      <c r="O747" s="8"/>
      <c r="P747" s="8"/>
      <c r="Q747" s="8"/>
      <c r="R747" s="8"/>
      <c r="S747" s="8"/>
      <c r="T747" s="8"/>
      <c r="U747" s="8"/>
      <c r="V747" s="8"/>
    </row>
    <row r="748" ht="24.0" customHeight="1">
      <c r="F748" s="8"/>
      <c r="G748" s="8"/>
      <c r="H748" s="8"/>
      <c r="I748" s="8"/>
      <c r="J748" s="8"/>
      <c r="K748" s="8"/>
      <c r="L748" s="8"/>
      <c r="M748" s="8"/>
      <c r="N748" s="8"/>
      <c r="O748" s="8"/>
      <c r="P748" s="8"/>
      <c r="Q748" s="8"/>
      <c r="R748" s="8"/>
      <c r="S748" s="8"/>
      <c r="T748" s="8"/>
      <c r="U748" s="8"/>
      <c r="V748" s="8"/>
    </row>
    <row r="749" ht="24.0" customHeight="1">
      <c r="F749" s="8"/>
      <c r="G749" s="8"/>
      <c r="H749" s="8"/>
      <c r="I749" s="8"/>
      <c r="J749" s="8"/>
      <c r="K749" s="8"/>
      <c r="L749" s="8"/>
      <c r="M749" s="8"/>
      <c r="N749" s="8"/>
      <c r="O749" s="8"/>
      <c r="P749" s="8"/>
      <c r="Q749" s="8"/>
      <c r="R749" s="8"/>
      <c r="S749" s="8"/>
      <c r="T749" s="8"/>
      <c r="U749" s="8"/>
      <c r="V749" s="8"/>
    </row>
    <row r="750" ht="24.0" customHeight="1">
      <c r="F750" s="8"/>
      <c r="G750" s="8"/>
      <c r="H750" s="8"/>
      <c r="I750" s="8"/>
      <c r="J750" s="8"/>
      <c r="K750" s="8"/>
      <c r="L750" s="8"/>
      <c r="M750" s="8"/>
      <c r="N750" s="8"/>
      <c r="O750" s="8"/>
      <c r="P750" s="8"/>
      <c r="Q750" s="8"/>
      <c r="R750" s="8"/>
      <c r="S750" s="8"/>
      <c r="T750" s="8"/>
      <c r="U750" s="8"/>
      <c r="V750" s="8"/>
    </row>
    <row r="751" ht="24.0" customHeight="1">
      <c r="F751" s="8"/>
      <c r="G751" s="8"/>
      <c r="H751" s="8"/>
      <c r="I751" s="8"/>
      <c r="J751" s="8"/>
      <c r="K751" s="8"/>
      <c r="L751" s="8"/>
      <c r="M751" s="8"/>
      <c r="N751" s="8"/>
      <c r="O751" s="8"/>
      <c r="P751" s="8"/>
      <c r="Q751" s="8"/>
      <c r="R751" s="8"/>
      <c r="S751" s="8"/>
      <c r="T751" s="8"/>
      <c r="U751" s="8"/>
      <c r="V751" s="8"/>
    </row>
    <row r="752" ht="24.0" customHeight="1">
      <c r="F752" s="8"/>
      <c r="G752" s="8"/>
      <c r="H752" s="8"/>
      <c r="I752" s="8"/>
      <c r="J752" s="8"/>
      <c r="K752" s="8"/>
      <c r="L752" s="8"/>
      <c r="M752" s="8"/>
      <c r="N752" s="8"/>
      <c r="O752" s="8"/>
      <c r="P752" s="8"/>
      <c r="Q752" s="8"/>
      <c r="R752" s="8"/>
      <c r="S752" s="8"/>
      <c r="T752" s="8"/>
      <c r="U752" s="8"/>
      <c r="V752" s="8"/>
    </row>
    <row r="753" ht="24.0" customHeight="1">
      <c r="F753" s="8"/>
      <c r="G753" s="8"/>
      <c r="H753" s="8"/>
      <c r="I753" s="8"/>
      <c r="J753" s="8"/>
      <c r="K753" s="8"/>
      <c r="L753" s="8"/>
      <c r="M753" s="8"/>
      <c r="N753" s="8"/>
      <c r="O753" s="8"/>
      <c r="P753" s="8"/>
      <c r="Q753" s="8"/>
      <c r="R753" s="8"/>
      <c r="S753" s="8"/>
      <c r="T753" s="8"/>
      <c r="U753" s="8"/>
      <c r="V753" s="8"/>
    </row>
    <row r="754" ht="24.0" customHeight="1">
      <c r="F754" s="8"/>
      <c r="G754" s="8"/>
      <c r="H754" s="8"/>
      <c r="I754" s="8"/>
      <c r="J754" s="8"/>
      <c r="K754" s="8"/>
      <c r="L754" s="8"/>
      <c r="M754" s="8"/>
      <c r="N754" s="8"/>
      <c r="O754" s="8"/>
      <c r="P754" s="8"/>
      <c r="Q754" s="8"/>
      <c r="R754" s="8"/>
      <c r="S754" s="8"/>
      <c r="T754" s="8"/>
      <c r="U754" s="8"/>
      <c r="V754" s="8"/>
    </row>
    <row r="755" ht="24.0" customHeight="1">
      <c r="F755" s="8"/>
      <c r="G755" s="8"/>
      <c r="H755" s="8"/>
      <c r="I755" s="8"/>
      <c r="J755" s="8"/>
      <c r="K755" s="8"/>
      <c r="L755" s="8"/>
      <c r="M755" s="8"/>
      <c r="N755" s="8"/>
      <c r="O755" s="8"/>
      <c r="P755" s="8"/>
      <c r="Q755" s="8"/>
      <c r="R755" s="8"/>
      <c r="S755" s="8"/>
      <c r="T755" s="8"/>
      <c r="U755" s="8"/>
      <c r="V755" s="8"/>
    </row>
    <row r="756" ht="24.0" customHeight="1">
      <c r="F756" s="8"/>
      <c r="G756" s="8"/>
      <c r="H756" s="8"/>
      <c r="I756" s="8"/>
      <c r="J756" s="8"/>
      <c r="K756" s="8"/>
      <c r="L756" s="8"/>
      <c r="M756" s="8"/>
      <c r="N756" s="8"/>
      <c r="O756" s="8"/>
      <c r="P756" s="8"/>
      <c r="Q756" s="8"/>
      <c r="R756" s="8"/>
      <c r="S756" s="8"/>
      <c r="T756" s="8"/>
      <c r="U756" s="8"/>
      <c r="V756" s="8"/>
    </row>
    <row r="757" ht="24.0" customHeight="1">
      <c r="F757" s="8"/>
      <c r="G757" s="8"/>
      <c r="H757" s="8"/>
      <c r="I757" s="8"/>
      <c r="J757" s="8"/>
      <c r="K757" s="8"/>
      <c r="L757" s="8"/>
      <c r="M757" s="8"/>
      <c r="N757" s="8"/>
      <c r="O757" s="8"/>
      <c r="P757" s="8"/>
      <c r="Q757" s="8"/>
      <c r="R757" s="8"/>
      <c r="S757" s="8"/>
      <c r="T757" s="8"/>
      <c r="U757" s="8"/>
      <c r="V757" s="8"/>
    </row>
    <row r="758" ht="24.0" customHeight="1">
      <c r="F758" s="8"/>
      <c r="G758" s="8"/>
      <c r="H758" s="8"/>
      <c r="I758" s="8"/>
      <c r="J758" s="8"/>
      <c r="K758" s="8"/>
      <c r="L758" s="8"/>
      <c r="M758" s="8"/>
      <c r="N758" s="8"/>
      <c r="O758" s="8"/>
      <c r="P758" s="8"/>
      <c r="Q758" s="8"/>
      <c r="R758" s="8"/>
      <c r="S758" s="8"/>
      <c r="T758" s="8"/>
      <c r="U758" s="8"/>
      <c r="V758" s="8"/>
    </row>
    <row r="759" ht="24.0" customHeight="1">
      <c r="F759" s="8"/>
      <c r="G759" s="8"/>
      <c r="H759" s="8"/>
      <c r="I759" s="8"/>
      <c r="J759" s="8"/>
      <c r="K759" s="8"/>
      <c r="L759" s="8"/>
      <c r="M759" s="8"/>
      <c r="N759" s="8"/>
      <c r="O759" s="8"/>
      <c r="P759" s="8"/>
      <c r="Q759" s="8"/>
      <c r="R759" s="8"/>
      <c r="S759" s="8"/>
      <c r="T759" s="8"/>
      <c r="U759" s="8"/>
      <c r="V759" s="8"/>
    </row>
    <row r="760" ht="24.0" customHeight="1">
      <c r="F760" s="8"/>
      <c r="G760" s="8"/>
      <c r="H760" s="8"/>
      <c r="I760" s="8"/>
      <c r="J760" s="8"/>
      <c r="K760" s="8"/>
      <c r="L760" s="8"/>
      <c r="M760" s="8"/>
      <c r="N760" s="8"/>
      <c r="O760" s="8"/>
      <c r="P760" s="8"/>
      <c r="Q760" s="8"/>
      <c r="R760" s="8"/>
      <c r="S760" s="8"/>
      <c r="T760" s="8"/>
      <c r="U760" s="8"/>
      <c r="V760" s="8"/>
    </row>
    <row r="761" ht="24.0" customHeight="1">
      <c r="F761" s="8"/>
      <c r="G761" s="8"/>
      <c r="H761" s="8"/>
      <c r="I761" s="8"/>
      <c r="J761" s="8"/>
      <c r="K761" s="8"/>
      <c r="L761" s="8"/>
      <c r="M761" s="8"/>
      <c r="N761" s="8"/>
      <c r="O761" s="8"/>
      <c r="P761" s="8"/>
      <c r="Q761" s="8"/>
      <c r="R761" s="8"/>
      <c r="S761" s="8"/>
      <c r="T761" s="8"/>
      <c r="U761" s="8"/>
      <c r="V761" s="8"/>
    </row>
    <row r="762" ht="24.0" customHeight="1">
      <c r="F762" s="8"/>
      <c r="G762" s="8"/>
      <c r="H762" s="8"/>
      <c r="I762" s="8"/>
      <c r="J762" s="8"/>
      <c r="K762" s="8"/>
      <c r="L762" s="8"/>
      <c r="M762" s="8"/>
      <c r="N762" s="8"/>
      <c r="O762" s="8"/>
      <c r="P762" s="8"/>
      <c r="Q762" s="8"/>
      <c r="R762" s="8"/>
      <c r="S762" s="8"/>
      <c r="T762" s="8"/>
      <c r="U762" s="8"/>
      <c r="V762" s="8"/>
    </row>
    <row r="763" ht="24.0" customHeight="1">
      <c r="F763" s="8"/>
      <c r="G763" s="8"/>
      <c r="H763" s="8"/>
      <c r="I763" s="8"/>
      <c r="J763" s="8"/>
      <c r="K763" s="8"/>
      <c r="L763" s="8"/>
      <c r="M763" s="8"/>
      <c r="N763" s="8"/>
      <c r="O763" s="8"/>
      <c r="P763" s="8"/>
      <c r="Q763" s="8"/>
      <c r="R763" s="8"/>
      <c r="S763" s="8"/>
      <c r="T763" s="8"/>
      <c r="U763" s="8"/>
      <c r="V763" s="8"/>
    </row>
    <row r="764" ht="24.0" customHeight="1">
      <c r="F764" s="8"/>
      <c r="G764" s="8"/>
      <c r="H764" s="8"/>
      <c r="I764" s="8"/>
      <c r="J764" s="8"/>
      <c r="K764" s="8"/>
      <c r="L764" s="8"/>
      <c r="M764" s="8"/>
      <c r="N764" s="8"/>
      <c r="O764" s="8"/>
      <c r="P764" s="8"/>
      <c r="Q764" s="8"/>
      <c r="R764" s="8"/>
      <c r="S764" s="8"/>
      <c r="T764" s="8"/>
      <c r="U764" s="8"/>
      <c r="V764" s="8"/>
    </row>
    <row r="765" ht="24.0" customHeight="1">
      <c r="F765" s="8"/>
      <c r="G765" s="8"/>
      <c r="H765" s="8"/>
      <c r="I765" s="8"/>
      <c r="J765" s="8"/>
      <c r="K765" s="8"/>
      <c r="L765" s="8"/>
      <c r="M765" s="8"/>
      <c r="N765" s="8"/>
      <c r="O765" s="8"/>
      <c r="P765" s="8"/>
      <c r="Q765" s="8"/>
      <c r="R765" s="8"/>
      <c r="S765" s="8"/>
      <c r="T765" s="8"/>
      <c r="U765" s="8"/>
      <c r="V765" s="8"/>
    </row>
    <row r="766" ht="24.0" customHeight="1">
      <c r="F766" s="8"/>
      <c r="G766" s="8"/>
      <c r="H766" s="8"/>
      <c r="I766" s="8"/>
      <c r="J766" s="8"/>
      <c r="K766" s="8"/>
      <c r="L766" s="8"/>
      <c r="M766" s="8"/>
      <c r="N766" s="8"/>
      <c r="O766" s="8"/>
      <c r="P766" s="8"/>
      <c r="Q766" s="8"/>
      <c r="R766" s="8"/>
      <c r="S766" s="8"/>
      <c r="T766" s="8"/>
      <c r="U766" s="8"/>
      <c r="V766" s="8"/>
    </row>
    <row r="767" ht="24.0" customHeight="1">
      <c r="F767" s="8"/>
      <c r="G767" s="8"/>
      <c r="H767" s="8"/>
      <c r="I767" s="8"/>
      <c r="J767" s="8"/>
      <c r="K767" s="8"/>
      <c r="L767" s="8"/>
      <c r="M767" s="8"/>
      <c r="N767" s="8"/>
      <c r="O767" s="8"/>
      <c r="P767" s="8"/>
      <c r="Q767" s="8"/>
      <c r="R767" s="8"/>
      <c r="S767" s="8"/>
      <c r="T767" s="8"/>
      <c r="U767" s="8"/>
      <c r="V767" s="8"/>
    </row>
    <row r="768" ht="24.0" customHeight="1">
      <c r="F768" s="8"/>
      <c r="G768" s="8"/>
      <c r="H768" s="8"/>
      <c r="I768" s="8"/>
      <c r="J768" s="8"/>
      <c r="K768" s="8"/>
      <c r="L768" s="8"/>
      <c r="M768" s="8"/>
      <c r="N768" s="8"/>
      <c r="O768" s="8"/>
      <c r="P768" s="8"/>
      <c r="Q768" s="8"/>
      <c r="R768" s="8"/>
      <c r="S768" s="8"/>
      <c r="T768" s="8"/>
      <c r="U768" s="8"/>
      <c r="V768" s="8"/>
    </row>
    <row r="769" ht="24.0" customHeight="1">
      <c r="F769" s="8"/>
      <c r="G769" s="8"/>
      <c r="H769" s="8"/>
      <c r="I769" s="8"/>
      <c r="J769" s="8"/>
      <c r="K769" s="8"/>
      <c r="L769" s="8"/>
      <c r="M769" s="8"/>
      <c r="N769" s="8"/>
      <c r="O769" s="8"/>
      <c r="P769" s="8"/>
      <c r="Q769" s="8"/>
      <c r="R769" s="8"/>
      <c r="S769" s="8"/>
      <c r="T769" s="8"/>
      <c r="U769" s="8"/>
      <c r="V769" s="8"/>
    </row>
    <row r="770" ht="24.0" customHeight="1">
      <c r="F770" s="8"/>
      <c r="G770" s="8"/>
      <c r="H770" s="8"/>
      <c r="I770" s="8"/>
      <c r="J770" s="8"/>
      <c r="K770" s="8"/>
      <c r="L770" s="8"/>
      <c r="M770" s="8"/>
      <c r="N770" s="8"/>
      <c r="O770" s="8"/>
      <c r="P770" s="8"/>
      <c r="Q770" s="8"/>
      <c r="R770" s="8"/>
      <c r="S770" s="8"/>
      <c r="T770" s="8"/>
      <c r="U770" s="8"/>
      <c r="V770" s="8"/>
    </row>
    <row r="771" ht="24.0" customHeight="1">
      <c r="F771" s="8"/>
      <c r="G771" s="8"/>
      <c r="H771" s="8"/>
      <c r="I771" s="8"/>
      <c r="J771" s="8"/>
      <c r="K771" s="8"/>
      <c r="L771" s="8"/>
      <c r="M771" s="8"/>
      <c r="N771" s="8"/>
      <c r="O771" s="8"/>
      <c r="P771" s="8"/>
      <c r="Q771" s="8"/>
      <c r="R771" s="8"/>
      <c r="S771" s="8"/>
      <c r="T771" s="8"/>
      <c r="U771" s="8"/>
      <c r="V771" s="8"/>
    </row>
    <row r="772" ht="24.0" customHeight="1">
      <c r="F772" s="8"/>
      <c r="G772" s="8"/>
      <c r="H772" s="8"/>
      <c r="I772" s="8"/>
      <c r="J772" s="8"/>
      <c r="K772" s="8"/>
      <c r="L772" s="8"/>
      <c r="M772" s="8"/>
      <c r="N772" s="8"/>
      <c r="O772" s="8"/>
      <c r="P772" s="8"/>
      <c r="Q772" s="8"/>
      <c r="R772" s="8"/>
      <c r="S772" s="8"/>
      <c r="T772" s="8"/>
      <c r="U772" s="8"/>
      <c r="V772" s="8"/>
    </row>
    <row r="773" ht="24.0" customHeight="1">
      <c r="F773" s="8"/>
      <c r="G773" s="8"/>
      <c r="H773" s="8"/>
      <c r="I773" s="8"/>
      <c r="J773" s="8"/>
      <c r="K773" s="8"/>
      <c r="L773" s="8"/>
      <c r="M773" s="8"/>
      <c r="N773" s="8"/>
      <c r="O773" s="8"/>
      <c r="P773" s="8"/>
      <c r="Q773" s="8"/>
      <c r="R773" s="8"/>
      <c r="S773" s="8"/>
      <c r="T773" s="8"/>
      <c r="U773" s="8"/>
      <c r="V773" s="8"/>
    </row>
    <row r="774" ht="24.0" customHeight="1">
      <c r="F774" s="8"/>
      <c r="G774" s="8"/>
      <c r="H774" s="8"/>
      <c r="I774" s="8"/>
      <c r="J774" s="8"/>
      <c r="K774" s="8"/>
      <c r="L774" s="8"/>
      <c r="M774" s="8"/>
      <c r="N774" s="8"/>
      <c r="O774" s="8"/>
      <c r="P774" s="8"/>
      <c r="Q774" s="8"/>
      <c r="R774" s="8"/>
      <c r="S774" s="8"/>
      <c r="T774" s="8"/>
      <c r="U774" s="8"/>
      <c r="V774" s="8"/>
    </row>
    <row r="775" ht="24.0" customHeight="1">
      <c r="F775" s="8"/>
      <c r="G775" s="8"/>
      <c r="H775" s="8"/>
      <c r="I775" s="8"/>
      <c r="J775" s="8"/>
      <c r="K775" s="8"/>
      <c r="L775" s="8"/>
      <c r="M775" s="8"/>
      <c r="N775" s="8"/>
      <c r="O775" s="8"/>
      <c r="P775" s="8"/>
      <c r="Q775" s="8"/>
      <c r="R775" s="8"/>
      <c r="S775" s="8"/>
      <c r="T775" s="8"/>
      <c r="U775" s="8"/>
      <c r="V775" s="8"/>
    </row>
    <row r="776" ht="24.0" customHeight="1">
      <c r="F776" s="8"/>
      <c r="G776" s="8"/>
      <c r="H776" s="8"/>
      <c r="I776" s="8"/>
      <c r="J776" s="8"/>
      <c r="K776" s="8"/>
      <c r="L776" s="8"/>
      <c r="M776" s="8"/>
      <c r="N776" s="8"/>
      <c r="O776" s="8"/>
      <c r="P776" s="8"/>
      <c r="Q776" s="8"/>
      <c r="R776" s="8"/>
      <c r="S776" s="8"/>
      <c r="T776" s="8"/>
      <c r="U776" s="8"/>
      <c r="V776" s="8"/>
    </row>
    <row r="777" ht="24.0" customHeight="1">
      <c r="F777" s="8"/>
      <c r="G777" s="8"/>
      <c r="H777" s="8"/>
      <c r="I777" s="8"/>
      <c r="J777" s="8"/>
      <c r="K777" s="8"/>
      <c r="L777" s="8"/>
      <c r="M777" s="8"/>
      <c r="N777" s="8"/>
      <c r="O777" s="8"/>
      <c r="P777" s="8"/>
      <c r="Q777" s="8"/>
      <c r="R777" s="8"/>
      <c r="S777" s="8"/>
      <c r="T777" s="8"/>
      <c r="U777" s="8"/>
      <c r="V777" s="8"/>
    </row>
    <row r="778" ht="24.0" customHeight="1">
      <c r="F778" s="8"/>
      <c r="G778" s="8"/>
      <c r="H778" s="8"/>
      <c r="I778" s="8"/>
      <c r="J778" s="8"/>
      <c r="K778" s="8"/>
      <c r="L778" s="8"/>
      <c r="M778" s="8"/>
      <c r="N778" s="8"/>
      <c r="O778" s="8"/>
      <c r="P778" s="8"/>
      <c r="Q778" s="8"/>
      <c r="R778" s="8"/>
      <c r="S778" s="8"/>
      <c r="T778" s="8"/>
      <c r="U778" s="8"/>
      <c r="V778" s="8"/>
    </row>
    <row r="779" ht="24.0" customHeight="1">
      <c r="F779" s="8"/>
      <c r="G779" s="8"/>
      <c r="H779" s="8"/>
      <c r="I779" s="8"/>
      <c r="J779" s="8"/>
      <c r="K779" s="8"/>
      <c r="L779" s="8"/>
      <c r="M779" s="8"/>
      <c r="N779" s="8"/>
      <c r="O779" s="8"/>
      <c r="P779" s="8"/>
      <c r="Q779" s="8"/>
      <c r="R779" s="8"/>
      <c r="S779" s="8"/>
      <c r="T779" s="8"/>
      <c r="U779" s="8"/>
      <c r="V779" s="8"/>
    </row>
    <row r="780" ht="24.0" customHeight="1">
      <c r="F780" s="8"/>
      <c r="G780" s="8"/>
      <c r="H780" s="8"/>
      <c r="I780" s="8"/>
      <c r="J780" s="8"/>
      <c r="K780" s="8"/>
      <c r="L780" s="8"/>
      <c r="M780" s="8"/>
      <c r="N780" s="8"/>
      <c r="O780" s="8"/>
      <c r="P780" s="8"/>
      <c r="Q780" s="8"/>
      <c r="R780" s="8"/>
      <c r="S780" s="8"/>
      <c r="T780" s="8"/>
      <c r="U780" s="8"/>
      <c r="V780" s="8"/>
    </row>
    <row r="781" ht="24.0" customHeight="1">
      <c r="F781" s="8"/>
      <c r="G781" s="8"/>
      <c r="H781" s="8"/>
      <c r="I781" s="8"/>
      <c r="J781" s="8"/>
      <c r="K781" s="8"/>
      <c r="L781" s="8"/>
      <c r="M781" s="8"/>
      <c r="N781" s="8"/>
      <c r="O781" s="8"/>
      <c r="P781" s="8"/>
      <c r="Q781" s="8"/>
      <c r="R781" s="8"/>
      <c r="S781" s="8"/>
      <c r="T781" s="8"/>
      <c r="U781" s="8"/>
      <c r="V781" s="8"/>
    </row>
    <row r="782" ht="24.0" customHeight="1">
      <c r="F782" s="8"/>
      <c r="G782" s="8"/>
      <c r="H782" s="8"/>
      <c r="I782" s="8"/>
      <c r="J782" s="8"/>
      <c r="K782" s="8"/>
      <c r="L782" s="8"/>
      <c r="M782" s="8"/>
      <c r="N782" s="8"/>
      <c r="O782" s="8"/>
      <c r="P782" s="8"/>
      <c r="Q782" s="8"/>
      <c r="R782" s="8"/>
      <c r="S782" s="8"/>
      <c r="T782" s="8"/>
      <c r="U782" s="8"/>
      <c r="V782" s="8"/>
    </row>
    <row r="783" ht="24.0" customHeight="1">
      <c r="F783" s="8"/>
      <c r="G783" s="8"/>
      <c r="H783" s="8"/>
      <c r="I783" s="8"/>
      <c r="J783" s="8"/>
      <c r="K783" s="8"/>
      <c r="L783" s="8"/>
      <c r="M783" s="8"/>
      <c r="N783" s="8"/>
      <c r="O783" s="8"/>
      <c r="P783" s="8"/>
      <c r="Q783" s="8"/>
      <c r="R783" s="8"/>
      <c r="S783" s="8"/>
      <c r="T783" s="8"/>
      <c r="U783" s="8"/>
      <c r="V783" s="8"/>
    </row>
    <row r="784" ht="24.0" customHeight="1">
      <c r="F784" s="8"/>
      <c r="G784" s="8"/>
      <c r="H784" s="8"/>
      <c r="I784" s="8"/>
      <c r="J784" s="8"/>
      <c r="K784" s="8"/>
      <c r="L784" s="8"/>
      <c r="M784" s="8"/>
      <c r="N784" s="8"/>
      <c r="O784" s="8"/>
      <c r="P784" s="8"/>
      <c r="Q784" s="8"/>
      <c r="R784" s="8"/>
      <c r="S784" s="8"/>
      <c r="T784" s="8"/>
      <c r="U784" s="8"/>
      <c r="V784" s="8"/>
    </row>
    <row r="785" ht="24.0" customHeight="1">
      <c r="F785" s="8"/>
      <c r="G785" s="8"/>
      <c r="H785" s="8"/>
      <c r="I785" s="8"/>
      <c r="J785" s="8"/>
      <c r="K785" s="8"/>
      <c r="L785" s="8"/>
      <c r="M785" s="8"/>
      <c r="N785" s="8"/>
      <c r="O785" s="8"/>
      <c r="P785" s="8"/>
      <c r="Q785" s="8"/>
      <c r="R785" s="8"/>
      <c r="S785" s="8"/>
      <c r="T785" s="8"/>
      <c r="U785" s="8"/>
      <c r="V785" s="8"/>
    </row>
    <row r="786" ht="24.0" customHeight="1">
      <c r="F786" s="8"/>
      <c r="G786" s="8"/>
      <c r="H786" s="8"/>
      <c r="I786" s="8"/>
      <c r="J786" s="8"/>
      <c r="K786" s="8"/>
      <c r="L786" s="8"/>
      <c r="M786" s="8"/>
      <c r="N786" s="8"/>
      <c r="O786" s="8"/>
      <c r="P786" s="8"/>
      <c r="Q786" s="8"/>
      <c r="R786" s="8"/>
      <c r="S786" s="8"/>
      <c r="T786" s="8"/>
      <c r="U786" s="8"/>
      <c r="V786" s="8"/>
    </row>
    <row r="787" ht="24.0" customHeight="1">
      <c r="F787" s="8"/>
      <c r="G787" s="8"/>
      <c r="H787" s="8"/>
      <c r="I787" s="8"/>
      <c r="J787" s="8"/>
      <c r="K787" s="8"/>
      <c r="L787" s="8"/>
      <c r="M787" s="8"/>
      <c r="N787" s="8"/>
      <c r="O787" s="8"/>
      <c r="P787" s="8"/>
      <c r="Q787" s="8"/>
      <c r="R787" s="8"/>
      <c r="S787" s="8"/>
      <c r="T787" s="8"/>
      <c r="U787" s="8"/>
      <c r="V787" s="8"/>
    </row>
    <row r="788" ht="24.0" customHeight="1">
      <c r="F788" s="8"/>
      <c r="G788" s="8"/>
      <c r="H788" s="8"/>
      <c r="I788" s="8"/>
      <c r="J788" s="8"/>
      <c r="K788" s="8"/>
      <c r="L788" s="8"/>
      <c r="M788" s="8"/>
      <c r="N788" s="8"/>
      <c r="O788" s="8"/>
      <c r="P788" s="8"/>
      <c r="Q788" s="8"/>
      <c r="R788" s="8"/>
      <c r="S788" s="8"/>
      <c r="T788" s="8"/>
      <c r="U788" s="8"/>
      <c r="V788" s="8"/>
    </row>
    <row r="789" ht="24.0" customHeight="1">
      <c r="F789" s="8"/>
      <c r="G789" s="8"/>
      <c r="H789" s="8"/>
      <c r="I789" s="8"/>
      <c r="J789" s="8"/>
      <c r="K789" s="8"/>
      <c r="L789" s="8"/>
      <c r="M789" s="8"/>
      <c r="N789" s="8"/>
      <c r="O789" s="8"/>
      <c r="P789" s="8"/>
      <c r="Q789" s="8"/>
      <c r="R789" s="8"/>
      <c r="S789" s="8"/>
      <c r="T789" s="8"/>
      <c r="U789" s="8"/>
      <c r="V789" s="8"/>
    </row>
    <row r="790" ht="24.0" customHeight="1">
      <c r="F790" s="8"/>
      <c r="G790" s="8"/>
      <c r="H790" s="8"/>
      <c r="I790" s="8"/>
      <c r="J790" s="8"/>
      <c r="K790" s="8"/>
      <c r="L790" s="8"/>
      <c r="M790" s="8"/>
      <c r="N790" s="8"/>
      <c r="O790" s="8"/>
      <c r="P790" s="8"/>
      <c r="Q790" s="8"/>
      <c r="R790" s="8"/>
      <c r="S790" s="8"/>
      <c r="T790" s="8"/>
      <c r="U790" s="8"/>
      <c r="V790" s="8"/>
    </row>
    <row r="791" ht="24.0" customHeight="1">
      <c r="F791" s="8"/>
      <c r="G791" s="8"/>
      <c r="H791" s="8"/>
      <c r="I791" s="8"/>
      <c r="J791" s="8"/>
      <c r="K791" s="8"/>
      <c r="L791" s="8"/>
      <c r="M791" s="8"/>
      <c r="N791" s="8"/>
      <c r="O791" s="8"/>
      <c r="P791" s="8"/>
      <c r="Q791" s="8"/>
      <c r="R791" s="8"/>
      <c r="S791" s="8"/>
      <c r="T791" s="8"/>
      <c r="U791" s="8"/>
      <c r="V791" s="8"/>
    </row>
    <row r="792" ht="24.0" customHeight="1">
      <c r="F792" s="8"/>
      <c r="G792" s="8"/>
      <c r="H792" s="8"/>
      <c r="I792" s="8"/>
      <c r="J792" s="8"/>
      <c r="K792" s="8"/>
      <c r="L792" s="8"/>
      <c r="M792" s="8"/>
      <c r="N792" s="8"/>
      <c r="O792" s="8"/>
      <c r="P792" s="8"/>
      <c r="Q792" s="8"/>
      <c r="R792" s="8"/>
      <c r="S792" s="8"/>
      <c r="T792" s="8"/>
      <c r="U792" s="8"/>
      <c r="V792" s="8"/>
    </row>
    <row r="793" ht="24.0" customHeight="1">
      <c r="F793" s="8"/>
      <c r="G793" s="8"/>
      <c r="H793" s="8"/>
      <c r="I793" s="8"/>
      <c r="J793" s="8"/>
      <c r="K793" s="8"/>
      <c r="L793" s="8"/>
      <c r="M793" s="8"/>
      <c r="N793" s="8"/>
      <c r="O793" s="8"/>
      <c r="P793" s="8"/>
      <c r="Q793" s="8"/>
      <c r="R793" s="8"/>
      <c r="S793" s="8"/>
      <c r="T793" s="8"/>
      <c r="U793" s="8"/>
      <c r="V793" s="8"/>
    </row>
    <row r="794" ht="24.0" customHeight="1">
      <c r="F794" s="8"/>
      <c r="G794" s="8"/>
      <c r="H794" s="8"/>
      <c r="I794" s="8"/>
      <c r="J794" s="8"/>
      <c r="K794" s="8"/>
      <c r="L794" s="8"/>
      <c r="M794" s="8"/>
      <c r="N794" s="8"/>
      <c r="O794" s="8"/>
      <c r="P794" s="8"/>
      <c r="Q794" s="8"/>
      <c r="R794" s="8"/>
      <c r="S794" s="8"/>
      <c r="T794" s="8"/>
      <c r="U794" s="8"/>
      <c r="V794" s="8"/>
    </row>
    <row r="795" ht="24.0" customHeight="1">
      <c r="F795" s="8"/>
      <c r="G795" s="8"/>
      <c r="H795" s="8"/>
      <c r="I795" s="8"/>
      <c r="J795" s="8"/>
      <c r="K795" s="8"/>
      <c r="L795" s="8"/>
      <c r="M795" s="8"/>
      <c r="N795" s="8"/>
      <c r="O795" s="8"/>
      <c r="P795" s="8"/>
      <c r="Q795" s="8"/>
      <c r="R795" s="8"/>
      <c r="S795" s="8"/>
      <c r="T795" s="8"/>
      <c r="U795" s="8"/>
      <c r="V795" s="8"/>
    </row>
    <row r="796" ht="24.0" customHeight="1">
      <c r="F796" s="8"/>
      <c r="G796" s="8"/>
      <c r="H796" s="8"/>
      <c r="I796" s="8"/>
      <c r="J796" s="8"/>
      <c r="K796" s="8"/>
      <c r="L796" s="8"/>
      <c r="M796" s="8"/>
      <c r="N796" s="8"/>
      <c r="O796" s="8"/>
      <c r="P796" s="8"/>
      <c r="Q796" s="8"/>
      <c r="R796" s="8"/>
      <c r="S796" s="8"/>
      <c r="T796" s="8"/>
      <c r="U796" s="8"/>
      <c r="V796" s="8"/>
    </row>
    <row r="797" ht="24.0" customHeight="1">
      <c r="F797" s="8"/>
      <c r="G797" s="8"/>
      <c r="H797" s="8"/>
      <c r="I797" s="8"/>
      <c r="J797" s="8"/>
      <c r="K797" s="8"/>
      <c r="L797" s="8"/>
      <c r="M797" s="8"/>
      <c r="N797" s="8"/>
      <c r="O797" s="8"/>
      <c r="P797" s="8"/>
      <c r="Q797" s="8"/>
      <c r="R797" s="8"/>
      <c r="S797" s="8"/>
      <c r="T797" s="8"/>
      <c r="U797" s="8"/>
      <c r="V797" s="8"/>
    </row>
    <row r="798" ht="24.0" customHeight="1">
      <c r="F798" s="8"/>
      <c r="G798" s="8"/>
      <c r="H798" s="8"/>
      <c r="I798" s="8"/>
      <c r="J798" s="8"/>
      <c r="K798" s="8"/>
      <c r="L798" s="8"/>
      <c r="M798" s="8"/>
      <c r="N798" s="8"/>
      <c r="O798" s="8"/>
      <c r="P798" s="8"/>
      <c r="Q798" s="8"/>
      <c r="R798" s="8"/>
      <c r="S798" s="8"/>
      <c r="T798" s="8"/>
      <c r="U798" s="8"/>
      <c r="V798" s="8"/>
    </row>
    <row r="799" ht="24.0" customHeight="1">
      <c r="F799" s="8"/>
      <c r="G799" s="8"/>
      <c r="H799" s="8"/>
      <c r="I799" s="8"/>
      <c r="J799" s="8"/>
      <c r="K799" s="8"/>
      <c r="L799" s="8"/>
      <c r="M799" s="8"/>
      <c r="N799" s="8"/>
      <c r="O799" s="8"/>
      <c r="P799" s="8"/>
      <c r="Q799" s="8"/>
      <c r="R799" s="8"/>
      <c r="S799" s="8"/>
      <c r="T799" s="8"/>
      <c r="U799" s="8"/>
      <c r="V799" s="8"/>
    </row>
    <row r="800" ht="24.0" customHeight="1">
      <c r="F800" s="8"/>
      <c r="G800" s="8"/>
      <c r="H800" s="8"/>
      <c r="I800" s="8"/>
      <c r="J800" s="8"/>
      <c r="K800" s="8"/>
      <c r="L800" s="8"/>
      <c r="M800" s="8"/>
      <c r="N800" s="8"/>
      <c r="O800" s="8"/>
      <c r="P800" s="8"/>
      <c r="Q800" s="8"/>
      <c r="R800" s="8"/>
      <c r="S800" s="8"/>
      <c r="T800" s="8"/>
      <c r="U800" s="8"/>
      <c r="V800" s="8"/>
    </row>
    <row r="801" ht="24.0" customHeight="1">
      <c r="F801" s="8"/>
      <c r="G801" s="8"/>
      <c r="H801" s="8"/>
      <c r="I801" s="8"/>
      <c r="J801" s="8"/>
      <c r="K801" s="8"/>
      <c r="L801" s="8"/>
      <c r="M801" s="8"/>
      <c r="N801" s="8"/>
      <c r="O801" s="8"/>
      <c r="P801" s="8"/>
      <c r="Q801" s="8"/>
      <c r="R801" s="8"/>
      <c r="S801" s="8"/>
      <c r="T801" s="8"/>
      <c r="U801" s="8"/>
      <c r="V801" s="8"/>
    </row>
    <row r="802" ht="24.0" customHeight="1">
      <c r="F802" s="8"/>
      <c r="G802" s="8"/>
      <c r="H802" s="8"/>
      <c r="I802" s="8"/>
      <c r="J802" s="8"/>
      <c r="K802" s="8"/>
      <c r="L802" s="8"/>
      <c r="M802" s="8"/>
      <c r="N802" s="8"/>
      <c r="O802" s="8"/>
      <c r="P802" s="8"/>
      <c r="Q802" s="8"/>
      <c r="R802" s="8"/>
      <c r="S802" s="8"/>
      <c r="T802" s="8"/>
      <c r="U802" s="8"/>
      <c r="V802" s="8"/>
    </row>
    <row r="803" ht="24.0" customHeight="1">
      <c r="F803" s="8"/>
      <c r="G803" s="8"/>
      <c r="H803" s="8"/>
      <c r="I803" s="8"/>
      <c r="J803" s="8"/>
      <c r="K803" s="8"/>
      <c r="L803" s="8"/>
      <c r="M803" s="8"/>
      <c r="N803" s="8"/>
      <c r="O803" s="8"/>
      <c r="P803" s="8"/>
      <c r="Q803" s="8"/>
      <c r="R803" s="8"/>
      <c r="S803" s="8"/>
      <c r="T803" s="8"/>
      <c r="U803" s="8"/>
      <c r="V803" s="8"/>
    </row>
    <row r="804" ht="24.0" customHeight="1">
      <c r="F804" s="8"/>
      <c r="G804" s="8"/>
      <c r="H804" s="8"/>
      <c r="I804" s="8"/>
      <c r="J804" s="8"/>
      <c r="K804" s="8"/>
      <c r="L804" s="8"/>
      <c r="M804" s="8"/>
      <c r="N804" s="8"/>
      <c r="O804" s="8"/>
      <c r="P804" s="8"/>
      <c r="Q804" s="8"/>
      <c r="R804" s="8"/>
      <c r="S804" s="8"/>
      <c r="T804" s="8"/>
      <c r="U804" s="8"/>
      <c r="V804" s="8"/>
    </row>
    <row r="805" ht="24.0" customHeight="1">
      <c r="F805" s="8"/>
      <c r="G805" s="8"/>
      <c r="H805" s="8"/>
      <c r="I805" s="8"/>
      <c r="J805" s="8"/>
      <c r="K805" s="8"/>
      <c r="L805" s="8"/>
      <c r="M805" s="8"/>
      <c r="N805" s="8"/>
      <c r="O805" s="8"/>
      <c r="P805" s="8"/>
      <c r="Q805" s="8"/>
      <c r="R805" s="8"/>
      <c r="S805" s="8"/>
      <c r="T805" s="8"/>
      <c r="U805" s="8"/>
      <c r="V805" s="8"/>
    </row>
    <row r="806" ht="24.0" customHeight="1">
      <c r="F806" s="8"/>
      <c r="G806" s="8"/>
      <c r="H806" s="8"/>
      <c r="I806" s="8"/>
      <c r="J806" s="8"/>
      <c r="K806" s="8"/>
      <c r="L806" s="8"/>
      <c r="M806" s="8"/>
      <c r="N806" s="8"/>
      <c r="O806" s="8"/>
      <c r="P806" s="8"/>
      <c r="Q806" s="8"/>
      <c r="R806" s="8"/>
      <c r="S806" s="8"/>
      <c r="T806" s="8"/>
      <c r="U806" s="8"/>
      <c r="V806" s="8"/>
    </row>
    <row r="807" ht="24.0" customHeight="1">
      <c r="F807" s="8"/>
      <c r="G807" s="8"/>
      <c r="H807" s="8"/>
      <c r="I807" s="8"/>
      <c r="J807" s="8"/>
      <c r="K807" s="8"/>
      <c r="L807" s="8"/>
      <c r="M807" s="8"/>
      <c r="N807" s="8"/>
      <c r="O807" s="8"/>
      <c r="P807" s="8"/>
      <c r="Q807" s="8"/>
      <c r="R807" s="8"/>
      <c r="S807" s="8"/>
      <c r="T807" s="8"/>
      <c r="U807" s="8"/>
      <c r="V807" s="8"/>
    </row>
    <row r="808" ht="24.0" customHeight="1">
      <c r="F808" s="8"/>
      <c r="G808" s="8"/>
      <c r="H808" s="8"/>
      <c r="I808" s="8"/>
      <c r="J808" s="8"/>
      <c r="K808" s="8"/>
      <c r="L808" s="8"/>
      <c r="M808" s="8"/>
      <c r="N808" s="8"/>
      <c r="O808" s="8"/>
      <c r="P808" s="8"/>
      <c r="Q808" s="8"/>
      <c r="R808" s="8"/>
      <c r="S808" s="8"/>
      <c r="T808" s="8"/>
      <c r="U808" s="8"/>
      <c r="V808" s="8"/>
    </row>
    <row r="809" ht="24.0" customHeight="1">
      <c r="F809" s="8"/>
      <c r="G809" s="8"/>
      <c r="H809" s="8"/>
      <c r="I809" s="8"/>
      <c r="J809" s="8"/>
      <c r="K809" s="8"/>
      <c r="L809" s="8"/>
      <c r="M809" s="8"/>
      <c r="N809" s="8"/>
      <c r="O809" s="8"/>
      <c r="P809" s="8"/>
      <c r="Q809" s="8"/>
      <c r="R809" s="8"/>
      <c r="S809" s="8"/>
      <c r="T809" s="8"/>
      <c r="U809" s="8"/>
      <c r="V809" s="8"/>
    </row>
    <row r="810" ht="24.0" customHeight="1">
      <c r="F810" s="8"/>
      <c r="G810" s="8"/>
      <c r="H810" s="8"/>
      <c r="I810" s="8"/>
      <c r="J810" s="8"/>
      <c r="K810" s="8"/>
      <c r="L810" s="8"/>
      <c r="M810" s="8"/>
      <c r="N810" s="8"/>
      <c r="O810" s="8"/>
      <c r="P810" s="8"/>
      <c r="Q810" s="8"/>
      <c r="R810" s="8"/>
      <c r="S810" s="8"/>
      <c r="T810" s="8"/>
      <c r="U810" s="8"/>
      <c r="V810" s="8"/>
    </row>
    <row r="811" ht="24.0" customHeight="1">
      <c r="F811" s="8"/>
      <c r="G811" s="8"/>
      <c r="H811" s="8"/>
      <c r="I811" s="8"/>
      <c r="J811" s="8"/>
      <c r="K811" s="8"/>
      <c r="L811" s="8"/>
      <c r="M811" s="8"/>
      <c r="N811" s="8"/>
      <c r="O811" s="8"/>
      <c r="P811" s="8"/>
      <c r="Q811" s="8"/>
      <c r="R811" s="8"/>
      <c r="S811" s="8"/>
      <c r="T811" s="8"/>
      <c r="U811" s="8"/>
      <c r="V811" s="8"/>
    </row>
    <row r="812" ht="24.0" customHeight="1">
      <c r="F812" s="8"/>
      <c r="G812" s="8"/>
      <c r="H812" s="8"/>
      <c r="I812" s="8"/>
      <c r="J812" s="8"/>
      <c r="K812" s="8"/>
      <c r="L812" s="8"/>
      <c r="M812" s="8"/>
      <c r="N812" s="8"/>
      <c r="O812" s="8"/>
      <c r="P812" s="8"/>
      <c r="Q812" s="8"/>
      <c r="R812" s="8"/>
      <c r="S812" s="8"/>
      <c r="T812" s="8"/>
      <c r="U812" s="8"/>
      <c r="V812" s="8"/>
    </row>
    <row r="813" ht="24.0" customHeight="1">
      <c r="F813" s="8"/>
      <c r="G813" s="8"/>
      <c r="H813" s="8"/>
      <c r="I813" s="8"/>
      <c r="J813" s="8"/>
      <c r="K813" s="8"/>
      <c r="L813" s="8"/>
      <c r="M813" s="8"/>
      <c r="N813" s="8"/>
      <c r="O813" s="8"/>
      <c r="P813" s="8"/>
      <c r="Q813" s="8"/>
      <c r="R813" s="8"/>
      <c r="S813" s="8"/>
      <c r="T813" s="8"/>
      <c r="U813" s="8"/>
      <c r="V813" s="8"/>
    </row>
    <row r="814" ht="24.0" customHeight="1">
      <c r="F814" s="8"/>
      <c r="G814" s="8"/>
      <c r="H814" s="8"/>
      <c r="I814" s="8"/>
      <c r="J814" s="8"/>
      <c r="K814" s="8"/>
      <c r="L814" s="8"/>
      <c r="M814" s="8"/>
      <c r="N814" s="8"/>
      <c r="O814" s="8"/>
      <c r="P814" s="8"/>
      <c r="Q814" s="8"/>
      <c r="R814" s="8"/>
      <c r="S814" s="8"/>
      <c r="T814" s="8"/>
      <c r="U814" s="8"/>
      <c r="V814" s="8"/>
    </row>
    <row r="815" ht="24.0" customHeight="1">
      <c r="F815" s="8"/>
      <c r="G815" s="8"/>
      <c r="H815" s="8"/>
      <c r="I815" s="8"/>
      <c r="J815" s="8"/>
      <c r="K815" s="8"/>
      <c r="L815" s="8"/>
      <c r="M815" s="8"/>
      <c r="N815" s="8"/>
      <c r="O815" s="8"/>
      <c r="P815" s="8"/>
      <c r="Q815" s="8"/>
      <c r="R815" s="8"/>
      <c r="S815" s="8"/>
      <c r="T815" s="8"/>
      <c r="U815" s="8"/>
      <c r="V815" s="8"/>
    </row>
    <row r="816" ht="24.0" customHeight="1">
      <c r="F816" s="8"/>
      <c r="G816" s="8"/>
      <c r="H816" s="8"/>
      <c r="I816" s="8"/>
      <c r="J816" s="8"/>
      <c r="K816" s="8"/>
      <c r="L816" s="8"/>
      <c r="M816" s="8"/>
      <c r="N816" s="8"/>
      <c r="O816" s="8"/>
      <c r="P816" s="8"/>
      <c r="Q816" s="8"/>
      <c r="R816" s="8"/>
      <c r="S816" s="8"/>
      <c r="T816" s="8"/>
      <c r="U816" s="8"/>
      <c r="V816" s="8"/>
    </row>
    <row r="817" ht="24.0" customHeight="1">
      <c r="F817" s="8"/>
      <c r="G817" s="8"/>
      <c r="H817" s="8"/>
      <c r="I817" s="8"/>
      <c r="J817" s="8"/>
      <c r="K817" s="8"/>
      <c r="L817" s="8"/>
      <c r="M817" s="8"/>
      <c r="N817" s="8"/>
      <c r="O817" s="8"/>
      <c r="P817" s="8"/>
      <c r="Q817" s="8"/>
      <c r="R817" s="8"/>
      <c r="S817" s="8"/>
      <c r="T817" s="8"/>
      <c r="U817" s="8"/>
      <c r="V817" s="8"/>
    </row>
    <row r="818" ht="24.0" customHeight="1">
      <c r="F818" s="8"/>
      <c r="G818" s="8"/>
      <c r="H818" s="8"/>
      <c r="I818" s="8"/>
      <c r="J818" s="8"/>
      <c r="K818" s="8"/>
      <c r="L818" s="8"/>
      <c r="M818" s="8"/>
      <c r="N818" s="8"/>
      <c r="O818" s="8"/>
      <c r="P818" s="8"/>
      <c r="Q818" s="8"/>
      <c r="R818" s="8"/>
      <c r="S818" s="8"/>
      <c r="T818" s="8"/>
      <c r="U818" s="8"/>
      <c r="V818" s="8"/>
    </row>
    <row r="819" ht="24.0" customHeight="1">
      <c r="F819" s="8"/>
      <c r="G819" s="8"/>
      <c r="H819" s="8"/>
      <c r="I819" s="8"/>
      <c r="J819" s="8"/>
      <c r="K819" s="8"/>
      <c r="L819" s="8"/>
      <c r="M819" s="8"/>
      <c r="N819" s="8"/>
      <c r="O819" s="8"/>
      <c r="P819" s="8"/>
      <c r="Q819" s="8"/>
      <c r="R819" s="8"/>
      <c r="S819" s="8"/>
      <c r="T819" s="8"/>
      <c r="U819" s="8"/>
      <c r="V819" s="8"/>
    </row>
    <row r="820" ht="24.0" customHeight="1">
      <c r="F820" s="8"/>
      <c r="G820" s="8"/>
      <c r="H820" s="8"/>
      <c r="I820" s="8"/>
      <c r="J820" s="8"/>
      <c r="K820" s="8"/>
      <c r="L820" s="8"/>
      <c r="M820" s="8"/>
      <c r="N820" s="8"/>
      <c r="O820" s="8"/>
      <c r="P820" s="8"/>
      <c r="Q820" s="8"/>
      <c r="R820" s="8"/>
      <c r="S820" s="8"/>
      <c r="T820" s="8"/>
      <c r="U820" s="8"/>
      <c r="V820" s="8"/>
    </row>
    <row r="821" ht="24.0" customHeight="1">
      <c r="F821" s="8"/>
      <c r="G821" s="8"/>
      <c r="H821" s="8"/>
      <c r="I821" s="8"/>
      <c r="J821" s="8"/>
      <c r="K821" s="8"/>
      <c r="L821" s="8"/>
      <c r="M821" s="8"/>
      <c r="N821" s="8"/>
      <c r="O821" s="8"/>
      <c r="P821" s="8"/>
      <c r="Q821" s="8"/>
      <c r="R821" s="8"/>
      <c r="S821" s="8"/>
      <c r="T821" s="8"/>
      <c r="U821" s="8"/>
      <c r="V821" s="8"/>
    </row>
    <row r="822" ht="24.0" customHeight="1">
      <c r="F822" s="8"/>
      <c r="G822" s="8"/>
      <c r="H822" s="8"/>
      <c r="I822" s="8"/>
      <c r="J822" s="8"/>
      <c r="K822" s="8"/>
      <c r="L822" s="8"/>
      <c r="M822" s="8"/>
      <c r="N822" s="8"/>
      <c r="O822" s="8"/>
      <c r="P822" s="8"/>
      <c r="Q822" s="8"/>
      <c r="R822" s="8"/>
      <c r="S822" s="8"/>
      <c r="T822" s="8"/>
      <c r="U822" s="8"/>
      <c r="V822" s="8"/>
    </row>
    <row r="823" ht="24.0" customHeight="1">
      <c r="F823" s="8"/>
      <c r="G823" s="8"/>
      <c r="H823" s="8"/>
      <c r="I823" s="8"/>
      <c r="J823" s="8"/>
      <c r="K823" s="8"/>
      <c r="L823" s="8"/>
      <c r="M823" s="8"/>
      <c r="N823" s="8"/>
      <c r="O823" s="8"/>
      <c r="P823" s="8"/>
      <c r="Q823" s="8"/>
      <c r="R823" s="8"/>
      <c r="S823" s="8"/>
      <c r="T823" s="8"/>
      <c r="U823" s="8"/>
      <c r="V823" s="8"/>
    </row>
    <row r="824" ht="24.0" customHeight="1">
      <c r="F824" s="8"/>
      <c r="G824" s="8"/>
      <c r="H824" s="8"/>
      <c r="I824" s="8"/>
      <c r="J824" s="8"/>
      <c r="K824" s="8"/>
      <c r="L824" s="8"/>
      <c r="M824" s="8"/>
      <c r="N824" s="8"/>
      <c r="O824" s="8"/>
      <c r="P824" s="8"/>
      <c r="Q824" s="8"/>
      <c r="R824" s="8"/>
      <c r="S824" s="8"/>
      <c r="T824" s="8"/>
      <c r="U824" s="8"/>
      <c r="V824" s="8"/>
    </row>
    <row r="825" ht="24.0" customHeight="1">
      <c r="F825" s="8"/>
      <c r="G825" s="8"/>
      <c r="H825" s="8"/>
      <c r="I825" s="8"/>
      <c r="J825" s="8"/>
      <c r="K825" s="8"/>
      <c r="L825" s="8"/>
      <c r="M825" s="8"/>
      <c r="N825" s="8"/>
      <c r="O825" s="8"/>
      <c r="P825" s="8"/>
      <c r="Q825" s="8"/>
      <c r="R825" s="8"/>
      <c r="S825" s="8"/>
      <c r="T825" s="8"/>
      <c r="U825" s="8"/>
      <c r="V825" s="8"/>
    </row>
    <row r="826" ht="24.0" customHeight="1">
      <c r="F826" s="8"/>
      <c r="G826" s="8"/>
      <c r="H826" s="8"/>
      <c r="I826" s="8"/>
      <c r="J826" s="8"/>
      <c r="K826" s="8"/>
      <c r="L826" s="8"/>
      <c r="M826" s="8"/>
      <c r="N826" s="8"/>
      <c r="O826" s="8"/>
      <c r="P826" s="8"/>
      <c r="Q826" s="8"/>
      <c r="R826" s="8"/>
      <c r="S826" s="8"/>
      <c r="T826" s="8"/>
      <c r="U826" s="8"/>
      <c r="V826" s="8"/>
    </row>
    <row r="827" ht="24.0" customHeight="1">
      <c r="F827" s="8"/>
      <c r="G827" s="8"/>
      <c r="H827" s="8"/>
      <c r="I827" s="8"/>
      <c r="J827" s="8"/>
      <c r="K827" s="8"/>
      <c r="L827" s="8"/>
      <c r="M827" s="8"/>
      <c r="N827" s="8"/>
      <c r="O827" s="8"/>
      <c r="P827" s="8"/>
      <c r="Q827" s="8"/>
      <c r="R827" s="8"/>
      <c r="S827" s="8"/>
      <c r="T827" s="8"/>
      <c r="U827" s="8"/>
      <c r="V827" s="8"/>
    </row>
    <row r="828" ht="24.0" customHeight="1">
      <c r="F828" s="8"/>
      <c r="G828" s="8"/>
      <c r="H828" s="8"/>
      <c r="I828" s="8"/>
      <c r="J828" s="8"/>
      <c r="K828" s="8"/>
      <c r="L828" s="8"/>
      <c r="M828" s="8"/>
      <c r="N828" s="8"/>
      <c r="O828" s="8"/>
      <c r="P828" s="8"/>
      <c r="Q828" s="8"/>
      <c r="R828" s="8"/>
      <c r="S828" s="8"/>
      <c r="T828" s="8"/>
      <c r="U828" s="8"/>
      <c r="V828" s="8"/>
    </row>
    <row r="829" ht="24.0" customHeight="1">
      <c r="F829" s="8"/>
      <c r="G829" s="8"/>
      <c r="H829" s="8"/>
      <c r="I829" s="8"/>
      <c r="J829" s="8"/>
      <c r="K829" s="8"/>
      <c r="L829" s="8"/>
      <c r="M829" s="8"/>
      <c r="N829" s="8"/>
      <c r="O829" s="8"/>
      <c r="P829" s="8"/>
      <c r="Q829" s="8"/>
      <c r="R829" s="8"/>
      <c r="S829" s="8"/>
      <c r="T829" s="8"/>
      <c r="U829" s="8"/>
      <c r="V829" s="8"/>
    </row>
    <row r="830" ht="24.0" customHeight="1">
      <c r="F830" s="8"/>
      <c r="G830" s="8"/>
      <c r="H830" s="8"/>
      <c r="I830" s="8"/>
      <c r="J830" s="8"/>
      <c r="K830" s="8"/>
      <c r="L830" s="8"/>
      <c r="M830" s="8"/>
      <c r="N830" s="8"/>
      <c r="O830" s="8"/>
      <c r="P830" s="8"/>
      <c r="Q830" s="8"/>
      <c r="R830" s="8"/>
      <c r="S830" s="8"/>
      <c r="T830" s="8"/>
      <c r="U830" s="8"/>
      <c r="V830" s="8"/>
    </row>
    <row r="831" ht="24.0" customHeight="1">
      <c r="F831" s="8"/>
      <c r="G831" s="8"/>
      <c r="H831" s="8"/>
      <c r="I831" s="8"/>
      <c r="J831" s="8"/>
      <c r="K831" s="8"/>
      <c r="L831" s="8"/>
      <c r="M831" s="8"/>
      <c r="N831" s="8"/>
      <c r="O831" s="8"/>
      <c r="P831" s="8"/>
      <c r="Q831" s="8"/>
      <c r="R831" s="8"/>
      <c r="S831" s="8"/>
      <c r="T831" s="8"/>
      <c r="U831" s="8"/>
      <c r="V831" s="8"/>
    </row>
    <row r="832" ht="24.0" customHeight="1">
      <c r="F832" s="8"/>
      <c r="G832" s="8"/>
      <c r="H832" s="8"/>
      <c r="I832" s="8"/>
      <c r="J832" s="8"/>
      <c r="K832" s="8"/>
      <c r="L832" s="8"/>
      <c r="M832" s="8"/>
      <c r="N832" s="8"/>
      <c r="O832" s="8"/>
      <c r="P832" s="8"/>
      <c r="Q832" s="8"/>
      <c r="R832" s="8"/>
      <c r="S832" s="8"/>
      <c r="T832" s="8"/>
      <c r="U832" s="8"/>
      <c r="V832" s="8"/>
    </row>
    <row r="833" ht="24.0" customHeight="1">
      <c r="F833" s="8"/>
      <c r="G833" s="8"/>
      <c r="H833" s="8"/>
      <c r="I833" s="8"/>
      <c r="J833" s="8"/>
      <c r="K833" s="8"/>
      <c r="L833" s="8"/>
      <c r="M833" s="8"/>
      <c r="N833" s="8"/>
      <c r="O833" s="8"/>
      <c r="P833" s="8"/>
      <c r="Q833" s="8"/>
      <c r="R833" s="8"/>
      <c r="S833" s="8"/>
      <c r="T833" s="8"/>
      <c r="U833" s="8"/>
      <c r="V833" s="8"/>
    </row>
    <row r="834" ht="24.0" customHeight="1">
      <c r="F834" s="8"/>
      <c r="G834" s="8"/>
      <c r="H834" s="8"/>
      <c r="I834" s="8"/>
      <c r="J834" s="8"/>
      <c r="K834" s="8"/>
      <c r="L834" s="8"/>
      <c r="M834" s="8"/>
      <c r="N834" s="8"/>
      <c r="O834" s="8"/>
      <c r="P834" s="8"/>
      <c r="Q834" s="8"/>
      <c r="R834" s="8"/>
      <c r="S834" s="8"/>
      <c r="T834" s="8"/>
      <c r="U834" s="8"/>
      <c r="V834" s="8"/>
    </row>
    <row r="835" ht="24.0" customHeight="1">
      <c r="F835" s="8"/>
      <c r="G835" s="8"/>
      <c r="H835" s="8"/>
      <c r="I835" s="8"/>
      <c r="J835" s="8"/>
      <c r="K835" s="8"/>
      <c r="L835" s="8"/>
      <c r="M835" s="8"/>
      <c r="N835" s="8"/>
      <c r="O835" s="8"/>
      <c r="P835" s="8"/>
      <c r="Q835" s="8"/>
      <c r="R835" s="8"/>
      <c r="S835" s="8"/>
      <c r="T835" s="8"/>
      <c r="U835" s="8"/>
      <c r="V835" s="8"/>
    </row>
    <row r="836" ht="24.0" customHeight="1">
      <c r="F836" s="8"/>
      <c r="G836" s="8"/>
      <c r="H836" s="8"/>
      <c r="I836" s="8"/>
      <c r="J836" s="8"/>
      <c r="K836" s="8"/>
      <c r="L836" s="8"/>
      <c r="M836" s="8"/>
      <c r="N836" s="8"/>
      <c r="O836" s="8"/>
      <c r="P836" s="8"/>
      <c r="Q836" s="8"/>
      <c r="R836" s="8"/>
      <c r="S836" s="8"/>
      <c r="T836" s="8"/>
      <c r="U836" s="8"/>
      <c r="V836" s="8"/>
    </row>
    <row r="837" ht="24.0" customHeight="1">
      <c r="F837" s="8"/>
      <c r="G837" s="8"/>
      <c r="H837" s="8"/>
      <c r="I837" s="8"/>
      <c r="J837" s="8"/>
      <c r="K837" s="8"/>
      <c r="L837" s="8"/>
      <c r="M837" s="8"/>
      <c r="N837" s="8"/>
      <c r="O837" s="8"/>
      <c r="P837" s="8"/>
      <c r="Q837" s="8"/>
      <c r="R837" s="8"/>
      <c r="S837" s="8"/>
      <c r="T837" s="8"/>
      <c r="U837" s="8"/>
      <c r="V837" s="8"/>
    </row>
    <row r="838" ht="24.0" customHeight="1">
      <c r="F838" s="8"/>
      <c r="G838" s="8"/>
      <c r="H838" s="8"/>
      <c r="I838" s="8"/>
      <c r="J838" s="8"/>
      <c r="K838" s="8"/>
      <c r="L838" s="8"/>
      <c r="M838" s="8"/>
      <c r="N838" s="8"/>
      <c r="O838" s="8"/>
      <c r="P838" s="8"/>
      <c r="Q838" s="8"/>
      <c r="R838" s="8"/>
      <c r="S838" s="8"/>
      <c r="T838" s="8"/>
      <c r="U838" s="8"/>
      <c r="V838" s="8"/>
    </row>
    <row r="839" ht="24.0" customHeight="1">
      <c r="F839" s="8"/>
      <c r="G839" s="8"/>
      <c r="H839" s="8"/>
      <c r="I839" s="8"/>
      <c r="J839" s="8"/>
      <c r="K839" s="8"/>
      <c r="L839" s="8"/>
      <c r="M839" s="8"/>
      <c r="N839" s="8"/>
      <c r="O839" s="8"/>
      <c r="P839" s="8"/>
      <c r="Q839" s="8"/>
      <c r="R839" s="8"/>
      <c r="S839" s="8"/>
      <c r="T839" s="8"/>
      <c r="U839" s="8"/>
      <c r="V839" s="8"/>
    </row>
    <row r="840" ht="24.0" customHeight="1">
      <c r="F840" s="8"/>
      <c r="G840" s="8"/>
      <c r="H840" s="8"/>
      <c r="I840" s="8"/>
      <c r="J840" s="8"/>
      <c r="K840" s="8"/>
      <c r="L840" s="8"/>
      <c r="M840" s="8"/>
      <c r="N840" s="8"/>
      <c r="O840" s="8"/>
      <c r="P840" s="8"/>
      <c r="Q840" s="8"/>
      <c r="R840" s="8"/>
      <c r="S840" s="8"/>
      <c r="T840" s="8"/>
      <c r="U840" s="8"/>
      <c r="V840" s="8"/>
    </row>
    <row r="841" ht="24.0" customHeight="1">
      <c r="F841" s="8"/>
      <c r="G841" s="8"/>
      <c r="H841" s="8"/>
      <c r="I841" s="8"/>
      <c r="J841" s="8"/>
      <c r="K841" s="8"/>
      <c r="L841" s="8"/>
      <c r="M841" s="8"/>
      <c r="N841" s="8"/>
      <c r="O841" s="8"/>
      <c r="P841" s="8"/>
      <c r="Q841" s="8"/>
      <c r="R841" s="8"/>
      <c r="S841" s="8"/>
      <c r="T841" s="8"/>
      <c r="U841" s="8"/>
      <c r="V841" s="8"/>
    </row>
    <row r="842" ht="24.0" customHeight="1">
      <c r="F842" s="8"/>
      <c r="G842" s="8"/>
      <c r="H842" s="8"/>
      <c r="I842" s="8"/>
      <c r="J842" s="8"/>
      <c r="K842" s="8"/>
      <c r="L842" s="8"/>
      <c r="M842" s="8"/>
      <c r="N842" s="8"/>
      <c r="O842" s="8"/>
      <c r="P842" s="8"/>
      <c r="Q842" s="8"/>
      <c r="R842" s="8"/>
      <c r="S842" s="8"/>
      <c r="T842" s="8"/>
      <c r="U842" s="8"/>
      <c r="V842" s="8"/>
    </row>
    <row r="843" ht="24.0" customHeight="1">
      <c r="F843" s="8"/>
      <c r="G843" s="8"/>
      <c r="H843" s="8"/>
      <c r="I843" s="8"/>
      <c r="J843" s="8"/>
      <c r="K843" s="8"/>
      <c r="L843" s="8"/>
      <c r="M843" s="8"/>
      <c r="N843" s="8"/>
      <c r="O843" s="8"/>
      <c r="P843" s="8"/>
      <c r="Q843" s="8"/>
      <c r="R843" s="8"/>
      <c r="S843" s="8"/>
      <c r="T843" s="8"/>
      <c r="U843" s="8"/>
      <c r="V843" s="8"/>
    </row>
    <row r="844" ht="24.0" customHeight="1">
      <c r="F844" s="8"/>
      <c r="G844" s="8"/>
      <c r="H844" s="8"/>
      <c r="I844" s="8"/>
      <c r="J844" s="8"/>
      <c r="K844" s="8"/>
      <c r="L844" s="8"/>
      <c r="M844" s="8"/>
      <c r="N844" s="8"/>
      <c r="O844" s="8"/>
      <c r="P844" s="8"/>
      <c r="Q844" s="8"/>
      <c r="R844" s="8"/>
      <c r="S844" s="8"/>
      <c r="T844" s="8"/>
      <c r="U844" s="8"/>
      <c r="V844" s="8"/>
    </row>
    <row r="845" ht="24.0" customHeight="1">
      <c r="F845" s="8"/>
      <c r="G845" s="8"/>
      <c r="H845" s="8"/>
      <c r="I845" s="8"/>
      <c r="J845" s="8"/>
      <c r="K845" s="8"/>
      <c r="L845" s="8"/>
      <c r="M845" s="8"/>
      <c r="N845" s="8"/>
      <c r="O845" s="8"/>
      <c r="P845" s="8"/>
      <c r="Q845" s="8"/>
      <c r="R845" s="8"/>
      <c r="S845" s="8"/>
      <c r="T845" s="8"/>
      <c r="U845" s="8"/>
      <c r="V845" s="8"/>
    </row>
    <row r="846" ht="24.0" customHeight="1">
      <c r="F846" s="8"/>
      <c r="G846" s="8"/>
      <c r="H846" s="8"/>
      <c r="I846" s="8"/>
      <c r="J846" s="8"/>
      <c r="K846" s="8"/>
      <c r="L846" s="8"/>
      <c r="M846" s="8"/>
      <c r="N846" s="8"/>
      <c r="O846" s="8"/>
      <c r="P846" s="8"/>
      <c r="Q846" s="8"/>
      <c r="R846" s="8"/>
      <c r="S846" s="8"/>
      <c r="T846" s="8"/>
      <c r="U846" s="8"/>
      <c r="V846" s="8"/>
    </row>
    <row r="847" ht="24.0" customHeight="1">
      <c r="F847" s="8"/>
      <c r="G847" s="8"/>
      <c r="H847" s="8"/>
      <c r="I847" s="8"/>
      <c r="J847" s="8"/>
      <c r="K847" s="8"/>
      <c r="L847" s="8"/>
      <c r="M847" s="8"/>
      <c r="N847" s="8"/>
      <c r="O847" s="8"/>
      <c r="P847" s="8"/>
      <c r="Q847" s="8"/>
      <c r="R847" s="8"/>
      <c r="S847" s="8"/>
      <c r="T847" s="8"/>
      <c r="U847" s="8"/>
      <c r="V847" s="8"/>
    </row>
    <row r="848" ht="24.0" customHeight="1">
      <c r="F848" s="8"/>
      <c r="G848" s="8"/>
      <c r="H848" s="8"/>
      <c r="I848" s="8"/>
      <c r="J848" s="8"/>
      <c r="K848" s="8"/>
      <c r="L848" s="8"/>
      <c r="M848" s="8"/>
      <c r="N848" s="8"/>
      <c r="O848" s="8"/>
      <c r="P848" s="8"/>
      <c r="Q848" s="8"/>
      <c r="R848" s="8"/>
      <c r="S848" s="8"/>
      <c r="T848" s="8"/>
      <c r="U848" s="8"/>
      <c r="V848" s="8"/>
    </row>
    <row r="849" ht="24.0" customHeight="1">
      <c r="F849" s="8"/>
      <c r="G849" s="8"/>
      <c r="H849" s="8"/>
      <c r="I849" s="8"/>
      <c r="J849" s="8"/>
      <c r="K849" s="8"/>
      <c r="L849" s="8"/>
      <c r="M849" s="8"/>
      <c r="N849" s="8"/>
      <c r="O849" s="8"/>
      <c r="P849" s="8"/>
      <c r="Q849" s="8"/>
      <c r="R849" s="8"/>
      <c r="S849" s="8"/>
      <c r="T849" s="8"/>
      <c r="U849" s="8"/>
      <c r="V849" s="8"/>
    </row>
    <row r="850" ht="24.0" customHeight="1">
      <c r="F850" s="8"/>
      <c r="G850" s="8"/>
      <c r="H850" s="8"/>
      <c r="I850" s="8"/>
      <c r="J850" s="8"/>
      <c r="K850" s="8"/>
      <c r="L850" s="8"/>
      <c r="M850" s="8"/>
      <c r="N850" s="8"/>
      <c r="O850" s="8"/>
      <c r="P850" s="8"/>
      <c r="Q850" s="8"/>
      <c r="R850" s="8"/>
      <c r="S850" s="8"/>
      <c r="T850" s="8"/>
      <c r="U850" s="8"/>
      <c r="V850" s="8"/>
    </row>
    <row r="851" ht="24.0" customHeight="1">
      <c r="F851" s="8"/>
      <c r="G851" s="8"/>
      <c r="H851" s="8"/>
      <c r="I851" s="8"/>
      <c r="J851" s="8"/>
      <c r="K851" s="8"/>
      <c r="L851" s="8"/>
      <c r="M851" s="8"/>
      <c r="N851" s="8"/>
      <c r="O851" s="8"/>
      <c r="P851" s="8"/>
      <c r="Q851" s="8"/>
      <c r="R851" s="8"/>
      <c r="S851" s="8"/>
      <c r="T851" s="8"/>
      <c r="U851" s="8"/>
      <c r="V851" s="8"/>
    </row>
    <row r="852" ht="24.0" customHeight="1">
      <c r="F852" s="8"/>
      <c r="G852" s="8"/>
      <c r="H852" s="8"/>
      <c r="I852" s="8"/>
      <c r="J852" s="8"/>
      <c r="K852" s="8"/>
      <c r="L852" s="8"/>
      <c r="M852" s="8"/>
      <c r="N852" s="8"/>
      <c r="O852" s="8"/>
      <c r="P852" s="8"/>
      <c r="Q852" s="8"/>
      <c r="R852" s="8"/>
      <c r="S852" s="8"/>
      <c r="T852" s="8"/>
      <c r="U852" s="8"/>
      <c r="V852" s="8"/>
    </row>
    <row r="853" ht="24.0" customHeight="1">
      <c r="F853" s="8"/>
      <c r="G853" s="8"/>
      <c r="H853" s="8"/>
      <c r="I853" s="8"/>
      <c r="J853" s="8"/>
      <c r="K853" s="8"/>
      <c r="L853" s="8"/>
      <c r="M853" s="8"/>
      <c r="N853" s="8"/>
      <c r="O853" s="8"/>
      <c r="P853" s="8"/>
      <c r="Q853" s="8"/>
      <c r="R853" s="8"/>
      <c r="S853" s="8"/>
      <c r="T853" s="8"/>
      <c r="U853" s="8"/>
      <c r="V853" s="8"/>
    </row>
    <row r="854" ht="24.0" customHeight="1">
      <c r="F854" s="8"/>
      <c r="G854" s="8"/>
      <c r="H854" s="8"/>
      <c r="I854" s="8"/>
      <c r="J854" s="8"/>
      <c r="K854" s="8"/>
      <c r="L854" s="8"/>
      <c r="M854" s="8"/>
      <c r="N854" s="8"/>
      <c r="O854" s="8"/>
      <c r="P854" s="8"/>
      <c r="Q854" s="8"/>
      <c r="R854" s="8"/>
      <c r="S854" s="8"/>
      <c r="T854" s="8"/>
      <c r="U854" s="8"/>
      <c r="V854" s="8"/>
    </row>
    <row r="855" ht="24.0" customHeight="1">
      <c r="F855" s="8"/>
      <c r="G855" s="8"/>
      <c r="H855" s="8"/>
      <c r="I855" s="8"/>
      <c r="J855" s="8"/>
      <c r="K855" s="8"/>
      <c r="L855" s="8"/>
      <c r="M855" s="8"/>
      <c r="N855" s="8"/>
      <c r="O855" s="8"/>
      <c r="P855" s="8"/>
      <c r="Q855" s="8"/>
      <c r="R855" s="8"/>
      <c r="S855" s="8"/>
      <c r="T855" s="8"/>
      <c r="U855" s="8"/>
      <c r="V855" s="8"/>
    </row>
    <row r="856" ht="24.0" customHeight="1">
      <c r="F856" s="8"/>
      <c r="G856" s="8"/>
      <c r="H856" s="8"/>
      <c r="I856" s="8"/>
      <c r="J856" s="8"/>
      <c r="K856" s="8"/>
      <c r="L856" s="8"/>
      <c r="M856" s="8"/>
      <c r="N856" s="8"/>
      <c r="O856" s="8"/>
      <c r="P856" s="8"/>
      <c r="Q856" s="8"/>
      <c r="R856" s="8"/>
      <c r="S856" s="8"/>
      <c r="T856" s="8"/>
      <c r="U856" s="8"/>
      <c r="V856" s="8"/>
    </row>
    <row r="857" ht="24.0" customHeight="1">
      <c r="F857" s="8"/>
      <c r="G857" s="8"/>
      <c r="H857" s="8"/>
      <c r="I857" s="8"/>
      <c r="J857" s="8"/>
      <c r="K857" s="8"/>
      <c r="L857" s="8"/>
      <c r="M857" s="8"/>
      <c r="N857" s="8"/>
      <c r="O857" s="8"/>
      <c r="P857" s="8"/>
      <c r="Q857" s="8"/>
      <c r="R857" s="8"/>
      <c r="S857" s="8"/>
      <c r="T857" s="8"/>
      <c r="U857" s="8"/>
      <c r="V857" s="8"/>
    </row>
    <row r="858" ht="24.0" customHeight="1">
      <c r="F858" s="8"/>
      <c r="G858" s="8"/>
      <c r="H858" s="8"/>
      <c r="I858" s="8"/>
      <c r="J858" s="8"/>
      <c r="K858" s="8"/>
      <c r="L858" s="8"/>
      <c r="M858" s="8"/>
      <c r="N858" s="8"/>
      <c r="O858" s="8"/>
      <c r="P858" s="8"/>
      <c r="Q858" s="8"/>
      <c r="R858" s="8"/>
      <c r="S858" s="8"/>
      <c r="T858" s="8"/>
      <c r="U858" s="8"/>
      <c r="V858" s="8"/>
    </row>
    <row r="859" ht="24.0" customHeight="1">
      <c r="F859" s="8"/>
      <c r="G859" s="8"/>
      <c r="H859" s="8"/>
      <c r="I859" s="8"/>
      <c r="J859" s="8"/>
      <c r="K859" s="8"/>
      <c r="L859" s="8"/>
      <c r="M859" s="8"/>
      <c r="N859" s="8"/>
      <c r="O859" s="8"/>
      <c r="P859" s="8"/>
      <c r="Q859" s="8"/>
      <c r="R859" s="8"/>
      <c r="S859" s="8"/>
      <c r="T859" s="8"/>
      <c r="U859" s="8"/>
      <c r="V859" s="8"/>
    </row>
    <row r="860" ht="24.0" customHeight="1">
      <c r="F860" s="8"/>
      <c r="G860" s="8"/>
      <c r="H860" s="8"/>
      <c r="I860" s="8"/>
      <c r="J860" s="8"/>
      <c r="K860" s="8"/>
      <c r="L860" s="8"/>
      <c r="M860" s="8"/>
      <c r="N860" s="8"/>
      <c r="O860" s="8"/>
      <c r="P860" s="8"/>
      <c r="Q860" s="8"/>
      <c r="R860" s="8"/>
      <c r="S860" s="8"/>
      <c r="T860" s="8"/>
      <c r="U860" s="8"/>
      <c r="V860" s="8"/>
    </row>
    <row r="861" ht="24.0" customHeight="1">
      <c r="F861" s="8"/>
      <c r="G861" s="8"/>
      <c r="H861" s="8"/>
      <c r="I861" s="8"/>
      <c r="J861" s="8"/>
      <c r="K861" s="8"/>
      <c r="L861" s="8"/>
      <c r="M861" s="8"/>
      <c r="N861" s="8"/>
      <c r="O861" s="8"/>
      <c r="P861" s="8"/>
      <c r="Q861" s="8"/>
      <c r="R861" s="8"/>
      <c r="S861" s="8"/>
      <c r="T861" s="8"/>
      <c r="U861" s="8"/>
      <c r="V861" s="8"/>
    </row>
    <row r="862" ht="24.0" customHeight="1">
      <c r="F862" s="8"/>
      <c r="G862" s="8"/>
      <c r="H862" s="8"/>
      <c r="I862" s="8"/>
      <c r="J862" s="8"/>
      <c r="K862" s="8"/>
      <c r="L862" s="8"/>
      <c r="M862" s="8"/>
      <c r="N862" s="8"/>
      <c r="O862" s="8"/>
      <c r="P862" s="8"/>
      <c r="Q862" s="8"/>
      <c r="R862" s="8"/>
      <c r="S862" s="8"/>
      <c r="T862" s="8"/>
      <c r="U862" s="8"/>
      <c r="V862" s="8"/>
    </row>
    <row r="863" ht="24.0" customHeight="1">
      <c r="F863" s="8"/>
      <c r="G863" s="8"/>
      <c r="H863" s="8"/>
      <c r="I863" s="8"/>
      <c r="J863" s="8"/>
      <c r="K863" s="8"/>
      <c r="L863" s="8"/>
      <c r="M863" s="8"/>
      <c r="N863" s="8"/>
      <c r="O863" s="8"/>
      <c r="P863" s="8"/>
      <c r="Q863" s="8"/>
      <c r="R863" s="8"/>
      <c r="S863" s="8"/>
      <c r="T863" s="8"/>
      <c r="U863" s="8"/>
      <c r="V863" s="8"/>
    </row>
    <row r="864" ht="24.0" customHeight="1">
      <c r="F864" s="8"/>
      <c r="G864" s="8"/>
      <c r="H864" s="8"/>
      <c r="I864" s="8"/>
      <c r="J864" s="8"/>
      <c r="K864" s="8"/>
      <c r="L864" s="8"/>
      <c r="M864" s="8"/>
      <c r="N864" s="8"/>
      <c r="O864" s="8"/>
      <c r="P864" s="8"/>
      <c r="Q864" s="8"/>
      <c r="R864" s="8"/>
      <c r="S864" s="8"/>
      <c r="T864" s="8"/>
      <c r="U864" s="8"/>
      <c r="V864" s="8"/>
    </row>
    <row r="865" ht="24.0" customHeight="1">
      <c r="F865" s="8"/>
      <c r="G865" s="8"/>
      <c r="H865" s="8"/>
      <c r="I865" s="8"/>
      <c r="J865" s="8"/>
      <c r="K865" s="8"/>
      <c r="L865" s="8"/>
      <c r="M865" s="8"/>
      <c r="N865" s="8"/>
      <c r="O865" s="8"/>
      <c r="P865" s="8"/>
      <c r="Q865" s="8"/>
      <c r="R865" s="8"/>
      <c r="S865" s="8"/>
      <c r="T865" s="8"/>
      <c r="U865" s="8"/>
      <c r="V865" s="8"/>
    </row>
    <row r="866" ht="24.0" customHeight="1">
      <c r="F866" s="8"/>
      <c r="G866" s="8"/>
      <c r="H866" s="8"/>
      <c r="I866" s="8"/>
      <c r="J866" s="8"/>
      <c r="K866" s="8"/>
      <c r="L866" s="8"/>
      <c r="M866" s="8"/>
      <c r="N866" s="8"/>
      <c r="O866" s="8"/>
      <c r="P866" s="8"/>
      <c r="Q866" s="8"/>
      <c r="R866" s="8"/>
      <c r="S866" s="8"/>
      <c r="T866" s="8"/>
      <c r="U866" s="8"/>
      <c r="V866" s="8"/>
    </row>
    <row r="867" ht="24.0" customHeight="1">
      <c r="F867" s="8"/>
      <c r="G867" s="8"/>
      <c r="H867" s="8"/>
      <c r="I867" s="8"/>
      <c r="J867" s="8"/>
      <c r="K867" s="8"/>
      <c r="L867" s="8"/>
      <c r="M867" s="8"/>
      <c r="N867" s="8"/>
      <c r="O867" s="8"/>
      <c r="P867" s="8"/>
      <c r="Q867" s="8"/>
      <c r="R867" s="8"/>
      <c r="S867" s="8"/>
      <c r="T867" s="8"/>
      <c r="U867" s="8"/>
      <c r="V867" s="8"/>
    </row>
    <row r="868" ht="24.0" customHeight="1">
      <c r="F868" s="8"/>
      <c r="G868" s="8"/>
      <c r="H868" s="8"/>
      <c r="I868" s="8"/>
      <c r="J868" s="8"/>
      <c r="K868" s="8"/>
      <c r="L868" s="8"/>
      <c r="M868" s="8"/>
      <c r="N868" s="8"/>
      <c r="O868" s="8"/>
      <c r="P868" s="8"/>
      <c r="Q868" s="8"/>
      <c r="R868" s="8"/>
      <c r="S868" s="8"/>
      <c r="T868" s="8"/>
      <c r="U868" s="8"/>
      <c r="V868" s="8"/>
    </row>
    <row r="869" ht="24.0" customHeight="1">
      <c r="F869" s="8"/>
      <c r="G869" s="8"/>
      <c r="H869" s="8"/>
      <c r="I869" s="8"/>
      <c r="J869" s="8"/>
      <c r="K869" s="8"/>
      <c r="L869" s="8"/>
      <c r="M869" s="8"/>
      <c r="N869" s="8"/>
      <c r="O869" s="8"/>
      <c r="P869" s="8"/>
      <c r="Q869" s="8"/>
      <c r="R869" s="8"/>
      <c r="S869" s="8"/>
      <c r="T869" s="8"/>
      <c r="U869" s="8"/>
      <c r="V869" s="8"/>
    </row>
    <row r="870" ht="24.0" customHeight="1">
      <c r="F870" s="8"/>
      <c r="G870" s="8"/>
      <c r="H870" s="8"/>
      <c r="I870" s="8"/>
      <c r="J870" s="8"/>
      <c r="K870" s="8"/>
      <c r="L870" s="8"/>
      <c r="M870" s="8"/>
      <c r="N870" s="8"/>
      <c r="O870" s="8"/>
      <c r="P870" s="8"/>
      <c r="Q870" s="8"/>
      <c r="R870" s="8"/>
      <c r="S870" s="8"/>
      <c r="T870" s="8"/>
      <c r="U870" s="8"/>
      <c r="V870" s="8"/>
    </row>
    <row r="871" ht="24.0" customHeight="1">
      <c r="F871" s="8"/>
      <c r="G871" s="8"/>
      <c r="H871" s="8"/>
      <c r="I871" s="8"/>
      <c r="J871" s="8"/>
      <c r="K871" s="8"/>
      <c r="L871" s="8"/>
      <c r="M871" s="8"/>
      <c r="N871" s="8"/>
      <c r="O871" s="8"/>
      <c r="P871" s="8"/>
      <c r="Q871" s="8"/>
      <c r="R871" s="8"/>
      <c r="S871" s="8"/>
      <c r="T871" s="8"/>
      <c r="U871" s="8"/>
      <c r="V871" s="8"/>
    </row>
    <row r="872" ht="24.0" customHeight="1">
      <c r="F872" s="8"/>
      <c r="G872" s="8"/>
      <c r="H872" s="8"/>
      <c r="I872" s="8"/>
      <c r="J872" s="8"/>
      <c r="K872" s="8"/>
      <c r="L872" s="8"/>
      <c r="M872" s="8"/>
      <c r="N872" s="8"/>
      <c r="O872" s="8"/>
      <c r="P872" s="8"/>
      <c r="Q872" s="8"/>
      <c r="R872" s="8"/>
      <c r="S872" s="8"/>
      <c r="T872" s="8"/>
      <c r="U872" s="8"/>
      <c r="V872" s="8"/>
    </row>
    <row r="873" ht="24.0" customHeight="1">
      <c r="F873" s="8"/>
      <c r="G873" s="8"/>
      <c r="H873" s="8"/>
      <c r="I873" s="8"/>
      <c r="J873" s="8"/>
      <c r="K873" s="8"/>
      <c r="L873" s="8"/>
      <c r="M873" s="8"/>
      <c r="N873" s="8"/>
      <c r="O873" s="8"/>
      <c r="P873" s="8"/>
      <c r="Q873" s="8"/>
      <c r="R873" s="8"/>
      <c r="S873" s="8"/>
      <c r="T873" s="8"/>
      <c r="U873" s="8"/>
      <c r="V873" s="8"/>
    </row>
    <row r="874" ht="24.0" customHeight="1">
      <c r="F874" s="8"/>
      <c r="G874" s="8"/>
      <c r="H874" s="8"/>
      <c r="I874" s="8"/>
      <c r="J874" s="8"/>
      <c r="K874" s="8"/>
      <c r="L874" s="8"/>
      <c r="M874" s="8"/>
      <c r="N874" s="8"/>
      <c r="O874" s="8"/>
      <c r="P874" s="8"/>
      <c r="Q874" s="8"/>
      <c r="R874" s="8"/>
      <c r="S874" s="8"/>
      <c r="T874" s="8"/>
      <c r="U874" s="8"/>
      <c r="V874" s="8"/>
    </row>
    <row r="875" ht="24.0" customHeight="1">
      <c r="F875" s="8"/>
      <c r="G875" s="8"/>
      <c r="H875" s="8"/>
      <c r="I875" s="8"/>
      <c r="J875" s="8"/>
      <c r="K875" s="8"/>
      <c r="L875" s="8"/>
      <c r="M875" s="8"/>
      <c r="N875" s="8"/>
      <c r="O875" s="8"/>
      <c r="P875" s="8"/>
      <c r="Q875" s="8"/>
      <c r="R875" s="8"/>
      <c r="S875" s="8"/>
      <c r="T875" s="8"/>
      <c r="U875" s="8"/>
      <c r="V875" s="8"/>
    </row>
    <row r="876" ht="24.0" customHeight="1">
      <c r="F876" s="8"/>
      <c r="G876" s="8"/>
      <c r="H876" s="8"/>
      <c r="I876" s="8"/>
      <c r="J876" s="8"/>
      <c r="K876" s="8"/>
      <c r="L876" s="8"/>
      <c r="M876" s="8"/>
      <c r="N876" s="8"/>
      <c r="O876" s="8"/>
      <c r="P876" s="8"/>
      <c r="Q876" s="8"/>
      <c r="R876" s="8"/>
      <c r="S876" s="8"/>
      <c r="T876" s="8"/>
      <c r="U876" s="8"/>
      <c r="V876" s="8"/>
    </row>
    <row r="877" ht="24.0" customHeight="1">
      <c r="F877" s="8"/>
      <c r="G877" s="8"/>
      <c r="H877" s="8"/>
      <c r="I877" s="8"/>
      <c r="J877" s="8"/>
      <c r="K877" s="8"/>
      <c r="L877" s="8"/>
      <c r="M877" s="8"/>
      <c r="N877" s="8"/>
      <c r="O877" s="8"/>
      <c r="P877" s="8"/>
      <c r="Q877" s="8"/>
      <c r="R877" s="8"/>
      <c r="S877" s="8"/>
      <c r="T877" s="8"/>
      <c r="U877" s="8"/>
      <c r="V877" s="8"/>
    </row>
    <row r="878" ht="24.0" customHeight="1">
      <c r="F878" s="8"/>
      <c r="G878" s="8"/>
      <c r="H878" s="8"/>
      <c r="I878" s="8"/>
      <c r="J878" s="8"/>
      <c r="K878" s="8"/>
      <c r="L878" s="8"/>
      <c r="M878" s="8"/>
      <c r="N878" s="8"/>
      <c r="O878" s="8"/>
      <c r="P878" s="8"/>
      <c r="Q878" s="8"/>
      <c r="R878" s="8"/>
      <c r="S878" s="8"/>
      <c r="T878" s="8"/>
      <c r="U878" s="8"/>
      <c r="V878" s="8"/>
    </row>
    <row r="879" ht="24.0" customHeight="1">
      <c r="F879" s="8"/>
      <c r="G879" s="8"/>
      <c r="H879" s="8"/>
      <c r="I879" s="8"/>
      <c r="J879" s="8"/>
      <c r="K879" s="8"/>
      <c r="L879" s="8"/>
      <c r="M879" s="8"/>
      <c r="N879" s="8"/>
      <c r="O879" s="8"/>
      <c r="P879" s="8"/>
      <c r="Q879" s="8"/>
      <c r="R879" s="8"/>
      <c r="S879" s="8"/>
      <c r="T879" s="8"/>
      <c r="U879" s="8"/>
      <c r="V879" s="8"/>
    </row>
    <row r="880" ht="24.0" customHeight="1">
      <c r="F880" s="8"/>
      <c r="G880" s="8"/>
      <c r="H880" s="8"/>
      <c r="I880" s="8"/>
      <c r="J880" s="8"/>
      <c r="K880" s="8"/>
      <c r="L880" s="8"/>
      <c r="M880" s="8"/>
      <c r="N880" s="8"/>
      <c r="O880" s="8"/>
      <c r="P880" s="8"/>
      <c r="Q880" s="8"/>
      <c r="R880" s="8"/>
      <c r="S880" s="8"/>
      <c r="T880" s="8"/>
      <c r="U880" s="8"/>
      <c r="V880" s="8"/>
    </row>
    <row r="881" ht="24.0" customHeight="1">
      <c r="F881" s="8"/>
      <c r="G881" s="8"/>
      <c r="H881" s="8"/>
      <c r="I881" s="8"/>
      <c r="J881" s="8"/>
      <c r="K881" s="8"/>
      <c r="L881" s="8"/>
      <c r="M881" s="8"/>
      <c r="N881" s="8"/>
      <c r="O881" s="8"/>
      <c r="P881" s="8"/>
      <c r="Q881" s="8"/>
      <c r="R881" s="8"/>
      <c r="S881" s="8"/>
      <c r="T881" s="8"/>
      <c r="U881" s="8"/>
      <c r="V881" s="8"/>
    </row>
    <row r="882" ht="24.0" customHeight="1">
      <c r="F882" s="8"/>
      <c r="G882" s="8"/>
      <c r="H882" s="8"/>
      <c r="I882" s="8"/>
      <c r="J882" s="8"/>
      <c r="K882" s="8"/>
      <c r="L882" s="8"/>
      <c r="M882" s="8"/>
      <c r="N882" s="8"/>
      <c r="O882" s="8"/>
      <c r="P882" s="8"/>
      <c r="Q882" s="8"/>
      <c r="R882" s="8"/>
      <c r="S882" s="8"/>
      <c r="T882" s="8"/>
      <c r="U882" s="8"/>
      <c r="V882" s="8"/>
    </row>
    <row r="883" ht="24.0" customHeight="1">
      <c r="F883" s="8"/>
      <c r="G883" s="8"/>
      <c r="H883" s="8"/>
      <c r="I883" s="8"/>
      <c r="J883" s="8"/>
      <c r="K883" s="8"/>
      <c r="L883" s="8"/>
      <c r="M883" s="8"/>
      <c r="N883" s="8"/>
      <c r="O883" s="8"/>
      <c r="P883" s="8"/>
      <c r="Q883" s="8"/>
      <c r="R883" s="8"/>
      <c r="S883" s="8"/>
      <c r="T883" s="8"/>
      <c r="U883" s="8"/>
      <c r="V883" s="8"/>
    </row>
    <row r="884" ht="24.0" customHeight="1">
      <c r="F884" s="8"/>
      <c r="G884" s="8"/>
      <c r="H884" s="8"/>
      <c r="I884" s="8"/>
      <c r="J884" s="8"/>
      <c r="K884" s="8"/>
      <c r="L884" s="8"/>
      <c r="M884" s="8"/>
      <c r="N884" s="8"/>
      <c r="O884" s="8"/>
      <c r="P884" s="8"/>
      <c r="Q884" s="8"/>
      <c r="R884" s="8"/>
      <c r="S884" s="8"/>
      <c r="T884" s="8"/>
      <c r="U884" s="8"/>
      <c r="V884" s="8"/>
    </row>
    <row r="885" ht="24.0" customHeight="1">
      <c r="F885" s="8"/>
      <c r="G885" s="8"/>
      <c r="H885" s="8"/>
      <c r="I885" s="8"/>
      <c r="J885" s="8"/>
      <c r="K885" s="8"/>
      <c r="L885" s="8"/>
      <c r="M885" s="8"/>
      <c r="N885" s="8"/>
      <c r="O885" s="8"/>
      <c r="P885" s="8"/>
      <c r="Q885" s="8"/>
      <c r="R885" s="8"/>
      <c r="S885" s="8"/>
      <c r="T885" s="8"/>
      <c r="U885" s="8"/>
      <c r="V885" s="8"/>
    </row>
    <row r="886" ht="24.0" customHeight="1">
      <c r="F886" s="8"/>
      <c r="G886" s="8"/>
      <c r="H886" s="8"/>
      <c r="I886" s="8"/>
      <c r="J886" s="8"/>
      <c r="K886" s="8"/>
      <c r="L886" s="8"/>
      <c r="M886" s="8"/>
      <c r="N886" s="8"/>
      <c r="O886" s="8"/>
      <c r="P886" s="8"/>
      <c r="Q886" s="8"/>
      <c r="R886" s="8"/>
      <c r="S886" s="8"/>
      <c r="T886" s="8"/>
      <c r="U886" s="8"/>
      <c r="V886" s="8"/>
    </row>
    <row r="887" ht="24.0" customHeight="1">
      <c r="F887" s="8"/>
      <c r="G887" s="8"/>
      <c r="H887" s="8"/>
      <c r="I887" s="8"/>
      <c r="J887" s="8"/>
      <c r="K887" s="8"/>
      <c r="L887" s="8"/>
      <c r="M887" s="8"/>
      <c r="N887" s="8"/>
      <c r="O887" s="8"/>
      <c r="P887" s="8"/>
      <c r="Q887" s="8"/>
      <c r="R887" s="8"/>
      <c r="S887" s="8"/>
      <c r="T887" s="8"/>
      <c r="U887" s="8"/>
      <c r="V887" s="8"/>
    </row>
    <row r="888" ht="24.0" customHeight="1">
      <c r="F888" s="8"/>
      <c r="G888" s="8"/>
      <c r="H888" s="8"/>
      <c r="I888" s="8"/>
      <c r="J888" s="8"/>
      <c r="K888" s="8"/>
      <c r="L888" s="8"/>
      <c r="M888" s="8"/>
      <c r="N888" s="8"/>
      <c r="O888" s="8"/>
      <c r="P888" s="8"/>
      <c r="Q888" s="8"/>
      <c r="R888" s="8"/>
      <c r="S888" s="8"/>
      <c r="T888" s="8"/>
      <c r="U888" s="8"/>
      <c r="V888" s="8"/>
    </row>
    <row r="889" ht="24.0" customHeight="1">
      <c r="F889" s="8"/>
      <c r="G889" s="8"/>
      <c r="H889" s="8"/>
      <c r="I889" s="8"/>
      <c r="J889" s="8"/>
      <c r="K889" s="8"/>
      <c r="L889" s="8"/>
      <c r="M889" s="8"/>
      <c r="N889" s="8"/>
      <c r="O889" s="8"/>
      <c r="P889" s="8"/>
      <c r="Q889" s="8"/>
      <c r="R889" s="8"/>
      <c r="S889" s="8"/>
      <c r="T889" s="8"/>
      <c r="U889" s="8"/>
      <c r="V889" s="8"/>
    </row>
    <row r="890" ht="24.0" customHeight="1">
      <c r="F890" s="8"/>
      <c r="G890" s="8"/>
      <c r="H890" s="8"/>
      <c r="I890" s="8"/>
      <c r="J890" s="8"/>
      <c r="K890" s="8"/>
      <c r="L890" s="8"/>
      <c r="M890" s="8"/>
      <c r="N890" s="8"/>
      <c r="O890" s="8"/>
      <c r="P890" s="8"/>
      <c r="Q890" s="8"/>
      <c r="R890" s="8"/>
      <c r="S890" s="8"/>
      <c r="T890" s="8"/>
      <c r="U890" s="8"/>
      <c r="V890" s="8"/>
    </row>
    <row r="891" ht="24.0" customHeight="1">
      <c r="F891" s="8"/>
      <c r="G891" s="8"/>
      <c r="H891" s="8"/>
      <c r="I891" s="8"/>
      <c r="J891" s="8"/>
      <c r="K891" s="8"/>
      <c r="L891" s="8"/>
      <c r="M891" s="8"/>
      <c r="N891" s="8"/>
      <c r="O891" s="8"/>
      <c r="P891" s="8"/>
      <c r="Q891" s="8"/>
      <c r="R891" s="8"/>
      <c r="S891" s="8"/>
      <c r="T891" s="8"/>
      <c r="U891" s="8"/>
      <c r="V891" s="8"/>
    </row>
    <row r="892" ht="24.0" customHeight="1">
      <c r="F892" s="8"/>
      <c r="G892" s="8"/>
      <c r="H892" s="8"/>
      <c r="I892" s="8"/>
      <c r="J892" s="8"/>
      <c r="K892" s="8"/>
      <c r="L892" s="8"/>
      <c r="M892" s="8"/>
      <c r="N892" s="8"/>
      <c r="O892" s="8"/>
      <c r="P892" s="8"/>
      <c r="Q892" s="8"/>
      <c r="R892" s="8"/>
      <c r="S892" s="8"/>
      <c r="T892" s="8"/>
      <c r="U892" s="8"/>
      <c r="V892" s="8"/>
    </row>
    <row r="893" ht="24.0" customHeight="1">
      <c r="F893" s="8"/>
      <c r="G893" s="8"/>
      <c r="H893" s="8"/>
      <c r="I893" s="8"/>
      <c r="J893" s="8"/>
      <c r="K893" s="8"/>
      <c r="L893" s="8"/>
      <c r="M893" s="8"/>
      <c r="N893" s="8"/>
      <c r="O893" s="8"/>
      <c r="P893" s="8"/>
      <c r="Q893" s="8"/>
      <c r="R893" s="8"/>
      <c r="S893" s="8"/>
      <c r="T893" s="8"/>
      <c r="U893" s="8"/>
      <c r="V893" s="8"/>
    </row>
    <row r="894" ht="24.0" customHeight="1">
      <c r="F894" s="8"/>
      <c r="G894" s="8"/>
      <c r="H894" s="8"/>
      <c r="I894" s="8"/>
      <c r="J894" s="8"/>
      <c r="K894" s="8"/>
      <c r="L894" s="8"/>
      <c r="M894" s="8"/>
      <c r="N894" s="8"/>
      <c r="O894" s="8"/>
      <c r="P894" s="8"/>
      <c r="Q894" s="8"/>
      <c r="R894" s="8"/>
      <c r="S894" s="8"/>
      <c r="T894" s="8"/>
      <c r="U894" s="8"/>
      <c r="V894" s="8"/>
    </row>
    <row r="895" ht="24.0" customHeight="1">
      <c r="F895" s="8"/>
      <c r="G895" s="8"/>
      <c r="H895" s="8"/>
      <c r="I895" s="8"/>
      <c r="J895" s="8"/>
      <c r="K895" s="8"/>
      <c r="L895" s="8"/>
      <c r="M895" s="8"/>
      <c r="N895" s="8"/>
      <c r="O895" s="8"/>
      <c r="P895" s="8"/>
      <c r="Q895" s="8"/>
      <c r="R895" s="8"/>
      <c r="S895" s="8"/>
      <c r="T895" s="8"/>
      <c r="U895" s="8"/>
      <c r="V895" s="8"/>
    </row>
    <row r="896" ht="24.0" customHeight="1">
      <c r="F896" s="8"/>
      <c r="G896" s="8"/>
      <c r="H896" s="8"/>
      <c r="I896" s="8"/>
      <c r="J896" s="8"/>
      <c r="K896" s="8"/>
      <c r="L896" s="8"/>
      <c r="M896" s="8"/>
      <c r="N896" s="8"/>
      <c r="O896" s="8"/>
      <c r="P896" s="8"/>
      <c r="Q896" s="8"/>
      <c r="R896" s="8"/>
      <c r="S896" s="8"/>
      <c r="T896" s="8"/>
      <c r="U896" s="8"/>
      <c r="V896" s="8"/>
    </row>
    <row r="897" ht="24.0" customHeight="1">
      <c r="F897" s="8"/>
      <c r="G897" s="8"/>
      <c r="H897" s="8"/>
      <c r="I897" s="8"/>
      <c r="J897" s="8"/>
      <c r="K897" s="8"/>
      <c r="L897" s="8"/>
      <c r="M897" s="8"/>
      <c r="N897" s="8"/>
      <c r="O897" s="8"/>
      <c r="P897" s="8"/>
      <c r="Q897" s="8"/>
      <c r="R897" s="8"/>
      <c r="S897" s="8"/>
      <c r="T897" s="8"/>
      <c r="U897" s="8"/>
      <c r="V897" s="8"/>
    </row>
    <row r="898" ht="24.0" customHeight="1">
      <c r="F898" s="8"/>
      <c r="G898" s="8"/>
      <c r="H898" s="8"/>
      <c r="I898" s="8"/>
      <c r="J898" s="8"/>
      <c r="K898" s="8"/>
      <c r="L898" s="8"/>
      <c r="M898" s="8"/>
      <c r="N898" s="8"/>
      <c r="O898" s="8"/>
      <c r="P898" s="8"/>
      <c r="Q898" s="8"/>
      <c r="R898" s="8"/>
      <c r="S898" s="8"/>
      <c r="T898" s="8"/>
      <c r="U898" s="8"/>
      <c r="V898" s="8"/>
    </row>
    <row r="899" ht="24.0" customHeight="1">
      <c r="F899" s="8"/>
      <c r="G899" s="8"/>
      <c r="H899" s="8"/>
      <c r="I899" s="8"/>
      <c r="J899" s="8"/>
      <c r="K899" s="8"/>
      <c r="L899" s="8"/>
      <c r="M899" s="8"/>
      <c r="N899" s="8"/>
      <c r="O899" s="8"/>
      <c r="P899" s="8"/>
      <c r="Q899" s="8"/>
      <c r="R899" s="8"/>
      <c r="S899" s="8"/>
      <c r="T899" s="8"/>
      <c r="U899" s="8"/>
      <c r="V899" s="8"/>
    </row>
    <row r="900" ht="24.0" customHeight="1">
      <c r="F900" s="8"/>
      <c r="G900" s="8"/>
      <c r="H900" s="8"/>
      <c r="I900" s="8"/>
      <c r="J900" s="8"/>
      <c r="K900" s="8"/>
      <c r="L900" s="8"/>
      <c r="M900" s="8"/>
      <c r="N900" s="8"/>
      <c r="O900" s="8"/>
      <c r="P900" s="8"/>
      <c r="Q900" s="8"/>
      <c r="R900" s="8"/>
      <c r="S900" s="8"/>
      <c r="T900" s="8"/>
      <c r="U900" s="8"/>
      <c r="V900" s="8"/>
    </row>
    <row r="901" ht="24.0" customHeight="1">
      <c r="F901" s="8"/>
      <c r="G901" s="8"/>
      <c r="H901" s="8"/>
      <c r="I901" s="8"/>
      <c r="J901" s="8"/>
      <c r="K901" s="8"/>
      <c r="L901" s="8"/>
      <c r="M901" s="8"/>
      <c r="N901" s="8"/>
      <c r="O901" s="8"/>
      <c r="P901" s="8"/>
      <c r="Q901" s="8"/>
      <c r="R901" s="8"/>
      <c r="S901" s="8"/>
      <c r="T901" s="8"/>
      <c r="U901" s="8"/>
      <c r="V901" s="8"/>
    </row>
    <row r="902" ht="24.0" customHeight="1">
      <c r="F902" s="8"/>
      <c r="G902" s="8"/>
      <c r="H902" s="8"/>
      <c r="I902" s="8"/>
      <c r="J902" s="8"/>
      <c r="K902" s="8"/>
      <c r="L902" s="8"/>
      <c r="M902" s="8"/>
      <c r="N902" s="8"/>
      <c r="O902" s="8"/>
      <c r="P902" s="8"/>
      <c r="Q902" s="8"/>
      <c r="R902" s="8"/>
      <c r="S902" s="8"/>
      <c r="T902" s="8"/>
      <c r="U902" s="8"/>
      <c r="V902" s="8"/>
    </row>
    <row r="903" ht="24.0" customHeight="1">
      <c r="F903" s="8"/>
      <c r="G903" s="8"/>
      <c r="H903" s="8"/>
      <c r="I903" s="8"/>
      <c r="J903" s="8"/>
      <c r="K903" s="8"/>
      <c r="L903" s="8"/>
      <c r="M903" s="8"/>
      <c r="N903" s="8"/>
      <c r="O903" s="8"/>
      <c r="P903" s="8"/>
      <c r="Q903" s="8"/>
      <c r="R903" s="8"/>
      <c r="S903" s="8"/>
      <c r="T903" s="8"/>
      <c r="U903" s="8"/>
      <c r="V903" s="8"/>
    </row>
    <row r="904" ht="24.0" customHeight="1">
      <c r="F904" s="8"/>
      <c r="G904" s="8"/>
      <c r="H904" s="8"/>
      <c r="I904" s="8"/>
      <c r="J904" s="8"/>
      <c r="K904" s="8"/>
      <c r="L904" s="8"/>
      <c r="M904" s="8"/>
      <c r="N904" s="8"/>
      <c r="O904" s="8"/>
      <c r="P904" s="8"/>
      <c r="Q904" s="8"/>
      <c r="R904" s="8"/>
      <c r="S904" s="8"/>
      <c r="T904" s="8"/>
      <c r="U904" s="8"/>
      <c r="V904" s="8"/>
    </row>
    <row r="905" ht="24.0" customHeight="1">
      <c r="F905" s="8"/>
      <c r="G905" s="8"/>
      <c r="H905" s="8"/>
      <c r="I905" s="8"/>
      <c r="J905" s="8"/>
      <c r="K905" s="8"/>
      <c r="L905" s="8"/>
      <c r="M905" s="8"/>
      <c r="N905" s="8"/>
      <c r="O905" s="8"/>
      <c r="P905" s="8"/>
      <c r="Q905" s="8"/>
      <c r="R905" s="8"/>
      <c r="S905" s="8"/>
      <c r="T905" s="8"/>
      <c r="U905" s="8"/>
      <c r="V905" s="8"/>
    </row>
    <row r="906" ht="24.0" customHeight="1">
      <c r="F906" s="8"/>
      <c r="G906" s="8"/>
      <c r="H906" s="8"/>
      <c r="I906" s="8"/>
      <c r="J906" s="8"/>
      <c r="K906" s="8"/>
      <c r="L906" s="8"/>
      <c r="M906" s="8"/>
      <c r="N906" s="8"/>
      <c r="O906" s="8"/>
      <c r="P906" s="8"/>
      <c r="Q906" s="8"/>
      <c r="R906" s="8"/>
      <c r="S906" s="8"/>
      <c r="T906" s="8"/>
      <c r="U906" s="8"/>
      <c r="V906" s="8"/>
    </row>
    <row r="907" ht="24.0" customHeight="1">
      <c r="F907" s="8"/>
      <c r="G907" s="8"/>
      <c r="H907" s="8"/>
      <c r="I907" s="8"/>
      <c r="J907" s="8"/>
      <c r="K907" s="8"/>
      <c r="L907" s="8"/>
      <c r="M907" s="8"/>
      <c r="N907" s="8"/>
      <c r="O907" s="8"/>
      <c r="P907" s="8"/>
      <c r="Q907" s="8"/>
      <c r="R907" s="8"/>
      <c r="S907" s="8"/>
      <c r="T907" s="8"/>
      <c r="U907" s="8"/>
      <c r="V907" s="8"/>
    </row>
    <row r="908" ht="24.0" customHeight="1">
      <c r="F908" s="8"/>
      <c r="G908" s="8"/>
      <c r="H908" s="8"/>
      <c r="I908" s="8"/>
      <c r="J908" s="8"/>
      <c r="K908" s="8"/>
      <c r="L908" s="8"/>
      <c r="M908" s="8"/>
      <c r="N908" s="8"/>
      <c r="O908" s="8"/>
      <c r="P908" s="8"/>
      <c r="Q908" s="8"/>
      <c r="R908" s="8"/>
      <c r="S908" s="8"/>
      <c r="T908" s="8"/>
      <c r="U908" s="8"/>
      <c r="V908" s="8"/>
    </row>
    <row r="909" ht="24.0" customHeight="1">
      <c r="F909" s="8"/>
      <c r="G909" s="8"/>
      <c r="H909" s="8"/>
      <c r="I909" s="8"/>
      <c r="J909" s="8"/>
      <c r="K909" s="8"/>
      <c r="L909" s="8"/>
      <c r="M909" s="8"/>
      <c r="N909" s="8"/>
      <c r="O909" s="8"/>
      <c r="P909" s="8"/>
      <c r="Q909" s="8"/>
      <c r="R909" s="8"/>
      <c r="S909" s="8"/>
      <c r="T909" s="8"/>
      <c r="U909" s="8"/>
      <c r="V909" s="8"/>
    </row>
    <row r="910" ht="24.0" customHeight="1">
      <c r="F910" s="8"/>
      <c r="G910" s="8"/>
      <c r="H910" s="8"/>
      <c r="I910" s="8"/>
      <c r="J910" s="8"/>
      <c r="K910" s="8"/>
      <c r="L910" s="8"/>
      <c r="M910" s="8"/>
      <c r="N910" s="8"/>
      <c r="O910" s="8"/>
      <c r="P910" s="8"/>
      <c r="Q910" s="8"/>
      <c r="R910" s="8"/>
      <c r="S910" s="8"/>
      <c r="T910" s="8"/>
      <c r="U910" s="8"/>
      <c r="V910" s="8"/>
    </row>
    <row r="911" ht="24.0" customHeight="1">
      <c r="F911" s="8"/>
      <c r="G911" s="8"/>
      <c r="H911" s="8"/>
      <c r="I911" s="8"/>
      <c r="J911" s="8"/>
      <c r="K911" s="8"/>
      <c r="L911" s="8"/>
      <c r="M911" s="8"/>
      <c r="N911" s="8"/>
      <c r="O911" s="8"/>
      <c r="P911" s="8"/>
      <c r="Q911" s="8"/>
      <c r="R911" s="8"/>
      <c r="S911" s="8"/>
      <c r="T911" s="8"/>
      <c r="U911" s="8"/>
      <c r="V911" s="8"/>
    </row>
    <row r="912" ht="24.0" customHeight="1">
      <c r="F912" s="8"/>
      <c r="G912" s="8"/>
      <c r="H912" s="8"/>
      <c r="I912" s="8"/>
      <c r="J912" s="8"/>
      <c r="K912" s="8"/>
      <c r="L912" s="8"/>
      <c r="M912" s="8"/>
      <c r="N912" s="8"/>
      <c r="O912" s="8"/>
      <c r="P912" s="8"/>
      <c r="Q912" s="8"/>
      <c r="R912" s="8"/>
      <c r="S912" s="8"/>
      <c r="T912" s="8"/>
      <c r="U912" s="8"/>
      <c r="V912" s="8"/>
    </row>
    <row r="913" ht="24.0" customHeight="1">
      <c r="F913" s="8"/>
      <c r="G913" s="8"/>
      <c r="H913" s="8"/>
      <c r="I913" s="8"/>
      <c r="J913" s="8"/>
      <c r="K913" s="8"/>
      <c r="L913" s="8"/>
      <c r="M913" s="8"/>
      <c r="N913" s="8"/>
      <c r="O913" s="8"/>
      <c r="P913" s="8"/>
      <c r="Q913" s="8"/>
      <c r="R913" s="8"/>
      <c r="S913" s="8"/>
      <c r="T913" s="8"/>
      <c r="U913" s="8"/>
      <c r="V913" s="8"/>
    </row>
    <row r="914" ht="24.0" customHeight="1">
      <c r="F914" s="8"/>
      <c r="G914" s="8"/>
      <c r="H914" s="8"/>
      <c r="I914" s="8"/>
      <c r="J914" s="8"/>
      <c r="K914" s="8"/>
      <c r="L914" s="8"/>
      <c r="M914" s="8"/>
      <c r="N914" s="8"/>
      <c r="O914" s="8"/>
      <c r="P914" s="8"/>
      <c r="Q914" s="8"/>
      <c r="R914" s="8"/>
      <c r="S914" s="8"/>
      <c r="T914" s="8"/>
      <c r="U914" s="8"/>
      <c r="V914" s="8"/>
    </row>
    <row r="915" ht="24.0" customHeight="1">
      <c r="F915" s="8"/>
      <c r="G915" s="8"/>
      <c r="H915" s="8"/>
      <c r="I915" s="8"/>
      <c r="J915" s="8"/>
      <c r="K915" s="8"/>
      <c r="L915" s="8"/>
      <c r="M915" s="8"/>
      <c r="N915" s="8"/>
      <c r="O915" s="8"/>
      <c r="P915" s="8"/>
      <c r="Q915" s="8"/>
      <c r="R915" s="8"/>
      <c r="S915" s="8"/>
      <c r="T915" s="8"/>
      <c r="U915" s="8"/>
      <c r="V915" s="8"/>
    </row>
    <row r="916" ht="24.0" customHeight="1">
      <c r="F916" s="8"/>
      <c r="G916" s="8"/>
      <c r="H916" s="8"/>
      <c r="I916" s="8"/>
      <c r="J916" s="8"/>
      <c r="K916" s="8"/>
      <c r="L916" s="8"/>
      <c r="M916" s="8"/>
      <c r="N916" s="8"/>
      <c r="O916" s="8"/>
      <c r="P916" s="8"/>
      <c r="Q916" s="8"/>
      <c r="R916" s="8"/>
      <c r="S916" s="8"/>
      <c r="T916" s="8"/>
      <c r="U916" s="8"/>
      <c r="V916" s="8"/>
    </row>
    <row r="917" ht="24.0" customHeight="1">
      <c r="F917" s="8"/>
      <c r="G917" s="8"/>
      <c r="H917" s="8"/>
      <c r="I917" s="8"/>
      <c r="J917" s="8"/>
      <c r="K917" s="8"/>
      <c r="L917" s="8"/>
      <c r="M917" s="8"/>
      <c r="N917" s="8"/>
      <c r="O917" s="8"/>
      <c r="P917" s="8"/>
      <c r="Q917" s="8"/>
      <c r="R917" s="8"/>
      <c r="S917" s="8"/>
      <c r="T917" s="8"/>
      <c r="U917" s="8"/>
      <c r="V917" s="8"/>
    </row>
    <row r="918" ht="24.0" customHeight="1">
      <c r="F918" s="8"/>
      <c r="G918" s="8"/>
      <c r="H918" s="8"/>
      <c r="I918" s="8"/>
      <c r="J918" s="8"/>
      <c r="K918" s="8"/>
      <c r="L918" s="8"/>
      <c r="M918" s="8"/>
      <c r="N918" s="8"/>
      <c r="O918" s="8"/>
      <c r="P918" s="8"/>
      <c r="Q918" s="8"/>
      <c r="R918" s="8"/>
      <c r="S918" s="8"/>
      <c r="T918" s="8"/>
      <c r="U918" s="8"/>
      <c r="V918" s="8"/>
    </row>
    <row r="919" ht="24.0" customHeight="1">
      <c r="F919" s="8"/>
      <c r="G919" s="8"/>
      <c r="H919" s="8"/>
      <c r="I919" s="8"/>
      <c r="J919" s="8"/>
      <c r="K919" s="8"/>
      <c r="L919" s="8"/>
      <c r="M919" s="8"/>
      <c r="N919" s="8"/>
      <c r="O919" s="8"/>
      <c r="P919" s="8"/>
      <c r="Q919" s="8"/>
      <c r="R919" s="8"/>
      <c r="S919" s="8"/>
      <c r="T919" s="8"/>
      <c r="U919" s="8"/>
      <c r="V919" s="8"/>
    </row>
    <row r="920" ht="24.0" customHeight="1">
      <c r="F920" s="8"/>
      <c r="G920" s="8"/>
      <c r="H920" s="8"/>
      <c r="I920" s="8"/>
      <c r="J920" s="8"/>
      <c r="K920" s="8"/>
      <c r="L920" s="8"/>
      <c r="M920" s="8"/>
      <c r="N920" s="8"/>
      <c r="O920" s="8"/>
      <c r="P920" s="8"/>
      <c r="Q920" s="8"/>
      <c r="R920" s="8"/>
      <c r="S920" s="8"/>
      <c r="T920" s="8"/>
      <c r="U920" s="8"/>
      <c r="V920" s="8"/>
    </row>
    <row r="921" ht="24.0" customHeight="1">
      <c r="F921" s="8"/>
      <c r="G921" s="8"/>
      <c r="H921" s="8"/>
      <c r="I921" s="8"/>
      <c r="J921" s="8"/>
      <c r="K921" s="8"/>
      <c r="L921" s="8"/>
      <c r="M921" s="8"/>
      <c r="N921" s="8"/>
      <c r="O921" s="8"/>
      <c r="P921" s="8"/>
      <c r="Q921" s="8"/>
      <c r="R921" s="8"/>
      <c r="S921" s="8"/>
      <c r="T921" s="8"/>
      <c r="U921" s="8"/>
      <c r="V921" s="8"/>
    </row>
    <row r="922" ht="24.0" customHeight="1">
      <c r="F922" s="8"/>
      <c r="G922" s="8"/>
      <c r="H922" s="8"/>
      <c r="I922" s="8"/>
      <c r="J922" s="8"/>
      <c r="K922" s="8"/>
      <c r="L922" s="8"/>
      <c r="M922" s="8"/>
      <c r="N922" s="8"/>
      <c r="O922" s="8"/>
      <c r="P922" s="8"/>
      <c r="Q922" s="8"/>
      <c r="R922" s="8"/>
      <c r="S922" s="8"/>
      <c r="T922" s="8"/>
      <c r="U922" s="8"/>
      <c r="V922" s="8"/>
    </row>
    <row r="923" ht="24.0" customHeight="1">
      <c r="F923" s="8"/>
      <c r="G923" s="8"/>
      <c r="H923" s="8"/>
      <c r="I923" s="8"/>
      <c r="J923" s="8"/>
      <c r="K923" s="8"/>
      <c r="L923" s="8"/>
      <c r="M923" s="8"/>
      <c r="N923" s="8"/>
      <c r="O923" s="8"/>
      <c r="P923" s="8"/>
      <c r="Q923" s="8"/>
      <c r="R923" s="8"/>
      <c r="S923" s="8"/>
      <c r="T923" s="8"/>
      <c r="U923" s="8"/>
      <c r="V923" s="8"/>
    </row>
    <row r="924" ht="24.0" customHeight="1">
      <c r="F924" s="8"/>
      <c r="G924" s="8"/>
      <c r="H924" s="8"/>
      <c r="I924" s="8"/>
      <c r="J924" s="8"/>
      <c r="K924" s="8"/>
      <c r="L924" s="8"/>
      <c r="M924" s="8"/>
      <c r="N924" s="8"/>
      <c r="O924" s="8"/>
      <c r="P924" s="8"/>
      <c r="Q924" s="8"/>
      <c r="R924" s="8"/>
      <c r="S924" s="8"/>
      <c r="T924" s="8"/>
      <c r="U924" s="8"/>
      <c r="V924" s="8"/>
    </row>
    <row r="925" ht="24.0" customHeight="1">
      <c r="F925" s="8"/>
      <c r="G925" s="8"/>
      <c r="H925" s="8"/>
      <c r="I925" s="8"/>
      <c r="J925" s="8"/>
      <c r="K925" s="8"/>
      <c r="L925" s="8"/>
      <c r="M925" s="8"/>
      <c r="N925" s="8"/>
      <c r="O925" s="8"/>
      <c r="P925" s="8"/>
      <c r="Q925" s="8"/>
      <c r="R925" s="8"/>
      <c r="S925" s="8"/>
      <c r="T925" s="8"/>
      <c r="U925" s="8"/>
      <c r="V925" s="8"/>
    </row>
    <row r="926" ht="24.0" customHeight="1">
      <c r="F926" s="8"/>
      <c r="G926" s="8"/>
      <c r="H926" s="8"/>
      <c r="I926" s="8"/>
      <c r="J926" s="8"/>
      <c r="K926" s="8"/>
      <c r="L926" s="8"/>
      <c r="M926" s="8"/>
      <c r="N926" s="8"/>
      <c r="O926" s="8"/>
      <c r="P926" s="8"/>
      <c r="Q926" s="8"/>
      <c r="R926" s="8"/>
      <c r="S926" s="8"/>
      <c r="T926" s="8"/>
      <c r="U926" s="8"/>
      <c r="V926" s="8"/>
    </row>
    <row r="927" ht="24.0" customHeight="1">
      <c r="F927" s="8"/>
      <c r="G927" s="8"/>
      <c r="H927" s="8"/>
      <c r="I927" s="8"/>
      <c r="J927" s="8"/>
      <c r="K927" s="8"/>
      <c r="L927" s="8"/>
      <c r="M927" s="8"/>
      <c r="N927" s="8"/>
      <c r="O927" s="8"/>
      <c r="P927" s="8"/>
      <c r="Q927" s="8"/>
      <c r="R927" s="8"/>
      <c r="S927" s="8"/>
      <c r="T927" s="8"/>
      <c r="U927" s="8"/>
      <c r="V927" s="8"/>
    </row>
    <row r="928" ht="24.0" customHeight="1">
      <c r="F928" s="8"/>
      <c r="G928" s="8"/>
      <c r="H928" s="8"/>
      <c r="I928" s="8"/>
      <c r="J928" s="8"/>
      <c r="K928" s="8"/>
      <c r="L928" s="8"/>
      <c r="M928" s="8"/>
      <c r="N928" s="8"/>
      <c r="O928" s="8"/>
      <c r="P928" s="8"/>
      <c r="Q928" s="8"/>
      <c r="R928" s="8"/>
      <c r="S928" s="8"/>
      <c r="T928" s="8"/>
      <c r="U928" s="8"/>
      <c r="V928" s="8"/>
    </row>
    <row r="929" ht="24.0" customHeight="1">
      <c r="F929" s="8"/>
      <c r="G929" s="8"/>
      <c r="H929" s="8"/>
      <c r="I929" s="8"/>
      <c r="J929" s="8"/>
      <c r="K929" s="8"/>
      <c r="L929" s="8"/>
      <c r="M929" s="8"/>
      <c r="N929" s="8"/>
      <c r="O929" s="8"/>
      <c r="P929" s="8"/>
      <c r="Q929" s="8"/>
      <c r="R929" s="8"/>
      <c r="S929" s="8"/>
      <c r="T929" s="8"/>
      <c r="U929" s="8"/>
      <c r="V929" s="8"/>
    </row>
    <row r="930" ht="24.0" customHeight="1">
      <c r="F930" s="8"/>
      <c r="G930" s="8"/>
      <c r="H930" s="8"/>
      <c r="I930" s="8"/>
      <c r="J930" s="8"/>
      <c r="K930" s="8"/>
      <c r="L930" s="8"/>
      <c r="M930" s="8"/>
      <c r="N930" s="8"/>
      <c r="O930" s="8"/>
      <c r="P930" s="8"/>
      <c r="Q930" s="8"/>
      <c r="R930" s="8"/>
      <c r="S930" s="8"/>
      <c r="T930" s="8"/>
      <c r="U930" s="8"/>
      <c r="V930" s="8"/>
    </row>
    <row r="931" ht="24.0" customHeight="1">
      <c r="F931" s="8"/>
      <c r="G931" s="8"/>
      <c r="H931" s="8"/>
      <c r="I931" s="8"/>
      <c r="J931" s="8"/>
      <c r="K931" s="8"/>
      <c r="L931" s="8"/>
      <c r="M931" s="8"/>
      <c r="N931" s="8"/>
      <c r="O931" s="8"/>
      <c r="P931" s="8"/>
      <c r="Q931" s="8"/>
      <c r="R931" s="8"/>
      <c r="S931" s="8"/>
      <c r="T931" s="8"/>
      <c r="U931" s="8"/>
      <c r="V931" s="8"/>
    </row>
    <row r="932" ht="24.0" customHeight="1">
      <c r="F932" s="8"/>
      <c r="G932" s="8"/>
      <c r="H932" s="8"/>
      <c r="I932" s="8"/>
      <c r="J932" s="8"/>
      <c r="K932" s="8"/>
      <c r="L932" s="8"/>
      <c r="M932" s="8"/>
      <c r="N932" s="8"/>
      <c r="O932" s="8"/>
      <c r="P932" s="8"/>
      <c r="Q932" s="8"/>
      <c r="R932" s="8"/>
      <c r="S932" s="8"/>
      <c r="T932" s="8"/>
      <c r="U932" s="8"/>
      <c r="V932" s="8"/>
    </row>
    <row r="933" ht="24.0" customHeight="1">
      <c r="F933" s="8"/>
      <c r="G933" s="8"/>
      <c r="H933" s="8"/>
      <c r="I933" s="8"/>
      <c r="J933" s="8"/>
      <c r="K933" s="8"/>
      <c r="L933" s="8"/>
      <c r="M933" s="8"/>
      <c r="N933" s="8"/>
      <c r="O933" s="8"/>
      <c r="P933" s="8"/>
      <c r="Q933" s="8"/>
      <c r="R933" s="8"/>
      <c r="S933" s="8"/>
      <c r="T933" s="8"/>
      <c r="U933" s="8"/>
      <c r="V933" s="8"/>
    </row>
    <row r="934" ht="24.0" customHeight="1">
      <c r="F934" s="8"/>
      <c r="G934" s="8"/>
      <c r="H934" s="8"/>
      <c r="I934" s="8"/>
      <c r="J934" s="8"/>
      <c r="K934" s="8"/>
      <c r="L934" s="8"/>
      <c r="M934" s="8"/>
      <c r="N934" s="8"/>
      <c r="O934" s="8"/>
      <c r="P934" s="8"/>
      <c r="Q934" s="8"/>
      <c r="R934" s="8"/>
      <c r="S934" s="8"/>
      <c r="T934" s="8"/>
      <c r="U934" s="8"/>
      <c r="V934" s="8"/>
    </row>
    <row r="935" ht="24.0" customHeight="1">
      <c r="F935" s="8"/>
      <c r="G935" s="8"/>
      <c r="H935" s="8"/>
      <c r="I935" s="8"/>
      <c r="J935" s="8"/>
      <c r="K935" s="8"/>
      <c r="L935" s="8"/>
      <c r="M935" s="8"/>
      <c r="N935" s="8"/>
      <c r="O935" s="8"/>
      <c r="P935" s="8"/>
      <c r="Q935" s="8"/>
      <c r="R935" s="8"/>
      <c r="S935" s="8"/>
      <c r="T935" s="8"/>
      <c r="U935" s="8"/>
      <c r="V935" s="8"/>
    </row>
    <row r="936" ht="24.0" customHeight="1">
      <c r="F936" s="8"/>
      <c r="G936" s="8"/>
      <c r="H936" s="8"/>
      <c r="I936" s="8"/>
      <c r="J936" s="8"/>
      <c r="K936" s="8"/>
      <c r="L936" s="8"/>
      <c r="M936" s="8"/>
      <c r="N936" s="8"/>
      <c r="O936" s="8"/>
      <c r="P936" s="8"/>
      <c r="Q936" s="8"/>
      <c r="R936" s="8"/>
      <c r="S936" s="8"/>
      <c r="T936" s="8"/>
      <c r="U936" s="8"/>
      <c r="V936" s="8"/>
    </row>
    <row r="937" ht="24.0" customHeight="1">
      <c r="F937" s="8"/>
      <c r="G937" s="8"/>
      <c r="H937" s="8"/>
      <c r="I937" s="8"/>
      <c r="J937" s="8"/>
      <c r="K937" s="8"/>
      <c r="L937" s="8"/>
      <c r="M937" s="8"/>
      <c r="N937" s="8"/>
      <c r="O937" s="8"/>
      <c r="P937" s="8"/>
      <c r="Q937" s="8"/>
      <c r="R937" s="8"/>
      <c r="S937" s="8"/>
      <c r="T937" s="8"/>
      <c r="U937" s="8"/>
      <c r="V937" s="8"/>
    </row>
    <row r="938" ht="24.0" customHeight="1">
      <c r="F938" s="8"/>
      <c r="G938" s="8"/>
      <c r="H938" s="8"/>
      <c r="I938" s="8"/>
      <c r="J938" s="8"/>
      <c r="K938" s="8"/>
      <c r="L938" s="8"/>
      <c r="M938" s="8"/>
      <c r="N938" s="8"/>
      <c r="O938" s="8"/>
      <c r="P938" s="8"/>
      <c r="Q938" s="8"/>
      <c r="R938" s="8"/>
      <c r="S938" s="8"/>
      <c r="T938" s="8"/>
      <c r="U938" s="8"/>
      <c r="V938" s="8"/>
    </row>
    <row r="939" ht="24.0" customHeight="1">
      <c r="F939" s="8"/>
      <c r="G939" s="8"/>
      <c r="H939" s="8"/>
      <c r="I939" s="8"/>
      <c r="J939" s="8"/>
      <c r="K939" s="8"/>
      <c r="L939" s="8"/>
      <c r="M939" s="8"/>
      <c r="N939" s="8"/>
      <c r="O939" s="8"/>
      <c r="P939" s="8"/>
      <c r="Q939" s="8"/>
      <c r="R939" s="8"/>
      <c r="S939" s="8"/>
      <c r="T939" s="8"/>
      <c r="U939" s="8"/>
      <c r="V939" s="8"/>
    </row>
    <row r="940" ht="24.0" customHeight="1">
      <c r="F940" s="8"/>
      <c r="G940" s="8"/>
      <c r="H940" s="8"/>
      <c r="I940" s="8"/>
      <c r="J940" s="8"/>
      <c r="K940" s="8"/>
      <c r="L940" s="8"/>
      <c r="M940" s="8"/>
      <c r="N940" s="8"/>
      <c r="O940" s="8"/>
      <c r="P940" s="8"/>
      <c r="Q940" s="8"/>
      <c r="R940" s="8"/>
      <c r="S940" s="8"/>
      <c r="T940" s="8"/>
      <c r="U940" s="8"/>
      <c r="V940" s="8"/>
    </row>
    <row r="941" ht="24.0" customHeight="1">
      <c r="F941" s="8"/>
      <c r="G941" s="8"/>
      <c r="H941" s="8"/>
      <c r="I941" s="8"/>
      <c r="J941" s="8"/>
      <c r="K941" s="8"/>
      <c r="L941" s="8"/>
      <c r="M941" s="8"/>
      <c r="N941" s="8"/>
      <c r="O941" s="8"/>
      <c r="P941" s="8"/>
      <c r="Q941" s="8"/>
      <c r="R941" s="8"/>
      <c r="S941" s="8"/>
      <c r="T941" s="8"/>
      <c r="U941" s="8"/>
      <c r="V941" s="8"/>
    </row>
    <row r="942" ht="24.0" customHeight="1">
      <c r="F942" s="8"/>
      <c r="G942" s="8"/>
      <c r="H942" s="8"/>
      <c r="I942" s="8"/>
      <c r="J942" s="8"/>
      <c r="K942" s="8"/>
      <c r="L942" s="8"/>
      <c r="M942" s="8"/>
      <c r="N942" s="8"/>
      <c r="O942" s="8"/>
      <c r="P942" s="8"/>
      <c r="Q942" s="8"/>
      <c r="R942" s="8"/>
      <c r="S942" s="8"/>
      <c r="T942" s="8"/>
      <c r="U942" s="8"/>
      <c r="V942" s="8"/>
    </row>
    <row r="943" ht="24.0" customHeight="1">
      <c r="F943" s="8"/>
      <c r="G943" s="8"/>
      <c r="H943" s="8"/>
      <c r="I943" s="8"/>
      <c r="J943" s="8"/>
      <c r="K943" s="8"/>
      <c r="L943" s="8"/>
      <c r="M943" s="8"/>
      <c r="N943" s="8"/>
      <c r="O943" s="8"/>
      <c r="P943" s="8"/>
      <c r="Q943" s="8"/>
      <c r="R943" s="8"/>
      <c r="S943" s="8"/>
      <c r="T943" s="8"/>
      <c r="U943" s="8"/>
      <c r="V943" s="8"/>
    </row>
    <row r="944" ht="24.0" customHeight="1">
      <c r="F944" s="8"/>
      <c r="G944" s="8"/>
      <c r="H944" s="8"/>
      <c r="I944" s="8"/>
      <c r="J944" s="8"/>
      <c r="K944" s="8"/>
      <c r="L944" s="8"/>
      <c r="M944" s="8"/>
      <c r="N944" s="8"/>
      <c r="O944" s="8"/>
      <c r="P944" s="8"/>
      <c r="Q944" s="8"/>
      <c r="R944" s="8"/>
      <c r="S944" s="8"/>
      <c r="T944" s="8"/>
      <c r="U944" s="8"/>
      <c r="V944" s="8"/>
    </row>
    <row r="945" ht="24.0" customHeight="1">
      <c r="F945" s="8"/>
      <c r="G945" s="8"/>
      <c r="H945" s="8"/>
      <c r="I945" s="8"/>
      <c r="J945" s="8"/>
      <c r="K945" s="8"/>
      <c r="L945" s="8"/>
      <c r="M945" s="8"/>
      <c r="N945" s="8"/>
      <c r="O945" s="8"/>
      <c r="P945" s="8"/>
      <c r="Q945" s="8"/>
      <c r="R945" s="8"/>
      <c r="S945" s="8"/>
      <c r="T945" s="8"/>
      <c r="U945" s="8"/>
      <c r="V945" s="8"/>
    </row>
    <row r="946" ht="24.0" customHeight="1">
      <c r="F946" s="8"/>
      <c r="G946" s="8"/>
      <c r="H946" s="8"/>
      <c r="I946" s="8"/>
      <c r="J946" s="8"/>
      <c r="K946" s="8"/>
      <c r="L946" s="8"/>
      <c r="M946" s="8"/>
      <c r="N946" s="8"/>
      <c r="O946" s="8"/>
      <c r="P946" s="8"/>
      <c r="Q946" s="8"/>
      <c r="R946" s="8"/>
      <c r="S946" s="8"/>
      <c r="T946" s="8"/>
      <c r="U946" s="8"/>
      <c r="V946" s="8"/>
    </row>
    <row r="947" ht="24.0" customHeight="1">
      <c r="F947" s="8"/>
      <c r="G947" s="8"/>
      <c r="H947" s="8"/>
      <c r="I947" s="8"/>
      <c r="J947" s="8"/>
      <c r="K947" s="8"/>
      <c r="L947" s="8"/>
      <c r="M947" s="8"/>
      <c r="N947" s="8"/>
      <c r="O947" s="8"/>
      <c r="P947" s="8"/>
      <c r="Q947" s="8"/>
      <c r="R947" s="8"/>
      <c r="S947" s="8"/>
      <c r="T947" s="8"/>
      <c r="U947" s="8"/>
      <c r="V947" s="8"/>
    </row>
    <row r="948" ht="24.0" customHeight="1">
      <c r="F948" s="8"/>
      <c r="G948" s="8"/>
      <c r="H948" s="8"/>
      <c r="I948" s="8"/>
      <c r="J948" s="8"/>
      <c r="K948" s="8"/>
      <c r="L948" s="8"/>
      <c r="M948" s="8"/>
      <c r="N948" s="8"/>
      <c r="O948" s="8"/>
      <c r="P948" s="8"/>
      <c r="Q948" s="8"/>
      <c r="R948" s="8"/>
      <c r="S948" s="8"/>
      <c r="T948" s="8"/>
      <c r="U948" s="8"/>
      <c r="V948" s="8"/>
    </row>
    <row r="949" ht="24.0" customHeight="1">
      <c r="F949" s="8"/>
      <c r="G949" s="8"/>
      <c r="H949" s="8"/>
      <c r="I949" s="8"/>
      <c r="J949" s="8"/>
      <c r="K949" s="8"/>
      <c r="L949" s="8"/>
      <c r="M949" s="8"/>
      <c r="N949" s="8"/>
      <c r="O949" s="8"/>
      <c r="P949" s="8"/>
      <c r="Q949" s="8"/>
      <c r="R949" s="8"/>
      <c r="S949" s="8"/>
      <c r="T949" s="8"/>
      <c r="U949" s="8"/>
      <c r="V949" s="8"/>
    </row>
    <row r="950" ht="24.0" customHeight="1">
      <c r="F950" s="8"/>
      <c r="G950" s="8"/>
      <c r="H950" s="8"/>
      <c r="I950" s="8"/>
      <c r="J950" s="8"/>
      <c r="K950" s="8"/>
      <c r="L950" s="8"/>
      <c r="M950" s="8"/>
      <c r="N950" s="8"/>
      <c r="O950" s="8"/>
      <c r="P950" s="8"/>
      <c r="Q950" s="8"/>
      <c r="R950" s="8"/>
      <c r="S950" s="8"/>
      <c r="T950" s="8"/>
      <c r="U950" s="8"/>
      <c r="V950" s="8"/>
    </row>
    <row r="951" ht="24.0" customHeight="1">
      <c r="F951" s="8"/>
      <c r="G951" s="8"/>
      <c r="H951" s="8"/>
      <c r="I951" s="8"/>
      <c r="J951" s="8"/>
      <c r="K951" s="8"/>
      <c r="L951" s="8"/>
      <c r="M951" s="8"/>
      <c r="N951" s="8"/>
      <c r="O951" s="8"/>
      <c r="P951" s="8"/>
      <c r="Q951" s="8"/>
      <c r="R951" s="8"/>
      <c r="S951" s="8"/>
      <c r="T951" s="8"/>
      <c r="U951" s="8"/>
      <c r="V951" s="8"/>
    </row>
    <row r="952" ht="24.0" customHeight="1">
      <c r="F952" s="8"/>
      <c r="G952" s="8"/>
      <c r="H952" s="8"/>
      <c r="I952" s="8"/>
      <c r="J952" s="8"/>
      <c r="K952" s="8"/>
      <c r="L952" s="8"/>
      <c r="M952" s="8"/>
      <c r="N952" s="8"/>
      <c r="O952" s="8"/>
      <c r="P952" s="8"/>
      <c r="Q952" s="8"/>
      <c r="R952" s="8"/>
      <c r="S952" s="8"/>
      <c r="T952" s="8"/>
      <c r="U952" s="8"/>
      <c r="V952" s="8"/>
    </row>
    <row r="953" ht="24.0" customHeight="1">
      <c r="F953" s="8"/>
      <c r="G953" s="8"/>
      <c r="H953" s="8"/>
      <c r="I953" s="8"/>
      <c r="J953" s="8"/>
      <c r="K953" s="8"/>
      <c r="L953" s="8"/>
      <c r="M953" s="8"/>
      <c r="N953" s="8"/>
      <c r="O953" s="8"/>
      <c r="P953" s="8"/>
      <c r="Q953" s="8"/>
      <c r="R953" s="8"/>
      <c r="S953" s="8"/>
      <c r="T953" s="8"/>
      <c r="U953" s="8"/>
      <c r="V953" s="8"/>
    </row>
    <row r="954" ht="24.0" customHeight="1">
      <c r="F954" s="8"/>
      <c r="G954" s="8"/>
      <c r="H954" s="8"/>
      <c r="I954" s="8"/>
      <c r="J954" s="8"/>
      <c r="K954" s="8"/>
      <c r="L954" s="8"/>
      <c r="M954" s="8"/>
      <c r="N954" s="8"/>
      <c r="O954" s="8"/>
      <c r="P954" s="8"/>
      <c r="Q954" s="8"/>
      <c r="R954" s="8"/>
      <c r="S954" s="8"/>
      <c r="T954" s="8"/>
      <c r="U954" s="8"/>
      <c r="V954" s="8"/>
    </row>
    <row r="955" ht="24.0" customHeight="1">
      <c r="F955" s="8"/>
      <c r="G955" s="8"/>
      <c r="H955" s="8"/>
      <c r="I955" s="8"/>
      <c r="J955" s="8"/>
      <c r="K955" s="8"/>
      <c r="L955" s="8"/>
      <c r="M955" s="8"/>
      <c r="N955" s="8"/>
      <c r="O955" s="8"/>
      <c r="P955" s="8"/>
      <c r="Q955" s="8"/>
      <c r="R955" s="8"/>
      <c r="S955" s="8"/>
      <c r="T955" s="8"/>
      <c r="U955" s="8"/>
      <c r="V955" s="8"/>
    </row>
    <row r="956" ht="24.0" customHeight="1">
      <c r="F956" s="8"/>
      <c r="G956" s="8"/>
      <c r="H956" s="8"/>
      <c r="I956" s="8"/>
      <c r="J956" s="8"/>
      <c r="K956" s="8"/>
      <c r="L956" s="8"/>
      <c r="M956" s="8"/>
      <c r="N956" s="8"/>
      <c r="O956" s="8"/>
      <c r="P956" s="8"/>
      <c r="Q956" s="8"/>
      <c r="R956" s="8"/>
      <c r="S956" s="8"/>
      <c r="T956" s="8"/>
      <c r="U956" s="8"/>
      <c r="V956" s="8"/>
    </row>
    <row r="957" ht="24.0" customHeight="1">
      <c r="F957" s="8"/>
      <c r="G957" s="8"/>
      <c r="H957" s="8"/>
      <c r="I957" s="8"/>
      <c r="J957" s="8"/>
      <c r="K957" s="8"/>
      <c r="L957" s="8"/>
      <c r="M957" s="8"/>
      <c r="N957" s="8"/>
      <c r="O957" s="8"/>
      <c r="P957" s="8"/>
      <c r="Q957" s="8"/>
      <c r="R957" s="8"/>
      <c r="S957" s="8"/>
      <c r="T957" s="8"/>
      <c r="U957" s="8"/>
      <c r="V957" s="8"/>
    </row>
    <row r="958" ht="24.0" customHeight="1">
      <c r="F958" s="8"/>
      <c r="G958" s="8"/>
      <c r="H958" s="8"/>
      <c r="I958" s="8"/>
      <c r="J958" s="8"/>
      <c r="K958" s="8"/>
      <c r="L958" s="8"/>
      <c r="M958" s="8"/>
      <c r="N958" s="8"/>
      <c r="O958" s="8"/>
      <c r="P958" s="8"/>
      <c r="Q958" s="8"/>
      <c r="R958" s="8"/>
      <c r="S958" s="8"/>
      <c r="T958" s="8"/>
      <c r="U958" s="8"/>
      <c r="V958" s="8"/>
    </row>
    <row r="959" ht="24.0" customHeight="1">
      <c r="F959" s="8"/>
      <c r="G959" s="8"/>
      <c r="H959" s="8"/>
      <c r="I959" s="8"/>
      <c r="J959" s="8"/>
      <c r="K959" s="8"/>
      <c r="L959" s="8"/>
      <c r="M959" s="8"/>
      <c r="N959" s="8"/>
      <c r="O959" s="8"/>
      <c r="P959" s="8"/>
      <c r="Q959" s="8"/>
      <c r="R959" s="8"/>
      <c r="S959" s="8"/>
      <c r="T959" s="8"/>
      <c r="U959" s="8"/>
      <c r="V959" s="8"/>
    </row>
    <row r="960" ht="24.0" customHeight="1">
      <c r="F960" s="8"/>
      <c r="G960" s="8"/>
      <c r="H960" s="8"/>
      <c r="I960" s="8"/>
      <c r="J960" s="8"/>
      <c r="K960" s="8"/>
      <c r="L960" s="8"/>
      <c r="M960" s="8"/>
      <c r="N960" s="8"/>
      <c r="O960" s="8"/>
      <c r="P960" s="8"/>
      <c r="Q960" s="8"/>
      <c r="R960" s="8"/>
      <c r="S960" s="8"/>
      <c r="T960" s="8"/>
      <c r="U960" s="8"/>
      <c r="V960" s="8"/>
    </row>
    <row r="961" ht="24.0" customHeight="1">
      <c r="F961" s="8"/>
      <c r="G961" s="8"/>
      <c r="H961" s="8"/>
      <c r="I961" s="8"/>
      <c r="J961" s="8"/>
      <c r="K961" s="8"/>
      <c r="L961" s="8"/>
      <c r="M961" s="8"/>
      <c r="N961" s="8"/>
      <c r="O961" s="8"/>
      <c r="P961" s="8"/>
      <c r="Q961" s="8"/>
      <c r="R961" s="8"/>
      <c r="S961" s="8"/>
      <c r="T961" s="8"/>
      <c r="U961" s="8"/>
      <c r="V961" s="8"/>
    </row>
    <row r="962" ht="24.0" customHeight="1">
      <c r="F962" s="8"/>
      <c r="G962" s="8"/>
      <c r="H962" s="8"/>
      <c r="I962" s="8"/>
      <c r="J962" s="8"/>
      <c r="K962" s="8"/>
      <c r="L962" s="8"/>
      <c r="M962" s="8"/>
      <c r="N962" s="8"/>
      <c r="O962" s="8"/>
      <c r="P962" s="8"/>
      <c r="Q962" s="8"/>
      <c r="R962" s="8"/>
      <c r="S962" s="8"/>
      <c r="T962" s="8"/>
      <c r="U962" s="8"/>
      <c r="V962" s="8"/>
    </row>
    <row r="963" ht="24.0" customHeight="1">
      <c r="F963" s="8"/>
      <c r="G963" s="8"/>
      <c r="H963" s="8"/>
      <c r="I963" s="8"/>
      <c r="J963" s="8"/>
      <c r="K963" s="8"/>
      <c r="L963" s="8"/>
      <c r="M963" s="8"/>
      <c r="N963" s="8"/>
      <c r="O963" s="8"/>
      <c r="P963" s="8"/>
      <c r="Q963" s="8"/>
      <c r="R963" s="8"/>
      <c r="S963" s="8"/>
      <c r="T963" s="8"/>
      <c r="U963" s="8"/>
      <c r="V963" s="8"/>
    </row>
    <row r="964" ht="24.0" customHeight="1">
      <c r="F964" s="8"/>
      <c r="G964" s="8"/>
      <c r="H964" s="8"/>
      <c r="I964" s="8"/>
      <c r="J964" s="8"/>
      <c r="K964" s="8"/>
      <c r="L964" s="8"/>
      <c r="M964" s="8"/>
      <c r="N964" s="8"/>
      <c r="O964" s="8"/>
      <c r="P964" s="8"/>
      <c r="Q964" s="8"/>
      <c r="R964" s="8"/>
      <c r="S964" s="8"/>
      <c r="T964" s="8"/>
      <c r="U964" s="8"/>
      <c r="V964" s="8"/>
    </row>
    <row r="965" ht="24.0" customHeight="1">
      <c r="F965" s="8"/>
      <c r="G965" s="8"/>
      <c r="H965" s="8"/>
      <c r="I965" s="8"/>
      <c r="J965" s="8"/>
      <c r="K965" s="8"/>
      <c r="L965" s="8"/>
      <c r="M965" s="8"/>
      <c r="N965" s="8"/>
      <c r="O965" s="8"/>
      <c r="P965" s="8"/>
      <c r="Q965" s="8"/>
      <c r="R965" s="8"/>
      <c r="S965" s="8"/>
      <c r="T965" s="8"/>
      <c r="U965" s="8"/>
      <c r="V965" s="8"/>
    </row>
    <row r="966" ht="24.0" customHeight="1">
      <c r="F966" s="8"/>
      <c r="G966" s="8"/>
      <c r="H966" s="8"/>
      <c r="I966" s="8"/>
      <c r="J966" s="8"/>
      <c r="K966" s="8"/>
      <c r="L966" s="8"/>
      <c r="M966" s="8"/>
      <c r="N966" s="8"/>
      <c r="O966" s="8"/>
      <c r="P966" s="8"/>
      <c r="Q966" s="8"/>
      <c r="R966" s="8"/>
      <c r="S966" s="8"/>
      <c r="T966" s="8"/>
      <c r="U966" s="8"/>
      <c r="V966" s="8"/>
    </row>
    <row r="967" ht="24.0" customHeight="1">
      <c r="F967" s="8"/>
      <c r="G967" s="8"/>
      <c r="H967" s="8"/>
      <c r="I967" s="8"/>
      <c r="J967" s="8"/>
      <c r="K967" s="8"/>
      <c r="L967" s="8"/>
      <c r="M967" s="8"/>
      <c r="N967" s="8"/>
      <c r="O967" s="8"/>
      <c r="P967" s="8"/>
      <c r="Q967" s="8"/>
      <c r="R967" s="8"/>
      <c r="S967" s="8"/>
      <c r="T967" s="8"/>
      <c r="U967" s="8"/>
      <c r="V967" s="8"/>
    </row>
    <row r="968" ht="24.0" customHeight="1">
      <c r="F968" s="8"/>
      <c r="G968" s="8"/>
      <c r="H968" s="8"/>
      <c r="I968" s="8"/>
      <c r="J968" s="8"/>
      <c r="K968" s="8"/>
      <c r="L968" s="8"/>
      <c r="M968" s="8"/>
      <c r="N968" s="8"/>
      <c r="O968" s="8"/>
      <c r="P968" s="8"/>
      <c r="Q968" s="8"/>
      <c r="R968" s="8"/>
      <c r="S968" s="8"/>
      <c r="T968" s="8"/>
      <c r="U968" s="8"/>
      <c r="V968" s="8"/>
    </row>
    <row r="969" ht="24.0" customHeight="1">
      <c r="F969" s="8"/>
      <c r="G969" s="8"/>
      <c r="H969" s="8"/>
      <c r="I969" s="8"/>
      <c r="J969" s="8"/>
      <c r="K969" s="8"/>
      <c r="L969" s="8"/>
      <c r="M969" s="8"/>
      <c r="N969" s="8"/>
      <c r="O969" s="8"/>
      <c r="P969" s="8"/>
      <c r="Q969" s="8"/>
      <c r="R969" s="8"/>
      <c r="S969" s="8"/>
      <c r="T969" s="8"/>
      <c r="U969" s="8"/>
      <c r="V969" s="8"/>
    </row>
    <row r="970" ht="24.0" customHeight="1">
      <c r="F970" s="8"/>
      <c r="G970" s="8"/>
      <c r="H970" s="8"/>
      <c r="I970" s="8"/>
      <c r="J970" s="8"/>
      <c r="K970" s="8"/>
      <c r="L970" s="8"/>
      <c r="M970" s="8"/>
      <c r="N970" s="8"/>
      <c r="O970" s="8"/>
      <c r="P970" s="8"/>
      <c r="Q970" s="8"/>
      <c r="R970" s="8"/>
      <c r="S970" s="8"/>
      <c r="T970" s="8"/>
      <c r="U970" s="8"/>
      <c r="V970" s="8"/>
    </row>
    <row r="971" ht="24.0" customHeight="1">
      <c r="F971" s="8"/>
      <c r="G971" s="8"/>
      <c r="H971" s="8"/>
      <c r="I971" s="8"/>
      <c r="J971" s="8"/>
      <c r="K971" s="8"/>
      <c r="L971" s="8"/>
      <c r="M971" s="8"/>
      <c r="N971" s="8"/>
      <c r="O971" s="8"/>
      <c r="P971" s="8"/>
      <c r="Q971" s="8"/>
      <c r="R971" s="8"/>
      <c r="S971" s="8"/>
      <c r="T971" s="8"/>
      <c r="U971" s="8"/>
      <c r="V971" s="8"/>
    </row>
    <row r="972" ht="24.0" customHeight="1">
      <c r="F972" s="8"/>
      <c r="G972" s="8"/>
      <c r="H972" s="8"/>
      <c r="I972" s="8"/>
      <c r="J972" s="8"/>
      <c r="K972" s="8"/>
      <c r="L972" s="8"/>
      <c r="M972" s="8"/>
      <c r="N972" s="8"/>
      <c r="O972" s="8"/>
      <c r="P972" s="8"/>
      <c r="Q972" s="8"/>
      <c r="R972" s="8"/>
      <c r="S972" s="8"/>
      <c r="T972" s="8"/>
      <c r="U972" s="8"/>
      <c r="V972" s="8"/>
    </row>
    <row r="973" ht="24.0" customHeight="1">
      <c r="F973" s="8"/>
      <c r="G973" s="8"/>
      <c r="H973" s="8"/>
      <c r="I973" s="8"/>
      <c r="J973" s="8"/>
      <c r="K973" s="8"/>
      <c r="L973" s="8"/>
      <c r="M973" s="8"/>
      <c r="N973" s="8"/>
      <c r="O973" s="8"/>
      <c r="P973" s="8"/>
      <c r="Q973" s="8"/>
      <c r="R973" s="8"/>
      <c r="S973" s="8"/>
      <c r="T973" s="8"/>
      <c r="U973" s="8"/>
      <c r="V973" s="8"/>
    </row>
    <row r="974" ht="24.0" customHeight="1">
      <c r="F974" s="8"/>
      <c r="G974" s="8"/>
      <c r="H974" s="8"/>
      <c r="I974" s="8"/>
      <c r="J974" s="8"/>
      <c r="K974" s="8"/>
      <c r="L974" s="8"/>
      <c r="M974" s="8"/>
      <c r="N974" s="8"/>
      <c r="O974" s="8"/>
      <c r="P974" s="8"/>
      <c r="Q974" s="8"/>
      <c r="R974" s="8"/>
      <c r="S974" s="8"/>
      <c r="T974" s="8"/>
      <c r="U974" s="8"/>
      <c r="V974" s="8"/>
    </row>
    <row r="975" ht="24.0" customHeight="1">
      <c r="F975" s="8"/>
      <c r="G975" s="8"/>
      <c r="H975" s="8"/>
      <c r="I975" s="8"/>
      <c r="J975" s="8"/>
      <c r="K975" s="8"/>
      <c r="L975" s="8"/>
      <c r="M975" s="8"/>
      <c r="N975" s="8"/>
      <c r="O975" s="8"/>
      <c r="P975" s="8"/>
      <c r="Q975" s="8"/>
      <c r="R975" s="8"/>
      <c r="S975" s="8"/>
      <c r="T975" s="8"/>
      <c r="U975" s="8"/>
      <c r="V975" s="8"/>
    </row>
    <row r="976" ht="24.0" customHeight="1">
      <c r="F976" s="8"/>
      <c r="G976" s="8"/>
      <c r="H976" s="8"/>
      <c r="I976" s="8"/>
      <c r="J976" s="8"/>
      <c r="K976" s="8"/>
      <c r="L976" s="8"/>
      <c r="M976" s="8"/>
      <c r="N976" s="8"/>
      <c r="O976" s="8"/>
      <c r="P976" s="8"/>
      <c r="Q976" s="8"/>
      <c r="R976" s="8"/>
      <c r="S976" s="8"/>
      <c r="T976" s="8"/>
      <c r="U976" s="8"/>
      <c r="V976" s="8"/>
    </row>
    <row r="977" ht="24.0" customHeight="1">
      <c r="F977" s="8"/>
      <c r="G977" s="8"/>
      <c r="H977" s="8"/>
      <c r="I977" s="8"/>
      <c r="J977" s="8"/>
      <c r="K977" s="8"/>
      <c r="L977" s="8"/>
      <c r="M977" s="8"/>
      <c r="N977" s="8"/>
      <c r="O977" s="8"/>
      <c r="P977" s="8"/>
      <c r="Q977" s="8"/>
      <c r="R977" s="8"/>
      <c r="S977" s="8"/>
      <c r="T977" s="8"/>
      <c r="U977" s="8"/>
      <c r="V977" s="8"/>
    </row>
    <row r="978" ht="24.0" customHeight="1">
      <c r="F978" s="8"/>
      <c r="G978" s="8"/>
      <c r="H978" s="8"/>
      <c r="I978" s="8"/>
      <c r="J978" s="8"/>
      <c r="K978" s="8"/>
      <c r="L978" s="8"/>
      <c r="M978" s="8"/>
      <c r="N978" s="8"/>
      <c r="O978" s="8"/>
      <c r="P978" s="8"/>
      <c r="Q978" s="8"/>
      <c r="R978" s="8"/>
      <c r="S978" s="8"/>
      <c r="T978" s="8"/>
      <c r="U978" s="8"/>
      <c r="V978" s="8"/>
    </row>
    <row r="979" ht="24.0" customHeight="1">
      <c r="F979" s="8"/>
      <c r="G979" s="8"/>
      <c r="H979" s="8"/>
      <c r="I979" s="8"/>
      <c r="J979" s="8"/>
      <c r="K979" s="8"/>
      <c r="L979" s="8"/>
      <c r="M979" s="8"/>
      <c r="N979" s="8"/>
      <c r="O979" s="8"/>
      <c r="P979" s="8"/>
      <c r="Q979" s="8"/>
      <c r="R979" s="8"/>
      <c r="S979" s="8"/>
      <c r="T979" s="8"/>
      <c r="U979" s="8"/>
      <c r="V979" s="8"/>
    </row>
    <row r="980" ht="24.0" customHeight="1">
      <c r="F980" s="8"/>
      <c r="G980" s="8"/>
      <c r="H980" s="8"/>
      <c r="I980" s="8"/>
      <c r="J980" s="8"/>
      <c r="K980" s="8"/>
      <c r="L980" s="8"/>
      <c r="M980" s="8"/>
      <c r="N980" s="8"/>
      <c r="O980" s="8"/>
      <c r="P980" s="8"/>
      <c r="Q980" s="8"/>
      <c r="R980" s="8"/>
      <c r="S980" s="8"/>
      <c r="T980" s="8"/>
      <c r="U980" s="8"/>
      <c r="V980" s="8"/>
    </row>
    <row r="981" ht="24.0" customHeight="1">
      <c r="F981" s="8"/>
      <c r="G981" s="8"/>
      <c r="H981" s="8"/>
      <c r="I981" s="8"/>
      <c r="J981" s="8"/>
      <c r="K981" s="8"/>
      <c r="L981" s="8"/>
      <c r="M981" s="8"/>
      <c r="N981" s="8"/>
      <c r="O981" s="8"/>
      <c r="P981" s="8"/>
      <c r="Q981" s="8"/>
      <c r="R981" s="8"/>
      <c r="S981" s="8"/>
      <c r="T981" s="8"/>
      <c r="U981" s="8"/>
      <c r="V981" s="8"/>
    </row>
    <row r="982" ht="24.0" customHeight="1">
      <c r="F982" s="8"/>
      <c r="G982" s="8"/>
      <c r="H982" s="8"/>
      <c r="I982" s="8"/>
      <c r="J982" s="8"/>
      <c r="K982" s="8"/>
      <c r="L982" s="8"/>
      <c r="M982" s="8"/>
      <c r="N982" s="8"/>
      <c r="O982" s="8"/>
      <c r="P982" s="8"/>
      <c r="Q982" s="8"/>
      <c r="R982" s="8"/>
      <c r="S982" s="8"/>
      <c r="T982" s="8"/>
      <c r="U982" s="8"/>
      <c r="V982" s="8"/>
    </row>
    <row r="983" ht="24.0" customHeight="1">
      <c r="F983" s="8"/>
      <c r="G983" s="8"/>
      <c r="H983" s="8"/>
      <c r="I983" s="8"/>
      <c r="J983" s="8"/>
      <c r="K983" s="8"/>
      <c r="L983" s="8"/>
      <c r="M983" s="8"/>
      <c r="N983" s="8"/>
      <c r="O983" s="8"/>
      <c r="P983" s="8"/>
      <c r="Q983" s="8"/>
      <c r="R983" s="8"/>
      <c r="S983" s="8"/>
      <c r="T983" s="8"/>
      <c r="U983" s="8"/>
      <c r="V983" s="8"/>
    </row>
    <row r="984" ht="24.0" customHeight="1">
      <c r="F984" s="8"/>
      <c r="G984" s="8"/>
      <c r="H984" s="8"/>
      <c r="I984" s="8"/>
      <c r="J984" s="8"/>
      <c r="K984" s="8"/>
      <c r="L984" s="8"/>
      <c r="M984" s="8"/>
      <c r="N984" s="8"/>
      <c r="O984" s="8"/>
      <c r="P984" s="8"/>
      <c r="Q984" s="8"/>
      <c r="R984" s="8"/>
      <c r="S984" s="8"/>
      <c r="T984" s="8"/>
      <c r="U984" s="8"/>
      <c r="V984" s="8"/>
    </row>
    <row r="985" ht="24.0" customHeight="1">
      <c r="F985" s="8"/>
      <c r="G985" s="8"/>
      <c r="H985" s="8"/>
      <c r="I985" s="8"/>
      <c r="J985" s="8"/>
      <c r="K985" s="8"/>
      <c r="L985" s="8"/>
      <c r="M985" s="8"/>
      <c r="N985" s="8"/>
      <c r="O985" s="8"/>
      <c r="P985" s="8"/>
      <c r="Q985" s="8"/>
      <c r="R985" s="8"/>
      <c r="S985" s="8"/>
      <c r="T985" s="8"/>
      <c r="U985" s="8"/>
      <c r="V985" s="8"/>
    </row>
    <row r="986" ht="24.0" customHeight="1">
      <c r="F986" s="8"/>
      <c r="G986" s="8"/>
      <c r="H986" s="8"/>
      <c r="I986" s="8"/>
      <c r="J986" s="8"/>
      <c r="K986" s="8"/>
      <c r="L986" s="8"/>
      <c r="M986" s="8"/>
      <c r="N986" s="8"/>
      <c r="O986" s="8"/>
      <c r="P986" s="8"/>
      <c r="Q986" s="8"/>
      <c r="R986" s="8"/>
      <c r="S986" s="8"/>
      <c r="T986" s="8"/>
      <c r="U986" s="8"/>
      <c r="V986" s="8"/>
    </row>
    <row r="987" ht="24.0" customHeight="1">
      <c r="F987" s="8"/>
      <c r="G987" s="8"/>
      <c r="H987" s="8"/>
      <c r="I987" s="8"/>
      <c r="J987" s="8"/>
      <c r="K987" s="8"/>
      <c r="L987" s="8"/>
      <c r="M987" s="8"/>
      <c r="N987" s="8"/>
      <c r="O987" s="8"/>
      <c r="P987" s="8"/>
      <c r="Q987" s="8"/>
      <c r="R987" s="8"/>
      <c r="S987" s="8"/>
      <c r="T987" s="8"/>
      <c r="U987" s="8"/>
      <c r="V987" s="8"/>
    </row>
    <row r="988" ht="24.0" customHeight="1">
      <c r="F988" s="8"/>
      <c r="G988" s="8"/>
      <c r="H988" s="8"/>
      <c r="I988" s="8"/>
      <c r="J988" s="8"/>
      <c r="K988" s="8"/>
      <c r="L988" s="8"/>
      <c r="M988" s="8"/>
      <c r="N988" s="8"/>
      <c r="O988" s="8"/>
      <c r="P988" s="8"/>
      <c r="Q988" s="8"/>
      <c r="R988" s="8"/>
      <c r="S988" s="8"/>
      <c r="T988" s="8"/>
      <c r="U988" s="8"/>
      <c r="V988" s="8"/>
    </row>
    <row r="989" ht="24.0" customHeight="1">
      <c r="F989" s="8"/>
      <c r="G989" s="8"/>
      <c r="H989" s="8"/>
      <c r="I989" s="8"/>
      <c r="J989" s="8"/>
      <c r="K989" s="8"/>
      <c r="L989" s="8"/>
      <c r="M989" s="8"/>
      <c r="N989" s="8"/>
      <c r="O989" s="8"/>
      <c r="P989" s="8"/>
      <c r="Q989" s="8"/>
      <c r="R989" s="8"/>
      <c r="S989" s="8"/>
      <c r="T989" s="8"/>
      <c r="U989" s="8"/>
      <c r="V989" s="8"/>
    </row>
    <row r="990" ht="24.0" customHeight="1">
      <c r="F990" s="8"/>
      <c r="G990" s="8"/>
      <c r="H990" s="8"/>
      <c r="I990" s="8"/>
      <c r="J990" s="8"/>
      <c r="K990" s="8"/>
      <c r="L990" s="8"/>
      <c r="M990" s="8"/>
      <c r="N990" s="8"/>
      <c r="O990" s="8"/>
      <c r="P990" s="8"/>
      <c r="Q990" s="8"/>
      <c r="R990" s="8"/>
      <c r="S990" s="8"/>
      <c r="T990" s="8"/>
      <c r="U990" s="8"/>
      <c r="V990" s="8"/>
    </row>
    <row r="991" ht="24.0" customHeight="1">
      <c r="F991" s="8"/>
      <c r="G991" s="8"/>
      <c r="H991" s="8"/>
      <c r="I991" s="8"/>
      <c r="J991" s="8"/>
      <c r="K991" s="8"/>
      <c r="L991" s="8"/>
      <c r="M991" s="8"/>
      <c r="N991" s="8"/>
      <c r="O991" s="8"/>
      <c r="P991" s="8"/>
      <c r="Q991" s="8"/>
      <c r="R991" s="8"/>
      <c r="S991" s="8"/>
      <c r="T991" s="8"/>
      <c r="U991" s="8"/>
      <c r="V991" s="8"/>
    </row>
    <row r="992" ht="24.0" customHeight="1">
      <c r="F992" s="8"/>
      <c r="G992" s="8"/>
      <c r="H992" s="8"/>
      <c r="I992" s="8"/>
      <c r="J992" s="8"/>
      <c r="K992" s="8"/>
      <c r="L992" s="8"/>
      <c r="M992" s="8"/>
      <c r="N992" s="8"/>
      <c r="O992" s="8"/>
      <c r="P992" s="8"/>
      <c r="Q992" s="8"/>
      <c r="R992" s="8"/>
      <c r="S992" s="8"/>
      <c r="T992" s="8"/>
      <c r="U992" s="8"/>
      <c r="V992" s="8"/>
    </row>
    <row r="993" ht="24.0" customHeight="1">
      <c r="F993" s="8"/>
      <c r="G993" s="8"/>
      <c r="H993" s="8"/>
      <c r="I993" s="8"/>
      <c r="J993" s="8"/>
      <c r="K993" s="8"/>
      <c r="L993" s="8"/>
      <c r="M993" s="8"/>
      <c r="N993" s="8"/>
      <c r="O993" s="8"/>
      <c r="P993" s="8"/>
      <c r="Q993" s="8"/>
      <c r="R993" s="8"/>
      <c r="S993" s="8"/>
      <c r="T993" s="8"/>
      <c r="U993" s="8"/>
      <c r="V993" s="8"/>
    </row>
    <row r="994" ht="24.0" customHeight="1">
      <c r="F994" s="8"/>
      <c r="G994" s="8"/>
      <c r="H994" s="8"/>
      <c r="I994" s="8"/>
      <c r="J994" s="8"/>
      <c r="K994" s="8"/>
      <c r="L994" s="8"/>
      <c r="M994" s="8"/>
      <c r="N994" s="8"/>
      <c r="O994" s="8"/>
      <c r="P994" s="8"/>
      <c r="Q994" s="8"/>
      <c r="R994" s="8"/>
      <c r="S994" s="8"/>
      <c r="T994" s="8"/>
      <c r="U994" s="8"/>
      <c r="V994" s="8"/>
    </row>
    <row r="995" ht="24.0" customHeight="1">
      <c r="F995" s="8"/>
      <c r="G995" s="8"/>
      <c r="H995" s="8"/>
      <c r="I995" s="8"/>
      <c r="J995" s="8"/>
      <c r="K995" s="8"/>
      <c r="L995" s="8"/>
      <c r="M995" s="8"/>
      <c r="N995" s="8"/>
      <c r="O995" s="8"/>
      <c r="P995" s="8"/>
      <c r="Q995" s="8"/>
      <c r="R995" s="8"/>
      <c r="S995" s="8"/>
      <c r="T995" s="8"/>
      <c r="U995" s="8"/>
      <c r="V995" s="8"/>
    </row>
    <row r="996" ht="24.0" customHeight="1">
      <c r="F996" s="8"/>
      <c r="G996" s="8"/>
      <c r="H996" s="8"/>
      <c r="I996" s="8"/>
      <c r="J996" s="8"/>
      <c r="K996" s="8"/>
      <c r="L996" s="8"/>
      <c r="M996" s="8"/>
      <c r="N996" s="8"/>
      <c r="O996" s="8"/>
      <c r="P996" s="8"/>
      <c r="Q996" s="8"/>
      <c r="R996" s="8"/>
      <c r="S996" s="8"/>
      <c r="T996" s="8"/>
      <c r="U996" s="8"/>
      <c r="V996" s="8"/>
    </row>
    <row r="997" ht="24.0" customHeight="1">
      <c r="F997" s="8"/>
      <c r="G997" s="8"/>
      <c r="H997" s="8"/>
      <c r="I997" s="8"/>
      <c r="J997" s="8"/>
      <c r="K997" s="8"/>
      <c r="L997" s="8"/>
      <c r="M997" s="8"/>
      <c r="N997" s="8"/>
      <c r="O997" s="8"/>
      <c r="P997" s="8"/>
      <c r="Q997" s="8"/>
      <c r="R997" s="8"/>
      <c r="S997" s="8"/>
      <c r="T997" s="8"/>
      <c r="U997" s="8"/>
      <c r="V997" s="8"/>
    </row>
    <row r="998" ht="24.0" customHeight="1">
      <c r="F998" s="8"/>
      <c r="G998" s="8"/>
      <c r="H998" s="8"/>
      <c r="I998" s="8"/>
      <c r="J998" s="8"/>
      <c r="K998" s="8"/>
      <c r="L998" s="8"/>
      <c r="M998" s="8"/>
      <c r="N998" s="8"/>
      <c r="O998" s="8"/>
      <c r="P998" s="8"/>
      <c r="Q998" s="8"/>
      <c r="R998" s="8"/>
      <c r="S998" s="8"/>
      <c r="T998" s="8"/>
      <c r="U998" s="8"/>
      <c r="V998" s="8"/>
    </row>
  </sheetData>
  <autoFilter ref="$A$1:$Y$16"/>
  <conditionalFormatting sqref="W2:W152">
    <cfRule type="cellIs" dxfId="6" priority="1" operator="lessThanOrEqual">
      <formula>21</formula>
    </cfRule>
  </conditionalFormatting>
  <conditionalFormatting sqref="W2:W152">
    <cfRule type="cellIs" dxfId="7" priority="2" operator="lessThanOrEqual">
      <formula>28</formula>
    </cfRule>
  </conditionalFormatting>
  <conditionalFormatting sqref="W2:W152">
    <cfRule type="cellIs" dxfId="8" priority="3" operator="greaterThanOrEqual">
      <formula>29</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13.88"/>
    <col customWidth="1" min="2" max="2" width="25.63"/>
    <col customWidth="1" min="3" max="3" width="21.38"/>
    <col customWidth="1" min="4" max="4" width="16.75"/>
    <col customWidth="1" min="5" max="5" width="11.63"/>
    <col customWidth="1" min="6" max="6" width="33.63"/>
    <col customWidth="1" min="7" max="7" width="36.5"/>
    <col customWidth="1" min="8" max="16" width="2.13"/>
    <col customWidth="1" min="17" max="17" width="3.25"/>
    <col customWidth="1" min="18" max="18" width="62.38"/>
    <col customWidth="1" min="19" max="19" width="24.75"/>
    <col customWidth="1" min="20" max="20" width="22.88"/>
    <col customWidth="1" min="21" max="21" width="14.13"/>
    <col customWidth="1" min="22" max="22" width="128.13"/>
  </cols>
  <sheetData>
    <row r="1">
      <c r="A1" s="149" t="s">
        <v>13</v>
      </c>
      <c r="B1" s="149" t="s">
        <v>45</v>
      </c>
      <c r="C1" s="149" t="s">
        <v>46</v>
      </c>
      <c r="D1" s="149" t="s">
        <v>47</v>
      </c>
      <c r="E1" s="149" t="s">
        <v>1</v>
      </c>
      <c r="F1" s="149" t="s">
        <v>48</v>
      </c>
      <c r="G1" s="149" t="s">
        <v>49</v>
      </c>
      <c r="H1" s="149">
        <v>1.0</v>
      </c>
      <c r="I1" s="149">
        <v>2.0</v>
      </c>
      <c r="J1" s="149">
        <v>3.0</v>
      </c>
      <c r="K1" s="149">
        <v>4.0</v>
      </c>
      <c r="L1" s="149">
        <v>5.0</v>
      </c>
      <c r="M1" s="149">
        <v>6.0</v>
      </c>
      <c r="N1" s="149">
        <v>7.0</v>
      </c>
      <c r="O1" s="149">
        <v>8.0</v>
      </c>
      <c r="P1" s="149">
        <v>9.0</v>
      </c>
      <c r="Q1" s="149">
        <v>10.0</v>
      </c>
      <c r="R1" s="149" t="s">
        <v>50</v>
      </c>
      <c r="S1" s="149" t="s">
        <v>51</v>
      </c>
      <c r="T1" s="149" t="s">
        <v>52</v>
      </c>
      <c r="U1" s="149" t="s">
        <v>53</v>
      </c>
      <c r="V1" s="149" t="s">
        <v>54</v>
      </c>
      <c r="W1" s="8"/>
      <c r="X1" s="8"/>
      <c r="Y1" s="8"/>
      <c r="Z1" s="8"/>
    </row>
    <row r="2">
      <c r="A2" s="150">
        <f>IFERROR(__xludf.DUMMYFUNCTION("importrange(""https://docs.google.com/spreadsheets/d/1o_1Jk0MyrRCy0jGMCTf22KDpF329FlXuCome0UebfX0/edit?resourcekey=&amp;gid=994456851#gid=994456851"",""Form Responses 1!A2:V1000"")"),45917.674196875)</f>
        <v>45917.6742</v>
      </c>
      <c r="B2" s="151" t="str">
        <f>IFERROR(__xludf.DUMMYFUNCTION("""COMPUTED_VALUE"""),"Nugraha Indrabudi")</f>
        <v>Nugraha Indrabudi</v>
      </c>
      <c r="C2" s="152" t="str">
        <f>IFERROR(__xludf.DUMMYFUNCTION("""COMPUTED_VALUE"""),"Syabban G")</f>
        <v>Syabban G</v>
      </c>
      <c r="D2" s="152" t="str">
        <f>IFERROR(__xludf.DUMMYFUNCTION("""COMPUTED_VALUE"""),"I'L Putra")</f>
        <v>I'L Putra</v>
      </c>
      <c r="E2" s="152" t="str">
        <f>IFERROR(__xludf.DUMMYFUNCTION("""COMPUTED_VALUE"""),"B250025")</f>
        <v>B250025</v>
      </c>
      <c r="F2" s="151" t="str">
        <f>IFERROR(__xludf.DUMMYFUNCTION("""COMPUTED_VALUE"""),"IG")</f>
        <v>IG</v>
      </c>
      <c r="G2" s="151" t="str">
        <f>IFERROR(__xludf.DUMMYFUNCTION("""COMPUTED_VALUE"""),"Memiliki teman/rekan/tetangga di PUAS")</f>
        <v>Memiliki teman/rekan/tetangga di PUAS</v>
      </c>
      <c r="H2" s="152" t="str">
        <f>IFERROR(__xludf.DUMMYFUNCTION("""COMPUTED_VALUE"""),"A. Condong ke orientasi akhirat/agama")</f>
        <v>A. Condong ke orientasi akhirat/agama</v>
      </c>
      <c r="I2" s="152" t="str">
        <f>IFERROR(__xludf.DUMMYFUNCTION("""COMPUTED_VALUE"""),"A. Pilihan utama untuk agama, akhlak, dan karakter")</f>
        <v>A. Pilihan utama untuk agama, akhlak, dan karakter</v>
      </c>
      <c r="J2" s="152" t="str">
        <f>IFERROR(__xludf.DUMMYFUNCTION("""COMPUTED_VALUE"""),"A. Orang tua &amp; anak")</f>
        <v>A. Orang tua &amp; anak</v>
      </c>
      <c r="K2" s="152" t="str">
        <f>IFERROR(__xludf.DUMMYFUNCTION("""COMPUTED_VALUE"""),"A. Memberikan pengertian")</f>
        <v>A. Memberikan pengertian</v>
      </c>
      <c r="L2" s="152" t="str">
        <f>IFERROR(__xludf.DUMMYFUNCTION("""COMPUTED_VALUE"""),"A. Intensif (tahfizh, sekolah Islam)")</f>
        <v>A. Intensif (tahfizh, sekolah Islam)</v>
      </c>
      <c r="M2" s="152" t="str">
        <f>IFERROR(__xludf.DUMMYFUNCTION("""COMPUTED_VALUE"""),"A. Yakin")</f>
        <v>A. Yakin</v>
      </c>
      <c r="N2" s="152" t="str">
        <f>IFERROR(__xludf.DUMMYFUNCTION("""COMPUTED_VALUE"""),"A. Sangat penting")</f>
        <v>A. Sangat penting</v>
      </c>
      <c r="O2" s="152" t="str">
        <f>IFERROR(__xludf.DUMMYFUNCTION("""COMPUTED_VALUE"""),"A. Berkala")</f>
        <v>A. Berkala</v>
      </c>
      <c r="P2" s="152" t="str">
        <f>IFERROR(__xludf.DUMMYFUNCTION("""COMPUTED_VALUE"""),"A. Klarifikasi &amp; beri semangat pada anak")</f>
        <v>A. Klarifikasi &amp; beri semangat pada anak</v>
      </c>
      <c r="Q2" s="152" t="str">
        <f>IFERROR(__xludf.DUMMYFUNCTION("""COMPUTED_VALUE"""),"A. Menerima sebagai konsekuensi (selama bimbingan sudah maksimal)")</f>
        <v>A. Menerima sebagai konsekuensi (selama bimbingan sudah maksimal)</v>
      </c>
      <c r="R2" s="151" t="str">
        <f>IFERROR(__xludf.DUMMYFUNCTION("""COMPUTED_VALUE"""),"Positif: cekatan, jago masak, pandai menyesuaikan diri. negatif: ceroboh")</f>
        <v>Positif: cekatan, jago masak, pandai menyesuaikan diri. negatif: ceroboh</v>
      </c>
      <c r="S2" s="151" t="str">
        <f>IFERROR(__xludf.DUMMYFUNCTION("""COMPUTED_VALUE"""),"Belum")</f>
        <v>Belum</v>
      </c>
      <c r="T2" s="151" t="str">
        <f>IFERROR(__xludf.DUMMYFUNCTION("""COMPUTED_VALUE"""),"Diterima")</f>
        <v>Diterima</v>
      </c>
      <c r="U2" s="151" t="str">
        <f>IFERROR(__xludf.DUMMYFUNCTION("""COMPUTED_VALUE"""),"Teguh")</f>
        <v>Teguh</v>
      </c>
      <c r="V2" s="71" t="str">
        <f>IFERROR(__xludf.DUMMYFUNCTION("""COMPUTED_VALUE"""),"yang bersangkutan daftar sekaligus bersama adeknya")</f>
        <v>yang bersangkutan daftar sekaligus bersama adeknya</v>
      </c>
    </row>
    <row r="3">
      <c r="A3" s="153">
        <f>IFERROR(__xludf.DUMMYFUNCTION("""COMPUTED_VALUE"""),45917.69256386574)</f>
        <v>45917.69256</v>
      </c>
      <c r="B3" s="154" t="str">
        <f>IFERROR(__xludf.DUMMYFUNCTION("""COMPUTED_VALUE"""),"Nugraha")</f>
        <v>Nugraha</v>
      </c>
      <c r="C3" s="155" t="str">
        <f>IFERROR(__xludf.DUMMYFUNCTION("""COMPUTED_VALUE"""),"Aviccena Syahdan")</f>
        <v>Aviccena Syahdan</v>
      </c>
      <c r="D3" s="155" t="str">
        <f>IFERROR(__xludf.DUMMYFUNCTION("""COMPUTED_VALUE"""),"MTs Putra")</f>
        <v>MTs Putra</v>
      </c>
      <c r="E3" s="155" t="str">
        <f>IFERROR(__xludf.DUMMYFUNCTION("""COMPUTED_VALUE"""),"B250060")</f>
        <v>B250060</v>
      </c>
      <c r="F3" s="155" t="str">
        <f>IFERROR(__xludf.DUMMYFUNCTION("""COMPUTED_VALUE"""),"IG")</f>
        <v>IG</v>
      </c>
      <c r="G3" s="155" t="str">
        <f>IFERROR(__xludf.DUMMYFUNCTION("""COMPUTED_VALUE"""),"Memiliki teman/rekan/tetangga di PUAS")</f>
        <v>Memiliki teman/rekan/tetangga di PUAS</v>
      </c>
      <c r="H3" s="156" t="str">
        <f>IFERROR(__xludf.DUMMYFUNCTION("""COMPUTED_VALUE"""),"A. Condong ke orientasi akhirat/agama")</f>
        <v>A. Condong ke orientasi akhirat/agama</v>
      </c>
      <c r="I3" s="156" t="str">
        <f>IFERROR(__xludf.DUMMYFUNCTION("""COMPUTED_VALUE"""),"A. Pilihan utama untuk agama, akhlak, dan karakter")</f>
        <v>A. Pilihan utama untuk agama, akhlak, dan karakter</v>
      </c>
      <c r="J3" s="156" t="str">
        <f>IFERROR(__xludf.DUMMYFUNCTION("""COMPUTED_VALUE"""),"A. Orang tua &amp; anak")</f>
        <v>A. Orang tua &amp; anak</v>
      </c>
      <c r="K3" s="156" t="str">
        <f>IFERROR(__xludf.DUMMYFUNCTION("""COMPUTED_VALUE"""),"A. Memberikan pengertian")</f>
        <v>A. Memberikan pengertian</v>
      </c>
      <c r="L3" s="156" t="str">
        <f>IFERROR(__xludf.DUMMYFUNCTION("""COMPUTED_VALUE"""),"A. Intensif (tahfizh, sekolah Islam)")</f>
        <v>A. Intensif (tahfizh, sekolah Islam)</v>
      </c>
      <c r="M3" s="156" t="str">
        <f>IFERROR(__xludf.DUMMYFUNCTION("""COMPUTED_VALUE"""),"A. Yakin")</f>
        <v>A. Yakin</v>
      </c>
      <c r="N3" s="156" t="str">
        <f>IFERROR(__xludf.DUMMYFUNCTION("""COMPUTED_VALUE"""),"A. Sangat penting")</f>
        <v>A. Sangat penting</v>
      </c>
      <c r="O3" s="156" t="str">
        <f>IFERROR(__xludf.DUMMYFUNCTION("""COMPUTED_VALUE"""),"A. Berkala")</f>
        <v>A. Berkala</v>
      </c>
      <c r="P3" s="156" t="str">
        <f>IFERROR(__xludf.DUMMYFUNCTION("""COMPUTED_VALUE"""),"A. Klarifikasi &amp; beri semangat pada anak")</f>
        <v>A. Klarifikasi &amp; beri semangat pada anak</v>
      </c>
      <c r="Q3" s="156" t="str">
        <f>IFERROR(__xludf.DUMMYFUNCTION("""COMPUTED_VALUE"""),"A. Menerima sebagai konsekuensi (selama bimbingan sudah maksimal)")</f>
        <v>A. Menerima sebagai konsekuensi (selama bimbingan sudah maksimal)</v>
      </c>
      <c r="R3" s="156" t="str">
        <f>IFERROR(__xludf.DUMMYFUNCTION("""COMPUTED_VALUE"""),"Positif: perhatian, lebih peduli, lebih ekpresip. Negatif : Manja")</f>
        <v>Positif: perhatian, lebih peduli, lebih ekpresip. Negatif : Manja</v>
      </c>
      <c r="S3" s="157" t="str">
        <f>IFERROR(__xludf.DUMMYFUNCTION("""COMPUTED_VALUE"""),"Belum")</f>
        <v>Belum</v>
      </c>
      <c r="T3" s="157" t="str">
        <f>IFERROR(__xludf.DUMMYFUNCTION("""COMPUTED_VALUE"""),"Diterima")</f>
        <v>Diterima</v>
      </c>
      <c r="U3" s="157" t="str">
        <f>IFERROR(__xludf.DUMMYFUNCTION("""COMPUTED_VALUE"""),"Teguh")</f>
        <v>Teguh</v>
      </c>
      <c r="V3" s="71" t="str">
        <f>IFERROR(__xludf.DUMMYFUNCTION("""COMPUTED_VALUE"""),"kakak yang bersangkutan masuk ke kelas IL")</f>
        <v>kakak yang bersangkutan masuk ke kelas IL</v>
      </c>
    </row>
    <row r="4">
      <c r="A4" s="153">
        <f>IFERROR(__xludf.DUMMYFUNCTION("""COMPUTED_VALUE"""),45918.43873902778)</f>
        <v>45918.43874</v>
      </c>
      <c r="B4" s="154" t="str">
        <f>IFERROR(__xludf.DUMMYFUNCTION("""COMPUTED_VALUE"""),"Lina Aryana")</f>
        <v>Lina Aryana</v>
      </c>
      <c r="C4" s="155" t="str">
        <f>IFERROR(__xludf.DUMMYFUNCTION("""COMPUTED_VALUE"""),"Nadira")</f>
        <v>Nadira</v>
      </c>
      <c r="D4" s="155" t="str">
        <f>IFERROR(__xludf.DUMMYFUNCTION("""COMPUTED_VALUE"""),"IL Putri")</f>
        <v>IL Putri</v>
      </c>
      <c r="E4" s="155" t="str">
        <f>IFERROR(__xludf.DUMMYFUNCTION("""COMPUTED_VALUE"""),"E250007")</f>
        <v>E250007</v>
      </c>
      <c r="F4" s="155" t="str">
        <f>IFERROR(__xludf.DUMMYFUNCTION("""COMPUTED_VALUE"""),"Akamsi")</f>
        <v>Akamsi</v>
      </c>
      <c r="G4" s="155" t="str">
        <f>IFERROR(__xludf.DUMMYFUNCTION("""COMPUTED_VALUE"""),"Memiliki keluarga/saudara/kerabat di PUAS")</f>
        <v>Memiliki keluarga/saudara/kerabat di PUAS</v>
      </c>
      <c r="H4" s="156" t="str">
        <f>IFERROR(__xludf.DUMMYFUNCTION("""COMPUTED_VALUE"""),"A. Condong ke orientasi akhirat/agama")</f>
        <v>A. Condong ke orientasi akhirat/agama</v>
      </c>
      <c r="I4" s="156" t="str">
        <f>IFERROR(__xludf.DUMMYFUNCTION("""COMPUTED_VALUE"""),"A. Pilihan utama untuk agama, akhlak, dan karakter")</f>
        <v>A. Pilihan utama untuk agama, akhlak, dan karakter</v>
      </c>
      <c r="J4" s="156" t="str">
        <f>IFERROR(__xludf.DUMMYFUNCTION("""COMPUTED_VALUE"""),"A. Orang tua &amp; anak")</f>
        <v>A. Orang tua &amp; anak</v>
      </c>
      <c r="K4" s="156" t="str">
        <f>IFERROR(__xludf.DUMMYFUNCTION("""COMPUTED_VALUE"""),"A. Memberikan pengertian")</f>
        <v>A. Memberikan pengertian</v>
      </c>
      <c r="L4" s="156" t="str">
        <f>IFERROR(__xludf.DUMMYFUNCTION("""COMPUTED_VALUE"""),"A. Intensif (tahfizh, sekolah Islam)")</f>
        <v>A. Intensif (tahfizh, sekolah Islam)</v>
      </c>
      <c r="M4" s="156" t="str">
        <f>IFERROR(__xludf.DUMMYFUNCTION("""COMPUTED_VALUE"""),"A. Yakin")</f>
        <v>A. Yakin</v>
      </c>
      <c r="N4" s="156" t="str">
        <f>IFERROR(__xludf.DUMMYFUNCTION("""COMPUTED_VALUE"""),"A. Sangat penting")</f>
        <v>A. Sangat penting</v>
      </c>
      <c r="O4" s="156" t="str">
        <f>IFERROR(__xludf.DUMMYFUNCTION("""COMPUTED_VALUE"""),"A. Berkala")</f>
        <v>A. Berkala</v>
      </c>
      <c r="P4" s="156" t="str">
        <f>IFERROR(__xludf.DUMMYFUNCTION("""COMPUTED_VALUE"""),"A. Klarifikasi &amp; beri semangat pada anak")</f>
        <v>A. Klarifikasi &amp; beri semangat pada anak</v>
      </c>
      <c r="Q4" s="156" t="str">
        <f>IFERROR(__xludf.DUMMYFUNCTION("""COMPUTED_VALUE"""),"A. Menerima sebagai konsekuensi (selama bimbingan sudah maksimal)")</f>
        <v>A. Menerima sebagai konsekuensi (selama bimbingan sudah maksimal)</v>
      </c>
      <c r="R4" s="156" t="str">
        <f>IFERROR(__xludf.DUMMYFUNCTION("""COMPUTED_VALUE"""),"Positif: Rajin")</f>
        <v>Positif: Rajin</v>
      </c>
      <c r="S4" s="157" t="str">
        <f>IFERROR(__xludf.DUMMYFUNCTION("""COMPUTED_VALUE"""),"Belum")</f>
        <v>Belum</v>
      </c>
      <c r="T4" s="157" t="str">
        <f>IFERROR(__xludf.DUMMYFUNCTION("""COMPUTED_VALUE"""),"Diterima")</f>
        <v>Diterima</v>
      </c>
      <c r="U4" s="157" t="str">
        <f>IFERROR(__xludf.DUMMYFUNCTION("""COMPUTED_VALUE"""),"Teguh")</f>
        <v>Teguh</v>
      </c>
      <c r="V4" s="71" t="str">
        <f>IFERROR(__xludf.DUMMYFUNCTION("""COMPUTED_VALUE"""),"Akamsi Cihaur ")</f>
        <v>Akamsi Cihaur </v>
      </c>
    </row>
    <row r="5">
      <c r="A5" s="153">
        <f>IFERROR(__xludf.DUMMYFUNCTION("""COMPUTED_VALUE"""),45918.441774039355)</f>
        <v>45918.44177</v>
      </c>
      <c r="B5" s="156" t="str">
        <f>IFERROR(__xludf.DUMMYFUNCTION("""COMPUTED_VALUE"""),"Mimit")</f>
        <v>Mimit</v>
      </c>
      <c r="C5" s="155" t="str">
        <f>IFERROR(__xludf.DUMMYFUNCTION("""COMPUTED_VALUE"""),"Siti Arafah")</f>
        <v>Siti Arafah</v>
      </c>
      <c r="D5" s="155" t="str">
        <f>IFERROR(__xludf.DUMMYFUNCTION("""COMPUTED_VALUE"""),"IL Putri")</f>
        <v>IL Putri</v>
      </c>
      <c r="E5" s="155" t="str">
        <f>IFERROR(__xludf.DUMMYFUNCTION("""COMPUTED_VALUE"""),"E250008")</f>
        <v>E250008</v>
      </c>
      <c r="F5" s="155" t="str">
        <f>IFERROR(__xludf.DUMMYFUNCTION("""COMPUTED_VALUE"""),"Putra Kiayi Endun")</f>
        <v>Putra Kiayi Endun</v>
      </c>
      <c r="G5" s="155" t="str">
        <f>IFERROR(__xludf.DUMMYFUNCTION("""COMPUTED_VALUE"""),"Memiliki keluarga/saudara/kerabat di PUAS")</f>
        <v>Memiliki keluarga/saudara/kerabat di PUAS</v>
      </c>
      <c r="H5" s="156" t="str">
        <f>IFERROR(__xludf.DUMMYFUNCTION("""COMPUTED_VALUE"""),"A. Condong ke orientasi akhirat/agama")</f>
        <v>A. Condong ke orientasi akhirat/agama</v>
      </c>
      <c r="I5" s="156" t="str">
        <f>IFERROR(__xludf.DUMMYFUNCTION("""COMPUTED_VALUE"""),"A. Pilihan utama untuk agama, akhlak, dan karakter")</f>
        <v>A. Pilihan utama untuk agama, akhlak, dan karakter</v>
      </c>
      <c r="J5" s="156" t="str">
        <f>IFERROR(__xludf.DUMMYFUNCTION("""COMPUTED_VALUE"""),"A. Orang tua &amp; anak")</f>
        <v>A. Orang tua &amp; anak</v>
      </c>
      <c r="K5" s="156" t="str">
        <f>IFERROR(__xludf.DUMMYFUNCTION("""COMPUTED_VALUE"""),"A. Memberikan pengertian")</f>
        <v>A. Memberikan pengertian</v>
      </c>
      <c r="L5" s="156" t="str">
        <f>IFERROR(__xludf.DUMMYFUNCTION("""COMPUTED_VALUE"""),"A. Intensif (tahfizh, sekolah Islam)")</f>
        <v>A. Intensif (tahfizh, sekolah Islam)</v>
      </c>
      <c r="M5" s="156" t="str">
        <f>IFERROR(__xludf.DUMMYFUNCTION("""COMPUTED_VALUE"""),"A. Yakin")</f>
        <v>A. Yakin</v>
      </c>
      <c r="N5" s="156" t="str">
        <f>IFERROR(__xludf.DUMMYFUNCTION("""COMPUTED_VALUE"""),"A. Sangat penting")</f>
        <v>A. Sangat penting</v>
      </c>
      <c r="O5" s="156" t="str">
        <f>IFERROR(__xludf.DUMMYFUNCTION("""COMPUTED_VALUE"""),"A. Berkala")</f>
        <v>A. Berkala</v>
      </c>
      <c r="P5" s="156" t="str">
        <f>IFERROR(__xludf.DUMMYFUNCTION("""COMPUTED_VALUE"""),"A. Klarifikasi &amp; beri semangat pada anak")</f>
        <v>A. Klarifikasi &amp; beri semangat pada anak</v>
      </c>
      <c r="Q5" s="156" t="str">
        <f>IFERROR(__xludf.DUMMYFUNCTION("""COMPUTED_VALUE"""),"A. Menerima sebagai konsekuensi (selama bimbingan sudah maksimal)")</f>
        <v>A. Menerima sebagai konsekuensi (selama bimbingan sudah maksimal)</v>
      </c>
      <c r="R5" s="157" t="str">
        <f>IFERROR(__xludf.DUMMYFUNCTION("""COMPUTED_VALUE"""),"Positif : Rajin . Negatif: Pendiam  ")</f>
        <v>Positif : Rajin . Negatif: Pendiam  </v>
      </c>
      <c r="S5" s="157" t="str">
        <f>IFERROR(__xludf.DUMMYFUNCTION("""COMPUTED_VALUE"""),"Belum")</f>
        <v>Belum</v>
      </c>
      <c r="T5" s="157" t="str">
        <f>IFERROR(__xludf.DUMMYFUNCTION("""COMPUTED_VALUE"""),"Diterima")</f>
        <v>Diterima</v>
      </c>
      <c r="U5" s="157" t="str">
        <f>IFERROR(__xludf.DUMMYFUNCTION("""COMPUTED_VALUE"""),"Teguh")</f>
        <v>Teguh</v>
      </c>
      <c r="V5" s="71" t="str">
        <f>IFERROR(__xludf.DUMMYFUNCTION("""COMPUTED_VALUE"""),"Anak Kiayi Endun. Sekarang Mondok di Jakarta")</f>
        <v>Anak Kiayi Endun. Sekarang Mondok di Jakarta</v>
      </c>
    </row>
    <row r="6">
      <c r="A6" s="153">
        <f>IFERROR(__xludf.DUMMYFUNCTION("""COMPUTED_VALUE"""),45918.44649180556)</f>
        <v>45918.44649</v>
      </c>
      <c r="B6" s="156" t="str">
        <f>IFERROR(__xludf.DUMMYFUNCTION("""COMPUTED_VALUE"""),"Halimah ")</f>
        <v>Halimah </v>
      </c>
      <c r="C6" s="155" t="str">
        <f>IFERROR(__xludf.DUMMYFUNCTION("""COMPUTED_VALUE"""),"Siti Hafshoh Sholihah")</f>
        <v>Siti Hafshoh Sholihah</v>
      </c>
      <c r="D6" s="155" t="str">
        <f>IFERROR(__xludf.DUMMYFUNCTION("""COMPUTED_VALUE"""),"IL Putri")</f>
        <v>IL Putri</v>
      </c>
      <c r="E6" s="155" t="str">
        <f>IFERROR(__xludf.DUMMYFUNCTION("""COMPUTED_VALUE"""),"E250005")</f>
        <v>E250005</v>
      </c>
      <c r="F6" s="155" t="str">
        <f>IFERROR(__xludf.DUMMYFUNCTION("""COMPUTED_VALUE"""),"Akamsi Narogong ")</f>
        <v>Akamsi Narogong </v>
      </c>
      <c r="G6" s="155" t="str">
        <f>IFERROR(__xludf.DUMMYFUNCTION("""COMPUTED_VALUE"""),"Memiliki teman/rekan/tetangga di PUAS")</f>
        <v>Memiliki teman/rekan/tetangga di PUAS</v>
      </c>
      <c r="H6" s="156" t="str">
        <f>IFERROR(__xludf.DUMMYFUNCTION("""COMPUTED_VALUE"""),"A. Condong ke orientasi akhirat/agama")</f>
        <v>A. Condong ke orientasi akhirat/agama</v>
      </c>
      <c r="I6" s="156" t="str">
        <f>IFERROR(__xludf.DUMMYFUNCTION("""COMPUTED_VALUE"""),"A. Pilihan utama untuk agama, akhlak, dan karakter")</f>
        <v>A. Pilihan utama untuk agama, akhlak, dan karakter</v>
      </c>
      <c r="J6" s="156" t="str">
        <f>IFERROR(__xludf.DUMMYFUNCTION("""COMPUTED_VALUE"""),"A. Orang tua &amp; anak")</f>
        <v>A. Orang tua &amp; anak</v>
      </c>
      <c r="K6" s="156" t="str">
        <f>IFERROR(__xludf.DUMMYFUNCTION("""COMPUTED_VALUE"""),"A. Memberikan pengertian")</f>
        <v>A. Memberikan pengertian</v>
      </c>
      <c r="L6" s="156" t="str">
        <f>IFERROR(__xludf.DUMMYFUNCTION("""COMPUTED_VALUE"""),"A. Intensif (tahfizh, sekolah Islam)")</f>
        <v>A. Intensif (tahfizh, sekolah Islam)</v>
      </c>
      <c r="M6" s="156" t="str">
        <f>IFERROR(__xludf.DUMMYFUNCTION("""COMPUTED_VALUE"""),"A. Yakin")</f>
        <v>A. Yakin</v>
      </c>
      <c r="N6" s="156" t="str">
        <f>IFERROR(__xludf.DUMMYFUNCTION("""COMPUTED_VALUE"""),"A. Sangat penting")</f>
        <v>A. Sangat penting</v>
      </c>
      <c r="O6" s="156" t="str">
        <f>IFERROR(__xludf.DUMMYFUNCTION("""COMPUTED_VALUE"""),"A. Berkala")</f>
        <v>A. Berkala</v>
      </c>
      <c r="P6" s="156" t="str">
        <f>IFERROR(__xludf.DUMMYFUNCTION("""COMPUTED_VALUE"""),"A. Klarifikasi &amp; beri semangat pada anak")</f>
        <v>A. Klarifikasi &amp; beri semangat pada anak</v>
      </c>
      <c r="Q6" s="156" t="str">
        <f>IFERROR(__xludf.DUMMYFUNCTION("""COMPUTED_VALUE"""),"A. Menerima sebagai konsekuensi (selama bimbingan sudah maksimal)")</f>
        <v>A. Menerima sebagai konsekuensi (selama bimbingan sudah maksimal)</v>
      </c>
      <c r="R6" s="157" t="str">
        <f>IFERROR(__xludf.DUMMYFUNCTION("""COMPUTED_VALUE"""),"Positif : Rajin, perhatian terhadap orang. Negatif : Pendiam Sangat ")</f>
        <v>Positif : Rajin, perhatian terhadap orang. Negatif : Pendiam Sangat </v>
      </c>
      <c r="S6" s="157" t="str">
        <f>IFERROR(__xludf.DUMMYFUNCTION("""COMPUTED_VALUE"""),"Belum")</f>
        <v>Belum</v>
      </c>
      <c r="T6" s="157" t="str">
        <f>IFERROR(__xludf.DUMMYFUNCTION("""COMPUTED_VALUE"""),"Diterima")</f>
        <v>Diterima</v>
      </c>
      <c r="U6" s="157" t="str">
        <f>IFERROR(__xludf.DUMMYFUNCTION("""COMPUTED_VALUE"""),"Teguh")</f>
        <v>Teguh</v>
      </c>
      <c r="V6" s="71" t="str">
        <f>IFERROR(__xludf.DUMMYFUNCTION("""COMPUTED_VALUE"""),"Anaknya Pendiam Sehingga Guru Harus Aktif")</f>
        <v>Anaknya Pendiam Sehingga Guru Harus Aktif</v>
      </c>
    </row>
    <row r="7">
      <c r="A7" s="153">
        <f>IFERROR(__xludf.DUMMYFUNCTION("""COMPUTED_VALUE"""),45918.453871875)</f>
        <v>45918.45387</v>
      </c>
      <c r="B7" s="156" t="str">
        <f>IFERROR(__xludf.DUMMYFUNCTION("""COMPUTED_VALUE"""),"Kidah Faridah")</f>
        <v>Kidah Faridah</v>
      </c>
      <c r="C7" s="155" t="str">
        <f>IFERROR(__xludf.DUMMYFUNCTION("""COMPUTED_VALUE"""),"Azkia Salsabila")</f>
        <v>Azkia Salsabila</v>
      </c>
      <c r="D7" s="155" t="str">
        <f>IFERROR(__xludf.DUMMYFUNCTION("""COMPUTED_VALUE"""),"I'L Putra")</f>
        <v>I'L Putra</v>
      </c>
      <c r="E7" s="155" t="str">
        <f>IFERROR(__xludf.DUMMYFUNCTION("""COMPUTED_VALUE"""),"E250006")</f>
        <v>E250006</v>
      </c>
      <c r="F7" s="155" t="str">
        <f>IFERROR(__xludf.DUMMYFUNCTION("""COMPUTED_VALUE"""),"Akamisi")</f>
        <v>Akamisi</v>
      </c>
      <c r="G7" s="155" t="str">
        <f>IFERROR(__xludf.DUMMYFUNCTION("""COMPUTED_VALUE"""),"Memiliki keluarga/saudara/kerabat di PUAS")</f>
        <v>Memiliki keluarga/saudara/kerabat di PUAS</v>
      </c>
      <c r="H7" s="156" t="str">
        <f>IFERROR(__xludf.DUMMYFUNCTION("""COMPUTED_VALUE"""),"A. Condong ke orientasi akhirat/agama")</f>
        <v>A. Condong ke orientasi akhirat/agama</v>
      </c>
      <c r="I7" s="156" t="str">
        <f>IFERROR(__xludf.DUMMYFUNCTION("""COMPUTED_VALUE"""),"A. Pilihan utama untuk agama, akhlak, dan karakter")</f>
        <v>A. Pilihan utama untuk agama, akhlak, dan karakter</v>
      </c>
      <c r="J7" s="156" t="str">
        <f>IFERROR(__xludf.DUMMYFUNCTION("""COMPUTED_VALUE"""),"A. Orang tua &amp; anak")</f>
        <v>A. Orang tua &amp; anak</v>
      </c>
      <c r="K7" s="156" t="str">
        <f>IFERROR(__xludf.DUMMYFUNCTION("""COMPUTED_VALUE"""),"A. Memberikan pengertian")</f>
        <v>A. Memberikan pengertian</v>
      </c>
      <c r="L7" s="156" t="str">
        <f>IFERROR(__xludf.DUMMYFUNCTION("""COMPUTED_VALUE"""),"A. Intensif (tahfizh, sekolah Islam)")</f>
        <v>A. Intensif (tahfizh, sekolah Islam)</v>
      </c>
      <c r="M7" s="156" t="str">
        <f>IFERROR(__xludf.DUMMYFUNCTION("""COMPUTED_VALUE"""),"A. Yakin")</f>
        <v>A. Yakin</v>
      </c>
      <c r="N7" s="156" t="str">
        <f>IFERROR(__xludf.DUMMYFUNCTION("""COMPUTED_VALUE"""),"A. Sangat penting")</f>
        <v>A. Sangat penting</v>
      </c>
      <c r="O7" s="156" t="str">
        <f>IFERROR(__xludf.DUMMYFUNCTION("""COMPUTED_VALUE"""),"A. Berkala")</f>
        <v>A. Berkala</v>
      </c>
      <c r="P7" s="156" t="str">
        <f>IFERROR(__xludf.DUMMYFUNCTION("""COMPUTED_VALUE"""),"A. Klarifikasi &amp; beri semangat pada anak")</f>
        <v>A. Klarifikasi &amp; beri semangat pada anak</v>
      </c>
      <c r="Q7" s="156" t="str">
        <f>IFERROR(__xludf.DUMMYFUNCTION("""COMPUTED_VALUE"""),"A. Menerima sebagai konsekuensi (selama bimbingan sudah maksimal)")</f>
        <v>A. Menerima sebagai konsekuensi (selama bimbingan sudah maksimal)</v>
      </c>
      <c r="R7" s="157" t="str">
        <f>IFERROR(__xludf.DUMMYFUNCTION("""COMPUTED_VALUE"""),"Positif : ")</f>
        <v>Positif : </v>
      </c>
      <c r="S7" s="157" t="str">
        <f>IFERROR(__xludf.DUMMYFUNCTION("""COMPUTED_VALUE"""),"Belum")</f>
        <v>Belum</v>
      </c>
      <c r="T7" s="157" t="str">
        <f>IFERROR(__xludf.DUMMYFUNCTION("""COMPUTED_VALUE"""),"Diterima")</f>
        <v>Diterima</v>
      </c>
      <c r="U7" s="157" t="str">
        <f>IFERROR(__xludf.DUMMYFUNCTION("""COMPUTED_VALUE"""),"Teguh")</f>
        <v>Teguh</v>
      </c>
      <c r="V7" s="71" t="str">
        <f>IFERROR(__xludf.DUMMYFUNCTION("""COMPUTED_VALUE"""),"Putri Pak Iwan (agen warung). basic : Pesantren")</f>
        <v>Putri Pak Iwan (agen warung). basic : Pesantren</v>
      </c>
    </row>
    <row r="8">
      <c r="A8" s="153">
        <f>IFERROR(__xludf.DUMMYFUNCTION("""COMPUTED_VALUE"""),45918.4586143287)</f>
        <v>45918.45861</v>
      </c>
      <c r="B8" s="156" t="str">
        <f>IFERROR(__xludf.DUMMYFUNCTION("""COMPUTED_VALUE"""),"Ernawati")</f>
        <v>Ernawati</v>
      </c>
      <c r="C8" s="155" t="str">
        <f>IFERROR(__xludf.DUMMYFUNCTION("""COMPUTED_VALUE"""),"Widya Meilani")</f>
        <v>Widya Meilani</v>
      </c>
      <c r="D8" s="155" t="str">
        <f>IFERROR(__xludf.DUMMYFUNCTION("""COMPUTED_VALUE"""),"IL Putri")</f>
        <v>IL Putri</v>
      </c>
      <c r="E8" s="155" t="str">
        <f>IFERROR(__xludf.DUMMYFUNCTION("""COMPUTED_VALUE"""),"E250001")</f>
        <v>E250001</v>
      </c>
      <c r="F8" s="155" t="str">
        <f>IFERROR(__xludf.DUMMYFUNCTION("""COMPUTED_VALUE"""),"Akamsi Cihaur Kidul")</f>
        <v>Akamsi Cihaur Kidul</v>
      </c>
      <c r="G8" s="155" t="str">
        <f>IFERROR(__xludf.DUMMYFUNCTION("""COMPUTED_VALUE"""),"Memiliki keluarga/saudara/kerabat di PUAS")</f>
        <v>Memiliki keluarga/saudara/kerabat di PUAS</v>
      </c>
      <c r="H8" s="156" t="str">
        <f>IFERROR(__xludf.DUMMYFUNCTION("""COMPUTED_VALUE"""),"A. Condong ke orientasi akhirat/agama")</f>
        <v>A. Condong ke orientasi akhirat/agama</v>
      </c>
      <c r="I8" s="156" t="str">
        <f>IFERROR(__xludf.DUMMYFUNCTION("""COMPUTED_VALUE"""),"A. Pilihan utama untuk agama, akhlak, dan karakter")</f>
        <v>A. Pilihan utama untuk agama, akhlak, dan karakter</v>
      </c>
      <c r="J8" s="156" t="str">
        <f>IFERROR(__xludf.DUMMYFUNCTION("""COMPUTED_VALUE"""),"A. Orang tua &amp; anak")</f>
        <v>A. Orang tua &amp; anak</v>
      </c>
      <c r="K8" s="156" t="str">
        <f>IFERROR(__xludf.DUMMYFUNCTION("""COMPUTED_VALUE"""),"A. Memberikan pengertian")</f>
        <v>A. Memberikan pengertian</v>
      </c>
      <c r="L8" s="156" t="str">
        <f>IFERROR(__xludf.DUMMYFUNCTION("""COMPUTED_VALUE"""),"A. Intensif (tahfizh, sekolah Islam)")</f>
        <v>A. Intensif (tahfizh, sekolah Islam)</v>
      </c>
      <c r="M8" s="156" t="str">
        <f>IFERROR(__xludf.DUMMYFUNCTION("""COMPUTED_VALUE"""),"A. Yakin")</f>
        <v>A. Yakin</v>
      </c>
      <c r="N8" s="156" t="str">
        <f>IFERROR(__xludf.DUMMYFUNCTION("""COMPUTED_VALUE"""),"A. Sangat penting")</f>
        <v>A. Sangat penting</v>
      </c>
      <c r="O8" s="156" t="str">
        <f>IFERROR(__xludf.DUMMYFUNCTION("""COMPUTED_VALUE"""),"A. Berkala")</f>
        <v>A. Berkala</v>
      </c>
      <c r="P8" s="156" t="str">
        <f>IFERROR(__xludf.DUMMYFUNCTION("""COMPUTED_VALUE"""),"A. Klarifikasi &amp; beri semangat pada anak")</f>
        <v>A. Klarifikasi &amp; beri semangat pada anak</v>
      </c>
      <c r="Q8" s="156" t="str">
        <f>IFERROR(__xludf.DUMMYFUNCTION("""COMPUTED_VALUE"""),"A. Menerima sebagai konsekuensi (selama bimbingan sudah maksimal)")</f>
        <v>A. Menerima sebagai konsekuensi (selama bimbingan sudah maksimal)</v>
      </c>
      <c r="R8" s="157" t="str">
        <f>IFERROR(__xludf.DUMMYFUNCTION("""COMPUTED_VALUE"""),"Positif : baik, sederhana Negatif: Terlalu Selau Mengalah ")</f>
        <v>Positif : baik, sederhana Negatif: Terlalu Selau Mengalah </v>
      </c>
      <c r="S8" s="157" t="str">
        <f>IFERROR(__xludf.DUMMYFUNCTION("""COMPUTED_VALUE"""),"Belum")</f>
        <v>Belum</v>
      </c>
      <c r="T8" s="157" t="str">
        <f>IFERROR(__xludf.DUMMYFUNCTION("""COMPUTED_VALUE"""),"Diterima")</f>
        <v>Diterima</v>
      </c>
      <c r="U8" s="157" t="str">
        <f>IFERROR(__xludf.DUMMYFUNCTION("""COMPUTED_VALUE"""),"Teguh")</f>
        <v>Teguh</v>
      </c>
      <c r="V8" s="71" t="str">
        <f>IFERROR(__xludf.DUMMYFUNCTION("""COMPUTED_VALUE"""),"Sepupu Ananda Gufron (kelas 11)")</f>
        <v>Sepupu Ananda Gufron (kelas 11)</v>
      </c>
    </row>
    <row r="9">
      <c r="A9" s="153">
        <f>IFERROR(__xludf.DUMMYFUNCTION("""COMPUTED_VALUE"""),45918.462230185185)</f>
        <v>45918.46223</v>
      </c>
      <c r="B9" s="156" t="str">
        <f>IFERROR(__xludf.DUMMYFUNCTION("""COMPUTED_VALUE"""),"Lina Marlina")</f>
        <v>Lina Marlina</v>
      </c>
      <c r="C9" s="155" t="str">
        <f>IFERROR(__xludf.DUMMYFUNCTION("""COMPUTED_VALUE"""),"Hilda Sahlannisa ")</f>
        <v>Hilda Sahlannisa </v>
      </c>
      <c r="D9" s="155" t="str">
        <f>IFERROR(__xludf.DUMMYFUNCTION("""COMPUTED_VALUE"""),"IL Putri")</f>
        <v>IL Putri</v>
      </c>
      <c r="E9" s="155" t="str">
        <f>IFERROR(__xludf.DUMMYFUNCTION("""COMPUTED_VALUE"""),"E250002")</f>
        <v>E250002</v>
      </c>
      <c r="F9" s="155" t="str">
        <f>IFERROR(__xludf.DUMMYFUNCTION("""COMPUTED_VALUE"""),"Putri Pak Ujang Marfu")</f>
        <v>Putri Pak Ujang Marfu</v>
      </c>
      <c r="G9" s="155" t="str">
        <f>IFERROR(__xludf.DUMMYFUNCTION("""COMPUTED_VALUE"""),"Memiliki keluarga/saudara/kerabat di PUAS")</f>
        <v>Memiliki keluarga/saudara/kerabat di PUAS</v>
      </c>
      <c r="H9" s="156" t="str">
        <f>IFERROR(__xludf.DUMMYFUNCTION("""COMPUTED_VALUE"""),"A. Condong ke orientasi akhirat/agama")</f>
        <v>A. Condong ke orientasi akhirat/agama</v>
      </c>
      <c r="I9" s="156" t="str">
        <f>IFERROR(__xludf.DUMMYFUNCTION("""COMPUTED_VALUE"""),"A. Pilihan utama untuk agama, akhlak, dan karakter")</f>
        <v>A. Pilihan utama untuk agama, akhlak, dan karakter</v>
      </c>
      <c r="J9" s="156" t="str">
        <f>IFERROR(__xludf.DUMMYFUNCTION("""COMPUTED_VALUE"""),"A. Orang tua &amp; anak")</f>
        <v>A. Orang tua &amp; anak</v>
      </c>
      <c r="K9" s="156" t="str">
        <f>IFERROR(__xludf.DUMMYFUNCTION("""COMPUTED_VALUE"""),"A. Memberikan pengertian")</f>
        <v>A. Memberikan pengertian</v>
      </c>
      <c r="L9" s="156" t="str">
        <f>IFERROR(__xludf.DUMMYFUNCTION("""COMPUTED_VALUE"""),"A. Intensif (tahfizh, sekolah Islam)")</f>
        <v>A. Intensif (tahfizh, sekolah Islam)</v>
      </c>
      <c r="M9" s="156" t="str">
        <f>IFERROR(__xludf.DUMMYFUNCTION("""COMPUTED_VALUE"""),"A. Yakin")</f>
        <v>A. Yakin</v>
      </c>
      <c r="N9" s="156" t="str">
        <f>IFERROR(__xludf.DUMMYFUNCTION("""COMPUTED_VALUE"""),"A. Sangat penting")</f>
        <v>A. Sangat penting</v>
      </c>
      <c r="O9" s="156" t="str">
        <f>IFERROR(__xludf.DUMMYFUNCTION("""COMPUTED_VALUE"""),"A. Berkala")</f>
        <v>A. Berkala</v>
      </c>
      <c r="P9" s="156" t="str">
        <f>IFERROR(__xludf.DUMMYFUNCTION("""COMPUTED_VALUE"""),"A. Klarifikasi &amp; beri semangat pada anak")</f>
        <v>A. Klarifikasi &amp; beri semangat pada anak</v>
      </c>
      <c r="Q9" s="156" t="str">
        <f>IFERROR(__xludf.DUMMYFUNCTION("""COMPUTED_VALUE"""),"A. Menerima sebagai konsekuensi (selama bimbingan sudah maksimal)")</f>
        <v>A. Menerima sebagai konsekuensi (selama bimbingan sudah maksimal)</v>
      </c>
      <c r="R9" s="157" t="str">
        <f>IFERROR(__xludf.DUMMYFUNCTION("""COMPUTED_VALUE"""),"Positif : Rajin, Perehatian, Pintar. Aktif.  Negatif: Cepat Nangis")</f>
        <v>Positif : Rajin, Perehatian, Pintar. Aktif.  Negatif: Cepat Nangis</v>
      </c>
      <c r="S9" s="157" t="str">
        <f>IFERROR(__xludf.DUMMYFUNCTION("""COMPUTED_VALUE"""),"Sudah")</f>
        <v>Sudah</v>
      </c>
      <c r="T9" s="157" t="str">
        <f>IFERROR(__xludf.DUMMYFUNCTION("""COMPUTED_VALUE"""),"Diterima")</f>
        <v>Diterima</v>
      </c>
      <c r="U9" s="157" t="str">
        <f>IFERROR(__xludf.DUMMYFUNCTION("""COMPUTED_VALUE"""),"Teguh")</f>
        <v>Teguh</v>
      </c>
      <c r="V9" s="71" t="str">
        <f>IFERROR(__xludf.DUMMYFUNCTION("""COMPUTED_VALUE"""),"Putri pak Ujang Marfu. ")</f>
        <v>Putri pak Ujang Marfu. </v>
      </c>
    </row>
    <row r="10">
      <c r="A10" s="153">
        <f>IFERROR(__xludf.DUMMYFUNCTION("""COMPUTED_VALUE"""),45918.46566120371)</f>
        <v>45918.46566</v>
      </c>
      <c r="B10" s="156" t="str">
        <f>IFERROR(__xludf.DUMMYFUNCTION("""COMPUTED_VALUE"""),"Muhammad Hamudi")</f>
        <v>Muhammad Hamudi</v>
      </c>
      <c r="C10" s="155" t="str">
        <f>IFERROR(__xludf.DUMMYFUNCTION("""COMPUTED_VALUE"""),"Akidah (bibi)")</f>
        <v>Akidah (bibi)</v>
      </c>
      <c r="D10" s="155" t="str">
        <f>IFERROR(__xludf.DUMMYFUNCTION("""COMPUTED_VALUE"""),"MTs Putra")</f>
        <v>MTs Putra</v>
      </c>
      <c r="E10" s="155" t="str">
        <f>IFERROR(__xludf.DUMMYFUNCTION("""COMPUTED_VALUE"""),"A250062")</f>
        <v>A250062</v>
      </c>
      <c r="F10" s="155" t="str">
        <f>IFERROR(__xludf.DUMMYFUNCTION("""COMPUTED_VALUE"""),"Akamsi (narogong)")</f>
        <v>Akamsi (narogong)</v>
      </c>
      <c r="G10" s="155" t="str">
        <f>IFERROR(__xludf.DUMMYFUNCTION("""COMPUTED_VALUE"""),"Memiliki keluarga/saudara/kerabat di PUAS")</f>
        <v>Memiliki keluarga/saudara/kerabat di PUAS</v>
      </c>
      <c r="H10" s="156" t="str">
        <f>IFERROR(__xludf.DUMMYFUNCTION("""COMPUTED_VALUE"""),"A. Condong ke orientasi akhirat/agama")</f>
        <v>A. Condong ke orientasi akhirat/agama</v>
      </c>
      <c r="I10" s="156" t="str">
        <f>IFERROR(__xludf.DUMMYFUNCTION("""COMPUTED_VALUE"""),"A. Pilihan utama untuk agama, akhlak, dan karakter")</f>
        <v>A. Pilihan utama untuk agama, akhlak, dan karakter</v>
      </c>
      <c r="J10" s="156" t="str">
        <f>IFERROR(__xludf.DUMMYFUNCTION("""COMPUTED_VALUE"""),"A. Orang tua &amp; anak")</f>
        <v>A. Orang tua &amp; anak</v>
      </c>
      <c r="K10" s="156" t="str">
        <f>IFERROR(__xludf.DUMMYFUNCTION("""COMPUTED_VALUE"""),"A. Memberikan pengertian")</f>
        <v>A. Memberikan pengertian</v>
      </c>
      <c r="L10" s="156" t="str">
        <f>IFERROR(__xludf.DUMMYFUNCTION("""COMPUTED_VALUE"""),"A. Intensif (tahfizh, sekolah Islam)")</f>
        <v>A. Intensif (tahfizh, sekolah Islam)</v>
      </c>
      <c r="M10" s="156" t="str">
        <f>IFERROR(__xludf.DUMMYFUNCTION("""COMPUTED_VALUE"""),"A. Yakin")</f>
        <v>A. Yakin</v>
      </c>
      <c r="N10" s="156" t="str">
        <f>IFERROR(__xludf.DUMMYFUNCTION("""COMPUTED_VALUE"""),"A. Sangat penting")</f>
        <v>A. Sangat penting</v>
      </c>
      <c r="O10" s="156" t="str">
        <f>IFERROR(__xludf.DUMMYFUNCTION("""COMPUTED_VALUE"""),"A. Berkala")</f>
        <v>A. Berkala</v>
      </c>
      <c r="P10" s="156" t="str">
        <f>IFERROR(__xludf.DUMMYFUNCTION("""COMPUTED_VALUE"""),"A. Klarifikasi &amp; beri semangat pada anak")</f>
        <v>A. Klarifikasi &amp; beri semangat pada anak</v>
      </c>
      <c r="Q10" s="156" t="str">
        <f>IFERROR(__xludf.DUMMYFUNCTION("""COMPUTED_VALUE"""),"A. Menerima sebagai konsekuensi (selama bimbingan sudah maksimal)")</f>
        <v>A. Menerima sebagai konsekuensi (selama bimbingan sudah maksimal)</v>
      </c>
      <c r="R10" s="157" t="str">
        <f>IFERROR(__xludf.DUMMYFUNCTION("""COMPUTED_VALUE"""),"Positif : Aktif, Rajin, Mudah bergaul. Negatif: Bawel, ")</f>
        <v>Positif : Aktif, Rajin, Mudah bergaul. Negatif: Bawel, </v>
      </c>
      <c r="S10" s="157" t="str">
        <f>IFERROR(__xludf.DUMMYFUNCTION("""COMPUTED_VALUE"""),"Sudah")</f>
        <v>Sudah</v>
      </c>
      <c r="T10" s="157" t="str">
        <f>IFERROR(__xludf.DUMMYFUNCTION("""COMPUTED_VALUE"""),"Diterima")</f>
        <v>Diterima</v>
      </c>
      <c r="U10" s="157" t="str">
        <f>IFERROR(__xludf.DUMMYFUNCTION("""COMPUTED_VALUE"""),"Teguh")</f>
        <v>Teguh</v>
      </c>
      <c r="V10" s="71" t="str">
        <f>IFERROR(__xludf.DUMMYFUNCTION("""COMPUTED_VALUE"""),"Ibu bekerja di pabrik, bapak kerja serabutan")</f>
        <v>Ibu bekerja di pabrik, bapak kerja serabutan</v>
      </c>
    </row>
    <row r="11">
      <c r="A11" s="153">
        <f>IFERROR(__xludf.DUMMYFUNCTION("""COMPUTED_VALUE"""),45918.470401377315)</f>
        <v>45918.4704</v>
      </c>
      <c r="B11" s="158" t="str">
        <f>IFERROR(__xludf.DUMMYFUNCTION("""COMPUTED_VALUE"""),"Adinda Humaira")</f>
        <v>Adinda Humaira</v>
      </c>
      <c r="C11" s="39" t="str">
        <f>IFERROR(__xludf.DUMMYFUNCTION("""COMPUTED_VALUE"""),"Tati")</f>
        <v>Tati</v>
      </c>
      <c r="D11" s="39" t="str">
        <f>IFERROR(__xludf.DUMMYFUNCTION("""COMPUTED_VALUE"""),"IL Putri")</f>
        <v>IL Putri</v>
      </c>
      <c r="E11" s="39" t="str">
        <f>IFERROR(__xludf.DUMMYFUNCTION("""COMPUTED_VALUE"""),"E250004")</f>
        <v>E250004</v>
      </c>
      <c r="F11" s="39" t="str">
        <f>IFERROR(__xludf.DUMMYFUNCTION("""COMPUTED_VALUE"""),"pegawai (istri pak Amud)")</f>
        <v>pegawai (istri pak Amud)</v>
      </c>
      <c r="G11" s="39" t="str">
        <f>IFERROR(__xludf.DUMMYFUNCTION("""COMPUTED_VALUE"""),"Memiliki keluarga/saudara/kerabat di PUAS")</f>
        <v>Memiliki keluarga/saudara/kerabat di PUAS</v>
      </c>
      <c r="H11" s="159" t="str">
        <f>IFERROR(__xludf.DUMMYFUNCTION("""COMPUTED_VALUE"""),"A. Condong ke orientasi akhirat/agama")</f>
        <v>A. Condong ke orientasi akhirat/agama</v>
      </c>
      <c r="I11" s="159" t="str">
        <f>IFERROR(__xludf.DUMMYFUNCTION("""COMPUTED_VALUE"""),"A. Pilihan utama untuk agama, akhlak, dan karakter")</f>
        <v>A. Pilihan utama untuk agama, akhlak, dan karakter</v>
      </c>
      <c r="J11" s="159" t="str">
        <f>IFERROR(__xludf.DUMMYFUNCTION("""COMPUTED_VALUE"""),"A. Orang tua &amp; anak")</f>
        <v>A. Orang tua &amp; anak</v>
      </c>
      <c r="K11" s="159" t="str">
        <f>IFERROR(__xludf.DUMMYFUNCTION("""COMPUTED_VALUE"""),"A. Memberikan pengertian")</f>
        <v>A. Memberikan pengertian</v>
      </c>
      <c r="L11" s="159" t="str">
        <f>IFERROR(__xludf.DUMMYFUNCTION("""COMPUTED_VALUE"""),"A. Intensif (tahfizh, sekolah Islam)")</f>
        <v>A. Intensif (tahfizh, sekolah Islam)</v>
      </c>
      <c r="M11" s="159" t="str">
        <f>IFERROR(__xludf.DUMMYFUNCTION("""COMPUTED_VALUE"""),"A. Yakin")</f>
        <v>A. Yakin</v>
      </c>
      <c r="N11" s="159" t="str">
        <f>IFERROR(__xludf.DUMMYFUNCTION("""COMPUTED_VALUE"""),"A. Sangat penting")</f>
        <v>A. Sangat penting</v>
      </c>
      <c r="O11" s="159" t="str">
        <f>IFERROR(__xludf.DUMMYFUNCTION("""COMPUTED_VALUE"""),"A. Berkala")</f>
        <v>A. Berkala</v>
      </c>
      <c r="P11" s="159" t="str">
        <f>IFERROR(__xludf.DUMMYFUNCTION("""COMPUTED_VALUE"""),"A. Klarifikasi &amp; beri semangat pada anak")</f>
        <v>A. Klarifikasi &amp; beri semangat pada anak</v>
      </c>
      <c r="Q11" s="159" t="str">
        <f>IFERROR(__xludf.DUMMYFUNCTION("""COMPUTED_VALUE"""),"A. Menerima sebagai konsekuensi (selama bimbingan sudah maksimal)")</f>
        <v>A. Menerima sebagai konsekuensi (selama bimbingan sudah maksimal)</v>
      </c>
      <c r="R11" s="39" t="str">
        <f>IFERROR(__xludf.DUMMYFUNCTION("""COMPUTED_VALUE"""),"Positif : Pinter, Mudah Bergaul, ceria. Negatif : bangun susah kalo di rumah")</f>
        <v>Positif : Pinter, Mudah Bergaul, ceria. Negatif : bangun susah kalo di rumah</v>
      </c>
      <c r="S11" s="39" t="str">
        <f>IFERROR(__xludf.DUMMYFUNCTION("""COMPUTED_VALUE"""),"Sudah")</f>
        <v>Sudah</v>
      </c>
      <c r="T11" s="40" t="str">
        <f>IFERROR(__xludf.DUMMYFUNCTION("""COMPUTED_VALUE"""),"Diterima")</f>
        <v>Diterima</v>
      </c>
      <c r="U11" s="40" t="str">
        <f>IFERROR(__xludf.DUMMYFUNCTION("""COMPUTED_VALUE"""),"Teguh")</f>
        <v>Teguh</v>
      </c>
      <c r="V11" s="71" t="str">
        <f>IFERROR(__xludf.DUMMYFUNCTION("""COMPUTED_VALUE"""),"Putri Pegawai (Pak Amud)")</f>
        <v>Putri Pegawai (Pak Amud)</v>
      </c>
    </row>
    <row r="12">
      <c r="A12" s="153">
        <f>IFERROR(__xludf.DUMMYFUNCTION("""COMPUTED_VALUE"""),45918.48197634259)</f>
        <v>45918.48198</v>
      </c>
      <c r="B12" s="158" t="str">
        <f>IFERROR(__xludf.DUMMYFUNCTION("""COMPUTED_VALUE"""),"Ahmad Vickhy")</f>
        <v>Ahmad Vickhy</v>
      </c>
      <c r="C12" s="71" t="str">
        <f>IFERROR(__xludf.DUMMYFUNCTION("""COMPUTED_VALUE"""),"Ela Nurlela")</f>
        <v>Ela Nurlela</v>
      </c>
      <c r="D12" s="71" t="str">
        <f>IFERROR(__xludf.DUMMYFUNCTION("""COMPUTED_VALUE"""),"MTs Putra")</f>
        <v>MTs Putra</v>
      </c>
      <c r="E12" s="71" t="str">
        <f>IFERROR(__xludf.DUMMYFUNCTION("""COMPUTED_VALUE"""),"A250073")</f>
        <v>A250073</v>
      </c>
      <c r="F12" s="71" t="str">
        <f>IFERROR(__xludf.DUMMYFUNCTION("""COMPUTED_VALUE"""),"Akamsi Kidul ")</f>
        <v>Akamsi Kidul </v>
      </c>
      <c r="G12" s="71" t="str">
        <f>IFERROR(__xludf.DUMMYFUNCTION("""COMPUTED_VALUE"""),"Memiliki keluarga/saudara/kerabat di PUAS")</f>
        <v>Memiliki keluarga/saudara/kerabat di PUAS</v>
      </c>
      <c r="H12" s="158" t="str">
        <f>IFERROR(__xludf.DUMMYFUNCTION("""COMPUTED_VALUE"""),"A. Condong ke orientasi akhirat/agama")</f>
        <v>A. Condong ke orientasi akhirat/agama</v>
      </c>
      <c r="I12" s="158" t="str">
        <f>IFERROR(__xludf.DUMMYFUNCTION("""COMPUTED_VALUE"""),"A. Pilihan utama untuk agama, akhlak, dan karakter")</f>
        <v>A. Pilihan utama untuk agama, akhlak, dan karakter</v>
      </c>
      <c r="J12" s="158" t="str">
        <f>IFERROR(__xludf.DUMMYFUNCTION("""COMPUTED_VALUE"""),"A. Orang tua &amp; anak")</f>
        <v>A. Orang tua &amp; anak</v>
      </c>
      <c r="K12" s="158" t="str">
        <f>IFERROR(__xludf.DUMMYFUNCTION("""COMPUTED_VALUE"""),"A. Memberikan pengertian")</f>
        <v>A. Memberikan pengertian</v>
      </c>
      <c r="L12" s="158" t="str">
        <f>IFERROR(__xludf.DUMMYFUNCTION("""COMPUTED_VALUE"""),"A. Intensif (tahfizh, sekolah Islam)")</f>
        <v>A. Intensif (tahfizh, sekolah Islam)</v>
      </c>
      <c r="M12" s="158" t="str">
        <f>IFERROR(__xludf.DUMMYFUNCTION("""COMPUTED_VALUE"""),"A. Yakin")</f>
        <v>A. Yakin</v>
      </c>
      <c r="N12" s="158" t="str">
        <f>IFERROR(__xludf.DUMMYFUNCTION("""COMPUTED_VALUE"""),"A. Sangat penting")</f>
        <v>A. Sangat penting</v>
      </c>
      <c r="O12" s="158" t="str">
        <f>IFERROR(__xludf.DUMMYFUNCTION("""COMPUTED_VALUE"""),"A. Berkala")</f>
        <v>A. Berkala</v>
      </c>
      <c r="P12" s="158" t="str">
        <f>IFERROR(__xludf.DUMMYFUNCTION("""COMPUTED_VALUE"""),"A. Klarifikasi &amp; beri semangat pada anak")</f>
        <v>A. Klarifikasi &amp; beri semangat pada anak</v>
      </c>
      <c r="Q12" s="158" t="str">
        <f>IFERROR(__xludf.DUMMYFUNCTION("""COMPUTED_VALUE"""),"A. Menerima sebagai konsekuensi (selama bimbingan sudah maksimal)")</f>
        <v>A. Menerima sebagai konsekuensi (selama bimbingan sudah maksimal)</v>
      </c>
      <c r="R12" s="35" t="str">
        <f>IFERROR(__xludf.DUMMYFUNCTION("""COMPUTED_VALUE"""),"Positif : Supel, Akrif, Nefatif, Rajin. Negatif : hafalan kurang, kurang inisiatif dalam bejar ")</f>
        <v>Positif : Supel, Akrif, Nefatif, Rajin. Negatif : hafalan kurang, kurang inisiatif dalam bejar </v>
      </c>
      <c r="S12" s="35" t="str">
        <f>IFERROR(__xludf.DUMMYFUNCTION("""COMPUTED_VALUE"""),"Sudah")</f>
        <v>Sudah</v>
      </c>
      <c r="T12" s="35" t="str">
        <f>IFERROR(__xludf.DUMMYFUNCTION("""COMPUTED_VALUE"""),"Diterima")</f>
        <v>Diterima</v>
      </c>
      <c r="U12" s="35" t="str">
        <f>IFERROR(__xludf.DUMMYFUNCTION("""COMPUTED_VALUE"""),"Teguh")</f>
        <v>Teguh</v>
      </c>
      <c r="V12" s="71" t="str">
        <f>IFERROR(__xludf.DUMMYFUNCTION("""COMPUTED_VALUE"""),"dari keluarga Aduiknya mama Oyon)")</f>
        <v>dari keluarga Aduiknya mama Oyon)</v>
      </c>
    </row>
    <row r="13">
      <c r="A13" s="153">
        <f>IFERROR(__xludf.DUMMYFUNCTION("""COMPUTED_VALUE"""),45918.695321273146)</f>
        <v>45918.69532</v>
      </c>
      <c r="B13" s="158" t="str">
        <f>IFERROR(__xludf.DUMMYFUNCTION("""COMPUTED_VALUE"""),"Daffa Taamir Alfarizi")</f>
        <v>Daffa Taamir Alfarizi</v>
      </c>
      <c r="C13" s="71" t="str">
        <f>IFERROR(__xludf.DUMMYFUNCTION("""COMPUTED_VALUE"""),"Eka Mariati")</f>
        <v>Eka Mariati</v>
      </c>
      <c r="D13" s="71" t="str">
        <f>IFERROR(__xludf.DUMMYFUNCTION("""COMPUTED_VALUE"""),"MTs Putra")</f>
        <v>MTs Putra</v>
      </c>
      <c r="E13" s="71" t="str">
        <f>IFERROR(__xludf.DUMMYFUNCTION("""COMPUTED_VALUE"""),"A250008")</f>
        <v>A250008</v>
      </c>
      <c r="F13" s="71" t="str">
        <f>IFERROR(__xludf.DUMMYFUNCTION("""COMPUTED_VALUE"""),"IG")</f>
        <v>IG</v>
      </c>
      <c r="G13" s="71" t="str">
        <f>IFERROR(__xludf.DUMMYFUNCTION("""COMPUTED_VALUE"""),"Baru")</f>
        <v>Baru</v>
      </c>
      <c r="H13" s="158" t="str">
        <f>IFERROR(__xludf.DUMMYFUNCTION("""COMPUTED_VALUE"""),"A. Condong ke orientasi akhirat/agama")</f>
        <v>A. Condong ke orientasi akhirat/agama</v>
      </c>
      <c r="I13" s="158" t="str">
        <f>IFERROR(__xludf.DUMMYFUNCTION("""COMPUTED_VALUE"""),"A. Pilihan utama untuk agama, akhlak, dan karakter")</f>
        <v>A. Pilihan utama untuk agama, akhlak, dan karakter</v>
      </c>
      <c r="J13" s="158" t="str">
        <f>IFERROR(__xludf.DUMMYFUNCTION("""COMPUTED_VALUE"""),"C. Orang tua / ikut teman")</f>
        <v>C. Orang tua / ikut teman</v>
      </c>
      <c r="K13" s="158" t="str">
        <f>IFERROR(__xludf.DUMMYFUNCTION("""COMPUTED_VALUE"""),"A. Memberikan pengertian")</f>
        <v>A. Memberikan pengertian</v>
      </c>
      <c r="L13" s="158" t="str">
        <f>IFERROR(__xludf.DUMMYFUNCTION("""COMPUTED_VALUE"""),"A. Intensif (tahfizh, sekolah Islam)")</f>
        <v>A. Intensif (tahfizh, sekolah Islam)</v>
      </c>
      <c r="M13" s="158" t="str">
        <f>IFERROR(__xludf.DUMMYFUNCTION("""COMPUTED_VALUE"""),"A. Yakin")</f>
        <v>A. Yakin</v>
      </c>
      <c r="N13" s="158" t="str">
        <f>IFERROR(__xludf.DUMMYFUNCTION("""COMPUTED_VALUE"""),"A. Sangat penting")</f>
        <v>A. Sangat penting</v>
      </c>
      <c r="O13" s="158" t="str">
        <f>IFERROR(__xludf.DUMMYFUNCTION("""COMPUTED_VALUE"""),"A. Berkala")</f>
        <v>A. Berkala</v>
      </c>
      <c r="P13" s="158" t="str">
        <f>IFERROR(__xludf.DUMMYFUNCTION("""COMPUTED_VALUE"""),"A. Klarifikasi &amp; beri semangat pada anak")</f>
        <v>A. Klarifikasi &amp; beri semangat pada anak</v>
      </c>
      <c r="Q13" s="158" t="str">
        <f>IFERROR(__xludf.DUMMYFUNCTION("""COMPUTED_VALUE"""),"A. Menerima sebagai konsekuensi (selama bimbingan sudah maksimal)")</f>
        <v>A. Menerima sebagai konsekuensi (selama bimbingan sudah maksimal)</v>
      </c>
      <c r="R13" s="35" t="str">
        <f>IFERROR(__xludf.DUMMYFUNCTION("""COMPUTED_VALUE"""),"Positif : Cepet Menghafal, Ceria.
Negatif : Mudah marah.")</f>
        <v>Positif : Cepet Menghafal, Ceria.
Negatif : Mudah marah.</v>
      </c>
      <c r="S13" s="35" t="str">
        <f>IFERROR(__xludf.DUMMYFUNCTION("""COMPUTED_VALUE"""),"Sudah")</f>
        <v>Sudah</v>
      </c>
      <c r="T13" s="35" t="str">
        <f>IFERROR(__xludf.DUMMYFUNCTION("""COMPUTED_VALUE"""),"Diterima dengan catatan")</f>
        <v>Diterima dengan catatan</v>
      </c>
      <c r="U13" s="35" t="str">
        <f>IFERROR(__xludf.DUMMYFUNCTION("""COMPUTED_VALUE"""),"Adib")</f>
        <v>Adib</v>
      </c>
      <c r="V13" s="71" t="str">
        <f>IFERROR(__xludf.DUMMYFUNCTION("""COMPUTED_VALUE"""),"Keputusan ananda untuk mau melanjutkan studinya di PUAS sangat dipengaruhi dengan diterima atau tidaknya teman yang juga mendaftar di PUAS.")</f>
        <v>Keputusan ananda untuk mau melanjutkan studinya di PUAS sangat dipengaruhi dengan diterima atau tidaknya teman yang juga mendaftar di PUAS.</v>
      </c>
    </row>
    <row r="14">
      <c r="A14" s="153">
        <f>IFERROR(__xludf.DUMMYFUNCTION("""COMPUTED_VALUE"""),45919.443862685184)</f>
        <v>45919.44386</v>
      </c>
      <c r="B14" s="158" t="str">
        <f>IFERROR(__xludf.DUMMYFUNCTION("""COMPUTED_VALUE"""),"Abu Reihan Al Fajri")</f>
        <v>Abu Reihan Al Fajri</v>
      </c>
      <c r="C14" s="71" t="str">
        <f>IFERROR(__xludf.DUMMYFUNCTION("""COMPUTED_VALUE"""),"Fajar lelono")</f>
        <v>Fajar lelono</v>
      </c>
      <c r="D14" s="71" t="str">
        <f>IFERROR(__xludf.DUMMYFUNCTION("""COMPUTED_VALUE"""),"MTs Putra")</f>
        <v>MTs Putra</v>
      </c>
      <c r="E14" s="71" t="str">
        <f>IFERROR(__xludf.DUMMYFUNCTION("""COMPUTED_VALUE"""),"A250025")</f>
        <v>A250025</v>
      </c>
      <c r="F14" s="71" t="str">
        <f>IFERROR(__xludf.DUMMYFUNCTION("""COMPUTED_VALUE"""),"FB")</f>
        <v>FB</v>
      </c>
      <c r="G14" s="71" t="str">
        <f>IFERROR(__xludf.DUMMYFUNCTION("""COMPUTED_VALUE"""),"Baru")</f>
        <v>Baru</v>
      </c>
      <c r="H14" s="158" t="str">
        <f>IFERROR(__xludf.DUMMYFUNCTION("""COMPUTED_VALUE"""),"A. Condong ke orientasi akhirat/agama")</f>
        <v>A. Condong ke orientasi akhirat/agama</v>
      </c>
      <c r="I14" s="158" t="str">
        <f>IFERROR(__xludf.DUMMYFUNCTION("""COMPUTED_VALUE"""),"A. Pilihan utama untuk agama, akhlak, dan karakter")</f>
        <v>A. Pilihan utama untuk agama, akhlak, dan karakter</v>
      </c>
      <c r="J14" s="158" t="str">
        <f>IFERROR(__xludf.DUMMYFUNCTION("""COMPUTED_VALUE"""),"A. Orang tua &amp; anak")</f>
        <v>A. Orang tua &amp; anak</v>
      </c>
      <c r="K14" s="158" t="str">
        <f>IFERROR(__xludf.DUMMYFUNCTION("""COMPUTED_VALUE"""),"A. Memberikan pengertian")</f>
        <v>A. Memberikan pengertian</v>
      </c>
      <c r="L14" s="158" t="str">
        <f>IFERROR(__xludf.DUMMYFUNCTION("""COMPUTED_VALUE"""),"B. Non intensif (swasta biasa)")</f>
        <v>B. Non intensif (swasta biasa)</v>
      </c>
      <c r="M14" s="158" t="str">
        <f>IFERROR(__xludf.DUMMYFUNCTION("""COMPUTED_VALUE"""),"A. Yakin")</f>
        <v>A. Yakin</v>
      </c>
      <c r="N14" s="158" t="str">
        <f>IFERROR(__xludf.DUMMYFUNCTION("""COMPUTED_VALUE"""),"A. Sangat penting")</f>
        <v>A. Sangat penting</v>
      </c>
      <c r="O14" s="158" t="str">
        <f>IFERROR(__xludf.DUMMYFUNCTION("""COMPUTED_VALUE"""),"A. Berkala")</f>
        <v>A. Berkala</v>
      </c>
      <c r="P14" s="158" t="str">
        <f>IFERROR(__xludf.DUMMYFUNCTION("""COMPUTED_VALUE"""),"A. Klarifikasi &amp; beri semangat pada anak")</f>
        <v>A. Klarifikasi &amp; beri semangat pada anak</v>
      </c>
      <c r="Q14" s="158" t="str">
        <f>IFERROR(__xludf.DUMMYFUNCTION("""COMPUTED_VALUE"""),"A. Menerima sebagai konsekuensi (selama bimbingan sudah maksimal)")</f>
        <v>A. Menerima sebagai konsekuensi (selama bimbingan sudah maksimal)</v>
      </c>
      <c r="R14" s="35" t="str">
        <f>IFERROR(__xludf.DUMMYFUNCTION("""COMPUTED_VALUE"""),"Positif : cepat bergaul, empati tinggi,  bertanggung jawab
Negatif : kurang fokus.
")</f>
        <v>Positif : cepat bergaul, empati tinggi,  bertanggung jawab
Negatif : kurang fokus.
</v>
      </c>
      <c r="S14" s="35" t="str">
        <f>IFERROR(__xludf.DUMMYFUNCTION("""COMPUTED_VALUE"""),"Sudah")</f>
        <v>Sudah</v>
      </c>
      <c r="T14" s="35" t="str">
        <f>IFERROR(__xludf.DUMMYFUNCTION("""COMPUTED_VALUE"""),"Diterima")</f>
        <v>Diterima</v>
      </c>
      <c r="U14" s="35" t="str">
        <f>IFERROR(__xludf.DUMMYFUNCTION("""COMPUTED_VALUE"""),"Bachtiar")</f>
        <v>Bachtiar</v>
      </c>
      <c r="V14" s="71" t="str">
        <f>IFERROR(__xludf.DUMMYFUNCTION("""COMPUTED_VALUE"""),"Kurang fokusnya calon santri mungkin bisa menyebabkan terhambatnya hafalan")</f>
        <v>Kurang fokusnya calon santri mungkin bisa menyebabkan terhambatnya hafalan</v>
      </c>
    </row>
    <row r="15">
      <c r="A15" s="153">
        <f>IFERROR(__xludf.DUMMYFUNCTION("""COMPUTED_VALUE"""),45920.353287986116)</f>
        <v>45920.35329</v>
      </c>
      <c r="B15" s="158" t="str">
        <f>IFERROR(__xludf.DUMMYFUNCTION("""COMPUTED_VALUE"""),"Umar fawwaz")</f>
        <v>Umar fawwaz</v>
      </c>
      <c r="C15" s="71" t="str">
        <f>IFERROR(__xludf.DUMMYFUNCTION("""COMPUTED_VALUE"""),"Endin Mulyadi")</f>
        <v>Endin Mulyadi</v>
      </c>
      <c r="D15" s="71" t="str">
        <f>IFERROR(__xludf.DUMMYFUNCTION("""COMPUTED_VALUE"""),"MTs Putra")</f>
        <v>MTs Putra</v>
      </c>
      <c r="E15" s="71" t="str">
        <f>IFERROR(__xludf.DUMMYFUNCTION("""COMPUTED_VALUE"""),"A250002")</f>
        <v>A250002</v>
      </c>
      <c r="F15" s="71" t="str">
        <f>IFERROR(__xludf.DUMMYFUNCTION("""COMPUTED_VALUE"""),"krn ad kakakny di kls 7 abdullah zaid alkhaer")</f>
        <v>krn ad kakakny di kls 7 abdullah zaid alkhaer</v>
      </c>
      <c r="G15" s="71" t="str">
        <f>IFERROR(__xludf.DUMMYFUNCTION("""COMPUTED_VALUE"""),"Memiliki teman/rekan/tetangga di PUAS")</f>
        <v>Memiliki teman/rekan/tetangga di PUAS</v>
      </c>
      <c r="H15" s="158" t="str">
        <f>IFERROR(__xludf.DUMMYFUNCTION("""COMPUTED_VALUE"""),"A. Condong ke orientasi akhirat/agama")</f>
        <v>A. Condong ke orientasi akhirat/agama</v>
      </c>
      <c r="I15" s="158" t="str">
        <f>IFERROR(__xludf.DUMMYFUNCTION("""COMPUTED_VALUE"""),"A. Pilihan utama untuk agama, akhlak, dan karakter")</f>
        <v>A. Pilihan utama untuk agama, akhlak, dan karakter</v>
      </c>
      <c r="J15" s="158" t="str">
        <f>IFERROR(__xludf.DUMMYFUNCTION("""COMPUTED_VALUE"""),"B. Anak")</f>
        <v>B. Anak</v>
      </c>
      <c r="K15" s="158" t="str">
        <f>IFERROR(__xludf.DUMMYFUNCTION("""COMPUTED_VALUE"""),"A. Memberikan pengertian")</f>
        <v>A. Memberikan pengertian</v>
      </c>
      <c r="L15" s="158" t="str">
        <f>IFERROR(__xludf.DUMMYFUNCTION("""COMPUTED_VALUE"""),"A. Intensif (tahfizh, sekolah Islam)")</f>
        <v>A. Intensif (tahfizh, sekolah Islam)</v>
      </c>
      <c r="M15" s="158" t="str">
        <f>IFERROR(__xludf.DUMMYFUNCTION("""COMPUTED_VALUE"""),"A. Yakin")</f>
        <v>A. Yakin</v>
      </c>
      <c r="N15" s="158" t="str">
        <f>IFERROR(__xludf.DUMMYFUNCTION("""COMPUTED_VALUE"""),"A. Sangat penting")</f>
        <v>A. Sangat penting</v>
      </c>
      <c r="O15" s="158" t="str">
        <f>IFERROR(__xludf.DUMMYFUNCTION("""COMPUTED_VALUE"""),"A. Berkala")</f>
        <v>A. Berkala</v>
      </c>
      <c r="P15" s="158" t="str">
        <f>IFERROR(__xludf.DUMMYFUNCTION("""COMPUTED_VALUE"""),"B. Serahkan ke pesantren")</f>
        <v>B. Serahkan ke pesantren</v>
      </c>
      <c r="Q15" s="158" t="str">
        <f>IFERROR(__xludf.DUMMYFUNCTION("""COMPUTED_VALUE"""),"A. Menerima sebagai konsekuensi (selama bimbingan sudah maksimal)")</f>
        <v>A. Menerima sebagai konsekuensi (selama bimbingan sudah maksimal)</v>
      </c>
      <c r="R15" s="35" t="str">
        <f>IFERROR(__xludf.DUMMYFUNCTION("""COMPUTED_VALUE"""),"energik dg positif")</f>
        <v>energik dg positif</v>
      </c>
      <c r="S15" s="35" t="str">
        <f>IFERROR(__xludf.DUMMYFUNCTION("""COMPUTED_VALUE"""),"Sudah")</f>
        <v>Sudah</v>
      </c>
      <c r="T15" s="35" t="str">
        <f>IFERROR(__xludf.DUMMYFUNCTION("""COMPUTED_VALUE"""),"Diterima")</f>
        <v>Diterima</v>
      </c>
      <c r="U15" s="35" t="str">
        <f>IFERROR(__xludf.DUMMYFUNCTION("""COMPUTED_VALUE"""),"Syarif")</f>
        <v>Syarif</v>
      </c>
      <c r="V15" s="71" t="str">
        <f>IFERROR(__xludf.DUMMYFUNCTION("""COMPUTED_VALUE"""),"ortu di stdi jember dlm proses bljr insyallah asli org sukabumi kedepan bs bantu perkembangan mahad dsni")</f>
        <v>ortu di stdi jember dlm proses bljr insyallah asli org sukabumi kedepan bs bantu perkembangan mahad dsni</v>
      </c>
    </row>
    <row r="16">
      <c r="A16" s="153">
        <f>IFERROR(__xludf.DUMMYFUNCTION("""COMPUTED_VALUE"""),45920.440881180555)</f>
        <v>45920.44088</v>
      </c>
      <c r="B16" s="158" t="str">
        <f>IFERROR(__xludf.DUMMYFUNCTION("""COMPUTED_VALUE"""),"muhammad hanif ash shiddiq")</f>
        <v>muhammad hanif ash shiddiq</v>
      </c>
      <c r="C16" s="71" t="str">
        <f>IFERROR(__xludf.DUMMYFUNCTION("""COMPUTED_VALUE""")," Helmi Azwar")</f>
        <v> Helmi Azwar</v>
      </c>
      <c r="D16" s="71" t="str">
        <f>IFERROR(__xludf.DUMMYFUNCTION("""COMPUTED_VALUE"""),"MTs Putra")</f>
        <v>MTs Putra</v>
      </c>
      <c r="E16" s="71" t="str">
        <f>IFERROR(__xludf.DUMMYFUNCTION("""COMPUTED_VALUE"""),"A250048")</f>
        <v>A250048</v>
      </c>
      <c r="F16" s="71" t="str">
        <f>IFERROR(__xludf.DUMMYFUNCTION("""COMPUTED_VALUE"""),"info dr tmn yg putranya di puas")</f>
        <v>info dr tmn yg putranya di puas</v>
      </c>
      <c r="G16" s="71" t="str">
        <f>IFERROR(__xludf.DUMMYFUNCTION("""COMPUTED_VALUE"""),"Memiliki teman/rekan/tetangga di PUAS")</f>
        <v>Memiliki teman/rekan/tetangga di PUAS</v>
      </c>
      <c r="H16" s="158" t="str">
        <f>IFERROR(__xludf.DUMMYFUNCTION("""COMPUTED_VALUE"""),"A. Condong ke orientasi akhirat/agama")</f>
        <v>A. Condong ke orientasi akhirat/agama</v>
      </c>
      <c r="I16" s="158" t="str">
        <f>IFERROR(__xludf.DUMMYFUNCTION("""COMPUTED_VALUE"""),"A. Pilihan utama untuk agama, akhlak, dan karakter")</f>
        <v>A. Pilihan utama untuk agama, akhlak, dan karakter</v>
      </c>
      <c r="J16" s="158" t="str">
        <f>IFERROR(__xludf.DUMMYFUNCTION("""COMPUTED_VALUE"""),"B. Anak")</f>
        <v>B. Anak</v>
      </c>
      <c r="K16" s="158" t="str">
        <f>IFERROR(__xludf.DUMMYFUNCTION("""COMPUTED_VALUE"""),"A. Memberikan pengertian")</f>
        <v>A. Memberikan pengertian</v>
      </c>
      <c r="L16" s="158" t="str">
        <f>IFERROR(__xludf.DUMMYFUNCTION("""COMPUTED_VALUE"""),"A. Intensif (tahfizh, sekolah Islam)")</f>
        <v>A. Intensif (tahfizh, sekolah Islam)</v>
      </c>
      <c r="M16" s="158" t="str">
        <f>IFERROR(__xludf.DUMMYFUNCTION("""COMPUTED_VALUE"""),"A. Yakin")</f>
        <v>A. Yakin</v>
      </c>
      <c r="N16" s="158" t="str">
        <f>IFERROR(__xludf.DUMMYFUNCTION("""COMPUTED_VALUE"""),"A. Sangat penting")</f>
        <v>A. Sangat penting</v>
      </c>
      <c r="O16" s="158" t="str">
        <f>IFERROR(__xludf.DUMMYFUNCTION("""COMPUTED_VALUE"""),"A. Berkala")</f>
        <v>A. Berkala</v>
      </c>
      <c r="P16" s="158" t="str">
        <f>IFERROR(__xludf.DUMMYFUNCTION("""COMPUTED_VALUE"""),"A. Klarifikasi &amp; beri semangat pada anak")</f>
        <v>A. Klarifikasi &amp; beri semangat pada anak</v>
      </c>
      <c r="Q16" s="158" t="str">
        <f>IFERROR(__xludf.DUMMYFUNCTION("""COMPUTED_VALUE"""),"A. Menerima sebagai konsekuensi (selama bimbingan sudah maksimal)")</f>
        <v>A. Menerima sebagai konsekuensi (selama bimbingan sudah maksimal)</v>
      </c>
      <c r="R16" s="35" t="str">
        <f>IFERROR(__xludf.DUMMYFUNCTION("""COMPUTED_VALUE"""),"positif dalam sikap santai dan simpel santun dan jujur")</f>
        <v>positif dalam sikap santai dan simpel santun dan jujur</v>
      </c>
      <c r="S16" s="35" t="str">
        <f>IFERROR(__xludf.DUMMYFUNCTION("""COMPUTED_VALUE"""),"Sudah")</f>
        <v>Sudah</v>
      </c>
      <c r="T16" s="35" t="str">
        <f>IFERROR(__xludf.DUMMYFUNCTION("""COMPUTED_VALUE"""),"Diterima")</f>
        <v>Diterima</v>
      </c>
      <c r="U16" s="35" t="str">
        <f>IFERROR(__xludf.DUMMYFUNCTION("""COMPUTED_VALUE"""),"Syarif")</f>
        <v>Syarif</v>
      </c>
      <c r="V16" s="71" t="str">
        <f>IFERROR(__xludf.DUMMYFUNCTION("""COMPUTED_VALUE"""),"insyallah dr klrga islami dlm didikan kuat")</f>
        <v>insyallah dr klrga islami dlm didikan kuat</v>
      </c>
    </row>
    <row r="17">
      <c r="A17" s="153">
        <f>IFERROR(__xludf.DUMMYFUNCTION("""COMPUTED_VALUE"""),45922.39125887732)</f>
        <v>45922.39126</v>
      </c>
      <c r="B17" s="158" t="str">
        <f>IFERROR(__xludf.DUMMYFUNCTION("""COMPUTED_VALUE"""),"Nahnurizko nabhan farghali")</f>
        <v>Nahnurizko nabhan farghali</v>
      </c>
      <c r="C17" s="71" t="str">
        <f>IFERROR(__xludf.DUMMYFUNCTION("""COMPUTED_VALUE"""),"Syarifudin")</f>
        <v>Syarifudin</v>
      </c>
      <c r="D17" s="71" t="str">
        <f>IFERROR(__xludf.DUMMYFUNCTION("""COMPUTED_VALUE"""),"MTs Putra")</f>
        <v>MTs Putra</v>
      </c>
      <c r="E17" s="71" t="str">
        <f>IFERROR(__xludf.DUMMYFUNCTION("""COMPUTED_VALUE"""),"A250009")</f>
        <v>A250009</v>
      </c>
      <c r="F17" s="71" t="str">
        <f>IFERROR(__xludf.DUMMYFUNCTION("""COMPUTED_VALUE"""),"FB")</f>
        <v>FB</v>
      </c>
      <c r="G17" s="71" t="str">
        <f>IFERROR(__xludf.DUMMYFUNCTION("""COMPUTED_VALUE"""),"Baru")</f>
        <v>Baru</v>
      </c>
      <c r="H17" s="158" t="str">
        <f>IFERROR(__xludf.DUMMYFUNCTION("""COMPUTED_VALUE"""),"A. Condong ke orientasi akhirat/agama")</f>
        <v>A. Condong ke orientasi akhirat/agama</v>
      </c>
      <c r="I17" s="158" t="str">
        <f>IFERROR(__xludf.DUMMYFUNCTION("""COMPUTED_VALUE"""),"A. Pilihan utama untuk agama, akhlak, dan karakter")</f>
        <v>A. Pilihan utama untuk agama, akhlak, dan karakter</v>
      </c>
      <c r="J17" s="158" t="str">
        <f>IFERROR(__xludf.DUMMYFUNCTION("""COMPUTED_VALUE"""),"B. Anak")</f>
        <v>B. Anak</v>
      </c>
      <c r="K17" s="158" t="str">
        <f>IFERROR(__xludf.DUMMYFUNCTION("""COMPUTED_VALUE"""),"A. Memberikan pengertian")</f>
        <v>A. Memberikan pengertian</v>
      </c>
      <c r="L17" s="158" t="str">
        <f>IFERROR(__xludf.DUMMYFUNCTION("""COMPUTED_VALUE"""),"A. Intensif (tahfizh, sekolah Islam)")</f>
        <v>A. Intensif (tahfizh, sekolah Islam)</v>
      </c>
      <c r="M17" s="158" t="str">
        <f>IFERROR(__xludf.DUMMYFUNCTION("""COMPUTED_VALUE"""),"A. Yakin")</f>
        <v>A. Yakin</v>
      </c>
      <c r="N17" s="158" t="str">
        <f>IFERROR(__xludf.DUMMYFUNCTION("""COMPUTED_VALUE"""),"A. Sangat penting")</f>
        <v>A. Sangat penting</v>
      </c>
      <c r="O17" s="158" t="str">
        <f>IFERROR(__xludf.DUMMYFUNCTION("""COMPUTED_VALUE"""),"A. Berkala")</f>
        <v>A. Berkala</v>
      </c>
      <c r="P17" s="158" t="str">
        <f>IFERROR(__xludf.DUMMYFUNCTION("""COMPUTED_VALUE"""),"A. Klarifikasi &amp; beri semangat pada anak")</f>
        <v>A. Klarifikasi &amp; beri semangat pada anak</v>
      </c>
      <c r="Q17" s="158" t="str">
        <f>IFERROR(__xludf.DUMMYFUNCTION("""COMPUTED_VALUE"""),"A. Menerima sebagai konsekuensi (selama bimbingan sudah maksimal)")</f>
        <v>A. Menerima sebagai konsekuensi (selama bimbingan sudah maksimal)</v>
      </c>
      <c r="R17" s="35" t="str">
        <f>IFERROR(__xludf.DUMMYFUNCTION("""COMPUTED_VALUE"""),"ananda berprinsip dan konsisten dlm sikap sabar &amp; penakut ")</f>
        <v>ananda berprinsip dan konsisten dlm sikap sabar &amp; penakut </v>
      </c>
      <c r="S17" s="35" t="str">
        <f>IFERROR(__xludf.DUMMYFUNCTION("""COMPUTED_VALUE"""),"Sudah")</f>
        <v>Sudah</v>
      </c>
      <c r="T17" s="35" t="str">
        <f>IFERROR(__xludf.DUMMYFUNCTION("""COMPUTED_VALUE"""),"Diterima")</f>
        <v>Diterima</v>
      </c>
      <c r="U17" s="35" t="str">
        <f>IFERROR(__xludf.DUMMYFUNCTION("""COMPUTED_VALUE"""),"Syarif")</f>
        <v>Syarif</v>
      </c>
      <c r="V17" s="71" t="str">
        <f>IFERROR(__xludf.DUMMYFUNCTION("""COMPUTED_VALUE"""),"akan berkunjung insyllah jika lulus test")</f>
        <v>akan berkunjung insyllah jika lulus test</v>
      </c>
    </row>
    <row r="18">
      <c r="A18" s="153">
        <f>IFERROR(__xludf.DUMMYFUNCTION("""COMPUTED_VALUE"""),45922.56147800926)</f>
        <v>45922.56148</v>
      </c>
      <c r="B18" s="158" t="str">
        <f>IFERROR(__xludf.DUMMYFUNCTION("""COMPUTED_VALUE"""),"Lazuardi Akbar Narendra")</f>
        <v>Lazuardi Akbar Narendra</v>
      </c>
      <c r="C18" s="71" t="str">
        <f>IFERROR(__xludf.DUMMYFUNCTION("""COMPUTED_VALUE"""),"Arsan Rauf")</f>
        <v>Arsan Rauf</v>
      </c>
      <c r="D18" s="71" t="str">
        <f>IFERROR(__xludf.DUMMYFUNCTION("""COMPUTED_VALUE"""),"MTs Putra")</f>
        <v>MTs Putra</v>
      </c>
      <c r="E18" s="71" t="str">
        <f>IFERROR(__xludf.DUMMYFUNCTION("""COMPUTED_VALUE"""),"A250007")</f>
        <v>A250007</v>
      </c>
      <c r="F18" s="71" t="str">
        <f>IFERROR(__xludf.DUMMYFUNCTION("""COMPUTED_VALUE"""),"IG")</f>
        <v>IG</v>
      </c>
      <c r="G18" s="71" t="str">
        <f>IFERROR(__xludf.DUMMYFUNCTION("""COMPUTED_VALUE"""),"Baru")</f>
        <v>Baru</v>
      </c>
      <c r="H18" s="158" t="str">
        <f>IFERROR(__xludf.DUMMYFUNCTION("""COMPUTED_VALUE"""),"A. Condong ke orientasi akhirat/agama")</f>
        <v>A. Condong ke orientasi akhirat/agama</v>
      </c>
      <c r="I18" s="158" t="str">
        <f>IFERROR(__xludf.DUMMYFUNCTION("""COMPUTED_VALUE"""),"A. Pilihan utama untuk agama, akhlak, dan karakter")</f>
        <v>A. Pilihan utama untuk agama, akhlak, dan karakter</v>
      </c>
      <c r="J18" s="158" t="str">
        <f>IFERROR(__xludf.DUMMYFUNCTION("""COMPUTED_VALUE"""),"A. Orang tua &amp; anak")</f>
        <v>A. Orang tua &amp; anak</v>
      </c>
      <c r="K18" s="158" t="str">
        <f>IFERROR(__xludf.DUMMYFUNCTION("""COMPUTED_VALUE"""),"A. Memberikan pengertian")</f>
        <v>A. Memberikan pengertian</v>
      </c>
      <c r="L18" s="158" t="str">
        <f>IFERROR(__xludf.DUMMYFUNCTION("""COMPUTED_VALUE"""),"A. Intensif (tahfizh, sekolah Islam)")</f>
        <v>A. Intensif (tahfizh, sekolah Islam)</v>
      </c>
      <c r="M18" s="158" t="str">
        <f>IFERROR(__xludf.DUMMYFUNCTION("""COMPUTED_VALUE"""),"A. Yakin")</f>
        <v>A. Yakin</v>
      </c>
      <c r="N18" s="158" t="str">
        <f>IFERROR(__xludf.DUMMYFUNCTION("""COMPUTED_VALUE"""),"A. Sangat penting")</f>
        <v>A. Sangat penting</v>
      </c>
      <c r="O18" s="158" t="str">
        <f>IFERROR(__xludf.DUMMYFUNCTION("""COMPUTED_VALUE"""),"A. Berkala")</f>
        <v>A. Berkala</v>
      </c>
      <c r="P18" s="158" t="str">
        <f>IFERROR(__xludf.DUMMYFUNCTION("""COMPUTED_VALUE"""),"A. Klarifikasi &amp; beri semangat pada anak")</f>
        <v>A. Klarifikasi &amp; beri semangat pada anak</v>
      </c>
      <c r="Q18" s="158" t="str">
        <f>IFERROR(__xludf.DUMMYFUNCTION("""COMPUTED_VALUE"""),"A. Menerima sebagai konsekuensi (selama bimbingan sudah maksimal)")</f>
        <v>A. Menerima sebagai konsekuensi (selama bimbingan sudah maksimal)</v>
      </c>
      <c r="R18" s="35" t="str">
        <f>IFERROR(__xludf.DUMMYFUNCTION("""COMPUTED_VALUE"""),"Positif : Taat akan aturan, 
Negatif : Gampang tersulut emosi")</f>
        <v>Positif : Taat akan aturan, 
Negatif : Gampang tersulut emosi</v>
      </c>
      <c r="S18" s="35" t="str">
        <f>IFERROR(__xludf.DUMMYFUNCTION("""COMPUTED_VALUE"""),"Sudah")</f>
        <v>Sudah</v>
      </c>
      <c r="T18" s="35" t="str">
        <f>IFERROR(__xludf.DUMMYFUNCTION("""COMPUTED_VALUE"""),"Diterima")</f>
        <v>Diterima</v>
      </c>
      <c r="U18" s="35" t="str">
        <f>IFERROR(__xludf.DUMMYFUNCTION("""COMPUTED_VALUE"""),"Adib")</f>
        <v>Adib</v>
      </c>
      <c r="V18" s="71"/>
    </row>
    <row r="19">
      <c r="A19" s="153">
        <f>IFERROR(__xludf.DUMMYFUNCTION("""COMPUTED_VALUE"""),45922.60503828704)</f>
        <v>45922.60504</v>
      </c>
      <c r="B19" s="158" t="str">
        <f>IFERROR(__xludf.DUMMYFUNCTION("""COMPUTED_VALUE"""),"Donli Caesar Norton")</f>
        <v>Donli Caesar Norton</v>
      </c>
      <c r="C19" s="71" t="str">
        <f>IFERROR(__xludf.DUMMYFUNCTION("""COMPUTED_VALUE"""),"Alfian")</f>
        <v>Alfian</v>
      </c>
      <c r="D19" s="71" t="str">
        <f>IFERROR(__xludf.DUMMYFUNCTION("""COMPUTED_VALUE"""),"MTs Putra")</f>
        <v>MTs Putra</v>
      </c>
      <c r="E19" s="71" t="str">
        <f>IFERROR(__xludf.DUMMYFUNCTION("""COMPUTED_VALUE"""),"B250001")</f>
        <v>B250001</v>
      </c>
      <c r="F19" s="71" t="str">
        <f>IFERROR(__xludf.DUMMYFUNCTION("""COMPUTED_VALUE"""),"Temen dan medsos")</f>
        <v>Temen dan medsos</v>
      </c>
      <c r="G19" s="71" t="str">
        <f>IFERROR(__xludf.DUMMYFUNCTION("""COMPUTED_VALUE"""),"Baru")</f>
        <v>Baru</v>
      </c>
      <c r="H19" s="158" t="str">
        <f>IFERROR(__xludf.DUMMYFUNCTION("""COMPUTED_VALUE"""),"A. Condong ke orientasi akhirat/agama")</f>
        <v>A. Condong ke orientasi akhirat/agama</v>
      </c>
      <c r="I19" s="158" t="str">
        <f>IFERROR(__xludf.DUMMYFUNCTION("""COMPUTED_VALUE"""),"A. Pilihan utama untuk agama, akhlak, dan karakter")</f>
        <v>A. Pilihan utama untuk agama, akhlak, dan karakter</v>
      </c>
      <c r="J19" s="158" t="str">
        <f>IFERROR(__xludf.DUMMYFUNCTION("""COMPUTED_VALUE"""),"B. Anak")</f>
        <v>B. Anak</v>
      </c>
      <c r="K19" s="158" t="str">
        <f>IFERROR(__xludf.DUMMYFUNCTION("""COMPUTED_VALUE"""),"A. Memberikan pengertian")</f>
        <v>A. Memberikan pengertian</v>
      </c>
      <c r="L19" s="158" t="str">
        <f>IFERROR(__xludf.DUMMYFUNCTION("""COMPUTED_VALUE"""),"A. Intensif (tahfizh, sekolah Islam)")</f>
        <v>A. Intensif (tahfizh, sekolah Islam)</v>
      </c>
      <c r="M19" s="158" t="str">
        <f>IFERROR(__xludf.DUMMYFUNCTION("""COMPUTED_VALUE"""),"A. Yakin")</f>
        <v>A. Yakin</v>
      </c>
      <c r="N19" s="158" t="str">
        <f>IFERROR(__xludf.DUMMYFUNCTION("""COMPUTED_VALUE"""),"A. Sangat penting")</f>
        <v>A. Sangat penting</v>
      </c>
      <c r="O19" s="158" t="str">
        <f>IFERROR(__xludf.DUMMYFUNCTION("""COMPUTED_VALUE"""),"A. Berkala")</f>
        <v>A. Berkala</v>
      </c>
      <c r="P19" s="158" t="str">
        <f>IFERROR(__xludf.DUMMYFUNCTION("""COMPUTED_VALUE"""),"A. Klarifikasi &amp; beri semangat pada anak")</f>
        <v>A. Klarifikasi &amp; beri semangat pada anak</v>
      </c>
      <c r="Q19" s="158" t="str">
        <f>IFERROR(__xludf.DUMMYFUNCTION("""COMPUTED_VALUE"""),"A. Menerima sebagai konsekuensi (selama bimbingan sudah maksimal)")</f>
        <v>A. Menerima sebagai konsekuensi (selama bimbingan sudah maksimal)</v>
      </c>
      <c r="R19" s="35" t="str">
        <f>IFERROR(__xludf.DUMMYFUNCTION("""COMPUTED_VALUE"""),"Nurut SM ortu LBH condong diem dan mudah terpengaruh tmn ")</f>
        <v>Nurut SM ortu LBH condong diem dan mudah terpengaruh tmn </v>
      </c>
      <c r="S19" s="35" t="str">
        <f>IFERROR(__xludf.DUMMYFUNCTION("""COMPUTED_VALUE"""),"Sudah")</f>
        <v>Sudah</v>
      </c>
      <c r="T19" s="35" t="str">
        <f>IFERROR(__xludf.DUMMYFUNCTION("""COMPUTED_VALUE"""),"Diterima dengan catatan")</f>
        <v>Diterima dengan catatan</v>
      </c>
      <c r="U19" s="35" t="str">
        <f>IFERROR(__xludf.DUMMYFUNCTION("""COMPUTED_VALUE"""),"Syarif")</f>
        <v>Syarif</v>
      </c>
      <c r="V19" s="71" t="str">
        <f>IFERROR(__xludf.DUMMYFUNCTION("""COMPUTED_VALUE"""),"Persiapan utk memaksimalkan target di Ma'had ")</f>
        <v>Persiapan utk memaksimalkan target di Ma'had </v>
      </c>
    </row>
    <row r="20">
      <c r="A20" s="153">
        <f>IFERROR(__xludf.DUMMYFUNCTION("""COMPUTED_VALUE"""),45923.69563844908)</f>
        <v>45923.69564</v>
      </c>
      <c r="B20" s="158" t="str">
        <f>IFERROR(__xludf.DUMMYFUNCTION("""COMPUTED_VALUE"""),"Aina syahmina givani")</f>
        <v>Aina syahmina givani</v>
      </c>
      <c r="C20" s="71" t="str">
        <f>IFERROR(__xludf.DUMMYFUNCTION("""COMPUTED_VALUE"""),"Gina Muharam")</f>
        <v>Gina Muharam</v>
      </c>
      <c r="D20" s="71" t="str">
        <f>IFERROR(__xludf.DUMMYFUNCTION("""COMPUTED_VALUE"""),"MTs Putri")</f>
        <v>MTs Putri</v>
      </c>
      <c r="E20" s="71" t="str">
        <f>IFERROR(__xludf.DUMMYFUNCTION("""COMPUTED_VALUE"""),"D250006")</f>
        <v>D250006</v>
      </c>
      <c r="F20" s="71" t="str">
        <f>IFERROR(__xludf.DUMMYFUNCTION("""COMPUTED_VALUE"""),"Ada temannya Aina")</f>
        <v>Ada temannya Aina</v>
      </c>
      <c r="G20" s="71" t="str">
        <f>IFERROR(__xludf.DUMMYFUNCTION("""COMPUTED_VALUE"""),"Memiliki teman/rekan/tetangga di PUAS")</f>
        <v>Memiliki teman/rekan/tetangga di PUAS</v>
      </c>
      <c r="H20" s="158" t="str">
        <f>IFERROR(__xludf.DUMMYFUNCTION("""COMPUTED_VALUE"""),"A. Condong ke orientasi akhirat/agama")</f>
        <v>A. Condong ke orientasi akhirat/agama</v>
      </c>
      <c r="I20" s="158" t="str">
        <f>IFERROR(__xludf.DUMMYFUNCTION("""COMPUTED_VALUE"""),"A. Pilihan utama untuk agama, akhlak, dan karakter")</f>
        <v>A. Pilihan utama untuk agama, akhlak, dan karakter</v>
      </c>
      <c r="J20" s="158" t="str">
        <f>IFERROR(__xludf.DUMMYFUNCTION("""COMPUTED_VALUE"""),"A. Orang tua &amp; anak")</f>
        <v>A. Orang tua &amp; anak</v>
      </c>
      <c r="K20" s="158" t="str">
        <f>IFERROR(__xludf.DUMMYFUNCTION("""COMPUTED_VALUE"""),"A. Memberikan pengertian")</f>
        <v>A. Memberikan pengertian</v>
      </c>
      <c r="L20" s="158" t="str">
        <f>IFERROR(__xludf.DUMMYFUNCTION("""COMPUTED_VALUE"""),"A. Intensif (tahfizh, sekolah Islam)")</f>
        <v>A. Intensif (tahfizh, sekolah Islam)</v>
      </c>
      <c r="M20" s="158" t="str">
        <f>IFERROR(__xludf.DUMMYFUNCTION("""COMPUTED_VALUE"""),"A. Yakin")</f>
        <v>A. Yakin</v>
      </c>
      <c r="N20" s="158" t="str">
        <f>IFERROR(__xludf.DUMMYFUNCTION("""COMPUTED_VALUE"""),"A. Sangat penting")</f>
        <v>A. Sangat penting</v>
      </c>
      <c r="O20" s="158" t="str">
        <f>IFERROR(__xludf.DUMMYFUNCTION("""COMPUTED_VALUE"""),"A. Berkala")</f>
        <v>A. Berkala</v>
      </c>
      <c r="P20" s="158" t="str">
        <f>IFERROR(__xludf.DUMMYFUNCTION("""COMPUTED_VALUE"""),"A. Klarifikasi &amp; beri semangat pada anak")</f>
        <v>A. Klarifikasi &amp; beri semangat pada anak</v>
      </c>
      <c r="Q20" s="158" t="str">
        <f>IFERROR(__xludf.DUMMYFUNCTION("""COMPUTED_VALUE"""),"A. Menerima sebagai konsekuensi (selama bimbingan sudah maksimal)")</f>
        <v>A. Menerima sebagai konsekuensi (selama bimbingan sudah maksimal)</v>
      </c>
      <c r="R20" s="35" t="str">
        <f>IFERROR(__xludf.DUMMYFUNCTION("""COMPUTED_VALUE"""),"Negatif :agak slebor, susah bangun pagi, 
Positif : mudah bergaul, tdk tersinggungan")</f>
        <v>Negatif :agak slebor, susah bangun pagi, 
Positif : mudah bergaul, tdk tersinggungan</v>
      </c>
      <c r="S20" s="35" t="str">
        <f>IFERROR(__xludf.DUMMYFUNCTION("""COMPUTED_VALUE"""),"Sudah")</f>
        <v>Sudah</v>
      </c>
      <c r="T20" s="35" t="str">
        <f>IFERROR(__xludf.DUMMYFUNCTION("""COMPUTED_VALUE"""),"Diterima")</f>
        <v>Diterima</v>
      </c>
      <c r="U20" s="35" t="str">
        <f>IFERROR(__xludf.DUMMYFUNCTION("""COMPUTED_VALUE"""),"Bachtiar")</f>
        <v>Bachtiar</v>
      </c>
      <c r="V20" s="71" t="str">
        <f>IFERROR(__xludf.DUMMYFUNCTION("""COMPUTED_VALUE"""),"Orang tua sudah mempersiapkan sejak dini utk membiasakan anak mondok dgn diikuti peskil")</f>
        <v>Orang tua sudah mempersiapkan sejak dini utk membiasakan anak mondok dgn diikuti peskil</v>
      </c>
    </row>
    <row r="21">
      <c r="A21" s="153">
        <f>IFERROR(__xludf.DUMMYFUNCTION("""COMPUTED_VALUE"""),45924.34873787037)</f>
        <v>45924.34874</v>
      </c>
      <c r="B21" s="158" t="str">
        <f>IFERROR(__xludf.DUMMYFUNCTION("""COMPUTED_VALUE"""),"Keyza Qaireen")</f>
        <v>Keyza Qaireen</v>
      </c>
      <c r="C21" s="71" t="str">
        <f>IFERROR(__xludf.DUMMYFUNCTION("""COMPUTED_VALUE"""),"Syahrul maulana")</f>
        <v>Syahrul maulana</v>
      </c>
      <c r="D21" s="71" t="str">
        <f>IFERROR(__xludf.DUMMYFUNCTION("""COMPUTED_VALUE"""),"MTs Putri")</f>
        <v>MTs Putri</v>
      </c>
      <c r="E21" s="71" t="str">
        <f>IFERROR(__xludf.DUMMYFUNCTION("""COMPUTED_VALUE"""),"D250009")</f>
        <v>D250009</v>
      </c>
      <c r="F21" s="71" t="str">
        <f>IFERROR(__xludf.DUMMYFUNCTION("""COMPUTED_VALUE"""),"Dr kakaknya yg di almatuq")</f>
        <v>Dr kakaknya yg di almatuq</v>
      </c>
      <c r="G21" s="71" t="str">
        <f>IFERROR(__xludf.DUMMYFUNCTION("""COMPUTED_VALUE"""),"Baru")</f>
        <v>Baru</v>
      </c>
      <c r="H21" s="158" t="str">
        <f>IFERROR(__xludf.DUMMYFUNCTION("""COMPUTED_VALUE"""),"A. Condong ke orientasi akhirat/agama")</f>
        <v>A. Condong ke orientasi akhirat/agama</v>
      </c>
      <c r="I21" s="158" t="str">
        <f>IFERROR(__xludf.DUMMYFUNCTION("""COMPUTED_VALUE"""),"A. Pilihan utama untuk agama, akhlak, dan karakter")</f>
        <v>A. Pilihan utama untuk agama, akhlak, dan karakter</v>
      </c>
      <c r="J21" s="158" t="str">
        <f>IFERROR(__xludf.DUMMYFUNCTION("""COMPUTED_VALUE"""),"A. Orang tua &amp; anak")</f>
        <v>A. Orang tua &amp; anak</v>
      </c>
      <c r="K21" s="158" t="str">
        <f>IFERROR(__xludf.DUMMYFUNCTION("""COMPUTED_VALUE"""),"A. Memberikan pengertian")</f>
        <v>A. Memberikan pengertian</v>
      </c>
      <c r="L21" s="158" t="str">
        <f>IFERROR(__xludf.DUMMYFUNCTION("""COMPUTED_VALUE"""),"A. Intensif (tahfizh, sekolah Islam)")</f>
        <v>A. Intensif (tahfizh, sekolah Islam)</v>
      </c>
      <c r="M21" s="158" t="str">
        <f>IFERROR(__xludf.DUMMYFUNCTION("""COMPUTED_VALUE"""),"A. Yakin")</f>
        <v>A. Yakin</v>
      </c>
      <c r="N21" s="158" t="str">
        <f>IFERROR(__xludf.DUMMYFUNCTION("""COMPUTED_VALUE"""),"A. Sangat penting")</f>
        <v>A. Sangat penting</v>
      </c>
      <c r="O21" s="158" t="str">
        <f>IFERROR(__xludf.DUMMYFUNCTION("""COMPUTED_VALUE"""),"A. Berkala")</f>
        <v>A. Berkala</v>
      </c>
      <c r="P21" s="158" t="str">
        <f>IFERROR(__xludf.DUMMYFUNCTION("""COMPUTED_VALUE"""),"A. Klarifikasi &amp; beri semangat pada anak")</f>
        <v>A. Klarifikasi &amp; beri semangat pada anak</v>
      </c>
      <c r="Q21" s="158" t="str">
        <f>IFERROR(__xludf.DUMMYFUNCTION("""COMPUTED_VALUE"""),"A. Menerima sebagai konsekuensi (selama bimbingan sudah maksimal)")</f>
        <v>A. Menerima sebagai konsekuensi (selama bimbingan sudah maksimal)</v>
      </c>
      <c r="R21" s="35" t="str">
        <f>IFERROR(__xludf.DUMMYFUNCTION("""COMPUTED_VALUE"""),"Mandiri dlm sikap tggjwb bljr,g ingin main kluar rmh. Bangun tdur slalu dr ortu.")</f>
        <v>Mandiri dlm sikap tggjwb bljr,g ingin main kluar rmh. Bangun tdur slalu dr ortu.</v>
      </c>
      <c r="S21" s="35" t="str">
        <f>IFERROR(__xludf.DUMMYFUNCTION("""COMPUTED_VALUE"""),"Sudah")</f>
        <v>Sudah</v>
      </c>
      <c r="T21" s="35" t="str">
        <f>IFERROR(__xludf.DUMMYFUNCTION("""COMPUTED_VALUE"""),"Diterima")</f>
        <v>Diterima</v>
      </c>
      <c r="U21" s="35" t="str">
        <f>IFERROR(__xludf.DUMMYFUNCTION("""COMPUTED_VALUE"""),"Syarif")</f>
        <v>Syarif</v>
      </c>
      <c r="V21" s="71" t="str">
        <f>IFERROR(__xludf.DUMMYFUNCTION("""COMPUTED_VALUE"""),"Gantikan test wwncr ust Abah .. ")</f>
        <v>Gantikan test wwncr ust Abah .. </v>
      </c>
    </row>
    <row r="22">
      <c r="A22" s="153">
        <f>IFERROR(__xludf.DUMMYFUNCTION("""COMPUTED_VALUE"""),45924.41393908564)</f>
        <v>45924.41394</v>
      </c>
      <c r="B22" s="158" t="str">
        <f>IFERROR(__xludf.DUMMYFUNCTION("""COMPUTED_VALUE"""),"Muhamad Usman Ali")</f>
        <v>Muhamad Usman Ali</v>
      </c>
      <c r="C22" s="71" t="str">
        <f>IFERROR(__xludf.DUMMYFUNCTION("""COMPUTED_VALUE"""),"Hendra Juniarsyah")</f>
        <v>Hendra Juniarsyah</v>
      </c>
      <c r="D22" s="71" t="str">
        <f>IFERROR(__xludf.DUMMYFUNCTION("""COMPUTED_VALUE"""),"MTs Putra")</f>
        <v>MTs Putra</v>
      </c>
      <c r="E22" s="71" t="str">
        <f>IFERROR(__xludf.DUMMYFUNCTION("""COMPUTED_VALUE"""),"A250018")</f>
        <v>A250018</v>
      </c>
      <c r="F22" s="71" t="str">
        <f>IFERROR(__xludf.DUMMYFUNCTION("""COMPUTED_VALUE"""),"Dari kakak sepupu")</f>
        <v>Dari kakak sepupu</v>
      </c>
      <c r="G22" s="71" t="str">
        <f>IFERROR(__xludf.DUMMYFUNCTION("""COMPUTED_VALUE"""),"Memiliki teman/rekan/tetangga di PUAS")</f>
        <v>Memiliki teman/rekan/tetangga di PUAS</v>
      </c>
      <c r="H22" s="158" t="str">
        <f>IFERROR(__xludf.DUMMYFUNCTION("""COMPUTED_VALUE"""),"A. Condong ke orientasi akhirat/agama")</f>
        <v>A. Condong ke orientasi akhirat/agama</v>
      </c>
      <c r="I22" s="158" t="str">
        <f>IFERROR(__xludf.DUMMYFUNCTION("""COMPUTED_VALUE"""),"A. Pilihan utama untuk agama, akhlak, dan karakter")</f>
        <v>A. Pilihan utama untuk agama, akhlak, dan karakter</v>
      </c>
      <c r="J22" s="158" t="str">
        <f>IFERROR(__xludf.DUMMYFUNCTION("""COMPUTED_VALUE"""),"B. Anak")</f>
        <v>B. Anak</v>
      </c>
      <c r="K22" s="158" t="str">
        <f>IFERROR(__xludf.DUMMYFUNCTION("""COMPUTED_VALUE"""),"A. Memberikan pengertian")</f>
        <v>A. Memberikan pengertian</v>
      </c>
      <c r="L22" s="158" t="str">
        <f>IFERROR(__xludf.DUMMYFUNCTION("""COMPUTED_VALUE"""),"A. Intensif (tahfizh, sekolah Islam)")</f>
        <v>A. Intensif (tahfizh, sekolah Islam)</v>
      </c>
      <c r="M22" s="158" t="str">
        <f>IFERROR(__xludf.DUMMYFUNCTION("""COMPUTED_VALUE"""),"A. Yakin")</f>
        <v>A. Yakin</v>
      </c>
      <c r="N22" s="158" t="str">
        <f>IFERROR(__xludf.DUMMYFUNCTION("""COMPUTED_VALUE"""),"A. Sangat penting")</f>
        <v>A. Sangat penting</v>
      </c>
      <c r="O22" s="158" t="str">
        <f>IFERROR(__xludf.DUMMYFUNCTION("""COMPUTED_VALUE"""),"A. Berkala")</f>
        <v>A. Berkala</v>
      </c>
      <c r="P22" s="158" t="str">
        <f>IFERROR(__xludf.DUMMYFUNCTION("""COMPUTED_VALUE"""),"A. Klarifikasi &amp; beri semangat pada anak")</f>
        <v>A. Klarifikasi &amp; beri semangat pada anak</v>
      </c>
      <c r="Q22" s="158" t="str">
        <f>IFERROR(__xludf.DUMMYFUNCTION("""COMPUTED_VALUE"""),"A. Menerima sebagai konsekuensi (selama bimbingan sudah maksimal)")</f>
        <v>A. Menerima sebagai konsekuensi (selama bimbingan sudah maksimal)</v>
      </c>
      <c r="R22" s="35" t="str">
        <f>IFERROR(__xludf.DUMMYFUNCTION("""COMPUTED_VALUE"""),"Positif : Ceria, Humble, Senang bercerita.
Negatif : Mudah panik, kurang PD")</f>
        <v>Positif : Ceria, Humble, Senang bercerita.
Negatif : Mudah panik, kurang PD</v>
      </c>
      <c r="S22" s="35" t="str">
        <f>IFERROR(__xludf.DUMMYFUNCTION("""COMPUTED_VALUE"""),"Sudah")</f>
        <v>Sudah</v>
      </c>
      <c r="T22" s="35" t="str">
        <f>IFERROR(__xludf.DUMMYFUNCTION("""COMPUTED_VALUE"""),"Diterima")</f>
        <v>Diterima</v>
      </c>
      <c r="U22" s="35" t="str">
        <f>IFERROR(__xludf.DUMMYFUNCTION("""COMPUTED_VALUE"""),"Adib")</f>
        <v>Adib</v>
      </c>
      <c r="V22" s="71" t="str">
        <f>IFERROR(__xludf.DUMMYFUNCTION("""COMPUTED_VALUE"""),"Wawancara dilakukan untuk 2 orang calon santri, atas nama Muhammad Umar Ali dan Muhammad Usman Ali. Saudara kembar.")</f>
        <v>Wawancara dilakukan untuk 2 orang calon santri, atas nama Muhammad Umar Ali dan Muhammad Usman Ali. Saudara kembar.</v>
      </c>
    </row>
    <row r="23">
      <c r="A23" s="153">
        <f>IFERROR(__xludf.DUMMYFUNCTION("""COMPUTED_VALUE"""),45924.46850804398)</f>
        <v>45924.46851</v>
      </c>
      <c r="B23" s="158" t="str">
        <f>IFERROR(__xludf.DUMMYFUNCTION("""COMPUTED_VALUE"""),"Adya Wiguna")</f>
        <v>Adya Wiguna</v>
      </c>
      <c r="C23" s="71" t="str">
        <f>IFERROR(__xludf.DUMMYFUNCTION("""COMPUTED_VALUE"""),"Dr. Indra Wiguna")</f>
        <v>Dr. Indra Wiguna</v>
      </c>
      <c r="D23" s="71" t="str">
        <f>IFERROR(__xludf.DUMMYFUNCTION("""COMPUTED_VALUE"""),"MTs Putra")</f>
        <v>MTs Putra</v>
      </c>
      <c r="E23" s="71" t="str">
        <f>IFERROR(__xludf.DUMMYFUNCTION("""COMPUTED_VALUE"""),"A250013")</f>
        <v>A250013</v>
      </c>
      <c r="F23" s="71" t="str">
        <f>IFERROR(__xludf.DUMMYFUNCTION("""COMPUTED_VALUE"""),"Google ")</f>
        <v>Google </v>
      </c>
      <c r="G23" s="71" t="str">
        <f>IFERROR(__xludf.DUMMYFUNCTION("""COMPUTED_VALUE"""),"Memiliki teman/rekan/tetangga di PUAS")</f>
        <v>Memiliki teman/rekan/tetangga di PUAS</v>
      </c>
      <c r="H23" s="158" t="str">
        <f>IFERROR(__xludf.DUMMYFUNCTION("""COMPUTED_VALUE"""),"A. Condong ke orientasi akhirat/agama")</f>
        <v>A. Condong ke orientasi akhirat/agama</v>
      </c>
      <c r="I23" s="158" t="str">
        <f>IFERROR(__xludf.DUMMYFUNCTION("""COMPUTED_VALUE"""),"A. Pilihan utama untuk agama, akhlak, dan karakter")</f>
        <v>A. Pilihan utama untuk agama, akhlak, dan karakter</v>
      </c>
      <c r="J23" s="158" t="str">
        <f>IFERROR(__xludf.DUMMYFUNCTION("""COMPUTED_VALUE"""),"A. Orang tua &amp; anak")</f>
        <v>A. Orang tua &amp; anak</v>
      </c>
      <c r="K23" s="158" t="str">
        <f>IFERROR(__xludf.DUMMYFUNCTION("""COMPUTED_VALUE"""),"A. Memberikan pengertian")</f>
        <v>A. Memberikan pengertian</v>
      </c>
      <c r="L23" s="158" t="str">
        <f>IFERROR(__xludf.DUMMYFUNCTION("""COMPUTED_VALUE"""),"A. Intensif (tahfizh, sekolah Islam)")</f>
        <v>A. Intensif (tahfizh, sekolah Islam)</v>
      </c>
      <c r="M23" s="158" t="str">
        <f>IFERROR(__xludf.DUMMYFUNCTION("""COMPUTED_VALUE"""),"A. Yakin")</f>
        <v>A. Yakin</v>
      </c>
      <c r="N23" s="158" t="str">
        <f>IFERROR(__xludf.DUMMYFUNCTION("""COMPUTED_VALUE"""),"A. Sangat penting")</f>
        <v>A. Sangat penting</v>
      </c>
      <c r="O23" s="158" t="str">
        <f>IFERROR(__xludf.DUMMYFUNCTION("""COMPUTED_VALUE"""),"B. Tidak menjenguk karena jauh")</f>
        <v>B. Tidak menjenguk karena jauh</v>
      </c>
      <c r="P23" s="158" t="str">
        <f>IFERROR(__xludf.DUMMYFUNCTION("""COMPUTED_VALUE"""),"B. Serahkan ke pesantren")</f>
        <v>B. Serahkan ke pesantren</v>
      </c>
      <c r="Q23" s="158" t="str">
        <f>IFERROR(__xludf.DUMMYFUNCTION("""COMPUTED_VALUE"""),"A. Menerima sebagai konsekuensi (selama bimbingan sudah maksimal)")</f>
        <v>A. Menerima sebagai konsekuensi (selama bimbingan sudah maksimal)</v>
      </c>
      <c r="R23" s="35" t="str">
        <f>IFERROR(__xludf.DUMMYFUNCTION("""COMPUTED_VALUE"""),"Positif : percaya diri, mudah adaptasi
Kekurangan: banyak alasan, ")</f>
        <v>Positif : percaya diri, mudah adaptasi
Kekurangan: banyak alasan, </v>
      </c>
      <c r="S23" s="35" t="str">
        <f>IFERROR(__xludf.DUMMYFUNCTION("""COMPUTED_VALUE"""),"Sudah")</f>
        <v>Sudah</v>
      </c>
      <c r="T23" s="35" t="str">
        <f>IFERROR(__xludf.DUMMYFUNCTION("""COMPUTED_VALUE"""),"Diterima dengan catatan")</f>
        <v>Diterima dengan catatan</v>
      </c>
      <c r="U23" s="35" t="str">
        <f>IFERROR(__xludf.DUMMYFUNCTION("""COMPUTED_VALUE"""),"Bachtiar")</f>
        <v>Bachtiar</v>
      </c>
      <c r="V23" s="71" t="str">
        <f>IFERROR(__xludf.DUMMYFUNCTION("""COMPUTED_VALUE"""),"Berdasarkan pengakuan ortunya anaknya banyak alasan jika diperintahkan sesuatu yg TDK sesuai dgn dirinya ")</f>
        <v>Berdasarkan pengakuan ortunya anaknya banyak alasan jika diperintahkan sesuatu yg TDK sesuai dgn dirinya </v>
      </c>
    </row>
    <row r="24">
      <c r="A24" s="153">
        <f>IFERROR(__xludf.DUMMYFUNCTION("""COMPUTED_VALUE"""),45924.84321172454)</f>
        <v>45924.84321</v>
      </c>
      <c r="B24" s="158" t="str">
        <f>IFERROR(__xludf.DUMMYFUNCTION("""COMPUTED_VALUE"""),"Azka Ulinnuha")</f>
        <v>Azka Ulinnuha</v>
      </c>
      <c r="C24" s="160" t="str">
        <f>IFERROR(__xludf.DUMMYFUNCTION("""COMPUTED_VALUE"""),"Nawoko Prastyo")</f>
        <v>Nawoko Prastyo</v>
      </c>
      <c r="D24" s="71" t="str">
        <f>IFERROR(__xludf.DUMMYFUNCTION("""COMPUTED_VALUE"""),"I'L Putra")</f>
        <v>I'L Putra</v>
      </c>
      <c r="E24" s="71" t="str">
        <f>IFERROR(__xludf.DUMMYFUNCTION("""COMPUTED_VALUE"""),"B250009")</f>
        <v>B250009</v>
      </c>
      <c r="F24" s="71" t="str">
        <f>IFERROR(__xludf.DUMMYFUNCTION("""COMPUTED_VALUE"""),"Facebook Abah Jawiy")</f>
        <v>Facebook Abah Jawiy</v>
      </c>
      <c r="G24" s="71" t="str">
        <f>IFERROR(__xludf.DUMMYFUNCTION("""COMPUTED_VALUE"""),"Memiliki teman/rekan/tetangga di PUAS")</f>
        <v>Memiliki teman/rekan/tetangga di PUAS</v>
      </c>
      <c r="H24" s="158" t="str">
        <f>IFERROR(__xludf.DUMMYFUNCTION("""COMPUTED_VALUE"""),"A. Condong ke orientasi akhirat/agama")</f>
        <v>A. Condong ke orientasi akhirat/agama</v>
      </c>
      <c r="I24" s="158" t="str">
        <f>IFERROR(__xludf.DUMMYFUNCTION("""COMPUTED_VALUE"""),"A. Pilihan utama untuk agama, akhlak, dan karakter")</f>
        <v>A. Pilihan utama untuk agama, akhlak, dan karakter</v>
      </c>
      <c r="J24" s="158" t="str">
        <f>IFERROR(__xludf.DUMMYFUNCTION("""COMPUTED_VALUE"""),"A. Orang tua &amp; anak")</f>
        <v>A. Orang tua &amp; anak</v>
      </c>
      <c r="K24" s="158" t="str">
        <f>IFERROR(__xludf.DUMMYFUNCTION("""COMPUTED_VALUE"""),"A. Memberikan pengertian")</f>
        <v>A. Memberikan pengertian</v>
      </c>
      <c r="L24" s="158" t="str">
        <f>IFERROR(__xludf.DUMMYFUNCTION("""COMPUTED_VALUE"""),"A. Intensif (tahfizh, sekolah Islam)")</f>
        <v>A. Intensif (tahfizh, sekolah Islam)</v>
      </c>
      <c r="M24" s="158" t="str">
        <f>IFERROR(__xludf.DUMMYFUNCTION("""COMPUTED_VALUE"""),"A. Yakin")</f>
        <v>A. Yakin</v>
      </c>
      <c r="N24" s="158" t="str">
        <f>IFERROR(__xludf.DUMMYFUNCTION("""COMPUTED_VALUE"""),"A. Sangat penting")</f>
        <v>A. Sangat penting</v>
      </c>
      <c r="O24" s="158" t="str">
        <f>IFERROR(__xludf.DUMMYFUNCTION("""COMPUTED_VALUE"""),"C. Sesempatnya saja")</f>
        <v>C. Sesempatnya saja</v>
      </c>
      <c r="P24" s="158" t="str">
        <f>IFERROR(__xludf.DUMMYFUNCTION("""COMPUTED_VALUE"""),"A. Klarifikasi &amp; beri semangat pada anak")</f>
        <v>A. Klarifikasi &amp; beri semangat pada anak</v>
      </c>
      <c r="Q24" s="158" t="str">
        <f>IFERROR(__xludf.DUMMYFUNCTION("""COMPUTED_VALUE"""),"A. Menerima sebagai konsekuensi (selama bimbingan sudah maksimal)")</f>
        <v>A. Menerima sebagai konsekuensi (selama bimbingan sudah maksimal)</v>
      </c>
      <c r="R24" s="35" t="str">
        <f>IFERROR(__xludf.DUMMYFUNCTION("""COMPUTED_VALUE"""),"cuek, suka berpetualang, agak lemah dalam menghafal, suka membaca")</f>
        <v>cuek, suka berpetualang, agak lemah dalam menghafal, suka membaca</v>
      </c>
      <c r="S24" s="35" t="str">
        <f>IFERROR(__xludf.DUMMYFUNCTION("""COMPUTED_VALUE"""),"Sudah")</f>
        <v>Sudah</v>
      </c>
      <c r="T24" s="35" t="str">
        <f>IFERROR(__xludf.DUMMYFUNCTION("""COMPUTED_VALUE"""),"Diterima")</f>
        <v>Diterima</v>
      </c>
      <c r="U24" s="35" t="str">
        <f>IFERROR(__xludf.DUMMYFUNCTION("""COMPUTED_VALUE"""),"Abah")</f>
        <v>Abah</v>
      </c>
      <c r="V24" s="71"/>
    </row>
    <row r="25">
      <c r="A25" s="153">
        <f>IFERROR(__xludf.DUMMYFUNCTION("""COMPUTED_VALUE"""),45925.35823155093)</f>
        <v>45925.35823</v>
      </c>
      <c r="B25" s="158" t="str">
        <f>IFERROR(__xludf.DUMMYFUNCTION("""COMPUTED_VALUE"""),"Kafie Arkan Rafiqi")</f>
        <v>Kafie Arkan Rafiqi</v>
      </c>
      <c r="C25" s="71" t="str">
        <f>IFERROR(__xludf.DUMMYFUNCTION("""COMPUTED_VALUE"""),"Usep Heryana dan Lala Susilawati")</f>
        <v>Usep Heryana dan Lala Susilawati</v>
      </c>
      <c r="D25" s="71" t="str">
        <f>IFERROR(__xludf.DUMMYFUNCTION("""COMPUTED_VALUE"""),"MTs Putra")</f>
        <v>MTs Putra</v>
      </c>
      <c r="E25" s="71" t="str">
        <f>IFERROR(__xludf.DUMMYFUNCTION("""COMPUTED_VALUE"""),"A250055")</f>
        <v>A250055</v>
      </c>
      <c r="F25" s="71" t="str">
        <f>IFERROR(__xludf.DUMMYFUNCTION("""COMPUTED_VALUE"""),"Temen ")</f>
        <v>Temen </v>
      </c>
      <c r="G25" s="71" t="str">
        <f>IFERROR(__xludf.DUMMYFUNCTION("""COMPUTED_VALUE"""),"Baru")</f>
        <v>Baru</v>
      </c>
      <c r="H25" s="158" t="str">
        <f>IFERROR(__xludf.DUMMYFUNCTION("""COMPUTED_VALUE"""),"A. Condong ke orientasi akhirat/agama")</f>
        <v>A. Condong ke orientasi akhirat/agama</v>
      </c>
      <c r="I25" s="158" t="str">
        <f>IFERROR(__xludf.DUMMYFUNCTION("""COMPUTED_VALUE"""),"A. Pilihan utama untuk agama, akhlak, dan karakter")</f>
        <v>A. Pilihan utama untuk agama, akhlak, dan karakter</v>
      </c>
      <c r="J25" s="158" t="str">
        <f>IFERROR(__xludf.DUMMYFUNCTION("""COMPUTED_VALUE"""),"A. Orang tua &amp; anak")</f>
        <v>A. Orang tua &amp; anak</v>
      </c>
      <c r="K25" s="158" t="str">
        <f>IFERROR(__xludf.DUMMYFUNCTION("""COMPUTED_VALUE"""),"A. Memberikan pengertian")</f>
        <v>A. Memberikan pengertian</v>
      </c>
      <c r="L25" s="158" t="str">
        <f>IFERROR(__xludf.DUMMYFUNCTION("""COMPUTED_VALUE"""),"A. Intensif (tahfizh, sekolah Islam)")</f>
        <v>A. Intensif (tahfizh, sekolah Islam)</v>
      </c>
      <c r="M25" s="158" t="str">
        <f>IFERROR(__xludf.DUMMYFUNCTION("""COMPUTED_VALUE"""),"A. Yakin")</f>
        <v>A. Yakin</v>
      </c>
      <c r="N25" s="158" t="str">
        <f>IFERROR(__xludf.DUMMYFUNCTION("""COMPUTED_VALUE"""),"A. Sangat penting")</f>
        <v>A. Sangat penting</v>
      </c>
      <c r="O25" s="158" t="str">
        <f>IFERROR(__xludf.DUMMYFUNCTION("""COMPUTED_VALUE"""),"A. Berkala")</f>
        <v>A. Berkala</v>
      </c>
      <c r="P25" s="158" t="str">
        <f>IFERROR(__xludf.DUMMYFUNCTION("""COMPUTED_VALUE"""),"A. Klarifikasi &amp; beri semangat pada anak")</f>
        <v>A. Klarifikasi &amp; beri semangat pada anak</v>
      </c>
      <c r="Q25" s="158" t="str">
        <f>IFERROR(__xludf.DUMMYFUNCTION("""COMPUTED_VALUE"""),"A. Menerima sebagai konsekuensi (selama bimbingan sudah maksimal)")</f>
        <v>A. Menerima sebagai konsekuensi (selama bimbingan sudah maksimal)</v>
      </c>
      <c r="R25" s="35" t="str">
        <f>IFERROR(__xludf.DUMMYFUNCTION("""COMPUTED_VALUE"""),"Sulit bangun, cerdas akademik, sulit menghafal, kurang tanggung jawab,kurang disiplin.")</f>
        <v>Sulit bangun, cerdas akademik, sulit menghafal, kurang tanggung jawab,kurang disiplin.</v>
      </c>
      <c r="S25" s="35" t="str">
        <f>IFERROR(__xludf.DUMMYFUNCTION("""COMPUTED_VALUE"""),"Sudah")</f>
        <v>Sudah</v>
      </c>
      <c r="T25" s="35" t="str">
        <f>IFERROR(__xludf.DUMMYFUNCTION("""COMPUTED_VALUE"""),"Diterima")</f>
        <v>Diterima</v>
      </c>
      <c r="U25" s="35" t="str">
        <f>IFERROR(__xludf.DUMMYFUNCTION("""COMPUTED_VALUE"""),"Abah")</f>
        <v>Abah</v>
      </c>
      <c r="V25" s="71"/>
    </row>
    <row r="26">
      <c r="A26" s="153">
        <f>IFERROR(__xludf.DUMMYFUNCTION("""COMPUTED_VALUE"""),45925.44045070602)</f>
        <v>45925.44045</v>
      </c>
      <c r="B26" s="158" t="str">
        <f>IFERROR(__xludf.DUMMYFUNCTION("""COMPUTED_VALUE"""),"Janeeta Candy Hinata")</f>
        <v>Janeeta Candy Hinata</v>
      </c>
      <c r="C26" s="71" t="str">
        <f>IFERROR(__xludf.DUMMYFUNCTION("""COMPUTED_VALUE"""),"Hermanto")</f>
        <v>Hermanto</v>
      </c>
      <c r="D26" s="71" t="str">
        <f>IFERROR(__xludf.DUMMYFUNCTION("""COMPUTED_VALUE"""),"MTs Putri")</f>
        <v>MTs Putri</v>
      </c>
      <c r="E26" s="71" t="str">
        <f>IFERROR(__xludf.DUMMYFUNCTION("""COMPUTED_VALUE"""),"D250004")</f>
        <v>D250004</v>
      </c>
      <c r="F26" s="71" t="str">
        <f>IFERROR(__xludf.DUMMYFUNCTION("""COMPUTED_VALUE"""),"dari Adik yg kenal ust wahab rajasam")</f>
        <v>dari Adik yg kenal ust wahab rajasam</v>
      </c>
      <c r="G26" s="71" t="str">
        <f>IFERROR(__xludf.DUMMYFUNCTION("""COMPUTED_VALUE"""),"Baru")</f>
        <v>Baru</v>
      </c>
      <c r="H26" s="158" t="str">
        <f>IFERROR(__xludf.DUMMYFUNCTION("""COMPUTED_VALUE"""),"A. Condong ke orientasi akhirat/agama")</f>
        <v>A. Condong ke orientasi akhirat/agama</v>
      </c>
      <c r="I26" s="158" t="str">
        <f>IFERROR(__xludf.DUMMYFUNCTION("""COMPUTED_VALUE"""),"A. Pilihan utama untuk agama, akhlak, dan karakter")</f>
        <v>A. Pilihan utama untuk agama, akhlak, dan karakter</v>
      </c>
      <c r="J26" s="158" t="str">
        <f>IFERROR(__xludf.DUMMYFUNCTION("""COMPUTED_VALUE"""),"A. Orang tua &amp; anak")</f>
        <v>A. Orang tua &amp; anak</v>
      </c>
      <c r="K26" s="158" t="str">
        <f>IFERROR(__xludf.DUMMYFUNCTION("""COMPUTED_VALUE"""),"A. Memberikan pengertian")</f>
        <v>A. Memberikan pengertian</v>
      </c>
      <c r="L26" s="158" t="str">
        <f>IFERROR(__xludf.DUMMYFUNCTION("""COMPUTED_VALUE"""),"B. Non intensif (swasta biasa)")</f>
        <v>B. Non intensif (swasta biasa)</v>
      </c>
      <c r="M26" s="158" t="str">
        <f>IFERROR(__xludf.DUMMYFUNCTION("""COMPUTED_VALUE"""),"A. Yakin")</f>
        <v>A. Yakin</v>
      </c>
      <c r="N26" s="158" t="str">
        <f>IFERROR(__xludf.DUMMYFUNCTION("""COMPUTED_VALUE"""),"A. Sangat penting")</f>
        <v>A. Sangat penting</v>
      </c>
      <c r="O26" s="158" t="str">
        <f>IFERROR(__xludf.DUMMYFUNCTION("""COMPUTED_VALUE"""),"A. Berkala")</f>
        <v>A. Berkala</v>
      </c>
      <c r="P26" s="158" t="str">
        <f>IFERROR(__xludf.DUMMYFUNCTION("""COMPUTED_VALUE"""),"A. Klarifikasi &amp; beri semangat pada anak")</f>
        <v>A. Klarifikasi &amp; beri semangat pada anak</v>
      </c>
      <c r="Q26" s="158" t="str">
        <f>IFERROR(__xludf.DUMMYFUNCTION("""COMPUTED_VALUE"""),"A. Menerima sebagai konsekuensi (selama bimbingan sudah maksimal)")</f>
        <v>A. Menerima sebagai konsekuensi (selama bimbingan sudah maksimal)</v>
      </c>
      <c r="R26" s="35" t="str">
        <f>IFERROR(__xludf.DUMMYFUNCTION("""COMPUTED_VALUE"""),"marah jika diganggu dan diem. taat ortu aktif ")</f>
        <v>marah jika diganggu dan diem. taat ortu aktif </v>
      </c>
      <c r="S26" s="35" t="str">
        <f>IFERROR(__xludf.DUMMYFUNCTION("""COMPUTED_VALUE"""),"Sudah")</f>
        <v>Sudah</v>
      </c>
      <c r="T26" s="35" t="str">
        <f>IFERROR(__xludf.DUMMYFUNCTION("""COMPUTED_VALUE"""),"Diterima")</f>
        <v>Diterima</v>
      </c>
      <c r="U26" s="35" t="str">
        <f>IFERROR(__xludf.DUMMYFUNCTION("""COMPUTED_VALUE"""),"Syarif")</f>
        <v>Syarif</v>
      </c>
      <c r="V26" s="71" t="str">
        <f>IFERROR(__xludf.DUMMYFUNCTION("""COMPUTED_VALUE"""),"insyaallah utk masa depan klrgany")</f>
        <v>insyaallah utk masa depan klrgany</v>
      </c>
    </row>
    <row r="27">
      <c r="A27" s="153">
        <f>IFERROR(__xludf.DUMMYFUNCTION("""COMPUTED_VALUE"""),45925.44452966435)</f>
        <v>45925.44453</v>
      </c>
      <c r="B27" s="156" t="str">
        <f>IFERROR(__xludf.DUMMYFUNCTION("""COMPUTED_VALUE"""),"Wahid Ahmad Nugraha")</f>
        <v>Wahid Ahmad Nugraha</v>
      </c>
      <c r="C27" s="71" t="str">
        <f>IFERROR(__xludf.DUMMYFUNCTION("""COMPUTED_VALUE"""),"Yuyus Surahman")</f>
        <v>Yuyus Surahman</v>
      </c>
      <c r="D27" s="71" t="str">
        <f>IFERROR(__xludf.DUMMYFUNCTION("""COMPUTED_VALUE"""),"MTs Putra")</f>
        <v>MTs Putra</v>
      </c>
      <c r="E27" s="71" t="str">
        <f>IFERROR(__xludf.DUMMYFUNCTION("""COMPUTED_VALUE"""),"A250043")</f>
        <v>A250043</v>
      </c>
      <c r="F27" s="71" t="str">
        <f>IFERROR(__xludf.DUMMYFUNCTION("""COMPUTED_VALUE"""),"Teman")</f>
        <v>Teman</v>
      </c>
      <c r="G27" s="71" t="str">
        <f>IFERROR(__xludf.DUMMYFUNCTION("""COMPUTED_VALUE"""),"Baru")</f>
        <v>Baru</v>
      </c>
      <c r="H27" s="158" t="str">
        <f>IFERROR(__xludf.DUMMYFUNCTION("""COMPUTED_VALUE"""),"A. Condong ke orientasi akhirat/agama")</f>
        <v>A. Condong ke orientasi akhirat/agama</v>
      </c>
      <c r="I27" s="158" t="str">
        <f>IFERROR(__xludf.DUMMYFUNCTION("""COMPUTED_VALUE"""),"A. Pilihan utama untuk agama, akhlak, dan karakter")</f>
        <v>A. Pilihan utama untuk agama, akhlak, dan karakter</v>
      </c>
      <c r="J27" s="158" t="str">
        <f>IFERROR(__xludf.DUMMYFUNCTION("""COMPUTED_VALUE"""),"A. Orang tua &amp; anak")</f>
        <v>A. Orang tua &amp; anak</v>
      </c>
      <c r="K27" s="158" t="str">
        <f>IFERROR(__xludf.DUMMYFUNCTION("""COMPUTED_VALUE"""),"A. Memberikan pengertian")</f>
        <v>A. Memberikan pengertian</v>
      </c>
      <c r="L27" s="158" t="str">
        <f>IFERROR(__xludf.DUMMYFUNCTION("""COMPUTED_VALUE"""),"A. Intensif (tahfizh, sekolah Islam)")</f>
        <v>A. Intensif (tahfizh, sekolah Islam)</v>
      </c>
      <c r="M27" s="158" t="str">
        <f>IFERROR(__xludf.DUMMYFUNCTION("""COMPUTED_VALUE"""),"A. Yakin")</f>
        <v>A. Yakin</v>
      </c>
      <c r="N27" s="158" t="str">
        <f>IFERROR(__xludf.DUMMYFUNCTION("""COMPUTED_VALUE"""),"A. Sangat penting")</f>
        <v>A. Sangat penting</v>
      </c>
      <c r="O27" s="158" t="str">
        <f>IFERROR(__xludf.DUMMYFUNCTION("""COMPUTED_VALUE"""),"A. Berkala")</f>
        <v>A. Berkala</v>
      </c>
      <c r="P27" s="158" t="str">
        <f>IFERROR(__xludf.DUMMYFUNCTION("""COMPUTED_VALUE"""),"A. Klarifikasi &amp; beri semangat pada anak")</f>
        <v>A. Klarifikasi &amp; beri semangat pada anak</v>
      </c>
      <c r="Q27" s="158" t="str">
        <f>IFERROR(__xludf.DUMMYFUNCTION("""COMPUTED_VALUE"""),"A. Menerima sebagai konsekuensi (selama bimbingan sudah maksimal)")</f>
        <v>A. Menerima sebagai konsekuensi (selama bimbingan sudah maksimal)</v>
      </c>
      <c r="R27" s="35" t="str">
        <f>IFERROR(__xludf.DUMMYFUNCTION("""COMPUTED_VALUE"""),"tegar, kuat dibulli, pendiam")</f>
        <v>tegar, kuat dibulli, pendiam</v>
      </c>
      <c r="S27" s="35" t="str">
        <f>IFERROR(__xludf.DUMMYFUNCTION("""COMPUTED_VALUE"""),"Sudah")</f>
        <v>Sudah</v>
      </c>
      <c r="T27" s="35" t="str">
        <f>IFERROR(__xludf.DUMMYFUNCTION("""COMPUTED_VALUE"""),"Diterima")</f>
        <v>Diterima</v>
      </c>
      <c r="U27" s="35" t="str">
        <f>IFERROR(__xludf.DUMMYFUNCTION("""COMPUTED_VALUE"""),"Abah")</f>
        <v>Abah</v>
      </c>
      <c r="V27" s="71"/>
    </row>
    <row r="28">
      <c r="A28" s="153">
        <f>IFERROR(__xludf.DUMMYFUNCTION("""COMPUTED_VALUE"""),45925.4916097338)</f>
        <v>45925.49161</v>
      </c>
      <c r="B28" s="158" t="str">
        <f>IFERROR(__xludf.DUMMYFUNCTION("""COMPUTED_VALUE"""),"Shafwan Iyadh Addarimy")</f>
        <v>Shafwan Iyadh Addarimy</v>
      </c>
      <c r="C28" s="71" t="str">
        <f>IFERROR(__xludf.DUMMYFUNCTION("""COMPUTED_VALUE"""),"Aswar")</f>
        <v>Aswar</v>
      </c>
      <c r="D28" s="71" t="str">
        <f>IFERROR(__xludf.DUMMYFUNCTION("""COMPUTED_VALUE"""),"MTs Putra")</f>
        <v>MTs Putra</v>
      </c>
      <c r="E28" s="71" t="str">
        <f>IFERROR(__xludf.DUMMYFUNCTION("""COMPUTED_VALUE"""),"A250024")</f>
        <v>A250024</v>
      </c>
      <c r="F28" s="71" t="str">
        <f>IFERROR(__xludf.DUMMYFUNCTION("""COMPUTED_VALUE"""),"follower ust wahab ")</f>
        <v>follower ust wahab </v>
      </c>
      <c r="G28" s="71" t="str">
        <f>IFERROR(__xludf.DUMMYFUNCTION("""COMPUTED_VALUE"""),"Baru")</f>
        <v>Baru</v>
      </c>
      <c r="H28" s="158" t="str">
        <f>IFERROR(__xludf.DUMMYFUNCTION("""COMPUTED_VALUE"""),"A. Condong ke orientasi akhirat/agama")</f>
        <v>A. Condong ke orientasi akhirat/agama</v>
      </c>
      <c r="I28" s="158" t="str">
        <f>IFERROR(__xludf.DUMMYFUNCTION("""COMPUTED_VALUE"""),"A. Pilihan utama untuk agama, akhlak, dan karakter")</f>
        <v>A. Pilihan utama untuk agama, akhlak, dan karakter</v>
      </c>
      <c r="J28" s="158" t="str">
        <f>IFERROR(__xludf.DUMMYFUNCTION("""COMPUTED_VALUE"""),"A. Orang tua &amp; anak")</f>
        <v>A. Orang tua &amp; anak</v>
      </c>
      <c r="K28" s="158" t="str">
        <f>IFERROR(__xludf.DUMMYFUNCTION("""COMPUTED_VALUE"""),"A. Memberikan pengertian")</f>
        <v>A. Memberikan pengertian</v>
      </c>
      <c r="L28" s="158" t="str">
        <f>IFERROR(__xludf.DUMMYFUNCTION("""COMPUTED_VALUE"""),"A. Intensif (tahfizh, sekolah Islam)")</f>
        <v>A. Intensif (tahfizh, sekolah Islam)</v>
      </c>
      <c r="M28" s="158" t="str">
        <f>IFERROR(__xludf.DUMMYFUNCTION("""COMPUTED_VALUE"""),"A. Yakin")</f>
        <v>A. Yakin</v>
      </c>
      <c r="N28" s="158" t="str">
        <f>IFERROR(__xludf.DUMMYFUNCTION("""COMPUTED_VALUE"""),"A. Sangat penting")</f>
        <v>A. Sangat penting</v>
      </c>
      <c r="O28" s="158" t="str">
        <f>IFERROR(__xludf.DUMMYFUNCTION("""COMPUTED_VALUE"""),"A. Berkala")</f>
        <v>A. Berkala</v>
      </c>
      <c r="P28" s="158" t="str">
        <f>IFERROR(__xludf.DUMMYFUNCTION("""COMPUTED_VALUE"""),"A. Klarifikasi &amp; beri semangat pada anak")</f>
        <v>A. Klarifikasi &amp; beri semangat pada anak</v>
      </c>
      <c r="Q28" s="158" t="str">
        <f>IFERROR(__xludf.DUMMYFUNCTION("""COMPUTED_VALUE"""),"A. Menerima sebagai konsekuensi (selama bimbingan sudah maksimal)")</f>
        <v>A. Menerima sebagai konsekuensi (selama bimbingan sudah maksimal)</v>
      </c>
      <c r="R28" s="35" t="str">
        <f>IFERROR(__xludf.DUMMYFUNCTION("""COMPUTED_VALUE"""),"cuek trhd nasehat krn mudah terpengaruh tmn, introverd kebaikan jika ad mood")</f>
        <v>cuek trhd nasehat krn mudah terpengaruh tmn, introverd kebaikan jika ad mood</v>
      </c>
      <c r="S28" s="35" t="str">
        <f>IFERROR(__xludf.DUMMYFUNCTION("""COMPUTED_VALUE"""),"Sudah")</f>
        <v>Sudah</v>
      </c>
      <c r="T28" s="35" t="str">
        <f>IFERROR(__xludf.DUMMYFUNCTION("""COMPUTED_VALUE"""),"Diterima")</f>
        <v>Diterima</v>
      </c>
      <c r="U28" s="35" t="str">
        <f>IFERROR(__xludf.DUMMYFUNCTION("""COMPUTED_VALUE"""),"Syarif")</f>
        <v>Syarif</v>
      </c>
      <c r="V28" s="71" t="str">
        <f>IFERROR(__xludf.DUMMYFUNCTION("""COMPUTED_VALUE"""),"insyllh bs dtrima")</f>
        <v>insyllh bs dtrima</v>
      </c>
    </row>
    <row r="29">
      <c r="A29" s="153">
        <f>IFERROR(__xludf.DUMMYFUNCTION("""COMPUTED_VALUE"""),45925.56302275463)</f>
        <v>45925.56302</v>
      </c>
      <c r="B29" s="158" t="str">
        <f>IFERROR(__xludf.DUMMYFUNCTION("""COMPUTED_VALUE"""),"Hafizh Abdurrahman")</f>
        <v>Hafizh Abdurrahman</v>
      </c>
      <c r="C29" s="71" t="str">
        <f>IFERROR(__xludf.DUMMYFUNCTION("""COMPUTED_VALUE"""),"Asep Kamaludin")</f>
        <v>Asep Kamaludin</v>
      </c>
      <c r="D29" s="71" t="str">
        <f>IFERROR(__xludf.DUMMYFUNCTION("""COMPUTED_VALUE"""),"I'L Putra")</f>
        <v>I'L Putra</v>
      </c>
      <c r="E29" s="71" t="str">
        <f>IFERROR(__xludf.DUMMYFUNCTION("""COMPUTED_VALUE"""),"B250004")</f>
        <v>B250004</v>
      </c>
      <c r="F29" s="71" t="str">
        <f>IFERROR(__xludf.DUMMYFUNCTION("""COMPUTED_VALUE"""),"Ustadz Wahab")</f>
        <v>Ustadz Wahab</v>
      </c>
      <c r="G29" s="71" t="str">
        <f>IFERROR(__xludf.DUMMYFUNCTION("""COMPUTED_VALUE"""),"Baru")</f>
        <v>Baru</v>
      </c>
      <c r="H29" s="158" t="str">
        <f>IFERROR(__xludf.DUMMYFUNCTION("""COMPUTED_VALUE"""),"A. Condong ke orientasi akhirat/agama")</f>
        <v>A. Condong ke orientasi akhirat/agama</v>
      </c>
      <c r="I29" s="158" t="str">
        <f>IFERROR(__xludf.DUMMYFUNCTION("""COMPUTED_VALUE"""),"A. Pilihan utama untuk agama, akhlak, dan karakter")</f>
        <v>A. Pilihan utama untuk agama, akhlak, dan karakter</v>
      </c>
      <c r="J29" s="158" t="str">
        <f>IFERROR(__xludf.DUMMYFUNCTION("""COMPUTED_VALUE"""),"A. Orang tua &amp; anak")</f>
        <v>A. Orang tua &amp; anak</v>
      </c>
      <c r="K29" s="158" t="str">
        <f>IFERROR(__xludf.DUMMYFUNCTION("""COMPUTED_VALUE"""),"A. Memberikan pengertian")</f>
        <v>A. Memberikan pengertian</v>
      </c>
      <c r="L29" s="158" t="str">
        <f>IFERROR(__xludf.DUMMYFUNCTION("""COMPUTED_VALUE"""),"A. Intensif (tahfizh, sekolah Islam)")</f>
        <v>A. Intensif (tahfizh, sekolah Islam)</v>
      </c>
      <c r="M29" s="158" t="str">
        <f>IFERROR(__xludf.DUMMYFUNCTION("""COMPUTED_VALUE"""),"B. Ragu-ragu")</f>
        <v>B. Ragu-ragu</v>
      </c>
      <c r="N29" s="158" t="str">
        <f>IFERROR(__xludf.DUMMYFUNCTION("""COMPUTED_VALUE"""),"A. Sangat penting")</f>
        <v>A. Sangat penting</v>
      </c>
      <c r="O29" s="158" t="str">
        <f>IFERROR(__xludf.DUMMYFUNCTION("""COMPUTED_VALUE"""),"B. Tidak menjenguk karena jauh")</f>
        <v>B. Tidak menjenguk karena jauh</v>
      </c>
      <c r="P29" s="158" t="str">
        <f>IFERROR(__xludf.DUMMYFUNCTION("""COMPUTED_VALUE"""),"A. Klarifikasi &amp; beri semangat pada anak")</f>
        <v>A. Klarifikasi &amp; beri semangat pada anak</v>
      </c>
      <c r="Q29" s="158" t="str">
        <f>IFERROR(__xludf.DUMMYFUNCTION("""COMPUTED_VALUE"""),"A. Menerima sebagai konsekuensi (selama bimbingan sudah maksimal)")</f>
        <v>A. Menerima sebagai konsekuensi (selama bimbingan sudah maksimal)</v>
      </c>
      <c r="R29" s="35" t="str">
        <f>IFERROR(__xludf.DUMMYFUNCTION("""COMPUTED_VALUE"""),"Positif : Suka Membaca, tidak mudah menyerah, Suka dengan sejarah
Negatif : Suka menunda suatu pekerjaan")</f>
        <v>Positif : Suka Membaca, tidak mudah menyerah, Suka dengan sejarah
Negatif : Suka menunda suatu pekerjaan</v>
      </c>
      <c r="S29" s="35" t="str">
        <f>IFERROR(__xludf.DUMMYFUNCTION("""COMPUTED_VALUE"""),"Sudah")</f>
        <v>Sudah</v>
      </c>
      <c r="T29" s="35" t="str">
        <f>IFERROR(__xludf.DUMMYFUNCTION("""COMPUTED_VALUE"""),"Diterima")</f>
        <v>Diterima</v>
      </c>
      <c r="U29" s="35" t="str">
        <f>IFERROR(__xludf.DUMMYFUNCTION("""COMPUTED_VALUE"""),"Adib")</f>
        <v>Adib</v>
      </c>
      <c r="V29" s="71" t="str">
        <f>IFERROR(__xludf.DUMMYFUNCTION("""COMPUTED_VALUE"""),"meminta keringanan jika ada, karena insyaAllaah adiknya akan melanjutkan studi juga di ulul albaab tahun depan")</f>
        <v>meminta keringanan jika ada, karena insyaAllaah adiknya akan melanjutkan studi juga di ulul albaab tahun depan</v>
      </c>
    </row>
    <row r="30">
      <c r="A30" s="153">
        <f>IFERROR(__xludf.DUMMYFUNCTION("""COMPUTED_VALUE"""),45925.59851527778)</f>
        <v>45925.59852</v>
      </c>
      <c r="B30" s="158" t="str">
        <f>IFERROR(__xludf.DUMMYFUNCTION("""COMPUTED_VALUE""")," Ihsan Abdul Hakim")</f>
        <v> Ihsan Abdul Hakim</v>
      </c>
      <c r="C30" s="71" t="str">
        <f>IFERROR(__xludf.DUMMYFUNCTION("""COMPUTED_VALUE"""),"Muhadi")</f>
        <v>Muhadi</v>
      </c>
      <c r="D30" s="71" t="str">
        <f>IFERROR(__xludf.DUMMYFUNCTION("""COMPUTED_VALUE"""),"I'L Putra")</f>
        <v>I'L Putra</v>
      </c>
      <c r="E30" s="71" t="str">
        <f>IFERROR(__xludf.DUMMYFUNCTION("""COMPUTED_VALUE"""),"B250003")</f>
        <v>B250003</v>
      </c>
      <c r="F30" s="71" t="str">
        <f>IFERROR(__xludf.DUMMYFUNCTION("""COMPUTED_VALUE"""),"Ustadz Wahab")</f>
        <v>Ustadz Wahab</v>
      </c>
      <c r="G30" s="71" t="str">
        <f>IFERROR(__xludf.DUMMYFUNCTION("""COMPUTED_VALUE"""),"Baru")</f>
        <v>Baru</v>
      </c>
      <c r="H30" s="158" t="str">
        <f>IFERROR(__xludf.DUMMYFUNCTION("""COMPUTED_VALUE"""),"A. Condong ke orientasi akhirat/agama")</f>
        <v>A. Condong ke orientasi akhirat/agama</v>
      </c>
      <c r="I30" s="158" t="str">
        <f>IFERROR(__xludf.DUMMYFUNCTION("""COMPUTED_VALUE"""),"A. Pilihan utama untuk agama, akhlak, dan karakter")</f>
        <v>A. Pilihan utama untuk agama, akhlak, dan karakter</v>
      </c>
      <c r="J30" s="158" t="str">
        <f>IFERROR(__xludf.DUMMYFUNCTION("""COMPUTED_VALUE"""),"A. Orang tua &amp; anak")</f>
        <v>A. Orang tua &amp; anak</v>
      </c>
      <c r="K30" s="158" t="str">
        <f>IFERROR(__xludf.DUMMYFUNCTION("""COMPUTED_VALUE"""),"A. Memberikan pengertian")</f>
        <v>A. Memberikan pengertian</v>
      </c>
      <c r="L30" s="158" t="str">
        <f>IFERROR(__xludf.DUMMYFUNCTION("""COMPUTED_VALUE"""),"A. Intensif (tahfizh, sekolah Islam)")</f>
        <v>A. Intensif (tahfizh, sekolah Islam)</v>
      </c>
      <c r="M30" s="158" t="str">
        <f>IFERROR(__xludf.DUMMYFUNCTION("""COMPUTED_VALUE"""),"A. Yakin")</f>
        <v>A. Yakin</v>
      </c>
      <c r="N30" s="158" t="str">
        <f>IFERROR(__xludf.DUMMYFUNCTION("""COMPUTED_VALUE"""),"A. Sangat penting")</f>
        <v>A. Sangat penting</v>
      </c>
      <c r="O30" s="158" t="str">
        <f>IFERROR(__xludf.DUMMYFUNCTION("""COMPUTED_VALUE"""),"B. Tidak menjenguk karena jauh")</f>
        <v>B. Tidak menjenguk karena jauh</v>
      </c>
      <c r="P30" s="158" t="str">
        <f>IFERROR(__xludf.DUMMYFUNCTION("""COMPUTED_VALUE"""),"A. Klarifikasi &amp; beri semangat pada anak")</f>
        <v>A. Klarifikasi &amp; beri semangat pada anak</v>
      </c>
      <c r="Q30" s="158" t="str">
        <f>IFERROR(__xludf.DUMMYFUNCTION("""COMPUTED_VALUE"""),"A. Menerima sebagai konsekuensi (selama bimbingan sudah maksimal)")</f>
        <v>A. Menerima sebagai konsekuensi (selama bimbingan sudah maksimal)</v>
      </c>
      <c r="R30" s="35" t="str">
        <f>IFERROR(__xludf.DUMMYFUNCTION("""COMPUTED_VALUE"""),"Positif : Penurut
Negatif : Susah makan")</f>
        <v>Positif : Penurut
Negatif : Susah makan</v>
      </c>
      <c r="S30" s="35" t="str">
        <f>IFERROR(__xludf.DUMMYFUNCTION("""COMPUTED_VALUE"""),"Sudah")</f>
        <v>Sudah</v>
      </c>
      <c r="T30" s="35" t="str">
        <f>IFERROR(__xludf.DUMMYFUNCTION("""COMPUTED_VALUE"""),"Diterima")</f>
        <v>Diterima</v>
      </c>
      <c r="U30" s="35" t="str">
        <f>IFERROR(__xludf.DUMMYFUNCTION("""COMPUTED_VALUE"""),"Adib")</f>
        <v>Adib</v>
      </c>
      <c r="V30" s="71" t="str">
        <f>IFERROR(__xludf.DUMMYFUNCTION("""COMPUTED_VALUE"""),"aman insyaAllah")</f>
        <v>aman insyaAllah</v>
      </c>
    </row>
    <row r="31">
      <c r="A31" s="153">
        <f>IFERROR(__xludf.DUMMYFUNCTION("""COMPUTED_VALUE"""),45925.61352958334)</f>
        <v>45925.61353</v>
      </c>
      <c r="B31" s="158" t="str">
        <f>IFERROR(__xludf.DUMMYFUNCTION("""COMPUTED_VALUE"""),"Ksatria Hudzaifah Al Mizzi")</f>
        <v>Ksatria Hudzaifah Al Mizzi</v>
      </c>
      <c r="C31" s="71" t="str">
        <f>IFERROR(__xludf.DUMMYFUNCTION("""COMPUTED_VALUE"""),"Andi Norbianto")</f>
        <v>Andi Norbianto</v>
      </c>
      <c r="D31" s="71" t="str">
        <f>IFERROR(__xludf.DUMMYFUNCTION("""COMPUTED_VALUE"""),"I'L Putra")</f>
        <v>I'L Putra</v>
      </c>
      <c r="E31" s="71" t="str">
        <f>IFERROR(__xludf.DUMMYFUNCTION("""COMPUTED_VALUE"""),"B250010")</f>
        <v>B250010</v>
      </c>
      <c r="F31" s="71" t="str">
        <f>IFERROR(__xludf.DUMMYFUNCTION("""COMPUTED_VALUE"""),"FB ust Wahab ")</f>
        <v>FB ust Wahab </v>
      </c>
      <c r="G31" s="71" t="str">
        <f>IFERROR(__xludf.DUMMYFUNCTION("""COMPUTED_VALUE"""),"Baru")</f>
        <v>Baru</v>
      </c>
      <c r="H31" s="158" t="str">
        <f>IFERROR(__xludf.DUMMYFUNCTION("""COMPUTED_VALUE"""),"A. Condong ke orientasi akhirat/agama")</f>
        <v>A. Condong ke orientasi akhirat/agama</v>
      </c>
      <c r="I31" s="158" t="str">
        <f>IFERROR(__xludf.DUMMYFUNCTION("""COMPUTED_VALUE"""),"A. Pilihan utama untuk agama, akhlak, dan karakter")</f>
        <v>A. Pilihan utama untuk agama, akhlak, dan karakter</v>
      </c>
      <c r="J31" s="158" t="str">
        <f>IFERROR(__xludf.DUMMYFUNCTION("""COMPUTED_VALUE"""),"A. Orang tua &amp; anak")</f>
        <v>A. Orang tua &amp; anak</v>
      </c>
      <c r="K31" s="158" t="str">
        <f>IFERROR(__xludf.DUMMYFUNCTION("""COMPUTED_VALUE"""),"A. Memberikan pengertian")</f>
        <v>A. Memberikan pengertian</v>
      </c>
      <c r="L31" s="158" t="str">
        <f>IFERROR(__xludf.DUMMYFUNCTION("""COMPUTED_VALUE"""),"A. Intensif (tahfizh, sekolah Islam)")</f>
        <v>A. Intensif (tahfizh, sekolah Islam)</v>
      </c>
      <c r="M31" s="158" t="str">
        <f>IFERROR(__xludf.DUMMYFUNCTION("""COMPUTED_VALUE"""),"A. Yakin")</f>
        <v>A. Yakin</v>
      </c>
      <c r="N31" s="158" t="str">
        <f>IFERROR(__xludf.DUMMYFUNCTION("""COMPUTED_VALUE"""),"A. Sangat penting")</f>
        <v>A. Sangat penting</v>
      </c>
      <c r="O31" s="158" t="str">
        <f>IFERROR(__xludf.DUMMYFUNCTION("""COMPUTED_VALUE"""),"A. Berkala")</f>
        <v>A. Berkala</v>
      </c>
      <c r="P31" s="158" t="str">
        <f>IFERROR(__xludf.DUMMYFUNCTION("""COMPUTED_VALUE"""),"B. Serahkan ke pesantren")</f>
        <v>B. Serahkan ke pesantren</v>
      </c>
      <c r="Q31" s="158" t="str">
        <f>IFERROR(__xludf.DUMMYFUNCTION("""COMPUTED_VALUE"""),"A. Menerima sebagai konsekuensi (selama bimbingan sudah maksimal)")</f>
        <v>A. Menerima sebagai konsekuensi (selama bimbingan sudah maksimal)</v>
      </c>
      <c r="R31" s="35" t="str">
        <f>IFERROR(__xludf.DUMMYFUNCTION("""COMPUTED_VALUE"""),"Kedisiplinan dan pemalu ")</f>
        <v>Kedisiplinan dan pemalu </v>
      </c>
      <c r="S31" s="35" t="str">
        <f>IFERROR(__xludf.DUMMYFUNCTION("""COMPUTED_VALUE"""),"Sudah")</f>
        <v>Sudah</v>
      </c>
      <c r="T31" s="35" t="str">
        <f>IFERROR(__xludf.DUMMYFUNCTION("""COMPUTED_VALUE"""),"Diterima")</f>
        <v>Diterima</v>
      </c>
      <c r="U31" s="35" t="str">
        <f>IFERROR(__xludf.DUMMYFUNCTION("""COMPUTED_VALUE"""),"Syarif")</f>
        <v>Syarif</v>
      </c>
      <c r="V31" s="71" t="str">
        <f>IFERROR(__xludf.DUMMYFUNCTION("""COMPUTED_VALUE"""),"Aman insyallah ")</f>
        <v>Aman insyallah </v>
      </c>
    </row>
    <row r="32">
      <c r="A32" s="153">
        <f>IFERROR(__xludf.DUMMYFUNCTION("""COMPUTED_VALUE"""),45925.63008645833)</f>
        <v>45925.63009</v>
      </c>
      <c r="B32" s="158" t="str">
        <f>IFERROR(__xludf.DUMMYFUNCTION("""COMPUTED_VALUE"""),"Haneef Abdurrahman")</f>
        <v>Haneef Abdurrahman</v>
      </c>
      <c r="C32" s="71" t="str">
        <f>IFERROR(__xludf.DUMMYFUNCTION("""COMPUTED_VALUE"""),"Dafit Hutahayan")</f>
        <v>Dafit Hutahayan</v>
      </c>
      <c r="D32" s="71" t="str">
        <f>IFERROR(__xludf.DUMMYFUNCTION("""COMPUTED_VALUE"""),"MTs Putra")</f>
        <v>MTs Putra</v>
      </c>
      <c r="E32" s="71" t="str">
        <f>IFERROR(__xludf.DUMMYFUNCTION("""COMPUTED_VALUE"""),"A250012")</f>
        <v>A250012</v>
      </c>
      <c r="F32" s="71" t="str">
        <f>IFERROR(__xludf.DUMMYFUNCTION("""COMPUTED_VALUE"""),"Datang ke seminar ust Wahab ")</f>
        <v>Datang ke seminar ust Wahab </v>
      </c>
      <c r="G32" s="71" t="str">
        <f>IFERROR(__xludf.DUMMYFUNCTION("""COMPUTED_VALUE"""),"Baru")</f>
        <v>Baru</v>
      </c>
      <c r="H32" s="158" t="str">
        <f>IFERROR(__xludf.DUMMYFUNCTION("""COMPUTED_VALUE"""),"A. Condong ke orientasi akhirat/agama")</f>
        <v>A. Condong ke orientasi akhirat/agama</v>
      </c>
      <c r="I32" s="158" t="str">
        <f>IFERROR(__xludf.DUMMYFUNCTION("""COMPUTED_VALUE"""),"A. Pilihan utama untuk agama, akhlak, dan karakter")</f>
        <v>A. Pilihan utama untuk agama, akhlak, dan karakter</v>
      </c>
      <c r="J32" s="158" t="str">
        <f>IFERROR(__xludf.DUMMYFUNCTION("""COMPUTED_VALUE"""),"A. Orang tua &amp; anak")</f>
        <v>A. Orang tua &amp; anak</v>
      </c>
      <c r="K32" s="158" t="str">
        <f>IFERROR(__xludf.DUMMYFUNCTION("""COMPUTED_VALUE"""),"A. Memberikan pengertian")</f>
        <v>A. Memberikan pengertian</v>
      </c>
      <c r="L32" s="158" t="str">
        <f>IFERROR(__xludf.DUMMYFUNCTION("""COMPUTED_VALUE"""),"A. Intensif (tahfizh, sekolah Islam)")</f>
        <v>A. Intensif (tahfizh, sekolah Islam)</v>
      </c>
      <c r="M32" s="158" t="str">
        <f>IFERROR(__xludf.DUMMYFUNCTION("""COMPUTED_VALUE"""),"A. Yakin")</f>
        <v>A. Yakin</v>
      </c>
      <c r="N32" s="158" t="str">
        <f>IFERROR(__xludf.DUMMYFUNCTION("""COMPUTED_VALUE"""),"A. Sangat penting")</f>
        <v>A. Sangat penting</v>
      </c>
      <c r="O32" s="158" t="str">
        <f>IFERROR(__xludf.DUMMYFUNCTION("""COMPUTED_VALUE"""),"C. Sesempatnya saja")</f>
        <v>C. Sesempatnya saja</v>
      </c>
      <c r="P32" s="158" t="str">
        <f>IFERROR(__xludf.DUMMYFUNCTION("""COMPUTED_VALUE"""),"A. Klarifikasi &amp; beri semangat pada anak")</f>
        <v>A. Klarifikasi &amp; beri semangat pada anak</v>
      </c>
      <c r="Q32" s="158" t="str">
        <f>IFERROR(__xludf.DUMMYFUNCTION("""COMPUTED_VALUE"""),"A. Menerima sebagai konsekuensi (selama bimbingan sudah maksimal)")</f>
        <v>A. Menerima sebagai konsekuensi (selama bimbingan sudah maksimal)</v>
      </c>
      <c r="R32" s="35" t="str">
        <f>IFERROR(__xludf.DUMMYFUNCTION("""COMPUTED_VALUE"""),"Positif : supel, mudah adaptasi.
Negatif: kurang fokus dlm membaca")</f>
        <v>Positif : supel, mudah adaptasi.
Negatif: kurang fokus dlm membaca</v>
      </c>
      <c r="S32" s="35" t="str">
        <f>IFERROR(__xludf.DUMMYFUNCTION("""COMPUTED_VALUE"""),"Sudah")</f>
        <v>Sudah</v>
      </c>
      <c r="T32" s="35" t="str">
        <f>IFERROR(__xludf.DUMMYFUNCTION("""COMPUTED_VALUE"""),"Diterima")</f>
        <v>Diterima</v>
      </c>
      <c r="U32" s="35" t="str">
        <f>IFERROR(__xludf.DUMMYFUNCTION("""COMPUTED_VALUE"""),"Bachtiar")</f>
        <v>Bachtiar</v>
      </c>
      <c r="V32" s="71" t="str">
        <f>IFERROR(__xludf.DUMMYFUNCTION("""COMPUTED_VALUE"""),"Tidak ada catatan")</f>
        <v>Tidak ada catatan</v>
      </c>
    </row>
    <row r="33">
      <c r="A33" s="153">
        <f>IFERROR(__xludf.DUMMYFUNCTION("""COMPUTED_VALUE"""),45926.32941702547)</f>
        <v>45926.32942</v>
      </c>
      <c r="B33" s="158" t="str">
        <f>IFERROR(__xludf.DUMMYFUNCTION("""COMPUTED_VALUE"""),"KEANU AZKA WIBOWO")</f>
        <v>KEANU AZKA WIBOWO</v>
      </c>
      <c r="C33" s="71" t="str">
        <f>IFERROR(__xludf.DUMMYFUNCTION("""COMPUTED_VALUE"""),"EKO SANTUN RAHIB WIBOWO")</f>
        <v>EKO SANTUN RAHIB WIBOWO</v>
      </c>
      <c r="D33" s="71" t="str">
        <f>IFERROR(__xludf.DUMMYFUNCTION("""COMPUTED_VALUE"""),"I'L Putra")</f>
        <v>I'L Putra</v>
      </c>
      <c r="E33" s="71" t="str">
        <f>IFERROR(__xludf.DUMMYFUNCTION("""COMPUTED_VALUE"""),"B250021")</f>
        <v>B250021</v>
      </c>
      <c r="F33" s="71" t="str">
        <f>IFERROR(__xludf.DUMMYFUNCTION("""COMPUTED_VALUE"""),"Dr tmn yg anakny di puas")</f>
        <v>Dr tmn yg anakny di puas</v>
      </c>
      <c r="G33" s="71" t="str">
        <f>IFERROR(__xludf.DUMMYFUNCTION("""COMPUTED_VALUE"""),"Memiliki teman/rekan/tetangga di PUAS")</f>
        <v>Memiliki teman/rekan/tetangga di PUAS</v>
      </c>
      <c r="H33" s="158" t="str">
        <f>IFERROR(__xludf.DUMMYFUNCTION("""COMPUTED_VALUE"""),"A. Condong ke orientasi akhirat/agama")</f>
        <v>A. Condong ke orientasi akhirat/agama</v>
      </c>
      <c r="I33" s="158" t="str">
        <f>IFERROR(__xludf.DUMMYFUNCTION("""COMPUTED_VALUE"""),"A. Pilihan utama untuk agama, akhlak, dan karakter")</f>
        <v>A. Pilihan utama untuk agama, akhlak, dan karakter</v>
      </c>
      <c r="J33" s="158" t="str">
        <f>IFERROR(__xludf.DUMMYFUNCTION("""COMPUTED_VALUE"""),"B. Anak")</f>
        <v>B. Anak</v>
      </c>
      <c r="K33" s="158" t="str">
        <f>IFERROR(__xludf.DUMMYFUNCTION("""COMPUTED_VALUE"""),"A. Memberikan pengertian")</f>
        <v>A. Memberikan pengertian</v>
      </c>
      <c r="L33" s="158" t="str">
        <f>IFERROR(__xludf.DUMMYFUNCTION("""COMPUTED_VALUE"""),"A. Intensif (tahfizh, sekolah Islam)")</f>
        <v>A. Intensif (tahfizh, sekolah Islam)</v>
      </c>
      <c r="M33" s="158" t="str">
        <f>IFERROR(__xludf.DUMMYFUNCTION("""COMPUTED_VALUE"""),"A. Yakin")</f>
        <v>A. Yakin</v>
      </c>
      <c r="N33" s="158" t="str">
        <f>IFERROR(__xludf.DUMMYFUNCTION("""COMPUTED_VALUE"""),"A. Sangat penting")</f>
        <v>A. Sangat penting</v>
      </c>
      <c r="O33" s="158" t="str">
        <f>IFERROR(__xludf.DUMMYFUNCTION("""COMPUTED_VALUE"""),"A. Berkala")</f>
        <v>A. Berkala</v>
      </c>
      <c r="P33" s="158" t="str">
        <f>IFERROR(__xludf.DUMMYFUNCTION("""COMPUTED_VALUE"""),"A. Klarifikasi &amp; beri semangat pada anak")</f>
        <v>A. Klarifikasi &amp; beri semangat pada anak</v>
      </c>
      <c r="Q33" s="158" t="str">
        <f>IFERROR(__xludf.DUMMYFUNCTION("""COMPUTED_VALUE"""),"A. Menerima sebagai konsekuensi (selama bimbingan sudah maksimal)")</f>
        <v>A. Menerima sebagai konsekuensi (selama bimbingan sudah maksimal)</v>
      </c>
      <c r="R33" s="35" t="str">
        <f>IFERROR(__xludf.DUMMYFUNCTION("""COMPUTED_VALUE"""),"Mudah bergaul, biasa mjd pembawa acara,mental yg supel, kadang mood2an")</f>
        <v>Mudah bergaul, biasa mjd pembawa acara,mental yg supel, kadang mood2an</v>
      </c>
      <c r="S33" s="35" t="str">
        <f>IFERROR(__xludf.DUMMYFUNCTION("""COMPUTED_VALUE"""),"Sudah")</f>
        <v>Sudah</v>
      </c>
      <c r="T33" s="35" t="str">
        <f>IFERROR(__xludf.DUMMYFUNCTION("""COMPUTED_VALUE"""),"Diterima")</f>
        <v>Diterima</v>
      </c>
      <c r="U33" s="35" t="str">
        <f>IFERROR(__xludf.DUMMYFUNCTION("""COMPUTED_VALUE"""),"Syarif")</f>
        <v>Syarif</v>
      </c>
      <c r="V33" s="71" t="str">
        <f>IFERROR(__xludf.DUMMYFUNCTION("""COMPUTED_VALUE"""),"Tinggal maksimalkn hafalannya ")</f>
        <v>Tinggal maksimalkn hafalannya </v>
      </c>
    </row>
    <row r="34">
      <c r="A34" s="153">
        <f>IFERROR(__xludf.DUMMYFUNCTION("""COMPUTED_VALUE"""),45926.36858070602)</f>
        <v>45926.36858</v>
      </c>
      <c r="B34" s="158" t="str">
        <f>IFERROR(__xludf.DUMMYFUNCTION("""COMPUTED_VALUE"""),"Khalid Muhammad Affiq")</f>
        <v>Khalid Muhammad Affiq</v>
      </c>
      <c r="C34" s="71" t="str">
        <f>IFERROR(__xludf.DUMMYFUNCTION("""COMPUTED_VALUE"""),"Maman Firmansyah")</f>
        <v>Maman Firmansyah</v>
      </c>
      <c r="D34" s="71" t="str">
        <f>IFERROR(__xludf.DUMMYFUNCTION("""COMPUTED_VALUE"""),"MTs Putra")</f>
        <v>MTs Putra</v>
      </c>
      <c r="E34" s="71" t="str">
        <f>IFERROR(__xludf.DUMMYFUNCTION("""COMPUTED_VALUE"""),"A250051")</f>
        <v>A250051</v>
      </c>
      <c r="F34" s="71" t="str">
        <f>IFERROR(__xludf.DUMMYFUNCTION("""COMPUTED_VALUE"""),"Teman kuliah dan cek FB ")</f>
        <v>Teman kuliah dan cek FB </v>
      </c>
      <c r="G34" s="71" t="str">
        <f>IFERROR(__xludf.DUMMYFUNCTION("""COMPUTED_VALUE"""),"Baru")</f>
        <v>Baru</v>
      </c>
      <c r="H34" s="158" t="str">
        <f>IFERROR(__xludf.DUMMYFUNCTION("""COMPUTED_VALUE"""),"A. Condong ke orientasi akhirat/agama")</f>
        <v>A. Condong ke orientasi akhirat/agama</v>
      </c>
      <c r="I34" s="158" t="str">
        <f>IFERROR(__xludf.DUMMYFUNCTION("""COMPUTED_VALUE"""),"A. Pilihan utama untuk agama, akhlak, dan karakter")</f>
        <v>A. Pilihan utama untuk agama, akhlak, dan karakter</v>
      </c>
      <c r="J34" s="158" t="str">
        <f>IFERROR(__xludf.DUMMYFUNCTION("""COMPUTED_VALUE"""),"A. Orang tua &amp; anak")</f>
        <v>A. Orang tua &amp; anak</v>
      </c>
      <c r="K34" s="158" t="str">
        <f>IFERROR(__xludf.DUMMYFUNCTION("""COMPUTED_VALUE"""),"A. Memberikan pengertian")</f>
        <v>A. Memberikan pengertian</v>
      </c>
      <c r="L34" s="158" t="str">
        <f>IFERROR(__xludf.DUMMYFUNCTION("""COMPUTED_VALUE"""),"A. Intensif (tahfizh, sekolah Islam)")</f>
        <v>A. Intensif (tahfizh, sekolah Islam)</v>
      </c>
      <c r="M34" s="158" t="str">
        <f>IFERROR(__xludf.DUMMYFUNCTION("""COMPUTED_VALUE"""),"A. Yakin")</f>
        <v>A. Yakin</v>
      </c>
      <c r="N34" s="158" t="str">
        <f>IFERROR(__xludf.DUMMYFUNCTION("""COMPUTED_VALUE"""),"A. Sangat penting")</f>
        <v>A. Sangat penting</v>
      </c>
      <c r="O34" s="158" t="str">
        <f>IFERROR(__xludf.DUMMYFUNCTION("""COMPUTED_VALUE"""),"A. Berkala")</f>
        <v>A. Berkala</v>
      </c>
      <c r="P34" s="158" t="str">
        <f>IFERROR(__xludf.DUMMYFUNCTION("""COMPUTED_VALUE"""),"A. Klarifikasi &amp; beri semangat pada anak")</f>
        <v>A. Klarifikasi &amp; beri semangat pada anak</v>
      </c>
      <c r="Q34" s="158" t="str">
        <f>IFERROR(__xludf.DUMMYFUNCTION("""COMPUTED_VALUE"""),"A. Menerima sebagai konsekuensi (selama bimbingan sudah maksimal)")</f>
        <v>A. Menerima sebagai konsekuensi (selama bimbingan sudah maksimal)</v>
      </c>
      <c r="R34" s="35" t="str">
        <f>IFERROR(__xludf.DUMMYFUNCTION("""COMPUTED_VALUE"""),"Mudah diarahkan, mood, sensi")</f>
        <v>Mudah diarahkan, mood, sensi</v>
      </c>
      <c r="S34" s="35" t="str">
        <f>IFERROR(__xludf.DUMMYFUNCTION("""COMPUTED_VALUE"""),"Sudah")</f>
        <v>Sudah</v>
      </c>
      <c r="T34" s="35" t="str">
        <f>IFERROR(__xludf.DUMMYFUNCTION("""COMPUTED_VALUE"""),"Diterima")</f>
        <v>Diterima</v>
      </c>
      <c r="U34" s="35" t="str">
        <f>IFERROR(__xludf.DUMMYFUNCTION("""COMPUTED_VALUE"""),"Syarif")</f>
        <v>Syarif</v>
      </c>
      <c r="V34" s="71" t="str">
        <f>IFERROR(__xludf.DUMMYFUNCTION("""COMPUTED_VALUE"""),"Insyallah bgs.")</f>
        <v>Insyallah bgs.</v>
      </c>
    </row>
    <row r="35">
      <c r="A35" s="153">
        <f>IFERROR(__xludf.DUMMYFUNCTION("""COMPUTED_VALUE"""),45926.39757971065)</f>
        <v>45926.39758</v>
      </c>
      <c r="B35" s="158" t="str">
        <f>IFERROR(__xludf.DUMMYFUNCTION("""COMPUTED_VALUE"""),"SHAKIRA NUR AISYAH")</f>
        <v>SHAKIRA NUR AISYAH</v>
      </c>
      <c r="C35" s="71" t="str">
        <f>IFERROR(__xludf.DUMMYFUNCTION("""COMPUTED_VALUE"""),"SAPEI")</f>
        <v>SAPEI</v>
      </c>
      <c r="D35" s="71" t="str">
        <f>IFERROR(__xludf.DUMMYFUNCTION("""COMPUTED_VALUE"""),"MTs Putri")</f>
        <v>MTs Putri</v>
      </c>
      <c r="E35" s="71" t="str">
        <f>IFERROR(__xludf.DUMMYFUNCTION("""COMPUTED_VALUE"""),"D250008")</f>
        <v>D250008</v>
      </c>
      <c r="F35" s="71" t="str">
        <f>IFERROR(__xludf.DUMMYFUNCTION("""COMPUTED_VALUE"""),"Searching umum")</f>
        <v>Searching umum</v>
      </c>
      <c r="G35" s="71" t="str">
        <f>IFERROR(__xludf.DUMMYFUNCTION("""COMPUTED_VALUE"""),"Baru")</f>
        <v>Baru</v>
      </c>
      <c r="H35" s="158" t="str">
        <f>IFERROR(__xludf.DUMMYFUNCTION("""COMPUTED_VALUE"""),"A. Condong ke orientasi akhirat/agama")</f>
        <v>A. Condong ke orientasi akhirat/agama</v>
      </c>
      <c r="I35" s="158" t="str">
        <f>IFERROR(__xludf.DUMMYFUNCTION("""COMPUTED_VALUE"""),"A. Pilihan utama untuk agama, akhlak, dan karakter")</f>
        <v>A. Pilihan utama untuk agama, akhlak, dan karakter</v>
      </c>
      <c r="J35" s="158" t="str">
        <f>IFERROR(__xludf.DUMMYFUNCTION("""COMPUTED_VALUE"""),"A. Orang tua &amp; anak")</f>
        <v>A. Orang tua &amp; anak</v>
      </c>
      <c r="K35" s="158" t="str">
        <f>IFERROR(__xludf.DUMMYFUNCTION("""COMPUTED_VALUE"""),"A. Memberikan pengertian")</f>
        <v>A. Memberikan pengertian</v>
      </c>
      <c r="L35" s="158" t="str">
        <f>IFERROR(__xludf.DUMMYFUNCTION("""COMPUTED_VALUE"""),"A. Intensif (tahfizh, sekolah Islam)")</f>
        <v>A. Intensif (tahfizh, sekolah Islam)</v>
      </c>
      <c r="M35" s="158" t="str">
        <f>IFERROR(__xludf.DUMMYFUNCTION("""COMPUTED_VALUE"""),"A. Yakin")</f>
        <v>A. Yakin</v>
      </c>
      <c r="N35" s="158" t="str">
        <f>IFERROR(__xludf.DUMMYFUNCTION("""COMPUTED_VALUE"""),"A. Sangat penting")</f>
        <v>A. Sangat penting</v>
      </c>
      <c r="O35" s="158" t="str">
        <f>IFERROR(__xludf.DUMMYFUNCTION("""COMPUTED_VALUE"""),"A. Berkala")</f>
        <v>A. Berkala</v>
      </c>
      <c r="P35" s="158" t="str">
        <f>IFERROR(__xludf.DUMMYFUNCTION("""COMPUTED_VALUE"""),"A. Klarifikasi &amp; beri semangat pada anak")</f>
        <v>A. Klarifikasi &amp; beri semangat pada anak</v>
      </c>
      <c r="Q35" s="158" t="str">
        <f>IFERROR(__xludf.DUMMYFUNCTION("""COMPUTED_VALUE"""),"A. Menerima sebagai konsekuensi (selama bimbingan sudah maksimal)")</f>
        <v>A. Menerima sebagai konsekuensi (selama bimbingan sudah maksimal)</v>
      </c>
      <c r="R35" s="35" t="str">
        <f>IFERROR(__xludf.DUMMYFUNCTION("""COMPUTED_VALUE"""),"Aktf membantu ortu, Jaga adik2nya, sensitif mudah  menangis ")</f>
        <v>Aktf membantu ortu, Jaga adik2nya, sensitif mudah  menangis </v>
      </c>
      <c r="S35" s="35" t="str">
        <f>IFERROR(__xludf.DUMMYFUNCTION("""COMPUTED_VALUE"""),"Sudah")</f>
        <v>Sudah</v>
      </c>
      <c r="T35" s="35" t="str">
        <f>IFERROR(__xludf.DUMMYFUNCTION("""COMPUTED_VALUE"""),"Diterima")</f>
        <v>Diterima</v>
      </c>
      <c r="U35" s="35" t="str">
        <f>IFERROR(__xludf.DUMMYFUNCTION("""COMPUTED_VALUE"""),"Syarif")</f>
        <v>Syarif</v>
      </c>
      <c r="V35" s="71" t="str">
        <f>IFERROR(__xludf.DUMMYFUNCTION("""COMPUTED_VALUE"""),"Rekom insyllah")</f>
        <v>Rekom insyllah</v>
      </c>
    </row>
    <row r="36">
      <c r="A36" s="153">
        <f>IFERROR(__xludf.DUMMYFUNCTION("""COMPUTED_VALUE"""),45926.415660162034)</f>
        <v>45926.41566</v>
      </c>
      <c r="B36" s="158" t="str">
        <f>IFERROR(__xludf.DUMMYFUNCTION("""COMPUTED_VALUE"""),"Muhammad Al Fatih Fadhly")</f>
        <v>Muhammad Al Fatih Fadhly</v>
      </c>
      <c r="C36" s="71" t="str">
        <f>IFERROR(__xludf.DUMMYFUNCTION("""COMPUTED_VALUE"""),"Fadli Noviman dan Neng Herlin Rahmatika Berlian Intan")</f>
        <v>Fadli Noviman dan Neng Herlin Rahmatika Berlian Intan</v>
      </c>
      <c r="D36" s="71" t="str">
        <f>IFERROR(__xludf.DUMMYFUNCTION("""COMPUTED_VALUE"""),"MTs Putra")</f>
        <v>MTs Putra</v>
      </c>
      <c r="E36" s="71" t="str">
        <f>IFERROR(__xludf.DUMMYFUNCTION("""COMPUTED_VALUE"""),"A250054")</f>
        <v>A250054</v>
      </c>
      <c r="F36" s="71" t="str">
        <f>IFERROR(__xludf.DUMMYFUNCTION("""COMPUTED_VALUE"""),"Searching umum")</f>
        <v>Searching umum</v>
      </c>
      <c r="G36" s="71" t="str">
        <f>IFERROR(__xludf.DUMMYFUNCTION("""COMPUTED_VALUE"""),"Memiliki teman/rekan/tetangga di PUAS")</f>
        <v>Memiliki teman/rekan/tetangga di PUAS</v>
      </c>
      <c r="H36" s="158" t="str">
        <f>IFERROR(__xludf.DUMMYFUNCTION("""COMPUTED_VALUE"""),"A. Condong ke orientasi akhirat/agama")</f>
        <v>A. Condong ke orientasi akhirat/agama</v>
      </c>
      <c r="I36" s="158" t="str">
        <f>IFERROR(__xludf.DUMMYFUNCTION("""COMPUTED_VALUE"""),"A. Pilihan utama untuk agama, akhlak, dan karakter")</f>
        <v>A. Pilihan utama untuk agama, akhlak, dan karakter</v>
      </c>
      <c r="J36" s="158" t="str">
        <f>IFERROR(__xludf.DUMMYFUNCTION("""COMPUTED_VALUE"""),"A. Orang tua &amp; anak")</f>
        <v>A. Orang tua &amp; anak</v>
      </c>
      <c r="K36" s="158" t="str">
        <f>IFERROR(__xludf.DUMMYFUNCTION("""COMPUTED_VALUE"""),"A. Memberikan pengertian")</f>
        <v>A. Memberikan pengertian</v>
      </c>
      <c r="L36" s="158" t="str">
        <f>IFERROR(__xludf.DUMMYFUNCTION("""COMPUTED_VALUE"""),"A. Intensif (tahfizh, sekolah Islam)")</f>
        <v>A. Intensif (tahfizh, sekolah Islam)</v>
      </c>
      <c r="M36" s="158" t="str">
        <f>IFERROR(__xludf.DUMMYFUNCTION("""COMPUTED_VALUE"""),"A. Yakin")</f>
        <v>A. Yakin</v>
      </c>
      <c r="N36" s="158" t="str">
        <f>IFERROR(__xludf.DUMMYFUNCTION("""COMPUTED_VALUE"""),"A. Sangat penting")</f>
        <v>A. Sangat penting</v>
      </c>
      <c r="O36" s="158" t="str">
        <f>IFERROR(__xludf.DUMMYFUNCTION("""COMPUTED_VALUE"""),"A. Berkala")</f>
        <v>A. Berkala</v>
      </c>
      <c r="P36" s="158" t="str">
        <f>IFERROR(__xludf.DUMMYFUNCTION("""COMPUTED_VALUE"""),"A. Klarifikasi &amp; beri semangat pada anak")</f>
        <v>A. Klarifikasi &amp; beri semangat pada anak</v>
      </c>
      <c r="Q36" s="158" t="str">
        <f>IFERROR(__xludf.DUMMYFUNCTION("""COMPUTED_VALUE"""),"A. Menerima sebagai konsekuensi (selama bimbingan sudah maksimal)")</f>
        <v>A. Menerima sebagai konsekuensi (selama bimbingan sudah maksimal)</v>
      </c>
      <c r="R36" s="35" t="str">
        <f>IFERROR(__xludf.DUMMYFUNCTION("""COMPUTED_VALUE"""),"Agak melow, penurut, baik, pendiam")</f>
        <v>Agak melow, penurut, baik, pendiam</v>
      </c>
      <c r="S36" s="35" t="str">
        <f>IFERROR(__xludf.DUMMYFUNCTION("""COMPUTED_VALUE"""),"Sudah")</f>
        <v>Sudah</v>
      </c>
      <c r="T36" s="35" t="str">
        <f>IFERROR(__xludf.DUMMYFUNCTION("""COMPUTED_VALUE"""),"Diterima")</f>
        <v>Diterima</v>
      </c>
      <c r="U36" s="35" t="str">
        <f>IFERROR(__xludf.DUMMYFUNCTION("""COMPUTED_VALUE"""),"Abah")</f>
        <v>Abah</v>
      </c>
      <c r="V36" s="71"/>
    </row>
    <row r="37">
      <c r="A37" s="153">
        <f>IFERROR(__xludf.DUMMYFUNCTION("""COMPUTED_VALUE"""),45926.46342722222)</f>
        <v>45926.46343</v>
      </c>
      <c r="B37" s="158" t="str">
        <f>IFERROR(__xludf.DUMMYFUNCTION("""COMPUTED_VALUE"""),"Nouvalldy Farzani Prayoga")</f>
        <v>Nouvalldy Farzani Prayoga</v>
      </c>
      <c r="C37" s="71" t="str">
        <f>IFERROR(__xludf.DUMMYFUNCTION("""COMPUTED_VALUE"""),"Novita Haryani")</f>
        <v>Novita Haryani</v>
      </c>
      <c r="D37" s="71" t="str">
        <f>IFERROR(__xludf.DUMMYFUNCTION("""COMPUTED_VALUE"""),"MTs Putra")</f>
        <v>MTs Putra</v>
      </c>
      <c r="E37" s="71" t="str">
        <f>IFERROR(__xludf.DUMMYFUNCTION("""COMPUTED_VALUE"""),"A250023")</f>
        <v>A250023</v>
      </c>
      <c r="F37" s="71" t="str">
        <f>IFERROR(__xludf.DUMMYFUNCTION("""COMPUTED_VALUE"""),"IG")</f>
        <v>IG</v>
      </c>
      <c r="G37" s="71" t="str">
        <f>IFERROR(__xludf.DUMMYFUNCTION("""COMPUTED_VALUE"""),"Yatim/ah")</f>
        <v>Yatim/ah</v>
      </c>
      <c r="H37" s="158" t="str">
        <f>IFERROR(__xludf.DUMMYFUNCTION("""COMPUTED_VALUE"""),"A. Condong ke orientasi akhirat/agama")</f>
        <v>A. Condong ke orientasi akhirat/agama</v>
      </c>
      <c r="I37" s="158" t="str">
        <f>IFERROR(__xludf.DUMMYFUNCTION("""COMPUTED_VALUE"""),"A. Pilihan utama untuk agama, akhlak, dan karakter")</f>
        <v>A. Pilihan utama untuk agama, akhlak, dan karakter</v>
      </c>
      <c r="J37" s="158" t="str">
        <f>IFERROR(__xludf.DUMMYFUNCTION("""COMPUTED_VALUE"""),"A. Orang tua &amp; anak")</f>
        <v>A. Orang tua &amp; anak</v>
      </c>
      <c r="K37" s="158" t="str">
        <f>IFERROR(__xludf.DUMMYFUNCTION("""COMPUTED_VALUE"""),"A. Memberikan pengertian")</f>
        <v>A. Memberikan pengertian</v>
      </c>
      <c r="L37" s="158" t="str">
        <f>IFERROR(__xludf.DUMMYFUNCTION("""COMPUTED_VALUE"""),"A. Intensif (tahfizh, sekolah Islam)")</f>
        <v>A. Intensif (tahfizh, sekolah Islam)</v>
      </c>
      <c r="M37" s="158" t="str">
        <f>IFERROR(__xludf.DUMMYFUNCTION("""COMPUTED_VALUE"""),"A. Yakin")</f>
        <v>A. Yakin</v>
      </c>
      <c r="N37" s="158" t="str">
        <f>IFERROR(__xludf.DUMMYFUNCTION("""COMPUTED_VALUE"""),"A. Sangat penting")</f>
        <v>A. Sangat penting</v>
      </c>
      <c r="O37" s="158" t="str">
        <f>IFERROR(__xludf.DUMMYFUNCTION("""COMPUTED_VALUE"""),"A. Berkala")</f>
        <v>A. Berkala</v>
      </c>
      <c r="P37" s="158" t="str">
        <f>IFERROR(__xludf.DUMMYFUNCTION("""COMPUTED_VALUE"""),"B. Serahkan ke pesantren")</f>
        <v>B. Serahkan ke pesantren</v>
      </c>
      <c r="Q37" s="158" t="str">
        <f>IFERROR(__xludf.DUMMYFUNCTION("""COMPUTED_VALUE"""),"A. Menerima sebagai konsekuensi (selama bimbingan sudah maksimal)")</f>
        <v>A. Menerima sebagai konsekuensi (selama bimbingan sudah maksimal)</v>
      </c>
      <c r="R37" s="35" t="str">
        <f>IFERROR(__xludf.DUMMYFUNCTION("""COMPUTED_VALUE"""),"Positif: penurut,  kekurangan: agak lambat, ")</f>
        <v>Positif: penurut,  kekurangan: agak lambat, </v>
      </c>
      <c r="S37" s="35" t="str">
        <f>IFERROR(__xludf.DUMMYFUNCTION("""COMPUTED_VALUE"""),"Sudah")</f>
        <v>Sudah</v>
      </c>
      <c r="T37" s="35" t="str">
        <f>IFERROR(__xludf.DUMMYFUNCTION("""COMPUTED_VALUE"""),"Diterima")</f>
        <v>Diterima</v>
      </c>
      <c r="U37" s="35" t="str">
        <f>IFERROR(__xludf.DUMMYFUNCTION("""COMPUTED_VALUE"""),"Bachtiar")</f>
        <v>Bachtiar</v>
      </c>
      <c r="V37" s="71"/>
    </row>
    <row r="38">
      <c r="A38" s="153">
        <f>IFERROR(__xludf.DUMMYFUNCTION("""COMPUTED_VALUE"""),45926.559061238426)</f>
        <v>45926.55906</v>
      </c>
      <c r="B38" s="158" t="str">
        <f>IFERROR(__xludf.DUMMYFUNCTION("""COMPUTED_VALUE"""),"Akhdan Azkiya Mahdy")</f>
        <v>Akhdan Azkiya Mahdy</v>
      </c>
      <c r="C38" s="71" t="str">
        <f>IFERROR(__xludf.DUMMYFUNCTION("""COMPUTED_VALUE"""),"Ayi Mukti")</f>
        <v>Ayi Mukti</v>
      </c>
      <c r="D38" s="71" t="str">
        <f>IFERROR(__xludf.DUMMYFUNCTION("""COMPUTED_VALUE"""),"MTs Putra")</f>
        <v>MTs Putra</v>
      </c>
      <c r="E38" s="71" t="str">
        <f>IFERROR(__xludf.DUMMYFUNCTION("""COMPUTED_VALUE"""),"A250017")</f>
        <v>A250017</v>
      </c>
      <c r="F38" s="71" t="str">
        <f>IFERROR(__xludf.DUMMYFUNCTION("""COMPUTED_VALUE"""),"IG")</f>
        <v>IG</v>
      </c>
      <c r="G38" s="71" t="str">
        <f>IFERROR(__xludf.DUMMYFUNCTION("""COMPUTED_VALUE"""),"Baru")</f>
        <v>Baru</v>
      </c>
      <c r="H38" s="158" t="str">
        <f>IFERROR(__xludf.DUMMYFUNCTION("""COMPUTED_VALUE"""),"A. Condong ke orientasi akhirat/agama")</f>
        <v>A. Condong ke orientasi akhirat/agama</v>
      </c>
      <c r="I38" s="158" t="str">
        <f>IFERROR(__xludf.DUMMYFUNCTION("""COMPUTED_VALUE"""),"A. Pilihan utama untuk agama, akhlak, dan karakter")</f>
        <v>A. Pilihan utama untuk agama, akhlak, dan karakter</v>
      </c>
      <c r="J38" s="158" t="str">
        <f>IFERROR(__xludf.DUMMYFUNCTION("""COMPUTED_VALUE"""),"A. Orang tua &amp; anak")</f>
        <v>A. Orang tua &amp; anak</v>
      </c>
      <c r="K38" s="158" t="str">
        <f>IFERROR(__xludf.DUMMYFUNCTION("""COMPUTED_VALUE"""),"A. Memberikan pengertian")</f>
        <v>A. Memberikan pengertian</v>
      </c>
      <c r="L38" s="158" t="str">
        <f>IFERROR(__xludf.DUMMYFUNCTION("""COMPUTED_VALUE"""),"A. Intensif (tahfizh, sekolah Islam)")</f>
        <v>A. Intensif (tahfizh, sekolah Islam)</v>
      </c>
      <c r="M38" s="158" t="str">
        <f>IFERROR(__xludf.DUMMYFUNCTION("""COMPUTED_VALUE"""),"A. Yakin")</f>
        <v>A. Yakin</v>
      </c>
      <c r="N38" s="158" t="str">
        <f>IFERROR(__xludf.DUMMYFUNCTION("""COMPUTED_VALUE"""),"A. Sangat penting")</f>
        <v>A. Sangat penting</v>
      </c>
      <c r="O38" s="158" t="str">
        <f>IFERROR(__xludf.DUMMYFUNCTION("""COMPUTED_VALUE"""),"A. Berkala")</f>
        <v>A. Berkala</v>
      </c>
      <c r="P38" s="158" t="str">
        <f>IFERROR(__xludf.DUMMYFUNCTION("""COMPUTED_VALUE"""),"A. Klarifikasi &amp; beri semangat pada anak")</f>
        <v>A. Klarifikasi &amp; beri semangat pada anak</v>
      </c>
      <c r="Q38" s="158" t="str">
        <f>IFERROR(__xludf.DUMMYFUNCTION("""COMPUTED_VALUE"""),"A. Menerima sebagai konsekuensi (selama bimbingan sudah maksimal)")</f>
        <v>A. Menerima sebagai konsekuensi (selama bimbingan sudah maksimal)</v>
      </c>
      <c r="R38" s="35" t="str">
        <f>IFERROR(__xludf.DUMMYFUNCTION("""COMPUTED_VALUE"""),"positif : Aktif, Penurut, Supel
Negatif : Kurang disiplin")</f>
        <v>positif : Aktif, Penurut, Supel
Negatif : Kurang disiplin</v>
      </c>
      <c r="S38" s="35" t="str">
        <f>IFERROR(__xludf.DUMMYFUNCTION("""COMPUTED_VALUE"""),"Sudah")</f>
        <v>Sudah</v>
      </c>
      <c r="T38" s="35" t="str">
        <f>IFERROR(__xludf.DUMMYFUNCTION("""COMPUTED_VALUE"""),"Diterima")</f>
        <v>Diterima</v>
      </c>
      <c r="U38" s="35" t="str">
        <f>IFERROR(__xludf.DUMMYFUNCTION("""COMPUTED_VALUE"""),"Adib")</f>
        <v>Adib</v>
      </c>
      <c r="V38" s="71"/>
    </row>
    <row r="39">
      <c r="A39" s="153">
        <f>IFERROR(__xludf.DUMMYFUNCTION("""COMPUTED_VALUE"""),45926.60026715278)</f>
        <v>45926.60027</v>
      </c>
      <c r="B39" s="158" t="str">
        <f>IFERROR(__xludf.DUMMYFUNCTION("""COMPUTED_VALUE"""),"Khotibul syafiiq")</f>
        <v>Khotibul syafiiq</v>
      </c>
      <c r="C39" s="71" t="str">
        <f>IFERROR(__xludf.DUMMYFUNCTION("""COMPUTED_VALUE"""),"Octra F")</f>
        <v>Octra F</v>
      </c>
      <c r="D39" s="71" t="str">
        <f>IFERROR(__xludf.DUMMYFUNCTION("""COMPUTED_VALUE"""),"MTs Putra")</f>
        <v>MTs Putra</v>
      </c>
      <c r="E39" s="71" t="str">
        <f>IFERROR(__xludf.DUMMYFUNCTION("""COMPUTED_VALUE"""),"A250036")</f>
        <v>A250036</v>
      </c>
      <c r="F39" s="71" t="str">
        <f>IFERROR(__xludf.DUMMYFUNCTION("""COMPUTED_VALUE"""),"Kakaknya bersekolah disini")</f>
        <v>Kakaknya bersekolah disini</v>
      </c>
      <c r="G39" s="71" t="str">
        <f>IFERROR(__xludf.DUMMYFUNCTION("""COMPUTED_VALUE"""),"Memiliki keluarga/saudara/kerabat di PUAS")</f>
        <v>Memiliki keluarga/saudara/kerabat di PUAS</v>
      </c>
      <c r="H39" s="158" t="str">
        <f>IFERROR(__xludf.DUMMYFUNCTION("""COMPUTED_VALUE"""),"A. Condong ke orientasi akhirat/agama")</f>
        <v>A. Condong ke orientasi akhirat/agama</v>
      </c>
      <c r="I39" s="158" t="str">
        <f>IFERROR(__xludf.DUMMYFUNCTION("""COMPUTED_VALUE"""),"A. Pilihan utama untuk agama, akhlak, dan karakter")</f>
        <v>A. Pilihan utama untuk agama, akhlak, dan karakter</v>
      </c>
      <c r="J39" s="158" t="str">
        <f>IFERROR(__xludf.DUMMYFUNCTION("""COMPUTED_VALUE"""),"A. Orang tua &amp; anak")</f>
        <v>A. Orang tua &amp; anak</v>
      </c>
      <c r="K39" s="158" t="str">
        <f>IFERROR(__xludf.DUMMYFUNCTION("""COMPUTED_VALUE"""),"A. Memberikan pengertian")</f>
        <v>A. Memberikan pengertian</v>
      </c>
      <c r="L39" s="158" t="str">
        <f>IFERROR(__xludf.DUMMYFUNCTION("""COMPUTED_VALUE"""),"A. Intensif (tahfizh, sekolah Islam)")</f>
        <v>A. Intensif (tahfizh, sekolah Islam)</v>
      </c>
      <c r="M39" s="158" t="str">
        <f>IFERROR(__xludf.DUMMYFUNCTION("""COMPUTED_VALUE"""),"A. Yakin")</f>
        <v>A. Yakin</v>
      </c>
      <c r="N39" s="158" t="str">
        <f>IFERROR(__xludf.DUMMYFUNCTION("""COMPUTED_VALUE"""),"A. Sangat penting")</f>
        <v>A. Sangat penting</v>
      </c>
      <c r="O39" s="158" t="str">
        <f>IFERROR(__xludf.DUMMYFUNCTION("""COMPUTED_VALUE"""),"A. Berkala")</f>
        <v>A. Berkala</v>
      </c>
      <c r="P39" s="158" t="str">
        <f>IFERROR(__xludf.DUMMYFUNCTION("""COMPUTED_VALUE"""),"A. Klarifikasi &amp; beri semangat pada anak")</f>
        <v>A. Klarifikasi &amp; beri semangat pada anak</v>
      </c>
      <c r="Q39" s="158" t="str">
        <f>IFERROR(__xludf.DUMMYFUNCTION("""COMPUTED_VALUE"""),"A. Menerima sebagai konsekuensi (selama bimbingan sudah maksimal)")</f>
        <v>A. Menerima sebagai konsekuensi (selama bimbingan sudah maksimal)</v>
      </c>
      <c r="R39" s="35" t="str">
        <f>IFERROR(__xludf.DUMMYFUNCTION("""COMPUTED_VALUE"""),"Positif: supel dan adaptif.
Negatif : lambat merespon, suka sakit perut")</f>
        <v>Positif: supel dan adaptif.
Negatif : lambat merespon, suka sakit perut</v>
      </c>
      <c r="S39" s="35" t="str">
        <f>IFERROR(__xludf.DUMMYFUNCTION("""COMPUTED_VALUE"""),"Sudah")</f>
        <v>Sudah</v>
      </c>
      <c r="T39" s="35" t="str">
        <f>IFERROR(__xludf.DUMMYFUNCTION("""COMPUTED_VALUE"""),"Diterima")</f>
        <v>Diterima</v>
      </c>
      <c r="U39" s="35" t="str">
        <f>IFERROR(__xludf.DUMMYFUNCTION("""COMPUTED_VALUE"""),"Bachtiar")</f>
        <v>Bachtiar</v>
      </c>
      <c r="V39" s="71"/>
    </row>
    <row r="40">
      <c r="A40" s="153">
        <f>IFERROR(__xludf.DUMMYFUNCTION("""COMPUTED_VALUE"""),45926.620000208335)</f>
        <v>45926.62</v>
      </c>
      <c r="B40" s="158" t="str">
        <f>IFERROR(__xludf.DUMMYFUNCTION("""COMPUTED_VALUE"""),"Abudzar almahbub")</f>
        <v>Abudzar almahbub</v>
      </c>
      <c r="C40" s="71" t="str">
        <f>IFERROR(__xludf.DUMMYFUNCTION("""COMPUTED_VALUE"""),"Wahyudi")</f>
        <v>Wahyudi</v>
      </c>
      <c r="D40" s="71" t="str">
        <f>IFERROR(__xludf.DUMMYFUNCTION("""COMPUTED_VALUE"""),"MTs Putra")</f>
        <v>MTs Putra</v>
      </c>
      <c r="E40" s="71" t="str">
        <f>IFERROR(__xludf.DUMMYFUNCTION("""COMPUTED_VALUE"""),"A250034")</f>
        <v>A250034</v>
      </c>
      <c r="F40" s="71" t="str">
        <f>IFERROR(__xludf.DUMMYFUNCTION("""COMPUTED_VALUE"""),"Kunjungan ustadz Wahab ")</f>
        <v>Kunjungan ustadz Wahab </v>
      </c>
      <c r="G40" s="71" t="str">
        <f>IFERROR(__xludf.DUMMYFUNCTION("""COMPUTED_VALUE"""),"Baru")</f>
        <v>Baru</v>
      </c>
      <c r="H40" s="158" t="str">
        <f>IFERROR(__xludf.DUMMYFUNCTION("""COMPUTED_VALUE"""),"A. Condong ke orientasi akhirat/agama")</f>
        <v>A. Condong ke orientasi akhirat/agama</v>
      </c>
      <c r="I40" s="158" t="str">
        <f>IFERROR(__xludf.DUMMYFUNCTION("""COMPUTED_VALUE"""),"A. Pilihan utama untuk agama, akhlak, dan karakter")</f>
        <v>A. Pilihan utama untuk agama, akhlak, dan karakter</v>
      </c>
      <c r="J40" s="158" t="str">
        <f>IFERROR(__xludf.DUMMYFUNCTION("""COMPUTED_VALUE"""),"A. Orang tua &amp; anak")</f>
        <v>A. Orang tua &amp; anak</v>
      </c>
      <c r="K40" s="158" t="str">
        <f>IFERROR(__xludf.DUMMYFUNCTION("""COMPUTED_VALUE"""),"A. Memberikan pengertian")</f>
        <v>A. Memberikan pengertian</v>
      </c>
      <c r="L40" s="158" t="str">
        <f>IFERROR(__xludf.DUMMYFUNCTION("""COMPUTED_VALUE"""),"A. Intensif (tahfizh, sekolah Islam)")</f>
        <v>A. Intensif (tahfizh, sekolah Islam)</v>
      </c>
      <c r="M40" s="158" t="str">
        <f>IFERROR(__xludf.DUMMYFUNCTION("""COMPUTED_VALUE"""),"A. Yakin")</f>
        <v>A. Yakin</v>
      </c>
      <c r="N40" s="158" t="str">
        <f>IFERROR(__xludf.DUMMYFUNCTION("""COMPUTED_VALUE"""),"A. Sangat penting")</f>
        <v>A. Sangat penting</v>
      </c>
      <c r="O40" s="158" t="str">
        <f>IFERROR(__xludf.DUMMYFUNCTION("""COMPUTED_VALUE"""),"C. Sesempatnya saja")</f>
        <v>C. Sesempatnya saja</v>
      </c>
      <c r="P40" s="158" t="str">
        <f>IFERROR(__xludf.DUMMYFUNCTION("""COMPUTED_VALUE"""),"A. Klarifikasi &amp; beri semangat pada anak")</f>
        <v>A. Klarifikasi &amp; beri semangat pada anak</v>
      </c>
      <c r="Q40" s="158" t="str">
        <f>IFERROR(__xludf.DUMMYFUNCTION("""COMPUTED_VALUE"""),"A. Menerima sebagai konsekuensi (selama bimbingan sudah maksimal)")</f>
        <v>A. Menerima sebagai konsekuensi (selama bimbingan sudah maksimal)</v>
      </c>
      <c r="R40" s="35" t="str">
        <f>IFERROR(__xludf.DUMMYFUNCTION("""COMPUTED_VALUE"""),"Positif : nurut, mudah bergaul, suka dgn 
Negatif : penakut,  ")</f>
        <v>Positif : nurut, mudah bergaul, suka dgn 
Negatif : penakut,  </v>
      </c>
      <c r="S40" s="35" t="str">
        <f>IFERROR(__xludf.DUMMYFUNCTION("""COMPUTED_VALUE"""),"Sudah")</f>
        <v>Sudah</v>
      </c>
      <c r="T40" s="35" t="str">
        <f>IFERROR(__xludf.DUMMYFUNCTION("""COMPUTED_VALUE"""),"Diterima dengan catatan")</f>
        <v>Diterima dengan catatan</v>
      </c>
      <c r="U40" s="35" t="str">
        <f>IFERROR(__xludf.DUMMYFUNCTION("""COMPUTED_VALUE"""),"Bachtiar")</f>
        <v>Bachtiar</v>
      </c>
      <c r="V40" s="71" t="str">
        <f>IFERROR(__xludf.DUMMYFUNCTION("""COMPUTED_VALUE"""),"Sensitif terhadap debu, dan penyakit amandel (tapi katanya ud sembuh)")</f>
        <v>Sensitif terhadap debu, dan penyakit amandel (tapi katanya ud sembuh)</v>
      </c>
    </row>
    <row r="41">
      <c r="A41" s="153">
        <f>IFERROR(__xludf.DUMMYFUNCTION("""COMPUTED_VALUE"""),45926.78663253472)</f>
        <v>45926.78663</v>
      </c>
      <c r="B41" s="71" t="str">
        <f>IFERROR(__xludf.DUMMYFUNCTION("""COMPUTED_VALUE"""),"Hibban Hibbaturrahman")</f>
        <v>Hibban Hibbaturrahman</v>
      </c>
      <c r="C41" s="71" t="str">
        <f>IFERROR(__xludf.DUMMYFUNCTION("""COMPUTED_VALUE"""),"Ahmad Bahaudin")</f>
        <v>Ahmad Bahaudin</v>
      </c>
      <c r="D41" s="71" t="str">
        <f>IFERROR(__xludf.DUMMYFUNCTION("""COMPUTED_VALUE"""),"SMA")</f>
        <v>SMA</v>
      </c>
      <c r="E41" s="71" t="str">
        <f>IFERROR(__xludf.DUMMYFUNCTION("""COMPUTED_VALUE"""),"C250003")</f>
        <v>C250003</v>
      </c>
      <c r="F41" s="71" t="str">
        <f>IFERROR(__xludf.DUMMYFUNCTION("""COMPUTED_VALUE"""),"FB")</f>
        <v>FB</v>
      </c>
      <c r="G41" s="71" t="str">
        <f>IFERROR(__xludf.DUMMYFUNCTION("""COMPUTED_VALUE"""),"Baru")</f>
        <v>Baru</v>
      </c>
      <c r="H41" s="158" t="str">
        <f>IFERROR(__xludf.DUMMYFUNCTION("""COMPUTED_VALUE"""),"A. Condong ke orientasi akhirat/agama")</f>
        <v>A. Condong ke orientasi akhirat/agama</v>
      </c>
      <c r="I41" s="158" t="str">
        <f>IFERROR(__xludf.DUMMYFUNCTION("""COMPUTED_VALUE"""),"A. Pilihan utama untuk agama, akhlak, dan karakter")</f>
        <v>A. Pilihan utama untuk agama, akhlak, dan karakter</v>
      </c>
      <c r="J41" s="158" t="str">
        <f>IFERROR(__xludf.DUMMYFUNCTION("""COMPUTED_VALUE"""),"A. Orang tua &amp; anak")</f>
        <v>A. Orang tua &amp; anak</v>
      </c>
      <c r="K41" s="158" t="str">
        <f>IFERROR(__xludf.DUMMYFUNCTION("""COMPUTED_VALUE"""),"A. Memberikan pengertian")</f>
        <v>A. Memberikan pengertian</v>
      </c>
      <c r="L41" s="158" t="str">
        <f>IFERROR(__xludf.DUMMYFUNCTION("""COMPUTED_VALUE"""),"A. Intensif (tahfizh, sekolah Islam)")</f>
        <v>A. Intensif (tahfizh, sekolah Islam)</v>
      </c>
      <c r="M41" s="158" t="str">
        <f>IFERROR(__xludf.DUMMYFUNCTION("""COMPUTED_VALUE"""),"A. Yakin")</f>
        <v>A. Yakin</v>
      </c>
      <c r="N41" s="158" t="str">
        <f>IFERROR(__xludf.DUMMYFUNCTION("""COMPUTED_VALUE"""),"A. Sangat penting")</f>
        <v>A. Sangat penting</v>
      </c>
      <c r="O41" s="158" t="str">
        <f>IFERROR(__xludf.DUMMYFUNCTION("""COMPUTED_VALUE"""),"A. Berkala")</f>
        <v>A. Berkala</v>
      </c>
      <c r="P41" s="158" t="str">
        <f>IFERROR(__xludf.DUMMYFUNCTION("""COMPUTED_VALUE"""),"A. Klarifikasi &amp; beri semangat pada anak")</f>
        <v>A. Klarifikasi &amp; beri semangat pada anak</v>
      </c>
      <c r="Q41" s="158" t="str">
        <f>IFERROR(__xludf.DUMMYFUNCTION("""COMPUTED_VALUE"""),"A. Menerima sebagai konsekuensi (selama bimbingan sudah maksimal)")</f>
        <v>A. Menerima sebagai konsekuensi (selama bimbingan sudah maksimal)</v>
      </c>
      <c r="R41" s="35" t="str">
        <f>IFERROR(__xludf.DUMMYFUNCTION("""COMPUTED_VALUE"""),"Negatif : agak susah menghafal
Positif : adaptif, inisiatif, mandiri")</f>
        <v>Negatif : agak susah menghafal
Positif : adaptif, inisiatif, mandiri</v>
      </c>
      <c r="S41" s="35" t="str">
        <f>IFERROR(__xludf.DUMMYFUNCTION("""COMPUTED_VALUE"""),"Sudah")</f>
        <v>Sudah</v>
      </c>
      <c r="T41" s="35" t="str">
        <f>IFERROR(__xludf.DUMMYFUNCTION("""COMPUTED_VALUE"""),"Diterima dengan catatan")</f>
        <v>Diterima dengan catatan</v>
      </c>
      <c r="U41" s="35" t="str">
        <f>IFERROR(__xludf.DUMMYFUNCTION("""COMPUTED_VALUE"""),"Bachtiar")</f>
        <v>Bachtiar</v>
      </c>
      <c r="V41" s="71" t="str">
        <f>IFERROR(__xludf.DUMMYFUNCTION("""COMPUTED_VALUE"""),"Dicoba lagi hafalannya")</f>
        <v>Dicoba lagi hafalannya</v>
      </c>
    </row>
    <row r="42">
      <c r="A42" s="153">
        <f>IFERROR(__xludf.DUMMYFUNCTION("""COMPUTED_VALUE"""),45926.791252546296)</f>
        <v>45926.79125</v>
      </c>
      <c r="B42" s="71" t="str">
        <f>IFERROR(__xludf.DUMMYFUNCTION("""COMPUTED_VALUE"""),"Siti Azizah")</f>
        <v>Siti Azizah</v>
      </c>
      <c r="C42" s="71" t="str">
        <f>IFERROR(__xludf.DUMMYFUNCTION("""COMPUTED_VALUE"""),"Andi Tei")</f>
        <v>Andi Tei</v>
      </c>
      <c r="D42" s="71" t="str">
        <f>IFERROR(__xludf.DUMMYFUNCTION("""COMPUTED_VALUE"""),"MTs Putri")</f>
        <v>MTs Putri</v>
      </c>
      <c r="E42" s="71" t="str">
        <f>IFERROR(__xludf.DUMMYFUNCTION("""COMPUTED_VALUE"""),"D250007")</f>
        <v>D250007</v>
      </c>
      <c r="F42" s="71" t="str">
        <f>IFERROR(__xludf.DUMMYFUNCTION("""COMPUTED_VALUE"""),"Searching umum")</f>
        <v>Searching umum</v>
      </c>
      <c r="G42" s="71" t="str">
        <f>IFERROR(__xludf.DUMMYFUNCTION("""COMPUTED_VALUE"""),"Baru")</f>
        <v>Baru</v>
      </c>
      <c r="H42" s="158" t="str">
        <f>IFERROR(__xludf.DUMMYFUNCTION("""COMPUTED_VALUE"""),"A. Condong ke orientasi akhirat/agama")</f>
        <v>A. Condong ke orientasi akhirat/agama</v>
      </c>
      <c r="I42" s="158" t="str">
        <f>IFERROR(__xludf.DUMMYFUNCTION("""COMPUTED_VALUE"""),"A. Pilihan utama untuk agama, akhlak, dan karakter")</f>
        <v>A. Pilihan utama untuk agama, akhlak, dan karakter</v>
      </c>
      <c r="J42" s="158" t="str">
        <f>IFERROR(__xludf.DUMMYFUNCTION("""COMPUTED_VALUE"""),"A. Orang tua &amp; anak")</f>
        <v>A. Orang tua &amp; anak</v>
      </c>
      <c r="K42" s="158" t="str">
        <f>IFERROR(__xludf.DUMMYFUNCTION("""COMPUTED_VALUE"""),"A. Memberikan pengertian")</f>
        <v>A. Memberikan pengertian</v>
      </c>
      <c r="L42" s="158" t="str">
        <f>IFERROR(__xludf.DUMMYFUNCTION("""COMPUTED_VALUE"""),"A. Intensif (tahfizh, sekolah Islam)")</f>
        <v>A. Intensif (tahfizh, sekolah Islam)</v>
      </c>
      <c r="M42" s="158" t="str">
        <f>IFERROR(__xludf.DUMMYFUNCTION("""COMPUTED_VALUE"""),"A. Yakin")</f>
        <v>A. Yakin</v>
      </c>
      <c r="N42" s="158" t="str">
        <f>IFERROR(__xludf.DUMMYFUNCTION("""COMPUTED_VALUE"""),"A. Sangat penting")</f>
        <v>A. Sangat penting</v>
      </c>
      <c r="O42" s="158" t="str">
        <f>IFERROR(__xludf.DUMMYFUNCTION("""COMPUTED_VALUE"""),"A. Berkala")</f>
        <v>A. Berkala</v>
      </c>
      <c r="P42" s="158" t="str">
        <f>IFERROR(__xludf.DUMMYFUNCTION("""COMPUTED_VALUE"""),"B. Serahkan ke pesantren")</f>
        <v>B. Serahkan ke pesantren</v>
      </c>
      <c r="Q42" s="158" t="str">
        <f>IFERROR(__xludf.DUMMYFUNCTION("""COMPUTED_VALUE"""),"A. Menerima sebagai konsekuensi (selama bimbingan sudah maksimal)")</f>
        <v>A. Menerima sebagai konsekuensi (selama bimbingan sudah maksimal)</v>
      </c>
      <c r="R42" s="35" t="str">
        <f>IFERROR(__xludf.DUMMYFUNCTION("""COMPUTED_VALUE"""),"Negatifnya agak sembrono, susah bangun tidur
Positifnya tidak emosian")</f>
        <v>Negatifnya agak sembrono, susah bangun tidur
Positifnya tidak emosian</v>
      </c>
      <c r="S42" s="35" t="str">
        <f>IFERROR(__xludf.DUMMYFUNCTION("""COMPUTED_VALUE"""),"Sudah")</f>
        <v>Sudah</v>
      </c>
      <c r="T42" s="35" t="str">
        <f>IFERROR(__xludf.DUMMYFUNCTION("""COMPUTED_VALUE"""),"Diterima")</f>
        <v>Diterima</v>
      </c>
      <c r="U42" s="35" t="str">
        <f>IFERROR(__xludf.DUMMYFUNCTION("""COMPUTED_VALUE"""),"Bachtiar")</f>
        <v>Bachtiar</v>
      </c>
      <c r="V42" s="71"/>
    </row>
    <row r="43">
      <c r="A43" s="153">
        <f>IFERROR(__xludf.DUMMYFUNCTION("""COMPUTED_VALUE"""),45927.46096790509)</f>
        <v>45927.46097</v>
      </c>
      <c r="B43" s="71" t="str">
        <f>IFERROR(__xludf.DUMMYFUNCTION("""COMPUTED_VALUE"""),"Raihan farzin ")</f>
        <v>Raihan farzin </v>
      </c>
      <c r="C43" s="71" t="str">
        <f>IFERROR(__xludf.DUMMYFUNCTION("""COMPUTED_VALUE"""),"Feb4i")</f>
        <v>Feb4i</v>
      </c>
      <c r="D43" s="71" t="str">
        <f>IFERROR(__xludf.DUMMYFUNCTION("""COMPUTED_VALUE"""),"I'L Putra")</f>
        <v>I'L Putra</v>
      </c>
      <c r="E43" s="71" t="str">
        <f>IFERROR(__xludf.DUMMYFUNCTION("""COMPUTED_VALUE"""),"B250005")</f>
        <v>B250005</v>
      </c>
      <c r="F43" s="71" t="str">
        <f>IFERROR(__xludf.DUMMYFUNCTION("""COMPUTED_VALUE"""),"Kunjungan ust Wahab ke Bengkulu ")</f>
        <v>Kunjungan ust Wahab ke Bengkulu </v>
      </c>
      <c r="G43" s="71" t="str">
        <f>IFERROR(__xludf.DUMMYFUNCTION("""COMPUTED_VALUE"""),"Baru")</f>
        <v>Baru</v>
      </c>
      <c r="H43" s="158" t="str">
        <f>IFERROR(__xludf.DUMMYFUNCTION("""COMPUTED_VALUE"""),"A. Condong ke orientasi akhirat/agama")</f>
        <v>A. Condong ke orientasi akhirat/agama</v>
      </c>
      <c r="I43" s="158" t="str">
        <f>IFERROR(__xludf.DUMMYFUNCTION("""COMPUTED_VALUE"""),"A. Pilihan utama untuk agama, akhlak, dan karakter")</f>
        <v>A. Pilihan utama untuk agama, akhlak, dan karakter</v>
      </c>
      <c r="J43" s="158" t="str">
        <f>IFERROR(__xludf.DUMMYFUNCTION("""COMPUTED_VALUE"""),"A. Orang tua &amp; anak")</f>
        <v>A. Orang tua &amp; anak</v>
      </c>
      <c r="K43" s="158" t="str">
        <f>IFERROR(__xludf.DUMMYFUNCTION("""COMPUTED_VALUE"""),"A. Memberikan pengertian")</f>
        <v>A. Memberikan pengertian</v>
      </c>
      <c r="L43" s="158" t="str">
        <f>IFERROR(__xludf.DUMMYFUNCTION("""COMPUTED_VALUE"""),"A. Intensif (tahfizh, sekolah Islam)")</f>
        <v>A. Intensif (tahfizh, sekolah Islam)</v>
      </c>
      <c r="M43" s="158" t="str">
        <f>IFERROR(__xludf.DUMMYFUNCTION("""COMPUTED_VALUE"""),"A. Yakin")</f>
        <v>A. Yakin</v>
      </c>
      <c r="N43" s="158" t="str">
        <f>IFERROR(__xludf.DUMMYFUNCTION("""COMPUTED_VALUE"""),"A. Sangat penting")</f>
        <v>A. Sangat penting</v>
      </c>
      <c r="O43" s="158" t="str">
        <f>IFERROR(__xludf.DUMMYFUNCTION("""COMPUTED_VALUE"""),"B. Tidak menjenguk karena jauh")</f>
        <v>B. Tidak menjenguk karena jauh</v>
      </c>
      <c r="P43" s="158" t="str">
        <f>IFERROR(__xludf.DUMMYFUNCTION("""COMPUTED_VALUE"""),"B. Serahkan ke pesantren")</f>
        <v>B. Serahkan ke pesantren</v>
      </c>
      <c r="Q43" s="158" t="str">
        <f>IFERROR(__xludf.DUMMYFUNCTION("""COMPUTED_VALUE"""),"A. Menerima sebagai konsekuensi (selama bimbingan sudah maksimal)")</f>
        <v>A. Menerima sebagai konsekuensi (selama bimbingan sudah maksimal)</v>
      </c>
      <c r="R43" s="35" t="str">
        <f>IFERROR(__xludf.DUMMYFUNCTION("""COMPUTED_VALUE"""),"Positif : tdk emosian, 
Negatif : susah bangun TDR, ")</f>
        <v>Positif : tdk emosian, 
Negatif : susah bangun TDR, </v>
      </c>
      <c r="S43" s="35" t="str">
        <f>IFERROR(__xludf.DUMMYFUNCTION("""COMPUTED_VALUE"""),"Sudah")</f>
        <v>Sudah</v>
      </c>
      <c r="T43" s="35" t="str">
        <f>IFERROR(__xludf.DUMMYFUNCTION("""COMPUTED_VALUE"""),"Diterima")</f>
        <v>Diterima</v>
      </c>
      <c r="U43" s="35" t="str">
        <f>IFERROR(__xludf.DUMMYFUNCTION("""COMPUTED_VALUE"""),"Bachtiar")</f>
        <v>Bachtiar</v>
      </c>
      <c r="V43" s="71"/>
    </row>
    <row r="44">
      <c r="A44" s="153">
        <f>IFERROR(__xludf.DUMMYFUNCTION("""COMPUTED_VALUE"""),45927.48725873843)</f>
        <v>45927.48726</v>
      </c>
      <c r="B44" s="71" t="str">
        <f>IFERROR(__xludf.DUMMYFUNCTION("""COMPUTED_VALUE"""),"Muhammad Kamil Athaillah")</f>
        <v>Muhammad Kamil Athaillah</v>
      </c>
      <c r="C44" s="71" t="str">
        <f>IFERROR(__xludf.DUMMYFUNCTION("""COMPUTED_VALUE"""),"Nanda Rizki ")</f>
        <v>Nanda Rizki </v>
      </c>
      <c r="D44" s="71" t="str">
        <f>IFERROR(__xludf.DUMMYFUNCTION("""COMPUTED_VALUE"""),"MTs Putra")</f>
        <v>MTs Putra</v>
      </c>
      <c r="E44" s="71" t="str">
        <f>IFERROR(__xludf.DUMMYFUNCTION("""COMPUTED_VALUE"""),"A250053")</f>
        <v>A250053</v>
      </c>
      <c r="F44" s="71" t="str">
        <f>IFERROR(__xludf.DUMMYFUNCTION("""COMPUTED_VALUE"""),"IG")</f>
        <v>IG</v>
      </c>
      <c r="G44" s="71" t="str">
        <f>IFERROR(__xludf.DUMMYFUNCTION("""COMPUTED_VALUE"""),"Baru")</f>
        <v>Baru</v>
      </c>
      <c r="H44" s="158" t="str">
        <f>IFERROR(__xludf.DUMMYFUNCTION("""COMPUTED_VALUE"""),"A. Condong ke orientasi akhirat/agama")</f>
        <v>A. Condong ke orientasi akhirat/agama</v>
      </c>
      <c r="I44" s="158" t="str">
        <f>IFERROR(__xludf.DUMMYFUNCTION("""COMPUTED_VALUE"""),"A. Pilihan utama untuk agama, akhlak, dan karakter")</f>
        <v>A. Pilihan utama untuk agama, akhlak, dan karakter</v>
      </c>
      <c r="J44" s="158" t="str">
        <f>IFERROR(__xludf.DUMMYFUNCTION("""COMPUTED_VALUE"""),"A. Orang tua &amp; anak")</f>
        <v>A. Orang tua &amp; anak</v>
      </c>
      <c r="K44" s="158" t="str">
        <f>IFERROR(__xludf.DUMMYFUNCTION("""COMPUTED_VALUE"""),"A. Memberikan pengertian")</f>
        <v>A. Memberikan pengertian</v>
      </c>
      <c r="L44" s="158" t="str">
        <f>IFERROR(__xludf.DUMMYFUNCTION("""COMPUTED_VALUE"""),"B. Non intensif (swasta biasa)")</f>
        <v>B. Non intensif (swasta biasa)</v>
      </c>
      <c r="M44" s="158" t="str">
        <f>IFERROR(__xludf.DUMMYFUNCTION("""COMPUTED_VALUE"""),"A. Yakin")</f>
        <v>A. Yakin</v>
      </c>
      <c r="N44" s="158" t="str">
        <f>IFERROR(__xludf.DUMMYFUNCTION("""COMPUTED_VALUE"""),"A. Sangat penting")</f>
        <v>A. Sangat penting</v>
      </c>
      <c r="O44" s="158" t="str">
        <f>IFERROR(__xludf.DUMMYFUNCTION("""COMPUTED_VALUE"""),"A. Berkala")</f>
        <v>A. Berkala</v>
      </c>
      <c r="P44" s="158" t="str">
        <f>IFERROR(__xludf.DUMMYFUNCTION("""COMPUTED_VALUE"""),"A. Klarifikasi &amp; beri semangat pada anak")</f>
        <v>A. Klarifikasi &amp; beri semangat pada anak</v>
      </c>
      <c r="Q44" s="158" t="str">
        <f>IFERROR(__xludf.DUMMYFUNCTION("""COMPUTED_VALUE"""),"A. Menerima sebagai konsekuensi (selama bimbingan sudah maksimal)")</f>
        <v>A. Menerima sebagai konsekuensi (selama bimbingan sudah maksimal)</v>
      </c>
      <c r="R44" s="35" t="str">
        <f>IFERROR(__xludf.DUMMYFUNCTION("""COMPUTED_VALUE"""),"Positif ya: 
Negatif : pemalu, lemah hafalan")</f>
        <v>Positif ya: 
Negatif : pemalu, lemah hafalan</v>
      </c>
      <c r="S44" s="35" t="str">
        <f>IFERROR(__xludf.DUMMYFUNCTION("""COMPUTED_VALUE"""),"Sudah")</f>
        <v>Sudah</v>
      </c>
      <c r="T44" s="35" t="str">
        <f>IFERROR(__xludf.DUMMYFUNCTION("""COMPUTED_VALUE"""),"Diterima")</f>
        <v>Diterima</v>
      </c>
      <c r="U44" s="35" t="str">
        <f>IFERROR(__xludf.DUMMYFUNCTION("""COMPUTED_VALUE"""),"Bachtiar")</f>
        <v>Bachtiar</v>
      </c>
      <c r="V44" s="71"/>
    </row>
    <row r="45">
      <c r="A45" s="153">
        <f>IFERROR(__xludf.DUMMYFUNCTION("""COMPUTED_VALUE"""),45927.746351967595)</f>
        <v>45927.74635</v>
      </c>
      <c r="B45" s="71" t="str">
        <f>IFERROR(__xludf.DUMMYFUNCTION("""COMPUTED_VALUE"""),"Adibah Saefulloh")</f>
        <v>Adibah Saefulloh</v>
      </c>
      <c r="C45" s="71" t="str">
        <f>IFERROR(__xludf.DUMMYFUNCTION("""COMPUTED_VALUE"""),"Abah")</f>
        <v>Abah</v>
      </c>
      <c r="D45" s="71" t="str">
        <f>IFERROR(__xludf.DUMMYFUNCTION("""COMPUTED_VALUE"""),"MTs Putri")</f>
        <v>MTs Putri</v>
      </c>
      <c r="E45" s="71" t="str">
        <f>IFERROR(__xludf.DUMMYFUNCTION("""COMPUTED_VALUE"""),"D250003")</f>
        <v>D250003</v>
      </c>
      <c r="F45" s="71" t="str">
        <f>IFERROR(__xludf.DUMMYFUNCTION("""COMPUTED_VALUE"""),"abahjawiy")</f>
        <v>abahjawiy</v>
      </c>
      <c r="G45" s="71" t="str">
        <f>IFERROR(__xludf.DUMMYFUNCTION("""COMPUTED_VALUE"""),"Memiliki keluarga/saudara/kerabat di PUAS")</f>
        <v>Memiliki keluarga/saudara/kerabat di PUAS</v>
      </c>
      <c r="H45" s="158" t="str">
        <f>IFERROR(__xludf.DUMMYFUNCTION("""COMPUTED_VALUE"""),"A. Condong ke orientasi akhirat/agama")</f>
        <v>A. Condong ke orientasi akhirat/agama</v>
      </c>
      <c r="I45" s="158" t="str">
        <f>IFERROR(__xludf.DUMMYFUNCTION("""COMPUTED_VALUE"""),"A. Pilihan utama untuk agama, akhlak, dan karakter")</f>
        <v>A. Pilihan utama untuk agama, akhlak, dan karakter</v>
      </c>
      <c r="J45" s="158" t="str">
        <f>IFERROR(__xludf.DUMMYFUNCTION("""COMPUTED_VALUE"""),"A. Orang tua &amp; anak")</f>
        <v>A. Orang tua &amp; anak</v>
      </c>
      <c r="K45" s="158" t="str">
        <f>IFERROR(__xludf.DUMMYFUNCTION("""COMPUTED_VALUE"""),"A. Memberikan pengertian")</f>
        <v>A. Memberikan pengertian</v>
      </c>
      <c r="L45" s="158" t="str">
        <f>IFERROR(__xludf.DUMMYFUNCTION("""COMPUTED_VALUE"""),"A. Intensif (tahfizh, sekolah Islam)")</f>
        <v>A. Intensif (tahfizh, sekolah Islam)</v>
      </c>
      <c r="M45" s="158" t="str">
        <f>IFERROR(__xludf.DUMMYFUNCTION("""COMPUTED_VALUE"""),"A. Yakin")</f>
        <v>A. Yakin</v>
      </c>
      <c r="N45" s="158" t="str">
        <f>IFERROR(__xludf.DUMMYFUNCTION("""COMPUTED_VALUE"""),"A. Sangat penting")</f>
        <v>A. Sangat penting</v>
      </c>
      <c r="O45" s="158" t="str">
        <f>IFERROR(__xludf.DUMMYFUNCTION("""COMPUTED_VALUE"""),"A. Berkala")</f>
        <v>A. Berkala</v>
      </c>
      <c r="P45" s="158" t="str">
        <f>IFERROR(__xludf.DUMMYFUNCTION("""COMPUTED_VALUE"""),"A. Klarifikasi &amp; beri semangat pada anak")</f>
        <v>A. Klarifikasi &amp; beri semangat pada anak</v>
      </c>
      <c r="Q45" s="158" t="str">
        <f>IFERROR(__xludf.DUMMYFUNCTION("""COMPUTED_VALUE"""),"A. Menerima sebagai konsekuensi (selama bimbingan sudah maksimal)")</f>
        <v>A. Menerima sebagai konsekuensi (selama bimbingan sudah maksimal)</v>
      </c>
      <c r="R45" s="35" t="str">
        <f>IFERROR(__xludf.DUMMYFUNCTION("""COMPUTED_VALUE"""),"tekun, sulit bangun subuh, agak baperan")</f>
        <v>tekun, sulit bangun subuh, agak baperan</v>
      </c>
      <c r="S45" s="35" t="str">
        <f>IFERROR(__xludf.DUMMYFUNCTION("""COMPUTED_VALUE"""),"Sudah")</f>
        <v>Sudah</v>
      </c>
      <c r="T45" s="35" t="str">
        <f>IFERROR(__xludf.DUMMYFUNCTION("""COMPUTED_VALUE"""),"Diterima")</f>
        <v>Diterima</v>
      </c>
      <c r="U45" s="35" t="str">
        <f>IFERROR(__xludf.DUMMYFUNCTION("""COMPUTED_VALUE"""),"Abah")</f>
        <v>Abah</v>
      </c>
      <c r="V45" s="71"/>
    </row>
    <row r="46">
      <c r="A46" s="153">
        <f>IFERROR(__xludf.DUMMYFUNCTION("""COMPUTED_VALUE"""),45928.382624571765)</f>
        <v>45928.38262</v>
      </c>
      <c r="B46" s="71" t="str">
        <f>IFERROR(__xludf.DUMMYFUNCTION("""COMPUTED_VALUE"""),"Azka Khairul Ichsan Hasugian")</f>
        <v>Azka Khairul Ichsan Hasugian</v>
      </c>
      <c r="C46" s="71" t="str">
        <f>IFERROR(__xludf.DUMMYFUNCTION("""COMPUTED_VALUE"""),"Habibono hasugian")</f>
        <v>Habibono hasugian</v>
      </c>
      <c r="D46" s="71" t="str">
        <f>IFERROR(__xludf.DUMMYFUNCTION("""COMPUTED_VALUE"""),"MTs Putra")</f>
        <v>MTs Putra</v>
      </c>
      <c r="E46" s="71" t="str">
        <f>IFERROR(__xludf.DUMMYFUNCTION("""COMPUTED_VALUE"""),"A250033")</f>
        <v>A250033</v>
      </c>
      <c r="F46" s="71" t="str">
        <f>IFERROR(__xludf.DUMMYFUNCTION("""COMPUTED_VALUE"""),"Dr ponakan info puas")</f>
        <v>Dr ponakan info puas</v>
      </c>
      <c r="G46" s="71" t="str">
        <f>IFERROR(__xludf.DUMMYFUNCTION("""COMPUTED_VALUE"""),"Baru")</f>
        <v>Baru</v>
      </c>
      <c r="H46" s="158" t="str">
        <f>IFERROR(__xludf.DUMMYFUNCTION("""COMPUTED_VALUE"""),"A. Condong ke orientasi akhirat/agama")</f>
        <v>A. Condong ke orientasi akhirat/agama</v>
      </c>
      <c r="I46" s="158" t="str">
        <f>IFERROR(__xludf.DUMMYFUNCTION("""COMPUTED_VALUE"""),"A. Pilihan utama untuk agama, akhlak, dan karakter")</f>
        <v>A. Pilihan utama untuk agama, akhlak, dan karakter</v>
      </c>
      <c r="J46" s="158" t="str">
        <f>IFERROR(__xludf.DUMMYFUNCTION("""COMPUTED_VALUE"""),"A. Orang tua &amp; anak")</f>
        <v>A. Orang tua &amp; anak</v>
      </c>
      <c r="K46" s="158" t="str">
        <f>IFERROR(__xludf.DUMMYFUNCTION("""COMPUTED_VALUE"""),"A. Memberikan pengertian")</f>
        <v>A. Memberikan pengertian</v>
      </c>
      <c r="L46" s="158" t="str">
        <f>IFERROR(__xludf.DUMMYFUNCTION("""COMPUTED_VALUE"""),"A. Intensif (tahfizh, sekolah Islam)")</f>
        <v>A. Intensif (tahfizh, sekolah Islam)</v>
      </c>
      <c r="M46" s="158" t="str">
        <f>IFERROR(__xludf.DUMMYFUNCTION("""COMPUTED_VALUE"""),"A. Yakin")</f>
        <v>A. Yakin</v>
      </c>
      <c r="N46" s="158" t="str">
        <f>IFERROR(__xludf.DUMMYFUNCTION("""COMPUTED_VALUE"""),"A. Sangat penting")</f>
        <v>A. Sangat penting</v>
      </c>
      <c r="O46" s="158" t="str">
        <f>IFERROR(__xludf.DUMMYFUNCTION("""COMPUTED_VALUE"""),"A. Berkala")</f>
        <v>A. Berkala</v>
      </c>
      <c r="P46" s="158" t="str">
        <f>IFERROR(__xludf.DUMMYFUNCTION("""COMPUTED_VALUE"""),"A. Klarifikasi &amp; beri semangat pada anak")</f>
        <v>A. Klarifikasi &amp; beri semangat pada anak</v>
      </c>
      <c r="Q46" s="158" t="str">
        <f>IFERROR(__xludf.DUMMYFUNCTION("""COMPUTED_VALUE"""),"A. Menerima sebagai konsekuensi (selama bimbingan sudah maksimal)")</f>
        <v>A. Menerima sebagai konsekuensi (selama bimbingan sudah maksimal)</v>
      </c>
      <c r="R46" s="35" t="str">
        <f>IFERROR(__xludf.DUMMYFUNCTION("""COMPUTED_VALUE"""),"Aktf dan peka, blm mandiri")</f>
        <v>Aktf dan peka, blm mandiri</v>
      </c>
      <c r="S46" s="35" t="str">
        <f>IFERROR(__xludf.DUMMYFUNCTION("""COMPUTED_VALUE"""),"Sudah")</f>
        <v>Sudah</v>
      </c>
      <c r="T46" s="35" t="str">
        <f>IFERROR(__xludf.DUMMYFUNCTION("""COMPUTED_VALUE"""),"Diterima")</f>
        <v>Diterima</v>
      </c>
      <c r="U46" s="35" t="str">
        <f>IFERROR(__xludf.DUMMYFUNCTION("""COMPUTED_VALUE"""),"Syarif")</f>
        <v>Syarif</v>
      </c>
      <c r="V46" s="71"/>
    </row>
    <row r="47">
      <c r="A47" s="153">
        <f>IFERROR(__xludf.DUMMYFUNCTION("""COMPUTED_VALUE"""),45928.5704540625)</f>
        <v>45928.57045</v>
      </c>
      <c r="B47" s="71" t="str">
        <f>IFERROR(__xludf.DUMMYFUNCTION("""COMPUTED_VALUE"""),"Muhammad Hilmy Ilyasa Rizal")</f>
        <v>Muhammad Hilmy Ilyasa Rizal</v>
      </c>
      <c r="C47" s="71" t="str">
        <f>IFERROR(__xludf.DUMMYFUNCTION("""COMPUTED_VALUE"""),"Yurizal")</f>
        <v>Yurizal</v>
      </c>
      <c r="D47" s="71" t="str">
        <f>IFERROR(__xludf.DUMMYFUNCTION("""COMPUTED_VALUE"""),"MTs Putra")</f>
        <v>MTs Putra</v>
      </c>
      <c r="E47" s="71" t="str">
        <f>IFERROR(__xludf.DUMMYFUNCTION("""COMPUTED_VALUE"""),"A250014")</f>
        <v>A250014</v>
      </c>
      <c r="F47" s="71" t="str">
        <f>IFERROR(__xludf.DUMMYFUNCTION("""COMPUTED_VALUE"""),"Tmn fullday darul Ilmi Citayam ")</f>
        <v>Tmn fullday darul Ilmi Citayam </v>
      </c>
      <c r="G47" s="71" t="str">
        <f>IFERROR(__xludf.DUMMYFUNCTION("""COMPUTED_VALUE"""),"Baru")</f>
        <v>Baru</v>
      </c>
      <c r="H47" s="158" t="str">
        <f>IFERROR(__xludf.DUMMYFUNCTION("""COMPUTED_VALUE"""),"A. Condong ke orientasi akhirat/agama")</f>
        <v>A. Condong ke orientasi akhirat/agama</v>
      </c>
      <c r="I47" s="158" t="str">
        <f>IFERROR(__xludf.DUMMYFUNCTION("""COMPUTED_VALUE"""),"A. Pilihan utama untuk agama, akhlak, dan karakter")</f>
        <v>A. Pilihan utama untuk agama, akhlak, dan karakter</v>
      </c>
      <c r="J47" s="158" t="str">
        <f>IFERROR(__xludf.DUMMYFUNCTION("""COMPUTED_VALUE"""),"B. Anak")</f>
        <v>B. Anak</v>
      </c>
      <c r="K47" s="158" t="str">
        <f>IFERROR(__xludf.DUMMYFUNCTION("""COMPUTED_VALUE"""),"A. Memberikan pengertian")</f>
        <v>A. Memberikan pengertian</v>
      </c>
      <c r="L47" s="158" t="str">
        <f>IFERROR(__xludf.DUMMYFUNCTION("""COMPUTED_VALUE"""),"A. Intensif (tahfizh, sekolah Islam)")</f>
        <v>A. Intensif (tahfizh, sekolah Islam)</v>
      </c>
      <c r="M47" s="158" t="str">
        <f>IFERROR(__xludf.DUMMYFUNCTION("""COMPUTED_VALUE"""),"A. Yakin")</f>
        <v>A. Yakin</v>
      </c>
      <c r="N47" s="158" t="str">
        <f>IFERROR(__xludf.DUMMYFUNCTION("""COMPUTED_VALUE"""),"A. Sangat penting")</f>
        <v>A. Sangat penting</v>
      </c>
      <c r="O47" s="158" t="str">
        <f>IFERROR(__xludf.DUMMYFUNCTION("""COMPUTED_VALUE"""),"A. Berkala")</f>
        <v>A. Berkala</v>
      </c>
      <c r="P47" s="158" t="str">
        <f>IFERROR(__xludf.DUMMYFUNCTION("""COMPUTED_VALUE"""),"A. Klarifikasi &amp; beri semangat pada anak")</f>
        <v>A. Klarifikasi &amp; beri semangat pada anak</v>
      </c>
      <c r="Q47" s="158" t="str">
        <f>IFERROR(__xludf.DUMMYFUNCTION("""COMPUTED_VALUE"""),"A. Menerima sebagai konsekuensi (selama bimbingan sudah maksimal)")</f>
        <v>A. Menerima sebagai konsekuensi (selama bimbingan sudah maksimal)</v>
      </c>
      <c r="R47" s="35" t="str">
        <f>IFERROR(__xludf.DUMMYFUNCTION("""COMPUTED_VALUE"""),"Care, main lupa wkt pulg. Mandiri")</f>
        <v>Care, main lupa wkt pulg. Mandiri</v>
      </c>
      <c r="S47" s="35" t="str">
        <f>IFERROR(__xludf.DUMMYFUNCTION("""COMPUTED_VALUE"""),"Sudah")</f>
        <v>Sudah</v>
      </c>
      <c r="T47" s="35" t="str">
        <f>IFERROR(__xludf.DUMMYFUNCTION("""COMPUTED_VALUE"""),"Diterima")</f>
        <v>Diterima</v>
      </c>
      <c r="U47" s="35" t="str">
        <f>IFERROR(__xludf.DUMMYFUNCTION("""COMPUTED_VALUE"""),"Syarif")</f>
        <v>Syarif</v>
      </c>
      <c r="V47" s="71" t="str">
        <f>IFERROR(__xludf.DUMMYFUNCTION("""COMPUTED_VALUE"""),"Insyllah.")</f>
        <v>Insyllah.</v>
      </c>
    </row>
    <row r="48">
      <c r="A48" s="153">
        <f>IFERROR(__xludf.DUMMYFUNCTION("""COMPUTED_VALUE"""),45929.662957106484)</f>
        <v>45929.66296</v>
      </c>
      <c r="B48" s="71" t="str">
        <f>IFERROR(__xludf.DUMMYFUNCTION("""COMPUTED_VALUE"""),"Maryam Al kayyisah")</f>
        <v>Maryam Al kayyisah</v>
      </c>
      <c r="C48" s="71" t="str">
        <f>IFERROR(__xludf.DUMMYFUNCTION("""COMPUTED_VALUE"""),"Ali nur Moko ")</f>
        <v>Ali nur Moko </v>
      </c>
      <c r="D48" s="71" t="str">
        <f>IFERROR(__xludf.DUMMYFUNCTION("""COMPUTED_VALUE"""),"MTs Putri")</f>
        <v>MTs Putri</v>
      </c>
      <c r="E48" s="71" t="str">
        <f>IFERROR(__xludf.DUMMYFUNCTION("""COMPUTED_VALUE"""),"D250019")</f>
        <v>D250019</v>
      </c>
      <c r="F48" s="71" t="str">
        <f>IFERROR(__xludf.DUMMYFUNCTION("""COMPUTED_VALUE"""),"Teman dan medsos")</f>
        <v>Teman dan medsos</v>
      </c>
      <c r="G48" s="71" t="str">
        <f>IFERROR(__xludf.DUMMYFUNCTION("""COMPUTED_VALUE"""),"Memiliki teman/rekan/tetangga di PUAS")</f>
        <v>Memiliki teman/rekan/tetangga di PUAS</v>
      </c>
      <c r="H48" s="158" t="str">
        <f>IFERROR(__xludf.DUMMYFUNCTION("""COMPUTED_VALUE"""),"A. Condong ke orientasi akhirat/agama")</f>
        <v>A. Condong ke orientasi akhirat/agama</v>
      </c>
      <c r="I48" s="158" t="str">
        <f>IFERROR(__xludf.DUMMYFUNCTION("""COMPUTED_VALUE"""),"A. Pilihan utama untuk agama, akhlak, dan karakter")</f>
        <v>A. Pilihan utama untuk agama, akhlak, dan karakter</v>
      </c>
      <c r="J48" s="158" t="str">
        <f>IFERROR(__xludf.DUMMYFUNCTION("""COMPUTED_VALUE"""),"C. Orang tua / ikut teman")</f>
        <v>C. Orang tua / ikut teman</v>
      </c>
      <c r="K48" s="158" t="str">
        <f>IFERROR(__xludf.DUMMYFUNCTION("""COMPUTED_VALUE"""),"A. Memberikan pengertian")</f>
        <v>A. Memberikan pengertian</v>
      </c>
      <c r="L48" s="158" t="str">
        <f>IFERROR(__xludf.DUMMYFUNCTION("""COMPUTED_VALUE"""),"A. Intensif (tahfizh, sekolah Islam)")</f>
        <v>A. Intensif (tahfizh, sekolah Islam)</v>
      </c>
      <c r="M48" s="158" t="str">
        <f>IFERROR(__xludf.DUMMYFUNCTION("""COMPUTED_VALUE"""),"A. Yakin")</f>
        <v>A. Yakin</v>
      </c>
      <c r="N48" s="158" t="str">
        <f>IFERROR(__xludf.DUMMYFUNCTION("""COMPUTED_VALUE"""),"A. Sangat penting")</f>
        <v>A. Sangat penting</v>
      </c>
      <c r="O48" s="158" t="str">
        <f>IFERROR(__xludf.DUMMYFUNCTION("""COMPUTED_VALUE"""),"A. Berkala")</f>
        <v>A. Berkala</v>
      </c>
      <c r="P48" s="158" t="str">
        <f>IFERROR(__xludf.DUMMYFUNCTION("""COMPUTED_VALUE"""),"B. Serahkan ke pesantren")</f>
        <v>B. Serahkan ke pesantren</v>
      </c>
      <c r="Q48" s="158" t="str">
        <f>IFERROR(__xludf.DUMMYFUNCTION("""COMPUTED_VALUE"""),"A. Menerima sebagai konsekuensi (selama bimbingan sudah maksimal)")</f>
        <v>A. Menerima sebagai konsekuensi (selama bimbingan sudah maksimal)</v>
      </c>
      <c r="R48" s="35" t="str">
        <f>IFERROR(__xludf.DUMMYFUNCTION("""COMPUTED_VALUE"""),"Negatif: tdk suka keramaian, plegmstis, 
Positif: mengontrol diri, mandiri, menabung.")</f>
        <v>Negatif: tdk suka keramaian, plegmstis, 
Positif: mengontrol diri, mandiri, menabung.</v>
      </c>
      <c r="S48" s="35" t="str">
        <f>IFERROR(__xludf.DUMMYFUNCTION("""COMPUTED_VALUE"""),"Sudah")</f>
        <v>Sudah</v>
      </c>
      <c r="T48" s="35" t="str">
        <f>IFERROR(__xludf.DUMMYFUNCTION("""COMPUTED_VALUE"""),"Diterima")</f>
        <v>Diterima</v>
      </c>
      <c r="U48" s="35" t="str">
        <f>IFERROR(__xludf.DUMMYFUNCTION("""COMPUTED_VALUE"""),"Bachtiar")</f>
        <v>Bachtiar</v>
      </c>
      <c r="V48" s="71" t="str">
        <f>IFERROR(__xludf.DUMMYFUNCTION("""COMPUTED_VALUE"""),"Lanjut")</f>
        <v>Lanjut</v>
      </c>
    </row>
    <row r="49">
      <c r="A49" s="153">
        <f>IFERROR(__xludf.DUMMYFUNCTION("""COMPUTED_VALUE"""),45929.684806087964)</f>
        <v>45929.68481</v>
      </c>
      <c r="B49" s="71" t="str">
        <f>IFERROR(__xludf.DUMMYFUNCTION("""COMPUTED_VALUE"""),"Hana Dwi Rinjani")</f>
        <v>Hana Dwi Rinjani</v>
      </c>
      <c r="C49" s="71" t="str">
        <f>IFERROR(__xludf.DUMMYFUNCTION("""COMPUTED_VALUE"""),"Eko kusysnto")</f>
        <v>Eko kusysnto</v>
      </c>
      <c r="D49" s="71" t="str">
        <f>IFERROR(__xludf.DUMMYFUNCTION("""COMPUTED_VALUE"""),"MTs Putri")</f>
        <v>MTs Putri</v>
      </c>
      <c r="E49" s="71" t="str">
        <f>IFERROR(__xludf.DUMMYFUNCTION("""COMPUTED_VALUE"""),"D250024")</f>
        <v>D250024</v>
      </c>
      <c r="F49" s="71" t="str">
        <f>IFERROR(__xludf.DUMMYFUNCTION("""COMPUTED_VALUE"""),"Pusat")</f>
        <v>Pusat</v>
      </c>
      <c r="G49" s="71" t="str">
        <f>IFERROR(__xludf.DUMMYFUNCTION("""COMPUTED_VALUE"""),"Memiliki keluarga/saudara/kerabat di PUAS")</f>
        <v>Memiliki keluarga/saudara/kerabat di PUAS</v>
      </c>
      <c r="H49" s="158" t="str">
        <f>IFERROR(__xludf.DUMMYFUNCTION("""COMPUTED_VALUE"""),"A. Condong ke orientasi akhirat/agama")</f>
        <v>A. Condong ke orientasi akhirat/agama</v>
      </c>
      <c r="I49" s="158" t="str">
        <f>IFERROR(__xludf.DUMMYFUNCTION("""COMPUTED_VALUE"""),"A. Pilihan utama untuk agama, akhlak, dan karakter")</f>
        <v>A. Pilihan utama untuk agama, akhlak, dan karakter</v>
      </c>
      <c r="J49" s="158" t="str">
        <f>IFERROR(__xludf.DUMMYFUNCTION("""COMPUTED_VALUE"""),"A. Orang tua &amp; anak")</f>
        <v>A. Orang tua &amp; anak</v>
      </c>
      <c r="K49" s="158" t="str">
        <f>IFERROR(__xludf.DUMMYFUNCTION("""COMPUTED_VALUE"""),"A. Memberikan pengertian")</f>
        <v>A. Memberikan pengertian</v>
      </c>
      <c r="L49" s="158" t="str">
        <f>IFERROR(__xludf.DUMMYFUNCTION("""COMPUTED_VALUE"""),"A. Intensif (tahfizh, sekolah Islam)")</f>
        <v>A. Intensif (tahfizh, sekolah Islam)</v>
      </c>
      <c r="M49" s="158" t="str">
        <f>IFERROR(__xludf.DUMMYFUNCTION("""COMPUTED_VALUE"""),"A. Yakin")</f>
        <v>A. Yakin</v>
      </c>
      <c r="N49" s="158" t="str">
        <f>IFERROR(__xludf.DUMMYFUNCTION("""COMPUTED_VALUE"""),"A. Sangat penting")</f>
        <v>A. Sangat penting</v>
      </c>
      <c r="O49" s="158" t="str">
        <f>IFERROR(__xludf.DUMMYFUNCTION("""COMPUTED_VALUE"""),"C. Sesempatnya saja")</f>
        <v>C. Sesempatnya saja</v>
      </c>
      <c r="P49" s="158" t="str">
        <f>IFERROR(__xludf.DUMMYFUNCTION("""COMPUTED_VALUE"""),"A. Klarifikasi &amp; beri semangat pada anak")</f>
        <v>A. Klarifikasi &amp; beri semangat pada anak</v>
      </c>
      <c r="Q49" s="158" t="str">
        <f>IFERROR(__xludf.DUMMYFUNCTION("""COMPUTED_VALUE"""),"A. Menerima sebagai konsekuensi (selama bimbingan sudah maksimal)")</f>
        <v>A. Menerima sebagai konsekuensi (selama bimbingan sudah maksimal)</v>
      </c>
      <c r="R49" s="35" t="str">
        <f>IFERROR(__xludf.DUMMYFUNCTION("""COMPUTED_VALUE"""),"Kekurangan : agak selebor
Kelebihan :katanya punya prestasi disekolah, suka bantu² orangtua ")</f>
        <v>Kekurangan : agak selebor
Kelebihan :katanya punya prestasi disekolah, suka bantu² orangtua </v>
      </c>
      <c r="S49" s="35" t="str">
        <f>IFERROR(__xludf.DUMMYFUNCTION("""COMPUTED_VALUE"""),"Sudah")</f>
        <v>Sudah</v>
      </c>
      <c r="T49" s="35" t="str">
        <f>IFERROR(__xludf.DUMMYFUNCTION("""COMPUTED_VALUE"""),"Diterima")</f>
        <v>Diterima</v>
      </c>
      <c r="U49" s="35" t="str">
        <f>IFERROR(__xludf.DUMMYFUNCTION("""COMPUTED_VALUE"""),"Bachtiar")</f>
        <v>Bachtiar</v>
      </c>
      <c r="V49" s="71"/>
    </row>
    <row r="50">
      <c r="A50" s="153">
        <f>IFERROR(__xludf.DUMMYFUNCTION("""COMPUTED_VALUE"""),45930.63533268518)</f>
        <v>45930.63533</v>
      </c>
      <c r="B50" s="71" t="str">
        <f>IFERROR(__xludf.DUMMYFUNCTION("""COMPUTED_VALUE"""),"Aisyah")</f>
        <v>Aisyah</v>
      </c>
      <c r="C50" s="71" t="str">
        <f>IFERROR(__xludf.DUMMYFUNCTION("""COMPUTED_VALUE"""),"M. Bachtiar")</f>
        <v>M. Bachtiar</v>
      </c>
      <c r="D50" s="71" t="str">
        <f>IFERROR(__xludf.DUMMYFUNCTION("""COMPUTED_VALUE"""),"MTs Putri")</f>
        <v>MTs Putri</v>
      </c>
      <c r="E50" s="71" t="str">
        <f>IFERROR(__xludf.DUMMYFUNCTION("""COMPUTED_VALUE"""),"D250005")</f>
        <v>D250005</v>
      </c>
      <c r="F50" s="71" t="str">
        <f>IFERROR(__xludf.DUMMYFUNCTION("""COMPUTED_VALUE"""),"Abinya")</f>
        <v>Abinya</v>
      </c>
      <c r="G50" s="71" t="str">
        <f>IFERROR(__xludf.DUMMYFUNCTION("""COMPUTED_VALUE"""),"Memiliki keluarga/saudara/kerabat di PUAS")</f>
        <v>Memiliki keluarga/saudara/kerabat di PUAS</v>
      </c>
      <c r="H50" s="158" t="str">
        <f>IFERROR(__xludf.DUMMYFUNCTION("""COMPUTED_VALUE"""),"A. Condong ke orientasi akhirat/agama")</f>
        <v>A. Condong ke orientasi akhirat/agama</v>
      </c>
      <c r="I50" s="158" t="str">
        <f>IFERROR(__xludf.DUMMYFUNCTION("""COMPUTED_VALUE"""),"A. Pilihan utama untuk agama, akhlak, dan karakter")</f>
        <v>A. Pilihan utama untuk agama, akhlak, dan karakter</v>
      </c>
      <c r="J50" s="158" t="str">
        <f>IFERROR(__xludf.DUMMYFUNCTION("""COMPUTED_VALUE"""),"B. Anak")</f>
        <v>B. Anak</v>
      </c>
      <c r="K50" s="158" t="str">
        <f>IFERROR(__xludf.DUMMYFUNCTION("""COMPUTED_VALUE"""),"A. Memberikan pengertian")</f>
        <v>A. Memberikan pengertian</v>
      </c>
      <c r="L50" s="158" t="str">
        <f>IFERROR(__xludf.DUMMYFUNCTION("""COMPUTED_VALUE"""),"B. Non intensif (swasta biasa)")</f>
        <v>B. Non intensif (swasta biasa)</v>
      </c>
      <c r="M50" s="158" t="str">
        <f>IFERROR(__xludf.DUMMYFUNCTION("""COMPUTED_VALUE"""),"A. Yakin")</f>
        <v>A. Yakin</v>
      </c>
      <c r="N50" s="158" t="str">
        <f>IFERROR(__xludf.DUMMYFUNCTION("""COMPUTED_VALUE"""),"A. Sangat penting")</f>
        <v>A. Sangat penting</v>
      </c>
      <c r="O50" s="158" t="str">
        <f>IFERROR(__xludf.DUMMYFUNCTION("""COMPUTED_VALUE"""),"A. Berkala")</f>
        <v>A. Berkala</v>
      </c>
      <c r="P50" s="158" t="str">
        <f>IFERROR(__xludf.DUMMYFUNCTION("""COMPUTED_VALUE"""),"A. Klarifikasi &amp; beri semangat pada anak")</f>
        <v>A. Klarifikasi &amp; beri semangat pada anak</v>
      </c>
      <c r="Q50" s="158" t="str">
        <f>IFERROR(__xludf.DUMMYFUNCTION("""COMPUTED_VALUE"""),"A. Menerima sebagai konsekuensi (selama bimbingan sudah maksimal)")</f>
        <v>A. Menerima sebagai konsekuensi (selama bimbingan sudah maksimal)</v>
      </c>
      <c r="R50" s="35" t="str">
        <f>IFERROR(__xludf.DUMMYFUNCTION("""COMPUTED_VALUE"""),"Kelebihannya : mandiri, ga manja, bisa beradaptasi 
Kekurangannya : pemalu ")</f>
        <v>Kelebihannya : mandiri, ga manja, bisa beradaptasi 
Kekurangannya : pemalu </v>
      </c>
      <c r="S50" s="35" t="str">
        <f>IFERROR(__xludf.DUMMYFUNCTION("""COMPUTED_VALUE"""),"Sudah")</f>
        <v>Sudah</v>
      </c>
      <c r="T50" s="35" t="str">
        <f>IFERROR(__xludf.DUMMYFUNCTION("""COMPUTED_VALUE"""),"Diterima")</f>
        <v>Diterima</v>
      </c>
      <c r="U50" s="35" t="str">
        <f>IFERROR(__xludf.DUMMYFUNCTION("""COMPUTED_VALUE"""),"Bachtiar")</f>
        <v>Bachtiar</v>
      </c>
      <c r="V50" s="71" t="str">
        <f>IFERROR(__xludf.DUMMYFUNCTION("""COMPUTED_VALUE"""),"Kalo bisa masuk kelas 8")</f>
        <v>Kalo bisa masuk kelas 8</v>
      </c>
    </row>
    <row r="51">
      <c r="A51" s="153">
        <f>IFERROR(__xludf.DUMMYFUNCTION("""COMPUTED_VALUE"""),45931.36618824074)</f>
        <v>45931.36619</v>
      </c>
      <c r="B51" s="71" t="str">
        <f>IFERROR(__xludf.DUMMYFUNCTION("""COMPUTED_VALUE"""),"Satria Panca Desmara")</f>
        <v>Satria Panca Desmara</v>
      </c>
      <c r="C51" s="71" t="str">
        <f>IFERROR(__xludf.DUMMYFUNCTION("""COMPUTED_VALUE"""),"Ali Muhmmad")</f>
        <v>Ali Muhmmad</v>
      </c>
      <c r="D51" s="71" t="str">
        <f>IFERROR(__xludf.DUMMYFUNCTION("""COMPUTED_VALUE"""),"MTs Putra")</f>
        <v>MTs Putra</v>
      </c>
      <c r="E51" s="71" t="str">
        <f>IFERROR(__xludf.DUMMYFUNCTION("""COMPUTED_VALUE"""),"A250028")</f>
        <v>A250028</v>
      </c>
      <c r="F51" s="71" t="str">
        <f>IFERROR(__xludf.DUMMYFUNCTION("""COMPUTED_VALUE"""),"FB")</f>
        <v>FB</v>
      </c>
      <c r="G51" s="71" t="str">
        <f>IFERROR(__xludf.DUMMYFUNCTION("""COMPUTED_VALUE"""),"Baru")</f>
        <v>Baru</v>
      </c>
      <c r="H51" s="158" t="str">
        <f>IFERROR(__xludf.DUMMYFUNCTION("""COMPUTED_VALUE"""),"A. Condong ke orientasi akhirat/agama")</f>
        <v>A. Condong ke orientasi akhirat/agama</v>
      </c>
      <c r="I51" s="158" t="str">
        <f>IFERROR(__xludf.DUMMYFUNCTION("""COMPUTED_VALUE"""),"A. Pilihan utama untuk agama, akhlak, dan karakter")</f>
        <v>A. Pilihan utama untuk agama, akhlak, dan karakter</v>
      </c>
      <c r="J51" s="158" t="str">
        <f>IFERROR(__xludf.DUMMYFUNCTION("""COMPUTED_VALUE"""),"A. Orang tua &amp; anak")</f>
        <v>A. Orang tua &amp; anak</v>
      </c>
      <c r="K51" s="158" t="str">
        <f>IFERROR(__xludf.DUMMYFUNCTION("""COMPUTED_VALUE"""),"A. Memberikan pengertian")</f>
        <v>A. Memberikan pengertian</v>
      </c>
      <c r="L51" s="158" t="str">
        <f>IFERROR(__xludf.DUMMYFUNCTION("""COMPUTED_VALUE"""),"A. Intensif (tahfizh, sekolah Islam)")</f>
        <v>A. Intensif (tahfizh, sekolah Islam)</v>
      </c>
      <c r="M51" s="158" t="str">
        <f>IFERROR(__xludf.DUMMYFUNCTION("""COMPUTED_VALUE"""),"A. Yakin")</f>
        <v>A. Yakin</v>
      </c>
      <c r="N51" s="158" t="str">
        <f>IFERROR(__xludf.DUMMYFUNCTION("""COMPUTED_VALUE"""),"A. Sangat penting")</f>
        <v>A. Sangat penting</v>
      </c>
      <c r="O51" s="158" t="str">
        <f>IFERROR(__xludf.DUMMYFUNCTION("""COMPUTED_VALUE"""),"A. Berkala")</f>
        <v>A. Berkala</v>
      </c>
      <c r="P51" s="158" t="str">
        <f>IFERROR(__xludf.DUMMYFUNCTION("""COMPUTED_VALUE"""),"A. Klarifikasi &amp; beri semangat pada anak")</f>
        <v>A. Klarifikasi &amp; beri semangat pada anak</v>
      </c>
      <c r="Q51" s="158" t="str">
        <f>IFERROR(__xludf.DUMMYFUNCTION("""COMPUTED_VALUE"""),"A. Menerima sebagai konsekuensi (selama bimbingan sudah maksimal)")</f>
        <v>A. Menerima sebagai konsekuensi (selama bimbingan sudah maksimal)</v>
      </c>
      <c r="R51" s="35" t="str">
        <f>IFERROR(__xludf.DUMMYFUNCTION("""COMPUTED_VALUE"""),"Positif: penurut, tidak egois, hafalan cepat. negatif: belikan, perasaan")</f>
        <v>Positif: penurut, tidak egois, hafalan cepat. negatif: belikan, perasaan</v>
      </c>
      <c r="S51" s="35" t="str">
        <f>IFERROR(__xludf.DUMMYFUNCTION("""COMPUTED_VALUE"""),"Sudah")</f>
        <v>Sudah</v>
      </c>
      <c r="T51" s="35" t="str">
        <f>IFERROR(__xludf.DUMMYFUNCTION("""COMPUTED_VALUE"""),"Diterima")</f>
        <v>Diterima</v>
      </c>
      <c r="U51" s="35" t="str">
        <f>IFERROR(__xludf.DUMMYFUNCTION("""COMPUTED_VALUE"""),"Teguh")</f>
        <v>Teguh</v>
      </c>
      <c r="V51" s="71" t="str">
        <f>IFERROR(__xludf.DUMMYFUNCTION("""COMPUTED_VALUE"""),"diterima")</f>
        <v>diterima</v>
      </c>
    </row>
    <row r="52">
      <c r="A52" s="153">
        <f>IFERROR(__xludf.DUMMYFUNCTION("""COMPUTED_VALUE"""),45931.42598482639)</f>
        <v>45931.42598</v>
      </c>
      <c r="B52" s="71" t="str">
        <f>IFERROR(__xludf.DUMMYFUNCTION("""COMPUTED_VALUE"""),"Muhammad Asyam ")</f>
        <v>Muhammad Asyam </v>
      </c>
      <c r="C52" s="71" t="str">
        <f>IFERROR(__xludf.DUMMYFUNCTION("""COMPUTED_VALUE"""),"Muhammad Abdul Wahab")</f>
        <v>Muhammad Abdul Wahab</v>
      </c>
      <c r="D52" s="71" t="str">
        <f>IFERROR(__xludf.DUMMYFUNCTION("""COMPUTED_VALUE"""),"MTs Putra")</f>
        <v>MTs Putra</v>
      </c>
      <c r="E52" s="71" t="str">
        <f>IFERROR(__xludf.DUMMYFUNCTION("""COMPUTED_VALUE"""),"A250010")</f>
        <v>A250010</v>
      </c>
      <c r="F52" s="71" t="str">
        <f>IFERROR(__xludf.DUMMYFUNCTION("""COMPUTED_VALUE"""),"temen")</f>
        <v>temen</v>
      </c>
      <c r="G52" s="71" t="str">
        <f>IFERROR(__xludf.DUMMYFUNCTION("""COMPUTED_VALUE"""),"Baru")</f>
        <v>Baru</v>
      </c>
      <c r="H52" s="158" t="str">
        <f>IFERROR(__xludf.DUMMYFUNCTION("""COMPUTED_VALUE"""),"A. Condong ke orientasi akhirat/agama")</f>
        <v>A. Condong ke orientasi akhirat/agama</v>
      </c>
      <c r="I52" s="158" t="str">
        <f>IFERROR(__xludf.DUMMYFUNCTION("""COMPUTED_VALUE"""),"B. Pilihan utama untuk akhlak")</f>
        <v>B. Pilihan utama untuk akhlak</v>
      </c>
      <c r="J52" s="158" t="str">
        <f>IFERROR(__xludf.DUMMYFUNCTION("""COMPUTED_VALUE"""),"A. Orang tua &amp; anak")</f>
        <v>A. Orang tua &amp; anak</v>
      </c>
      <c r="K52" s="158" t="str">
        <f>IFERROR(__xludf.DUMMYFUNCTION("""COMPUTED_VALUE"""),"A. Memberikan pengertian")</f>
        <v>A. Memberikan pengertian</v>
      </c>
      <c r="L52" s="158" t="str">
        <f>IFERROR(__xludf.DUMMYFUNCTION("""COMPUTED_VALUE"""),"A. Intensif (tahfizh, sekolah Islam)")</f>
        <v>A. Intensif (tahfizh, sekolah Islam)</v>
      </c>
      <c r="M52" s="158" t="str">
        <f>IFERROR(__xludf.DUMMYFUNCTION("""COMPUTED_VALUE"""),"A. Yakin")</f>
        <v>A. Yakin</v>
      </c>
      <c r="N52" s="158" t="str">
        <f>IFERROR(__xludf.DUMMYFUNCTION("""COMPUTED_VALUE"""),"A. Sangat penting")</f>
        <v>A. Sangat penting</v>
      </c>
      <c r="O52" s="158" t="str">
        <f>IFERROR(__xludf.DUMMYFUNCTION("""COMPUTED_VALUE"""),"B. Tidak menjenguk karena jauh")</f>
        <v>B. Tidak menjenguk karena jauh</v>
      </c>
      <c r="P52" s="158" t="str">
        <f>IFERROR(__xludf.DUMMYFUNCTION("""COMPUTED_VALUE"""),"A. Klarifikasi &amp; beri semangat pada anak")</f>
        <v>A. Klarifikasi &amp; beri semangat pada anak</v>
      </c>
      <c r="Q52" s="158" t="str">
        <f>IFERROR(__xludf.DUMMYFUNCTION("""COMPUTED_VALUE"""),"A. Menerima sebagai konsekuensi (selama bimbingan sudah maksimal)")</f>
        <v>A. Menerima sebagai konsekuensi (selama bimbingan sudah maksimal)</v>
      </c>
      <c r="R52" s="35" t="str">
        <f>IFERROR(__xludf.DUMMYFUNCTION("""COMPUTED_VALUE"""),"positif: semangat, memiliki motovasi tinggi dalam belajar. negatif: usil, cari perhatian (kalo di rumah), lebih suka mengatur")</f>
        <v>positif: semangat, memiliki motovasi tinggi dalam belajar. negatif: usil, cari perhatian (kalo di rumah), lebih suka mengatur</v>
      </c>
      <c r="S52" s="35" t="str">
        <f>IFERROR(__xludf.DUMMYFUNCTION("""COMPUTED_VALUE"""),"Sudah")</f>
        <v>Sudah</v>
      </c>
      <c r="T52" s="35" t="str">
        <f>IFERROR(__xludf.DUMMYFUNCTION("""COMPUTED_VALUE"""),"Diterima")</f>
        <v>Diterima</v>
      </c>
      <c r="U52" s="35" t="str">
        <f>IFERROR(__xludf.DUMMYFUNCTION("""COMPUTED_VALUE"""),"Teguh")</f>
        <v>Teguh</v>
      </c>
      <c r="V52" s="71" t="str">
        <f>IFERROR(__xludf.DUMMYFUNCTION("""COMPUTED_VALUE"""),"Ananda tipikal suka menguasasi atau mendominasi. dari kalimantan. atlet panahan ")</f>
        <v>Ananda tipikal suka menguasasi atau mendominasi. dari kalimantan. atlet panahan </v>
      </c>
    </row>
    <row r="53">
      <c r="A53" s="153">
        <f>IFERROR(__xludf.DUMMYFUNCTION("""COMPUTED_VALUE"""),45931.4804371875)</f>
        <v>45931.48044</v>
      </c>
      <c r="B53" s="71" t="str">
        <f>IFERROR(__xludf.DUMMYFUNCTION("""COMPUTED_VALUE"""),"Fathi Fahlevi Fahmi")</f>
        <v>Fathi Fahlevi Fahmi</v>
      </c>
      <c r="C53" s="71" t="str">
        <f>IFERROR(__xludf.DUMMYFUNCTION("""COMPUTED_VALUE"""),"Fahmi Fathurrohman ")</f>
        <v>Fahmi Fathurrohman </v>
      </c>
      <c r="D53" s="71" t="str">
        <f>IFERROR(__xludf.DUMMYFUNCTION("""COMPUTED_VALUE"""),"MTs Putra")</f>
        <v>MTs Putra</v>
      </c>
      <c r="E53" s="71" t="str">
        <f>IFERROR(__xludf.DUMMYFUNCTION("""COMPUTED_VALUE"""),"A250011")</f>
        <v>A250011</v>
      </c>
      <c r="F53" s="71" t="str">
        <f>IFERROR(__xludf.DUMMYFUNCTION("""COMPUTED_VALUE"""),"FB")</f>
        <v>FB</v>
      </c>
      <c r="G53" s="71" t="str">
        <f>IFERROR(__xludf.DUMMYFUNCTION("""COMPUTED_VALUE"""),"Memiliki teman/rekan/tetangga di PUAS")</f>
        <v>Memiliki teman/rekan/tetangga di PUAS</v>
      </c>
      <c r="H53" s="158" t="str">
        <f>IFERROR(__xludf.DUMMYFUNCTION("""COMPUTED_VALUE"""),"A. Condong ke orientasi akhirat/agama")</f>
        <v>A. Condong ke orientasi akhirat/agama</v>
      </c>
      <c r="I53" s="158" t="str">
        <f>IFERROR(__xludf.DUMMYFUNCTION("""COMPUTED_VALUE"""),"A. Pilihan utama untuk agama, akhlak, dan karakter")</f>
        <v>A. Pilihan utama untuk agama, akhlak, dan karakter</v>
      </c>
      <c r="J53" s="158" t="str">
        <f>IFERROR(__xludf.DUMMYFUNCTION("""COMPUTED_VALUE"""),"B. Anak")</f>
        <v>B. Anak</v>
      </c>
      <c r="K53" s="158" t="str">
        <f>IFERROR(__xludf.DUMMYFUNCTION("""COMPUTED_VALUE"""),"A. Memberikan pengertian")</f>
        <v>A. Memberikan pengertian</v>
      </c>
      <c r="L53" s="158" t="str">
        <f>IFERROR(__xludf.DUMMYFUNCTION("""COMPUTED_VALUE"""),"A. Intensif (tahfizh, sekolah Islam)")</f>
        <v>A. Intensif (tahfizh, sekolah Islam)</v>
      </c>
      <c r="M53" s="158" t="str">
        <f>IFERROR(__xludf.DUMMYFUNCTION("""COMPUTED_VALUE"""),"A. Yakin")</f>
        <v>A. Yakin</v>
      </c>
      <c r="N53" s="158" t="str">
        <f>IFERROR(__xludf.DUMMYFUNCTION("""COMPUTED_VALUE"""),"A. Sangat penting")</f>
        <v>A. Sangat penting</v>
      </c>
      <c r="O53" s="158" t="str">
        <f>IFERROR(__xludf.DUMMYFUNCTION("""COMPUTED_VALUE"""),"A. Berkala")</f>
        <v>A. Berkala</v>
      </c>
      <c r="P53" s="158" t="str">
        <f>IFERROR(__xludf.DUMMYFUNCTION("""COMPUTED_VALUE"""),"A. Klarifikasi &amp; beri semangat pada anak")</f>
        <v>A. Klarifikasi &amp; beri semangat pada anak</v>
      </c>
      <c r="Q53" s="158" t="str">
        <f>IFERROR(__xludf.DUMMYFUNCTION("""COMPUTED_VALUE"""),"A. Menerima sebagai konsekuensi (selama bimbingan sudah maksimal)")</f>
        <v>A. Menerima sebagai konsekuensi (selama bimbingan sudah maksimal)</v>
      </c>
      <c r="R53" s="35" t="str">
        <f>IFERROR(__xludf.DUMMYFUNCTION("""COMPUTED_VALUE"""),"Kekurangan: Childs, radang amandal
Kelebihannya : makanan g pilih²,  ")</f>
        <v>Kekurangan: Childs, radang amandal
Kelebihannya : makanan g pilih²,  </v>
      </c>
      <c r="S53" s="35" t="str">
        <f>IFERROR(__xludf.DUMMYFUNCTION("""COMPUTED_VALUE"""),"Sudah")</f>
        <v>Sudah</v>
      </c>
      <c r="T53" s="35" t="str">
        <f>IFERROR(__xludf.DUMMYFUNCTION("""COMPUTED_VALUE"""),"Diterima")</f>
        <v>Diterima</v>
      </c>
      <c r="U53" s="35" t="str">
        <f>IFERROR(__xludf.DUMMYFUNCTION("""COMPUTED_VALUE"""),"Bachtiar")</f>
        <v>Bachtiar</v>
      </c>
      <c r="V53" s="71"/>
    </row>
    <row r="54">
      <c r="A54" s="153">
        <f>IFERROR(__xludf.DUMMYFUNCTION("""COMPUTED_VALUE"""),45931.60097575231)</f>
        <v>45931.60098</v>
      </c>
      <c r="B54" s="71" t="str">
        <f>IFERROR(__xludf.DUMMYFUNCTION("""COMPUTED_VALUE"""),"MUHAMMAD RAIHAN AL FAWWAZ")</f>
        <v>MUHAMMAD RAIHAN AL FAWWAZ</v>
      </c>
      <c r="C54" s="71" t="str">
        <f>IFERROR(__xludf.DUMMYFUNCTION("""COMPUTED_VALUE"""),"ABDULLAH ARAFAT")</f>
        <v>ABDULLAH ARAFAT</v>
      </c>
      <c r="D54" s="71" t="str">
        <f>IFERROR(__xludf.DUMMYFUNCTION("""COMPUTED_VALUE"""),"MTs Putra")</f>
        <v>MTs Putra</v>
      </c>
      <c r="E54" s="71" t="str">
        <f>IFERROR(__xludf.DUMMYFUNCTION("""COMPUTED_VALUE"""),"A250005")</f>
        <v>A250005</v>
      </c>
      <c r="F54" s="71" t="str">
        <f>IFERROR(__xludf.DUMMYFUNCTION("""COMPUTED_VALUE"""),"Tmn yg anaknya di puas")</f>
        <v>Tmn yg anaknya di puas</v>
      </c>
      <c r="G54" s="71" t="str">
        <f>IFERROR(__xludf.DUMMYFUNCTION("""COMPUTED_VALUE"""),"Memiliki teman/rekan/tetangga di PUAS")</f>
        <v>Memiliki teman/rekan/tetangga di PUAS</v>
      </c>
      <c r="H54" s="158" t="str">
        <f>IFERROR(__xludf.DUMMYFUNCTION("""COMPUTED_VALUE"""),"A. Condong ke orientasi akhirat/agama")</f>
        <v>A. Condong ke orientasi akhirat/agama</v>
      </c>
      <c r="I54" s="158" t="str">
        <f>IFERROR(__xludf.DUMMYFUNCTION("""COMPUTED_VALUE"""),"A. Pilihan utama untuk agama, akhlak, dan karakter")</f>
        <v>A. Pilihan utama untuk agama, akhlak, dan karakter</v>
      </c>
      <c r="J54" s="158" t="str">
        <f>IFERROR(__xludf.DUMMYFUNCTION("""COMPUTED_VALUE"""),"A. Orang tua &amp; anak")</f>
        <v>A. Orang tua &amp; anak</v>
      </c>
      <c r="K54" s="158" t="str">
        <f>IFERROR(__xludf.DUMMYFUNCTION("""COMPUTED_VALUE"""),"A. Memberikan pengertian")</f>
        <v>A. Memberikan pengertian</v>
      </c>
      <c r="L54" s="158" t="str">
        <f>IFERROR(__xludf.DUMMYFUNCTION("""COMPUTED_VALUE"""),"A. Intensif (tahfizh, sekolah Islam)")</f>
        <v>A. Intensif (tahfizh, sekolah Islam)</v>
      </c>
      <c r="M54" s="158" t="str">
        <f>IFERROR(__xludf.DUMMYFUNCTION("""COMPUTED_VALUE"""),"A. Yakin")</f>
        <v>A. Yakin</v>
      </c>
      <c r="N54" s="158" t="str">
        <f>IFERROR(__xludf.DUMMYFUNCTION("""COMPUTED_VALUE"""),"A. Sangat penting")</f>
        <v>A. Sangat penting</v>
      </c>
      <c r="O54" s="158" t="str">
        <f>IFERROR(__xludf.DUMMYFUNCTION("""COMPUTED_VALUE"""),"A. Berkala")</f>
        <v>A. Berkala</v>
      </c>
      <c r="P54" s="158" t="str">
        <f>IFERROR(__xludf.DUMMYFUNCTION("""COMPUTED_VALUE"""),"A. Klarifikasi &amp; beri semangat pada anak")</f>
        <v>A. Klarifikasi &amp; beri semangat pada anak</v>
      </c>
      <c r="Q54" s="158" t="str">
        <f>IFERROR(__xludf.DUMMYFUNCTION("""COMPUTED_VALUE"""),"A. Menerima sebagai konsekuensi (selama bimbingan sudah maksimal)")</f>
        <v>A. Menerima sebagai konsekuensi (selama bimbingan sudah maksimal)</v>
      </c>
      <c r="R54" s="35" t="str">
        <f>IFERROR(__xludf.DUMMYFUNCTION("""COMPUTED_VALUE"""),"Kreatif, hrs diarahkan Bru aktf, LBH dominan disuruh")</f>
        <v>Kreatif, hrs diarahkan Bru aktf, LBH dominan disuruh</v>
      </c>
      <c r="S54" s="35" t="str">
        <f>IFERROR(__xludf.DUMMYFUNCTION("""COMPUTED_VALUE"""),"Sudah")</f>
        <v>Sudah</v>
      </c>
      <c r="T54" s="35" t="str">
        <f>IFERROR(__xludf.DUMMYFUNCTION("""COMPUTED_VALUE"""),"Diterima")</f>
        <v>Diterima</v>
      </c>
      <c r="U54" s="35" t="str">
        <f>IFERROR(__xludf.DUMMYFUNCTION("""COMPUTED_VALUE"""),"Syarif")</f>
        <v>Syarif</v>
      </c>
      <c r="V54" s="71" t="str">
        <f>IFERROR(__xludf.DUMMYFUNCTION("""COMPUTED_VALUE"""),"Ditrima insyllah")</f>
        <v>Ditrima insyllah</v>
      </c>
    </row>
    <row r="55">
      <c r="A55" s="153">
        <f>IFERROR(__xludf.DUMMYFUNCTION("""COMPUTED_VALUE"""),45931.66366796296)</f>
        <v>45931.66367</v>
      </c>
      <c r="B55" s="71" t="str">
        <f>IFERROR(__xludf.DUMMYFUNCTION("""COMPUTED_VALUE"""),"Qisya Rahma Kamila")</f>
        <v>Qisya Rahma Kamila</v>
      </c>
      <c r="C55" s="71" t="str">
        <f>IFERROR(__xludf.DUMMYFUNCTION("""COMPUTED_VALUE"""),"ANWAR RIANA")</f>
        <v>ANWAR RIANA</v>
      </c>
      <c r="D55" s="71" t="str">
        <f>IFERROR(__xludf.DUMMYFUNCTION("""COMPUTED_VALUE"""),"MTs Putri")</f>
        <v>MTs Putri</v>
      </c>
      <c r="E55" s="71" t="str">
        <f>IFERROR(__xludf.DUMMYFUNCTION("""COMPUTED_VALUE"""),"D250001")</f>
        <v>D250001</v>
      </c>
      <c r="F55" s="71" t="str">
        <f>IFERROR(__xludf.DUMMYFUNCTION("""COMPUTED_VALUE"""),"TikTok")</f>
        <v>TikTok</v>
      </c>
      <c r="G55" s="71" t="str">
        <f>IFERROR(__xludf.DUMMYFUNCTION("""COMPUTED_VALUE"""),"Memiliki teman/rekan/tetangga di PUAS")</f>
        <v>Memiliki teman/rekan/tetangga di PUAS</v>
      </c>
      <c r="H55" s="158" t="str">
        <f>IFERROR(__xludf.DUMMYFUNCTION("""COMPUTED_VALUE"""),"A. Condong ke orientasi akhirat/agama")</f>
        <v>A. Condong ke orientasi akhirat/agama</v>
      </c>
      <c r="I55" s="158" t="str">
        <f>IFERROR(__xludf.DUMMYFUNCTION("""COMPUTED_VALUE"""),"A. Pilihan utama untuk agama, akhlak, dan karakter")</f>
        <v>A. Pilihan utama untuk agama, akhlak, dan karakter</v>
      </c>
      <c r="J55" s="158" t="str">
        <f>IFERROR(__xludf.DUMMYFUNCTION("""COMPUTED_VALUE"""),"B. Anak")</f>
        <v>B. Anak</v>
      </c>
      <c r="K55" s="158" t="str">
        <f>IFERROR(__xludf.DUMMYFUNCTION("""COMPUTED_VALUE"""),"A. Memberikan pengertian")</f>
        <v>A. Memberikan pengertian</v>
      </c>
      <c r="L55" s="158" t="str">
        <f>IFERROR(__xludf.DUMMYFUNCTION("""COMPUTED_VALUE"""),"A. Intensif (tahfizh, sekolah Islam)")</f>
        <v>A. Intensif (tahfizh, sekolah Islam)</v>
      </c>
      <c r="M55" s="158" t="str">
        <f>IFERROR(__xludf.DUMMYFUNCTION("""COMPUTED_VALUE"""),"A. Yakin")</f>
        <v>A. Yakin</v>
      </c>
      <c r="N55" s="158" t="str">
        <f>IFERROR(__xludf.DUMMYFUNCTION("""COMPUTED_VALUE"""),"A. Sangat penting")</f>
        <v>A. Sangat penting</v>
      </c>
      <c r="O55" s="158" t="str">
        <f>IFERROR(__xludf.DUMMYFUNCTION("""COMPUTED_VALUE"""),"A. Berkala")</f>
        <v>A. Berkala</v>
      </c>
      <c r="P55" s="158" t="str">
        <f>IFERROR(__xludf.DUMMYFUNCTION("""COMPUTED_VALUE"""),"A. Klarifikasi &amp; beri semangat pada anak")</f>
        <v>A. Klarifikasi &amp; beri semangat pada anak</v>
      </c>
      <c r="Q55" s="158" t="str">
        <f>IFERROR(__xludf.DUMMYFUNCTION("""COMPUTED_VALUE"""),"A. Menerima sebagai konsekuensi (selama bimbingan sudah maksimal)")</f>
        <v>A. Menerima sebagai konsekuensi (selama bimbingan sudah maksimal)</v>
      </c>
      <c r="R55" s="35" t="str">
        <f>IFERROR(__xludf.DUMMYFUNCTION("""COMPUTED_VALUE"""),"Slalu diingtkn, mandiri, pendiam ")</f>
        <v>Slalu diingtkn, mandiri, pendiam </v>
      </c>
      <c r="S55" s="35" t="str">
        <f>IFERROR(__xludf.DUMMYFUNCTION("""COMPUTED_VALUE"""),"Sudah")</f>
        <v>Sudah</v>
      </c>
      <c r="T55" s="35" t="str">
        <f>IFERROR(__xludf.DUMMYFUNCTION("""COMPUTED_VALUE"""),"Diterima")</f>
        <v>Diterima</v>
      </c>
      <c r="U55" s="35" t="str">
        <f>IFERROR(__xludf.DUMMYFUNCTION("""COMPUTED_VALUE"""),"Syarif")</f>
        <v>Syarif</v>
      </c>
      <c r="V55" s="71" t="str">
        <f>IFERROR(__xludf.DUMMYFUNCTION("""COMPUTED_VALUE"""),"Akamsi org cikembar hehe")</f>
        <v>Akamsi org cikembar hehe</v>
      </c>
    </row>
    <row r="56">
      <c r="A56" s="153">
        <f>IFERROR(__xludf.DUMMYFUNCTION("""COMPUTED_VALUE"""),45932.27803271991)</f>
        <v>45932.27803</v>
      </c>
      <c r="B56" s="71" t="str">
        <f>IFERROR(__xludf.DUMMYFUNCTION("""COMPUTED_VALUE"""),"Sultan Faqih")</f>
        <v>Sultan Faqih</v>
      </c>
      <c r="C56" s="71" t="str">
        <f>IFERROR(__xludf.DUMMYFUNCTION("""COMPUTED_VALUE"""),"Dahlia")</f>
        <v>Dahlia</v>
      </c>
      <c r="D56" s="71" t="str">
        <f>IFERROR(__xludf.DUMMYFUNCTION("""COMPUTED_VALUE"""),"MTs Putra")</f>
        <v>MTs Putra</v>
      </c>
      <c r="E56" s="71" t="str">
        <f>IFERROR(__xludf.DUMMYFUNCTION("""COMPUTED_VALUE"""),"A250046")</f>
        <v>A250046</v>
      </c>
      <c r="F56" s="71" t="str">
        <f>IFERROR(__xludf.DUMMYFUNCTION("""COMPUTED_VALUE"""),"IG")</f>
        <v>IG</v>
      </c>
      <c r="G56" s="71" t="str">
        <f>IFERROR(__xludf.DUMMYFUNCTION("""COMPUTED_VALUE"""),"Baru")</f>
        <v>Baru</v>
      </c>
      <c r="H56" s="158" t="str">
        <f>IFERROR(__xludf.DUMMYFUNCTION("""COMPUTED_VALUE"""),"A. Condong ke orientasi akhirat/agama")</f>
        <v>A. Condong ke orientasi akhirat/agama</v>
      </c>
      <c r="I56" s="158" t="str">
        <f>IFERROR(__xludf.DUMMYFUNCTION("""COMPUTED_VALUE"""),"A. Pilihan utama untuk agama, akhlak, dan karakter")</f>
        <v>A. Pilihan utama untuk agama, akhlak, dan karakter</v>
      </c>
      <c r="J56" s="158" t="str">
        <f>IFERROR(__xludf.DUMMYFUNCTION("""COMPUTED_VALUE"""),"A. Orang tua &amp; anak")</f>
        <v>A. Orang tua &amp; anak</v>
      </c>
      <c r="K56" s="158" t="str">
        <f>IFERROR(__xludf.DUMMYFUNCTION("""COMPUTED_VALUE"""),"A. Memberikan pengertian")</f>
        <v>A. Memberikan pengertian</v>
      </c>
      <c r="L56" s="158" t="str">
        <f>IFERROR(__xludf.DUMMYFUNCTION("""COMPUTED_VALUE"""),"A. Intensif (tahfizh, sekolah Islam)")</f>
        <v>A. Intensif (tahfizh, sekolah Islam)</v>
      </c>
      <c r="M56" s="158" t="str">
        <f>IFERROR(__xludf.DUMMYFUNCTION("""COMPUTED_VALUE"""),"A. Yakin")</f>
        <v>A. Yakin</v>
      </c>
      <c r="N56" s="158" t="str">
        <f>IFERROR(__xludf.DUMMYFUNCTION("""COMPUTED_VALUE"""),"A. Sangat penting")</f>
        <v>A. Sangat penting</v>
      </c>
      <c r="O56" s="158" t="str">
        <f>IFERROR(__xludf.DUMMYFUNCTION("""COMPUTED_VALUE"""),"A. Berkala")</f>
        <v>A. Berkala</v>
      </c>
      <c r="P56" s="158" t="str">
        <f>IFERROR(__xludf.DUMMYFUNCTION("""COMPUTED_VALUE"""),"A. Klarifikasi &amp; beri semangat pada anak")</f>
        <v>A. Klarifikasi &amp; beri semangat pada anak</v>
      </c>
      <c r="Q56" s="158" t="str">
        <f>IFERROR(__xludf.DUMMYFUNCTION("""COMPUTED_VALUE"""),"A. Menerima sebagai konsekuensi (selama bimbingan sudah maksimal)")</f>
        <v>A. Menerima sebagai konsekuensi (selama bimbingan sudah maksimal)</v>
      </c>
      <c r="R56" s="35" t="str">
        <f>IFERROR(__xludf.DUMMYFUNCTION("""COMPUTED_VALUE"""),"positif: hafalan cepat Negatif: belum terbiasa hidup di lingkungan beragam karakter (baik dan tidak baik)")</f>
        <v>positif: hafalan cepat Negatif: belum terbiasa hidup di lingkungan beragam karakter (baik dan tidak baik)</v>
      </c>
      <c r="S56" s="35" t="str">
        <f>IFERROR(__xludf.DUMMYFUNCTION("""COMPUTED_VALUE"""),"Sudah")</f>
        <v>Sudah</v>
      </c>
      <c r="T56" s="35" t="str">
        <f>IFERROR(__xludf.DUMMYFUNCTION("""COMPUTED_VALUE"""),"Diterima")</f>
        <v>Diterima</v>
      </c>
      <c r="U56" s="35" t="str">
        <f>IFERROR(__xludf.DUMMYFUNCTION("""COMPUTED_VALUE"""),"Teguh")</f>
        <v>Teguh</v>
      </c>
      <c r="V56" s="71" t="str">
        <f>IFERROR(__xludf.DUMMYFUNCTION("""COMPUTED_VALUE"""),"ananda hafal 6 juz")</f>
        <v>ananda hafal 6 juz</v>
      </c>
    </row>
    <row r="57">
      <c r="A57" s="153">
        <f>IFERROR(__xludf.DUMMYFUNCTION("""COMPUTED_VALUE"""),45932.65352894676)</f>
        <v>45932.65353</v>
      </c>
      <c r="B57" s="71" t="str">
        <f>IFERROR(__xludf.DUMMYFUNCTION("""COMPUTED_VALUE"""),"Hanifah Qurrotul 'ain")</f>
        <v>Hanifah Qurrotul 'ain</v>
      </c>
      <c r="C57" s="71" t="str">
        <f>IFERROR(__xludf.DUMMYFUNCTION("""COMPUTED_VALUE"""),"Muslimin")</f>
        <v>Muslimin</v>
      </c>
      <c r="D57" s="71" t="str">
        <f>IFERROR(__xludf.DUMMYFUNCTION("""COMPUTED_VALUE"""),"MTs Putri")</f>
        <v>MTs Putri</v>
      </c>
      <c r="E57" s="71" t="str">
        <f>IFERROR(__xludf.DUMMYFUNCTION("""COMPUTED_VALUE"""),"D250002")</f>
        <v>D250002</v>
      </c>
      <c r="F57" s="71" t="str">
        <f>IFERROR(__xludf.DUMMYFUNCTION("""COMPUTED_VALUE"""),"andalus pusat")</f>
        <v>andalus pusat</v>
      </c>
      <c r="G57" s="71" t="str">
        <f>IFERROR(__xludf.DUMMYFUNCTION("""COMPUTED_VALUE"""),"Memiliki keluarga/saudara/kerabat di PUAS")</f>
        <v>Memiliki keluarga/saudara/kerabat di PUAS</v>
      </c>
      <c r="H57" s="158" t="str">
        <f>IFERROR(__xludf.DUMMYFUNCTION("""COMPUTED_VALUE"""),"A. Condong ke orientasi akhirat/agama")</f>
        <v>A. Condong ke orientasi akhirat/agama</v>
      </c>
      <c r="I57" s="158" t="str">
        <f>IFERROR(__xludf.DUMMYFUNCTION("""COMPUTED_VALUE"""),"A. Pilihan utama untuk agama, akhlak, dan karakter")</f>
        <v>A. Pilihan utama untuk agama, akhlak, dan karakter</v>
      </c>
      <c r="J57" s="158" t="str">
        <f>IFERROR(__xludf.DUMMYFUNCTION("""COMPUTED_VALUE"""),"A. Orang tua &amp; anak")</f>
        <v>A. Orang tua &amp; anak</v>
      </c>
      <c r="K57" s="158" t="str">
        <f>IFERROR(__xludf.DUMMYFUNCTION("""COMPUTED_VALUE"""),"A. Memberikan pengertian")</f>
        <v>A. Memberikan pengertian</v>
      </c>
      <c r="L57" s="158" t="str">
        <f>IFERROR(__xludf.DUMMYFUNCTION("""COMPUTED_VALUE"""),"A. Intensif (tahfizh, sekolah Islam)")</f>
        <v>A. Intensif (tahfizh, sekolah Islam)</v>
      </c>
      <c r="M57" s="158" t="str">
        <f>IFERROR(__xludf.DUMMYFUNCTION("""COMPUTED_VALUE"""),"A. Yakin")</f>
        <v>A. Yakin</v>
      </c>
      <c r="N57" s="158" t="str">
        <f>IFERROR(__xludf.DUMMYFUNCTION("""COMPUTED_VALUE"""),"A. Sangat penting")</f>
        <v>A. Sangat penting</v>
      </c>
      <c r="O57" s="158" t="str">
        <f>IFERROR(__xludf.DUMMYFUNCTION("""COMPUTED_VALUE"""),"A. Berkala")</f>
        <v>A. Berkala</v>
      </c>
      <c r="P57" s="158" t="str">
        <f>IFERROR(__xludf.DUMMYFUNCTION("""COMPUTED_VALUE"""),"A. Klarifikasi &amp; beri semangat pada anak")</f>
        <v>A. Klarifikasi &amp; beri semangat pada anak</v>
      </c>
      <c r="Q57" s="158" t="str">
        <f>IFERROR(__xludf.DUMMYFUNCTION("""COMPUTED_VALUE"""),"A. Menerima sebagai konsekuensi (selama bimbingan sudah maksimal)")</f>
        <v>A. Menerima sebagai konsekuensi (selama bimbingan sudah maksimal)</v>
      </c>
      <c r="R57" s="35" t="str">
        <f>IFERROR(__xludf.DUMMYFUNCTION("""COMPUTED_VALUE"""),"Positif : hafalan cepat, negatif: tidak bisa kontrol emosi ke orang sangat dekat dan di bawah dia (adik)")</f>
        <v>Positif : hafalan cepat, negatif: tidak bisa kontrol emosi ke orang sangat dekat dan di bawah dia (adik)</v>
      </c>
      <c r="S57" s="35" t="str">
        <f>IFERROR(__xludf.DUMMYFUNCTION("""COMPUTED_VALUE"""),"Belum")</f>
        <v>Belum</v>
      </c>
      <c r="T57" s="35" t="str">
        <f>IFERROR(__xludf.DUMMYFUNCTION("""COMPUTED_VALUE"""),"Diterima")</f>
        <v>Diterima</v>
      </c>
      <c r="U57" s="35" t="str">
        <f>IFERROR(__xludf.DUMMYFUNCTION("""COMPUTED_VALUE"""),"Teguh")</f>
        <v>Teguh</v>
      </c>
      <c r="V57" s="71" t="str">
        <f>IFERROR(__xludf.DUMMYFUNCTION("""COMPUTED_VALUE"""),"punya hafalan 5 juz, putri ustad dari pusat")</f>
        <v>punya hafalan 5 juz, putri ustad dari pusat</v>
      </c>
    </row>
    <row r="58">
      <c r="A58" s="153">
        <f>IFERROR(__xludf.DUMMYFUNCTION("""COMPUTED_VALUE"""),45932.66307796296)</f>
        <v>45932.66308</v>
      </c>
      <c r="B58" s="71" t="str">
        <f>IFERROR(__xludf.DUMMYFUNCTION("""COMPUTED_VALUE"""),"Hanifah Azahra Putri")</f>
        <v>Hanifah Azahra Putri</v>
      </c>
      <c r="C58" s="71" t="str">
        <f>IFERROR(__xludf.DUMMYFUNCTION("""COMPUTED_VALUE"""),"Akyan Naulus")</f>
        <v>Akyan Naulus</v>
      </c>
      <c r="D58" s="71" t="str">
        <f>IFERROR(__xludf.DUMMYFUNCTION("""COMPUTED_VALUE"""),"MTs Putri")</f>
        <v>MTs Putri</v>
      </c>
      <c r="E58" s="71" t="str">
        <f>IFERROR(__xludf.DUMMYFUNCTION("""COMPUTED_VALUE"""),"D250022")</f>
        <v>D250022</v>
      </c>
      <c r="F58" s="71" t="str">
        <f>IFERROR(__xludf.DUMMYFUNCTION("""COMPUTED_VALUE"""),"IG")</f>
        <v>IG</v>
      </c>
      <c r="G58" s="71" t="str">
        <f>IFERROR(__xludf.DUMMYFUNCTION("""COMPUTED_VALUE"""),"Baru")</f>
        <v>Baru</v>
      </c>
      <c r="H58" s="158" t="str">
        <f>IFERROR(__xludf.DUMMYFUNCTION("""COMPUTED_VALUE"""),"A. Condong ke orientasi akhirat/agama")</f>
        <v>A. Condong ke orientasi akhirat/agama</v>
      </c>
      <c r="I58" s="158" t="str">
        <f>IFERROR(__xludf.DUMMYFUNCTION("""COMPUTED_VALUE"""),"A. Pilihan utama untuk agama, akhlak, dan karakter")</f>
        <v>A. Pilihan utama untuk agama, akhlak, dan karakter</v>
      </c>
      <c r="J58" s="158" t="str">
        <f>IFERROR(__xludf.DUMMYFUNCTION("""COMPUTED_VALUE"""),"A. Orang tua &amp; anak")</f>
        <v>A. Orang tua &amp; anak</v>
      </c>
      <c r="K58" s="158" t="str">
        <f>IFERROR(__xludf.DUMMYFUNCTION("""COMPUTED_VALUE"""),"A. Memberikan pengertian")</f>
        <v>A. Memberikan pengertian</v>
      </c>
      <c r="L58" s="158" t="str">
        <f>IFERROR(__xludf.DUMMYFUNCTION("""COMPUTED_VALUE"""),"A. Intensif (tahfizh, sekolah Islam)")</f>
        <v>A. Intensif (tahfizh, sekolah Islam)</v>
      </c>
      <c r="M58" s="158" t="str">
        <f>IFERROR(__xludf.DUMMYFUNCTION("""COMPUTED_VALUE"""),"A. Yakin")</f>
        <v>A. Yakin</v>
      </c>
      <c r="N58" s="158" t="str">
        <f>IFERROR(__xludf.DUMMYFUNCTION("""COMPUTED_VALUE"""),"A. Sangat penting")</f>
        <v>A. Sangat penting</v>
      </c>
      <c r="O58" s="158" t="str">
        <f>IFERROR(__xludf.DUMMYFUNCTION("""COMPUTED_VALUE"""),"A. Berkala")</f>
        <v>A. Berkala</v>
      </c>
      <c r="P58" s="158" t="str">
        <f>IFERROR(__xludf.DUMMYFUNCTION("""COMPUTED_VALUE"""),"A. Klarifikasi &amp; beri semangat pada anak")</f>
        <v>A. Klarifikasi &amp; beri semangat pada anak</v>
      </c>
      <c r="Q58" s="158" t="str">
        <f>IFERROR(__xludf.DUMMYFUNCTION("""COMPUTED_VALUE"""),"B. Menasehati anak")</f>
        <v>B. Menasehati anak</v>
      </c>
      <c r="R58" s="35" t="str">
        <f>IFERROR(__xludf.DUMMYFUNCTION("""COMPUTED_VALUE"""),"Positif : Pemalu, tidak banyak tingkah. Negatif : cenderung baper")</f>
        <v>Positif : Pemalu, tidak banyak tingkah. Negatif : cenderung baper</v>
      </c>
      <c r="S58" s="35" t="str">
        <f>IFERROR(__xludf.DUMMYFUNCTION("""COMPUTED_VALUE"""),"Sudah")</f>
        <v>Sudah</v>
      </c>
      <c r="T58" s="35" t="str">
        <f>IFERROR(__xludf.DUMMYFUNCTION("""COMPUTED_VALUE"""),"Diterima")</f>
        <v>Diterima</v>
      </c>
      <c r="U58" s="35" t="str">
        <f>IFERROR(__xludf.DUMMYFUNCTION("""COMPUTED_VALUE"""),"Teguh")</f>
        <v>Teguh</v>
      </c>
      <c r="V58" s="71" t="str">
        <f>IFERROR(__xludf.DUMMYFUNCTION("""COMPUTED_VALUE"""),"lulus")</f>
        <v>lulus</v>
      </c>
    </row>
    <row r="59">
      <c r="A59" s="153">
        <f>IFERROR(__xludf.DUMMYFUNCTION("""COMPUTED_VALUE"""),45932.66554636574)</f>
        <v>45932.66555</v>
      </c>
      <c r="B59" s="71" t="str">
        <f>IFERROR(__xludf.DUMMYFUNCTION("""COMPUTED_VALUE"""),"Abdurrahman Umar")</f>
        <v>Abdurrahman Umar</v>
      </c>
      <c r="C59" s="71" t="str">
        <f>IFERROR(__xludf.DUMMYFUNCTION("""COMPUTED_VALUE"""),"Rakhmat Purnomo")</f>
        <v>Rakhmat Purnomo</v>
      </c>
      <c r="D59" s="71" t="str">
        <f>IFERROR(__xludf.DUMMYFUNCTION("""COMPUTED_VALUE"""),"I'L Putra")</f>
        <v>I'L Putra</v>
      </c>
      <c r="E59" s="71" t="str">
        <f>IFERROR(__xludf.DUMMYFUNCTION("""COMPUTED_VALUE"""),"C250004")</f>
        <v>C250004</v>
      </c>
      <c r="F59" s="71" t="str">
        <f>IFERROR(__xludf.DUMMYFUNCTION("""COMPUTED_VALUE"""),"keluarga")</f>
        <v>keluarga</v>
      </c>
      <c r="G59" s="71" t="str">
        <f>IFERROR(__xludf.DUMMYFUNCTION("""COMPUTED_VALUE"""),"Memiliki keluarga/saudara/kerabat di PUAS")</f>
        <v>Memiliki keluarga/saudara/kerabat di PUAS</v>
      </c>
      <c r="H59" s="158" t="str">
        <f>IFERROR(__xludf.DUMMYFUNCTION("""COMPUTED_VALUE"""),"A. Condong ke orientasi akhirat/agama")</f>
        <v>A. Condong ke orientasi akhirat/agama</v>
      </c>
      <c r="I59" s="158" t="str">
        <f>IFERROR(__xludf.DUMMYFUNCTION("""COMPUTED_VALUE"""),"A. Pilihan utama untuk agama, akhlak, dan karakter")</f>
        <v>A. Pilihan utama untuk agama, akhlak, dan karakter</v>
      </c>
      <c r="J59" s="158" t="str">
        <f>IFERROR(__xludf.DUMMYFUNCTION("""COMPUTED_VALUE"""),"A. Orang tua &amp; anak")</f>
        <v>A. Orang tua &amp; anak</v>
      </c>
      <c r="K59" s="158" t="str">
        <f>IFERROR(__xludf.DUMMYFUNCTION("""COMPUTED_VALUE"""),"A. Memberikan pengertian")</f>
        <v>A. Memberikan pengertian</v>
      </c>
      <c r="L59" s="158" t="str">
        <f>IFERROR(__xludf.DUMMYFUNCTION("""COMPUTED_VALUE"""),"A. Intensif (tahfizh, sekolah Islam)")</f>
        <v>A. Intensif (tahfizh, sekolah Islam)</v>
      </c>
      <c r="M59" s="158" t="str">
        <f>IFERROR(__xludf.DUMMYFUNCTION("""COMPUTED_VALUE"""),"A. Yakin")</f>
        <v>A. Yakin</v>
      </c>
      <c r="N59" s="158" t="str">
        <f>IFERROR(__xludf.DUMMYFUNCTION("""COMPUTED_VALUE"""),"A. Sangat penting")</f>
        <v>A. Sangat penting</v>
      </c>
      <c r="O59" s="158" t="str">
        <f>IFERROR(__xludf.DUMMYFUNCTION("""COMPUTED_VALUE"""),"A. Berkala")</f>
        <v>A. Berkala</v>
      </c>
      <c r="P59" s="158" t="str">
        <f>IFERROR(__xludf.DUMMYFUNCTION("""COMPUTED_VALUE"""),"A. Klarifikasi &amp; beri semangat pada anak")</f>
        <v>A. Klarifikasi &amp; beri semangat pada anak</v>
      </c>
      <c r="Q59" s="158" t="str">
        <f>IFERROR(__xludf.DUMMYFUNCTION("""COMPUTED_VALUE"""),"A. Menerima sebagai konsekuensi (selama bimbingan sudah maksimal)")</f>
        <v>A. Menerima sebagai konsekuensi (selama bimbingan sudah maksimal)</v>
      </c>
      <c r="R59" s="35" t="str">
        <f>IFERROR(__xludf.DUMMYFUNCTION("""COMPUTED_VALUE"""),"Positif : supel, fisik bagus. Negatif: kurang dalam hafalan, tekun")</f>
        <v>Positif : supel, fisik bagus. Negatif: kurang dalam hafalan, tekun</v>
      </c>
      <c r="S59" s="35" t="str">
        <f>IFERROR(__xludf.DUMMYFUNCTION("""COMPUTED_VALUE"""),"Sudah")</f>
        <v>Sudah</v>
      </c>
      <c r="T59" s="35" t="str">
        <f>IFERROR(__xludf.DUMMYFUNCTION("""COMPUTED_VALUE"""),"Diterima")</f>
        <v>Diterima</v>
      </c>
      <c r="U59" s="35" t="str">
        <f>IFERROR(__xludf.DUMMYFUNCTION("""COMPUTED_VALUE"""),"Teguh")</f>
        <v>Teguh</v>
      </c>
      <c r="V59" s="71" t="str">
        <f>IFERROR(__xludf.DUMMYFUNCTION("""COMPUTED_VALUE"""),"umar adalah kakaknya Umair kelas 8. orangtua cenderung rewel")</f>
        <v>umar adalah kakaknya Umair kelas 8. orangtua cenderung rewel</v>
      </c>
    </row>
    <row r="60">
      <c r="A60" s="153">
        <f>IFERROR(__xludf.DUMMYFUNCTION("""COMPUTED_VALUE"""),45932.681374039355)</f>
        <v>45932.68137</v>
      </c>
      <c r="B60" s="71" t="str">
        <f>IFERROR(__xludf.DUMMYFUNCTION("""COMPUTED_VALUE"""),"Satria Ibrahim Tamaoki")</f>
        <v>Satria Ibrahim Tamaoki</v>
      </c>
      <c r="C60" s="71" t="str">
        <f>IFERROR(__xludf.DUMMYFUNCTION("""COMPUTED_VALUE"""),"OKI saparudin")</f>
        <v>OKI saparudin</v>
      </c>
      <c r="D60" s="71" t="str">
        <f>IFERROR(__xludf.DUMMYFUNCTION("""COMPUTED_VALUE"""),"MTs Putra")</f>
        <v>MTs Putra</v>
      </c>
      <c r="E60" s="71" t="str">
        <f>IFERROR(__xludf.DUMMYFUNCTION("""COMPUTED_VALUE"""),"A250072")</f>
        <v>A250072</v>
      </c>
      <c r="F60" s="71" t="str">
        <f>IFERROR(__xludf.DUMMYFUNCTION("""COMPUTED_VALUE"""),"Teman")</f>
        <v>Teman</v>
      </c>
      <c r="G60" s="71" t="str">
        <f>IFERROR(__xludf.DUMMYFUNCTION("""COMPUTED_VALUE"""),"Memiliki teman/rekan/tetangga di PUAS")</f>
        <v>Memiliki teman/rekan/tetangga di PUAS</v>
      </c>
      <c r="H60" s="158" t="str">
        <f>IFERROR(__xludf.DUMMYFUNCTION("""COMPUTED_VALUE"""),"A. Condong ke orientasi akhirat/agama")</f>
        <v>A. Condong ke orientasi akhirat/agama</v>
      </c>
      <c r="I60" s="158" t="str">
        <f>IFERROR(__xludf.DUMMYFUNCTION("""COMPUTED_VALUE"""),"A. Pilihan utama untuk agama, akhlak, dan karakter")</f>
        <v>A. Pilihan utama untuk agama, akhlak, dan karakter</v>
      </c>
      <c r="J60" s="158" t="str">
        <f>IFERROR(__xludf.DUMMYFUNCTION("""COMPUTED_VALUE"""),"A. Orang tua &amp; anak")</f>
        <v>A. Orang tua &amp; anak</v>
      </c>
      <c r="K60" s="158" t="str">
        <f>IFERROR(__xludf.DUMMYFUNCTION("""COMPUTED_VALUE"""),"A. Memberikan pengertian")</f>
        <v>A. Memberikan pengertian</v>
      </c>
      <c r="L60" s="158" t="str">
        <f>IFERROR(__xludf.DUMMYFUNCTION("""COMPUTED_VALUE"""),"A. Intensif (tahfizh, sekolah Islam)")</f>
        <v>A. Intensif (tahfizh, sekolah Islam)</v>
      </c>
      <c r="M60" s="158" t="str">
        <f>IFERROR(__xludf.DUMMYFUNCTION("""COMPUTED_VALUE"""),"A. Yakin")</f>
        <v>A. Yakin</v>
      </c>
      <c r="N60" s="158" t="str">
        <f>IFERROR(__xludf.DUMMYFUNCTION("""COMPUTED_VALUE"""),"A. Sangat penting")</f>
        <v>A. Sangat penting</v>
      </c>
      <c r="O60" s="158" t="str">
        <f>IFERROR(__xludf.DUMMYFUNCTION("""COMPUTED_VALUE"""),"A. Berkala")</f>
        <v>A. Berkala</v>
      </c>
      <c r="P60" s="158" t="str">
        <f>IFERROR(__xludf.DUMMYFUNCTION("""COMPUTED_VALUE"""),"B. Serahkan ke pesantren")</f>
        <v>B. Serahkan ke pesantren</v>
      </c>
      <c r="Q60" s="158" t="str">
        <f>IFERROR(__xludf.DUMMYFUNCTION("""COMPUTED_VALUE"""),"A. Menerima sebagai konsekuensi (selama bimbingan sudah maksimal)")</f>
        <v>A. Menerima sebagai konsekuensi (selama bimbingan sudah maksimal)</v>
      </c>
      <c r="R60" s="35" t="str">
        <f>IFERROR(__xludf.DUMMYFUNCTION("""COMPUTED_VALUE"""),"Negatif : labil, gampang terpengaruh dgn lingkungan
Positif : cepet nangkep pelajaran, penurut")</f>
        <v>Negatif : labil, gampang terpengaruh dgn lingkungan
Positif : cepet nangkep pelajaran, penurut</v>
      </c>
      <c r="S60" s="35" t="str">
        <f>IFERROR(__xludf.DUMMYFUNCTION("""COMPUTED_VALUE"""),"Sudah")</f>
        <v>Sudah</v>
      </c>
      <c r="T60" s="35" t="str">
        <f>IFERROR(__xludf.DUMMYFUNCTION("""COMPUTED_VALUE"""),"Diterima dengan catatan")</f>
        <v>Diterima dengan catatan</v>
      </c>
      <c r="U60" s="35" t="str">
        <f>IFERROR(__xludf.DUMMYFUNCTION("""COMPUTED_VALUE"""),"Bachtiar")</f>
        <v>Bachtiar</v>
      </c>
      <c r="V60" s="71"/>
    </row>
    <row r="61">
      <c r="A61" s="153">
        <f>IFERROR(__xludf.DUMMYFUNCTION("""COMPUTED_VALUE"""),45934.47017649305)</f>
        <v>45934.47018</v>
      </c>
      <c r="B61" s="71" t="str">
        <f>IFERROR(__xludf.DUMMYFUNCTION("""COMPUTED_VALUE"""),"Ahmad Al ghifari")</f>
        <v>Ahmad Al ghifari</v>
      </c>
      <c r="C61" s="71" t="str">
        <f>IFERROR(__xludf.DUMMYFUNCTION("""COMPUTED_VALUE"""),"Rhomy ferdian")</f>
        <v>Rhomy ferdian</v>
      </c>
      <c r="D61" s="71" t="str">
        <f>IFERROR(__xludf.DUMMYFUNCTION("""COMPUTED_VALUE"""),"I'L Putra")</f>
        <v>I'L Putra</v>
      </c>
      <c r="E61" s="71" t="str">
        <f>IFERROR(__xludf.DUMMYFUNCTION("""COMPUTED_VALUE"""),"B250022")</f>
        <v>B250022</v>
      </c>
      <c r="F61" s="71" t="str">
        <f>IFERROR(__xludf.DUMMYFUNCTION("""COMPUTED_VALUE"""),"FB")</f>
        <v>FB</v>
      </c>
      <c r="G61" s="71" t="str">
        <f>IFERROR(__xludf.DUMMYFUNCTION("""COMPUTED_VALUE"""),"Baru")</f>
        <v>Baru</v>
      </c>
      <c r="H61" s="158" t="str">
        <f>IFERROR(__xludf.DUMMYFUNCTION("""COMPUTED_VALUE"""),"A. Condong ke orientasi akhirat/agama")</f>
        <v>A. Condong ke orientasi akhirat/agama</v>
      </c>
      <c r="I61" s="158" t="str">
        <f>IFERROR(__xludf.DUMMYFUNCTION("""COMPUTED_VALUE"""),"A. Pilihan utama untuk agama, akhlak, dan karakter")</f>
        <v>A. Pilihan utama untuk agama, akhlak, dan karakter</v>
      </c>
      <c r="J61" s="158" t="str">
        <f>IFERROR(__xludf.DUMMYFUNCTION("""COMPUTED_VALUE"""),"B. Anak")</f>
        <v>B. Anak</v>
      </c>
      <c r="K61" s="158" t="str">
        <f>IFERROR(__xludf.DUMMYFUNCTION("""COMPUTED_VALUE"""),"A. Memberikan pengertian")</f>
        <v>A. Memberikan pengertian</v>
      </c>
      <c r="L61" s="158" t="str">
        <f>IFERROR(__xludf.DUMMYFUNCTION("""COMPUTED_VALUE"""),"A. Intensif (tahfizh, sekolah Islam)")</f>
        <v>A. Intensif (tahfizh, sekolah Islam)</v>
      </c>
      <c r="M61" s="158" t="str">
        <f>IFERROR(__xludf.DUMMYFUNCTION("""COMPUTED_VALUE"""),"A. Yakin")</f>
        <v>A. Yakin</v>
      </c>
      <c r="N61" s="158" t="str">
        <f>IFERROR(__xludf.DUMMYFUNCTION("""COMPUTED_VALUE"""),"A. Sangat penting")</f>
        <v>A. Sangat penting</v>
      </c>
      <c r="O61" s="158" t="str">
        <f>IFERROR(__xludf.DUMMYFUNCTION("""COMPUTED_VALUE"""),"A. Berkala")</f>
        <v>A. Berkala</v>
      </c>
      <c r="P61" s="158" t="str">
        <f>IFERROR(__xludf.DUMMYFUNCTION("""COMPUTED_VALUE"""),"A. Klarifikasi &amp; beri semangat pada anak")</f>
        <v>A. Klarifikasi &amp; beri semangat pada anak</v>
      </c>
      <c r="Q61" s="158" t="str">
        <f>IFERROR(__xludf.DUMMYFUNCTION("""COMPUTED_VALUE"""),"A. Menerima sebagai konsekuensi (selama bimbingan sudah maksimal)")</f>
        <v>A. Menerima sebagai konsekuensi (selama bimbingan sudah maksimal)</v>
      </c>
      <c r="R61" s="35" t="str">
        <f>IFERROR(__xludf.DUMMYFUNCTION("""COMPUTED_VALUE"""),"Agak pendiam nurut, disiplin, agak baperan ")</f>
        <v>Agak pendiam nurut, disiplin, agak baperan </v>
      </c>
      <c r="S61" s="35" t="str">
        <f>IFERROR(__xludf.DUMMYFUNCTION("""COMPUTED_VALUE"""),"Sudah")</f>
        <v>Sudah</v>
      </c>
      <c r="T61" s="35" t="str">
        <f>IFERROR(__xludf.DUMMYFUNCTION("""COMPUTED_VALUE"""),"Diterima")</f>
        <v>Diterima</v>
      </c>
      <c r="U61" s="35" t="str">
        <f>IFERROR(__xludf.DUMMYFUNCTION("""COMPUTED_VALUE"""),"Bachtiar")</f>
        <v>Bachtiar</v>
      </c>
      <c r="V61" s="71"/>
    </row>
    <row r="62">
      <c r="A62" s="153">
        <f>IFERROR(__xludf.DUMMYFUNCTION("""COMPUTED_VALUE"""),45934.4800003125)</f>
        <v>45934.48</v>
      </c>
      <c r="B62" s="71" t="str">
        <f>IFERROR(__xludf.DUMMYFUNCTION("""COMPUTED_VALUE"""),"Arrayyan Abdur Rashid")</f>
        <v>Arrayyan Abdur Rashid</v>
      </c>
      <c r="C62" s="71" t="str">
        <f>IFERROR(__xludf.DUMMYFUNCTION("""COMPUTED_VALUE"""),"Iman Waluyo")</f>
        <v>Iman Waluyo</v>
      </c>
      <c r="D62" s="71" t="str">
        <f>IFERROR(__xludf.DUMMYFUNCTION("""COMPUTED_VALUE"""),"MTs Putra")</f>
        <v>MTs Putra</v>
      </c>
      <c r="E62" s="71" t="str">
        <f>IFERROR(__xludf.DUMMYFUNCTION("""COMPUTED_VALUE"""),"A250015")</f>
        <v>A250015</v>
      </c>
      <c r="F62" s="71" t="str">
        <f>IFERROR(__xludf.DUMMYFUNCTION("""COMPUTED_VALUE"""),"FB")</f>
        <v>FB</v>
      </c>
      <c r="G62" s="71" t="str">
        <f>IFERROR(__xludf.DUMMYFUNCTION("""COMPUTED_VALUE"""),"Baru")</f>
        <v>Baru</v>
      </c>
      <c r="H62" s="158" t="str">
        <f>IFERROR(__xludf.DUMMYFUNCTION("""COMPUTED_VALUE"""),"A. Condong ke orientasi akhirat/agama")</f>
        <v>A. Condong ke orientasi akhirat/agama</v>
      </c>
      <c r="I62" s="158" t="str">
        <f>IFERROR(__xludf.DUMMYFUNCTION("""COMPUTED_VALUE"""),"A. Pilihan utama untuk agama, akhlak, dan karakter")</f>
        <v>A. Pilihan utama untuk agama, akhlak, dan karakter</v>
      </c>
      <c r="J62" s="158" t="str">
        <f>IFERROR(__xludf.DUMMYFUNCTION("""COMPUTED_VALUE"""),"A. Orang tua &amp; anak")</f>
        <v>A. Orang tua &amp; anak</v>
      </c>
      <c r="K62" s="158" t="str">
        <f>IFERROR(__xludf.DUMMYFUNCTION("""COMPUTED_VALUE"""),"A. Memberikan pengertian")</f>
        <v>A. Memberikan pengertian</v>
      </c>
      <c r="L62" s="158" t="str">
        <f>IFERROR(__xludf.DUMMYFUNCTION("""COMPUTED_VALUE"""),"A. Intensif (tahfizh, sekolah Islam)")</f>
        <v>A. Intensif (tahfizh, sekolah Islam)</v>
      </c>
      <c r="M62" s="158" t="str">
        <f>IFERROR(__xludf.DUMMYFUNCTION("""COMPUTED_VALUE"""),"A. Yakin")</f>
        <v>A. Yakin</v>
      </c>
      <c r="N62" s="158" t="str">
        <f>IFERROR(__xludf.DUMMYFUNCTION("""COMPUTED_VALUE"""),"A. Sangat penting")</f>
        <v>A. Sangat penting</v>
      </c>
      <c r="O62" s="158" t="str">
        <f>IFERROR(__xludf.DUMMYFUNCTION("""COMPUTED_VALUE"""),"A. Berkala")</f>
        <v>A. Berkala</v>
      </c>
      <c r="P62" s="158" t="str">
        <f>IFERROR(__xludf.DUMMYFUNCTION("""COMPUTED_VALUE"""),"A. Klarifikasi &amp; beri semangat pada anak")</f>
        <v>A. Klarifikasi &amp; beri semangat pada anak</v>
      </c>
      <c r="Q62" s="158" t="str">
        <f>IFERROR(__xludf.DUMMYFUNCTION("""COMPUTED_VALUE"""),"A. Menerima sebagai konsekuensi (selama bimbingan sudah maksimal)")</f>
        <v>A. Menerima sebagai konsekuensi (selama bimbingan sudah maksimal)</v>
      </c>
      <c r="R62" s="35" t="str">
        <f>IFERROR(__xludf.DUMMYFUNCTION("""COMPUTED_VALUE"""),"positif: tidak terpengaruh, cepat dalam menghafal. negatif: harus dikontrol saat belajar ")</f>
        <v>positif: tidak terpengaruh, cepat dalam menghafal. negatif: harus dikontrol saat belajar </v>
      </c>
      <c r="S62" s="35" t="str">
        <f>IFERROR(__xludf.DUMMYFUNCTION("""COMPUTED_VALUE"""),"Sudah")</f>
        <v>Sudah</v>
      </c>
      <c r="T62" s="35" t="str">
        <f>IFERROR(__xludf.DUMMYFUNCTION("""COMPUTED_VALUE"""),"Diterima")</f>
        <v>Diterima</v>
      </c>
      <c r="U62" s="35" t="str">
        <f>IFERROR(__xludf.DUMMYFUNCTION("""COMPUTED_VALUE"""),"Teguh")</f>
        <v>Teguh</v>
      </c>
      <c r="V62" s="71" t="str">
        <f>IFERROR(__xludf.DUMMYFUNCTION("""COMPUTED_VALUE"""),"kakak nya mondok di almaqtuq")</f>
        <v>kakak nya mondok di almaqtuq</v>
      </c>
    </row>
    <row r="63">
      <c r="A63" s="153">
        <f>IFERROR(__xludf.DUMMYFUNCTION("""COMPUTED_VALUE"""),45934.49042165509)</f>
        <v>45934.49042</v>
      </c>
      <c r="B63" s="158" t="str">
        <f>IFERROR(__xludf.DUMMYFUNCTION("""COMPUTED_VALUE"""),"Sarah Afifah ")</f>
        <v>Sarah Afifah </v>
      </c>
      <c r="C63" s="71" t="str">
        <f>IFERROR(__xludf.DUMMYFUNCTION("""COMPUTED_VALUE"""),"Febrian s")</f>
        <v>Febrian s</v>
      </c>
      <c r="D63" s="71" t="str">
        <f>IFERROR(__xludf.DUMMYFUNCTION("""COMPUTED_VALUE"""),"MTs Putri")</f>
        <v>MTs Putri</v>
      </c>
      <c r="E63" s="71" t="str">
        <f>IFERROR(__xludf.DUMMYFUNCTION("""COMPUTED_VALUE"""),"D250015")</f>
        <v>D250015</v>
      </c>
      <c r="F63" s="71" t="str">
        <f>IFERROR(__xludf.DUMMYFUNCTION("""COMPUTED_VALUE"""),"FB")</f>
        <v>FB</v>
      </c>
      <c r="G63" s="71" t="str">
        <f>IFERROR(__xludf.DUMMYFUNCTION("""COMPUTED_VALUE"""),"Baru")</f>
        <v>Baru</v>
      </c>
      <c r="H63" s="158" t="str">
        <f>IFERROR(__xludf.DUMMYFUNCTION("""COMPUTED_VALUE"""),"A. Condong ke orientasi akhirat/agama")</f>
        <v>A. Condong ke orientasi akhirat/agama</v>
      </c>
      <c r="I63" s="158" t="str">
        <f>IFERROR(__xludf.DUMMYFUNCTION("""COMPUTED_VALUE"""),"A. Pilihan utama untuk agama, akhlak, dan karakter")</f>
        <v>A. Pilihan utama untuk agama, akhlak, dan karakter</v>
      </c>
      <c r="J63" s="158" t="str">
        <f>IFERROR(__xludf.DUMMYFUNCTION("""COMPUTED_VALUE"""),"B. Anak")</f>
        <v>B. Anak</v>
      </c>
      <c r="K63" s="158" t="str">
        <f>IFERROR(__xludf.DUMMYFUNCTION("""COMPUTED_VALUE"""),"A. Memberikan pengertian")</f>
        <v>A. Memberikan pengertian</v>
      </c>
      <c r="L63" s="158" t="str">
        <f>IFERROR(__xludf.DUMMYFUNCTION("""COMPUTED_VALUE"""),"A. Intensif (tahfizh, sekolah Islam)")</f>
        <v>A. Intensif (tahfizh, sekolah Islam)</v>
      </c>
      <c r="M63" s="158" t="str">
        <f>IFERROR(__xludf.DUMMYFUNCTION("""COMPUTED_VALUE"""),"A. Yakin")</f>
        <v>A. Yakin</v>
      </c>
      <c r="N63" s="158" t="str">
        <f>IFERROR(__xludf.DUMMYFUNCTION("""COMPUTED_VALUE"""),"A. Sangat penting")</f>
        <v>A. Sangat penting</v>
      </c>
      <c r="O63" s="158" t="str">
        <f>IFERROR(__xludf.DUMMYFUNCTION("""COMPUTED_VALUE"""),"C. Sesempatnya saja")</f>
        <v>C. Sesempatnya saja</v>
      </c>
      <c r="P63" s="158" t="str">
        <f>IFERROR(__xludf.DUMMYFUNCTION("""COMPUTED_VALUE"""),"A. Klarifikasi &amp; beri semangat pada anak")</f>
        <v>A. Klarifikasi &amp; beri semangat pada anak</v>
      </c>
      <c r="Q63" s="158" t="str">
        <f>IFERROR(__xludf.DUMMYFUNCTION("""COMPUTED_VALUE"""),"A. Menerima sebagai konsekuensi (selama bimbingan sudah maksimal)")</f>
        <v>A. Menerima sebagai konsekuensi (selama bimbingan sudah maksimal)</v>
      </c>
      <c r="R63" s="35" t="str">
        <f>IFERROR(__xludf.DUMMYFUNCTION("""COMPUTED_VALUE"""),"Positif : pengalah, 
Negatif : moody,Krn sering dimanfaatkan orang. Memendam rasa")</f>
        <v>Positif : pengalah, 
Negatif : moody,Krn sering dimanfaatkan orang. Memendam rasa</v>
      </c>
      <c r="S63" s="35" t="str">
        <f>IFERROR(__xludf.DUMMYFUNCTION("""COMPUTED_VALUE"""),"Sudah")</f>
        <v>Sudah</v>
      </c>
      <c r="T63" s="35" t="str">
        <f>IFERROR(__xludf.DUMMYFUNCTION("""COMPUTED_VALUE"""),"Diterima")</f>
        <v>Diterima</v>
      </c>
      <c r="U63" s="35" t="str">
        <f>IFERROR(__xludf.DUMMYFUNCTION("""COMPUTED_VALUE"""),"Bachtiar")</f>
        <v>Bachtiar</v>
      </c>
      <c r="V63" s="71" t="str">
        <f>IFERROR(__xludf.DUMMYFUNCTION("""COMPUTED_VALUE"""),"Aman")</f>
        <v>Aman</v>
      </c>
    </row>
    <row r="64">
      <c r="A64" s="153">
        <f>IFERROR(__xludf.DUMMYFUNCTION("""COMPUTED_VALUE"""),45934.789531296294)</f>
        <v>45934.78953</v>
      </c>
      <c r="B64" s="158" t="str">
        <f>IFERROR(__xludf.DUMMYFUNCTION("""COMPUTED_VALUE"""),"Alesha az zahra saputra")</f>
        <v>Alesha az zahra saputra</v>
      </c>
      <c r="C64" s="71" t="str">
        <f>IFERROR(__xludf.DUMMYFUNCTION("""COMPUTED_VALUE"""),"arif saputro")</f>
        <v>arif saputro</v>
      </c>
      <c r="D64" s="71" t="str">
        <f>IFERROR(__xludf.DUMMYFUNCTION("""COMPUTED_VALUE"""),"MTs Putri")</f>
        <v>MTs Putri</v>
      </c>
      <c r="E64" s="71" t="str">
        <f>IFERROR(__xludf.DUMMYFUNCTION("""COMPUTED_VALUE"""),"D250011")</f>
        <v>D250011</v>
      </c>
      <c r="F64" s="71" t="str">
        <f>IFERROR(__xludf.DUMMYFUNCTION("""COMPUTED_VALUE"""),"dari teman kajian")</f>
        <v>dari teman kajian</v>
      </c>
      <c r="G64" s="71" t="str">
        <f>IFERROR(__xludf.DUMMYFUNCTION("""COMPUTED_VALUE"""),"Baru")</f>
        <v>Baru</v>
      </c>
      <c r="H64" s="158" t="str">
        <f>IFERROR(__xludf.DUMMYFUNCTION("""COMPUTED_VALUE"""),"A. Condong ke orientasi akhirat/agama")</f>
        <v>A. Condong ke orientasi akhirat/agama</v>
      </c>
      <c r="I64" s="158" t="str">
        <f>IFERROR(__xludf.DUMMYFUNCTION("""COMPUTED_VALUE"""),"A. Pilihan utama untuk agama, akhlak, dan karakter")</f>
        <v>A. Pilihan utama untuk agama, akhlak, dan karakter</v>
      </c>
      <c r="J64" s="158" t="str">
        <f>IFERROR(__xludf.DUMMYFUNCTION("""COMPUTED_VALUE"""),"A. Orang tua &amp; anak")</f>
        <v>A. Orang tua &amp; anak</v>
      </c>
      <c r="K64" s="158" t="str">
        <f>IFERROR(__xludf.DUMMYFUNCTION("""COMPUTED_VALUE"""),"A. Memberikan pengertian")</f>
        <v>A. Memberikan pengertian</v>
      </c>
      <c r="L64" s="158" t="str">
        <f>IFERROR(__xludf.DUMMYFUNCTION("""COMPUTED_VALUE"""),"A. Intensif (tahfizh, sekolah Islam)")</f>
        <v>A. Intensif (tahfizh, sekolah Islam)</v>
      </c>
      <c r="M64" s="158" t="str">
        <f>IFERROR(__xludf.DUMMYFUNCTION("""COMPUTED_VALUE"""),"B. Ragu-ragu")</f>
        <v>B. Ragu-ragu</v>
      </c>
      <c r="N64" s="158" t="str">
        <f>IFERROR(__xludf.DUMMYFUNCTION("""COMPUTED_VALUE"""),"A. Sangat penting")</f>
        <v>A. Sangat penting</v>
      </c>
      <c r="O64" s="158" t="str">
        <f>IFERROR(__xludf.DUMMYFUNCTION("""COMPUTED_VALUE"""),"A. Berkala")</f>
        <v>A. Berkala</v>
      </c>
      <c r="P64" s="158" t="str">
        <f>IFERROR(__xludf.DUMMYFUNCTION("""COMPUTED_VALUE"""),"B. Serahkan ke pesantren")</f>
        <v>B. Serahkan ke pesantren</v>
      </c>
      <c r="Q64" s="158" t="str">
        <f>IFERROR(__xludf.DUMMYFUNCTION("""COMPUTED_VALUE"""),"A. Menerima sebagai konsekuensi (selama bimbingan sudah maksimal)")</f>
        <v>A. Menerima sebagai konsekuensi (selama bimbingan sudah maksimal)</v>
      </c>
      <c r="R64" s="35" t="str">
        <f>IFERROR(__xludf.DUMMYFUNCTION("""COMPUTED_VALUE"""),"Positif: mau belajar, pendiam. Negatif: Susah Bangun")</f>
        <v>Positif: mau belajar, pendiam. Negatif: Susah Bangun</v>
      </c>
      <c r="S64" s="35" t="str">
        <f>IFERROR(__xludf.DUMMYFUNCTION("""COMPUTED_VALUE"""),"Sudah")</f>
        <v>Sudah</v>
      </c>
      <c r="T64" s="35" t="str">
        <f>IFERROR(__xludf.DUMMYFUNCTION("""COMPUTED_VALUE"""),"Diterima")</f>
        <v>Diterima</v>
      </c>
      <c r="U64" s="35" t="str">
        <f>IFERROR(__xludf.DUMMYFUNCTION("""COMPUTED_VALUE"""),"Teguh")</f>
        <v>Teguh</v>
      </c>
      <c r="V64" s="71" t="str">
        <f>IFERROR(__xludf.DUMMYFUNCTION("""COMPUTED_VALUE"""),"tampak kurang yakin dalam membayar SPP dibawah tanggal 10")</f>
        <v>tampak kurang yakin dalam membayar SPP dibawah tanggal 10</v>
      </c>
    </row>
    <row r="65">
      <c r="A65" s="153">
        <f>IFERROR(__xludf.DUMMYFUNCTION("""COMPUTED_VALUE"""),45935.30877024306)</f>
        <v>45935.30877</v>
      </c>
      <c r="B65" s="71" t="str">
        <f>IFERROR(__xludf.DUMMYFUNCTION("""COMPUTED_VALUE"""),"Muhammad Arkan")</f>
        <v>Muhammad Arkan</v>
      </c>
      <c r="C65" s="71" t="str">
        <f>IFERROR(__xludf.DUMMYFUNCTION("""COMPUTED_VALUE"""),"Asep Samsudin")</f>
        <v>Asep Samsudin</v>
      </c>
      <c r="D65" s="71" t="str">
        <f>IFERROR(__xludf.DUMMYFUNCTION("""COMPUTED_VALUE"""),"MTs Putra")</f>
        <v>MTs Putra</v>
      </c>
      <c r="E65" s="71" t="str">
        <f>IFERROR(__xludf.DUMMYFUNCTION("""COMPUTED_VALUE"""),"A250037")</f>
        <v>A250037</v>
      </c>
      <c r="F65" s="71" t="str">
        <f>IFERROR(__xludf.DUMMYFUNCTION("""COMPUTED_VALUE"""),"Umm irbad kls 7")</f>
        <v>Umm irbad kls 7</v>
      </c>
      <c r="G65" s="71" t="str">
        <f>IFERROR(__xludf.DUMMYFUNCTION("""COMPUTED_VALUE"""),"Memiliki teman/rekan/tetangga di PUAS")</f>
        <v>Memiliki teman/rekan/tetangga di PUAS</v>
      </c>
      <c r="H65" s="158" t="str">
        <f>IFERROR(__xludf.DUMMYFUNCTION("""COMPUTED_VALUE"""),"A. Condong ke orientasi akhirat/agama")</f>
        <v>A. Condong ke orientasi akhirat/agama</v>
      </c>
      <c r="I65" s="158" t="str">
        <f>IFERROR(__xludf.DUMMYFUNCTION("""COMPUTED_VALUE"""),"A. Pilihan utama untuk agama, akhlak, dan karakter")</f>
        <v>A. Pilihan utama untuk agama, akhlak, dan karakter</v>
      </c>
      <c r="J65" s="158" t="str">
        <f>IFERROR(__xludf.DUMMYFUNCTION("""COMPUTED_VALUE"""),"B. Anak")</f>
        <v>B. Anak</v>
      </c>
      <c r="K65" s="158" t="str">
        <f>IFERROR(__xludf.DUMMYFUNCTION("""COMPUTED_VALUE"""),"A. Memberikan pengertian")</f>
        <v>A. Memberikan pengertian</v>
      </c>
      <c r="L65" s="158" t="str">
        <f>IFERROR(__xludf.DUMMYFUNCTION("""COMPUTED_VALUE"""),"A. Intensif (tahfizh, sekolah Islam)")</f>
        <v>A. Intensif (tahfizh, sekolah Islam)</v>
      </c>
      <c r="M65" s="158" t="str">
        <f>IFERROR(__xludf.DUMMYFUNCTION("""COMPUTED_VALUE"""),"A. Yakin")</f>
        <v>A. Yakin</v>
      </c>
      <c r="N65" s="158" t="str">
        <f>IFERROR(__xludf.DUMMYFUNCTION("""COMPUTED_VALUE"""),"A. Sangat penting")</f>
        <v>A. Sangat penting</v>
      </c>
      <c r="O65" s="158" t="str">
        <f>IFERROR(__xludf.DUMMYFUNCTION("""COMPUTED_VALUE"""),"A. Berkala")</f>
        <v>A. Berkala</v>
      </c>
      <c r="P65" s="158" t="str">
        <f>IFERROR(__xludf.DUMMYFUNCTION("""COMPUTED_VALUE"""),"B. Serahkan ke pesantren")</f>
        <v>B. Serahkan ke pesantren</v>
      </c>
      <c r="Q65" s="158" t="str">
        <f>IFERROR(__xludf.DUMMYFUNCTION("""COMPUTED_VALUE"""),"A. Menerima sebagai konsekuensi (selama bimbingan sudah maksimal)")</f>
        <v>A. Menerima sebagai konsekuensi (selama bimbingan sudah maksimal)</v>
      </c>
      <c r="R65" s="35" t="str">
        <f>IFERROR(__xludf.DUMMYFUNCTION("""COMPUTED_VALUE"""),"Mudah bergaul, nyantai, loyal,")</f>
        <v>Mudah bergaul, nyantai, loyal,</v>
      </c>
      <c r="S65" s="35" t="str">
        <f>IFERROR(__xludf.DUMMYFUNCTION("""COMPUTED_VALUE"""),"Sudah")</f>
        <v>Sudah</v>
      </c>
      <c r="T65" s="35" t="str">
        <f>IFERROR(__xludf.DUMMYFUNCTION("""COMPUTED_VALUE"""),"Diterima")</f>
        <v>Diterima</v>
      </c>
      <c r="U65" s="35" t="str">
        <f>IFERROR(__xludf.DUMMYFUNCTION("""COMPUTED_VALUE"""),"Syarif")</f>
        <v>Syarif</v>
      </c>
      <c r="V65" s="71" t="str">
        <f>IFERROR(__xludf.DUMMYFUNCTION("""COMPUTED_VALUE"""),"Insyllah trima")</f>
        <v>Insyllah trima</v>
      </c>
    </row>
    <row r="66">
      <c r="A66" s="153">
        <f>IFERROR(__xludf.DUMMYFUNCTION("""COMPUTED_VALUE"""),45936.48705502315)</f>
        <v>45936.48706</v>
      </c>
      <c r="B66" s="71" t="str">
        <f>IFERROR(__xludf.DUMMYFUNCTION("""COMPUTED_VALUE"""),"Artka Hasbina Azhuary")</f>
        <v>Artka Hasbina Azhuary</v>
      </c>
      <c r="C66" s="71" t="str">
        <f>IFERROR(__xludf.DUMMYFUNCTION("""COMPUTED_VALUE"""),"Kartika")</f>
        <v>Kartika</v>
      </c>
      <c r="D66" s="71" t="str">
        <f>IFERROR(__xludf.DUMMYFUNCTION("""COMPUTED_VALUE"""),"MTs Putra")</f>
        <v>MTs Putra</v>
      </c>
      <c r="E66" s="71" t="str">
        <f>IFERROR(__xludf.DUMMYFUNCTION("""COMPUTED_VALUE"""),"A250032")</f>
        <v>A250032</v>
      </c>
      <c r="F66" s="71" t="str">
        <f>IFERROR(__xludf.DUMMYFUNCTION("""COMPUTED_VALUE"""),"Rekomendasi dari pengajar SD nya")</f>
        <v>Rekomendasi dari pengajar SD nya</v>
      </c>
      <c r="G66" s="71" t="str">
        <f>IFERROR(__xludf.DUMMYFUNCTION("""COMPUTED_VALUE"""),"Baru")</f>
        <v>Baru</v>
      </c>
      <c r="H66" s="158" t="str">
        <f>IFERROR(__xludf.DUMMYFUNCTION("""COMPUTED_VALUE"""),"A. Condong ke orientasi akhirat/agama")</f>
        <v>A. Condong ke orientasi akhirat/agama</v>
      </c>
      <c r="I66" s="158" t="str">
        <f>IFERROR(__xludf.DUMMYFUNCTION("""COMPUTED_VALUE"""),"A. Pilihan utama untuk agama, akhlak, dan karakter")</f>
        <v>A. Pilihan utama untuk agama, akhlak, dan karakter</v>
      </c>
      <c r="J66" s="158" t="str">
        <f>IFERROR(__xludf.DUMMYFUNCTION("""COMPUTED_VALUE"""),"C. Orang tua / ikut teman")</f>
        <v>C. Orang tua / ikut teman</v>
      </c>
      <c r="K66" s="158" t="str">
        <f>IFERROR(__xludf.DUMMYFUNCTION("""COMPUTED_VALUE"""),"A. Memberikan pengertian")</f>
        <v>A. Memberikan pengertian</v>
      </c>
      <c r="L66" s="158" t="str">
        <f>IFERROR(__xludf.DUMMYFUNCTION("""COMPUTED_VALUE"""),"A. Intensif (tahfizh, sekolah Islam)")</f>
        <v>A. Intensif (tahfizh, sekolah Islam)</v>
      </c>
      <c r="M66" s="158" t="str">
        <f>IFERROR(__xludf.DUMMYFUNCTION("""COMPUTED_VALUE"""),"A. Yakin")</f>
        <v>A. Yakin</v>
      </c>
      <c r="N66" s="158" t="str">
        <f>IFERROR(__xludf.DUMMYFUNCTION("""COMPUTED_VALUE"""),"A. Sangat penting")</f>
        <v>A. Sangat penting</v>
      </c>
      <c r="O66" s="158" t="str">
        <f>IFERROR(__xludf.DUMMYFUNCTION("""COMPUTED_VALUE"""),"A. Berkala")</f>
        <v>A. Berkala</v>
      </c>
      <c r="P66" s="158" t="str">
        <f>IFERROR(__xludf.DUMMYFUNCTION("""COMPUTED_VALUE"""),"A. Klarifikasi &amp; beri semangat pada anak")</f>
        <v>A. Klarifikasi &amp; beri semangat pada anak</v>
      </c>
      <c r="Q66" s="158" t="str">
        <f>IFERROR(__xludf.DUMMYFUNCTION("""COMPUTED_VALUE"""),"A. Menerima sebagai konsekuensi (selama bimbingan sudah maksimal)")</f>
        <v>A. Menerima sebagai konsekuensi (selama bimbingan sudah maksimal)</v>
      </c>
      <c r="R66" s="35" t="str">
        <f>IFERROR(__xludf.DUMMYFUNCTION("""COMPUTED_VALUE"""),"Kelebihannya : ambisius rajin, 
Kekurangan : labil , ")</f>
        <v>Kelebihannya : ambisius rajin, 
Kekurangan : labil , </v>
      </c>
      <c r="S66" s="35" t="str">
        <f>IFERROR(__xludf.DUMMYFUNCTION("""COMPUTED_VALUE"""),"Sudah")</f>
        <v>Sudah</v>
      </c>
      <c r="T66" s="35" t="str">
        <f>IFERROR(__xludf.DUMMYFUNCTION("""COMPUTED_VALUE"""),"Diterima")</f>
        <v>Diterima</v>
      </c>
      <c r="U66" s="35" t="str">
        <f>IFERROR(__xludf.DUMMYFUNCTION("""COMPUTED_VALUE"""),"Bachtiar")</f>
        <v>Bachtiar</v>
      </c>
      <c r="V66" s="71"/>
    </row>
    <row r="67">
      <c r="A67" s="153">
        <f>IFERROR(__xludf.DUMMYFUNCTION("""COMPUTED_VALUE"""),45936.61219076389)</f>
        <v>45936.61219</v>
      </c>
      <c r="B67" s="71" t="str">
        <f>IFERROR(__xludf.DUMMYFUNCTION("""COMPUTED_VALUE"""),"Ruwaifi")</f>
        <v>Ruwaifi</v>
      </c>
      <c r="C67" s="71" t="str">
        <f>IFERROR(__xludf.DUMMYFUNCTION("""COMPUTED_VALUE"""),"Mualim Faminto")</f>
        <v>Mualim Faminto</v>
      </c>
      <c r="D67" s="71" t="str">
        <f>IFERROR(__xludf.DUMMYFUNCTION("""COMPUTED_VALUE"""),"MTs Putra")</f>
        <v>MTs Putra</v>
      </c>
      <c r="E67" s="71" t="str">
        <f>IFERROR(__xludf.DUMMYFUNCTION("""COMPUTED_VALUE"""),"A250071")</f>
        <v>A250071</v>
      </c>
      <c r="F67" s="71" t="str">
        <f>IFERROR(__xludf.DUMMYFUNCTION("""COMPUTED_VALUE"""),"FB")</f>
        <v>FB</v>
      </c>
      <c r="G67" s="71" t="str">
        <f>IFERROR(__xludf.DUMMYFUNCTION("""COMPUTED_VALUE"""),"Baru")</f>
        <v>Baru</v>
      </c>
      <c r="H67" s="158" t="str">
        <f>IFERROR(__xludf.DUMMYFUNCTION("""COMPUTED_VALUE"""),"A. Condong ke orientasi akhirat/agama")</f>
        <v>A. Condong ke orientasi akhirat/agama</v>
      </c>
      <c r="I67" s="158" t="str">
        <f>IFERROR(__xludf.DUMMYFUNCTION("""COMPUTED_VALUE"""),"A. Pilihan utama untuk agama, akhlak, dan karakter")</f>
        <v>A. Pilihan utama untuk agama, akhlak, dan karakter</v>
      </c>
      <c r="J67" s="158" t="str">
        <f>IFERROR(__xludf.DUMMYFUNCTION("""COMPUTED_VALUE"""),"A. Orang tua &amp; anak")</f>
        <v>A. Orang tua &amp; anak</v>
      </c>
      <c r="K67" s="158" t="str">
        <f>IFERROR(__xludf.DUMMYFUNCTION("""COMPUTED_VALUE"""),"A. Memberikan pengertian")</f>
        <v>A. Memberikan pengertian</v>
      </c>
      <c r="L67" s="158" t="str">
        <f>IFERROR(__xludf.DUMMYFUNCTION("""COMPUTED_VALUE"""),"A. Intensif (tahfizh, sekolah Islam)")</f>
        <v>A. Intensif (tahfizh, sekolah Islam)</v>
      </c>
      <c r="M67" s="158" t="str">
        <f>IFERROR(__xludf.DUMMYFUNCTION("""COMPUTED_VALUE"""),"A. Yakin")</f>
        <v>A. Yakin</v>
      </c>
      <c r="N67" s="158" t="str">
        <f>IFERROR(__xludf.DUMMYFUNCTION("""COMPUTED_VALUE"""),"A. Sangat penting")</f>
        <v>A. Sangat penting</v>
      </c>
      <c r="O67" s="158" t="str">
        <f>IFERROR(__xludf.DUMMYFUNCTION("""COMPUTED_VALUE"""),"A. Berkala")</f>
        <v>A. Berkala</v>
      </c>
      <c r="P67" s="158" t="str">
        <f>IFERROR(__xludf.DUMMYFUNCTION("""COMPUTED_VALUE"""),"B. Serahkan ke pesantren")</f>
        <v>B. Serahkan ke pesantren</v>
      </c>
      <c r="Q67" s="158" t="str">
        <f>IFERROR(__xludf.DUMMYFUNCTION("""COMPUTED_VALUE"""),"A. Menerima sebagai konsekuensi (selama bimbingan sudah maksimal)")</f>
        <v>A. Menerima sebagai konsekuensi (selama bimbingan sudah maksimal)</v>
      </c>
      <c r="R67" s="35" t="str">
        <f>IFERROR(__xludf.DUMMYFUNCTION("""COMPUTED_VALUE"""),"Negatif : agak ngeyel, 
Positif : inisiatif")</f>
        <v>Negatif : agak ngeyel, 
Positif : inisiatif</v>
      </c>
      <c r="S67" s="35" t="str">
        <f>IFERROR(__xludf.DUMMYFUNCTION("""COMPUTED_VALUE"""),"Sudah")</f>
        <v>Sudah</v>
      </c>
      <c r="T67" s="35" t="str">
        <f>IFERROR(__xludf.DUMMYFUNCTION("""COMPUTED_VALUE"""),"Diterima")</f>
        <v>Diterima</v>
      </c>
      <c r="U67" s="35" t="str">
        <f>IFERROR(__xludf.DUMMYFUNCTION("""COMPUTED_VALUE"""),"Bachtiar")</f>
        <v>Bachtiar</v>
      </c>
      <c r="V67" s="71"/>
    </row>
    <row r="68">
      <c r="A68" s="153">
        <f>IFERROR(__xludf.DUMMYFUNCTION("""COMPUTED_VALUE"""),45937.480968090276)</f>
        <v>45937.48097</v>
      </c>
      <c r="B68" s="71" t="str">
        <f>IFERROR(__xludf.DUMMYFUNCTION("""COMPUTED_VALUE"""),"M. Azzam Al Hafizh")</f>
        <v>M. Azzam Al Hafizh</v>
      </c>
      <c r="C68" s="71" t="str">
        <f>IFERROR(__xludf.DUMMYFUNCTION("""COMPUTED_VALUE"""),"Dadang K")</f>
        <v>Dadang K</v>
      </c>
      <c r="D68" s="71" t="str">
        <f>IFERROR(__xludf.DUMMYFUNCTION("""COMPUTED_VALUE"""),"MTs Putra")</f>
        <v>MTs Putra</v>
      </c>
      <c r="E68" s="71" t="str">
        <f>IFERROR(__xludf.DUMMYFUNCTION("""COMPUTED_VALUE"""),"A250076")</f>
        <v>A250076</v>
      </c>
      <c r="F68" s="71" t="str">
        <f>IFERROR(__xludf.DUMMYFUNCTION("""COMPUTED_VALUE"""),"Ada abangnya di sini (Shafiq robbani)")</f>
        <v>Ada abangnya di sini (Shafiq robbani)</v>
      </c>
      <c r="G68" s="71" t="str">
        <f>IFERROR(__xludf.DUMMYFUNCTION("""COMPUTED_VALUE"""),"Memiliki keluarga/saudara/kerabat di PUAS")</f>
        <v>Memiliki keluarga/saudara/kerabat di PUAS</v>
      </c>
      <c r="H68" s="158" t="str">
        <f>IFERROR(__xludf.DUMMYFUNCTION("""COMPUTED_VALUE"""),"A. Condong ke orientasi akhirat/agama")</f>
        <v>A. Condong ke orientasi akhirat/agama</v>
      </c>
      <c r="I68" s="158" t="str">
        <f>IFERROR(__xludf.DUMMYFUNCTION("""COMPUTED_VALUE"""),"A. Pilihan utama untuk agama, akhlak, dan karakter")</f>
        <v>A. Pilihan utama untuk agama, akhlak, dan karakter</v>
      </c>
      <c r="J68" s="158" t="str">
        <f>IFERROR(__xludf.DUMMYFUNCTION("""COMPUTED_VALUE"""),"B. Anak")</f>
        <v>B. Anak</v>
      </c>
      <c r="K68" s="158" t="str">
        <f>IFERROR(__xludf.DUMMYFUNCTION("""COMPUTED_VALUE"""),"A. Memberikan pengertian")</f>
        <v>A. Memberikan pengertian</v>
      </c>
      <c r="L68" s="158" t="str">
        <f>IFERROR(__xludf.DUMMYFUNCTION("""COMPUTED_VALUE"""),"A. Intensif (tahfizh, sekolah Islam)")</f>
        <v>A. Intensif (tahfizh, sekolah Islam)</v>
      </c>
      <c r="M68" s="158" t="str">
        <f>IFERROR(__xludf.DUMMYFUNCTION("""COMPUTED_VALUE"""),"A. Yakin")</f>
        <v>A. Yakin</v>
      </c>
      <c r="N68" s="158" t="str">
        <f>IFERROR(__xludf.DUMMYFUNCTION("""COMPUTED_VALUE"""),"A. Sangat penting")</f>
        <v>A. Sangat penting</v>
      </c>
      <c r="O68" s="158" t="str">
        <f>IFERROR(__xludf.DUMMYFUNCTION("""COMPUTED_VALUE"""),"A. Berkala")</f>
        <v>A. Berkala</v>
      </c>
      <c r="P68" s="158" t="str">
        <f>IFERROR(__xludf.DUMMYFUNCTION("""COMPUTED_VALUE"""),"A. Klarifikasi &amp; beri semangat pada anak")</f>
        <v>A. Klarifikasi &amp; beri semangat pada anak</v>
      </c>
      <c r="Q68" s="158" t="str">
        <f>IFERROR(__xludf.DUMMYFUNCTION("""COMPUTED_VALUE"""),"A. Menerima sebagai konsekuensi (selama bimbingan sudah maksimal)")</f>
        <v>A. Menerima sebagai konsekuensi (selama bimbingan sudah maksimal)</v>
      </c>
      <c r="R68" s="35" t="str">
        <f>IFERROR(__xludf.DUMMYFUNCTION("""COMPUTED_VALUE"""),"Kelebihan: percaya diri, ingin taunya banyak, adaptif. Kekurangan : agak candu hp, susah makan.
")</f>
        <v>Kelebihan: percaya diri, ingin taunya banyak, adaptif. Kekurangan : agak candu hp, susah makan.
</v>
      </c>
      <c r="S68" s="35" t="str">
        <f>IFERROR(__xludf.DUMMYFUNCTION("""COMPUTED_VALUE"""),"Sudah")</f>
        <v>Sudah</v>
      </c>
      <c r="T68" s="35" t="str">
        <f>IFERROR(__xludf.DUMMYFUNCTION("""COMPUTED_VALUE"""),"Diterima dengan catatan")</f>
        <v>Diterima dengan catatan</v>
      </c>
      <c r="U68" s="35" t="str">
        <f>IFERROR(__xludf.DUMMYFUNCTION("""COMPUTED_VALUE"""),"Bachtiar")</f>
        <v>Bachtiar</v>
      </c>
      <c r="V68" s="71" t="str">
        <f>IFERROR(__xludf.DUMMYFUNCTION("""COMPUTED_VALUE"""),"Analisa awal Harus banyak diawasi oleh musyrif jika diterima")</f>
        <v>Analisa awal Harus banyak diawasi oleh musyrif jika diterima</v>
      </c>
    </row>
    <row r="69">
      <c r="A69" s="153">
        <f>IFERROR(__xludf.DUMMYFUNCTION("""COMPUTED_VALUE"""),45938.36037637731)</f>
        <v>45938.36038</v>
      </c>
      <c r="B69" s="71" t="str">
        <f>IFERROR(__xludf.DUMMYFUNCTION("""COMPUTED_VALUE"""),"Yahya Azka Ya'sub")</f>
        <v>Yahya Azka Ya'sub</v>
      </c>
      <c r="C69" s="71" t="str">
        <f>IFERROR(__xludf.DUMMYFUNCTION("""COMPUTED_VALUE"""),"Nurul Uswatun Hasanah")</f>
        <v>Nurul Uswatun Hasanah</v>
      </c>
      <c r="D69" s="71" t="str">
        <f>IFERROR(__xludf.DUMMYFUNCTION("""COMPUTED_VALUE"""),"MTs Putra")</f>
        <v>MTs Putra</v>
      </c>
      <c r="E69" s="71" t="str">
        <f>IFERROR(__xludf.DUMMYFUNCTION("""COMPUTED_VALUE"""),"A250058")</f>
        <v>A250058</v>
      </c>
      <c r="F69" s="71" t="str">
        <f>IFERROR(__xludf.DUMMYFUNCTION("""COMPUTED_VALUE"""),"dari guru ngaji sore ")</f>
        <v>dari guru ngaji sore </v>
      </c>
      <c r="G69" s="71" t="str">
        <f>IFERROR(__xludf.DUMMYFUNCTION("""COMPUTED_VALUE"""),"Baru")</f>
        <v>Baru</v>
      </c>
      <c r="H69" s="158" t="str">
        <f>IFERROR(__xludf.DUMMYFUNCTION("""COMPUTED_VALUE"""),"A. Condong ke orientasi akhirat/agama")</f>
        <v>A. Condong ke orientasi akhirat/agama</v>
      </c>
      <c r="I69" s="158" t="str">
        <f>IFERROR(__xludf.DUMMYFUNCTION("""COMPUTED_VALUE"""),"B. Pilihan utama untuk akhlak")</f>
        <v>B. Pilihan utama untuk akhlak</v>
      </c>
      <c r="J69" s="158" t="str">
        <f>IFERROR(__xludf.DUMMYFUNCTION("""COMPUTED_VALUE"""),"A. Orang tua &amp; anak")</f>
        <v>A. Orang tua &amp; anak</v>
      </c>
      <c r="K69" s="158" t="str">
        <f>IFERROR(__xludf.DUMMYFUNCTION("""COMPUTED_VALUE"""),"A. Memberikan pengertian")</f>
        <v>A. Memberikan pengertian</v>
      </c>
      <c r="L69" s="158" t="str">
        <f>IFERROR(__xludf.DUMMYFUNCTION("""COMPUTED_VALUE"""),"A. Intensif (tahfizh, sekolah Islam)")</f>
        <v>A. Intensif (tahfizh, sekolah Islam)</v>
      </c>
      <c r="M69" s="158" t="str">
        <f>IFERROR(__xludf.DUMMYFUNCTION("""COMPUTED_VALUE"""),"A. Yakin")</f>
        <v>A. Yakin</v>
      </c>
      <c r="N69" s="158" t="str">
        <f>IFERROR(__xludf.DUMMYFUNCTION("""COMPUTED_VALUE"""),"A. Sangat penting")</f>
        <v>A. Sangat penting</v>
      </c>
      <c r="O69" s="158" t="str">
        <f>IFERROR(__xludf.DUMMYFUNCTION("""COMPUTED_VALUE"""),"A. Berkala")</f>
        <v>A. Berkala</v>
      </c>
      <c r="P69" s="158" t="str">
        <f>IFERROR(__xludf.DUMMYFUNCTION("""COMPUTED_VALUE"""),"A. Klarifikasi &amp; beri semangat pada anak")</f>
        <v>A. Klarifikasi &amp; beri semangat pada anak</v>
      </c>
      <c r="Q69" s="158" t="str">
        <f>IFERROR(__xludf.DUMMYFUNCTION("""COMPUTED_VALUE"""),"A. Menerima sebagai konsekuensi (selama bimbingan sudah maksimal)")</f>
        <v>A. Menerima sebagai konsekuensi (selama bimbingan sudah maksimal)</v>
      </c>
      <c r="R69" s="35" t="str">
        <f>IFERROR(__xludf.DUMMYFUNCTION("""COMPUTED_VALUE"""),"positif: care, perhatian, gercep dalam membantu. negatif: klo udah dijailin temen emosi")</f>
        <v>positif: care, perhatian, gercep dalam membantu. negatif: klo udah dijailin temen emosi</v>
      </c>
      <c r="S69" s="35" t="str">
        <f>IFERROR(__xludf.DUMMYFUNCTION("""COMPUTED_VALUE"""),"Sudah")</f>
        <v>Sudah</v>
      </c>
      <c r="T69" s="35" t="str">
        <f>IFERROR(__xludf.DUMMYFUNCTION("""COMPUTED_VALUE"""),"Diterima")</f>
        <v>Diterima</v>
      </c>
      <c r="U69" s="35" t="str">
        <f>IFERROR(__xludf.DUMMYFUNCTION("""COMPUTED_VALUE"""),"Teguh")</f>
        <v>Teguh</v>
      </c>
      <c r="V69" s="71" t="str">
        <f>IFERROR(__xludf.DUMMYFUNCTION("""COMPUTED_VALUE"""),"ibunya seorang bidan, bapanya Perawat ")</f>
        <v>ibunya seorang bidan, bapanya Perawat </v>
      </c>
    </row>
    <row r="70">
      <c r="A70" s="153">
        <f>IFERROR(__xludf.DUMMYFUNCTION("""COMPUTED_VALUE"""),45938.461076817126)</f>
        <v>45938.46108</v>
      </c>
      <c r="B70" s="71" t="str">
        <f>IFERROR(__xludf.DUMMYFUNCTION("""COMPUTED_VALUE"""),"Riyadi wirawan")</f>
        <v>Riyadi wirawan</v>
      </c>
      <c r="C70" s="71" t="str">
        <f>IFERROR(__xludf.DUMMYFUNCTION("""COMPUTED_VALUE"""),"Agus santoso")</f>
        <v>Agus santoso</v>
      </c>
      <c r="D70" s="71" t="str">
        <f>IFERROR(__xludf.DUMMYFUNCTION("""COMPUTED_VALUE"""),"MTs Putra")</f>
        <v>MTs Putra</v>
      </c>
      <c r="E70" s="71" t="str">
        <f>IFERROR(__xludf.DUMMYFUNCTION("""COMPUTED_VALUE"""),"A250040")</f>
        <v>A250040</v>
      </c>
      <c r="F70" s="71" t="str">
        <f>IFERROR(__xludf.DUMMYFUNCTION("""COMPUTED_VALUE"""),"Informasi dari santri azmi navis")</f>
        <v>Informasi dari santri azmi navis</v>
      </c>
      <c r="G70" s="71" t="str">
        <f>IFERROR(__xludf.DUMMYFUNCTION("""COMPUTED_VALUE"""),"Baru")</f>
        <v>Baru</v>
      </c>
      <c r="H70" s="158" t="str">
        <f>IFERROR(__xludf.DUMMYFUNCTION("""COMPUTED_VALUE"""),"A. Condong ke orientasi akhirat/agama")</f>
        <v>A. Condong ke orientasi akhirat/agama</v>
      </c>
      <c r="I70" s="158" t="str">
        <f>IFERROR(__xludf.DUMMYFUNCTION("""COMPUTED_VALUE"""),"A. Pilihan utama untuk agama, akhlak, dan karakter")</f>
        <v>A. Pilihan utama untuk agama, akhlak, dan karakter</v>
      </c>
      <c r="J70" s="158" t="str">
        <f>IFERROR(__xludf.DUMMYFUNCTION("""COMPUTED_VALUE"""),"A. Orang tua &amp; anak")</f>
        <v>A. Orang tua &amp; anak</v>
      </c>
      <c r="K70" s="158" t="str">
        <f>IFERROR(__xludf.DUMMYFUNCTION("""COMPUTED_VALUE"""),"A. Memberikan pengertian")</f>
        <v>A. Memberikan pengertian</v>
      </c>
      <c r="L70" s="158" t="str">
        <f>IFERROR(__xludf.DUMMYFUNCTION("""COMPUTED_VALUE"""),"A. Intensif (tahfizh, sekolah Islam)")</f>
        <v>A. Intensif (tahfizh, sekolah Islam)</v>
      </c>
      <c r="M70" s="158" t="str">
        <f>IFERROR(__xludf.DUMMYFUNCTION("""COMPUTED_VALUE"""),"A. Yakin")</f>
        <v>A. Yakin</v>
      </c>
      <c r="N70" s="158" t="str">
        <f>IFERROR(__xludf.DUMMYFUNCTION("""COMPUTED_VALUE"""),"A. Sangat penting")</f>
        <v>A. Sangat penting</v>
      </c>
      <c r="O70" s="158" t="str">
        <f>IFERROR(__xludf.DUMMYFUNCTION("""COMPUTED_VALUE"""),"A. Berkala")</f>
        <v>A. Berkala</v>
      </c>
      <c r="P70" s="158" t="str">
        <f>IFERROR(__xludf.DUMMYFUNCTION("""COMPUTED_VALUE"""),"A. Klarifikasi &amp; beri semangat pada anak")</f>
        <v>A. Klarifikasi &amp; beri semangat pada anak</v>
      </c>
      <c r="Q70" s="158" t="str">
        <f>IFERROR(__xludf.DUMMYFUNCTION("""COMPUTED_VALUE"""),"A. Menerima sebagai konsekuensi (selama bimbingan sudah maksimal)")</f>
        <v>A. Menerima sebagai konsekuensi (selama bimbingan sudah maksimal)</v>
      </c>
      <c r="R70" s="35" t="str">
        <f>IFERROR(__xludf.DUMMYFUNCTION("""COMPUTED_VALUE"""),"Positif   : Penurut, jiwa enterpreneurnya tingi, Tanggung Jawab.
Negatif : Kurang PD")</f>
        <v>Positif   : Penurut, jiwa enterpreneurnya tingi, Tanggung Jawab.
Negatif : Kurang PD</v>
      </c>
      <c r="S70" s="35" t="str">
        <f>IFERROR(__xludf.DUMMYFUNCTION("""COMPUTED_VALUE"""),"Sudah")</f>
        <v>Sudah</v>
      </c>
      <c r="T70" s="35" t="str">
        <f>IFERROR(__xludf.DUMMYFUNCTION("""COMPUTED_VALUE"""),"Diterima")</f>
        <v>Diterima</v>
      </c>
      <c r="U70" s="35" t="str">
        <f>IFERROR(__xludf.DUMMYFUNCTION("""COMPUTED_VALUE"""),"Adib")</f>
        <v>Adib</v>
      </c>
      <c r="V70" s="71" t="str">
        <f>IFERROR(__xludf.DUMMYFUNCTION("""COMPUTED_VALUE"""),"Aman InsyaAllah")</f>
        <v>Aman InsyaAllah</v>
      </c>
    </row>
    <row r="71">
      <c r="A71" s="153">
        <f>IFERROR(__xludf.DUMMYFUNCTION("""COMPUTED_VALUE"""),45938.6746556713)</f>
        <v>45938.67466</v>
      </c>
      <c r="B71" s="71" t="str">
        <f>IFERROR(__xludf.DUMMYFUNCTION("""COMPUTED_VALUE"""),"FAIZ ABDUSSALAM TASLIM BUDIDOYO")</f>
        <v>FAIZ ABDUSSALAM TASLIM BUDIDOYO</v>
      </c>
      <c r="C71" s="71" t="str">
        <f>IFERROR(__xludf.DUMMYFUNCTION("""COMPUTED_VALUE""")," DWI BUDIDOYO")</f>
        <v> DWI BUDIDOYO</v>
      </c>
      <c r="D71" s="71" t="str">
        <f>IFERROR(__xludf.DUMMYFUNCTION("""COMPUTED_VALUE"""),"I'L Putra")</f>
        <v>I'L Putra</v>
      </c>
      <c r="E71" s="71" t="str">
        <f>IFERROR(__xludf.DUMMYFUNCTION("""COMPUTED_VALUE"""),"B250014")</f>
        <v>B250014</v>
      </c>
      <c r="F71" s="71" t="str">
        <f>IFERROR(__xludf.DUMMYFUNCTION("""COMPUTED_VALUE"""),"FB")</f>
        <v>FB</v>
      </c>
      <c r="G71" s="71" t="str">
        <f>IFERROR(__xludf.DUMMYFUNCTION("""COMPUTED_VALUE"""),"Baru")</f>
        <v>Baru</v>
      </c>
      <c r="H71" s="158" t="str">
        <f>IFERROR(__xludf.DUMMYFUNCTION("""COMPUTED_VALUE"""),"A. Condong ke orientasi akhirat/agama")</f>
        <v>A. Condong ke orientasi akhirat/agama</v>
      </c>
      <c r="I71" s="158" t="str">
        <f>IFERROR(__xludf.DUMMYFUNCTION("""COMPUTED_VALUE"""),"A. Pilihan utama untuk agama, akhlak, dan karakter")</f>
        <v>A. Pilihan utama untuk agama, akhlak, dan karakter</v>
      </c>
      <c r="J71" s="158" t="str">
        <f>IFERROR(__xludf.DUMMYFUNCTION("""COMPUTED_VALUE"""),"A. Orang tua &amp; anak")</f>
        <v>A. Orang tua &amp; anak</v>
      </c>
      <c r="K71" s="158" t="str">
        <f>IFERROR(__xludf.DUMMYFUNCTION("""COMPUTED_VALUE"""),"A. Memberikan pengertian")</f>
        <v>A. Memberikan pengertian</v>
      </c>
      <c r="L71" s="158" t="str">
        <f>IFERROR(__xludf.DUMMYFUNCTION("""COMPUTED_VALUE"""),"A. Intensif (tahfizh, sekolah Islam)")</f>
        <v>A. Intensif (tahfizh, sekolah Islam)</v>
      </c>
      <c r="M71" s="158" t="str">
        <f>IFERROR(__xludf.DUMMYFUNCTION("""COMPUTED_VALUE"""),"A. Yakin")</f>
        <v>A. Yakin</v>
      </c>
      <c r="N71" s="158" t="str">
        <f>IFERROR(__xludf.DUMMYFUNCTION("""COMPUTED_VALUE"""),"A. Sangat penting")</f>
        <v>A. Sangat penting</v>
      </c>
      <c r="O71" s="158" t="str">
        <f>IFERROR(__xludf.DUMMYFUNCTION("""COMPUTED_VALUE"""),"B. Tidak menjenguk karena jauh")</f>
        <v>B. Tidak menjenguk karena jauh</v>
      </c>
      <c r="P71" s="158" t="str">
        <f>IFERROR(__xludf.DUMMYFUNCTION("""COMPUTED_VALUE"""),"A. Klarifikasi &amp; beri semangat pada anak")</f>
        <v>A. Klarifikasi &amp; beri semangat pada anak</v>
      </c>
      <c r="Q71" s="158" t="str">
        <f>IFERROR(__xludf.DUMMYFUNCTION("""COMPUTED_VALUE"""),"A. Menerima sebagai konsekuensi (selama bimbingan sudah maksimal)")</f>
        <v>A. Menerima sebagai konsekuensi (selama bimbingan sudah maksimal)</v>
      </c>
      <c r="R71" s="35" t="str">
        <f>IFERROR(__xludf.DUMMYFUNCTION("""COMPUTED_VALUE"""),"Positif : Penurut
Negatif : Suka main")</f>
        <v>Positif : Penurut
Negatif : Suka main</v>
      </c>
      <c r="S71" s="35" t="str">
        <f>IFERROR(__xludf.DUMMYFUNCTION("""COMPUTED_VALUE"""),"Sudah")</f>
        <v>Sudah</v>
      </c>
      <c r="T71" s="35" t="str">
        <f>IFERROR(__xludf.DUMMYFUNCTION("""COMPUTED_VALUE"""),"Diterima")</f>
        <v>Diterima</v>
      </c>
      <c r="U71" s="35" t="str">
        <f>IFERROR(__xludf.DUMMYFUNCTION("""COMPUTED_VALUE"""),"Adib")</f>
        <v>Adib</v>
      </c>
      <c r="V71" s="71"/>
    </row>
    <row r="72">
      <c r="A72" s="153">
        <f>IFERROR(__xludf.DUMMYFUNCTION("""COMPUTED_VALUE"""),45939.4015065625)</f>
        <v>45939.40151</v>
      </c>
      <c r="B72" s="71" t="str">
        <f>IFERROR(__xludf.DUMMYFUNCTION("""COMPUTED_VALUE"""),"Umar")</f>
        <v>Umar</v>
      </c>
      <c r="C72" s="71" t="str">
        <f>IFERROR(__xludf.DUMMYFUNCTION("""COMPUTED_VALUE"""),"Eliando Febrianto")</f>
        <v>Eliando Febrianto</v>
      </c>
      <c r="D72" s="71" t="str">
        <f>IFERROR(__xludf.DUMMYFUNCTION("""COMPUTED_VALUE"""),"MTs Putra")</f>
        <v>MTs Putra</v>
      </c>
      <c r="E72" s="71" t="str">
        <f>IFERROR(__xludf.DUMMYFUNCTION("""COMPUTED_VALUE"""),"A250027")</f>
        <v>A250027</v>
      </c>
      <c r="F72" s="71" t="str">
        <f>IFERROR(__xludf.DUMMYFUNCTION("""COMPUTED_VALUE"""),"Dari kakak kelasnya")</f>
        <v>Dari kakak kelasnya</v>
      </c>
      <c r="G72" s="71" t="str">
        <f>IFERROR(__xludf.DUMMYFUNCTION("""COMPUTED_VALUE"""),"Baru")</f>
        <v>Baru</v>
      </c>
      <c r="H72" s="158" t="str">
        <f>IFERROR(__xludf.DUMMYFUNCTION("""COMPUTED_VALUE"""),"A. Condong ke orientasi akhirat/agama")</f>
        <v>A. Condong ke orientasi akhirat/agama</v>
      </c>
      <c r="I72" s="158" t="str">
        <f>IFERROR(__xludf.DUMMYFUNCTION("""COMPUTED_VALUE"""),"A. Pilihan utama untuk agama, akhlak, dan karakter")</f>
        <v>A. Pilihan utama untuk agama, akhlak, dan karakter</v>
      </c>
      <c r="J72" s="158" t="str">
        <f>IFERROR(__xludf.DUMMYFUNCTION("""COMPUTED_VALUE"""),"A. Orang tua &amp; anak")</f>
        <v>A. Orang tua &amp; anak</v>
      </c>
      <c r="K72" s="158" t="str">
        <f>IFERROR(__xludf.DUMMYFUNCTION("""COMPUTED_VALUE"""),"A. Memberikan pengertian")</f>
        <v>A. Memberikan pengertian</v>
      </c>
      <c r="L72" s="158" t="str">
        <f>IFERROR(__xludf.DUMMYFUNCTION("""COMPUTED_VALUE"""),"A. Intensif (tahfizh, sekolah Islam)")</f>
        <v>A. Intensif (tahfizh, sekolah Islam)</v>
      </c>
      <c r="M72" s="158" t="str">
        <f>IFERROR(__xludf.DUMMYFUNCTION("""COMPUTED_VALUE"""),"B. Ragu-ragu")</f>
        <v>B. Ragu-ragu</v>
      </c>
      <c r="N72" s="158" t="str">
        <f>IFERROR(__xludf.DUMMYFUNCTION("""COMPUTED_VALUE"""),"A. Sangat penting")</f>
        <v>A. Sangat penting</v>
      </c>
      <c r="O72" s="158" t="str">
        <f>IFERROR(__xludf.DUMMYFUNCTION("""COMPUTED_VALUE"""),"A. Berkala")</f>
        <v>A. Berkala</v>
      </c>
      <c r="P72" s="158" t="str">
        <f>IFERROR(__xludf.DUMMYFUNCTION("""COMPUTED_VALUE"""),"A. Klarifikasi &amp; beri semangat pada anak")</f>
        <v>A. Klarifikasi &amp; beri semangat pada anak</v>
      </c>
      <c r="Q72" s="158" t="str">
        <f>IFERROR(__xludf.DUMMYFUNCTION("""COMPUTED_VALUE"""),"A. Menerima sebagai konsekuensi (selama bimbingan sudah maksimal)")</f>
        <v>A. Menerima sebagai konsekuensi (selama bimbingan sudah maksimal)</v>
      </c>
      <c r="R72" s="35" t="str">
        <f>IFERROR(__xludf.DUMMYFUNCTION("""COMPUTED_VALUE"""),"Kelebihan :  penurut, mau diarahkan,  mandiri
Kekurangan : pendiam, ")</f>
        <v>Kelebihan :  penurut, mau diarahkan,  mandiri
Kekurangan : pendiam, </v>
      </c>
      <c r="S72" s="35" t="str">
        <f>IFERROR(__xludf.DUMMYFUNCTION("""COMPUTED_VALUE"""),"Belum")</f>
        <v>Belum</v>
      </c>
      <c r="T72" s="35" t="str">
        <f>IFERROR(__xludf.DUMMYFUNCTION("""COMPUTED_VALUE"""),"Diterima")</f>
        <v>Diterima</v>
      </c>
      <c r="U72" s="35" t="str">
        <f>IFERROR(__xludf.DUMMYFUNCTION("""COMPUTED_VALUE"""),"Bachtiar")</f>
        <v>Bachtiar</v>
      </c>
      <c r="V72" s="71" t="str">
        <f>IFERROR(__xludf.DUMMYFUNCTION("""COMPUTED_VALUE"""),"Minta keringanan biaya SPP ")</f>
        <v>Minta keringanan biaya SPP </v>
      </c>
    </row>
    <row r="73">
      <c r="A73" s="153">
        <f>IFERROR(__xludf.DUMMYFUNCTION("""COMPUTED_VALUE"""),45939.618905034724)</f>
        <v>45939.61891</v>
      </c>
      <c r="B73" s="71" t="str">
        <f>IFERROR(__xludf.DUMMYFUNCTION("""COMPUTED_VALUE"""),"Muhammad Al Fathih")</f>
        <v>Muhammad Al Fathih</v>
      </c>
      <c r="C73" s="71" t="str">
        <f>IFERROR(__xludf.DUMMYFUNCTION("""COMPUTED_VALUE"""),"A Majid Julianto")</f>
        <v>A Majid Julianto</v>
      </c>
      <c r="D73" s="71" t="str">
        <f>IFERROR(__xludf.DUMMYFUNCTION("""COMPUTED_VALUE"""),"SMA")</f>
        <v>SMA</v>
      </c>
      <c r="E73" s="71" t="str">
        <f>IFERROR(__xludf.DUMMYFUNCTION("""COMPUTED_VALUE"""),"C250019")</f>
        <v>C250019</v>
      </c>
      <c r="F73" s="71" t="str">
        <f>IFERROR(__xludf.DUMMYFUNCTION("""COMPUTED_VALUE"""),"IG")</f>
        <v>IG</v>
      </c>
      <c r="G73" s="71" t="str">
        <f>IFERROR(__xludf.DUMMYFUNCTION("""COMPUTED_VALUE"""),"Baru")</f>
        <v>Baru</v>
      </c>
      <c r="H73" s="158" t="str">
        <f>IFERROR(__xludf.DUMMYFUNCTION("""COMPUTED_VALUE"""),"A. Condong ke orientasi akhirat/agama")</f>
        <v>A. Condong ke orientasi akhirat/agama</v>
      </c>
      <c r="I73" s="158" t="str">
        <f>IFERROR(__xludf.DUMMYFUNCTION("""COMPUTED_VALUE"""),"A. Pilihan utama untuk agama, akhlak, dan karakter")</f>
        <v>A. Pilihan utama untuk agama, akhlak, dan karakter</v>
      </c>
      <c r="J73" s="158" t="str">
        <f>IFERROR(__xludf.DUMMYFUNCTION("""COMPUTED_VALUE"""),"A. Orang tua &amp; anak")</f>
        <v>A. Orang tua &amp; anak</v>
      </c>
      <c r="K73" s="158" t="str">
        <f>IFERROR(__xludf.DUMMYFUNCTION("""COMPUTED_VALUE"""),"A. Memberikan pengertian")</f>
        <v>A. Memberikan pengertian</v>
      </c>
      <c r="L73" s="158" t="str">
        <f>IFERROR(__xludf.DUMMYFUNCTION("""COMPUTED_VALUE"""),"A. Intensif (tahfizh, sekolah Islam)")</f>
        <v>A. Intensif (tahfizh, sekolah Islam)</v>
      </c>
      <c r="M73" s="158" t="str">
        <f>IFERROR(__xludf.DUMMYFUNCTION("""COMPUTED_VALUE"""),"A. Yakin")</f>
        <v>A. Yakin</v>
      </c>
      <c r="N73" s="158" t="str">
        <f>IFERROR(__xludf.DUMMYFUNCTION("""COMPUTED_VALUE"""),"A. Sangat penting")</f>
        <v>A. Sangat penting</v>
      </c>
      <c r="O73" s="158" t="str">
        <f>IFERROR(__xludf.DUMMYFUNCTION("""COMPUTED_VALUE"""),"C. Sesempatnya saja")</f>
        <v>C. Sesempatnya saja</v>
      </c>
      <c r="P73" s="158" t="str">
        <f>IFERROR(__xludf.DUMMYFUNCTION("""COMPUTED_VALUE"""),"A. Klarifikasi &amp; beri semangat pada anak")</f>
        <v>A. Klarifikasi &amp; beri semangat pada anak</v>
      </c>
      <c r="Q73" s="158" t="str">
        <f>IFERROR(__xludf.DUMMYFUNCTION("""COMPUTED_VALUE"""),"A. Menerima sebagai konsekuensi (selama bimbingan sudah maksimal)")</f>
        <v>A. Menerima sebagai konsekuensi (selama bimbingan sudah maksimal)</v>
      </c>
      <c r="R73" s="35" t="str">
        <f>IFERROR(__xludf.DUMMYFUNCTION("""COMPUTED_VALUE"""),"Kelebihan : taat orang tuanya, rajin, mau belajar, 
Kekurangan : kurang gaul, ")</f>
        <v>Kelebihan : taat orang tuanya, rajin, mau belajar, 
Kekurangan : kurang gaul, </v>
      </c>
      <c r="S73" s="35" t="str">
        <f>IFERROR(__xludf.DUMMYFUNCTION("""COMPUTED_VALUE"""),"Sudah")</f>
        <v>Sudah</v>
      </c>
      <c r="T73" s="35" t="str">
        <f>IFERROR(__xludf.DUMMYFUNCTION("""COMPUTED_VALUE"""),"Diterima dengan catatan")</f>
        <v>Diterima dengan catatan</v>
      </c>
      <c r="U73" s="35" t="str">
        <f>IFERROR(__xludf.DUMMYFUNCTION("""COMPUTED_VALUE"""),"Bachtiar")</f>
        <v>Bachtiar</v>
      </c>
      <c r="V73" s="71"/>
    </row>
    <row r="74">
      <c r="A74" s="153">
        <f>IFERROR(__xludf.DUMMYFUNCTION("""COMPUTED_VALUE"""),45939.65620652778)</f>
        <v>45939.65621</v>
      </c>
      <c r="B74" s="71" t="str">
        <f>IFERROR(__xludf.DUMMYFUNCTION("""COMPUTED_VALUE"""),"Farhan Ibadurrahman ")</f>
        <v>Farhan Ibadurrahman </v>
      </c>
      <c r="C74" s="71" t="str">
        <f>IFERROR(__xludf.DUMMYFUNCTION("""COMPUTED_VALUE"""),"Adi Susanto ")</f>
        <v>Adi Susanto </v>
      </c>
      <c r="D74" s="71" t="str">
        <f>IFERROR(__xludf.DUMMYFUNCTION("""COMPUTED_VALUE"""),"I'L Putra")</f>
        <v>I'L Putra</v>
      </c>
      <c r="E74" s="71" t="str">
        <f>IFERROR(__xludf.DUMMYFUNCTION("""COMPUTED_VALUE"""),"B250018")</f>
        <v>B250018</v>
      </c>
      <c r="F74" s="71" t="str">
        <f>IFERROR(__xludf.DUMMYFUNCTION("""COMPUTED_VALUE"""),"IG")</f>
        <v>IG</v>
      </c>
      <c r="G74" s="71" t="str">
        <f>IFERROR(__xludf.DUMMYFUNCTION("""COMPUTED_VALUE"""),"Baru")</f>
        <v>Baru</v>
      </c>
      <c r="H74" s="158" t="str">
        <f>IFERROR(__xludf.DUMMYFUNCTION("""COMPUTED_VALUE"""),"A. Condong ke orientasi akhirat/agama")</f>
        <v>A. Condong ke orientasi akhirat/agama</v>
      </c>
      <c r="I74" s="158" t="str">
        <f>IFERROR(__xludf.DUMMYFUNCTION("""COMPUTED_VALUE"""),"A. Pilihan utama untuk agama, akhlak, dan karakter")</f>
        <v>A. Pilihan utama untuk agama, akhlak, dan karakter</v>
      </c>
      <c r="J74" s="158" t="str">
        <f>IFERROR(__xludf.DUMMYFUNCTION("""COMPUTED_VALUE"""),"A. Orang tua &amp; anak")</f>
        <v>A. Orang tua &amp; anak</v>
      </c>
      <c r="K74" s="158" t="str">
        <f>IFERROR(__xludf.DUMMYFUNCTION("""COMPUTED_VALUE"""),"A. Memberikan pengertian")</f>
        <v>A. Memberikan pengertian</v>
      </c>
      <c r="L74" s="158" t="str">
        <f>IFERROR(__xludf.DUMMYFUNCTION("""COMPUTED_VALUE"""),"A. Intensif (tahfizh, sekolah Islam)")</f>
        <v>A. Intensif (tahfizh, sekolah Islam)</v>
      </c>
      <c r="M74" s="158" t="str">
        <f>IFERROR(__xludf.DUMMYFUNCTION("""COMPUTED_VALUE"""),"A. Yakin")</f>
        <v>A. Yakin</v>
      </c>
      <c r="N74" s="158" t="str">
        <f>IFERROR(__xludf.DUMMYFUNCTION("""COMPUTED_VALUE"""),"A. Sangat penting")</f>
        <v>A. Sangat penting</v>
      </c>
      <c r="O74" s="158" t="str">
        <f>IFERROR(__xludf.DUMMYFUNCTION("""COMPUTED_VALUE"""),"C. Sesempatnya saja")</f>
        <v>C. Sesempatnya saja</v>
      </c>
      <c r="P74" s="158" t="str">
        <f>IFERROR(__xludf.DUMMYFUNCTION("""COMPUTED_VALUE"""),"A. Klarifikasi &amp; beri semangat pada anak")</f>
        <v>A. Klarifikasi &amp; beri semangat pada anak</v>
      </c>
      <c r="Q74" s="158" t="str">
        <f>IFERROR(__xludf.DUMMYFUNCTION("""COMPUTED_VALUE"""),"A. Menerima sebagai konsekuensi (selama bimbingan sudah maksimal)")</f>
        <v>A. Menerima sebagai konsekuensi (selama bimbingan sudah maksimal)</v>
      </c>
      <c r="R74" s="35" t="str">
        <f>IFERROR(__xludf.DUMMYFUNCTION("""COMPUTED_VALUE"""),"Introvert 
Kelebihan  ferhan : semangat belajar, pendiam
kekurangan Farhan : emosian, baperan, ga suka terusik 
")</f>
        <v>Introvert 
Kelebihan  ferhan : semangat belajar, pendiam
kekurangan Farhan : emosian, baperan, ga suka terusik 
</v>
      </c>
      <c r="S74" s="35" t="str">
        <f>IFERROR(__xludf.DUMMYFUNCTION("""COMPUTED_VALUE"""),"Sudah")</f>
        <v>Sudah</v>
      </c>
      <c r="T74" s="35" t="str">
        <f>IFERROR(__xludf.DUMMYFUNCTION("""COMPUTED_VALUE"""),"Diterima")</f>
        <v>Diterima</v>
      </c>
      <c r="U74" s="35" t="str">
        <f>IFERROR(__xludf.DUMMYFUNCTION("""COMPUTED_VALUE"""),"Bachtiar")</f>
        <v>Bachtiar</v>
      </c>
      <c r="V74" s="71"/>
    </row>
    <row r="75">
      <c r="A75" s="153">
        <f>IFERROR(__xludf.DUMMYFUNCTION("""COMPUTED_VALUE"""),45940.335504953706)</f>
        <v>45940.3355</v>
      </c>
      <c r="B75" s="71" t="str">
        <f>IFERROR(__xludf.DUMMYFUNCTION("""COMPUTED_VALUE"""),"NISRINA QURROTA AINI")</f>
        <v>NISRINA QURROTA AINI</v>
      </c>
      <c r="C75" s="71" t="str">
        <f>IFERROR(__xludf.DUMMYFUNCTION("""COMPUTED_VALUE"""),"OMAN ABDUROHMAN / EVA FALIHAH")</f>
        <v>OMAN ABDUROHMAN / EVA FALIHAH</v>
      </c>
      <c r="D75" s="71" t="str">
        <f>IFERROR(__xludf.DUMMYFUNCTION("""COMPUTED_VALUE"""),"IL Putri")</f>
        <v>IL Putri</v>
      </c>
      <c r="E75" s="71" t="str">
        <f>IFERROR(__xludf.DUMMYFUNCTION("""COMPUTED_VALUE"""),"E250003")</f>
        <v>E250003</v>
      </c>
      <c r="F75" s="71" t="str">
        <f>IFERROR(__xludf.DUMMYFUNCTION("""COMPUTED_VALUE"""),"Tetangga (Cihaur)")</f>
        <v>Tetangga (Cihaur)</v>
      </c>
      <c r="G75" s="71" t="str">
        <f>IFERROR(__xludf.DUMMYFUNCTION("""COMPUTED_VALUE"""),"Memiliki keluarga/saudara/kerabat di PUAS")</f>
        <v>Memiliki keluarga/saudara/kerabat di PUAS</v>
      </c>
      <c r="H75" s="158" t="str">
        <f>IFERROR(__xludf.DUMMYFUNCTION("""COMPUTED_VALUE"""),"A. Condong ke orientasi akhirat/agama")</f>
        <v>A. Condong ke orientasi akhirat/agama</v>
      </c>
      <c r="I75" s="158" t="str">
        <f>IFERROR(__xludf.DUMMYFUNCTION("""COMPUTED_VALUE"""),"A. Pilihan utama untuk agama, akhlak, dan karakter")</f>
        <v>A. Pilihan utama untuk agama, akhlak, dan karakter</v>
      </c>
      <c r="J75" s="158" t="str">
        <f>IFERROR(__xludf.DUMMYFUNCTION("""COMPUTED_VALUE"""),"A. Orang tua &amp; anak")</f>
        <v>A. Orang tua &amp; anak</v>
      </c>
      <c r="K75" s="158" t="str">
        <f>IFERROR(__xludf.DUMMYFUNCTION("""COMPUTED_VALUE"""),"A. Memberikan pengertian")</f>
        <v>A. Memberikan pengertian</v>
      </c>
      <c r="L75" s="158" t="str">
        <f>IFERROR(__xludf.DUMMYFUNCTION("""COMPUTED_VALUE"""),"A. Intensif (tahfizh, sekolah Islam)")</f>
        <v>A. Intensif (tahfizh, sekolah Islam)</v>
      </c>
      <c r="M75" s="158" t="str">
        <f>IFERROR(__xludf.DUMMYFUNCTION("""COMPUTED_VALUE"""),"A. Yakin")</f>
        <v>A. Yakin</v>
      </c>
      <c r="N75" s="158" t="str">
        <f>IFERROR(__xludf.DUMMYFUNCTION("""COMPUTED_VALUE"""),"A. Sangat penting")</f>
        <v>A. Sangat penting</v>
      </c>
      <c r="O75" s="158" t="str">
        <f>IFERROR(__xludf.DUMMYFUNCTION("""COMPUTED_VALUE"""),"A. Berkala")</f>
        <v>A. Berkala</v>
      </c>
      <c r="P75" s="158" t="str">
        <f>IFERROR(__xludf.DUMMYFUNCTION("""COMPUTED_VALUE"""),"A. Klarifikasi &amp; beri semangat pada anak")</f>
        <v>A. Klarifikasi &amp; beri semangat pada anak</v>
      </c>
      <c r="Q75" s="158" t="str">
        <f>IFERROR(__xludf.DUMMYFUNCTION("""COMPUTED_VALUE"""),"A. Menerima sebagai konsekuensi (selama bimbingan sudah maksimal)")</f>
        <v>A. Menerima sebagai konsekuensi (selama bimbingan sudah maksimal)</v>
      </c>
      <c r="R75" s="35" t="str">
        <f>IFERROR(__xludf.DUMMYFUNCTION("""COMPUTED_VALUE"""),"Penurut, Suka menyimpan masalah, kurang terbuka, semangat belajar, belajar harus dengan guru, humble, bisa menentukan sikap, agak pemalu,")</f>
        <v>Penurut, Suka menyimpan masalah, kurang terbuka, semangat belajar, belajar harus dengan guru, humble, bisa menentukan sikap, agak pemalu,</v>
      </c>
      <c r="S75" s="35" t="str">
        <f>IFERROR(__xludf.DUMMYFUNCTION("""COMPUTED_VALUE"""),"Sudah")</f>
        <v>Sudah</v>
      </c>
      <c r="T75" s="35" t="str">
        <f>IFERROR(__xludf.DUMMYFUNCTION("""COMPUTED_VALUE"""),"Diterima")</f>
        <v>Diterima</v>
      </c>
      <c r="U75" s="35" t="str">
        <f>IFERROR(__xludf.DUMMYFUNCTION("""COMPUTED_VALUE"""),"Abah")</f>
        <v>Abah</v>
      </c>
      <c r="V75" s="71" t="str">
        <f>IFERROR(__xludf.DUMMYFUNCTION("""COMPUTED_VALUE"""),"tetangga, orang Cihaur")</f>
        <v>tetangga, orang Cihaur</v>
      </c>
    </row>
    <row r="76">
      <c r="A76" s="153">
        <f>IFERROR(__xludf.DUMMYFUNCTION("""COMPUTED_VALUE"""),45940.686865254625)</f>
        <v>45940.68687</v>
      </c>
      <c r="B76" s="71" t="str">
        <f>IFERROR(__xludf.DUMMYFUNCTION("""COMPUTED_VALUE"""),"Al Barqi Assaif")</f>
        <v>Al Barqi Assaif</v>
      </c>
      <c r="C76" s="71" t="str">
        <f>IFERROR(__xludf.DUMMYFUNCTION("""COMPUTED_VALUE"""),"Nia Kurniati")</f>
        <v>Nia Kurniati</v>
      </c>
      <c r="D76" s="71" t="str">
        <f>IFERROR(__xludf.DUMMYFUNCTION("""COMPUTED_VALUE"""),"I'L Putra")</f>
        <v>I'L Putra</v>
      </c>
      <c r="E76" s="71" t="str">
        <f>IFERROR(__xludf.DUMMYFUNCTION("""COMPUTED_VALUE"""),"B250007")</f>
        <v>B250007</v>
      </c>
      <c r="F76" s="71" t="str">
        <f>IFERROR(__xludf.DUMMYFUNCTION("""COMPUTED_VALUE"""),"Orangtuanya itsar abdurrahman")</f>
        <v>Orangtuanya itsar abdurrahman</v>
      </c>
      <c r="G76" s="71" t="str">
        <f>IFERROR(__xludf.DUMMYFUNCTION("""COMPUTED_VALUE"""),"Yatim/ah")</f>
        <v>Yatim/ah</v>
      </c>
      <c r="H76" s="158" t="str">
        <f>IFERROR(__xludf.DUMMYFUNCTION("""COMPUTED_VALUE"""),"A. Condong ke orientasi akhirat/agama")</f>
        <v>A. Condong ke orientasi akhirat/agama</v>
      </c>
      <c r="I76" s="158" t="str">
        <f>IFERROR(__xludf.DUMMYFUNCTION("""COMPUTED_VALUE"""),"A. Pilihan utama untuk agama, akhlak, dan karakter")</f>
        <v>A. Pilihan utama untuk agama, akhlak, dan karakter</v>
      </c>
      <c r="J76" s="158" t="str">
        <f>IFERROR(__xludf.DUMMYFUNCTION("""COMPUTED_VALUE"""),"C. Orang tua / ikut teman")</f>
        <v>C. Orang tua / ikut teman</v>
      </c>
      <c r="K76" s="158" t="str">
        <f>IFERROR(__xludf.DUMMYFUNCTION("""COMPUTED_VALUE"""),"A. Memberikan pengertian")</f>
        <v>A. Memberikan pengertian</v>
      </c>
      <c r="L76" s="158" t="str">
        <f>IFERROR(__xludf.DUMMYFUNCTION("""COMPUTED_VALUE"""),"A. Intensif (tahfizh, sekolah Islam)")</f>
        <v>A. Intensif (tahfizh, sekolah Islam)</v>
      </c>
      <c r="M76" s="158" t="str">
        <f>IFERROR(__xludf.DUMMYFUNCTION("""COMPUTED_VALUE"""),"B. Ragu-ragu")</f>
        <v>B. Ragu-ragu</v>
      </c>
      <c r="N76" s="158" t="str">
        <f>IFERROR(__xludf.DUMMYFUNCTION("""COMPUTED_VALUE"""),"A. Sangat penting")</f>
        <v>A. Sangat penting</v>
      </c>
      <c r="O76" s="158" t="str">
        <f>IFERROR(__xludf.DUMMYFUNCTION("""COMPUTED_VALUE"""),"C. Sesempatnya saja")</f>
        <v>C. Sesempatnya saja</v>
      </c>
      <c r="P76" s="158" t="str">
        <f>IFERROR(__xludf.DUMMYFUNCTION("""COMPUTED_VALUE"""),"A. Klarifikasi &amp; beri semangat pada anak")</f>
        <v>A. Klarifikasi &amp; beri semangat pada anak</v>
      </c>
      <c r="Q76" s="158" t="str">
        <f>IFERROR(__xludf.DUMMYFUNCTION("""COMPUTED_VALUE"""),"A. Menerima sebagai konsekuensi (selama bimbingan sudah maksimal)")</f>
        <v>A. Menerima sebagai konsekuensi (selama bimbingan sudah maksimal)</v>
      </c>
      <c r="R76" s="35" t="str">
        <f>IFERROR(__xludf.DUMMYFUNCTION("""COMPUTED_VALUE"""),"Positif : mudah diarahkan, tekun 
Kurangnya: kurang inisiatif, kurang bergaul,  ketergantungan hp")</f>
        <v>Positif : mudah diarahkan, tekun 
Kurangnya: kurang inisiatif, kurang bergaul,  ketergantungan hp</v>
      </c>
      <c r="S76" s="35" t="str">
        <f>IFERROR(__xludf.DUMMYFUNCTION("""COMPUTED_VALUE"""),"Sudah")</f>
        <v>Sudah</v>
      </c>
      <c r="T76" s="35" t="str">
        <f>IFERROR(__xludf.DUMMYFUNCTION("""COMPUTED_VALUE"""),"Diterima dengan catatan")</f>
        <v>Diterima dengan catatan</v>
      </c>
      <c r="U76" s="35" t="str">
        <f>IFERROR(__xludf.DUMMYFUNCTION("""COMPUTED_VALUE"""),"Bachtiar")</f>
        <v>Bachtiar</v>
      </c>
      <c r="V76" s="71" t="str">
        <f>IFERROR(__xludf.DUMMYFUNCTION("""COMPUTED_VALUE"""),"Orangtuanya yg sangat ingin memasukkan pondok anaknya, tapi anaknya masih 50-50")</f>
        <v>Orangtuanya yg sangat ingin memasukkan pondok anaknya, tapi anaknya masih 50-50</v>
      </c>
    </row>
    <row r="77">
      <c r="A77" s="153">
        <f>IFERROR(__xludf.DUMMYFUNCTION("""COMPUTED_VALUE"""),45941.4054603125)</f>
        <v>45941.40546</v>
      </c>
      <c r="B77" s="71" t="str">
        <f>IFERROR(__xludf.DUMMYFUNCTION("""COMPUTED_VALUE"""),"Salman Alfarisi Alamsyah ")</f>
        <v>Salman Alfarisi Alamsyah </v>
      </c>
      <c r="C77" s="71" t="str">
        <f>IFERROR(__xludf.DUMMYFUNCTION("""COMPUTED_VALUE"""),"Ade irawan")</f>
        <v>Ade irawan</v>
      </c>
      <c r="D77" s="71" t="str">
        <f>IFERROR(__xludf.DUMMYFUNCTION("""COMPUTED_VALUE"""),"I'L Putra")</f>
        <v>I'L Putra</v>
      </c>
      <c r="E77" s="71" t="str">
        <f>IFERROR(__xludf.DUMMYFUNCTION("""COMPUTED_VALUE"""),"B250012")</f>
        <v>B250012</v>
      </c>
      <c r="F77" s="71" t="str">
        <f>IFERROR(__xludf.DUMMYFUNCTION("""COMPUTED_VALUE"""),"Brosur yg disebar ")</f>
        <v>Brosur yg disebar </v>
      </c>
      <c r="G77" s="71" t="str">
        <f>IFERROR(__xludf.DUMMYFUNCTION("""COMPUTED_VALUE"""),"Baru")</f>
        <v>Baru</v>
      </c>
      <c r="H77" s="158" t="str">
        <f>IFERROR(__xludf.DUMMYFUNCTION("""COMPUTED_VALUE"""),"A. Condong ke orientasi akhirat/agama")</f>
        <v>A. Condong ke orientasi akhirat/agama</v>
      </c>
      <c r="I77" s="158" t="str">
        <f>IFERROR(__xludf.DUMMYFUNCTION("""COMPUTED_VALUE"""),"A. Pilihan utama untuk agama, akhlak, dan karakter")</f>
        <v>A. Pilihan utama untuk agama, akhlak, dan karakter</v>
      </c>
      <c r="J77" s="158" t="str">
        <f>IFERROR(__xludf.DUMMYFUNCTION("""COMPUTED_VALUE"""),"A. Orang tua &amp; anak")</f>
        <v>A. Orang tua &amp; anak</v>
      </c>
      <c r="K77" s="158" t="str">
        <f>IFERROR(__xludf.DUMMYFUNCTION("""COMPUTED_VALUE"""),"A. Memberikan pengertian")</f>
        <v>A. Memberikan pengertian</v>
      </c>
      <c r="L77" s="158" t="str">
        <f>IFERROR(__xludf.DUMMYFUNCTION("""COMPUTED_VALUE"""),"A. Intensif (tahfizh, sekolah Islam)")</f>
        <v>A. Intensif (tahfizh, sekolah Islam)</v>
      </c>
      <c r="M77" s="158" t="str">
        <f>IFERROR(__xludf.DUMMYFUNCTION("""COMPUTED_VALUE"""),"A. Yakin")</f>
        <v>A. Yakin</v>
      </c>
      <c r="N77" s="158" t="str">
        <f>IFERROR(__xludf.DUMMYFUNCTION("""COMPUTED_VALUE"""),"A. Sangat penting")</f>
        <v>A. Sangat penting</v>
      </c>
      <c r="O77" s="158" t="str">
        <f>IFERROR(__xludf.DUMMYFUNCTION("""COMPUTED_VALUE"""),"A. Berkala")</f>
        <v>A. Berkala</v>
      </c>
      <c r="P77" s="158" t="str">
        <f>IFERROR(__xludf.DUMMYFUNCTION("""COMPUTED_VALUE"""),"A. Klarifikasi &amp; beri semangat pada anak")</f>
        <v>A. Klarifikasi &amp; beri semangat pada anak</v>
      </c>
      <c r="Q77" s="158" t="str">
        <f>IFERROR(__xludf.DUMMYFUNCTION("""COMPUTED_VALUE"""),"A. Menerima sebagai konsekuensi (selama bimbingan sudah maksimal)")</f>
        <v>A. Menerima sebagai konsekuensi (selama bimbingan sudah maksimal)</v>
      </c>
      <c r="R77" s="35" t="str">
        <f>IFERROR(__xludf.DUMMYFUNCTION("""COMPUTED_VALUE"""),"Kekurangan: agak lambat menghafal, keterbatasan motorik 
")</f>
        <v>Kekurangan: agak lambat menghafal, keterbatasan motorik 
</v>
      </c>
      <c r="S77" s="35" t="str">
        <f>IFERROR(__xludf.DUMMYFUNCTION("""COMPUTED_VALUE"""),"Sudah")</f>
        <v>Sudah</v>
      </c>
      <c r="T77" s="35" t="str">
        <f>IFERROR(__xludf.DUMMYFUNCTION("""COMPUTED_VALUE"""),"Diterima")</f>
        <v>Diterima</v>
      </c>
      <c r="U77" s="35" t="str">
        <f>IFERROR(__xludf.DUMMYFUNCTION("""COMPUTED_VALUE"""),"Bachtiar")</f>
        <v>Bachtiar</v>
      </c>
      <c r="V77" s="71"/>
    </row>
    <row r="78">
      <c r="A78" s="153">
        <f>IFERROR(__xludf.DUMMYFUNCTION("""COMPUTED_VALUE"""),45941.43313472222)</f>
        <v>45941.43313</v>
      </c>
      <c r="B78" s="158" t="str">
        <f>IFERROR(__xludf.DUMMYFUNCTION("""COMPUTED_VALUE"""),"FATHAN SYAHRIL SUSENO")</f>
        <v>FATHAN SYAHRIL SUSENO</v>
      </c>
      <c r="C78" s="71" t="str">
        <f>IFERROR(__xludf.DUMMYFUNCTION("""COMPUTED_VALUE"""),"ANDI SUSENO")</f>
        <v>ANDI SUSENO</v>
      </c>
      <c r="D78" s="71" t="str">
        <f>IFERROR(__xludf.DUMMYFUNCTION("""COMPUTED_VALUE"""),"SMA")</f>
        <v>SMA</v>
      </c>
      <c r="E78" s="71" t="str">
        <f>IFERROR(__xludf.DUMMYFUNCTION("""COMPUTED_VALUE"""),"C250016")</f>
        <v>C250016</v>
      </c>
      <c r="F78" s="71" t="str">
        <f>IFERROR(__xludf.DUMMYFUNCTION("""COMPUTED_VALUE"""),"Dr tetangga yg anaknya arfa")</f>
        <v>Dr tetangga yg anaknya arfa</v>
      </c>
      <c r="G78" s="71" t="str">
        <f>IFERROR(__xludf.DUMMYFUNCTION("""COMPUTED_VALUE"""),"Baru")</f>
        <v>Baru</v>
      </c>
      <c r="H78" s="158" t="str">
        <f>IFERROR(__xludf.DUMMYFUNCTION("""COMPUTED_VALUE"""),"A. Condong ke orientasi akhirat/agama")</f>
        <v>A. Condong ke orientasi akhirat/agama</v>
      </c>
      <c r="I78" s="158" t="str">
        <f>IFERROR(__xludf.DUMMYFUNCTION("""COMPUTED_VALUE"""),"A. Pilihan utama untuk agama, akhlak, dan karakter")</f>
        <v>A. Pilihan utama untuk agama, akhlak, dan karakter</v>
      </c>
      <c r="J78" s="158" t="str">
        <f>IFERROR(__xludf.DUMMYFUNCTION("""COMPUTED_VALUE"""),"A. Orang tua &amp; anak")</f>
        <v>A. Orang tua &amp; anak</v>
      </c>
      <c r="K78" s="158" t="str">
        <f>IFERROR(__xludf.DUMMYFUNCTION("""COMPUTED_VALUE"""),"A. Memberikan pengertian")</f>
        <v>A. Memberikan pengertian</v>
      </c>
      <c r="L78" s="158" t="str">
        <f>IFERROR(__xludf.DUMMYFUNCTION("""COMPUTED_VALUE"""),"A. Intensif (tahfizh, sekolah Islam)")</f>
        <v>A. Intensif (tahfizh, sekolah Islam)</v>
      </c>
      <c r="M78" s="158" t="str">
        <f>IFERROR(__xludf.DUMMYFUNCTION("""COMPUTED_VALUE"""),"A. Yakin")</f>
        <v>A. Yakin</v>
      </c>
      <c r="N78" s="158" t="str">
        <f>IFERROR(__xludf.DUMMYFUNCTION("""COMPUTED_VALUE"""),"A. Sangat penting")</f>
        <v>A. Sangat penting</v>
      </c>
      <c r="O78" s="158" t="str">
        <f>IFERROR(__xludf.DUMMYFUNCTION("""COMPUTED_VALUE"""),"A. Berkala")</f>
        <v>A. Berkala</v>
      </c>
      <c r="P78" s="158" t="str">
        <f>IFERROR(__xludf.DUMMYFUNCTION("""COMPUTED_VALUE"""),"A. Klarifikasi &amp; beri semangat pada anak")</f>
        <v>A. Klarifikasi &amp; beri semangat pada anak</v>
      </c>
      <c r="Q78" s="158" t="str">
        <f>IFERROR(__xludf.DUMMYFUNCTION("""COMPUTED_VALUE"""),"A. Menerima sebagai konsekuensi (selama bimbingan sudah maksimal)")</f>
        <v>A. Menerima sebagai konsekuensi (selama bimbingan sudah maksimal)</v>
      </c>
      <c r="R78" s="35" t="str">
        <f>IFERROR(__xludf.DUMMYFUNCTION("""COMPUTED_VALUE"""),"Suka Dunia IT, susah bgun, peka membantu ortu. Gampang terpengaruh tmn. Mudah bergaul.")</f>
        <v>Suka Dunia IT, susah bgun, peka membantu ortu. Gampang terpengaruh tmn. Mudah bergaul.</v>
      </c>
      <c r="S78" s="35" t="str">
        <f>IFERROR(__xludf.DUMMYFUNCTION("""COMPUTED_VALUE"""),"Belum")</f>
        <v>Belum</v>
      </c>
      <c r="T78" s="35" t="str">
        <f>IFERROR(__xludf.DUMMYFUNCTION("""COMPUTED_VALUE"""),"Diterima")</f>
        <v>Diterima</v>
      </c>
      <c r="U78" s="35" t="str">
        <f>IFERROR(__xludf.DUMMYFUNCTION("""COMPUTED_VALUE"""),"Syarif")</f>
        <v>Syarif</v>
      </c>
      <c r="V78" s="71" t="str">
        <f>IFERROR(__xludf.DUMMYFUNCTION("""COMPUTED_VALUE"""),"Nunggu test santri krn")</f>
        <v>Nunggu test santri krn</v>
      </c>
    </row>
    <row r="79">
      <c r="A79" s="153">
        <f>IFERROR(__xludf.DUMMYFUNCTION("""COMPUTED_VALUE"""),45941.44178001158)</f>
        <v>45941.44178</v>
      </c>
      <c r="B79" s="71" t="str">
        <f>IFERROR(__xludf.DUMMYFUNCTION("""COMPUTED_VALUE"""),"Sulthan Abrisam Karim")</f>
        <v>Sulthan Abrisam Karim</v>
      </c>
      <c r="C79" s="71" t="str">
        <f>IFERROR(__xludf.DUMMYFUNCTION("""COMPUTED_VALUE"""),"Anjar p")</f>
        <v>Anjar p</v>
      </c>
      <c r="D79" s="71" t="str">
        <f>IFERROR(__xludf.DUMMYFUNCTION("""COMPUTED_VALUE"""),"MTs Putra")</f>
        <v>MTs Putra</v>
      </c>
      <c r="E79" s="71" t="str">
        <f>IFERROR(__xludf.DUMMYFUNCTION("""COMPUTED_VALUE"""),"A250041")</f>
        <v>A250041</v>
      </c>
      <c r="F79" s="71" t="str">
        <f>IFERROR(__xludf.DUMMYFUNCTION("""COMPUTED_VALUE"""),"Teman anak")</f>
        <v>Teman anak</v>
      </c>
      <c r="G79" s="71" t="str">
        <f>IFERROR(__xludf.DUMMYFUNCTION("""COMPUTED_VALUE"""),"Baru")</f>
        <v>Baru</v>
      </c>
      <c r="H79" s="158" t="str">
        <f>IFERROR(__xludf.DUMMYFUNCTION("""COMPUTED_VALUE"""),"A. Condong ke orientasi akhirat/agama")</f>
        <v>A. Condong ke orientasi akhirat/agama</v>
      </c>
      <c r="I79" s="158" t="str">
        <f>IFERROR(__xludf.DUMMYFUNCTION("""COMPUTED_VALUE"""),"A. Pilihan utama untuk agama, akhlak, dan karakter")</f>
        <v>A. Pilihan utama untuk agama, akhlak, dan karakter</v>
      </c>
      <c r="J79" s="158" t="str">
        <f>IFERROR(__xludf.DUMMYFUNCTION("""COMPUTED_VALUE"""),"A. Orang tua &amp; anak")</f>
        <v>A. Orang tua &amp; anak</v>
      </c>
      <c r="K79" s="158" t="str">
        <f>IFERROR(__xludf.DUMMYFUNCTION("""COMPUTED_VALUE"""),"A. Memberikan pengertian")</f>
        <v>A. Memberikan pengertian</v>
      </c>
      <c r="L79" s="158" t="str">
        <f>IFERROR(__xludf.DUMMYFUNCTION("""COMPUTED_VALUE"""),"A. Intensif (tahfizh, sekolah Islam)")</f>
        <v>A. Intensif (tahfizh, sekolah Islam)</v>
      </c>
      <c r="M79" s="158" t="str">
        <f>IFERROR(__xludf.DUMMYFUNCTION("""COMPUTED_VALUE"""),"A. Yakin")</f>
        <v>A. Yakin</v>
      </c>
      <c r="N79" s="158" t="str">
        <f>IFERROR(__xludf.DUMMYFUNCTION("""COMPUTED_VALUE"""),"A. Sangat penting")</f>
        <v>A. Sangat penting</v>
      </c>
      <c r="O79" s="158" t="str">
        <f>IFERROR(__xludf.DUMMYFUNCTION("""COMPUTED_VALUE"""),"C. Sesempatnya saja")</f>
        <v>C. Sesempatnya saja</v>
      </c>
      <c r="P79" s="158" t="str">
        <f>IFERROR(__xludf.DUMMYFUNCTION("""COMPUTED_VALUE"""),"A. Klarifikasi &amp; beri semangat pada anak")</f>
        <v>A. Klarifikasi &amp; beri semangat pada anak</v>
      </c>
      <c r="Q79" s="158" t="str">
        <f>IFERROR(__xludf.DUMMYFUNCTION("""COMPUTED_VALUE"""),"A. Menerima sebagai konsekuensi (selama bimbingan sudah maksimal)")</f>
        <v>A. Menerima sebagai konsekuensi (selama bimbingan sudah maksimal)</v>
      </c>
      <c r="R79" s="35" t="str">
        <f>IFERROR(__xludf.DUMMYFUNCTION("""COMPUTED_VALUE"""),"Negatif : ngirian sama adek nya, emosi blm stabil 
Positif: suka bantu². ")</f>
        <v>Negatif : ngirian sama adek nya, emosi blm stabil 
Positif: suka bantu². </v>
      </c>
      <c r="S79" s="35" t="str">
        <f>IFERROR(__xludf.DUMMYFUNCTION("""COMPUTED_VALUE"""),"Sudah")</f>
        <v>Sudah</v>
      </c>
      <c r="T79" s="35" t="str">
        <f>IFERROR(__xludf.DUMMYFUNCTION("""COMPUTED_VALUE"""),"Diterima")</f>
        <v>Diterima</v>
      </c>
      <c r="U79" s="35" t="str">
        <f>IFERROR(__xludf.DUMMYFUNCTION("""COMPUTED_VALUE"""),"Bachtiar")</f>
        <v>Bachtiar</v>
      </c>
      <c r="V79" s="71"/>
    </row>
    <row r="80">
      <c r="A80" s="153">
        <f>IFERROR(__xludf.DUMMYFUNCTION("""COMPUTED_VALUE"""),45941.49391630787)</f>
        <v>45941.49392</v>
      </c>
      <c r="B80" s="71" t="str">
        <f>IFERROR(__xludf.DUMMYFUNCTION("""COMPUTED_VALUE"""),"ABDURRAHMAN HAFIZH AYYASI")</f>
        <v>ABDURRAHMAN HAFIZH AYYASI</v>
      </c>
      <c r="C80" s="71" t="str">
        <f>IFERROR(__xludf.DUMMYFUNCTION("""COMPUTED_VALUE"""),"Lusiana Octrina")</f>
        <v>Lusiana Octrina</v>
      </c>
      <c r="D80" s="71" t="str">
        <f>IFERROR(__xludf.DUMMYFUNCTION("""COMPUTED_VALUE"""),"I'L Putra")</f>
        <v>I'L Putra</v>
      </c>
      <c r="E80" s="71" t="str">
        <f>IFERROR(__xludf.DUMMYFUNCTION("""COMPUTED_VALUE"""),"B250013")</f>
        <v>B250013</v>
      </c>
      <c r="F80" s="71" t="str">
        <f>IFERROR(__xludf.DUMMYFUNCTION("""COMPUTED_VALUE"""),"FB")</f>
        <v>FB</v>
      </c>
      <c r="G80" s="71" t="str">
        <f>IFERROR(__xludf.DUMMYFUNCTION("""COMPUTED_VALUE"""),"Yatim/ah")</f>
        <v>Yatim/ah</v>
      </c>
      <c r="H80" s="158" t="str">
        <f>IFERROR(__xludf.DUMMYFUNCTION("""COMPUTED_VALUE"""),"A. Condong ke orientasi akhirat/agama")</f>
        <v>A. Condong ke orientasi akhirat/agama</v>
      </c>
      <c r="I80" s="158" t="str">
        <f>IFERROR(__xludf.DUMMYFUNCTION("""COMPUTED_VALUE"""),"A. Pilihan utama untuk agama, akhlak, dan karakter")</f>
        <v>A. Pilihan utama untuk agama, akhlak, dan karakter</v>
      </c>
      <c r="J80" s="158" t="str">
        <f>IFERROR(__xludf.DUMMYFUNCTION("""COMPUTED_VALUE"""),"A. Orang tua &amp; anak")</f>
        <v>A. Orang tua &amp; anak</v>
      </c>
      <c r="K80" s="158" t="str">
        <f>IFERROR(__xludf.DUMMYFUNCTION("""COMPUTED_VALUE"""),"A. Memberikan pengertian")</f>
        <v>A. Memberikan pengertian</v>
      </c>
      <c r="L80" s="158" t="str">
        <f>IFERROR(__xludf.DUMMYFUNCTION("""COMPUTED_VALUE"""),"A. Intensif (tahfizh, sekolah Islam)")</f>
        <v>A. Intensif (tahfizh, sekolah Islam)</v>
      </c>
      <c r="M80" s="158" t="str">
        <f>IFERROR(__xludf.DUMMYFUNCTION("""COMPUTED_VALUE"""),"A. Yakin")</f>
        <v>A. Yakin</v>
      </c>
      <c r="N80" s="158" t="str">
        <f>IFERROR(__xludf.DUMMYFUNCTION("""COMPUTED_VALUE"""),"A. Sangat penting")</f>
        <v>A. Sangat penting</v>
      </c>
      <c r="O80" s="158" t="str">
        <f>IFERROR(__xludf.DUMMYFUNCTION("""COMPUTED_VALUE"""),"A. Berkala")</f>
        <v>A. Berkala</v>
      </c>
      <c r="P80" s="158" t="str">
        <f>IFERROR(__xludf.DUMMYFUNCTION("""COMPUTED_VALUE"""),"A. Klarifikasi &amp; beri semangat pada anak")</f>
        <v>A. Klarifikasi &amp; beri semangat pada anak</v>
      </c>
      <c r="Q80" s="158" t="str">
        <f>IFERROR(__xludf.DUMMYFUNCTION("""COMPUTED_VALUE"""),"A. Menerima sebagai konsekuensi (selama bimbingan sudah maksimal)")</f>
        <v>A. Menerima sebagai konsekuensi (selama bimbingan sudah maksimal)</v>
      </c>
      <c r="R80" s="35" t="str">
        <f>IFERROR(__xludf.DUMMYFUNCTION("""COMPUTED_VALUE"""),"Positif : Nurut, Mudah beradaptasi
Negatif : Main game")</f>
        <v>Positif : Nurut, Mudah beradaptasi
Negatif : Main game</v>
      </c>
      <c r="S80" s="35" t="str">
        <f>IFERROR(__xludf.DUMMYFUNCTION("""COMPUTED_VALUE"""),"Sudah")</f>
        <v>Sudah</v>
      </c>
      <c r="T80" s="35" t="str">
        <f>IFERROR(__xludf.DUMMYFUNCTION("""COMPUTED_VALUE"""),"Diterima")</f>
        <v>Diterima</v>
      </c>
      <c r="U80" s="35" t="str">
        <f>IFERROR(__xludf.DUMMYFUNCTION("""COMPUTED_VALUE"""),"Adib")</f>
        <v>Adib</v>
      </c>
      <c r="V80" s="71" t="str">
        <f>IFERROR(__xludf.DUMMYFUNCTION("""COMPUTED_VALUE"""),"Anak yatim")</f>
        <v>Anak yatim</v>
      </c>
    </row>
    <row r="81">
      <c r="A81" s="153">
        <f>IFERROR(__xludf.DUMMYFUNCTION("""COMPUTED_VALUE"""),45942.43119672454)</f>
        <v>45942.4312</v>
      </c>
      <c r="B81" s="71" t="str">
        <f>IFERROR(__xludf.DUMMYFUNCTION("""COMPUTED_VALUE"""),"Fatih Kenzie Dzulian Anado")</f>
        <v>Fatih Kenzie Dzulian Anado</v>
      </c>
      <c r="C81" s="71" t="str">
        <f>IFERROR(__xludf.DUMMYFUNCTION("""COMPUTED_VALUE"""),"Dony Arifianto (ayah), Masriyah Yulianah (ibu)")</f>
        <v>Dony Arifianto (ayah), Masriyah Yulianah (ibu)</v>
      </c>
      <c r="D81" s="71" t="str">
        <f>IFERROR(__xludf.DUMMYFUNCTION("""COMPUTED_VALUE"""),"MTs Putra")</f>
        <v>MTs Putra</v>
      </c>
      <c r="E81" s="71" t="str">
        <f>IFERROR(__xludf.DUMMYFUNCTION("""COMPUTED_VALUE"""),"A250019")</f>
        <v>A250019</v>
      </c>
      <c r="F81" s="71" t="str">
        <f>IFERROR(__xludf.DUMMYFUNCTION("""COMPUTED_VALUE"""),"Ustadz Syauqi, saudara Rakha Shabiyan.")</f>
        <v>Ustadz Syauqi, saudara Rakha Shabiyan.</v>
      </c>
      <c r="G81" s="71" t="str">
        <f>IFERROR(__xludf.DUMMYFUNCTION("""COMPUTED_VALUE"""),"Memiliki teman/rekan/tetangga di PUAS")</f>
        <v>Memiliki teman/rekan/tetangga di PUAS</v>
      </c>
      <c r="H81" s="158" t="str">
        <f>IFERROR(__xludf.DUMMYFUNCTION("""COMPUTED_VALUE"""),"A. Condong ke orientasi akhirat/agama")</f>
        <v>A. Condong ke orientasi akhirat/agama</v>
      </c>
      <c r="I81" s="158" t="str">
        <f>IFERROR(__xludf.DUMMYFUNCTION("""COMPUTED_VALUE"""),"A. Pilihan utama untuk agama, akhlak, dan karakter")</f>
        <v>A. Pilihan utama untuk agama, akhlak, dan karakter</v>
      </c>
      <c r="J81" s="158" t="str">
        <f>IFERROR(__xludf.DUMMYFUNCTION("""COMPUTED_VALUE"""),"A. Orang tua &amp; anak")</f>
        <v>A. Orang tua &amp; anak</v>
      </c>
      <c r="K81" s="158" t="str">
        <f>IFERROR(__xludf.DUMMYFUNCTION("""COMPUTED_VALUE"""),"A. Memberikan pengertian")</f>
        <v>A. Memberikan pengertian</v>
      </c>
      <c r="L81" s="158" t="str">
        <f>IFERROR(__xludf.DUMMYFUNCTION("""COMPUTED_VALUE"""),"A. Intensif (tahfizh, sekolah Islam)")</f>
        <v>A. Intensif (tahfizh, sekolah Islam)</v>
      </c>
      <c r="M81" s="158" t="str">
        <f>IFERROR(__xludf.DUMMYFUNCTION("""COMPUTED_VALUE"""),"A. Yakin")</f>
        <v>A. Yakin</v>
      </c>
      <c r="N81" s="158" t="str">
        <f>IFERROR(__xludf.DUMMYFUNCTION("""COMPUTED_VALUE"""),"A. Sangat penting")</f>
        <v>A. Sangat penting</v>
      </c>
      <c r="O81" s="158" t="str">
        <f>IFERROR(__xludf.DUMMYFUNCTION("""COMPUTED_VALUE"""),"A. Berkala")</f>
        <v>A. Berkala</v>
      </c>
      <c r="P81" s="158" t="str">
        <f>IFERROR(__xludf.DUMMYFUNCTION("""COMPUTED_VALUE"""),"A. Klarifikasi &amp; beri semangat pada anak")</f>
        <v>A. Klarifikasi &amp; beri semangat pada anak</v>
      </c>
      <c r="Q81" s="158" t="str">
        <f>IFERROR(__xludf.DUMMYFUNCTION("""COMPUTED_VALUE"""),"A. Menerima sebagai konsekuensi (selama bimbingan sudah maksimal)")</f>
        <v>A. Menerima sebagai konsekuensi (selama bimbingan sudah maksimal)</v>
      </c>
      <c r="R81" s="35" t="str">
        <f>IFERROR(__xludf.DUMMYFUNCTION("""COMPUTED_VALUE"""),"Ketika bersemangat sangat kuat, kalau udah main HP.")</f>
        <v>Ketika bersemangat sangat kuat, kalau udah main HP.</v>
      </c>
      <c r="S81" s="35" t="str">
        <f>IFERROR(__xludf.DUMMYFUNCTION("""COMPUTED_VALUE"""),"Sudah")</f>
        <v>Sudah</v>
      </c>
      <c r="T81" s="35" t="str">
        <f>IFERROR(__xludf.DUMMYFUNCTION("""COMPUTED_VALUE"""),"Diterima")</f>
        <v>Diterima</v>
      </c>
      <c r="U81" s="35" t="str">
        <f>IFERROR(__xludf.DUMMYFUNCTION("""COMPUTED_VALUE"""),"Abah")</f>
        <v>Abah</v>
      </c>
      <c r="V81" s="71"/>
    </row>
    <row r="82">
      <c r="A82" s="153">
        <f>IFERROR(__xludf.DUMMYFUNCTION("""COMPUTED_VALUE"""),45943.530839733794)</f>
        <v>45943.53084</v>
      </c>
      <c r="B82" s="158" t="str">
        <f>IFERROR(__xludf.DUMMYFUNCTION("""COMPUTED_VALUE"""),"SITI FATIMAH AZZAHRA")</f>
        <v>SITI FATIMAH AZZAHRA</v>
      </c>
      <c r="C82" s="71" t="str">
        <f>IFERROR(__xludf.DUMMYFUNCTION("""COMPUTED_VALUE"""),"Mamid")</f>
        <v>Mamid</v>
      </c>
      <c r="D82" s="71" t="str">
        <f>IFERROR(__xludf.DUMMYFUNCTION("""COMPUTED_VALUE"""),"MTs Putri")</f>
        <v>MTs Putri</v>
      </c>
      <c r="E82" s="71" t="str">
        <f>IFERROR(__xludf.DUMMYFUNCTION("""COMPUTED_VALUE"""),"D250010")</f>
        <v>D250010</v>
      </c>
      <c r="F82" s="71" t="str">
        <f>IFERROR(__xludf.DUMMYFUNCTION("""COMPUTED_VALUE"""),"Anak civitas")</f>
        <v>Anak civitas</v>
      </c>
      <c r="G82" s="71" t="str">
        <f>IFERROR(__xludf.DUMMYFUNCTION("""COMPUTED_VALUE"""),"Memiliki keluarga/saudara/kerabat di PUAS")</f>
        <v>Memiliki keluarga/saudara/kerabat di PUAS</v>
      </c>
      <c r="H82" s="158" t="str">
        <f>IFERROR(__xludf.DUMMYFUNCTION("""COMPUTED_VALUE"""),"A. Condong ke orientasi akhirat/agama")</f>
        <v>A. Condong ke orientasi akhirat/agama</v>
      </c>
      <c r="I82" s="158" t="str">
        <f>IFERROR(__xludf.DUMMYFUNCTION("""COMPUTED_VALUE"""),"A. Pilihan utama untuk agama, akhlak, dan karakter")</f>
        <v>A. Pilihan utama untuk agama, akhlak, dan karakter</v>
      </c>
      <c r="J82" s="158" t="str">
        <f>IFERROR(__xludf.DUMMYFUNCTION("""COMPUTED_VALUE"""),"A. Orang tua &amp; anak")</f>
        <v>A. Orang tua &amp; anak</v>
      </c>
      <c r="K82" s="158" t="str">
        <f>IFERROR(__xludf.DUMMYFUNCTION("""COMPUTED_VALUE"""),"A. Memberikan pengertian")</f>
        <v>A. Memberikan pengertian</v>
      </c>
      <c r="L82" s="158" t="str">
        <f>IFERROR(__xludf.DUMMYFUNCTION("""COMPUTED_VALUE"""),"A. Intensif (tahfizh, sekolah Islam)")</f>
        <v>A. Intensif (tahfizh, sekolah Islam)</v>
      </c>
      <c r="M82" s="158" t="str">
        <f>IFERROR(__xludf.DUMMYFUNCTION("""COMPUTED_VALUE"""),"A. Yakin")</f>
        <v>A. Yakin</v>
      </c>
      <c r="N82" s="158" t="str">
        <f>IFERROR(__xludf.DUMMYFUNCTION("""COMPUTED_VALUE"""),"A. Sangat penting")</f>
        <v>A. Sangat penting</v>
      </c>
      <c r="O82" s="158" t="str">
        <f>IFERROR(__xludf.DUMMYFUNCTION("""COMPUTED_VALUE"""),"A. Berkala")</f>
        <v>A. Berkala</v>
      </c>
      <c r="P82" s="158" t="str">
        <f>IFERROR(__xludf.DUMMYFUNCTION("""COMPUTED_VALUE"""),"A. Klarifikasi &amp; beri semangat pada anak")</f>
        <v>A. Klarifikasi &amp; beri semangat pada anak</v>
      </c>
      <c r="Q82" s="158" t="str">
        <f>IFERROR(__xludf.DUMMYFUNCTION("""COMPUTED_VALUE"""),"A. Menerima sebagai konsekuensi (selama bimbingan sudah maksimal)")</f>
        <v>A. Menerima sebagai konsekuensi (selama bimbingan sudah maksimal)</v>
      </c>
      <c r="R82" s="35" t="str">
        <f>IFERROR(__xludf.DUMMYFUNCTION("""COMPUTED_VALUE"""),"Positif : Supel, Cerdas
Negatif : Manja")</f>
        <v>Positif : Supel, Cerdas
Negatif : Manja</v>
      </c>
      <c r="S82" s="35" t="str">
        <f>IFERROR(__xludf.DUMMYFUNCTION("""COMPUTED_VALUE"""),"Sudah")</f>
        <v>Sudah</v>
      </c>
      <c r="T82" s="35" t="str">
        <f>IFERROR(__xludf.DUMMYFUNCTION("""COMPUTED_VALUE"""),"Diterima")</f>
        <v>Diterima</v>
      </c>
      <c r="U82" s="35" t="str">
        <f>IFERROR(__xludf.DUMMYFUNCTION("""COMPUTED_VALUE"""),"Adib")</f>
        <v>Adib</v>
      </c>
      <c r="V82" s="71"/>
    </row>
    <row r="83">
      <c r="A83" s="153">
        <f>IFERROR(__xludf.DUMMYFUNCTION("""COMPUTED_VALUE"""),45943.532211261576)</f>
        <v>45943.53221</v>
      </c>
      <c r="B83" s="158" t="str">
        <f>IFERROR(__xludf.DUMMYFUNCTION("""COMPUTED_VALUE"""),"Ulfia Nurfauziah")</f>
        <v>Ulfia Nurfauziah</v>
      </c>
      <c r="C83" s="71" t="str">
        <f>IFERROR(__xludf.DUMMYFUNCTION("""COMPUTED_VALUE"""),"UJANG RIDWAN NURJALAL, S.AG., M.M.Pd")</f>
        <v>UJANG RIDWAN NURJALAL, S.AG., M.M.Pd</v>
      </c>
      <c r="D83" s="71" t="str">
        <f>IFERROR(__xludf.DUMMYFUNCTION("""COMPUTED_VALUE"""),"MTs Putri")</f>
        <v>MTs Putri</v>
      </c>
      <c r="E83" s="71" t="str">
        <f>IFERROR(__xludf.DUMMYFUNCTION("""COMPUTED_VALUE"""),"D250027")</f>
        <v>D250027</v>
      </c>
      <c r="F83" s="71" t="str">
        <f>IFERROR(__xludf.DUMMYFUNCTION("""COMPUTED_VALUE"""),"Anak Civitas")</f>
        <v>Anak Civitas</v>
      </c>
      <c r="G83" s="71" t="str">
        <f>IFERROR(__xludf.DUMMYFUNCTION("""COMPUTED_VALUE"""),"Memiliki keluarga/saudara/kerabat di PUAS")</f>
        <v>Memiliki keluarga/saudara/kerabat di PUAS</v>
      </c>
      <c r="H83" s="158" t="str">
        <f>IFERROR(__xludf.DUMMYFUNCTION("""COMPUTED_VALUE"""),"A. Condong ke orientasi akhirat/agama")</f>
        <v>A. Condong ke orientasi akhirat/agama</v>
      </c>
      <c r="I83" s="158" t="str">
        <f>IFERROR(__xludf.DUMMYFUNCTION("""COMPUTED_VALUE"""),"A. Pilihan utama untuk agama, akhlak, dan karakter")</f>
        <v>A. Pilihan utama untuk agama, akhlak, dan karakter</v>
      </c>
      <c r="J83" s="158" t="str">
        <f>IFERROR(__xludf.DUMMYFUNCTION("""COMPUTED_VALUE"""),"A. Orang tua &amp; anak")</f>
        <v>A. Orang tua &amp; anak</v>
      </c>
      <c r="K83" s="158" t="str">
        <f>IFERROR(__xludf.DUMMYFUNCTION("""COMPUTED_VALUE"""),"A. Memberikan pengertian")</f>
        <v>A. Memberikan pengertian</v>
      </c>
      <c r="L83" s="158" t="str">
        <f>IFERROR(__xludf.DUMMYFUNCTION("""COMPUTED_VALUE"""),"A. Intensif (tahfizh, sekolah Islam)")</f>
        <v>A. Intensif (tahfizh, sekolah Islam)</v>
      </c>
      <c r="M83" s="158" t="str">
        <f>IFERROR(__xludf.DUMMYFUNCTION("""COMPUTED_VALUE"""),"A. Yakin")</f>
        <v>A. Yakin</v>
      </c>
      <c r="N83" s="158" t="str">
        <f>IFERROR(__xludf.DUMMYFUNCTION("""COMPUTED_VALUE"""),"A. Sangat penting")</f>
        <v>A. Sangat penting</v>
      </c>
      <c r="O83" s="158" t="str">
        <f>IFERROR(__xludf.DUMMYFUNCTION("""COMPUTED_VALUE"""),"A. Berkala")</f>
        <v>A. Berkala</v>
      </c>
      <c r="P83" s="158" t="str">
        <f>IFERROR(__xludf.DUMMYFUNCTION("""COMPUTED_VALUE"""),"A. Klarifikasi &amp; beri semangat pada anak")</f>
        <v>A. Klarifikasi &amp; beri semangat pada anak</v>
      </c>
      <c r="Q83" s="158" t="str">
        <f>IFERROR(__xludf.DUMMYFUNCTION("""COMPUTED_VALUE"""),"A. Menerima sebagai konsekuensi (selama bimbingan sudah maksimal)")</f>
        <v>A. Menerima sebagai konsekuensi (selama bimbingan sudah maksimal)</v>
      </c>
      <c r="R83" s="35" t="str">
        <f>IFERROR(__xludf.DUMMYFUNCTION("""COMPUTED_VALUE"""),"Positif : Supel, Cerdas
Negatif : Manja")</f>
        <v>Positif : Supel, Cerdas
Negatif : Manja</v>
      </c>
      <c r="S83" s="35" t="str">
        <f>IFERROR(__xludf.DUMMYFUNCTION("""COMPUTED_VALUE"""),"Sudah")</f>
        <v>Sudah</v>
      </c>
      <c r="T83" s="35" t="str">
        <f>IFERROR(__xludf.DUMMYFUNCTION("""COMPUTED_VALUE"""),"Diterima")</f>
        <v>Diterima</v>
      </c>
      <c r="U83" s="35" t="str">
        <f>IFERROR(__xludf.DUMMYFUNCTION("""COMPUTED_VALUE"""),"Adib")</f>
        <v>Adib</v>
      </c>
      <c r="V83" s="71"/>
    </row>
    <row r="84">
      <c r="A84" s="153">
        <f>IFERROR(__xludf.DUMMYFUNCTION("""COMPUTED_VALUE"""),45943.6744359838)</f>
        <v>45943.67444</v>
      </c>
      <c r="B84" s="158" t="str">
        <f>IFERROR(__xludf.DUMMYFUNCTION("""COMPUTED_VALUE"""),"Kamil Iskandar")</f>
        <v>Kamil Iskandar</v>
      </c>
      <c r="C84" s="71" t="str">
        <f>IFERROR(__xludf.DUMMYFUNCTION("""COMPUTED_VALUE"""),"Intan Ade yulia")</f>
        <v>Intan Ade yulia</v>
      </c>
      <c r="D84" s="71" t="str">
        <f>IFERROR(__xludf.DUMMYFUNCTION("""COMPUTED_VALUE"""),"SMA")</f>
        <v>SMA</v>
      </c>
      <c r="E84" s="71" t="str">
        <f>IFERROR(__xludf.DUMMYFUNCTION("""COMPUTED_VALUE"""),"C250018")</f>
        <v>C250018</v>
      </c>
      <c r="F84" s="71" t="str">
        <f>IFERROR(__xludf.DUMMYFUNCTION("""COMPUTED_VALUE"""),"TikTok")</f>
        <v>TikTok</v>
      </c>
      <c r="G84" s="71" t="str">
        <f>IFERROR(__xludf.DUMMYFUNCTION("""COMPUTED_VALUE"""),"Memiliki keluarga/saudara/kerabat di PUAS")</f>
        <v>Memiliki keluarga/saudara/kerabat di PUAS</v>
      </c>
      <c r="H84" s="158" t="str">
        <f>IFERROR(__xludf.DUMMYFUNCTION("""COMPUTED_VALUE"""),"A. Condong ke orientasi akhirat/agama")</f>
        <v>A. Condong ke orientasi akhirat/agama</v>
      </c>
      <c r="I84" s="158" t="str">
        <f>IFERROR(__xludf.DUMMYFUNCTION("""COMPUTED_VALUE"""),"A. Pilihan utama untuk agama, akhlak, dan karakter")</f>
        <v>A. Pilihan utama untuk agama, akhlak, dan karakter</v>
      </c>
      <c r="J84" s="158" t="str">
        <f>IFERROR(__xludf.DUMMYFUNCTION("""COMPUTED_VALUE"""),"B. Anak")</f>
        <v>B. Anak</v>
      </c>
      <c r="K84" s="158" t="str">
        <f>IFERROR(__xludf.DUMMYFUNCTION("""COMPUTED_VALUE"""),"A. Memberikan pengertian")</f>
        <v>A. Memberikan pengertian</v>
      </c>
      <c r="L84" s="158" t="str">
        <f>IFERROR(__xludf.DUMMYFUNCTION("""COMPUTED_VALUE"""),"A. Intensif (tahfizh, sekolah Islam)")</f>
        <v>A. Intensif (tahfizh, sekolah Islam)</v>
      </c>
      <c r="M84" s="158" t="str">
        <f>IFERROR(__xludf.DUMMYFUNCTION("""COMPUTED_VALUE"""),"B. Ragu-ragu")</f>
        <v>B. Ragu-ragu</v>
      </c>
      <c r="N84" s="158" t="str">
        <f>IFERROR(__xludf.DUMMYFUNCTION("""COMPUTED_VALUE"""),"A. Sangat penting")</f>
        <v>A. Sangat penting</v>
      </c>
      <c r="O84" s="158" t="str">
        <f>IFERROR(__xludf.DUMMYFUNCTION("""COMPUTED_VALUE"""),"C. Sesempatnya saja")</f>
        <v>C. Sesempatnya saja</v>
      </c>
      <c r="P84" s="158" t="str">
        <f>IFERROR(__xludf.DUMMYFUNCTION("""COMPUTED_VALUE"""),"A. Klarifikasi &amp; beri semangat pada anak")</f>
        <v>A. Klarifikasi &amp; beri semangat pada anak</v>
      </c>
      <c r="Q84" s="158" t="str">
        <f>IFERROR(__xludf.DUMMYFUNCTION("""COMPUTED_VALUE"""),"A. Menerima sebagai konsekuensi (selama bimbingan sudah maksimal)")</f>
        <v>A. Menerima sebagai konsekuensi (selama bimbingan sudah maksimal)</v>
      </c>
      <c r="R84" s="35" t="str">
        <f>IFERROR(__xludf.DUMMYFUNCTION("""COMPUTED_VALUE"""),"Nurut,hafalan&amp;IT LBH suka, murung,pendiem.")</f>
        <v>Nurut,hafalan&amp;IT LBH suka, murung,pendiem.</v>
      </c>
      <c r="S84" s="35" t="str">
        <f>IFERROR(__xludf.DUMMYFUNCTION("""COMPUTED_VALUE"""),"Belum")</f>
        <v>Belum</v>
      </c>
      <c r="T84" s="35" t="str">
        <f>IFERROR(__xludf.DUMMYFUNCTION("""COMPUTED_VALUE"""),"Diterima")</f>
        <v>Diterima</v>
      </c>
      <c r="U84" s="35" t="str">
        <f>IFERROR(__xludf.DUMMYFUNCTION("""COMPUTED_VALUE"""),"Syarif")</f>
        <v>Syarif</v>
      </c>
      <c r="V84" s="71" t="str">
        <f>IFERROR(__xludf.DUMMYFUNCTION("""COMPUTED_VALUE"""),"Insyllah tnggl test santri dan minta beasiswa.")</f>
        <v>Insyllah tnggl test santri dan minta beasiswa.</v>
      </c>
    </row>
    <row r="85">
      <c r="A85" s="153">
        <f>IFERROR(__xludf.DUMMYFUNCTION("""COMPUTED_VALUE"""),45944.31108829861)</f>
        <v>45944.31109</v>
      </c>
      <c r="B85" s="71" t="str">
        <f>IFERROR(__xludf.DUMMYFUNCTION("""COMPUTED_VALUE"""),"Ahadan Nazka Hatits")</f>
        <v>Ahadan Nazka Hatits</v>
      </c>
      <c r="C85" s="71" t="str">
        <f>IFERROR(__xludf.DUMMYFUNCTION("""COMPUTED_VALUE"""),"Ahmad Syukri ")</f>
        <v>Ahmad Syukri </v>
      </c>
      <c r="D85" s="71" t="str">
        <f>IFERROR(__xludf.DUMMYFUNCTION("""COMPUTED_VALUE"""),"I'L Putra")</f>
        <v>I'L Putra</v>
      </c>
      <c r="E85" s="71" t="str">
        <f>IFERROR(__xludf.DUMMYFUNCTION("""COMPUTED_VALUE"""),"B250024")</f>
        <v>B250024</v>
      </c>
      <c r="F85" s="71" t="str">
        <f>IFERROR(__xludf.DUMMYFUNCTION("""COMPUTED_VALUE"""),"Rekan yg mendaftar")</f>
        <v>Rekan yg mendaftar</v>
      </c>
      <c r="G85" s="71" t="str">
        <f>IFERROR(__xludf.DUMMYFUNCTION("""COMPUTED_VALUE"""),"Baru")</f>
        <v>Baru</v>
      </c>
      <c r="H85" s="158" t="str">
        <f>IFERROR(__xludf.DUMMYFUNCTION("""COMPUTED_VALUE"""),"A. Condong ke orientasi akhirat/agama")</f>
        <v>A. Condong ke orientasi akhirat/agama</v>
      </c>
      <c r="I85" s="158" t="str">
        <f>IFERROR(__xludf.DUMMYFUNCTION("""COMPUTED_VALUE"""),"A. Pilihan utama untuk agama, akhlak, dan karakter")</f>
        <v>A. Pilihan utama untuk agama, akhlak, dan karakter</v>
      </c>
      <c r="J85" s="158" t="str">
        <f>IFERROR(__xludf.DUMMYFUNCTION("""COMPUTED_VALUE"""),"A. Orang tua &amp; anak")</f>
        <v>A. Orang tua &amp; anak</v>
      </c>
      <c r="K85" s="158" t="str">
        <f>IFERROR(__xludf.DUMMYFUNCTION("""COMPUTED_VALUE"""),"A. Memberikan pengertian")</f>
        <v>A. Memberikan pengertian</v>
      </c>
      <c r="L85" s="158" t="str">
        <f>IFERROR(__xludf.DUMMYFUNCTION("""COMPUTED_VALUE"""),"A. Intensif (tahfizh, sekolah Islam)")</f>
        <v>A. Intensif (tahfizh, sekolah Islam)</v>
      </c>
      <c r="M85" s="158" t="str">
        <f>IFERROR(__xludf.DUMMYFUNCTION("""COMPUTED_VALUE"""),"A. Yakin")</f>
        <v>A. Yakin</v>
      </c>
      <c r="N85" s="158" t="str">
        <f>IFERROR(__xludf.DUMMYFUNCTION("""COMPUTED_VALUE"""),"A. Sangat penting")</f>
        <v>A. Sangat penting</v>
      </c>
      <c r="O85" s="158" t="str">
        <f>IFERROR(__xludf.DUMMYFUNCTION("""COMPUTED_VALUE"""),"C. Sesempatnya saja")</f>
        <v>C. Sesempatnya saja</v>
      </c>
      <c r="P85" s="158" t="str">
        <f>IFERROR(__xludf.DUMMYFUNCTION("""COMPUTED_VALUE"""),"A. Klarifikasi &amp; beri semangat pada anak")</f>
        <v>A. Klarifikasi &amp; beri semangat pada anak</v>
      </c>
      <c r="Q85" s="158" t="str">
        <f>IFERROR(__xludf.DUMMYFUNCTION("""COMPUTED_VALUE"""),"A. Menerima sebagai konsekuensi (selama bimbingan sudah maksimal)")</f>
        <v>A. Menerima sebagai konsekuensi (selama bimbingan sudah maksimal)</v>
      </c>
      <c r="R85" s="35" t="str">
        <f>IFERROR(__xludf.DUMMYFUNCTION("""COMPUTED_VALUE"""),"Masih sering slebor, harus sering diarqhkan")</f>
        <v>Masih sering slebor, harus sering diarqhkan</v>
      </c>
      <c r="S85" s="35" t="str">
        <f>IFERROR(__xludf.DUMMYFUNCTION("""COMPUTED_VALUE"""),"Sudah")</f>
        <v>Sudah</v>
      </c>
      <c r="T85" s="35" t="str">
        <f>IFERROR(__xludf.DUMMYFUNCTION("""COMPUTED_VALUE"""),"Diterima")</f>
        <v>Diterima</v>
      </c>
      <c r="U85" s="35" t="str">
        <f>IFERROR(__xludf.DUMMYFUNCTION("""COMPUTED_VALUE"""),"Bachtiar")</f>
        <v>Bachtiar</v>
      </c>
      <c r="V85" s="71"/>
    </row>
    <row r="86">
      <c r="A86" s="104">
        <f>IFERROR(__xludf.DUMMYFUNCTION("""COMPUTED_VALUE"""),45944.31411532407)</f>
        <v>45944.31412</v>
      </c>
      <c r="B86" s="7" t="str">
        <f>IFERROR(__xludf.DUMMYFUNCTION("""COMPUTED_VALUE"""),"Adhiasta Widyadhana")</f>
        <v>Adhiasta Widyadhana</v>
      </c>
      <c r="C86" s="7" t="str">
        <f>IFERROR(__xludf.DUMMYFUNCTION("""COMPUTED_VALUE"""),"Zulhelmi Burhan")</f>
        <v>Zulhelmi Burhan</v>
      </c>
      <c r="D86" s="7" t="str">
        <f>IFERROR(__xludf.DUMMYFUNCTION("""COMPUTED_VALUE"""),"SMA")</f>
        <v>SMA</v>
      </c>
      <c r="E86" s="7" t="str">
        <f>IFERROR(__xludf.DUMMYFUNCTION("""COMPUTED_VALUE"""),"C250014")</f>
        <v>C250014</v>
      </c>
      <c r="F86" s="7" t="str">
        <f>IFERROR(__xludf.DUMMYFUNCTION("""COMPUTED_VALUE"""),"FB")</f>
        <v>FB</v>
      </c>
      <c r="G86" s="7" t="str">
        <f>IFERROR(__xludf.DUMMYFUNCTION("""COMPUTED_VALUE"""),"Baru")</f>
        <v>Baru</v>
      </c>
      <c r="H86" s="7" t="str">
        <f>IFERROR(__xludf.DUMMYFUNCTION("""COMPUTED_VALUE"""),"A. Condong ke orientasi akhirat/agama")</f>
        <v>A. Condong ke orientasi akhirat/agama</v>
      </c>
      <c r="I86" s="7" t="str">
        <f>IFERROR(__xludf.DUMMYFUNCTION("""COMPUTED_VALUE"""),"A. Pilihan utama untuk agama, akhlak, dan karakter")</f>
        <v>A. Pilihan utama untuk agama, akhlak, dan karakter</v>
      </c>
      <c r="J86" s="7" t="str">
        <f>IFERROR(__xludf.DUMMYFUNCTION("""COMPUTED_VALUE"""),"A. Orang tua &amp; anak")</f>
        <v>A. Orang tua &amp; anak</v>
      </c>
      <c r="K86" s="7" t="str">
        <f>IFERROR(__xludf.DUMMYFUNCTION("""COMPUTED_VALUE"""),"A. Memberikan pengertian")</f>
        <v>A. Memberikan pengertian</v>
      </c>
      <c r="L86" s="7" t="str">
        <f>IFERROR(__xludf.DUMMYFUNCTION("""COMPUTED_VALUE"""),"A. Intensif (tahfizh, sekolah Islam)")</f>
        <v>A. Intensif (tahfizh, sekolah Islam)</v>
      </c>
      <c r="M86" s="7" t="str">
        <f>IFERROR(__xludf.DUMMYFUNCTION("""COMPUTED_VALUE"""),"A. Yakin")</f>
        <v>A. Yakin</v>
      </c>
      <c r="N86" s="7" t="str">
        <f>IFERROR(__xludf.DUMMYFUNCTION("""COMPUTED_VALUE"""),"A. Sangat penting")</f>
        <v>A. Sangat penting</v>
      </c>
      <c r="O86" s="7" t="str">
        <f>IFERROR(__xludf.DUMMYFUNCTION("""COMPUTED_VALUE"""),"C. Sesempatnya saja")</f>
        <v>C. Sesempatnya saja</v>
      </c>
      <c r="P86" s="7" t="str">
        <f>IFERROR(__xludf.DUMMYFUNCTION("""COMPUTED_VALUE"""),"A. Klarifikasi &amp; beri semangat pada anak")</f>
        <v>A. Klarifikasi &amp; beri semangat pada anak</v>
      </c>
      <c r="Q86" s="7" t="str">
        <f>IFERROR(__xludf.DUMMYFUNCTION("""COMPUTED_VALUE"""),"A. Menerima sebagai konsekuensi (selama bimbingan sudah maksimal)")</f>
        <v>A. Menerima sebagai konsekuensi (selama bimbingan sudah maksimal)</v>
      </c>
      <c r="R86" s="7" t="str">
        <f>IFERROR(__xludf.DUMMYFUNCTION("""COMPUTED_VALUE"""),"Nurut, bisa beradaptasi
Agak kurang kontrol emosi ")</f>
        <v>Nurut, bisa beradaptasi
Agak kurang kontrol emosi </v>
      </c>
      <c r="S86" s="7" t="str">
        <f>IFERROR(__xludf.DUMMYFUNCTION("""COMPUTED_VALUE"""),"Sudah")</f>
        <v>Sudah</v>
      </c>
      <c r="T86" s="50" t="str">
        <f>IFERROR(__xludf.DUMMYFUNCTION("""COMPUTED_VALUE"""),"Diterima")</f>
        <v>Diterima</v>
      </c>
      <c r="U86" s="50" t="str">
        <f>IFERROR(__xludf.DUMMYFUNCTION("""COMPUTED_VALUE"""),"Bachtiar")</f>
        <v>Bachtiar</v>
      </c>
      <c r="V86" s="7"/>
    </row>
    <row r="87">
      <c r="A87" s="104">
        <f>IFERROR(__xludf.DUMMYFUNCTION("""COMPUTED_VALUE"""),45944.675690034725)</f>
        <v>45944.67569</v>
      </c>
      <c r="B87" s="7" t="str">
        <f>IFERROR(__xludf.DUMMYFUNCTION("""COMPUTED_VALUE"""),"Eshan Kazim")</f>
        <v>Eshan Kazim</v>
      </c>
      <c r="C87" s="7" t="str">
        <f>IFERROR(__xludf.DUMMYFUNCTION("""COMPUTED_VALUE"""),"Junizar")</f>
        <v>Junizar</v>
      </c>
      <c r="D87" s="7" t="str">
        <f>IFERROR(__xludf.DUMMYFUNCTION("""COMPUTED_VALUE"""),"MTs Putra")</f>
        <v>MTs Putra</v>
      </c>
      <c r="E87" s="7" t="str">
        <f>IFERROR(__xludf.DUMMYFUNCTION("""COMPUTED_VALUE"""),"A250074")</f>
        <v>A250074</v>
      </c>
      <c r="F87" s="7" t="str">
        <f>IFERROR(__xludf.DUMMYFUNCTION("""COMPUTED_VALUE"""),"FB")</f>
        <v>FB</v>
      </c>
      <c r="G87" s="7" t="str">
        <f>IFERROR(__xludf.DUMMYFUNCTION("""COMPUTED_VALUE"""),"Baru")</f>
        <v>Baru</v>
      </c>
      <c r="H87" s="7" t="str">
        <f>IFERROR(__xludf.DUMMYFUNCTION("""COMPUTED_VALUE"""),"A. Condong ke orientasi akhirat/agama")</f>
        <v>A. Condong ke orientasi akhirat/agama</v>
      </c>
      <c r="I87" s="7" t="str">
        <f>IFERROR(__xludf.DUMMYFUNCTION("""COMPUTED_VALUE"""),"A. Pilihan utama untuk agama, akhlak, dan karakter")</f>
        <v>A. Pilihan utama untuk agama, akhlak, dan karakter</v>
      </c>
      <c r="J87" s="7" t="str">
        <f>IFERROR(__xludf.DUMMYFUNCTION("""COMPUTED_VALUE"""),"A. Orang tua &amp; anak")</f>
        <v>A. Orang tua &amp; anak</v>
      </c>
      <c r="K87" s="7" t="str">
        <f>IFERROR(__xludf.DUMMYFUNCTION("""COMPUTED_VALUE"""),"A. Memberikan pengertian")</f>
        <v>A. Memberikan pengertian</v>
      </c>
      <c r="L87" s="7" t="str">
        <f>IFERROR(__xludf.DUMMYFUNCTION("""COMPUTED_VALUE"""),"A. Intensif (tahfizh, sekolah Islam)")</f>
        <v>A. Intensif (tahfizh, sekolah Islam)</v>
      </c>
      <c r="M87" s="7" t="str">
        <f>IFERROR(__xludf.DUMMYFUNCTION("""COMPUTED_VALUE"""),"A. Yakin")</f>
        <v>A. Yakin</v>
      </c>
      <c r="N87" s="7" t="str">
        <f>IFERROR(__xludf.DUMMYFUNCTION("""COMPUTED_VALUE"""),"A. Sangat penting")</f>
        <v>A. Sangat penting</v>
      </c>
      <c r="O87" s="7" t="str">
        <f>IFERROR(__xludf.DUMMYFUNCTION("""COMPUTED_VALUE"""),"C. Sesempatnya saja")</f>
        <v>C. Sesempatnya saja</v>
      </c>
      <c r="P87" s="7" t="str">
        <f>IFERROR(__xludf.DUMMYFUNCTION("""COMPUTED_VALUE"""),"A. Klarifikasi &amp; beri semangat pada anak")</f>
        <v>A. Klarifikasi &amp; beri semangat pada anak</v>
      </c>
      <c r="Q87" s="7" t="str">
        <f>IFERROR(__xludf.DUMMYFUNCTION("""COMPUTED_VALUE"""),"A. Menerima sebagai konsekuensi (selama bimbingan sudah maksimal)")</f>
        <v>A. Menerima sebagai konsekuensi (selama bimbingan sudah maksimal)</v>
      </c>
      <c r="R87" s="7" t="str">
        <f>IFERROR(__xludf.DUMMYFUNCTION("""COMPUTED_VALUE"""),"Kelebihan : cepat nangkap pelajaran, 
Kekurangan : harus disuruh berulang, kepoan")</f>
        <v>Kelebihan : cepat nangkap pelajaran, 
Kekurangan : harus disuruh berulang, kepoan</v>
      </c>
      <c r="S87" s="7" t="str">
        <f>IFERROR(__xludf.DUMMYFUNCTION("""COMPUTED_VALUE"""),"Belum")</f>
        <v>Belum</v>
      </c>
      <c r="T87" s="50" t="str">
        <f>IFERROR(__xludf.DUMMYFUNCTION("""COMPUTED_VALUE"""),"Diterima")</f>
        <v>Diterima</v>
      </c>
      <c r="U87" s="50" t="str">
        <f>IFERROR(__xludf.DUMMYFUNCTION("""COMPUTED_VALUE"""),"Bachtiar")</f>
        <v>Bachtiar</v>
      </c>
      <c r="V87" s="7" t="str">
        <f>IFERROR(__xludf.DUMMYFUNCTION("""COMPUTED_VALUE"""),"Katanya sudah punya hafalan 30 juz, dan mendapat keterangan ada jalur beasiswa prestasi dari ustadz Wahab")</f>
        <v>Katanya sudah punya hafalan 30 juz, dan mendapat keterangan ada jalur beasiswa prestasi dari ustadz Wahab</v>
      </c>
    </row>
    <row r="88">
      <c r="A88" s="104">
        <f>IFERROR(__xludf.DUMMYFUNCTION("""COMPUTED_VALUE"""),45945.66569009259)</f>
        <v>45945.66569</v>
      </c>
      <c r="B88" s="7" t="str">
        <f>IFERROR(__xludf.DUMMYFUNCTION("""COMPUTED_VALUE"""),"Putra perdana")</f>
        <v>Putra perdana</v>
      </c>
      <c r="C88" s="7" t="str">
        <f>IFERROR(__xludf.DUMMYFUNCTION("""COMPUTED_VALUE"""),"Wahyudin")</f>
        <v>Wahyudin</v>
      </c>
      <c r="D88" s="7" t="str">
        <f>IFERROR(__xludf.DUMMYFUNCTION("""COMPUTED_VALUE"""),"MTs Putra")</f>
        <v>MTs Putra</v>
      </c>
      <c r="E88" s="7" t="str">
        <f>IFERROR(__xludf.DUMMYFUNCTION("""COMPUTED_VALUE"""),"A250003")</f>
        <v>A250003</v>
      </c>
      <c r="F88" s="7" t="str">
        <f>IFERROR(__xludf.DUMMYFUNCTION("""COMPUTED_VALUE"""),"Keponakan pak Muhlis ")</f>
        <v>Keponakan pak Muhlis </v>
      </c>
      <c r="G88" s="7" t="str">
        <f>IFERROR(__xludf.DUMMYFUNCTION("""COMPUTED_VALUE"""),"Memiliki keluarga/saudara/kerabat di PUAS")</f>
        <v>Memiliki keluarga/saudara/kerabat di PUAS</v>
      </c>
      <c r="H88" s="7" t="str">
        <f>IFERROR(__xludf.DUMMYFUNCTION("""COMPUTED_VALUE"""),"A. Condong ke orientasi akhirat/agama")</f>
        <v>A. Condong ke orientasi akhirat/agama</v>
      </c>
      <c r="I88" s="7" t="str">
        <f>IFERROR(__xludf.DUMMYFUNCTION("""COMPUTED_VALUE"""),"A. Pilihan utama untuk agama, akhlak, dan karakter")</f>
        <v>A. Pilihan utama untuk agama, akhlak, dan karakter</v>
      </c>
      <c r="J88" s="7" t="str">
        <f>IFERROR(__xludf.DUMMYFUNCTION("""COMPUTED_VALUE"""),"B. Anak")</f>
        <v>B. Anak</v>
      </c>
      <c r="K88" s="7" t="str">
        <f>IFERROR(__xludf.DUMMYFUNCTION("""COMPUTED_VALUE"""),"A. Memberikan pengertian")</f>
        <v>A. Memberikan pengertian</v>
      </c>
      <c r="L88" s="7" t="str">
        <f>IFERROR(__xludf.DUMMYFUNCTION("""COMPUTED_VALUE"""),"A. Intensif (tahfizh, sekolah Islam)")</f>
        <v>A. Intensif (tahfizh, sekolah Islam)</v>
      </c>
      <c r="M88" s="7" t="str">
        <f>IFERROR(__xludf.DUMMYFUNCTION("""COMPUTED_VALUE"""),"A. Yakin")</f>
        <v>A. Yakin</v>
      </c>
      <c r="N88" s="7" t="str">
        <f>IFERROR(__xludf.DUMMYFUNCTION("""COMPUTED_VALUE"""),"A. Sangat penting")</f>
        <v>A. Sangat penting</v>
      </c>
      <c r="O88" s="7" t="str">
        <f>IFERROR(__xludf.DUMMYFUNCTION("""COMPUTED_VALUE"""),"C. Sesempatnya saja")</f>
        <v>C. Sesempatnya saja</v>
      </c>
      <c r="P88" s="7" t="str">
        <f>IFERROR(__xludf.DUMMYFUNCTION("""COMPUTED_VALUE"""),"A. Klarifikasi &amp; beri semangat pada anak")</f>
        <v>A. Klarifikasi &amp; beri semangat pada anak</v>
      </c>
      <c r="Q88" s="7" t="str">
        <f>IFERROR(__xludf.DUMMYFUNCTION("""COMPUTED_VALUE"""),"A. Menerima sebagai konsekuensi (selama bimbingan sudah maksimal)")</f>
        <v>A. Menerima sebagai konsekuensi (selama bimbingan sudah maksimal)</v>
      </c>
      <c r="R88" s="7" t="str">
        <f>IFERROR(__xludf.DUMMYFUNCTION("""COMPUTED_VALUE"""),"Rada susah bangun, selebor 
Klo belajar g mau diganggu ")</f>
        <v>Rada susah bangun, selebor 
Klo belajar g mau diganggu </v>
      </c>
      <c r="S88" s="7" t="str">
        <f>IFERROR(__xludf.DUMMYFUNCTION("""COMPUTED_VALUE"""),"Belum")</f>
        <v>Belum</v>
      </c>
      <c r="T88" s="50" t="str">
        <f>IFERROR(__xludf.DUMMYFUNCTION("""COMPUTED_VALUE"""),"Diterima")</f>
        <v>Diterima</v>
      </c>
      <c r="U88" s="50" t="str">
        <f>IFERROR(__xludf.DUMMYFUNCTION("""COMPUTED_VALUE"""),"Bachtiar")</f>
        <v>Bachtiar</v>
      </c>
      <c r="V88" s="7" t="str">
        <f>IFERROR(__xludf.DUMMYFUNCTION("""COMPUTED_VALUE"""),"Akamsi ")</f>
        <v>Akamsi </v>
      </c>
    </row>
    <row r="89">
      <c r="A89" s="104">
        <f>IFERROR(__xludf.DUMMYFUNCTION("""COMPUTED_VALUE"""),45946.59500939815)</f>
        <v>45946.59501</v>
      </c>
      <c r="B89" s="7" t="str">
        <f>IFERROR(__xludf.DUMMYFUNCTION("""COMPUTED_VALUE"""),"Qaesyara Siti Zafna Fitriyadi")</f>
        <v>Qaesyara Siti Zafna Fitriyadi</v>
      </c>
      <c r="C89" s="7" t="str">
        <f>IFERROR(__xludf.DUMMYFUNCTION("""COMPUTED_VALUE"""),"Deni Akhmad Fitriyadi")</f>
        <v>Deni Akhmad Fitriyadi</v>
      </c>
      <c r="D89" s="7" t="str">
        <f>IFERROR(__xludf.DUMMYFUNCTION("""COMPUTED_VALUE"""),"MTs Putri")</f>
        <v>MTs Putri</v>
      </c>
      <c r="E89" s="7" t="str">
        <f>IFERROR(__xludf.DUMMYFUNCTION("""COMPUTED_VALUE"""),"D250017")</f>
        <v>D250017</v>
      </c>
      <c r="F89" s="7" t="str">
        <f>IFERROR(__xludf.DUMMYFUNCTION("""COMPUTED_VALUE"""),"IG")</f>
        <v>IG</v>
      </c>
      <c r="G89" s="7" t="str">
        <f>IFERROR(__xludf.DUMMYFUNCTION("""COMPUTED_VALUE"""),"Baru")</f>
        <v>Baru</v>
      </c>
      <c r="H89" s="7" t="str">
        <f>IFERROR(__xludf.DUMMYFUNCTION("""COMPUTED_VALUE"""),"A. Condong ke orientasi akhirat/agama")</f>
        <v>A. Condong ke orientasi akhirat/agama</v>
      </c>
      <c r="I89" s="7" t="str">
        <f>IFERROR(__xludf.DUMMYFUNCTION("""COMPUTED_VALUE"""),"A. Pilihan utama untuk agama, akhlak, dan karakter")</f>
        <v>A. Pilihan utama untuk agama, akhlak, dan karakter</v>
      </c>
      <c r="J89" s="7" t="str">
        <f>IFERROR(__xludf.DUMMYFUNCTION("""COMPUTED_VALUE"""),"A. Orang tua &amp; anak")</f>
        <v>A. Orang tua &amp; anak</v>
      </c>
      <c r="K89" s="7" t="str">
        <f>IFERROR(__xludf.DUMMYFUNCTION("""COMPUTED_VALUE"""),"A. Memberikan pengertian")</f>
        <v>A. Memberikan pengertian</v>
      </c>
      <c r="L89" s="7" t="str">
        <f>IFERROR(__xludf.DUMMYFUNCTION("""COMPUTED_VALUE"""),"A. Intensif (tahfizh, sekolah Islam)")</f>
        <v>A. Intensif (tahfizh, sekolah Islam)</v>
      </c>
      <c r="M89" s="7" t="str">
        <f>IFERROR(__xludf.DUMMYFUNCTION("""COMPUTED_VALUE"""),"A. Yakin")</f>
        <v>A. Yakin</v>
      </c>
      <c r="N89" s="7" t="str">
        <f>IFERROR(__xludf.DUMMYFUNCTION("""COMPUTED_VALUE"""),"A. Sangat penting")</f>
        <v>A. Sangat penting</v>
      </c>
      <c r="O89" s="7" t="str">
        <f>IFERROR(__xludf.DUMMYFUNCTION("""COMPUTED_VALUE"""),"A. Berkala")</f>
        <v>A. Berkala</v>
      </c>
      <c r="P89" s="7" t="str">
        <f>IFERROR(__xludf.DUMMYFUNCTION("""COMPUTED_VALUE"""),"A. Klarifikasi &amp; beri semangat pada anak")</f>
        <v>A. Klarifikasi &amp; beri semangat pada anak</v>
      </c>
      <c r="Q89" s="7" t="str">
        <f>IFERROR(__xludf.DUMMYFUNCTION("""COMPUTED_VALUE"""),"A. Menerima sebagai konsekuensi (selama bimbingan sudah maksimal)")</f>
        <v>A. Menerima sebagai konsekuensi (selama bimbingan sudah maksimal)</v>
      </c>
      <c r="R89" s="7" t="str">
        <f>IFERROR(__xludf.DUMMYFUNCTION("""COMPUTED_VALUE"""),"Positif : mudah bersosialisasi, supel, mandiri.
Negatif : pelupa, mudah marah")</f>
        <v>Positif : mudah bersosialisasi, supel, mandiri.
Negatif : pelupa, mudah marah</v>
      </c>
      <c r="S89" s="7" t="str">
        <f>IFERROR(__xludf.DUMMYFUNCTION("""COMPUTED_VALUE"""),"Sudah")</f>
        <v>Sudah</v>
      </c>
      <c r="T89" s="50" t="str">
        <f>IFERROR(__xludf.DUMMYFUNCTION("""COMPUTED_VALUE"""),"Diterima")</f>
        <v>Diterima</v>
      </c>
      <c r="U89" s="50" t="str">
        <f>IFERROR(__xludf.DUMMYFUNCTION("""COMPUTED_VALUE"""),"Adib")</f>
        <v>Adib</v>
      </c>
      <c r="V89" s="7"/>
    </row>
    <row r="90">
      <c r="A90" s="104">
        <f>IFERROR(__xludf.DUMMYFUNCTION("""COMPUTED_VALUE"""),45947.652776041665)</f>
        <v>45947.65278</v>
      </c>
      <c r="B90" s="7" t="str">
        <f>IFERROR(__xludf.DUMMYFUNCTION("""COMPUTED_VALUE"""),"Nizar")</f>
        <v>Nizar</v>
      </c>
      <c r="C90" s="7" t="str">
        <f>IFERROR(__xludf.DUMMYFUNCTION("""COMPUTED_VALUE""")," Iwan setyawan")</f>
        <v> Iwan setyawan</v>
      </c>
      <c r="D90" s="7" t="str">
        <f>IFERROR(__xludf.DUMMYFUNCTION("""COMPUTED_VALUE"""),"SMA")</f>
        <v>SMA</v>
      </c>
      <c r="E90" s="7" t="str">
        <f>IFERROR(__xludf.DUMMYFUNCTION("""COMPUTED_VALUE"""),"C250009")</f>
        <v>C250009</v>
      </c>
      <c r="F90" s="7" t="str">
        <f>IFERROR(__xludf.DUMMYFUNCTION("""COMPUTED_VALUE"""),"Rekomendasi dari wali santri yang sudah mondok di PUAS")</f>
        <v>Rekomendasi dari wali santri yang sudah mondok di PUAS</v>
      </c>
      <c r="G90" s="7" t="str">
        <f>IFERROR(__xludf.DUMMYFUNCTION("""COMPUTED_VALUE"""),"Memiliki teman/rekan/tetangga di PUAS")</f>
        <v>Memiliki teman/rekan/tetangga di PUAS</v>
      </c>
      <c r="H90" s="7" t="str">
        <f>IFERROR(__xludf.DUMMYFUNCTION("""COMPUTED_VALUE"""),"A. Condong ke orientasi akhirat/agama")</f>
        <v>A. Condong ke orientasi akhirat/agama</v>
      </c>
      <c r="I90" s="7" t="str">
        <f>IFERROR(__xludf.DUMMYFUNCTION("""COMPUTED_VALUE"""),"A. Pilihan utama untuk agama, akhlak, dan karakter")</f>
        <v>A. Pilihan utama untuk agama, akhlak, dan karakter</v>
      </c>
      <c r="J90" s="7" t="str">
        <f>IFERROR(__xludf.DUMMYFUNCTION("""COMPUTED_VALUE"""),"A. Orang tua &amp; anak")</f>
        <v>A. Orang tua &amp; anak</v>
      </c>
      <c r="K90" s="7" t="str">
        <f>IFERROR(__xludf.DUMMYFUNCTION("""COMPUTED_VALUE"""),"A. Memberikan pengertian")</f>
        <v>A. Memberikan pengertian</v>
      </c>
      <c r="L90" s="7" t="str">
        <f>IFERROR(__xludf.DUMMYFUNCTION("""COMPUTED_VALUE"""),"A. Intensif (tahfizh, sekolah Islam)")</f>
        <v>A. Intensif (tahfizh, sekolah Islam)</v>
      </c>
      <c r="M90" s="7" t="str">
        <f>IFERROR(__xludf.DUMMYFUNCTION("""COMPUTED_VALUE"""),"A. Yakin")</f>
        <v>A. Yakin</v>
      </c>
      <c r="N90" s="7" t="str">
        <f>IFERROR(__xludf.DUMMYFUNCTION("""COMPUTED_VALUE"""),"A. Sangat penting")</f>
        <v>A. Sangat penting</v>
      </c>
      <c r="O90" s="7" t="str">
        <f>IFERROR(__xludf.DUMMYFUNCTION("""COMPUTED_VALUE"""),"A. Berkala")</f>
        <v>A. Berkala</v>
      </c>
      <c r="P90" s="7" t="str">
        <f>IFERROR(__xludf.DUMMYFUNCTION("""COMPUTED_VALUE"""),"A. Klarifikasi &amp; beri semangat pada anak")</f>
        <v>A. Klarifikasi &amp; beri semangat pada anak</v>
      </c>
      <c r="Q90" s="7" t="str">
        <f>IFERROR(__xludf.DUMMYFUNCTION("""COMPUTED_VALUE"""),"A. Menerima sebagai konsekuensi (selama bimbingan sudah maksimal)")</f>
        <v>A. Menerima sebagai konsekuensi (selama bimbingan sudah maksimal)</v>
      </c>
      <c r="R90" s="7" t="str">
        <f>IFERROR(__xludf.DUMMYFUNCTION("""COMPUTED_VALUE"""),"Positif : Leader, bacaan bagus
Negatif : Cepat bosan")</f>
        <v>Positif : Leader, bacaan bagus
Negatif : Cepat bosan</v>
      </c>
      <c r="S90" s="7" t="str">
        <f>IFERROR(__xludf.DUMMYFUNCTION("""COMPUTED_VALUE"""),"Sudah")</f>
        <v>Sudah</v>
      </c>
      <c r="T90" s="50" t="str">
        <f>IFERROR(__xludf.DUMMYFUNCTION("""COMPUTED_VALUE"""),"Diterima")</f>
        <v>Diterima</v>
      </c>
      <c r="U90" s="50" t="str">
        <f>IFERROR(__xludf.DUMMYFUNCTION("""COMPUTED_VALUE"""),"Adib")</f>
        <v>Adib</v>
      </c>
      <c r="V90" s="7"/>
    </row>
    <row r="91">
      <c r="A91" s="104">
        <f>IFERROR(__xludf.DUMMYFUNCTION("""COMPUTED_VALUE"""),45947.69188643519)</f>
        <v>45947.69189</v>
      </c>
      <c r="B91" s="7" t="str">
        <f>IFERROR(__xludf.DUMMYFUNCTION("""COMPUTED_VALUE"""),"Abbas Raihan")</f>
        <v>Abbas Raihan</v>
      </c>
      <c r="C91" s="7" t="str">
        <f>IFERROR(__xludf.DUMMYFUNCTION("""COMPUTED_VALUE"""),"Aminullah yasin")</f>
        <v>Aminullah yasin</v>
      </c>
      <c r="D91" s="7" t="str">
        <f>IFERROR(__xludf.DUMMYFUNCTION("""COMPUTED_VALUE"""),"I'L Putra")</f>
        <v>I'L Putra</v>
      </c>
      <c r="E91" s="7" t="str">
        <f>IFERROR(__xludf.DUMMYFUNCTION("""COMPUTED_VALUE"""),"B250019")</f>
        <v>B250019</v>
      </c>
      <c r="F91" s="7" t="str">
        <f>IFERROR(__xludf.DUMMYFUNCTION("""COMPUTED_VALUE"""),"Rekomendasi ustadz abah")</f>
        <v>Rekomendasi ustadz abah</v>
      </c>
      <c r="G91" s="7" t="str">
        <f>IFERROR(__xludf.DUMMYFUNCTION("""COMPUTED_VALUE"""),"Memiliki keluarga/saudara/kerabat di PUAS")</f>
        <v>Memiliki keluarga/saudara/kerabat di PUAS</v>
      </c>
      <c r="H91" s="7" t="str">
        <f>IFERROR(__xludf.DUMMYFUNCTION("""COMPUTED_VALUE"""),"A. Condong ke orientasi akhirat/agama")</f>
        <v>A. Condong ke orientasi akhirat/agama</v>
      </c>
      <c r="I91" s="7" t="str">
        <f>IFERROR(__xludf.DUMMYFUNCTION("""COMPUTED_VALUE"""),"A. Pilihan utama untuk agama, akhlak, dan karakter")</f>
        <v>A. Pilihan utama untuk agama, akhlak, dan karakter</v>
      </c>
      <c r="J91" s="7" t="str">
        <f>IFERROR(__xludf.DUMMYFUNCTION("""COMPUTED_VALUE"""),"A. Orang tua &amp; anak")</f>
        <v>A. Orang tua &amp; anak</v>
      </c>
      <c r="K91" s="7" t="str">
        <f>IFERROR(__xludf.DUMMYFUNCTION("""COMPUTED_VALUE"""),"A. Memberikan pengertian")</f>
        <v>A. Memberikan pengertian</v>
      </c>
      <c r="L91" s="7" t="str">
        <f>IFERROR(__xludf.DUMMYFUNCTION("""COMPUTED_VALUE"""),"A. Intensif (tahfizh, sekolah Islam)")</f>
        <v>A. Intensif (tahfizh, sekolah Islam)</v>
      </c>
      <c r="M91" s="7" t="str">
        <f>IFERROR(__xludf.DUMMYFUNCTION("""COMPUTED_VALUE"""),"A. Yakin")</f>
        <v>A. Yakin</v>
      </c>
      <c r="N91" s="7" t="str">
        <f>IFERROR(__xludf.DUMMYFUNCTION("""COMPUTED_VALUE"""),"A. Sangat penting")</f>
        <v>A. Sangat penting</v>
      </c>
      <c r="O91" s="7" t="str">
        <f>IFERROR(__xludf.DUMMYFUNCTION("""COMPUTED_VALUE"""),"A. Berkala")</f>
        <v>A. Berkala</v>
      </c>
      <c r="P91" s="7" t="str">
        <f>IFERROR(__xludf.DUMMYFUNCTION("""COMPUTED_VALUE"""),"A. Klarifikasi &amp; beri semangat pada anak")</f>
        <v>A. Klarifikasi &amp; beri semangat pada anak</v>
      </c>
      <c r="Q91" s="7" t="str">
        <f>IFERROR(__xludf.DUMMYFUNCTION("""COMPUTED_VALUE"""),"A. Menerima sebagai konsekuensi (selama bimbingan sudah maksimal)")</f>
        <v>A. Menerima sebagai konsekuensi (selama bimbingan sudah maksimal)</v>
      </c>
      <c r="R91" s="7" t="str">
        <f>IFERROR(__xludf.DUMMYFUNCTION("""COMPUTED_VALUE"""),"Positif : Baik hati, tidak sombong, dan rajin menabung
Negatif : Banyak perlu di beri nasihat")</f>
        <v>Positif : Baik hati, tidak sombong, dan rajin menabung
Negatif : Banyak perlu di beri nasihat</v>
      </c>
      <c r="S91" s="7" t="str">
        <f>IFERROR(__xludf.DUMMYFUNCTION("""COMPUTED_VALUE"""),"Sudah")</f>
        <v>Sudah</v>
      </c>
      <c r="T91" s="50" t="str">
        <f>IFERROR(__xludf.DUMMYFUNCTION("""COMPUTED_VALUE"""),"Diterima")</f>
        <v>Diterima</v>
      </c>
      <c r="U91" s="50" t="str">
        <f>IFERROR(__xludf.DUMMYFUNCTION("""COMPUTED_VALUE"""),"Adib")</f>
        <v>Adib</v>
      </c>
      <c r="V91" s="7"/>
    </row>
    <row r="92">
      <c r="A92" s="104">
        <f>IFERROR(__xludf.DUMMYFUNCTION("""COMPUTED_VALUE"""),45948.590324282406)</f>
        <v>45948.59032</v>
      </c>
      <c r="B92" s="7" t="str">
        <f>IFERROR(__xludf.DUMMYFUNCTION("""COMPUTED_VALUE"""),"Ambia Addaruqutni julpasa")</f>
        <v>Ambia Addaruqutni julpasa</v>
      </c>
      <c r="C92" s="7" t="str">
        <f>IFERROR(__xludf.DUMMYFUNCTION("""COMPUTED_VALUE"""),"Lutpi Julpasa")</f>
        <v>Lutpi Julpasa</v>
      </c>
      <c r="D92" s="7" t="str">
        <f>IFERROR(__xludf.DUMMYFUNCTION("""COMPUTED_VALUE"""),"MTs Putra")</f>
        <v>MTs Putra</v>
      </c>
      <c r="E92" s="7" t="str">
        <f>IFERROR(__xludf.DUMMYFUNCTION("""COMPUTED_VALUE"""),"A250066")</f>
        <v>A250066</v>
      </c>
      <c r="F92" s="7" t="str">
        <f>IFERROR(__xludf.DUMMYFUNCTION("""COMPUTED_VALUE"""),"Anak kakak ipar ustadz Muhajir")</f>
        <v>Anak kakak ipar ustadz Muhajir</v>
      </c>
      <c r="G92" s="7" t="str">
        <f>IFERROR(__xludf.DUMMYFUNCTION("""COMPUTED_VALUE"""),"Memiliki keluarga/saudara/kerabat di PUAS")</f>
        <v>Memiliki keluarga/saudara/kerabat di PUAS</v>
      </c>
      <c r="H92" s="7" t="str">
        <f>IFERROR(__xludf.DUMMYFUNCTION("""COMPUTED_VALUE"""),"A. Condong ke orientasi akhirat/agama")</f>
        <v>A. Condong ke orientasi akhirat/agama</v>
      </c>
      <c r="I92" s="7" t="str">
        <f>IFERROR(__xludf.DUMMYFUNCTION("""COMPUTED_VALUE"""),"A. Pilihan utama untuk agama, akhlak, dan karakter")</f>
        <v>A. Pilihan utama untuk agama, akhlak, dan karakter</v>
      </c>
      <c r="J92" s="7" t="str">
        <f>IFERROR(__xludf.DUMMYFUNCTION("""COMPUTED_VALUE"""),"A. Orang tua &amp; anak")</f>
        <v>A. Orang tua &amp; anak</v>
      </c>
      <c r="K92" s="7" t="str">
        <f>IFERROR(__xludf.DUMMYFUNCTION("""COMPUTED_VALUE"""),"A. Memberikan pengertian")</f>
        <v>A. Memberikan pengertian</v>
      </c>
      <c r="L92" s="7" t="str">
        <f>IFERROR(__xludf.DUMMYFUNCTION("""COMPUTED_VALUE"""),"A. Intensif (tahfizh, sekolah Islam)")</f>
        <v>A. Intensif (tahfizh, sekolah Islam)</v>
      </c>
      <c r="M92" s="7" t="str">
        <f>IFERROR(__xludf.DUMMYFUNCTION("""COMPUTED_VALUE"""),"A. Yakin")</f>
        <v>A. Yakin</v>
      </c>
      <c r="N92" s="7" t="str">
        <f>IFERROR(__xludf.DUMMYFUNCTION("""COMPUTED_VALUE"""),"A. Sangat penting")</f>
        <v>A. Sangat penting</v>
      </c>
      <c r="O92" s="7" t="str">
        <f>IFERROR(__xludf.DUMMYFUNCTION("""COMPUTED_VALUE"""),"A. Berkala")</f>
        <v>A. Berkala</v>
      </c>
      <c r="P92" s="7" t="str">
        <f>IFERROR(__xludf.DUMMYFUNCTION("""COMPUTED_VALUE"""),"A. Klarifikasi &amp; beri semangat pada anak")</f>
        <v>A. Klarifikasi &amp; beri semangat pada anak</v>
      </c>
      <c r="Q92" s="7" t="str">
        <f>IFERROR(__xludf.DUMMYFUNCTION("""COMPUTED_VALUE"""),"A. Menerima sebagai konsekuensi (selama bimbingan sudah maksimal)")</f>
        <v>A. Menerima sebagai konsekuensi (selama bimbingan sudah maksimal)</v>
      </c>
      <c r="R92" s="7" t="str">
        <f>IFERROR(__xludf.DUMMYFUNCTION("""COMPUTED_VALUE"""),"Positif : Mudah memahami, Dewasa, Solidaritasny tinggi, Mudah beradaptasi
Negatif : Mudah marah")</f>
        <v>Positif : Mudah memahami, Dewasa, Solidaritasny tinggi, Mudah beradaptasi
Negatif : Mudah marah</v>
      </c>
      <c r="S92" s="7" t="str">
        <f>IFERROR(__xludf.DUMMYFUNCTION("""COMPUTED_VALUE"""),"Sudah")</f>
        <v>Sudah</v>
      </c>
      <c r="T92" s="50" t="str">
        <f>IFERROR(__xludf.DUMMYFUNCTION("""COMPUTED_VALUE"""),"Diterima")</f>
        <v>Diterima</v>
      </c>
      <c r="U92" s="50" t="str">
        <f>IFERROR(__xludf.DUMMYFUNCTION("""COMPUTED_VALUE"""),"Adib")</f>
        <v>Adib</v>
      </c>
      <c r="V92" s="7"/>
    </row>
    <row r="93">
      <c r="A93" s="104">
        <f>IFERROR(__xludf.DUMMYFUNCTION("""COMPUTED_VALUE"""),45949.439760625)</f>
        <v>45949.43976</v>
      </c>
      <c r="B93" s="7" t="str">
        <f>IFERROR(__xludf.DUMMYFUNCTION("""COMPUTED_VALUE"""),"Faeyza Izzatul Khoiry")</f>
        <v>Faeyza Izzatul Khoiry</v>
      </c>
      <c r="C93" s="7" t="str">
        <f>IFERROR(__xludf.DUMMYFUNCTION("""COMPUTED_VALUE"""),"Slamet sawarno")</f>
        <v>Slamet sawarno</v>
      </c>
      <c r="D93" s="7" t="str">
        <f>IFERROR(__xludf.DUMMYFUNCTION("""COMPUTED_VALUE"""),"MTs Putra")</f>
        <v>MTs Putra</v>
      </c>
      <c r="E93" s="7" t="str">
        <f>IFERROR(__xludf.DUMMYFUNCTION("""COMPUTED_VALUE"""),"A250016")</f>
        <v>A250016</v>
      </c>
      <c r="F93" s="7" t="str">
        <f>IFERROR(__xludf.DUMMYFUNCTION("""COMPUTED_VALUE"""),"Tmn Cibinong yg anakx di puas")</f>
        <v>Tmn Cibinong yg anakx di puas</v>
      </c>
      <c r="G93" s="7" t="str">
        <f>IFERROR(__xludf.DUMMYFUNCTION("""COMPUTED_VALUE"""),"Memiliki teman/rekan/tetangga di PUAS")</f>
        <v>Memiliki teman/rekan/tetangga di PUAS</v>
      </c>
      <c r="H93" s="7" t="str">
        <f>IFERROR(__xludf.DUMMYFUNCTION("""COMPUTED_VALUE"""),"B. Condong ke orientasi dunia/umum")</f>
        <v>B. Condong ke orientasi dunia/umum</v>
      </c>
      <c r="I93" s="7" t="str">
        <f>IFERROR(__xludf.DUMMYFUNCTION("""COMPUTED_VALUE"""),"A. Pilihan utama untuk agama, akhlak, dan karakter")</f>
        <v>A. Pilihan utama untuk agama, akhlak, dan karakter</v>
      </c>
      <c r="J93" s="7" t="str">
        <f>IFERROR(__xludf.DUMMYFUNCTION("""COMPUTED_VALUE"""),"A. Orang tua &amp; anak")</f>
        <v>A. Orang tua &amp; anak</v>
      </c>
      <c r="K93" s="7" t="str">
        <f>IFERROR(__xludf.DUMMYFUNCTION("""COMPUTED_VALUE"""),"A. Memberikan pengertian")</f>
        <v>A. Memberikan pengertian</v>
      </c>
      <c r="L93" s="7" t="str">
        <f>IFERROR(__xludf.DUMMYFUNCTION("""COMPUTED_VALUE"""),"B. Non intensif (swasta biasa)")</f>
        <v>B. Non intensif (swasta biasa)</v>
      </c>
      <c r="M93" s="7" t="str">
        <f>IFERROR(__xludf.DUMMYFUNCTION("""COMPUTED_VALUE"""),"A. Yakin")</f>
        <v>A. Yakin</v>
      </c>
      <c r="N93" s="7" t="str">
        <f>IFERROR(__xludf.DUMMYFUNCTION("""COMPUTED_VALUE"""),"A. Sangat penting")</f>
        <v>A. Sangat penting</v>
      </c>
      <c r="O93" s="7" t="str">
        <f>IFERROR(__xludf.DUMMYFUNCTION("""COMPUTED_VALUE"""),"A. Berkala")</f>
        <v>A. Berkala</v>
      </c>
      <c r="P93" s="7" t="str">
        <f>IFERROR(__xludf.DUMMYFUNCTION("""COMPUTED_VALUE"""),"A. Klarifikasi &amp; beri semangat pada anak")</f>
        <v>A. Klarifikasi &amp; beri semangat pada anak</v>
      </c>
      <c r="Q93" s="7" t="str">
        <f>IFERROR(__xludf.DUMMYFUNCTION("""COMPUTED_VALUE"""),"A. Menerima sebagai konsekuensi (selama bimbingan sudah maksimal)")</f>
        <v>A. Menerima sebagai konsekuensi (selama bimbingan sudah maksimal)</v>
      </c>
      <c r="R93" s="7" t="str">
        <f>IFERROR(__xludf.DUMMYFUNCTION("""COMPUTED_VALUE"""),"Sensi, komitmen,hrs disuruh, mandiri")</f>
        <v>Sensi, komitmen,hrs disuruh, mandiri</v>
      </c>
      <c r="S93" s="7" t="str">
        <f>IFERROR(__xludf.DUMMYFUNCTION("""COMPUTED_VALUE"""),"Sudah")</f>
        <v>Sudah</v>
      </c>
      <c r="T93" s="50" t="str">
        <f>IFERROR(__xludf.DUMMYFUNCTION("""COMPUTED_VALUE"""),"Diterima")</f>
        <v>Diterima</v>
      </c>
      <c r="U93" s="50" t="str">
        <f>IFERROR(__xludf.DUMMYFUNCTION("""COMPUTED_VALUE"""),"Syarif")</f>
        <v>Syarif</v>
      </c>
      <c r="V93" s="7" t="str">
        <f>IFERROR(__xludf.DUMMYFUNCTION("""COMPUTED_VALUE"""),"Insyallah tggl nunggu test santri")</f>
        <v>Insyallah tggl nunggu test santri</v>
      </c>
    </row>
    <row r="94">
      <c r="A94" s="104">
        <f>IFERROR(__xludf.DUMMYFUNCTION("""COMPUTED_VALUE"""),45950.578377743055)</f>
        <v>45950.57838</v>
      </c>
      <c r="B94" s="7" t="str">
        <f>IFERROR(__xludf.DUMMYFUNCTION("""COMPUTED_VALUE"""),"Malka Firdaus Syarif")</f>
        <v>Malka Firdaus Syarif</v>
      </c>
      <c r="C94" s="7" t="str">
        <f>IFERROR(__xludf.DUMMYFUNCTION("""COMPUTED_VALUE"""),"Tulus")</f>
        <v>Tulus</v>
      </c>
      <c r="D94" s="7" t="str">
        <f>IFERROR(__xludf.DUMMYFUNCTION("""COMPUTED_VALUE"""),"MTs Putra")</f>
        <v>MTs Putra</v>
      </c>
      <c r="E94" s="7" t="str">
        <f>IFERROR(__xludf.DUMMYFUNCTION("""COMPUTED_VALUE"""),"A250021")</f>
        <v>A250021</v>
      </c>
      <c r="F94" s="7" t="str">
        <f>IFERROR(__xludf.DUMMYFUNCTION("""COMPUTED_VALUE"""),"Rekomendasi dari teman satu kelasny arkan")</f>
        <v>Rekomendasi dari teman satu kelasny arkan</v>
      </c>
      <c r="G94" s="7" t="str">
        <f>IFERROR(__xludf.DUMMYFUNCTION("""COMPUTED_VALUE"""),"Baru")</f>
        <v>Baru</v>
      </c>
      <c r="H94" s="7" t="str">
        <f>IFERROR(__xludf.DUMMYFUNCTION("""COMPUTED_VALUE"""),"A. Condong ke orientasi akhirat/agama")</f>
        <v>A. Condong ke orientasi akhirat/agama</v>
      </c>
      <c r="I94" s="7" t="str">
        <f>IFERROR(__xludf.DUMMYFUNCTION("""COMPUTED_VALUE"""),"A. Pilihan utama untuk agama, akhlak, dan karakter")</f>
        <v>A. Pilihan utama untuk agama, akhlak, dan karakter</v>
      </c>
      <c r="J94" s="7" t="str">
        <f>IFERROR(__xludf.DUMMYFUNCTION("""COMPUTED_VALUE"""),"A. Orang tua &amp; anak")</f>
        <v>A. Orang tua &amp; anak</v>
      </c>
      <c r="K94" s="7" t="str">
        <f>IFERROR(__xludf.DUMMYFUNCTION("""COMPUTED_VALUE"""),"A. Memberikan pengertian")</f>
        <v>A. Memberikan pengertian</v>
      </c>
      <c r="L94" s="7" t="str">
        <f>IFERROR(__xludf.DUMMYFUNCTION("""COMPUTED_VALUE"""),"A. Intensif (tahfizh, sekolah Islam)")</f>
        <v>A. Intensif (tahfizh, sekolah Islam)</v>
      </c>
      <c r="M94" s="7" t="str">
        <f>IFERROR(__xludf.DUMMYFUNCTION("""COMPUTED_VALUE"""),"A. Yakin")</f>
        <v>A. Yakin</v>
      </c>
      <c r="N94" s="7" t="str">
        <f>IFERROR(__xludf.DUMMYFUNCTION("""COMPUTED_VALUE"""),"A. Sangat penting")</f>
        <v>A. Sangat penting</v>
      </c>
      <c r="O94" s="7" t="str">
        <f>IFERROR(__xludf.DUMMYFUNCTION("""COMPUTED_VALUE"""),"A. Berkala")</f>
        <v>A. Berkala</v>
      </c>
      <c r="P94" s="7" t="str">
        <f>IFERROR(__xludf.DUMMYFUNCTION("""COMPUTED_VALUE"""),"A. Klarifikasi &amp; beri semangat pada anak")</f>
        <v>A. Klarifikasi &amp; beri semangat pada anak</v>
      </c>
      <c r="Q94" s="7" t="str">
        <f>IFERROR(__xludf.DUMMYFUNCTION("""COMPUTED_VALUE"""),"A. Menerima sebagai konsekuensi (selama bimbingan sudah maksimal)")</f>
        <v>A. Menerima sebagai konsekuensi (selama bimbingan sudah maksimal)</v>
      </c>
      <c r="R94" s="7" t="str">
        <f>IFERROR(__xludf.DUMMYFUNCTION("""COMPUTED_VALUE"""),"Positif : Mudah memahami pelajaran, Penurut, Bertanggung Jawab.
Negatif : Emosinya labil.")</f>
        <v>Positif : Mudah memahami pelajaran, Penurut, Bertanggung Jawab.
Negatif : Emosinya labil.</v>
      </c>
      <c r="S94" s="7" t="str">
        <f>IFERROR(__xludf.DUMMYFUNCTION("""COMPUTED_VALUE"""),"Sudah")</f>
        <v>Sudah</v>
      </c>
      <c r="T94" s="50" t="str">
        <f>IFERROR(__xludf.DUMMYFUNCTION("""COMPUTED_VALUE"""),"Diterima")</f>
        <v>Diterima</v>
      </c>
      <c r="U94" s="50" t="str">
        <f>IFERROR(__xludf.DUMMYFUNCTION("""COMPUTED_VALUE"""),"Adib")</f>
        <v>Adib</v>
      </c>
      <c r="V94" s="7"/>
    </row>
    <row r="95">
      <c r="A95" s="104">
        <f>IFERROR(__xludf.DUMMYFUNCTION("""COMPUTED_VALUE"""),45950.595666724534)</f>
        <v>45950.59567</v>
      </c>
      <c r="B95" s="7" t="str">
        <f>IFERROR(__xludf.DUMMYFUNCTION("""COMPUTED_VALUE"""),"Rizkya Aulia Az zahra")</f>
        <v>Rizkya Aulia Az zahra</v>
      </c>
      <c r="C95" s="7" t="str">
        <f>IFERROR(__xludf.DUMMYFUNCTION("""COMPUTED_VALUE"""),"Ahmad Rezeki")</f>
        <v>Ahmad Rezeki</v>
      </c>
      <c r="D95" s="7" t="str">
        <f>IFERROR(__xludf.DUMMYFUNCTION("""COMPUTED_VALUE"""),"MTs Putri")</f>
        <v>MTs Putri</v>
      </c>
      <c r="E95" s="7" t="str">
        <f>IFERROR(__xludf.DUMMYFUNCTION("""COMPUTED_VALUE"""),"D250013")</f>
        <v>D250013</v>
      </c>
      <c r="F95" s="7" t="str">
        <f>IFERROR(__xludf.DUMMYFUNCTION("""COMPUTED_VALUE"""),"Adek Muhammad Rifki Al Bukhori")</f>
        <v>Adek Muhammad Rifki Al Bukhori</v>
      </c>
      <c r="G95" s="7" t="str">
        <f>IFERROR(__xludf.DUMMYFUNCTION("""COMPUTED_VALUE"""),"Memiliki keluarga/saudara/kerabat di PUAS")</f>
        <v>Memiliki keluarga/saudara/kerabat di PUAS</v>
      </c>
      <c r="H95" s="7" t="str">
        <f>IFERROR(__xludf.DUMMYFUNCTION("""COMPUTED_VALUE"""),"A. Condong ke orientasi akhirat/agama")</f>
        <v>A. Condong ke orientasi akhirat/agama</v>
      </c>
      <c r="I95" s="7" t="str">
        <f>IFERROR(__xludf.DUMMYFUNCTION("""COMPUTED_VALUE"""),"A. Pilihan utama untuk agama, akhlak, dan karakter")</f>
        <v>A. Pilihan utama untuk agama, akhlak, dan karakter</v>
      </c>
      <c r="J95" s="7" t="str">
        <f>IFERROR(__xludf.DUMMYFUNCTION("""COMPUTED_VALUE"""),"A. Orang tua &amp; anak")</f>
        <v>A. Orang tua &amp; anak</v>
      </c>
      <c r="K95" s="7" t="str">
        <f>IFERROR(__xludf.DUMMYFUNCTION("""COMPUTED_VALUE"""),"A. Memberikan pengertian")</f>
        <v>A. Memberikan pengertian</v>
      </c>
      <c r="L95" s="7" t="str">
        <f>IFERROR(__xludf.DUMMYFUNCTION("""COMPUTED_VALUE"""),"A. Intensif (tahfizh, sekolah Islam)")</f>
        <v>A. Intensif (tahfizh, sekolah Islam)</v>
      </c>
      <c r="M95" s="7" t="str">
        <f>IFERROR(__xludf.DUMMYFUNCTION("""COMPUTED_VALUE"""),"A. Yakin")</f>
        <v>A. Yakin</v>
      </c>
      <c r="N95" s="7" t="str">
        <f>IFERROR(__xludf.DUMMYFUNCTION("""COMPUTED_VALUE"""),"A. Sangat penting")</f>
        <v>A. Sangat penting</v>
      </c>
      <c r="O95" s="7" t="str">
        <f>IFERROR(__xludf.DUMMYFUNCTION("""COMPUTED_VALUE"""),"A. Berkala")</f>
        <v>A. Berkala</v>
      </c>
      <c r="P95" s="7" t="str">
        <f>IFERROR(__xludf.DUMMYFUNCTION("""COMPUTED_VALUE"""),"A. Klarifikasi &amp; beri semangat pada anak")</f>
        <v>A. Klarifikasi &amp; beri semangat pada anak</v>
      </c>
      <c r="Q95" s="7" t="str">
        <f>IFERROR(__xludf.DUMMYFUNCTION("""COMPUTED_VALUE"""),"A. Menerima sebagai konsekuensi (selama bimbingan sudah maksimal)")</f>
        <v>A. Menerima sebagai konsekuensi (selama bimbingan sudah maksimal)</v>
      </c>
      <c r="R95" s="7" t="str">
        <f>IFERROR(__xludf.DUMMYFUNCTION("""COMPUTED_VALUE"""),"Positif : Gampang bergaul
Negatif : Emosi Labil")</f>
        <v>Positif : Gampang bergaul
Negatif : Emosi Labil</v>
      </c>
      <c r="S95" s="7" t="str">
        <f>IFERROR(__xludf.DUMMYFUNCTION("""COMPUTED_VALUE"""),"Sudah")</f>
        <v>Sudah</v>
      </c>
      <c r="T95" s="50" t="str">
        <f>IFERROR(__xludf.DUMMYFUNCTION("""COMPUTED_VALUE"""),"Diterima")</f>
        <v>Diterima</v>
      </c>
      <c r="U95" s="50" t="str">
        <f>IFERROR(__xludf.DUMMYFUNCTION("""COMPUTED_VALUE"""),"Adib")</f>
        <v>Adib</v>
      </c>
      <c r="V95" s="7"/>
    </row>
    <row r="96">
      <c r="A96" s="104">
        <f>IFERROR(__xludf.DUMMYFUNCTION("""COMPUTED_VALUE"""),45950.61150356481)</f>
        <v>45950.6115</v>
      </c>
      <c r="B96" s="7" t="str">
        <f>IFERROR(__xludf.DUMMYFUNCTION("""COMPUTED_VALUE"""),"Muhammad Syauqi Abdul Haq")</f>
        <v>Muhammad Syauqi Abdul Haq</v>
      </c>
      <c r="C96" s="7" t="str">
        <f>IFERROR(__xludf.DUMMYFUNCTION("""COMPUTED_VALUE"""),"Deni dan Lina")</f>
        <v>Deni dan Lina</v>
      </c>
      <c r="D96" s="7" t="str">
        <f>IFERROR(__xludf.DUMMYFUNCTION("""COMPUTED_VALUE"""),"MTs Putra")</f>
        <v>MTs Putra</v>
      </c>
      <c r="E96" s="7" t="str">
        <f>IFERROR(__xludf.DUMMYFUNCTION("""COMPUTED_VALUE"""),"A250069")</f>
        <v>A250069</v>
      </c>
      <c r="F96" s="7" t="str">
        <f>IFERROR(__xludf.DUMMYFUNCTION("""COMPUTED_VALUE"""),"Adeknya Hasbi")</f>
        <v>Adeknya Hasbi</v>
      </c>
      <c r="G96" s="7" t="str">
        <f>IFERROR(__xludf.DUMMYFUNCTION("""COMPUTED_VALUE"""),"Memiliki keluarga/saudara/kerabat di PUAS")</f>
        <v>Memiliki keluarga/saudara/kerabat di PUAS</v>
      </c>
      <c r="H96" s="7" t="str">
        <f>IFERROR(__xludf.DUMMYFUNCTION("""COMPUTED_VALUE"""),"A. Condong ke orientasi akhirat/agama")</f>
        <v>A. Condong ke orientasi akhirat/agama</v>
      </c>
      <c r="I96" s="7" t="str">
        <f>IFERROR(__xludf.DUMMYFUNCTION("""COMPUTED_VALUE"""),"A. Pilihan utama untuk agama, akhlak, dan karakter")</f>
        <v>A. Pilihan utama untuk agama, akhlak, dan karakter</v>
      </c>
      <c r="J96" s="7" t="str">
        <f>IFERROR(__xludf.DUMMYFUNCTION("""COMPUTED_VALUE"""),"A. Orang tua &amp; anak")</f>
        <v>A. Orang tua &amp; anak</v>
      </c>
      <c r="K96" s="7" t="str">
        <f>IFERROR(__xludf.DUMMYFUNCTION("""COMPUTED_VALUE"""),"A. Memberikan pengertian")</f>
        <v>A. Memberikan pengertian</v>
      </c>
      <c r="L96" s="7" t="str">
        <f>IFERROR(__xludf.DUMMYFUNCTION("""COMPUTED_VALUE"""),"A. Intensif (tahfizh, sekolah Islam)")</f>
        <v>A. Intensif (tahfizh, sekolah Islam)</v>
      </c>
      <c r="M96" s="7" t="str">
        <f>IFERROR(__xludf.DUMMYFUNCTION("""COMPUTED_VALUE"""),"A. Yakin")</f>
        <v>A. Yakin</v>
      </c>
      <c r="N96" s="7" t="str">
        <f>IFERROR(__xludf.DUMMYFUNCTION("""COMPUTED_VALUE"""),"A. Sangat penting")</f>
        <v>A. Sangat penting</v>
      </c>
      <c r="O96" s="7" t="str">
        <f>IFERROR(__xludf.DUMMYFUNCTION("""COMPUTED_VALUE"""),"A. Berkala")</f>
        <v>A. Berkala</v>
      </c>
      <c r="P96" s="7" t="str">
        <f>IFERROR(__xludf.DUMMYFUNCTION("""COMPUTED_VALUE"""),"A. Klarifikasi &amp; beri semangat pada anak")</f>
        <v>A. Klarifikasi &amp; beri semangat pada anak</v>
      </c>
      <c r="Q96" s="7" t="str">
        <f>IFERROR(__xludf.DUMMYFUNCTION("""COMPUTED_VALUE"""),"A. Menerima sebagai konsekuensi (selama bimbingan sudah maksimal)")</f>
        <v>A. Menerima sebagai konsekuensi (selama bimbingan sudah maksimal)</v>
      </c>
      <c r="R96" s="7" t="str">
        <f>IFERROR(__xludf.DUMMYFUNCTION("""COMPUTED_VALUE"""),"Karakter positif : Ta'at sama orang tua, (masih aya kasieun ku bapana) mudah disuruh untuk sholat berjamaah, khususnya shubuh, teu olo olo makan siap apa adanya. Mudah berteman.
Karakter negatif : kadang² ka ibuna mah masih berani nembal, kedul mandi hehe"&amp;", kurang fokus dina belajar Qur'an, (nuju prosés mempelajari iqro metode nun) main game sareng Kurang percaya diri.")</f>
        <v>Karakter positif : Ta'at sama orang tua, (masih aya kasieun ku bapana) mudah disuruh untuk sholat berjamaah, khususnya shubuh, teu olo olo makan siap apa adanya. Mudah berteman.
Karakter negatif : kadang² ka ibuna mah masih berani nembal, kedul mandi hehe, kurang fokus dina belajar Qur'an, (nuju prosés mempelajari iqro metode nun) main game sareng Kurang percaya diri.</v>
      </c>
      <c r="S96" s="7" t="str">
        <f>IFERROR(__xludf.DUMMYFUNCTION("""COMPUTED_VALUE"""),"Sudah")</f>
        <v>Sudah</v>
      </c>
      <c r="T96" s="50" t="str">
        <f>IFERROR(__xludf.DUMMYFUNCTION("""COMPUTED_VALUE"""),"Diterima")</f>
        <v>Diterima</v>
      </c>
      <c r="U96" s="50" t="str">
        <f>IFERROR(__xludf.DUMMYFUNCTION("""COMPUTED_VALUE"""),"Teguh")</f>
        <v>Teguh</v>
      </c>
      <c r="V96" s="7"/>
    </row>
    <row r="97">
      <c r="A97" s="104">
        <f>IFERROR(__xludf.DUMMYFUNCTION("""COMPUTED_VALUE"""),45950.65063802083)</f>
        <v>45950.65064</v>
      </c>
      <c r="B97" s="7" t="str">
        <f>IFERROR(__xludf.DUMMYFUNCTION("""COMPUTED_VALUE"""),"Abdurrahman")</f>
        <v>Abdurrahman</v>
      </c>
      <c r="C97" s="7" t="str">
        <f>IFERROR(__xludf.DUMMYFUNCTION("""COMPUTED_VALUE"""),"Muhammad Ali")</f>
        <v>Muhammad Ali</v>
      </c>
      <c r="D97" s="7" t="str">
        <f>IFERROR(__xludf.DUMMYFUNCTION("""COMPUTED_VALUE"""),"MTs Putra")</f>
        <v>MTs Putra</v>
      </c>
      <c r="E97" s="7" t="str">
        <f>IFERROR(__xludf.DUMMYFUNCTION("""COMPUTED_VALUE"""),"A250077")</f>
        <v>A250077</v>
      </c>
      <c r="F97" s="7" t="str">
        <f>IFERROR(__xludf.DUMMYFUNCTION("""COMPUTED_VALUE"""),"Adiknya M Syafiq 8B")</f>
        <v>Adiknya M Syafiq 8B</v>
      </c>
      <c r="G97" s="7" t="str">
        <f>IFERROR(__xludf.DUMMYFUNCTION("""COMPUTED_VALUE"""),"Memiliki keluarga/saudara/kerabat di PUAS")</f>
        <v>Memiliki keluarga/saudara/kerabat di PUAS</v>
      </c>
      <c r="H97" s="7" t="str">
        <f>IFERROR(__xludf.DUMMYFUNCTION("""COMPUTED_VALUE"""),"A. Condong ke orientasi akhirat/agama")</f>
        <v>A. Condong ke orientasi akhirat/agama</v>
      </c>
      <c r="I97" s="7" t="str">
        <f>IFERROR(__xludf.DUMMYFUNCTION("""COMPUTED_VALUE"""),"A. Pilihan utama untuk agama, akhlak, dan karakter")</f>
        <v>A. Pilihan utama untuk agama, akhlak, dan karakter</v>
      </c>
      <c r="J97" s="7" t="str">
        <f>IFERROR(__xludf.DUMMYFUNCTION("""COMPUTED_VALUE"""),"A. Orang tua &amp; anak")</f>
        <v>A. Orang tua &amp; anak</v>
      </c>
      <c r="K97" s="7" t="str">
        <f>IFERROR(__xludf.DUMMYFUNCTION("""COMPUTED_VALUE"""),"A. Memberikan pengertian")</f>
        <v>A. Memberikan pengertian</v>
      </c>
      <c r="L97" s="7" t="str">
        <f>IFERROR(__xludf.DUMMYFUNCTION("""COMPUTED_VALUE"""),"A. Intensif (tahfizh, sekolah Islam)")</f>
        <v>A. Intensif (tahfizh, sekolah Islam)</v>
      </c>
      <c r="M97" s="7" t="str">
        <f>IFERROR(__xludf.DUMMYFUNCTION("""COMPUTED_VALUE"""),"A. Yakin")</f>
        <v>A. Yakin</v>
      </c>
      <c r="N97" s="7" t="str">
        <f>IFERROR(__xludf.DUMMYFUNCTION("""COMPUTED_VALUE"""),"A. Sangat penting")</f>
        <v>A. Sangat penting</v>
      </c>
      <c r="O97" s="7" t="str">
        <f>IFERROR(__xludf.DUMMYFUNCTION("""COMPUTED_VALUE"""),"A. Berkala")</f>
        <v>A. Berkala</v>
      </c>
      <c r="P97" s="7" t="str">
        <f>IFERROR(__xludf.DUMMYFUNCTION("""COMPUTED_VALUE"""),"A. Klarifikasi &amp; beri semangat pada anak")</f>
        <v>A. Klarifikasi &amp; beri semangat pada anak</v>
      </c>
      <c r="Q97" s="7" t="str">
        <f>IFERROR(__xludf.DUMMYFUNCTION("""COMPUTED_VALUE"""),"A. Menerima sebagai konsekuensi (selama bimbingan sudah maksimal)")</f>
        <v>A. Menerima sebagai konsekuensi (selama bimbingan sudah maksimal)</v>
      </c>
      <c r="R97" s="7" t="str">
        <f>IFERROR(__xludf.DUMMYFUNCTION("""COMPUTED_VALUE"""),"Positif : Fokus belajarnya tinggi
Negatif : Ngeyel")</f>
        <v>Positif : Fokus belajarnya tinggi
Negatif : Ngeyel</v>
      </c>
      <c r="S97" s="7" t="str">
        <f>IFERROR(__xludf.DUMMYFUNCTION("""COMPUTED_VALUE"""),"Sudah")</f>
        <v>Sudah</v>
      </c>
      <c r="T97" s="50" t="str">
        <f>IFERROR(__xludf.DUMMYFUNCTION("""COMPUTED_VALUE"""),"Diterima")</f>
        <v>Diterima</v>
      </c>
      <c r="U97" s="50" t="str">
        <f>IFERROR(__xludf.DUMMYFUNCTION("""COMPUTED_VALUE"""),"Adib")</f>
        <v>Adib</v>
      </c>
      <c r="V97" s="7"/>
    </row>
    <row r="98">
      <c r="A98" s="104">
        <f>IFERROR(__xludf.DUMMYFUNCTION("""COMPUTED_VALUE"""),45953.45682990741)</f>
        <v>45953.45683</v>
      </c>
      <c r="B98" s="7" t="str">
        <f>IFERROR(__xludf.DUMMYFUNCTION("""COMPUTED_VALUE"""),"Alfarizy Fauzan W")</f>
        <v>Alfarizy Fauzan W</v>
      </c>
      <c r="C98" s="7" t="str">
        <f>IFERROR(__xludf.DUMMYFUNCTION("""COMPUTED_VALUE"""),"Sri Maryanti ")</f>
        <v>Sri Maryanti </v>
      </c>
      <c r="D98" s="7" t="str">
        <f>IFERROR(__xludf.DUMMYFUNCTION("""COMPUTED_VALUE"""),"MTs Putra")</f>
        <v>MTs Putra</v>
      </c>
      <c r="E98" s="7" t="str">
        <f>IFERROR(__xludf.DUMMYFUNCTION("""COMPUTED_VALUE"""),"A250068")</f>
        <v>A250068</v>
      </c>
      <c r="F98" s="7" t="str">
        <f>IFERROR(__xludf.DUMMYFUNCTION("""COMPUTED_VALUE"""),"FB")</f>
        <v>FB</v>
      </c>
      <c r="G98" s="7" t="str">
        <f>IFERROR(__xludf.DUMMYFUNCTION("""COMPUTED_VALUE"""),"Memiliki teman/rekan/tetangga di PUAS")</f>
        <v>Memiliki teman/rekan/tetangga di PUAS</v>
      </c>
      <c r="H98" s="7" t="str">
        <f>IFERROR(__xludf.DUMMYFUNCTION("""COMPUTED_VALUE"""),"A. Condong ke orientasi akhirat/agama")</f>
        <v>A. Condong ke orientasi akhirat/agama</v>
      </c>
      <c r="I98" s="7" t="str">
        <f>IFERROR(__xludf.DUMMYFUNCTION("""COMPUTED_VALUE"""),"A. Pilihan utama untuk agama, akhlak, dan karakter")</f>
        <v>A. Pilihan utama untuk agama, akhlak, dan karakter</v>
      </c>
      <c r="J98" s="7" t="str">
        <f>IFERROR(__xludf.DUMMYFUNCTION("""COMPUTED_VALUE"""),"C. Orang tua / ikut teman")</f>
        <v>C. Orang tua / ikut teman</v>
      </c>
      <c r="K98" s="7" t="str">
        <f>IFERROR(__xludf.DUMMYFUNCTION("""COMPUTED_VALUE"""),"A. Memberikan pengertian")</f>
        <v>A. Memberikan pengertian</v>
      </c>
      <c r="L98" s="7" t="str">
        <f>IFERROR(__xludf.DUMMYFUNCTION("""COMPUTED_VALUE"""),"A. Intensif (tahfizh, sekolah Islam)")</f>
        <v>A. Intensif (tahfizh, sekolah Islam)</v>
      </c>
      <c r="M98" s="7" t="str">
        <f>IFERROR(__xludf.DUMMYFUNCTION("""COMPUTED_VALUE"""),"A. Yakin")</f>
        <v>A. Yakin</v>
      </c>
      <c r="N98" s="7" t="str">
        <f>IFERROR(__xludf.DUMMYFUNCTION("""COMPUTED_VALUE"""),"A. Sangat penting")</f>
        <v>A. Sangat penting</v>
      </c>
      <c r="O98" s="7" t="str">
        <f>IFERROR(__xludf.DUMMYFUNCTION("""COMPUTED_VALUE"""),"C. Sesempatnya saja")</f>
        <v>C. Sesempatnya saja</v>
      </c>
      <c r="P98" s="7" t="str">
        <f>IFERROR(__xludf.DUMMYFUNCTION("""COMPUTED_VALUE"""),"A. Klarifikasi &amp; beri semangat pada anak")</f>
        <v>A. Klarifikasi &amp; beri semangat pada anak</v>
      </c>
      <c r="Q98" s="7" t="str">
        <f>IFERROR(__xludf.DUMMYFUNCTION("""COMPUTED_VALUE"""),"A. Menerima sebagai konsekuensi (selama bimbingan sudah maksimal)")</f>
        <v>A. Menerima sebagai konsekuensi (selama bimbingan sudah maksimal)</v>
      </c>
      <c r="R98" s="7" t="str">
        <f>IFERROR(__xludf.DUMMYFUNCTION("""COMPUTED_VALUE"""),"Kelebihan : mudah adaptasi, agak slebor, harus lebih diberitahu utk mengerti, ")</f>
        <v>Kelebihan : mudah adaptasi, agak slebor, harus lebih diberitahu utk mengerti, </v>
      </c>
      <c r="S98" s="7" t="str">
        <f>IFERROR(__xludf.DUMMYFUNCTION("""COMPUTED_VALUE"""),"Sudah")</f>
        <v>Sudah</v>
      </c>
      <c r="T98" s="50" t="str">
        <f>IFERROR(__xludf.DUMMYFUNCTION("""COMPUTED_VALUE"""),"Diterima dengan catatan")</f>
        <v>Diterima dengan catatan</v>
      </c>
      <c r="U98" s="50" t="str">
        <f>IFERROR(__xludf.DUMMYFUNCTION("""COMPUTED_VALUE"""),"Bachtiar")</f>
        <v>Bachtiar</v>
      </c>
      <c r="V98" s="7" t="str">
        <f>IFERROR(__xludf.DUMMYFUNCTION("""COMPUTED_VALUE"""),"Orangtuanya pengen bgt anaknya diterima, Krn takut pengaruh lingkungan sekitar rumahnya ")</f>
        <v>Orangtuanya pengen bgt anaknya diterima, Krn takut pengaruh lingkungan sekitar rumahnya </v>
      </c>
    </row>
    <row r="99">
      <c r="A99" s="104">
        <f>IFERROR(__xludf.DUMMYFUNCTION("""COMPUTED_VALUE"""),45953.78692130787)</f>
        <v>45953.78692</v>
      </c>
      <c r="B99" s="7" t="str">
        <f>IFERROR(__xludf.DUMMYFUNCTION("""COMPUTED_VALUE"""),"Alifadilah irhab hausan")</f>
        <v>Alifadilah irhab hausan</v>
      </c>
      <c r="C99" s="7" t="str">
        <f>IFERROR(__xludf.DUMMYFUNCTION("""COMPUTED_VALUE"""),"Sugiono")</f>
        <v>Sugiono</v>
      </c>
      <c r="D99" s="7" t="str">
        <f>IFERROR(__xludf.DUMMYFUNCTION("""COMPUTED_VALUE"""),"SMA")</f>
        <v>SMA</v>
      </c>
      <c r="E99" s="7" t="str">
        <f>IFERROR(__xludf.DUMMYFUNCTION("""COMPUTED_VALUE"""),"C250020")</f>
        <v>C250020</v>
      </c>
      <c r="F99" s="7" t="str">
        <f>IFERROR(__xludf.DUMMYFUNCTION("""COMPUTED_VALUE"""),"IG")</f>
        <v>IG</v>
      </c>
      <c r="G99" s="7" t="str">
        <f>IFERROR(__xludf.DUMMYFUNCTION("""COMPUTED_VALUE"""),"Baru")</f>
        <v>Baru</v>
      </c>
      <c r="H99" s="7" t="str">
        <f>IFERROR(__xludf.DUMMYFUNCTION("""COMPUTED_VALUE"""),"A. Condong ke orientasi akhirat/agama")</f>
        <v>A. Condong ke orientasi akhirat/agama</v>
      </c>
      <c r="I99" s="7" t="str">
        <f>IFERROR(__xludf.DUMMYFUNCTION("""COMPUTED_VALUE"""),"A. Pilihan utama untuk agama, akhlak, dan karakter")</f>
        <v>A. Pilihan utama untuk agama, akhlak, dan karakter</v>
      </c>
      <c r="J99" s="7" t="str">
        <f>IFERROR(__xludf.DUMMYFUNCTION("""COMPUTED_VALUE"""),"B. Anak")</f>
        <v>B. Anak</v>
      </c>
      <c r="K99" s="7" t="str">
        <f>IFERROR(__xludf.DUMMYFUNCTION("""COMPUTED_VALUE"""),"A. Memberikan pengertian")</f>
        <v>A. Memberikan pengertian</v>
      </c>
      <c r="L99" s="7" t="str">
        <f>IFERROR(__xludf.DUMMYFUNCTION("""COMPUTED_VALUE"""),"A. Intensif (tahfizh, sekolah Islam)")</f>
        <v>A. Intensif (tahfizh, sekolah Islam)</v>
      </c>
      <c r="M99" s="7" t="str">
        <f>IFERROR(__xludf.DUMMYFUNCTION("""COMPUTED_VALUE"""),"A. Yakin")</f>
        <v>A. Yakin</v>
      </c>
      <c r="N99" s="7" t="str">
        <f>IFERROR(__xludf.DUMMYFUNCTION("""COMPUTED_VALUE"""),"A. Sangat penting")</f>
        <v>A. Sangat penting</v>
      </c>
      <c r="O99" s="7" t="str">
        <f>IFERROR(__xludf.DUMMYFUNCTION("""COMPUTED_VALUE"""),"C. Sesempatnya saja")</f>
        <v>C. Sesempatnya saja</v>
      </c>
      <c r="P99" s="7" t="str">
        <f>IFERROR(__xludf.DUMMYFUNCTION("""COMPUTED_VALUE"""),"A. Klarifikasi &amp; beri semangat pada anak")</f>
        <v>A. Klarifikasi &amp; beri semangat pada anak</v>
      </c>
      <c r="Q99" s="7" t="str">
        <f>IFERROR(__xludf.DUMMYFUNCTION("""COMPUTED_VALUE"""),"A. Menerima sebagai konsekuensi (selama bimbingan sudah maksimal)")</f>
        <v>A. Menerima sebagai konsekuensi (selama bimbingan sudah maksimal)</v>
      </c>
      <c r="R99" s="7" t="str">
        <f>IFERROR(__xludf.DUMMYFUNCTION("""COMPUTED_VALUE"""),"Pendiam, lambat ke penangkapan.")</f>
        <v>Pendiam, lambat ke penangkapan.</v>
      </c>
      <c r="S99" s="7" t="str">
        <f>IFERROR(__xludf.DUMMYFUNCTION("""COMPUTED_VALUE"""),"Belum")</f>
        <v>Belum</v>
      </c>
      <c r="T99" s="50" t="str">
        <f>IFERROR(__xludf.DUMMYFUNCTION("""COMPUTED_VALUE"""),"Diterima")</f>
        <v>Diterima</v>
      </c>
      <c r="U99" s="50" t="str">
        <f>IFERROR(__xludf.DUMMYFUNCTION("""COMPUTED_VALUE"""),"Syarif")</f>
        <v>Syarif</v>
      </c>
      <c r="V99" s="7" t="str">
        <f>IFERROR(__xludf.DUMMYFUNCTION("""COMPUTED_VALUE"""),"Jika kemungkinan blm masuk SMA bisa ke idad lughowy.")</f>
        <v>Jika kemungkinan blm masuk SMA bisa ke idad lughowy.</v>
      </c>
    </row>
    <row r="100">
      <c r="A100" s="104">
        <f>IFERROR(__xludf.DUMMYFUNCTION("""COMPUTED_VALUE"""),45953.85345387732)</f>
        <v>45953.85345</v>
      </c>
      <c r="B100" s="7" t="str">
        <f>IFERROR(__xludf.DUMMYFUNCTION("""COMPUTED_VALUE"""),"ADITYA AFHAN DHIAULHAQ ")</f>
        <v>ADITYA AFHAN DHIAULHAQ </v>
      </c>
      <c r="C100" s="7" t="str">
        <f>IFERROR(__xludf.DUMMYFUNCTION("""COMPUTED_VALUE"""),"Tumiasih")</f>
        <v>Tumiasih</v>
      </c>
      <c r="D100" s="7" t="str">
        <f>IFERROR(__xludf.DUMMYFUNCTION("""COMPUTED_VALUE"""),"SMA")</f>
        <v>SMA</v>
      </c>
      <c r="E100" s="7" t="str">
        <f>IFERROR(__xludf.DUMMYFUNCTION("""COMPUTED_VALUE"""),"C250021")</f>
        <v>C250021</v>
      </c>
      <c r="F100" s="7" t="str">
        <f>IFERROR(__xludf.DUMMYFUNCTION("""COMPUTED_VALUE"""),"Anak tmnnya dsni.PUAS dan knl ust muhib adik kls")</f>
        <v>Anak tmnnya dsni.PUAS dan knl ust muhib adik kls</v>
      </c>
      <c r="G100" s="7" t="str">
        <f>IFERROR(__xludf.DUMMYFUNCTION("""COMPUTED_VALUE"""),"Memiliki teman/rekan/tetangga di PUAS")</f>
        <v>Memiliki teman/rekan/tetangga di PUAS</v>
      </c>
      <c r="H100" s="7" t="str">
        <f>IFERROR(__xludf.DUMMYFUNCTION("""COMPUTED_VALUE"""),"A. Condong ke orientasi akhirat/agama")</f>
        <v>A. Condong ke orientasi akhirat/agama</v>
      </c>
      <c r="I100" s="7" t="str">
        <f>IFERROR(__xludf.DUMMYFUNCTION("""COMPUTED_VALUE"""),"A. Pilihan utama untuk agama, akhlak, dan karakter")</f>
        <v>A. Pilihan utama untuk agama, akhlak, dan karakter</v>
      </c>
      <c r="J100" s="7" t="str">
        <f>IFERROR(__xludf.DUMMYFUNCTION("""COMPUTED_VALUE"""),"A. Orang tua &amp; anak")</f>
        <v>A. Orang tua &amp; anak</v>
      </c>
      <c r="K100" s="7" t="str">
        <f>IFERROR(__xludf.DUMMYFUNCTION("""COMPUTED_VALUE"""),"A. Memberikan pengertian")</f>
        <v>A. Memberikan pengertian</v>
      </c>
      <c r="L100" s="7" t="str">
        <f>IFERROR(__xludf.DUMMYFUNCTION("""COMPUTED_VALUE"""),"A. Intensif (tahfizh, sekolah Islam)")</f>
        <v>A. Intensif (tahfizh, sekolah Islam)</v>
      </c>
      <c r="M100" s="7" t="str">
        <f>IFERROR(__xludf.DUMMYFUNCTION("""COMPUTED_VALUE"""),"A. Yakin")</f>
        <v>A. Yakin</v>
      </c>
      <c r="N100" s="7" t="str">
        <f>IFERROR(__xludf.DUMMYFUNCTION("""COMPUTED_VALUE"""),"A. Sangat penting")</f>
        <v>A. Sangat penting</v>
      </c>
      <c r="O100" s="7" t="str">
        <f>IFERROR(__xludf.DUMMYFUNCTION("""COMPUTED_VALUE"""),"A. Berkala")</f>
        <v>A. Berkala</v>
      </c>
      <c r="P100" s="7" t="str">
        <f>IFERROR(__xludf.DUMMYFUNCTION("""COMPUTED_VALUE"""),"A. Klarifikasi &amp; beri semangat pada anak")</f>
        <v>A. Klarifikasi &amp; beri semangat pada anak</v>
      </c>
      <c r="Q100" s="7" t="str">
        <f>IFERROR(__xludf.DUMMYFUNCTION("""COMPUTED_VALUE"""),"A. Menerima sebagai konsekuensi (selama bimbingan sudah maksimal)")</f>
        <v>A. Menerima sebagai konsekuensi (selama bimbingan sudah maksimal)</v>
      </c>
      <c r="R100" s="7" t="str">
        <f>IFERROR(__xludf.DUMMYFUNCTION("""COMPUTED_VALUE"""),"Mandiri, pendiem, peka mudah disuruh.")</f>
        <v>Mandiri, pendiem, peka mudah disuruh.</v>
      </c>
      <c r="S100" s="7" t="str">
        <f>IFERROR(__xludf.DUMMYFUNCTION("""COMPUTED_VALUE"""),"Sudah")</f>
        <v>Sudah</v>
      </c>
      <c r="T100" s="50" t="str">
        <f>IFERROR(__xludf.DUMMYFUNCTION("""COMPUTED_VALUE"""),"Diterima")</f>
        <v>Diterima</v>
      </c>
      <c r="U100" s="50" t="str">
        <f>IFERROR(__xludf.DUMMYFUNCTION("""COMPUTED_VALUE"""),"Syarif")</f>
        <v>Syarif</v>
      </c>
      <c r="V100" s="7" t="str">
        <f>IFERROR(__xludf.DUMMYFUNCTION("""COMPUTED_VALUE"""),"Melihat hasil test jika masuk lgsg SMA ")</f>
        <v>Melihat hasil test jika masuk lgsg SMA </v>
      </c>
    </row>
    <row r="101">
      <c r="A101" s="104">
        <f>IFERROR(__xludf.DUMMYFUNCTION("""COMPUTED_VALUE"""),45954.6830590625)</f>
        <v>45954.68306</v>
      </c>
      <c r="B101" s="7" t="str">
        <f>IFERROR(__xludf.DUMMYFUNCTION("""COMPUTED_VALUE"""),"Angga Saputra")</f>
        <v>Angga Saputra</v>
      </c>
      <c r="C101" s="7" t="str">
        <f>IFERROR(__xludf.DUMMYFUNCTION("""COMPUTED_VALUE"""),"Novi")</f>
        <v>Novi</v>
      </c>
      <c r="D101" s="7" t="str">
        <f>IFERROR(__xludf.DUMMYFUNCTION("""COMPUTED_VALUE"""),"I'L Putra")</f>
        <v>I'L Putra</v>
      </c>
      <c r="E101" s="7" t="str">
        <f>IFERROR(__xludf.DUMMYFUNCTION("""COMPUTED_VALUE"""),"B250017")</f>
        <v>B250017</v>
      </c>
      <c r="F101" s="7" t="str">
        <f>IFERROR(__xludf.DUMMYFUNCTION("""COMPUTED_VALUE"""),"FB")</f>
        <v>FB</v>
      </c>
      <c r="G101" s="7" t="str">
        <f>IFERROR(__xludf.DUMMYFUNCTION("""COMPUTED_VALUE"""),"Yatim/ah")</f>
        <v>Yatim/ah</v>
      </c>
      <c r="H101" s="7" t="str">
        <f>IFERROR(__xludf.DUMMYFUNCTION("""COMPUTED_VALUE"""),"A. Condong ke orientasi akhirat/agama")</f>
        <v>A. Condong ke orientasi akhirat/agama</v>
      </c>
      <c r="I101" s="7" t="str">
        <f>IFERROR(__xludf.DUMMYFUNCTION("""COMPUTED_VALUE"""),"A. Pilihan utama untuk agama, akhlak, dan karakter")</f>
        <v>A. Pilihan utama untuk agama, akhlak, dan karakter</v>
      </c>
      <c r="J101" s="7" t="str">
        <f>IFERROR(__xludf.DUMMYFUNCTION("""COMPUTED_VALUE"""),"A. Orang tua &amp; anak")</f>
        <v>A. Orang tua &amp; anak</v>
      </c>
      <c r="K101" s="7" t="str">
        <f>IFERROR(__xludf.DUMMYFUNCTION("""COMPUTED_VALUE"""),"A. Memberikan pengertian")</f>
        <v>A. Memberikan pengertian</v>
      </c>
      <c r="L101" s="7" t="str">
        <f>IFERROR(__xludf.DUMMYFUNCTION("""COMPUTED_VALUE"""),"A. Intensif (tahfizh, sekolah Islam)")</f>
        <v>A. Intensif (tahfizh, sekolah Islam)</v>
      </c>
      <c r="M101" s="7" t="str">
        <f>IFERROR(__xludf.DUMMYFUNCTION("""COMPUTED_VALUE"""),"A. Yakin")</f>
        <v>A. Yakin</v>
      </c>
      <c r="N101" s="7" t="str">
        <f>IFERROR(__xludf.DUMMYFUNCTION("""COMPUTED_VALUE"""),"A. Sangat penting")</f>
        <v>A. Sangat penting</v>
      </c>
      <c r="O101" s="7" t="str">
        <f>IFERROR(__xludf.DUMMYFUNCTION("""COMPUTED_VALUE"""),"A. Berkala")</f>
        <v>A. Berkala</v>
      </c>
      <c r="P101" s="7" t="str">
        <f>IFERROR(__xludf.DUMMYFUNCTION("""COMPUTED_VALUE"""),"A. Klarifikasi &amp; beri semangat pada anak")</f>
        <v>A. Klarifikasi &amp; beri semangat pada anak</v>
      </c>
      <c r="Q101" s="7" t="str">
        <f>IFERROR(__xludf.DUMMYFUNCTION("""COMPUTED_VALUE"""),"A. Menerima sebagai konsekuensi (selama bimbingan sudah maksimal)")</f>
        <v>A. Menerima sebagai konsekuensi (selama bimbingan sudah maksimal)</v>
      </c>
      <c r="R101" s="7" t="str">
        <f>IFERROR(__xludf.DUMMYFUNCTION("""COMPUTED_VALUE"""),"Positif : Tekun
Negatif : Kurang cepat nangkap")</f>
        <v>Positif : Tekun
Negatif : Kurang cepat nangkap</v>
      </c>
      <c r="S101" s="7" t="str">
        <f>IFERROR(__xludf.DUMMYFUNCTION("""COMPUTED_VALUE"""),"Sudah")</f>
        <v>Sudah</v>
      </c>
      <c r="T101" s="50" t="str">
        <f>IFERROR(__xludf.DUMMYFUNCTION("""COMPUTED_VALUE"""),"Diterima")</f>
        <v>Diterima</v>
      </c>
      <c r="U101" s="50" t="str">
        <f>IFERROR(__xludf.DUMMYFUNCTION("""COMPUTED_VALUE"""),"Adib")</f>
        <v>Adib</v>
      </c>
      <c r="V101" s="7"/>
    </row>
    <row r="102">
      <c r="A102" s="104">
        <f>IFERROR(__xludf.DUMMYFUNCTION("""COMPUTED_VALUE"""),45955.46471609954)</f>
        <v>45955.46472</v>
      </c>
      <c r="B102" s="7" t="str">
        <f>IFERROR(__xludf.DUMMYFUNCTION("""COMPUTED_VALUE"""),"Nama santri : Aisha Alifa Noor Attarini")</f>
        <v>Nama santri : Aisha Alifa Noor Attarini</v>
      </c>
      <c r="C102" s="7" t="str">
        <f>IFERROR(__xludf.DUMMYFUNCTION("""COMPUTED_VALUE"""),"Rini Pryadharsini")</f>
        <v>Rini Pryadharsini</v>
      </c>
      <c r="D102" s="7" t="str">
        <f>IFERROR(__xludf.DUMMYFUNCTION("""COMPUTED_VALUE"""),"MTs Putri")</f>
        <v>MTs Putri</v>
      </c>
      <c r="E102" s="7" t="str">
        <f>IFERROR(__xludf.DUMMYFUNCTION("""COMPUTED_VALUE"""),"D250023")</f>
        <v>D250023</v>
      </c>
      <c r="F102" s="7" t="str">
        <f>IFERROR(__xludf.DUMMYFUNCTION("""COMPUTED_VALUE"""),"Saudara keponakan SDH ad di puas.")</f>
        <v>Saudara keponakan SDH ad di puas.</v>
      </c>
      <c r="G102" s="7" t="str">
        <f>IFERROR(__xludf.DUMMYFUNCTION("""COMPUTED_VALUE"""),"Memiliki teman/rekan/tetangga di PUAS")</f>
        <v>Memiliki teman/rekan/tetangga di PUAS</v>
      </c>
      <c r="H102" s="7" t="str">
        <f>IFERROR(__xludf.DUMMYFUNCTION("""COMPUTED_VALUE"""),"A. Condong ke orientasi akhirat/agama")</f>
        <v>A. Condong ke orientasi akhirat/agama</v>
      </c>
      <c r="I102" s="7" t="str">
        <f>IFERROR(__xludf.DUMMYFUNCTION("""COMPUTED_VALUE"""),"A. Pilihan utama untuk agama, akhlak, dan karakter")</f>
        <v>A. Pilihan utama untuk agama, akhlak, dan karakter</v>
      </c>
      <c r="J102" s="7" t="str">
        <f>IFERROR(__xludf.DUMMYFUNCTION("""COMPUTED_VALUE"""),"A. Orang tua &amp; anak")</f>
        <v>A. Orang tua &amp; anak</v>
      </c>
      <c r="K102" s="7" t="str">
        <f>IFERROR(__xludf.DUMMYFUNCTION("""COMPUTED_VALUE"""),"A. Memberikan pengertian")</f>
        <v>A. Memberikan pengertian</v>
      </c>
      <c r="L102" s="7" t="str">
        <f>IFERROR(__xludf.DUMMYFUNCTION("""COMPUTED_VALUE"""),"A. Intensif (tahfizh, sekolah Islam)")</f>
        <v>A. Intensif (tahfizh, sekolah Islam)</v>
      </c>
      <c r="M102" s="7" t="str">
        <f>IFERROR(__xludf.DUMMYFUNCTION("""COMPUTED_VALUE"""),"A. Yakin")</f>
        <v>A. Yakin</v>
      </c>
      <c r="N102" s="7" t="str">
        <f>IFERROR(__xludf.DUMMYFUNCTION("""COMPUTED_VALUE"""),"C. Penting")</f>
        <v>C. Penting</v>
      </c>
      <c r="O102" s="7" t="str">
        <f>IFERROR(__xludf.DUMMYFUNCTION("""COMPUTED_VALUE"""),"A. Berkala")</f>
        <v>A. Berkala</v>
      </c>
      <c r="P102" s="7" t="str">
        <f>IFERROR(__xludf.DUMMYFUNCTION("""COMPUTED_VALUE"""),"A. Klarifikasi &amp; beri semangat pada anak")</f>
        <v>A. Klarifikasi &amp; beri semangat pada anak</v>
      </c>
      <c r="Q102" s="7" t="str">
        <f>IFERROR(__xludf.DUMMYFUNCTION("""COMPUTED_VALUE"""),"A. Menerima sebagai konsekuensi (selama bimbingan sudah maksimal)")</f>
        <v>A. Menerima sebagai konsekuensi (selama bimbingan sudah maksimal)</v>
      </c>
      <c r="R102" s="7" t="str">
        <f>IFERROR(__xludf.DUMMYFUNCTION("""COMPUTED_VALUE"""),"Mandiri, mudah kondisikan, pendiam jika kurg cocok.")</f>
        <v>Mandiri, mudah kondisikan, pendiam jika kurg cocok.</v>
      </c>
      <c r="S102" s="7" t="str">
        <f>IFERROR(__xludf.DUMMYFUNCTION("""COMPUTED_VALUE"""),"Sudah")</f>
        <v>Sudah</v>
      </c>
      <c r="T102" s="50" t="str">
        <f>IFERROR(__xludf.DUMMYFUNCTION("""COMPUTED_VALUE"""),"Diterima dengan catatan")</f>
        <v>Diterima dengan catatan</v>
      </c>
      <c r="U102" s="50" t="str">
        <f>IFERROR(__xludf.DUMMYFUNCTION("""COMPUTED_VALUE"""),"Syarif")</f>
        <v>Syarif</v>
      </c>
      <c r="V102" s="7" t="str">
        <f>IFERROR(__xludf.DUMMYFUNCTION("""COMPUTED_VALUE"""),"Cek Kemampuan bacaan Al-Quran Krn dr skolah umum. Krn target pondok adl agama agar tidak kesulitan di kls")</f>
        <v>Cek Kemampuan bacaan Al-Quran Krn dr skolah umum. Krn target pondok adl agama agar tidak kesulitan di kls</v>
      </c>
    </row>
    <row r="103">
      <c r="A103" s="104">
        <f>IFERROR(__xludf.DUMMYFUNCTION("""COMPUTED_VALUE"""),45955.699305856484)</f>
        <v>45955.69931</v>
      </c>
      <c r="B103" s="7" t="str">
        <f>IFERROR(__xludf.DUMMYFUNCTION("""COMPUTED_VALUE"""),"Umar Syahid")</f>
        <v>Umar Syahid</v>
      </c>
      <c r="C103" s="7" t="str">
        <f>IFERROR(__xludf.DUMMYFUNCTION("""COMPUTED_VALUE"""),"Wira Oktaviani")</f>
        <v>Wira Oktaviani</v>
      </c>
      <c r="D103" s="7" t="str">
        <f>IFERROR(__xludf.DUMMYFUNCTION("""COMPUTED_VALUE"""),"MTs Putra")</f>
        <v>MTs Putra</v>
      </c>
      <c r="E103" s="7" t="str">
        <f>IFERROR(__xludf.DUMMYFUNCTION("""COMPUTED_VALUE"""),"A250078")</f>
        <v>A250078</v>
      </c>
      <c r="F103" s="7" t="str">
        <f>IFERROR(__xludf.DUMMYFUNCTION("""COMPUTED_VALUE"""),"dari promosi ustadz wahab")</f>
        <v>dari promosi ustadz wahab</v>
      </c>
      <c r="G103" s="7" t="str">
        <f>IFERROR(__xludf.DUMMYFUNCTION("""COMPUTED_VALUE"""),"Baru")</f>
        <v>Baru</v>
      </c>
      <c r="H103" s="7" t="str">
        <f>IFERROR(__xludf.DUMMYFUNCTION("""COMPUTED_VALUE"""),"A. Condong ke orientasi akhirat/agama")</f>
        <v>A. Condong ke orientasi akhirat/agama</v>
      </c>
      <c r="I103" s="7" t="str">
        <f>IFERROR(__xludf.DUMMYFUNCTION("""COMPUTED_VALUE"""),"A. Pilihan utama untuk agama, akhlak, dan karakter")</f>
        <v>A. Pilihan utama untuk agama, akhlak, dan karakter</v>
      </c>
      <c r="J103" s="7" t="str">
        <f>IFERROR(__xludf.DUMMYFUNCTION("""COMPUTED_VALUE"""),"A. Orang tua &amp; anak")</f>
        <v>A. Orang tua &amp; anak</v>
      </c>
      <c r="K103" s="7" t="str">
        <f>IFERROR(__xludf.DUMMYFUNCTION("""COMPUTED_VALUE"""),"A. Memberikan pengertian")</f>
        <v>A. Memberikan pengertian</v>
      </c>
      <c r="L103" s="7" t="str">
        <f>IFERROR(__xludf.DUMMYFUNCTION("""COMPUTED_VALUE"""),"A. Intensif (tahfizh, sekolah Islam)")</f>
        <v>A. Intensif (tahfizh, sekolah Islam)</v>
      </c>
      <c r="M103" s="7" t="str">
        <f>IFERROR(__xludf.DUMMYFUNCTION("""COMPUTED_VALUE"""),"A. Yakin")</f>
        <v>A. Yakin</v>
      </c>
      <c r="N103" s="7" t="str">
        <f>IFERROR(__xludf.DUMMYFUNCTION("""COMPUTED_VALUE"""),"A. Sangat penting")</f>
        <v>A. Sangat penting</v>
      </c>
      <c r="O103" s="7" t="str">
        <f>IFERROR(__xludf.DUMMYFUNCTION("""COMPUTED_VALUE"""),"A. Berkala")</f>
        <v>A. Berkala</v>
      </c>
      <c r="P103" s="7" t="str">
        <f>IFERROR(__xludf.DUMMYFUNCTION("""COMPUTED_VALUE"""),"A. Klarifikasi &amp; beri semangat pada anak")</f>
        <v>A. Klarifikasi &amp; beri semangat pada anak</v>
      </c>
      <c r="Q103" s="7" t="str">
        <f>IFERROR(__xludf.DUMMYFUNCTION("""COMPUTED_VALUE"""),"A. Menerima sebagai konsekuensi (selama bimbingan sudah maksimal)")</f>
        <v>A. Menerima sebagai konsekuensi (selama bimbingan sudah maksimal)</v>
      </c>
      <c r="R103" s="7" t="str">
        <f>IFERROR(__xludf.DUMMYFUNCTION("""COMPUTED_VALUE"""),"Positif : Mudah bergaul
Negatif : sedikit susah diajak kerja sama")</f>
        <v>Positif : Mudah bergaul
Negatif : sedikit susah diajak kerja sama</v>
      </c>
      <c r="S103" s="7" t="str">
        <f>IFERROR(__xludf.DUMMYFUNCTION("""COMPUTED_VALUE"""),"Sudah")</f>
        <v>Sudah</v>
      </c>
      <c r="T103" s="50" t="str">
        <f>IFERROR(__xludf.DUMMYFUNCTION("""COMPUTED_VALUE"""),"Diterima")</f>
        <v>Diterima</v>
      </c>
      <c r="U103" s="50" t="str">
        <f>IFERROR(__xludf.DUMMYFUNCTION("""COMPUTED_VALUE"""),"Adib")</f>
        <v>Adib</v>
      </c>
      <c r="V103" s="7"/>
    </row>
    <row r="104">
      <c r="A104" s="104">
        <f>IFERROR(__xludf.DUMMYFUNCTION("""COMPUTED_VALUE"""),45955.72843287037)</f>
        <v>45955.72843</v>
      </c>
      <c r="B104" s="7" t="str">
        <f>IFERROR(__xludf.DUMMYFUNCTION("""COMPUTED_VALUE"""),"Alika Aisyah Putri")</f>
        <v>Alika Aisyah Putri</v>
      </c>
      <c r="C104" s="7" t="str">
        <f>IFERROR(__xludf.DUMMYFUNCTION("""COMPUTED_VALUE"""),"Mohamad Ade Firdaus")</f>
        <v>Mohamad Ade Firdaus</v>
      </c>
      <c r="D104" s="7" t="str">
        <f>IFERROR(__xludf.DUMMYFUNCTION("""COMPUTED_VALUE"""),"MTs Putri")</f>
        <v>MTs Putri</v>
      </c>
      <c r="E104" s="7" t="str">
        <f>IFERROR(__xludf.DUMMYFUNCTION("""COMPUTED_VALUE"""),"D250021")</f>
        <v>D250021</v>
      </c>
      <c r="F104" s="7" t="str">
        <f>IFERROR(__xludf.DUMMYFUNCTION("""COMPUTED_VALUE"""),"atas rekomendasi juga dari teman yang sudah memondokkan anandanya ke ulul albaab")</f>
        <v>atas rekomendasi juga dari teman yang sudah memondokkan anandanya ke ulul albaab</v>
      </c>
      <c r="G104" s="7" t="str">
        <f>IFERROR(__xludf.DUMMYFUNCTION("""COMPUTED_VALUE"""),"Baru")</f>
        <v>Baru</v>
      </c>
      <c r="H104" s="7" t="str">
        <f>IFERROR(__xludf.DUMMYFUNCTION("""COMPUTED_VALUE"""),"A. Condong ke orientasi akhirat/agama")</f>
        <v>A. Condong ke orientasi akhirat/agama</v>
      </c>
      <c r="I104" s="7" t="str">
        <f>IFERROR(__xludf.DUMMYFUNCTION("""COMPUTED_VALUE"""),"A. Pilihan utama untuk agama, akhlak, dan karakter")</f>
        <v>A. Pilihan utama untuk agama, akhlak, dan karakter</v>
      </c>
      <c r="J104" s="7" t="str">
        <f>IFERROR(__xludf.DUMMYFUNCTION("""COMPUTED_VALUE"""),"A. Orang tua &amp; anak")</f>
        <v>A. Orang tua &amp; anak</v>
      </c>
      <c r="K104" s="7" t="str">
        <f>IFERROR(__xludf.DUMMYFUNCTION("""COMPUTED_VALUE"""),"A. Memberikan pengertian")</f>
        <v>A. Memberikan pengertian</v>
      </c>
      <c r="L104" s="7" t="str">
        <f>IFERROR(__xludf.DUMMYFUNCTION("""COMPUTED_VALUE"""),"A. Intensif (tahfizh, sekolah Islam)")</f>
        <v>A. Intensif (tahfizh, sekolah Islam)</v>
      </c>
      <c r="M104" s="7" t="str">
        <f>IFERROR(__xludf.DUMMYFUNCTION("""COMPUTED_VALUE"""),"A. Yakin")</f>
        <v>A. Yakin</v>
      </c>
      <c r="N104" s="7" t="str">
        <f>IFERROR(__xludf.DUMMYFUNCTION("""COMPUTED_VALUE"""),"A. Sangat penting")</f>
        <v>A. Sangat penting</v>
      </c>
      <c r="O104" s="7" t="str">
        <f>IFERROR(__xludf.DUMMYFUNCTION("""COMPUTED_VALUE"""),"A. Berkala")</f>
        <v>A. Berkala</v>
      </c>
      <c r="P104" s="7" t="str">
        <f>IFERROR(__xludf.DUMMYFUNCTION("""COMPUTED_VALUE"""),"A. Klarifikasi &amp; beri semangat pada anak")</f>
        <v>A. Klarifikasi &amp; beri semangat pada anak</v>
      </c>
      <c r="Q104" s="7" t="str">
        <f>IFERROR(__xludf.DUMMYFUNCTION("""COMPUTED_VALUE"""),"A. Menerima sebagai konsekuensi (selama bimbingan sudah maksimal)")</f>
        <v>A. Menerima sebagai konsekuensi (selama bimbingan sudah maksimal)</v>
      </c>
      <c r="R104" s="7" t="str">
        <f>IFERROR(__xludf.DUMMYFUNCTION("""COMPUTED_VALUE"""),"Positif : cara berfikirnya dewasa, bertanggung jawab
Negatif : Susah bangun pagi")</f>
        <v>Positif : cara berfikirnya dewasa, bertanggung jawab
Negatif : Susah bangun pagi</v>
      </c>
      <c r="S104" s="7" t="str">
        <f>IFERROR(__xludf.DUMMYFUNCTION("""COMPUTED_VALUE"""),"Sudah")</f>
        <v>Sudah</v>
      </c>
      <c r="T104" s="50" t="str">
        <f>IFERROR(__xludf.DUMMYFUNCTION("""COMPUTED_VALUE"""),"Diterima")</f>
        <v>Diterima</v>
      </c>
      <c r="U104" s="50" t="str">
        <f>IFERROR(__xludf.DUMMYFUNCTION("""COMPUTED_VALUE"""),"Adib")</f>
        <v>Adib</v>
      </c>
      <c r="V104" s="7"/>
    </row>
    <row r="105">
      <c r="A105" s="104">
        <f>IFERROR(__xludf.DUMMYFUNCTION("""COMPUTED_VALUE"""),45958.61702888889)</f>
        <v>45958.61703</v>
      </c>
      <c r="B105" s="7" t="str">
        <f>IFERROR(__xludf.DUMMYFUNCTION("""COMPUTED_VALUE"""),"Hamzah Aqil")</f>
        <v>Hamzah Aqil</v>
      </c>
      <c r="C105" s="7" t="str">
        <f>IFERROR(__xludf.DUMMYFUNCTION("""COMPUTED_VALUE"""),"Supriyanto Ari Raharjo")</f>
        <v>Supriyanto Ari Raharjo</v>
      </c>
      <c r="D105" s="7" t="str">
        <f>IFERROR(__xludf.DUMMYFUNCTION("""COMPUTED_VALUE"""),"MTs Putra")</f>
        <v>MTs Putra</v>
      </c>
      <c r="E105" s="7" t="str">
        <f>IFERROR(__xludf.DUMMYFUNCTION("""COMPUTED_VALUE"""),"A250057")</f>
        <v>A250057</v>
      </c>
      <c r="F105" s="7" t="str">
        <f>IFERROR(__xludf.DUMMYFUNCTION("""COMPUTED_VALUE"""),"Kenal dr tmnya anak nya di puas")</f>
        <v>Kenal dr tmnya anak nya di puas</v>
      </c>
      <c r="G105" s="7" t="str">
        <f>IFERROR(__xludf.DUMMYFUNCTION("""COMPUTED_VALUE"""),"Memiliki teman/rekan/tetangga di PUAS")</f>
        <v>Memiliki teman/rekan/tetangga di PUAS</v>
      </c>
      <c r="H105" s="7" t="str">
        <f>IFERROR(__xludf.DUMMYFUNCTION("""COMPUTED_VALUE"""),"A. Condong ke orientasi akhirat/agama")</f>
        <v>A. Condong ke orientasi akhirat/agama</v>
      </c>
      <c r="I105" s="7" t="str">
        <f>IFERROR(__xludf.DUMMYFUNCTION("""COMPUTED_VALUE"""),"A. Pilihan utama untuk agama, akhlak, dan karakter")</f>
        <v>A. Pilihan utama untuk agama, akhlak, dan karakter</v>
      </c>
      <c r="J105" s="7" t="str">
        <f>IFERROR(__xludf.DUMMYFUNCTION("""COMPUTED_VALUE"""),"A. Orang tua &amp; anak")</f>
        <v>A. Orang tua &amp; anak</v>
      </c>
      <c r="K105" s="7" t="str">
        <f>IFERROR(__xludf.DUMMYFUNCTION("""COMPUTED_VALUE"""),"A. Memberikan pengertian")</f>
        <v>A. Memberikan pengertian</v>
      </c>
      <c r="L105" s="7" t="str">
        <f>IFERROR(__xludf.DUMMYFUNCTION("""COMPUTED_VALUE"""),"A. Intensif (tahfizh, sekolah Islam)")</f>
        <v>A. Intensif (tahfizh, sekolah Islam)</v>
      </c>
      <c r="M105" s="7" t="str">
        <f>IFERROR(__xludf.DUMMYFUNCTION("""COMPUTED_VALUE"""),"A. Yakin")</f>
        <v>A. Yakin</v>
      </c>
      <c r="N105" s="7" t="str">
        <f>IFERROR(__xludf.DUMMYFUNCTION("""COMPUTED_VALUE"""),"A. Sangat penting")</f>
        <v>A. Sangat penting</v>
      </c>
      <c r="O105" s="7" t="str">
        <f>IFERROR(__xludf.DUMMYFUNCTION("""COMPUTED_VALUE"""),"A. Berkala")</f>
        <v>A. Berkala</v>
      </c>
      <c r="P105" s="7" t="str">
        <f>IFERROR(__xludf.DUMMYFUNCTION("""COMPUTED_VALUE"""),"A. Klarifikasi &amp; beri semangat pada anak")</f>
        <v>A. Klarifikasi &amp; beri semangat pada anak</v>
      </c>
      <c r="Q105" s="7" t="str">
        <f>IFERROR(__xludf.DUMMYFUNCTION("""COMPUTED_VALUE"""),"A. Menerima sebagai konsekuensi (selama bimbingan sudah maksimal)")</f>
        <v>A. Menerima sebagai konsekuensi (selama bimbingan sudah maksimal)</v>
      </c>
      <c r="R105" s="7" t="str">
        <f>IFERROR(__xludf.DUMMYFUNCTION("""COMPUTED_VALUE"""),"Aktif, mandiri, mudah gaul, sk main hp")</f>
        <v>Aktif, mandiri, mudah gaul, sk main hp</v>
      </c>
      <c r="S105" s="7" t="str">
        <f>IFERROR(__xludf.DUMMYFUNCTION("""COMPUTED_VALUE"""),"Belum")</f>
        <v>Belum</v>
      </c>
      <c r="T105" s="50" t="str">
        <f>IFERROR(__xludf.DUMMYFUNCTION("""COMPUTED_VALUE"""),"Diterima")</f>
        <v>Diterima</v>
      </c>
      <c r="U105" s="50" t="str">
        <f>IFERROR(__xludf.DUMMYFUNCTION("""COMPUTED_VALUE"""),"Syarif")</f>
        <v>Syarif</v>
      </c>
      <c r="V105" s="7"/>
    </row>
    <row r="106">
      <c r="A106" s="104">
        <f>IFERROR(__xludf.DUMMYFUNCTION("""COMPUTED_VALUE"""),45960.38921871528)</f>
        <v>45960.38922</v>
      </c>
      <c r="B106" s="7" t="str">
        <f>IFERROR(__xludf.DUMMYFUNCTION("""COMPUTED_VALUE"""),"Muhammad Hilman alfarisi")</f>
        <v>Muhammad Hilman alfarisi</v>
      </c>
      <c r="C106" s="7" t="str">
        <f>IFERROR(__xludf.DUMMYFUNCTION("""COMPUTED_VALUE"""),"Maida amalia")</f>
        <v>Maida amalia</v>
      </c>
      <c r="D106" s="7" t="str">
        <f>IFERROR(__xludf.DUMMYFUNCTION("""COMPUTED_VALUE"""),"SMA")</f>
        <v>SMA</v>
      </c>
      <c r="E106" s="7" t="str">
        <f>IFERROR(__xludf.DUMMYFUNCTION("""COMPUTED_VALUE"""),"C250010")</f>
        <v>C250010</v>
      </c>
      <c r="F106" s="7" t="str">
        <f>IFERROR(__xludf.DUMMYFUNCTION("""COMPUTED_VALUE"""),"FB")</f>
        <v>FB</v>
      </c>
      <c r="G106" s="7" t="str">
        <f>IFERROR(__xludf.DUMMYFUNCTION("""COMPUTED_VALUE"""),"Baru")</f>
        <v>Baru</v>
      </c>
      <c r="H106" s="7" t="str">
        <f>IFERROR(__xludf.DUMMYFUNCTION("""COMPUTED_VALUE"""),"A. Condong ke orientasi akhirat/agama")</f>
        <v>A. Condong ke orientasi akhirat/agama</v>
      </c>
      <c r="I106" s="7" t="str">
        <f>IFERROR(__xludf.DUMMYFUNCTION("""COMPUTED_VALUE"""),"A. Pilihan utama untuk agama, akhlak, dan karakter")</f>
        <v>A. Pilihan utama untuk agama, akhlak, dan karakter</v>
      </c>
      <c r="J106" s="7" t="str">
        <f>IFERROR(__xludf.DUMMYFUNCTION("""COMPUTED_VALUE"""),"A. Orang tua &amp; anak")</f>
        <v>A. Orang tua &amp; anak</v>
      </c>
      <c r="K106" s="7" t="str">
        <f>IFERROR(__xludf.DUMMYFUNCTION("""COMPUTED_VALUE"""),"B. Memberikan hadiah/iming-iming")</f>
        <v>B. Memberikan hadiah/iming-iming</v>
      </c>
      <c r="L106" s="7" t="str">
        <f>IFERROR(__xludf.DUMMYFUNCTION("""COMPUTED_VALUE"""),"A. Intensif (tahfizh, sekolah Islam)")</f>
        <v>A. Intensif (tahfizh, sekolah Islam)</v>
      </c>
      <c r="M106" s="7" t="str">
        <f>IFERROR(__xludf.DUMMYFUNCTION("""COMPUTED_VALUE"""),"A. Yakin")</f>
        <v>A. Yakin</v>
      </c>
      <c r="N106" s="7" t="str">
        <f>IFERROR(__xludf.DUMMYFUNCTION("""COMPUTED_VALUE"""),"A. Sangat penting")</f>
        <v>A. Sangat penting</v>
      </c>
      <c r="O106" s="7" t="str">
        <f>IFERROR(__xludf.DUMMYFUNCTION("""COMPUTED_VALUE"""),"A. Berkala")</f>
        <v>A. Berkala</v>
      </c>
      <c r="P106" s="7" t="str">
        <f>IFERROR(__xludf.DUMMYFUNCTION("""COMPUTED_VALUE"""),"A. Klarifikasi &amp; beri semangat pada anak")</f>
        <v>A. Klarifikasi &amp; beri semangat pada anak</v>
      </c>
      <c r="Q106" s="7" t="str">
        <f>IFERROR(__xludf.DUMMYFUNCTION("""COMPUTED_VALUE"""),"A. Menerima sebagai konsekuensi (selama bimbingan sudah maksimal)")</f>
        <v>A. Menerima sebagai konsekuensi (selama bimbingan sudah maksimal)</v>
      </c>
      <c r="R106" s="7" t="str">
        <f>IFERROR(__xludf.DUMMYFUNCTION("""COMPUTED_VALUE"""),"Diem, penurut, pemalu, tggjwb, ada tugas g bisa ditekan. Mandiri.")</f>
        <v>Diem, penurut, pemalu, tggjwb, ada tugas g bisa ditekan. Mandiri.</v>
      </c>
      <c r="S106" s="7" t="str">
        <f>IFERROR(__xludf.DUMMYFUNCTION("""COMPUTED_VALUE"""),"Belum")</f>
        <v>Belum</v>
      </c>
      <c r="T106" s="50" t="str">
        <f>IFERROR(__xludf.DUMMYFUNCTION("""COMPUTED_VALUE"""),"Diterima")</f>
        <v>Diterima</v>
      </c>
      <c r="U106" s="50" t="str">
        <f>IFERROR(__xludf.DUMMYFUNCTION("""COMPUTED_VALUE"""),"Syarif")</f>
        <v>Syarif</v>
      </c>
      <c r="V106" s="7"/>
    </row>
    <row r="107">
      <c r="A107" s="104">
        <f>IFERROR(__xludf.DUMMYFUNCTION("""COMPUTED_VALUE"""),45960.482577627314)</f>
        <v>45960.48258</v>
      </c>
      <c r="B107" s="7" t="str">
        <f>IFERROR(__xludf.DUMMYFUNCTION("""COMPUTED_VALUE"""),"Syahira Zahrotul islam")</f>
        <v>Syahira Zahrotul islam</v>
      </c>
      <c r="C107" s="7" t="str">
        <f>IFERROR(__xludf.DUMMYFUNCTION("""COMPUTED_VALUE"""),"Ibu Nina")</f>
        <v>Ibu Nina</v>
      </c>
      <c r="D107" s="7" t="str">
        <f>IFERROR(__xludf.DUMMYFUNCTION("""COMPUTED_VALUE"""),"MTs Putri")</f>
        <v>MTs Putri</v>
      </c>
      <c r="E107" s="7" t="str">
        <f>IFERROR(__xludf.DUMMYFUNCTION("""COMPUTED_VALUE"""),"D250018")</f>
        <v>D250018</v>
      </c>
      <c r="F107" s="7" t="str">
        <f>IFERROR(__xludf.DUMMYFUNCTION("""COMPUTED_VALUE"""),"Ada temen ngaji disini")</f>
        <v>Ada temen ngaji disini</v>
      </c>
      <c r="G107" s="7" t="str">
        <f>IFERROR(__xludf.DUMMYFUNCTION("""COMPUTED_VALUE"""),"Memiliki teman/rekan/tetangga di PUAS")</f>
        <v>Memiliki teman/rekan/tetangga di PUAS</v>
      </c>
      <c r="H107" s="7" t="str">
        <f>IFERROR(__xludf.DUMMYFUNCTION("""COMPUTED_VALUE"""),"A. Condong ke orientasi akhirat/agama")</f>
        <v>A. Condong ke orientasi akhirat/agama</v>
      </c>
      <c r="I107" s="7" t="str">
        <f>IFERROR(__xludf.DUMMYFUNCTION("""COMPUTED_VALUE"""),"A. Pilihan utama untuk agama, akhlak, dan karakter")</f>
        <v>A. Pilihan utama untuk agama, akhlak, dan karakter</v>
      </c>
      <c r="J107" s="7" t="str">
        <f>IFERROR(__xludf.DUMMYFUNCTION("""COMPUTED_VALUE"""),"B. Anak")</f>
        <v>B. Anak</v>
      </c>
      <c r="K107" s="7" t="str">
        <f>IFERROR(__xludf.DUMMYFUNCTION("""COMPUTED_VALUE"""),"A. Memberikan pengertian")</f>
        <v>A. Memberikan pengertian</v>
      </c>
      <c r="L107" s="7" t="str">
        <f>IFERROR(__xludf.DUMMYFUNCTION("""COMPUTED_VALUE"""),"A. Intensif (tahfizh, sekolah Islam)")</f>
        <v>A. Intensif (tahfizh, sekolah Islam)</v>
      </c>
      <c r="M107" s="7" t="str">
        <f>IFERROR(__xludf.DUMMYFUNCTION("""COMPUTED_VALUE"""),"A. Yakin")</f>
        <v>A. Yakin</v>
      </c>
      <c r="N107" s="7" t="str">
        <f>IFERROR(__xludf.DUMMYFUNCTION("""COMPUTED_VALUE"""),"A. Sangat penting")</f>
        <v>A. Sangat penting</v>
      </c>
      <c r="O107" s="7" t="str">
        <f>IFERROR(__xludf.DUMMYFUNCTION("""COMPUTED_VALUE"""),"A. Berkala")</f>
        <v>A. Berkala</v>
      </c>
      <c r="P107" s="7" t="str">
        <f>IFERROR(__xludf.DUMMYFUNCTION("""COMPUTED_VALUE"""),"A. Klarifikasi &amp; beri semangat pada anak")</f>
        <v>A. Klarifikasi &amp; beri semangat pada anak</v>
      </c>
      <c r="Q107" s="7" t="str">
        <f>IFERROR(__xludf.DUMMYFUNCTION("""COMPUTED_VALUE"""),"A. Menerima sebagai konsekuensi (selama bimbingan sudah maksimal)")</f>
        <v>A. Menerima sebagai konsekuensi (selama bimbingan sudah maksimal)</v>
      </c>
      <c r="R107" s="7" t="str">
        <f>IFERROR(__xludf.DUMMYFUNCTION("""COMPUTED_VALUE"""),"Kelebihan : berprestasi, mudah menghapal, leadership, adaptive. Kekurangannya lelet, selebor")</f>
        <v>Kelebihan : berprestasi, mudah menghapal, leadership, adaptive. Kekurangannya lelet, selebor</v>
      </c>
      <c r="S107" s="7" t="str">
        <f>IFERROR(__xludf.DUMMYFUNCTION("""COMPUTED_VALUE"""),"Sudah")</f>
        <v>Sudah</v>
      </c>
      <c r="T107" s="50" t="str">
        <f>IFERROR(__xludf.DUMMYFUNCTION("""COMPUTED_VALUE"""),"Diterima")</f>
        <v>Diterima</v>
      </c>
      <c r="U107" s="50" t="str">
        <f>IFERROR(__xludf.DUMMYFUNCTION("""COMPUTED_VALUE"""),"Bachtiar")</f>
        <v>Bachtiar</v>
      </c>
      <c r="V107" s="7" t="str">
        <f>IFERROR(__xludf.DUMMYFUNCTION("""COMPUTED_VALUE"""),"Ok")</f>
        <v>Ok</v>
      </c>
    </row>
    <row r="108">
      <c r="A108" s="104">
        <f>IFERROR(__xludf.DUMMYFUNCTION("""COMPUTED_VALUE"""),45960.6648403125)</f>
        <v>45960.66484</v>
      </c>
      <c r="B108" s="7" t="str">
        <f>IFERROR(__xludf.DUMMYFUNCTION("""COMPUTED_VALUE"""),"Zihan Muzainah Zein")</f>
        <v>Zihan Muzainah Zein</v>
      </c>
      <c r="C108" s="7" t="str">
        <f>IFERROR(__xludf.DUMMYFUNCTION("""COMPUTED_VALUE"""),"YEDI NURHAYANDI")</f>
        <v>YEDI NURHAYANDI</v>
      </c>
      <c r="D108" s="7" t="str">
        <f>IFERROR(__xludf.DUMMYFUNCTION("""COMPUTED_VALUE"""),"MTs Putri")</f>
        <v>MTs Putri</v>
      </c>
      <c r="E108" s="7" t="str">
        <f>IFERROR(__xludf.DUMMYFUNCTION("""COMPUTED_VALUE"""),"D250031")</f>
        <v>D250031</v>
      </c>
      <c r="F108" s="7" t="str">
        <f>IFERROR(__xludf.DUMMYFUNCTION("""COMPUTED_VALUE"""),"YouTube")</f>
        <v>YouTube</v>
      </c>
      <c r="G108" s="7" t="str">
        <f>IFERROR(__xludf.DUMMYFUNCTION("""COMPUTED_VALUE"""),"Baru")</f>
        <v>Baru</v>
      </c>
      <c r="H108" s="7" t="str">
        <f>IFERROR(__xludf.DUMMYFUNCTION("""COMPUTED_VALUE"""),"A. Condong ke orientasi akhirat/agama")</f>
        <v>A. Condong ke orientasi akhirat/agama</v>
      </c>
      <c r="I108" s="7" t="str">
        <f>IFERROR(__xludf.DUMMYFUNCTION("""COMPUTED_VALUE"""),"A. Pilihan utama untuk agama, akhlak, dan karakter")</f>
        <v>A. Pilihan utama untuk agama, akhlak, dan karakter</v>
      </c>
      <c r="J108" s="7" t="str">
        <f>IFERROR(__xludf.DUMMYFUNCTION("""COMPUTED_VALUE"""),"A. Orang tua &amp; anak")</f>
        <v>A. Orang tua &amp; anak</v>
      </c>
      <c r="K108" s="7" t="str">
        <f>IFERROR(__xludf.DUMMYFUNCTION("""COMPUTED_VALUE"""),"A. Memberikan pengertian")</f>
        <v>A. Memberikan pengertian</v>
      </c>
      <c r="L108" s="7" t="str">
        <f>IFERROR(__xludf.DUMMYFUNCTION("""COMPUTED_VALUE"""),"A. Intensif (tahfizh, sekolah Islam)")</f>
        <v>A. Intensif (tahfizh, sekolah Islam)</v>
      </c>
      <c r="M108" s="7" t="str">
        <f>IFERROR(__xludf.DUMMYFUNCTION("""COMPUTED_VALUE"""),"A. Yakin")</f>
        <v>A. Yakin</v>
      </c>
      <c r="N108" s="7" t="str">
        <f>IFERROR(__xludf.DUMMYFUNCTION("""COMPUTED_VALUE"""),"A. Sangat penting")</f>
        <v>A. Sangat penting</v>
      </c>
      <c r="O108" s="7" t="str">
        <f>IFERROR(__xludf.DUMMYFUNCTION("""COMPUTED_VALUE"""),"A. Berkala")</f>
        <v>A. Berkala</v>
      </c>
      <c r="P108" s="7" t="str">
        <f>IFERROR(__xludf.DUMMYFUNCTION("""COMPUTED_VALUE"""),"A. Klarifikasi &amp; beri semangat pada anak")</f>
        <v>A. Klarifikasi &amp; beri semangat pada anak</v>
      </c>
      <c r="Q108" s="7" t="str">
        <f>IFERROR(__xludf.DUMMYFUNCTION("""COMPUTED_VALUE"""),"A. Menerima sebagai konsekuensi (selama bimbingan sudah maksimal)")</f>
        <v>A. Menerima sebagai konsekuensi (selama bimbingan sudah maksimal)</v>
      </c>
      <c r="R108" s="7" t="str">
        <f>IFERROR(__xludf.DUMMYFUNCTION("""COMPUTED_VALUE"""),"Positif : Penurut
Negatif : Lama untuk adaptasi")</f>
        <v>Positif : Penurut
Negatif : Lama untuk adaptasi</v>
      </c>
      <c r="S108" s="7" t="str">
        <f>IFERROR(__xludf.DUMMYFUNCTION("""COMPUTED_VALUE"""),"Sudah")</f>
        <v>Sudah</v>
      </c>
      <c r="T108" s="50" t="str">
        <f>IFERROR(__xludf.DUMMYFUNCTION("""COMPUTED_VALUE"""),"Diterima")</f>
        <v>Diterima</v>
      </c>
      <c r="U108" s="50" t="str">
        <f>IFERROR(__xludf.DUMMYFUNCTION("""COMPUTED_VALUE"""),"Adib")</f>
        <v>Adib</v>
      </c>
      <c r="V108" s="7"/>
    </row>
    <row r="109">
      <c r="A109" s="104">
        <f>IFERROR(__xludf.DUMMYFUNCTION("""COMPUTED_VALUE"""),45966.58831009259)</f>
        <v>45966.58831</v>
      </c>
      <c r="B109" s="7" t="str">
        <f>IFERROR(__xludf.DUMMYFUNCTION("""COMPUTED_VALUE"""),"Muhammad risky shapin")</f>
        <v>Muhammad risky shapin</v>
      </c>
      <c r="C109" s="7" t="str">
        <f>IFERROR(__xludf.DUMMYFUNCTION("""COMPUTED_VALUE"""),"Omah")</f>
        <v>Omah</v>
      </c>
      <c r="D109" s="7" t="str">
        <f>IFERROR(__xludf.DUMMYFUNCTION("""COMPUTED_VALUE"""),"SMA")</f>
        <v>SMA</v>
      </c>
      <c r="E109" s="7" t="str">
        <f>IFERROR(__xludf.DUMMYFUNCTION("""COMPUTED_VALUE"""),"B250011")</f>
        <v>B250011</v>
      </c>
      <c r="F109" s="7" t="str">
        <f>IFERROR(__xludf.DUMMYFUNCTION("""COMPUTED_VALUE"""),"FB ust Wahab")</f>
        <v>FB ust Wahab</v>
      </c>
      <c r="G109" s="7" t="str">
        <f>IFERROR(__xludf.DUMMYFUNCTION("""COMPUTED_VALUE"""),"Baru")</f>
        <v>Baru</v>
      </c>
      <c r="H109" s="7" t="str">
        <f>IFERROR(__xludf.DUMMYFUNCTION("""COMPUTED_VALUE"""),"A. Condong ke orientasi akhirat/agama")</f>
        <v>A. Condong ke orientasi akhirat/agama</v>
      </c>
      <c r="I109" s="7" t="str">
        <f>IFERROR(__xludf.DUMMYFUNCTION("""COMPUTED_VALUE"""),"A. Pilihan utama untuk agama, akhlak, dan karakter")</f>
        <v>A. Pilihan utama untuk agama, akhlak, dan karakter</v>
      </c>
      <c r="J109" s="7" t="str">
        <f>IFERROR(__xludf.DUMMYFUNCTION("""COMPUTED_VALUE"""),"A. Orang tua &amp; anak")</f>
        <v>A. Orang tua &amp; anak</v>
      </c>
      <c r="K109" s="7" t="str">
        <f>IFERROR(__xludf.DUMMYFUNCTION("""COMPUTED_VALUE"""),"A. Memberikan pengertian")</f>
        <v>A. Memberikan pengertian</v>
      </c>
      <c r="L109" s="7" t="str">
        <f>IFERROR(__xludf.DUMMYFUNCTION("""COMPUTED_VALUE"""),"A. Intensif (tahfizh, sekolah Islam)")</f>
        <v>A. Intensif (tahfizh, sekolah Islam)</v>
      </c>
      <c r="M109" s="7" t="str">
        <f>IFERROR(__xludf.DUMMYFUNCTION("""COMPUTED_VALUE"""),"A. Yakin")</f>
        <v>A. Yakin</v>
      </c>
      <c r="N109" s="7" t="str">
        <f>IFERROR(__xludf.DUMMYFUNCTION("""COMPUTED_VALUE"""),"A. Sangat penting")</f>
        <v>A. Sangat penting</v>
      </c>
      <c r="O109" s="7" t="str">
        <f>IFERROR(__xludf.DUMMYFUNCTION("""COMPUTED_VALUE"""),"A. Berkala")</f>
        <v>A. Berkala</v>
      </c>
      <c r="P109" s="7" t="str">
        <f>IFERROR(__xludf.DUMMYFUNCTION("""COMPUTED_VALUE"""),"A. Klarifikasi &amp; beri semangat pada anak")</f>
        <v>A. Klarifikasi &amp; beri semangat pada anak</v>
      </c>
      <c r="Q109" s="7" t="str">
        <f>IFERROR(__xludf.DUMMYFUNCTION("""COMPUTED_VALUE"""),"A. Menerima sebagai konsekuensi (selama bimbingan sudah maksimal)")</f>
        <v>A. Menerima sebagai konsekuensi (selama bimbingan sudah maksimal)</v>
      </c>
      <c r="R109" s="7" t="str">
        <f>IFERROR(__xludf.DUMMYFUNCTION("""COMPUTED_VALUE"""),"Peka,mandiri, aktif. Jail. ")</f>
        <v>Peka,mandiri, aktif. Jail. </v>
      </c>
      <c r="S109" s="7" t="str">
        <f>IFERROR(__xludf.DUMMYFUNCTION("""COMPUTED_VALUE"""),"Belum")</f>
        <v>Belum</v>
      </c>
      <c r="T109" s="50" t="str">
        <f>IFERROR(__xludf.DUMMYFUNCTION("""COMPUTED_VALUE"""),"Diterima")</f>
        <v>Diterima</v>
      </c>
      <c r="U109" s="50" t="str">
        <f>IFERROR(__xludf.DUMMYFUNCTION("""COMPUTED_VALUE"""),"Syarif")</f>
        <v>Syarif</v>
      </c>
      <c r="V109" s="7" t="str">
        <f>IFERROR(__xludf.DUMMYFUNCTION("""COMPUTED_VALUE"""),"Rencana kelas 10 SMA. ")</f>
        <v>Rencana kelas 10 SMA. </v>
      </c>
    </row>
    <row r="110">
      <c r="A110" s="104">
        <f>IFERROR(__xludf.DUMMYFUNCTION("""COMPUTED_VALUE"""),45966.61457715278)</f>
        <v>45966.61458</v>
      </c>
      <c r="B110" s="7" t="str">
        <f>IFERROR(__xludf.DUMMYFUNCTION("""COMPUTED_VALUE"""),"Ahmad Kamaludin")</f>
        <v>Ahmad Kamaludin</v>
      </c>
      <c r="C110" s="7" t="str">
        <f>IFERROR(__xludf.DUMMYFUNCTION("""COMPUTED_VALUE"""),"Muslim")</f>
        <v>Muslim</v>
      </c>
      <c r="D110" s="7" t="str">
        <f>IFERROR(__xludf.DUMMYFUNCTION("""COMPUTED_VALUE"""),"MTs Putra")</f>
        <v>MTs Putra</v>
      </c>
      <c r="E110" s="7" t="str">
        <f>IFERROR(__xludf.DUMMYFUNCTION("""COMPUTED_VALUE"""),"A250030")</f>
        <v>A250030</v>
      </c>
      <c r="F110" s="7" t="str">
        <f>IFERROR(__xludf.DUMMYFUNCTION("""COMPUTED_VALUE"""),"Dr ust Wahab lgsg.")</f>
        <v>Dr ust Wahab lgsg.</v>
      </c>
      <c r="G110" s="7" t="str">
        <f>IFERROR(__xludf.DUMMYFUNCTION("""COMPUTED_VALUE"""),"Baru")</f>
        <v>Baru</v>
      </c>
      <c r="H110" s="7" t="str">
        <f>IFERROR(__xludf.DUMMYFUNCTION("""COMPUTED_VALUE"""),"A. Condong ke orientasi akhirat/agama")</f>
        <v>A. Condong ke orientasi akhirat/agama</v>
      </c>
      <c r="I110" s="7" t="str">
        <f>IFERROR(__xludf.DUMMYFUNCTION("""COMPUTED_VALUE"""),"A. Pilihan utama untuk agama, akhlak, dan karakter")</f>
        <v>A. Pilihan utama untuk agama, akhlak, dan karakter</v>
      </c>
      <c r="J110" s="7" t="str">
        <f>IFERROR(__xludf.DUMMYFUNCTION("""COMPUTED_VALUE"""),"A. Orang tua &amp; anak")</f>
        <v>A. Orang tua &amp; anak</v>
      </c>
      <c r="K110" s="7" t="str">
        <f>IFERROR(__xludf.DUMMYFUNCTION("""COMPUTED_VALUE"""),"A. Memberikan pengertian")</f>
        <v>A. Memberikan pengertian</v>
      </c>
      <c r="L110" s="7" t="str">
        <f>IFERROR(__xludf.DUMMYFUNCTION("""COMPUTED_VALUE"""),"A. Intensif (tahfizh, sekolah Islam)")</f>
        <v>A. Intensif (tahfizh, sekolah Islam)</v>
      </c>
      <c r="M110" s="7" t="str">
        <f>IFERROR(__xludf.DUMMYFUNCTION("""COMPUTED_VALUE"""),"A. Yakin")</f>
        <v>A. Yakin</v>
      </c>
      <c r="N110" s="7" t="str">
        <f>IFERROR(__xludf.DUMMYFUNCTION("""COMPUTED_VALUE"""),"A. Sangat penting")</f>
        <v>A. Sangat penting</v>
      </c>
      <c r="O110" s="7" t="str">
        <f>IFERROR(__xludf.DUMMYFUNCTION("""COMPUTED_VALUE"""),"A. Berkala")</f>
        <v>A. Berkala</v>
      </c>
      <c r="P110" s="7" t="str">
        <f>IFERROR(__xludf.DUMMYFUNCTION("""COMPUTED_VALUE"""),"A. Klarifikasi &amp; beri semangat pada anak")</f>
        <v>A. Klarifikasi &amp; beri semangat pada anak</v>
      </c>
      <c r="Q110" s="7" t="str">
        <f>IFERROR(__xludf.DUMMYFUNCTION("""COMPUTED_VALUE"""),"A. Menerima sebagai konsekuensi (selama bimbingan sudah maksimal)")</f>
        <v>A. Menerima sebagai konsekuensi (selama bimbingan sudah maksimal)</v>
      </c>
      <c r="R110" s="7" t="str">
        <f>IFERROR(__xludf.DUMMYFUNCTION("""COMPUTED_VALUE"""),"Byk drmh, pendiam, mandiri. ")</f>
        <v>Byk drmh, pendiam, mandiri. </v>
      </c>
      <c r="S110" s="7" t="str">
        <f>IFERROR(__xludf.DUMMYFUNCTION("""COMPUTED_VALUE"""),"Sudah")</f>
        <v>Sudah</v>
      </c>
      <c r="T110" s="50" t="str">
        <f>IFERROR(__xludf.DUMMYFUNCTION("""COMPUTED_VALUE"""),"Diterima")</f>
        <v>Diterima</v>
      </c>
      <c r="U110" s="50" t="str">
        <f>IFERROR(__xludf.DUMMYFUNCTION("""COMPUTED_VALUE"""),"Syarif")</f>
        <v>Syarif</v>
      </c>
      <c r="V110" s="7" t="str">
        <f>IFERROR(__xludf.DUMMYFUNCTION("""COMPUTED_VALUE"""),"Insyallah tggl nunggu test santri")</f>
        <v>Insyallah tggl nunggu test santri</v>
      </c>
    </row>
    <row r="111">
      <c r="A111" s="104">
        <f>IFERROR(__xludf.DUMMYFUNCTION("""COMPUTED_VALUE"""),45966.68893974537)</f>
        <v>45966.68894</v>
      </c>
      <c r="B111" s="7" t="str">
        <f>IFERROR(__xludf.DUMMYFUNCTION("""COMPUTED_VALUE"""),"Naisya Tazqia Qolbi")</f>
        <v>Naisya Tazqia Qolbi</v>
      </c>
      <c r="C111" s="7" t="str">
        <f>IFERROR(__xludf.DUMMYFUNCTION("""COMPUTED_VALUE"""),"Susi Rahmawati")</f>
        <v>Susi Rahmawati</v>
      </c>
      <c r="D111" s="7" t="str">
        <f>IFERROR(__xludf.DUMMYFUNCTION("""COMPUTED_VALUE"""),"IL Putri")</f>
        <v>IL Putri</v>
      </c>
      <c r="E111" s="7" t="str">
        <f>IFERROR(__xludf.DUMMYFUNCTION("""COMPUTED_VALUE"""),"F250001")</f>
        <v>F250001</v>
      </c>
      <c r="F111" s="7" t="str">
        <f>IFERROR(__xludf.DUMMYFUNCTION("""COMPUTED_VALUE"""),"Berdasarkan informasi teman yang udah jadi santri")</f>
        <v>Berdasarkan informasi teman yang udah jadi santri</v>
      </c>
      <c r="G111" s="7" t="str">
        <f>IFERROR(__xludf.DUMMYFUNCTION("""COMPUTED_VALUE"""),"Memiliki teman/rekan/tetangga di PUAS")</f>
        <v>Memiliki teman/rekan/tetangga di PUAS</v>
      </c>
      <c r="H111" s="7" t="str">
        <f>IFERROR(__xludf.DUMMYFUNCTION("""COMPUTED_VALUE"""),"A. Condong ke orientasi akhirat/agama")</f>
        <v>A. Condong ke orientasi akhirat/agama</v>
      </c>
      <c r="I111" s="7" t="str">
        <f>IFERROR(__xludf.DUMMYFUNCTION("""COMPUTED_VALUE"""),"A. Pilihan utama untuk agama, akhlak, dan karakter")</f>
        <v>A. Pilihan utama untuk agama, akhlak, dan karakter</v>
      </c>
      <c r="J111" s="7" t="str">
        <f>IFERROR(__xludf.DUMMYFUNCTION("""COMPUTED_VALUE"""),"A. Orang tua &amp; anak")</f>
        <v>A. Orang tua &amp; anak</v>
      </c>
      <c r="K111" s="7" t="str">
        <f>IFERROR(__xludf.DUMMYFUNCTION("""COMPUTED_VALUE"""),"A. Memberikan pengertian")</f>
        <v>A. Memberikan pengertian</v>
      </c>
      <c r="L111" s="7" t="str">
        <f>IFERROR(__xludf.DUMMYFUNCTION("""COMPUTED_VALUE"""),"A. Intensif (tahfizh, sekolah Islam)")</f>
        <v>A. Intensif (tahfizh, sekolah Islam)</v>
      </c>
      <c r="M111" s="7" t="str">
        <f>IFERROR(__xludf.DUMMYFUNCTION("""COMPUTED_VALUE"""),"A. Yakin")</f>
        <v>A. Yakin</v>
      </c>
      <c r="N111" s="7" t="str">
        <f>IFERROR(__xludf.DUMMYFUNCTION("""COMPUTED_VALUE"""),"A. Sangat penting")</f>
        <v>A. Sangat penting</v>
      </c>
      <c r="O111" s="7" t="str">
        <f>IFERROR(__xludf.DUMMYFUNCTION("""COMPUTED_VALUE"""),"A. Berkala")</f>
        <v>A. Berkala</v>
      </c>
      <c r="P111" s="7" t="str">
        <f>IFERROR(__xludf.DUMMYFUNCTION("""COMPUTED_VALUE"""),"A. Klarifikasi &amp; beri semangat pada anak")</f>
        <v>A. Klarifikasi &amp; beri semangat pada anak</v>
      </c>
      <c r="Q111" s="7" t="str">
        <f>IFERROR(__xludf.DUMMYFUNCTION("""COMPUTED_VALUE"""),"A. Menerima sebagai konsekuensi (selama bimbingan sudah maksimal)")</f>
        <v>A. Menerima sebagai konsekuensi (selama bimbingan sudah maksimal)</v>
      </c>
      <c r="R111" s="7" t="str">
        <f>IFERROR(__xludf.DUMMYFUNCTION("""COMPUTED_VALUE"""),"Positif : Sopan, Ramah
Negatif : Terlalu santai, Kurang PD")</f>
        <v>Positif : Sopan, Ramah
Negatif : Terlalu santai, Kurang PD</v>
      </c>
      <c r="S111" s="7" t="str">
        <f>IFERROR(__xludf.DUMMYFUNCTION("""COMPUTED_VALUE"""),"Sudah")</f>
        <v>Sudah</v>
      </c>
      <c r="T111" s="50" t="str">
        <f>IFERROR(__xludf.DUMMYFUNCTION("""COMPUTED_VALUE"""),"Diterima")</f>
        <v>Diterima</v>
      </c>
      <c r="U111" s="50" t="str">
        <f>IFERROR(__xludf.DUMMYFUNCTION("""COMPUTED_VALUE"""),"Adib")</f>
        <v>Adib</v>
      </c>
      <c r="V111" s="7"/>
    </row>
    <row r="112">
      <c r="A112" s="104">
        <f>IFERROR(__xludf.DUMMYFUNCTION("""COMPUTED_VALUE"""),45966.7140194213)</f>
        <v>45966.71402</v>
      </c>
      <c r="B112" s="7" t="str">
        <f>IFERROR(__xludf.DUMMYFUNCTION("""COMPUTED_VALUE"""),"Muhammad Irsyad")</f>
        <v>Muhammad Irsyad</v>
      </c>
      <c r="C112" s="7" t="str">
        <f>IFERROR(__xludf.DUMMYFUNCTION("""COMPUTED_VALUE"""),"Rois Akhmad")</f>
        <v>Rois Akhmad</v>
      </c>
      <c r="D112" s="7" t="str">
        <f>IFERROR(__xludf.DUMMYFUNCTION("""COMPUTED_VALUE"""),"SMA")</f>
        <v>SMA</v>
      </c>
      <c r="E112" s="7" t="str">
        <f>IFERROR(__xludf.DUMMYFUNCTION("""COMPUTED_VALUE"""),"C250023")</f>
        <v>C250023</v>
      </c>
      <c r="F112" s="7" t="str">
        <f>IFERROR(__xludf.DUMMYFUNCTION("""COMPUTED_VALUE"""),"Berdasar rekomendasi teman")</f>
        <v>Berdasar rekomendasi teman</v>
      </c>
      <c r="G112" s="7" t="str">
        <f>IFERROR(__xludf.DUMMYFUNCTION("""COMPUTED_VALUE"""),"Baru")</f>
        <v>Baru</v>
      </c>
      <c r="H112" s="7" t="str">
        <f>IFERROR(__xludf.DUMMYFUNCTION("""COMPUTED_VALUE"""),"A. Condong ke orientasi akhirat/agama")</f>
        <v>A. Condong ke orientasi akhirat/agama</v>
      </c>
      <c r="I112" s="7" t="str">
        <f>IFERROR(__xludf.DUMMYFUNCTION("""COMPUTED_VALUE"""),"A. Pilihan utama untuk agama, akhlak, dan karakter")</f>
        <v>A. Pilihan utama untuk agama, akhlak, dan karakter</v>
      </c>
      <c r="J112" s="7" t="str">
        <f>IFERROR(__xludf.DUMMYFUNCTION("""COMPUTED_VALUE"""),"A. Orang tua &amp; anak")</f>
        <v>A. Orang tua &amp; anak</v>
      </c>
      <c r="K112" s="7" t="str">
        <f>IFERROR(__xludf.DUMMYFUNCTION("""COMPUTED_VALUE"""),"A. Memberikan pengertian")</f>
        <v>A. Memberikan pengertian</v>
      </c>
      <c r="L112" s="7" t="str">
        <f>IFERROR(__xludf.DUMMYFUNCTION("""COMPUTED_VALUE"""),"A. Intensif (tahfizh, sekolah Islam)")</f>
        <v>A. Intensif (tahfizh, sekolah Islam)</v>
      </c>
      <c r="M112" s="7" t="str">
        <f>IFERROR(__xludf.DUMMYFUNCTION("""COMPUTED_VALUE"""),"A. Yakin")</f>
        <v>A. Yakin</v>
      </c>
      <c r="N112" s="7" t="str">
        <f>IFERROR(__xludf.DUMMYFUNCTION("""COMPUTED_VALUE"""),"A. Sangat penting")</f>
        <v>A. Sangat penting</v>
      </c>
      <c r="O112" s="7" t="str">
        <f>IFERROR(__xludf.DUMMYFUNCTION("""COMPUTED_VALUE"""),"A. Berkala")</f>
        <v>A. Berkala</v>
      </c>
      <c r="P112" s="7" t="str">
        <f>IFERROR(__xludf.DUMMYFUNCTION("""COMPUTED_VALUE"""),"A. Klarifikasi &amp; beri semangat pada anak")</f>
        <v>A. Klarifikasi &amp; beri semangat pada anak</v>
      </c>
      <c r="Q112" s="7" t="str">
        <f>IFERROR(__xludf.DUMMYFUNCTION("""COMPUTED_VALUE"""),"A. Menerima sebagai konsekuensi (selama bimbingan sudah maksimal)")</f>
        <v>A. Menerima sebagai konsekuensi (selama bimbingan sudah maksimal)</v>
      </c>
      <c r="R112" s="7" t="str">
        <f>IFERROR(__xludf.DUMMYFUNCTION("""COMPUTED_VALUE"""),"Positif : Aklaqnya baik, periang
Negatif : gampang ngantuk")</f>
        <v>Positif : Aklaqnya baik, periang
Negatif : gampang ngantuk</v>
      </c>
      <c r="S112" s="7" t="str">
        <f>IFERROR(__xludf.DUMMYFUNCTION("""COMPUTED_VALUE"""),"Sudah")</f>
        <v>Sudah</v>
      </c>
      <c r="T112" s="50" t="str">
        <f>IFERROR(__xludf.DUMMYFUNCTION("""COMPUTED_VALUE"""),"Diterima")</f>
        <v>Diterima</v>
      </c>
      <c r="U112" s="50" t="str">
        <f>IFERROR(__xludf.DUMMYFUNCTION("""COMPUTED_VALUE"""),"Adib")</f>
        <v>Adib</v>
      </c>
      <c r="V112" s="7"/>
    </row>
    <row r="113">
      <c r="A113" s="104">
        <f>IFERROR(__xludf.DUMMYFUNCTION("""COMPUTED_VALUE"""),45966.85650123842)</f>
        <v>45966.8565</v>
      </c>
      <c r="B113" s="7" t="str">
        <f>IFERROR(__xludf.DUMMYFUNCTION("""COMPUTED_VALUE"""),"M. Rezza putra darma")</f>
        <v>M. Rezza putra darma</v>
      </c>
      <c r="C113" s="7" t="str">
        <f>IFERROR(__xludf.DUMMYFUNCTION("""COMPUTED_VALUE"""),"Risnawati ")</f>
        <v>Risnawati </v>
      </c>
      <c r="D113" s="7" t="str">
        <f>IFERROR(__xludf.DUMMYFUNCTION("""COMPUTED_VALUE"""),"MTs Putra")</f>
        <v>MTs Putra</v>
      </c>
      <c r="E113" s="7" t="str">
        <f>IFERROR(__xludf.DUMMYFUNCTION("""COMPUTED_VALUE"""),"A250038")</f>
        <v>A250038</v>
      </c>
      <c r="F113" s="7" t="str">
        <f>IFERROR(__xludf.DUMMYFUNCTION("""COMPUTED_VALUE"""),"Dr temen ")</f>
        <v>Dr temen </v>
      </c>
      <c r="G113" s="7" t="str">
        <f>IFERROR(__xludf.DUMMYFUNCTION("""COMPUTED_VALUE"""),"Baru")</f>
        <v>Baru</v>
      </c>
      <c r="H113" s="7" t="str">
        <f>IFERROR(__xludf.DUMMYFUNCTION("""COMPUTED_VALUE"""),"A. Condong ke orientasi akhirat/agama")</f>
        <v>A. Condong ke orientasi akhirat/agama</v>
      </c>
      <c r="I113" s="7" t="str">
        <f>IFERROR(__xludf.DUMMYFUNCTION("""COMPUTED_VALUE"""),"A. Pilihan utama untuk agama, akhlak, dan karakter")</f>
        <v>A. Pilihan utama untuk agama, akhlak, dan karakter</v>
      </c>
      <c r="J113" s="7" t="str">
        <f>IFERROR(__xludf.DUMMYFUNCTION("""COMPUTED_VALUE"""),"A. Orang tua &amp; anak")</f>
        <v>A. Orang tua &amp; anak</v>
      </c>
      <c r="K113" s="7" t="str">
        <f>IFERROR(__xludf.DUMMYFUNCTION("""COMPUTED_VALUE"""),"A. Memberikan pengertian")</f>
        <v>A. Memberikan pengertian</v>
      </c>
      <c r="L113" s="7" t="str">
        <f>IFERROR(__xludf.DUMMYFUNCTION("""COMPUTED_VALUE"""),"A. Intensif (tahfizh, sekolah Islam)")</f>
        <v>A. Intensif (tahfizh, sekolah Islam)</v>
      </c>
      <c r="M113" s="7" t="str">
        <f>IFERROR(__xludf.DUMMYFUNCTION("""COMPUTED_VALUE"""),"A. Yakin")</f>
        <v>A. Yakin</v>
      </c>
      <c r="N113" s="7" t="str">
        <f>IFERROR(__xludf.DUMMYFUNCTION("""COMPUTED_VALUE"""),"A. Sangat penting")</f>
        <v>A. Sangat penting</v>
      </c>
      <c r="O113" s="7" t="str">
        <f>IFERROR(__xludf.DUMMYFUNCTION("""COMPUTED_VALUE"""),"A. Berkala")</f>
        <v>A. Berkala</v>
      </c>
      <c r="P113" s="7" t="str">
        <f>IFERROR(__xludf.DUMMYFUNCTION("""COMPUTED_VALUE"""),"A. Klarifikasi &amp; beri semangat pada anak")</f>
        <v>A. Klarifikasi &amp; beri semangat pada anak</v>
      </c>
      <c r="Q113" s="7" t="str">
        <f>IFERROR(__xludf.DUMMYFUNCTION("""COMPUTED_VALUE"""),"A. Menerima sebagai konsekuensi (selama bimbingan sudah maksimal)")</f>
        <v>A. Menerima sebagai konsekuensi (selama bimbingan sudah maksimal)</v>
      </c>
      <c r="R113" s="7" t="str">
        <f>IFERROR(__xludf.DUMMYFUNCTION("""COMPUTED_VALUE"""),"Penurut,pendiam,mandiri ")</f>
        <v>Penurut,pendiam,mandiri </v>
      </c>
      <c r="S113" s="7" t="str">
        <f>IFERROR(__xludf.DUMMYFUNCTION("""COMPUTED_VALUE"""),"Sudah")</f>
        <v>Sudah</v>
      </c>
      <c r="T113" s="50" t="str">
        <f>IFERROR(__xludf.DUMMYFUNCTION("""COMPUTED_VALUE"""),"Diterima")</f>
        <v>Diterima</v>
      </c>
      <c r="U113" s="50" t="str">
        <f>IFERROR(__xludf.DUMMYFUNCTION("""COMPUTED_VALUE"""),"Syarif")</f>
        <v>Syarif</v>
      </c>
      <c r="V113" s="7" t="str">
        <f>IFERROR(__xludf.DUMMYFUNCTION("""COMPUTED_VALUE"""),"Berharap anknya mjd hidayah utk klrgany.")</f>
        <v>Berharap anknya mjd hidayah utk klrgany.</v>
      </c>
    </row>
    <row r="114">
      <c r="A114" s="104">
        <f>IFERROR(__xludf.DUMMYFUNCTION("""COMPUTED_VALUE"""),45967.3276165625)</f>
        <v>45967.32762</v>
      </c>
      <c r="B114" s="7" t="str">
        <f>IFERROR(__xludf.DUMMYFUNCTION("""COMPUTED_VALUE"""),"Muhammad Ghaza")</f>
        <v>Muhammad Ghaza</v>
      </c>
      <c r="C114" s="7" t="str">
        <f>IFERROR(__xludf.DUMMYFUNCTION("""COMPUTED_VALUE"""),"Nurlela ")</f>
        <v>Nurlela </v>
      </c>
      <c r="D114" s="7" t="str">
        <f>IFERROR(__xludf.DUMMYFUNCTION("""COMPUTED_VALUE"""),"SMA")</f>
        <v>SMA</v>
      </c>
      <c r="E114" s="7" t="str">
        <f>IFERROR(__xludf.DUMMYFUNCTION("""COMPUTED_VALUE"""),"C250013")</f>
        <v>C250013</v>
      </c>
      <c r="F114" s="7" t="str">
        <f>IFERROR(__xludf.DUMMYFUNCTION("""COMPUTED_VALUE"""),"IG")</f>
        <v>IG</v>
      </c>
      <c r="G114" s="7" t="str">
        <f>IFERROR(__xludf.DUMMYFUNCTION("""COMPUTED_VALUE"""),"Baru")</f>
        <v>Baru</v>
      </c>
      <c r="H114" s="7" t="str">
        <f>IFERROR(__xludf.DUMMYFUNCTION("""COMPUTED_VALUE"""),"A. Condong ke orientasi akhirat/agama")</f>
        <v>A. Condong ke orientasi akhirat/agama</v>
      </c>
      <c r="I114" s="7" t="str">
        <f>IFERROR(__xludf.DUMMYFUNCTION("""COMPUTED_VALUE"""),"A. Pilihan utama untuk agama, akhlak, dan karakter")</f>
        <v>A. Pilihan utama untuk agama, akhlak, dan karakter</v>
      </c>
      <c r="J114" s="7" t="str">
        <f>IFERROR(__xludf.DUMMYFUNCTION("""COMPUTED_VALUE"""),"A. Orang tua &amp; anak")</f>
        <v>A. Orang tua &amp; anak</v>
      </c>
      <c r="K114" s="7" t="str">
        <f>IFERROR(__xludf.DUMMYFUNCTION("""COMPUTED_VALUE"""),"A. Memberikan pengertian")</f>
        <v>A. Memberikan pengertian</v>
      </c>
      <c r="L114" s="7" t="str">
        <f>IFERROR(__xludf.DUMMYFUNCTION("""COMPUTED_VALUE"""),"A. Intensif (tahfizh, sekolah Islam)")</f>
        <v>A. Intensif (tahfizh, sekolah Islam)</v>
      </c>
      <c r="M114" s="7" t="str">
        <f>IFERROR(__xludf.DUMMYFUNCTION("""COMPUTED_VALUE"""),"A. Yakin")</f>
        <v>A. Yakin</v>
      </c>
      <c r="N114" s="7" t="str">
        <f>IFERROR(__xludf.DUMMYFUNCTION("""COMPUTED_VALUE"""),"A. Sangat penting")</f>
        <v>A. Sangat penting</v>
      </c>
      <c r="O114" s="7" t="str">
        <f>IFERROR(__xludf.DUMMYFUNCTION("""COMPUTED_VALUE"""),"C. Sesempatnya saja")</f>
        <v>C. Sesempatnya saja</v>
      </c>
      <c r="P114" s="7" t="str">
        <f>IFERROR(__xludf.DUMMYFUNCTION("""COMPUTED_VALUE"""),"A. Klarifikasi &amp; beri semangat pada anak")</f>
        <v>A. Klarifikasi &amp; beri semangat pada anak</v>
      </c>
      <c r="Q114" s="7" t="str">
        <f>IFERROR(__xludf.DUMMYFUNCTION("""COMPUTED_VALUE"""),"A. Menerima sebagai konsekuensi (selama bimbingan sudah maksimal)")</f>
        <v>A. Menerima sebagai konsekuensi (selama bimbingan sudah maksimal)</v>
      </c>
      <c r="R114" s="7" t="str">
        <f>IFERROR(__xludf.DUMMYFUNCTION("""COMPUTED_VALUE"""),"Kelebihan : adaptive
Kekurangan : rada pendiam, ")</f>
        <v>Kelebihan : adaptive
Kekurangan : rada pendiam, </v>
      </c>
      <c r="S114" s="7" t="str">
        <f>IFERROR(__xludf.DUMMYFUNCTION("""COMPUTED_VALUE"""),"Sudah")</f>
        <v>Sudah</v>
      </c>
      <c r="T114" s="50" t="str">
        <f>IFERROR(__xludf.DUMMYFUNCTION("""COMPUTED_VALUE"""),"Diterima dengan catatan")</f>
        <v>Diterima dengan catatan</v>
      </c>
      <c r="U114" s="50" t="str">
        <f>IFERROR(__xludf.DUMMYFUNCTION("""COMPUTED_VALUE"""),"Bachtiar")</f>
        <v>Bachtiar</v>
      </c>
      <c r="V114" s="7" t="str">
        <f>IFERROR(__xludf.DUMMYFUNCTION("""COMPUTED_VALUE"""),"Mau masuk IL klo g lulus SMA ")</f>
        <v>Mau masuk IL klo g lulus SMA </v>
      </c>
    </row>
    <row r="115">
      <c r="A115" s="104">
        <f>IFERROR(__xludf.DUMMYFUNCTION("""COMPUTED_VALUE"""),45967.33407660879)</f>
        <v>45967.33408</v>
      </c>
      <c r="B115" s="7" t="str">
        <f>IFERROR(__xludf.DUMMYFUNCTION("""COMPUTED_VALUE"""),"Rezvan ziyan agusto")</f>
        <v>Rezvan ziyan agusto</v>
      </c>
      <c r="C115" s="7" t="str">
        <f>IFERROR(__xludf.DUMMYFUNCTION("""COMPUTED_VALUE"""),"Ricky Andriano")</f>
        <v>Ricky Andriano</v>
      </c>
      <c r="D115" s="7" t="str">
        <f>IFERROR(__xludf.DUMMYFUNCTION("""COMPUTED_VALUE"""),"I'L Putra")</f>
        <v>I'L Putra</v>
      </c>
      <c r="E115" s="7" t="str">
        <f>IFERROR(__xludf.DUMMYFUNCTION("""COMPUTED_VALUE"""),"B250006")</f>
        <v>B250006</v>
      </c>
      <c r="F115" s="7" t="str">
        <f>IFERROR(__xludf.DUMMYFUNCTION("""COMPUTED_VALUE"""),"Adiknya di Ulul Albaab ")</f>
        <v>Adiknya di Ulul Albaab </v>
      </c>
      <c r="G115" s="7" t="str">
        <f>IFERROR(__xludf.DUMMYFUNCTION("""COMPUTED_VALUE"""),"Memiliki keluarga/saudara/kerabat di PUAS")</f>
        <v>Memiliki keluarga/saudara/kerabat di PUAS</v>
      </c>
      <c r="H115" s="7" t="str">
        <f>IFERROR(__xludf.DUMMYFUNCTION("""COMPUTED_VALUE"""),"A. Condong ke orientasi akhirat/agama")</f>
        <v>A. Condong ke orientasi akhirat/agama</v>
      </c>
      <c r="I115" s="7" t="str">
        <f>IFERROR(__xludf.DUMMYFUNCTION("""COMPUTED_VALUE"""),"A. Pilihan utama untuk agama, akhlak, dan karakter")</f>
        <v>A. Pilihan utama untuk agama, akhlak, dan karakter</v>
      </c>
      <c r="J115" s="7" t="str">
        <f>IFERROR(__xludf.DUMMYFUNCTION("""COMPUTED_VALUE"""),"A. Orang tua &amp; anak")</f>
        <v>A. Orang tua &amp; anak</v>
      </c>
      <c r="K115" s="7" t="str">
        <f>IFERROR(__xludf.DUMMYFUNCTION("""COMPUTED_VALUE"""),"A. Memberikan pengertian")</f>
        <v>A. Memberikan pengertian</v>
      </c>
      <c r="L115" s="7" t="str">
        <f>IFERROR(__xludf.DUMMYFUNCTION("""COMPUTED_VALUE"""),"A. Intensif (tahfizh, sekolah Islam)")</f>
        <v>A. Intensif (tahfizh, sekolah Islam)</v>
      </c>
      <c r="M115" s="7" t="str">
        <f>IFERROR(__xludf.DUMMYFUNCTION("""COMPUTED_VALUE"""),"A. Yakin")</f>
        <v>A. Yakin</v>
      </c>
      <c r="N115" s="7" t="str">
        <f>IFERROR(__xludf.DUMMYFUNCTION("""COMPUTED_VALUE"""),"A. Sangat penting")</f>
        <v>A. Sangat penting</v>
      </c>
      <c r="O115" s="7" t="str">
        <f>IFERROR(__xludf.DUMMYFUNCTION("""COMPUTED_VALUE"""),"A. Berkala")</f>
        <v>A. Berkala</v>
      </c>
      <c r="P115" s="7" t="str">
        <f>IFERROR(__xludf.DUMMYFUNCTION("""COMPUTED_VALUE"""),"A. Klarifikasi &amp; beri semangat pada anak")</f>
        <v>A. Klarifikasi &amp; beri semangat pada anak</v>
      </c>
      <c r="Q115" s="7" t="str">
        <f>IFERROR(__xludf.DUMMYFUNCTION("""COMPUTED_VALUE"""),"A. Menerima sebagai konsekuensi (selama bimbingan sudah maksimal)")</f>
        <v>A. Menerima sebagai konsekuensi (selama bimbingan sudah maksimal)</v>
      </c>
      <c r="R115" s="7" t="str">
        <f>IFERROR(__xludf.DUMMYFUNCTION("""COMPUTED_VALUE"""),"Negatif: agak susah dibangunin tidurnya")</f>
        <v>Negatif: agak susah dibangunin tidurnya</v>
      </c>
      <c r="S115" s="7" t="str">
        <f>IFERROR(__xludf.DUMMYFUNCTION("""COMPUTED_VALUE"""),"Sudah")</f>
        <v>Sudah</v>
      </c>
      <c r="T115" s="50" t="str">
        <f>IFERROR(__xludf.DUMMYFUNCTION("""COMPUTED_VALUE"""),"Diterima")</f>
        <v>Diterima</v>
      </c>
      <c r="U115" s="50" t="str">
        <f>IFERROR(__xludf.DUMMYFUNCTION("""COMPUTED_VALUE"""),"Bachtiar")</f>
        <v>Bachtiar</v>
      </c>
      <c r="V115" s="7"/>
    </row>
    <row r="116">
      <c r="A116" s="104">
        <f>IFERROR(__xludf.DUMMYFUNCTION("""COMPUTED_VALUE"""),45967.338866226855)</f>
        <v>45967.33887</v>
      </c>
      <c r="B116" s="7" t="str">
        <f>IFERROR(__xludf.DUMMYFUNCTION("""COMPUTED_VALUE"""),"Anastasya Putri")</f>
        <v>Anastasya Putri</v>
      </c>
      <c r="C116" s="7" t="str">
        <f>IFERROR(__xludf.DUMMYFUNCTION("""COMPUTED_VALUE"""),"Anastasya Putri")</f>
        <v>Anastasya Putri</v>
      </c>
      <c r="D116" s="7" t="str">
        <f>IFERROR(__xludf.DUMMYFUNCTION("""COMPUTED_VALUE"""),"MTs Putri")</f>
        <v>MTs Putri</v>
      </c>
      <c r="E116" s="7" t="str">
        <f>IFERROR(__xludf.DUMMYFUNCTION("""COMPUTED_VALUE"""),"D250012")</f>
        <v>D250012</v>
      </c>
      <c r="F116" s="7" t="str">
        <f>IFERROR(__xludf.DUMMYFUNCTION("""COMPUTED_VALUE"""),"IG")</f>
        <v>IG</v>
      </c>
      <c r="G116" s="7" t="str">
        <f>IFERROR(__xludf.DUMMYFUNCTION("""COMPUTED_VALUE"""),"Baru")</f>
        <v>Baru</v>
      </c>
      <c r="H116" s="7" t="str">
        <f>IFERROR(__xludf.DUMMYFUNCTION("""COMPUTED_VALUE"""),"A. Condong ke orientasi akhirat/agama")</f>
        <v>A. Condong ke orientasi akhirat/agama</v>
      </c>
      <c r="I116" s="7" t="str">
        <f>IFERROR(__xludf.DUMMYFUNCTION("""COMPUTED_VALUE"""),"A. Pilihan utama untuk agama, akhlak, dan karakter")</f>
        <v>A. Pilihan utama untuk agama, akhlak, dan karakter</v>
      </c>
      <c r="J116" s="7" t="str">
        <f>IFERROR(__xludf.DUMMYFUNCTION("""COMPUTED_VALUE"""),"A. Orang tua &amp; anak")</f>
        <v>A. Orang tua &amp; anak</v>
      </c>
      <c r="K116" s="7" t="str">
        <f>IFERROR(__xludf.DUMMYFUNCTION("""COMPUTED_VALUE"""),"A. Memberikan pengertian")</f>
        <v>A. Memberikan pengertian</v>
      </c>
      <c r="L116" s="7" t="str">
        <f>IFERROR(__xludf.DUMMYFUNCTION("""COMPUTED_VALUE"""),"A. Intensif (tahfizh, sekolah Islam)")</f>
        <v>A. Intensif (tahfizh, sekolah Islam)</v>
      </c>
      <c r="M116" s="7" t="str">
        <f>IFERROR(__xludf.DUMMYFUNCTION("""COMPUTED_VALUE"""),"A. Yakin")</f>
        <v>A. Yakin</v>
      </c>
      <c r="N116" s="7" t="str">
        <f>IFERROR(__xludf.DUMMYFUNCTION("""COMPUTED_VALUE"""),"A. Sangat penting")</f>
        <v>A. Sangat penting</v>
      </c>
      <c r="O116" s="7" t="str">
        <f>IFERROR(__xludf.DUMMYFUNCTION("""COMPUTED_VALUE"""),"A. Berkala")</f>
        <v>A. Berkala</v>
      </c>
      <c r="P116" s="7" t="str">
        <f>IFERROR(__xludf.DUMMYFUNCTION("""COMPUTED_VALUE"""),"A. Klarifikasi &amp; beri semangat pada anak")</f>
        <v>A. Klarifikasi &amp; beri semangat pada anak</v>
      </c>
      <c r="Q116" s="7" t="str">
        <f>IFERROR(__xludf.DUMMYFUNCTION("""COMPUTED_VALUE"""),"A. Menerima sebagai konsekuensi (selama bimbingan sudah maksimal)")</f>
        <v>A. Menerima sebagai konsekuensi (selama bimbingan sudah maksimal)</v>
      </c>
      <c r="R116" s="7" t="str">
        <f>IFERROR(__xludf.DUMMYFUNCTION("""COMPUTED_VALUE"""),"Agak susah bergaul, rajin ")</f>
        <v>Agak susah bergaul, rajin </v>
      </c>
      <c r="S116" s="7" t="str">
        <f>IFERROR(__xludf.DUMMYFUNCTION("""COMPUTED_VALUE"""),"Sudah")</f>
        <v>Sudah</v>
      </c>
      <c r="T116" s="50" t="str">
        <f>IFERROR(__xludf.DUMMYFUNCTION("""COMPUTED_VALUE"""),"Diterima")</f>
        <v>Diterima</v>
      </c>
      <c r="U116" s="50" t="str">
        <f>IFERROR(__xludf.DUMMYFUNCTION("""COMPUTED_VALUE"""),"Bachtiar")</f>
        <v>Bachtiar</v>
      </c>
      <c r="V116" s="7"/>
    </row>
    <row r="117">
      <c r="A117" s="104">
        <f>IFERROR(__xludf.DUMMYFUNCTION("""COMPUTED_VALUE"""),45967.34295978009)</f>
        <v>45967.34296</v>
      </c>
      <c r="B117" s="7" t="str">
        <f>IFERROR(__xludf.DUMMYFUNCTION("""COMPUTED_VALUE"""),"Gesya reyfan")</f>
        <v>Gesya reyfan</v>
      </c>
      <c r="C117" s="7" t="str">
        <f>IFERROR(__xludf.DUMMYFUNCTION("""COMPUTED_VALUE"""),"Rani marlina")</f>
        <v>Rani marlina</v>
      </c>
      <c r="D117" s="7" t="str">
        <f>IFERROR(__xludf.DUMMYFUNCTION("""COMPUTED_VALUE"""),"MTs Putra")</f>
        <v>MTs Putra</v>
      </c>
      <c r="E117" s="7" t="str">
        <f>IFERROR(__xludf.DUMMYFUNCTION("""COMPUTED_VALUE"""),"A250083")</f>
        <v>A250083</v>
      </c>
      <c r="F117" s="7" t="str">
        <f>IFERROR(__xludf.DUMMYFUNCTION("""COMPUTED_VALUE"""),"Teman bapakx ngajar di puas")</f>
        <v>Teman bapakx ngajar di puas</v>
      </c>
      <c r="G117" s="7" t="str">
        <f>IFERROR(__xludf.DUMMYFUNCTION("""COMPUTED_VALUE"""),"Memiliki teman/rekan/tetangga di PUAS")</f>
        <v>Memiliki teman/rekan/tetangga di PUAS</v>
      </c>
      <c r="H117" s="7" t="str">
        <f>IFERROR(__xludf.DUMMYFUNCTION("""COMPUTED_VALUE"""),"A. Condong ke orientasi akhirat/agama")</f>
        <v>A. Condong ke orientasi akhirat/agama</v>
      </c>
      <c r="I117" s="7" t="str">
        <f>IFERROR(__xludf.DUMMYFUNCTION("""COMPUTED_VALUE"""),"A. Pilihan utama untuk agama, akhlak, dan karakter")</f>
        <v>A. Pilihan utama untuk agama, akhlak, dan karakter</v>
      </c>
      <c r="J117" s="7" t="str">
        <f>IFERROR(__xludf.DUMMYFUNCTION("""COMPUTED_VALUE"""),"A. Orang tua &amp; anak")</f>
        <v>A. Orang tua &amp; anak</v>
      </c>
      <c r="K117" s="7" t="str">
        <f>IFERROR(__xludf.DUMMYFUNCTION("""COMPUTED_VALUE"""),"A. Memberikan pengertian")</f>
        <v>A. Memberikan pengertian</v>
      </c>
      <c r="L117" s="7" t="str">
        <f>IFERROR(__xludf.DUMMYFUNCTION("""COMPUTED_VALUE"""),"A. Intensif (tahfizh, sekolah Islam)")</f>
        <v>A. Intensif (tahfizh, sekolah Islam)</v>
      </c>
      <c r="M117" s="7" t="str">
        <f>IFERROR(__xludf.DUMMYFUNCTION("""COMPUTED_VALUE"""),"A. Yakin")</f>
        <v>A. Yakin</v>
      </c>
      <c r="N117" s="7" t="str">
        <f>IFERROR(__xludf.DUMMYFUNCTION("""COMPUTED_VALUE"""),"A. Sangat penting")</f>
        <v>A. Sangat penting</v>
      </c>
      <c r="O117" s="7" t="str">
        <f>IFERROR(__xludf.DUMMYFUNCTION("""COMPUTED_VALUE"""),"A. Berkala")</f>
        <v>A. Berkala</v>
      </c>
      <c r="P117" s="7" t="str">
        <f>IFERROR(__xludf.DUMMYFUNCTION("""COMPUTED_VALUE"""),"A. Klarifikasi &amp; beri semangat pada anak")</f>
        <v>A. Klarifikasi &amp; beri semangat pada anak</v>
      </c>
      <c r="Q117" s="7" t="str">
        <f>IFERROR(__xludf.DUMMYFUNCTION("""COMPUTED_VALUE"""),"A. Menerima sebagai konsekuensi (selama bimbingan sudah maksimal)")</f>
        <v>A. Menerima sebagai konsekuensi (selama bimbingan sudah maksimal)</v>
      </c>
      <c r="R117" s="7" t="str">
        <f>IFERROR(__xludf.DUMMYFUNCTION("""COMPUTED_VALUE"""),"Penurut, mandiri, aktif. ")</f>
        <v>Penurut, mandiri, aktif. </v>
      </c>
      <c r="S117" s="7" t="str">
        <f>IFERROR(__xludf.DUMMYFUNCTION("""COMPUTED_VALUE"""),"Belum")</f>
        <v>Belum</v>
      </c>
      <c r="T117" s="50" t="str">
        <f>IFERROR(__xludf.DUMMYFUNCTION("""COMPUTED_VALUE"""),"Diterima dengan catatan")</f>
        <v>Diterima dengan catatan</v>
      </c>
      <c r="U117" s="50" t="str">
        <f>IFERROR(__xludf.DUMMYFUNCTION("""COMPUTED_VALUE"""),"Syarif")</f>
        <v>Syarif</v>
      </c>
      <c r="V117" s="7" t="str">
        <f>IFERROR(__xludf.DUMMYFUNCTION("""COMPUTED_VALUE"""),"Keringanan SPP dan tinggal hasil test santri lgsg minta nya Krn dekat rmh.")</f>
        <v>Keringanan SPP dan tinggal hasil test santri lgsg minta nya Krn dekat rmh.</v>
      </c>
    </row>
    <row r="118">
      <c r="A118" s="104">
        <f>IFERROR(__xludf.DUMMYFUNCTION("""COMPUTED_VALUE"""),45967.35298898148)</f>
        <v>45967.35299</v>
      </c>
      <c r="B118" s="7" t="str">
        <f>IFERROR(__xludf.DUMMYFUNCTION("""COMPUTED_VALUE"""),"Naufal Taqqy hafifurrahman")</f>
        <v>Naufal Taqqy hafifurrahman</v>
      </c>
      <c r="C118" s="7" t="str">
        <f>IFERROR(__xludf.DUMMYFUNCTION("""COMPUTED_VALUE"""),"Joko Subekti")</f>
        <v>Joko Subekti</v>
      </c>
      <c r="D118" s="7" t="str">
        <f>IFERROR(__xludf.DUMMYFUNCTION("""COMPUTED_VALUE"""),"SMA")</f>
        <v>SMA</v>
      </c>
      <c r="E118" s="7" t="str">
        <f>IFERROR(__xludf.DUMMYFUNCTION("""COMPUTED_VALUE"""),"B250029")</f>
        <v>B250029</v>
      </c>
      <c r="F118" s="7" t="str">
        <f>IFERROR(__xludf.DUMMYFUNCTION("""COMPUTED_VALUE"""),"IG")</f>
        <v>IG</v>
      </c>
      <c r="G118" s="7" t="str">
        <f>IFERROR(__xludf.DUMMYFUNCTION("""COMPUTED_VALUE"""),"Baru")</f>
        <v>Baru</v>
      </c>
      <c r="H118" s="7" t="str">
        <f>IFERROR(__xludf.DUMMYFUNCTION("""COMPUTED_VALUE"""),"A. Condong ke orientasi akhirat/agama")</f>
        <v>A. Condong ke orientasi akhirat/agama</v>
      </c>
      <c r="I118" s="7" t="str">
        <f>IFERROR(__xludf.DUMMYFUNCTION("""COMPUTED_VALUE"""),"A. Pilihan utama untuk agama, akhlak, dan karakter")</f>
        <v>A. Pilihan utama untuk agama, akhlak, dan karakter</v>
      </c>
      <c r="J118" s="7" t="str">
        <f>IFERROR(__xludf.DUMMYFUNCTION("""COMPUTED_VALUE"""),"A. Orang tua &amp; anak")</f>
        <v>A. Orang tua &amp; anak</v>
      </c>
      <c r="K118" s="7" t="str">
        <f>IFERROR(__xludf.DUMMYFUNCTION("""COMPUTED_VALUE"""),"A. Memberikan pengertian")</f>
        <v>A. Memberikan pengertian</v>
      </c>
      <c r="L118" s="7" t="str">
        <f>IFERROR(__xludf.DUMMYFUNCTION("""COMPUTED_VALUE"""),"A. Intensif (tahfizh, sekolah Islam)")</f>
        <v>A. Intensif (tahfizh, sekolah Islam)</v>
      </c>
      <c r="M118" s="7" t="str">
        <f>IFERROR(__xludf.DUMMYFUNCTION("""COMPUTED_VALUE"""),"A. Yakin")</f>
        <v>A. Yakin</v>
      </c>
      <c r="N118" s="7" t="str">
        <f>IFERROR(__xludf.DUMMYFUNCTION("""COMPUTED_VALUE"""),"A. Sangat penting")</f>
        <v>A. Sangat penting</v>
      </c>
      <c r="O118" s="7" t="str">
        <f>IFERROR(__xludf.DUMMYFUNCTION("""COMPUTED_VALUE"""),"A. Berkala")</f>
        <v>A. Berkala</v>
      </c>
      <c r="P118" s="7" t="str">
        <f>IFERROR(__xludf.DUMMYFUNCTION("""COMPUTED_VALUE"""),"A. Klarifikasi &amp; beri semangat pada anak")</f>
        <v>A. Klarifikasi &amp; beri semangat pada anak</v>
      </c>
      <c r="Q118" s="7" t="str">
        <f>IFERROR(__xludf.DUMMYFUNCTION("""COMPUTED_VALUE"""),"A. Menerima sebagai konsekuensi (selama bimbingan sudah maksimal)")</f>
        <v>A. Menerima sebagai konsekuensi (selama bimbingan sudah maksimal)</v>
      </c>
      <c r="R118" s="7" t="str">
        <f>IFERROR(__xludf.DUMMYFUNCTION("""COMPUTED_VALUE"""),"Positif : Hafalannya bagus
Negatif : Kurang PD")</f>
        <v>Positif : Hafalannya bagus
Negatif : Kurang PD</v>
      </c>
      <c r="S118" s="7" t="str">
        <f>IFERROR(__xludf.DUMMYFUNCTION("""COMPUTED_VALUE"""),"Sudah")</f>
        <v>Sudah</v>
      </c>
      <c r="T118" s="50" t="str">
        <f>IFERROR(__xludf.DUMMYFUNCTION("""COMPUTED_VALUE"""),"Diterima")</f>
        <v>Diterima</v>
      </c>
      <c r="U118" s="50" t="str">
        <f>IFERROR(__xludf.DUMMYFUNCTION("""COMPUTED_VALUE"""),"Adib")</f>
        <v>Adib</v>
      </c>
      <c r="V118" s="7"/>
    </row>
    <row r="119">
      <c r="A119" s="104">
        <f>IFERROR(__xludf.DUMMYFUNCTION("""COMPUTED_VALUE"""),45967.37041315972)</f>
        <v>45967.37041</v>
      </c>
      <c r="B119" s="7" t="str">
        <f>IFERROR(__xludf.DUMMYFUNCTION("""COMPUTED_VALUE"""),"Adlin Arruhaily")</f>
        <v>Adlin Arruhaily</v>
      </c>
      <c r="C119" s="7" t="str">
        <f>IFERROR(__xludf.DUMMYFUNCTION("""COMPUTED_VALUE"""),"Fitria")</f>
        <v>Fitria</v>
      </c>
      <c r="D119" s="7" t="str">
        <f>IFERROR(__xludf.DUMMYFUNCTION("""COMPUTED_VALUE"""),"MTs Putri")</f>
        <v>MTs Putri</v>
      </c>
      <c r="E119" s="7" t="str">
        <f>IFERROR(__xludf.DUMMYFUNCTION("""COMPUTED_VALUE"""),"D250020")</f>
        <v>D250020</v>
      </c>
      <c r="F119" s="7" t="str">
        <f>IFERROR(__xludf.DUMMYFUNCTION("""COMPUTED_VALUE"""),"FB")</f>
        <v>FB</v>
      </c>
      <c r="G119" s="7" t="str">
        <f>IFERROR(__xludf.DUMMYFUNCTION("""COMPUTED_VALUE"""),"Baru")</f>
        <v>Baru</v>
      </c>
      <c r="H119" s="7" t="str">
        <f>IFERROR(__xludf.DUMMYFUNCTION("""COMPUTED_VALUE"""),"A. Condong ke orientasi akhirat/agama")</f>
        <v>A. Condong ke orientasi akhirat/agama</v>
      </c>
      <c r="I119" s="7" t="str">
        <f>IFERROR(__xludf.DUMMYFUNCTION("""COMPUTED_VALUE"""),"A. Pilihan utama untuk agama, akhlak, dan karakter")</f>
        <v>A. Pilihan utama untuk agama, akhlak, dan karakter</v>
      </c>
      <c r="J119" s="7" t="str">
        <f>IFERROR(__xludf.DUMMYFUNCTION("""COMPUTED_VALUE"""),"B. Anak")</f>
        <v>B. Anak</v>
      </c>
      <c r="K119" s="7" t="str">
        <f>IFERROR(__xludf.DUMMYFUNCTION("""COMPUTED_VALUE"""),"A. Memberikan pengertian")</f>
        <v>A. Memberikan pengertian</v>
      </c>
      <c r="L119" s="7" t="str">
        <f>IFERROR(__xludf.DUMMYFUNCTION("""COMPUTED_VALUE"""),"A. Intensif (tahfizh, sekolah Islam)")</f>
        <v>A. Intensif (tahfizh, sekolah Islam)</v>
      </c>
      <c r="M119" s="7" t="str">
        <f>IFERROR(__xludf.DUMMYFUNCTION("""COMPUTED_VALUE"""),"A. Yakin")</f>
        <v>A. Yakin</v>
      </c>
      <c r="N119" s="7" t="str">
        <f>IFERROR(__xludf.DUMMYFUNCTION("""COMPUTED_VALUE"""),"A. Sangat penting")</f>
        <v>A. Sangat penting</v>
      </c>
      <c r="O119" s="7" t="str">
        <f>IFERROR(__xludf.DUMMYFUNCTION("""COMPUTED_VALUE"""),"C. Sesempatnya saja")</f>
        <v>C. Sesempatnya saja</v>
      </c>
      <c r="P119" s="7" t="str">
        <f>IFERROR(__xludf.DUMMYFUNCTION("""COMPUTED_VALUE"""),"A. Klarifikasi &amp; beri semangat pada anak")</f>
        <v>A. Klarifikasi &amp; beri semangat pada anak</v>
      </c>
      <c r="Q119" s="7" t="str">
        <f>IFERROR(__xludf.DUMMYFUNCTION("""COMPUTED_VALUE"""),"A. Menerima sebagai konsekuensi (selama bimbingan sudah maksimal)")</f>
        <v>A. Menerima sebagai konsekuensi (selama bimbingan sudah maksimal)</v>
      </c>
      <c r="R119" s="7" t="str">
        <f>IFERROR(__xludf.DUMMYFUNCTION("""COMPUTED_VALUE"""),"Mandiri, ")</f>
        <v>Mandiri, </v>
      </c>
      <c r="S119" s="7" t="str">
        <f>IFERROR(__xludf.DUMMYFUNCTION("""COMPUTED_VALUE"""),"Sudah")</f>
        <v>Sudah</v>
      </c>
      <c r="T119" s="50" t="str">
        <f>IFERROR(__xludf.DUMMYFUNCTION("""COMPUTED_VALUE"""),"Diterima")</f>
        <v>Diterima</v>
      </c>
      <c r="U119" s="50" t="str">
        <f>IFERROR(__xludf.DUMMYFUNCTION("""COMPUTED_VALUE"""),"Bachtiar")</f>
        <v>Bachtiar</v>
      </c>
      <c r="V119" s="7"/>
    </row>
    <row r="120">
      <c r="A120" s="104">
        <f>IFERROR(__xludf.DUMMYFUNCTION("""COMPUTED_VALUE"""),45967.39173261574)</f>
        <v>45967.39173</v>
      </c>
      <c r="B120" s="7" t="str">
        <f>IFERROR(__xludf.DUMMYFUNCTION("""COMPUTED_VALUE"""),"Ananda Hezky Faeyza")</f>
        <v>Ananda Hezky Faeyza</v>
      </c>
      <c r="C120" s="7" t="str">
        <f>IFERROR(__xludf.DUMMYFUNCTION("""COMPUTED_VALUE"""),"Asril")</f>
        <v>Asril</v>
      </c>
      <c r="D120" s="7" t="str">
        <f>IFERROR(__xludf.DUMMYFUNCTION("""COMPUTED_VALUE"""),"SMA")</f>
        <v>SMA</v>
      </c>
      <c r="E120" s="7" t="str">
        <f>IFERROR(__xludf.DUMMYFUNCTION("""COMPUTED_VALUE"""),"C250024")</f>
        <v>C250024</v>
      </c>
      <c r="F120" s="7" t="str">
        <f>IFERROR(__xludf.DUMMYFUNCTION("""COMPUTED_VALUE"""),"FB")</f>
        <v>FB</v>
      </c>
      <c r="G120" s="7" t="str">
        <f>IFERROR(__xludf.DUMMYFUNCTION("""COMPUTED_VALUE"""),"Baru")</f>
        <v>Baru</v>
      </c>
      <c r="H120" s="7" t="str">
        <f>IFERROR(__xludf.DUMMYFUNCTION("""COMPUTED_VALUE"""),"A. Condong ke orientasi akhirat/agama")</f>
        <v>A. Condong ke orientasi akhirat/agama</v>
      </c>
      <c r="I120" s="7" t="str">
        <f>IFERROR(__xludf.DUMMYFUNCTION("""COMPUTED_VALUE"""),"A. Pilihan utama untuk agama, akhlak, dan karakter")</f>
        <v>A. Pilihan utama untuk agama, akhlak, dan karakter</v>
      </c>
      <c r="J120" s="7" t="str">
        <f>IFERROR(__xludf.DUMMYFUNCTION("""COMPUTED_VALUE"""),"A. Orang tua &amp; anak")</f>
        <v>A. Orang tua &amp; anak</v>
      </c>
      <c r="K120" s="7" t="str">
        <f>IFERROR(__xludf.DUMMYFUNCTION("""COMPUTED_VALUE"""),"A. Memberikan pengertian")</f>
        <v>A. Memberikan pengertian</v>
      </c>
      <c r="L120" s="7" t="str">
        <f>IFERROR(__xludf.DUMMYFUNCTION("""COMPUTED_VALUE"""),"A. Intensif (tahfizh, sekolah Islam)")</f>
        <v>A. Intensif (tahfizh, sekolah Islam)</v>
      </c>
      <c r="M120" s="7" t="str">
        <f>IFERROR(__xludf.DUMMYFUNCTION("""COMPUTED_VALUE"""),"A. Yakin")</f>
        <v>A. Yakin</v>
      </c>
      <c r="N120" s="7" t="str">
        <f>IFERROR(__xludf.DUMMYFUNCTION("""COMPUTED_VALUE"""),"A. Sangat penting")</f>
        <v>A. Sangat penting</v>
      </c>
      <c r="O120" s="7" t="str">
        <f>IFERROR(__xludf.DUMMYFUNCTION("""COMPUTED_VALUE"""),"A. Berkala")</f>
        <v>A. Berkala</v>
      </c>
      <c r="P120" s="7" t="str">
        <f>IFERROR(__xludf.DUMMYFUNCTION("""COMPUTED_VALUE"""),"A. Klarifikasi &amp; beri semangat pada anak")</f>
        <v>A. Klarifikasi &amp; beri semangat pada anak</v>
      </c>
      <c r="Q120" s="7" t="str">
        <f>IFERROR(__xludf.DUMMYFUNCTION("""COMPUTED_VALUE"""),"A. Menerima sebagai konsekuensi (selama bimbingan sudah maksimal)")</f>
        <v>A. Menerima sebagai konsekuensi (selama bimbingan sudah maksimal)</v>
      </c>
      <c r="R120" s="7" t="str">
        <f>IFERROR(__xludf.DUMMYFUNCTION("""COMPUTED_VALUE"""),"Positif : Disiplin, Mudah beradaptasi,Supel
Negatif : -")</f>
        <v>Positif : Disiplin, Mudah beradaptasi,Supel
Negatif : -</v>
      </c>
      <c r="S120" s="7" t="str">
        <f>IFERROR(__xludf.DUMMYFUNCTION("""COMPUTED_VALUE"""),"Sudah")</f>
        <v>Sudah</v>
      </c>
      <c r="T120" s="50" t="str">
        <f>IFERROR(__xludf.DUMMYFUNCTION("""COMPUTED_VALUE"""),"Diterima")</f>
        <v>Diterima</v>
      </c>
      <c r="U120" s="50" t="str">
        <f>IFERROR(__xludf.DUMMYFUNCTION("""COMPUTED_VALUE"""),"Adib")</f>
        <v>Adib</v>
      </c>
      <c r="V120" s="7"/>
    </row>
    <row r="121">
      <c r="A121" s="104">
        <f>IFERROR(__xludf.DUMMYFUNCTION("""COMPUTED_VALUE"""),45968.37114378472)</f>
        <v>45968.37114</v>
      </c>
      <c r="B121" s="7" t="str">
        <f>IFERROR(__xludf.DUMMYFUNCTION("""COMPUTED_VALUE"""),"Muhammad Nizar")</f>
        <v>Muhammad Nizar</v>
      </c>
      <c r="C121" s="7" t="str">
        <f>IFERROR(__xludf.DUMMYFUNCTION("""COMPUTED_VALUE"""),"Muhamad Andri ")</f>
        <v>Muhamad Andri </v>
      </c>
      <c r="D121" s="7" t="str">
        <f>IFERROR(__xludf.DUMMYFUNCTION("""COMPUTED_VALUE"""),"MTs Putra")</f>
        <v>MTs Putra</v>
      </c>
      <c r="E121" s="7" t="str">
        <f>IFERROR(__xludf.DUMMYFUNCTION("""COMPUTED_VALUE"""),"A250061")</f>
        <v>A250061</v>
      </c>
      <c r="F121" s="7" t="str">
        <f>IFERROR(__xludf.DUMMYFUNCTION("""COMPUTED_VALUE"""),"Ada tenan yg kasih tau")</f>
        <v>Ada tenan yg kasih tau</v>
      </c>
      <c r="G121" s="7" t="str">
        <f>IFERROR(__xludf.DUMMYFUNCTION("""COMPUTED_VALUE"""),"Memiliki teman/rekan/tetangga di PUAS")</f>
        <v>Memiliki teman/rekan/tetangga di PUAS</v>
      </c>
      <c r="H121" s="7" t="str">
        <f>IFERROR(__xludf.DUMMYFUNCTION("""COMPUTED_VALUE"""),"A. Condong ke orientasi akhirat/agama")</f>
        <v>A. Condong ke orientasi akhirat/agama</v>
      </c>
      <c r="I121" s="7" t="str">
        <f>IFERROR(__xludf.DUMMYFUNCTION("""COMPUTED_VALUE"""),"A. Pilihan utama untuk agama, akhlak, dan karakter")</f>
        <v>A. Pilihan utama untuk agama, akhlak, dan karakter</v>
      </c>
      <c r="J121" s="7" t="str">
        <f>IFERROR(__xludf.DUMMYFUNCTION("""COMPUTED_VALUE"""),"B. Anak")</f>
        <v>B. Anak</v>
      </c>
      <c r="K121" s="7" t="str">
        <f>IFERROR(__xludf.DUMMYFUNCTION("""COMPUTED_VALUE"""),"A. Memberikan pengertian")</f>
        <v>A. Memberikan pengertian</v>
      </c>
      <c r="L121" s="7" t="str">
        <f>IFERROR(__xludf.DUMMYFUNCTION("""COMPUTED_VALUE"""),"A. Intensif (tahfizh, sekolah Islam)")</f>
        <v>A. Intensif (tahfizh, sekolah Islam)</v>
      </c>
      <c r="M121" s="7" t="str">
        <f>IFERROR(__xludf.DUMMYFUNCTION("""COMPUTED_VALUE"""),"A. Yakin")</f>
        <v>A. Yakin</v>
      </c>
      <c r="N121" s="7" t="str">
        <f>IFERROR(__xludf.DUMMYFUNCTION("""COMPUTED_VALUE"""),"A. Sangat penting")</f>
        <v>A. Sangat penting</v>
      </c>
      <c r="O121" s="7" t="str">
        <f>IFERROR(__xludf.DUMMYFUNCTION("""COMPUTED_VALUE"""),"C. Sesempatnya saja")</f>
        <v>C. Sesempatnya saja</v>
      </c>
      <c r="P121" s="7" t="str">
        <f>IFERROR(__xludf.DUMMYFUNCTION("""COMPUTED_VALUE"""),"A. Klarifikasi &amp; beri semangat pada anak")</f>
        <v>A. Klarifikasi &amp; beri semangat pada anak</v>
      </c>
      <c r="Q121" s="7" t="str">
        <f>IFERROR(__xludf.DUMMYFUNCTION("""COMPUTED_VALUE"""),"A. Menerima sebagai konsekuensi (selama bimbingan sudah maksimal)")</f>
        <v>A. Menerima sebagai konsekuensi (selama bimbingan sudah maksimal)</v>
      </c>
      <c r="R121" s="7" t="str">
        <f>IFERROR(__xludf.DUMMYFUNCTION("""COMPUTED_VALUE"""),"Punya jiwa leadership, adaptasi baik, agak baperan")</f>
        <v>Punya jiwa leadership, adaptasi baik, agak baperan</v>
      </c>
      <c r="S121" s="7" t="str">
        <f>IFERROR(__xludf.DUMMYFUNCTION("""COMPUTED_VALUE"""),"Sudah")</f>
        <v>Sudah</v>
      </c>
      <c r="T121" s="50" t="str">
        <f>IFERROR(__xludf.DUMMYFUNCTION("""COMPUTED_VALUE"""),"Diterima")</f>
        <v>Diterima</v>
      </c>
      <c r="U121" s="50" t="str">
        <f>IFERROR(__xludf.DUMMYFUNCTION("""COMPUTED_VALUE"""),"Bachtiar")</f>
        <v>Bachtiar</v>
      </c>
      <c r="V121" s="7"/>
    </row>
    <row r="122">
      <c r="A122" s="104">
        <f>IFERROR(__xludf.DUMMYFUNCTION("""COMPUTED_VALUE"""),45968.40997527778)</f>
        <v>45968.40998</v>
      </c>
      <c r="B122" s="7" t="str">
        <f>IFERROR(__xludf.DUMMYFUNCTION("""COMPUTED_VALUE"""),"Nidaul Husna")</f>
        <v>Nidaul Husna</v>
      </c>
      <c r="C122" s="7" t="str">
        <f>IFERROR(__xludf.DUMMYFUNCTION("""COMPUTED_VALUE"""),"Haryani")</f>
        <v>Haryani</v>
      </c>
      <c r="D122" s="7" t="str">
        <f>IFERROR(__xludf.DUMMYFUNCTION("""COMPUTED_VALUE"""),"IL Putri")</f>
        <v>IL Putri</v>
      </c>
      <c r="E122" s="7" t="str">
        <f>IFERROR(__xludf.DUMMYFUNCTION("""COMPUTED_VALUE"""),"F250003")</f>
        <v>F250003</v>
      </c>
      <c r="F122" s="7" t="str">
        <f>IFERROR(__xludf.DUMMYFUNCTION("""COMPUTED_VALUE"""),"FB")</f>
        <v>FB</v>
      </c>
      <c r="G122" s="7" t="str">
        <f>IFERROR(__xludf.DUMMYFUNCTION("""COMPUTED_VALUE"""),"Baru")</f>
        <v>Baru</v>
      </c>
      <c r="H122" s="7" t="str">
        <f>IFERROR(__xludf.DUMMYFUNCTION("""COMPUTED_VALUE"""),"A. Condong ke orientasi akhirat/agama")</f>
        <v>A. Condong ke orientasi akhirat/agama</v>
      </c>
      <c r="I122" s="7" t="str">
        <f>IFERROR(__xludf.DUMMYFUNCTION("""COMPUTED_VALUE"""),"A. Pilihan utama untuk agama, akhlak, dan karakter")</f>
        <v>A. Pilihan utama untuk agama, akhlak, dan karakter</v>
      </c>
      <c r="J122" s="7" t="str">
        <f>IFERROR(__xludf.DUMMYFUNCTION("""COMPUTED_VALUE"""),"A. Orang tua &amp; anak")</f>
        <v>A. Orang tua &amp; anak</v>
      </c>
      <c r="K122" s="7" t="str">
        <f>IFERROR(__xludf.DUMMYFUNCTION("""COMPUTED_VALUE"""),"A. Memberikan pengertian")</f>
        <v>A. Memberikan pengertian</v>
      </c>
      <c r="L122" s="7" t="str">
        <f>IFERROR(__xludf.DUMMYFUNCTION("""COMPUTED_VALUE"""),"A. Intensif (tahfizh, sekolah Islam)")</f>
        <v>A. Intensif (tahfizh, sekolah Islam)</v>
      </c>
      <c r="M122" s="7" t="str">
        <f>IFERROR(__xludf.DUMMYFUNCTION("""COMPUTED_VALUE"""),"C. Tidak tahu")</f>
        <v>C. Tidak tahu</v>
      </c>
      <c r="N122" s="7" t="str">
        <f>IFERROR(__xludf.DUMMYFUNCTION("""COMPUTED_VALUE"""),"A. Sangat penting")</f>
        <v>A. Sangat penting</v>
      </c>
      <c r="O122" s="7" t="str">
        <f>IFERROR(__xludf.DUMMYFUNCTION("""COMPUTED_VALUE"""),"C. Sesempatnya saja")</f>
        <v>C. Sesempatnya saja</v>
      </c>
      <c r="P122" s="7" t="str">
        <f>IFERROR(__xludf.DUMMYFUNCTION("""COMPUTED_VALUE"""),"A. Klarifikasi &amp; beri semangat pada anak")</f>
        <v>A. Klarifikasi &amp; beri semangat pada anak</v>
      </c>
      <c r="Q122" s="7" t="str">
        <f>IFERROR(__xludf.DUMMYFUNCTION("""COMPUTED_VALUE"""),"A. Menerima sebagai konsekuensi (selama bimbingan sudah maksimal)")</f>
        <v>A. Menerima sebagai konsekuensi (selama bimbingan sudah maksimal)</v>
      </c>
      <c r="R122" s="7" t="str">
        <f>IFERROR(__xludf.DUMMYFUNCTION("""COMPUTED_VALUE"""),"Kurang kontrol emosi, kurang PD, agak selebor, syaang keluarga.")</f>
        <v>Kurang kontrol emosi, kurang PD, agak selebor, syaang keluarga.</v>
      </c>
      <c r="S122" s="7" t="str">
        <f>IFERROR(__xludf.DUMMYFUNCTION("""COMPUTED_VALUE"""),"Sudah")</f>
        <v>Sudah</v>
      </c>
      <c r="T122" s="50" t="str">
        <f>IFERROR(__xludf.DUMMYFUNCTION("""COMPUTED_VALUE"""),"Diterima dengan catatan")</f>
        <v>Diterima dengan catatan</v>
      </c>
      <c r="U122" s="50" t="str">
        <f>IFERROR(__xludf.DUMMYFUNCTION("""COMPUTED_VALUE"""),"Bachtiar")</f>
        <v>Bachtiar</v>
      </c>
      <c r="V122" s="7" t="str">
        <f>IFERROR(__xludf.DUMMYFUNCTION("""COMPUTED_VALUE"""),"Bersedia masuk IL")</f>
        <v>Bersedia masuk IL</v>
      </c>
    </row>
    <row r="123">
      <c r="A123" s="104">
        <f>IFERROR(__xludf.DUMMYFUNCTION("""COMPUTED_VALUE"""),45968.46845652778)</f>
        <v>45968.46846</v>
      </c>
      <c r="B123" s="7" t="str">
        <f>IFERROR(__xludf.DUMMYFUNCTION("""COMPUTED_VALUE"""),"Arjuna Permana putra")</f>
        <v>Arjuna Permana putra</v>
      </c>
      <c r="C123" s="7" t="str">
        <f>IFERROR(__xludf.DUMMYFUNCTION("""COMPUTED_VALUE"""),"Abu Juna ")</f>
        <v>Abu Juna </v>
      </c>
      <c r="D123" s="7" t="str">
        <f>IFERROR(__xludf.DUMMYFUNCTION("""COMPUTED_VALUE"""),"MTs Putra")</f>
        <v>MTs Putra</v>
      </c>
      <c r="E123" s="7" t="str">
        <f>IFERROR(__xludf.DUMMYFUNCTION("""COMPUTED_VALUE"""),"A250022")</f>
        <v>A250022</v>
      </c>
      <c r="F123" s="7" t="str">
        <f>IFERROR(__xludf.DUMMYFUNCTION("""COMPUTED_VALUE"""),"FB")</f>
        <v>FB</v>
      </c>
      <c r="G123" s="7" t="str">
        <f>IFERROR(__xludf.DUMMYFUNCTION("""COMPUTED_VALUE"""),"Baru")</f>
        <v>Baru</v>
      </c>
      <c r="H123" s="7" t="str">
        <f>IFERROR(__xludf.DUMMYFUNCTION("""COMPUTED_VALUE"""),"A. Condong ke orientasi akhirat/agama")</f>
        <v>A. Condong ke orientasi akhirat/agama</v>
      </c>
      <c r="I123" s="7" t="str">
        <f>IFERROR(__xludf.DUMMYFUNCTION("""COMPUTED_VALUE"""),"A. Pilihan utama untuk agama, akhlak, dan karakter")</f>
        <v>A. Pilihan utama untuk agama, akhlak, dan karakter</v>
      </c>
      <c r="J123" s="7" t="str">
        <f>IFERROR(__xludf.DUMMYFUNCTION("""COMPUTED_VALUE"""),"B. Anak")</f>
        <v>B. Anak</v>
      </c>
      <c r="K123" s="7" t="str">
        <f>IFERROR(__xludf.DUMMYFUNCTION("""COMPUTED_VALUE"""),"A. Memberikan pengertian")</f>
        <v>A. Memberikan pengertian</v>
      </c>
      <c r="L123" s="7" t="str">
        <f>IFERROR(__xludf.DUMMYFUNCTION("""COMPUTED_VALUE"""),"A. Intensif (tahfizh, sekolah Islam)")</f>
        <v>A. Intensif (tahfizh, sekolah Islam)</v>
      </c>
      <c r="M123" s="7" t="str">
        <f>IFERROR(__xludf.DUMMYFUNCTION("""COMPUTED_VALUE"""),"A. Yakin")</f>
        <v>A. Yakin</v>
      </c>
      <c r="N123" s="7" t="str">
        <f>IFERROR(__xludf.DUMMYFUNCTION("""COMPUTED_VALUE"""),"A. Sangat penting")</f>
        <v>A. Sangat penting</v>
      </c>
      <c r="O123" s="7" t="str">
        <f>IFERROR(__xludf.DUMMYFUNCTION("""COMPUTED_VALUE"""),"C. Sesempatnya saja")</f>
        <v>C. Sesempatnya saja</v>
      </c>
      <c r="P123" s="7" t="str">
        <f>IFERROR(__xludf.DUMMYFUNCTION("""COMPUTED_VALUE"""),"A. Klarifikasi &amp; beri semangat pada anak")</f>
        <v>A. Klarifikasi &amp; beri semangat pada anak</v>
      </c>
      <c r="Q123" s="7" t="str">
        <f>IFERROR(__xludf.DUMMYFUNCTION("""COMPUTED_VALUE"""),"A. Menerima sebagai konsekuensi (selama bimbingan sudah maksimal)")</f>
        <v>A. Menerima sebagai konsekuensi (selama bimbingan sudah maksimal)</v>
      </c>
      <c r="R123" s="7" t="str">
        <f>IFERROR(__xludf.DUMMYFUNCTION("""COMPUTED_VALUE"""),"Baperan, sensitif, dari pembelajaran lebih cepat mendengar drpd membaca")</f>
        <v>Baperan, sensitif, dari pembelajaran lebih cepat mendengar drpd membaca</v>
      </c>
      <c r="S123" s="7" t="str">
        <f>IFERROR(__xludf.DUMMYFUNCTION("""COMPUTED_VALUE"""),"Belum")</f>
        <v>Belum</v>
      </c>
      <c r="T123" s="50" t="str">
        <f>IFERROR(__xludf.DUMMYFUNCTION("""COMPUTED_VALUE"""),"Diterima dengan catatan")</f>
        <v>Diterima dengan catatan</v>
      </c>
      <c r="U123" s="50" t="str">
        <f>IFERROR(__xludf.DUMMYFUNCTION("""COMPUTED_VALUE"""),"Bachtiar")</f>
        <v>Bachtiar</v>
      </c>
      <c r="V123" s="7"/>
    </row>
    <row r="124">
      <c r="A124" s="104">
        <f>IFERROR(__xludf.DUMMYFUNCTION("""COMPUTED_VALUE"""),45968.560693125)</f>
        <v>45968.56069</v>
      </c>
      <c r="B124" s="7" t="str">
        <f>IFERROR(__xludf.DUMMYFUNCTION("""COMPUTED_VALUE"""),"KHUBAIB ABDUL AZIZ")</f>
        <v>KHUBAIB ABDUL AZIZ</v>
      </c>
      <c r="C124" s="7" t="str">
        <f>IFERROR(__xludf.DUMMYFUNCTION("""COMPUTED_VALUE"""),"Rino")</f>
        <v>Rino</v>
      </c>
      <c r="D124" s="7" t="str">
        <f>IFERROR(__xludf.DUMMYFUNCTION("""COMPUTED_VALUE"""),"SMA")</f>
        <v>SMA</v>
      </c>
      <c r="E124" s="7" t="str">
        <f>IFERROR(__xludf.DUMMYFUNCTION("""COMPUTED_VALUE"""),"C250022")</f>
        <v>C250022</v>
      </c>
      <c r="F124" s="7" t="str">
        <f>IFERROR(__xludf.DUMMYFUNCTION("""COMPUTED_VALUE"""),"YouTube")</f>
        <v>YouTube</v>
      </c>
      <c r="G124" s="7" t="str">
        <f>IFERROR(__xludf.DUMMYFUNCTION("""COMPUTED_VALUE"""),"Baru")</f>
        <v>Baru</v>
      </c>
      <c r="H124" s="7" t="str">
        <f>IFERROR(__xludf.DUMMYFUNCTION("""COMPUTED_VALUE"""),"A. Condong ke orientasi akhirat/agama")</f>
        <v>A. Condong ke orientasi akhirat/agama</v>
      </c>
      <c r="I124" s="7" t="str">
        <f>IFERROR(__xludf.DUMMYFUNCTION("""COMPUTED_VALUE"""),"A. Pilihan utama untuk agama, akhlak, dan karakter")</f>
        <v>A. Pilihan utama untuk agama, akhlak, dan karakter</v>
      </c>
      <c r="J124" s="7" t="str">
        <f>IFERROR(__xludf.DUMMYFUNCTION("""COMPUTED_VALUE"""),"A. Orang tua &amp; anak")</f>
        <v>A. Orang tua &amp; anak</v>
      </c>
      <c r="K124" s="7" t="str">
        <f>IFERROR(__xludf.DUMMYFUNCTION("""COMPUTED_VALUE"""),"A. Memberikan pengertian")</f>
        <v>A. Memberikan pengertian</v>
      </c>
      <c r="L124" s="7" t="str">
        <f>IFERROR(__xludf.DUMMYFUNCTION("""COMPUTED_VALUE"""),"A. Intensif (tahfizh, sekolah Islam)")</f>
        <v>A. Intensif (tahfizh, sekolah Islam)</v>
      </c>
      <c r="M124" s="7" t="str">
        <f>IFERROR(__xludf.DUMMYFUNCTION("""COMPUTED_VALUE"""),"B. Ragu-ragu")</f>
        <v>B. Ragu-ragu</v>
      </c>
      <c r="N124" s="7" t="str">
        <f>IFERROR(__xludf.DUMMYFUNCTION("""COMPUTED_VALUE"""),"A. Sangat penting")</f>
        <v>A. Sangat penting</v>
      </c>
      <c r="O124" s="7" t="str">
        <f>IFERROR(__xludf.DUMMYFUNCTION("""COMPUTED_VALUE"""),"A. Berkala")</f>
        <v>A. Berkala</v>
      </c>
      <c r="P124" s="7" t="str">
        <f>IFERROR(__xludf.DUMMYFUNCTION("""COMPUTED_VALUE"""),"A. Klarifikasi &amp; beri semangat pada anak")</f>
        <v>A. Klarifikasi &amp; beri semangat pada anak</v>
      </c>
      <c r="Q124" s="7" t="str">
        <f>IFERROR(__xludf.DUMMYFUNCTION("""COMPUTED_VALUE"""),"A. Menerima sebagai konsekuensi (selama bimbingan sudah maksimal)")</f>
        <v>A. Menerima sebagai konsekuensi (selama bimbingan sudah maksimal)</v>
      </c>
      <c r="R124" s="7" t="str">
        <f>IFERROR(__xludf.DUMMYFUNCTION("""COMPUTED_VALUE"""),"Positif : Kinestetik
Negatif : Mudah teralihkan, kurang bisa fokus")</f>
        <v>Positif : Kinestetik
Negatif : Mudah teralihkan, kurang bisa fokus</v>
      </c>
      <c r="S124" s="7" t="str">
        <f>IFERROR(__xludf.DUMMYFUNCTION("""COMPUTED_VALUE"""),"Sudah")</f>
        <v>Sudah</v>
      </c>
      <c r="T124" s="50" t="str">
        <f>IFERROR(__xludf.DUMMYFUNCTION("""COMPUTED_VALUE"""),"Diterima dengan catatan")</f>
        <v>Diterima dengan catatan</v>
      </c>
      <c r="U124" s="50" t="str">
        <f>IFERROR(__xludf.DUMMYFUNCTION("""COMPUTED_VALUE"""),"Adib")</f>
        <v>Adib</v>
      </c>
      <c r="V124" s="7" t="str">
        <f>IFERROR(__xludf.DUMMYFUNCTION("""COMPUTED_VALUE"""),"Ragu untuk bisa memenuhi biaya SPP")</f>
        <v>Ragu untuk bisa memenuhi biaya SPP</v>
      </c>
    </row>
    <row r="125">
      <c r="A125" s="104">
        <f>IFERROR(__xludf.DUMMYFUNCTION("""COMPUTED_VALUE"""),45968.60962775463)</f>
        <v>45968.60963</v>
      </c>
      <c r="B125" s="7" t="str">
        <f>IFERROR(__xludf.DUMMYFUNCTION("""COMPUTED_VALUE"""),"MUHAMMAD NADHIF RAISYAUQI")</f>
        <v>MUHAMMAD NADHIF RAISYAUQI</v>
      </c>
      <c r="C125" s="7" t="str">
        <f>IFERROR(__xludf.DUMMYFUNCTION("""COMPUTED_VALUE"""),"Fery Yuliandi")</f>
        <v>Fery Yuliandi</v>
      </c>
      <c r="D125" s="7" t="str">
        <f>IFERROR(__xludf.DUMMYFUNCTION("""COMPUTED_VALUE"""),"MTs Putra")</f>
        <v>MTs Putra</v>
      </c>
      <c r="E125" s="7" t="str">
        <f>IFERROR(__xludf.DUMMYFUNCTION("""COMPUTED_VALUE"""),"A250075")</f>
        <v>A250075</v>
      </c>
      <c r="F125" s="7" t="str">
        <f>IFERROR(__xludf.DUMMYFUNCTION("""COMPUTED_VALUE"""),"Rekomendasi teman yg jadi wali santri")</f>
        <v>Rekomendasi teman yg jadi wali santri</v>
      </c>
      <c r="G125" s="7" t="str">
        <f>IFERROR(__xludf.DUMMYFUNCTION("""COMPUTED_VALUE"""),"Memiliki teman/rekan/tetangga di PUAS")</f>
        <v>Memiliki teman/rekan/tetangga di PUAS</v>
      </c>
      <c r="H125" s="7" t="str">
        <f>IFERROR(__xludf.DUMMYFUNCTION("""COMPUTED_VALUE"""),"A. Condong ke orientasi akhirat/agama")</f>
        <v>A. Condong ke orientasi akhirat/agama</v>
      </c>
      <c r="I125" s="7" t="str">
        <f>IFERROR(__xludf.DUMMYFUNCTION("""COMPUTED_VALUE"""),"A. Pilihan utama untuk agama, akhlak, dan karakter")</f>
        <v>A. Pilihan utama untuk agama, akhlak, dan karakter</v>
      </c>
      <c r="J125" s="7" t="str">
        <f>IFERROR(__xludf.DUMMYFUNCTION("""COMPUTED_VALUE"""),"A. Orang tua &amp; anak")</f>
        <v>A. Orang tua &amp; anak</v>
      </c>
      <c r="K125" s="7" t="str">
        <f>IFERROR(__xludf.DUMMYFUNCTION("""COMPUTED_VALUE"""),"A. Memberikan pengertian")</f>
        <v>A. Memberikan pengertian</v>
      </c>
      <c r="L125" s="7" t="str">
        <f>IFERROR(__xludf.DUMMYFUNCTION("""COMPUTED_VALUE"""),"A. Intensif (tahfizh, sekolah Islam)")</f>
        <v>A. Intensif (tahfizh, sekolah Islam)</v>
      </c>
      <c r="M125" s="7" t="str">
        <f>IFERROR(__xludf.DUMMYFUNCTION("""COMPUTED_VALUE"""),"A. Yakin")</f>
        <v>A. Yakin</v>
      </c>
      <c r="N125" s="7" t="str">
        <f>IFERROR(__xludf.DUMMYFUNCTION("""COMPUTED_VALUE"""),"A. Sangat penting")</f>
        <v>A. Sangat penting</v>
      </c>
      <c r="O125" s="7" t="str">
        <f>IFERROR(__xludf.DUMMYFUNCTION("""COMPUTED_VALUE"""),"A. Berkala")</f>
        <v>A. Berkala</v>
      </c>
      <c r="P125" s="7" t="str">
        <f>IFERROR(__xludf.DUMMYFUNCTION("""COMPUTED_VALUE"""),"A. Klarifikasi &amp; beri semangat pada anak")</f>
        <v>A. Klarifikasi &amp; beri semangat pada anak</v>
      </c>
      <c r="Q125" s="7" t="str">
        <f>IFERROR(__xludf.DUMMYFUNCTION("""COMPUTED_VALUE"""),"A. Menerima sebagai konsekuensi (selama bimbingan sudah maksimal)")</f>
        <v>A. Menerima sebagai konsekuensi (selama bimbingan sudah maksimal)</v>
      </c>
      <c r="R125" s="7" t="str">
        <f>IFERROR(__xludf.DUMMYFUNCTION("""COMPUTED_VALUE"""),"Positif : Supel, mudah bergaul
Negatif : Kurang mandiri")</f>
        <v>Positif : Supel, mudah bergaul
Negatif : Kurang mandiri</v>
      </c>
      <c r="S125" s="7" t="str">
        <f>IFERROR(__xludf.DUMMYFUNCTION("""COMPUTED_VALUE"""),"Sudah")</f>
        <v>Sudah</v>
      </c>
      <c r="T125" s="50" t="str">
        <f>IFERROR(__xludf.DUMMYFUNCTION("""COMPUTED_VALUE"""),"Diterima")</f>
        <v>Diterima</v>
      </c>
      <c r="U125" s="50" t="str">
        <f>IFERROR(__xludf.DUMMYFUNCTION("""COMPUTED_VALUE"""),"Adib")</f>
        <v>Adib</v>
      </c>
      <c r="V125" s="7"/>
    </row>
    <row r="126">
      <c r="A126" s="104">
        <f>IFERROR(__xludf.DUMMYFUNCTION("""COMPUTED_VALUE"""),45968.63060672454)</f>
        <v>45968.63061</v>
      </c>
      <c r="B126" s="7" t="str">
        <f>IFERROR(__xludf.DUMMYFUNCTION("""COMPUTED_VALUE"""),"MUHAMMAD NAUFAL RAFIF ATHALLAH")</f>
        <v>MUHAMMAD NAUFAL RAFIF ATHALLAH</v>
      </c>
      <c r="C126" s="7" t="str">
        <f>IFERROR(__xludf.DUMMYFUNCTION("""COMPUTED_VALUE"""),"Lediawati")</f>
        <v>Lediawati</v>
      </c>
      <c r="D126" s="7" t="str">
        <f>IFERROR(__xludf.DUMMYFUNCTION("""COMPUTED_VALUE"""),"I'L Putra")</f>
        <v>I'L Putra</v>
      </c>
      <c r="E126" s="7" t="str">
        <f>IFERROR(__xludf.DUMMYFUNCTION("""COMPUTED_VALUE"""),"B250016")</f>
        <v>B250016</v>
      </c>
      <c r="F126" s="7" t="str">
        <f>IFERROR(__xludf.DUMMYFUNCTION("""COMPUTED_VALUE"""),"Searching umum")</f>
        <v>Searching umum</v>
      </c>
      <c r="G126" s="7" t="str">
        <f>IFERROR(__xludf.DUMMYFUNCTION("""COMPUTED_VALUE"""),"Baru")</f>
        <v>Baru</v>
      </c>
      <c r="H126" s="7" t="str">
        <f>IFERROR(__xludf.DUMMYFUNCTION("""COMPUTED_VALUE"""),"A. Condong ke orientasi akhirat/agama")</f>
        <v>A. Condong ke orientasi akhirat/agama</v>
      </c>
      <c r="I126" s="7" t="str">
        <f>IFERROR(__xludf.DUMMYFUNCTION("""COMPUTED_VALUE"""),"A. Pilihan utama untuk agama, akhlak, dan karakter")</f>
        <v>A. Pilihan utama untuk agama, akhlak, dan karakter</v>
      </c>
      <c r="J126" s="7" t="str">
        <f>IFERROR(__xludf.DUMMYFUNCTION("""COMPUTED_VALUE"""),"A. Orang tua &amp; anak")</f>
        <v>A. Orang tua &amp; anak</v>
      </c>
      <c r="K126" s="7" t="str">
        <f>IFERROR(__xludf.DUMMYFUNCTION("""COMPUTED_VALUE"""),"A. Memberikan pengertian")</f>
        <v>A. Memberikan pengertian</v>
      </c>
      <c r="L126" s="7" t="str">
        <f>IFERROR(__xludf.DUMMYFUNCTION("""COMPUTED_VALUE"""),"A. Intensif (tahfizh, sekolah Islam)")</f>
        <v>A. Intensif (tahfizh, sekolah Islam)</v>
      </c>
      <c r="M126" s="7" t="str">
        <f>IFERROR(__xludf.DUMMYFUNCTION("""COMPUTED_VALUE"""),"B. Ragu-ragu")</f>
        <v>B. Ragu-ragu</v>
      </c>
      <c r="N126" s="7" t="str">
        <f>IFERROR(__xludf.DUMMYFUNCTION("""COMPUTED_VALUE"""),"A. Sangat penting")</f>
        <v>A. Sangat penting</v>
      </c>
      <c r="O126" s="7" t="str">
        <f>IFERROR(__xludf.DUMMYFUNCTION("""COMPUTED_VALUE"""),"B. Tidak menjenguk karena jauh")</f>
        <v>B. Tidak menjenguk karena jauh</v>
      </c>
      <c r="P126" s="7" t="str">
        <f>IFERROR(__xludf.DUMMYFUNCTION("""COMPUTED_VALUE"""),"A. Klarifikasi &amp; beri semangat pada anak")</f>
        <v>A. Klarifikasi &amp; beri semangat pada anak</v>
      </c>
      <c r="Q126" s="7" t="str">
        <f>IFERROR(__xludf.DUMMYFUNCTION("""COMPUTED_VALUE"""),"A. Menerima sebagai konsekuensi (selama bimbingan sudah maksimal)")</f>
        <v>A. Menerima sebagai konsekuensi (selama bimbingan sudah maksimal)</v>
      </c>
      <c r="R126" s="7" t="str">
        <f>IFERROR(__xludf.DUMMYFUNCTION("""COMPUTED_VALUE"""),"Pendiam, mandiri.")</f>
        <v>Pendiam, mandiri.</v>
      </c>
      <c r="S126" s="7" t="str">
        <f>IFERROR(__xludf.DUMMYFUNCTION("""COMPUTED_VALUE"""),"Belum")</f>
        <v>Belum</v>
      </c>
      <c r="T126" s="50" t="str">
        <f>IFERROR(__xludf.DUMMYFUNCTION("""COMPUTED_VALUE"""),"Diterima dengan catatan")</f>
        <v>Diterima dengan catatan</v>
      </c>
      <c r="U126" s="50" t="str">
        <f>IFERROR(__xludf.DUMMYFUNCTION("""COMPUTED_VALUE"""),"Syarif")</f>
        <v>Syarif</v>
      </c>
      <c r="V126" s="7" t="str">
        <f>IFERROR(__xludf.DUMMYFUNCTION("""COMPUTED_VALUE"""),"Masih ragu dgn biaya dr klrg kurg mampu.sering telat pbyrn dipondok sblmnya.")</f>
        <v>Masih ragu dgn biaya dr klrg kurg mampu.sering telat pbyrn dipondok sblmnya.</v>
      </c>
    </row>
    <row r="127">
      <c r="A127" s="104">
        <f>IFERROR(__xludf.DUMMYFUNCTION("""COMPUTED_VALUE"""),45968.716248321754)</f>
        <v>45968.71625</v>
      </c>
      <c r="B127" s="7" t="str">
        <f>IFERROR(__xludf.DUMMYFUNCTION("""COMPUTED_VALUE"""),"Faruq Ahmad Asy-Syirbuni")</f>
        <v>Faruq Ahmad Asy-Syirbuni</v>
      </c>
      <c r="C127" s="7" t="str">
        <f>IFERROR(__xludf.DUMMYFUNCTION("""COMPUTED_VALUE"""),"Ahmad Sobari")</f>
        <v>Ahmad Sobari</v>
      </c>
      <c r="D127" s="7" t="str">
        <f>IFERROR(__xludf.DUMMYFUNCTION("""COMPUTED_VALUE"""),"MTs Putra")</f>
        <v>MTs Putra</v>
      </c>
      <c r="E127" s="7" t="str">
        <f>IFERROR(__xludf.DUMMYFUNCTION("""COMPUTED_VALUE"""),"A250026")</f>
        <v>A250026</v>
      </c>
      <c r="F127" s="7" t="str">
        <f>IFERROR(__xludf.DUMMYFUNCTION("""COMPUTED_VALUE"""),"FB")</f>
        <v>FB</v>
      </c>
      <c r="G127" s="7" t="str">
        <f>IFERROR(__xludf.DUMMYFUNCTION("""COMPUTED_VALUE"""),"Baru")</f>
        <v>Baru</v>
      </c>
      <c r="H127" s="7" t="str">
        <f>IFERROR(__xludf.DUMMYFUNCTION("""COMPUTED_VALUE"""),"A. Condong ke orientasi akhirat/agama")</f>
        <v>A. Condong ke orientasi akhirat/agama</v>
      </c>
      <c r="I127" s="7" t="str">
        <f>IFERROR(__xludf.DUMMYFUNCTION("""COMPUTED_VALUE"""),"A. Pilihan utama untuk agama, akhlak, dan karakter")</f>
        <v>A. Pilihan utama untuk agama, akhlak, dan karakter</v>
      </c>
      <c r="J127" s="7" t="str">
        <f>IFERROR(__xludf.DUMMYFUNCTION("""COMPUTED_VALUE"""),"A. Orang tua &amp; anak")</f>
        <v>A. Orang tua &amp; anak</v>
      </c>
      <c r="K127" s="7" t="str">
        <f>IFERROR(__xludf.DUMMYFUNCTION("""COMPUTED_VALUE"""),"A. Memberikan pengertian")</f>
        <v>A. Memberikan pengertian</v>
      </c>
      <c r="L127" s="7" t="str">
        <f>IFERROR(__xludf.DUMMYFUNCTION("""COMPUTED_VALUE"""),"A. Intensif (tahfizh, sekolah Islam)")</f>
        <v>A. Intensif (tahfizh, sekolah Islam)</v>
      </c>
      <c r="M127" s="7" t="str">
        <f>IFERROR(__xludf.DUMMYFUNCTION("""COMPUTED_VALUE"""),"A. Yakin")</f>
        <v>A. Yakin</v>
      </c>
      <c r="N127" s="7" t="str">
        <f>IFERROR(__xludf.DUMMYFUNCTION("""COMPUTED_VALUE"""),"A. Sangat penting")</f>
        <v>A. Sangat penting</v>
      </c>
      <c r="O127" s="7" t="str">
        <f>IFERROR(__xludf.DUMMYFUNCTION("""COMPUTED_VALUE"""),"A. Berkala")</f>
        <v>A. Berkala</v>
      </c>
      <c r="P127" s="7" t="str">
        <f>IFERROR(__xludf.DUMMYFUNCTION("""COMPUTED_VALUE"""),"A. Klarifikasi &amp; beri semangat pada anak")</f>
        <v>A. Klarifikasi &amp; beri semangat pada anak</v>
      </c>
      <c r="Q127" s="7" t="str">
        <f>IFERROR(__xludf.DUMMYFUNCTION("""COMPUTED_VALUE"""),"A. Menerima sebagai konsekuensi (selama bimbingan sudah maksimal)")</f>
        <v>A. Menerima sebagai konsekuensi (selama bimbingan sudah maksimal)</v>
      </c>
      <c r="R127" s="7" t="str">
        <f>IFERROR(__xludf.DUMMYFUNCTION("""COMPUTED_VALUE"""),"Penyayang, dewasa, peka, mandiri, sosialisasi. Masih hrs dimotivasi.")</f>
        <v>Penyayang, dewasa, peka, mandiri, sosialisasi. Masih hrs dimotivasi.</v>
      </c>
      <c r="S127" s="7" t="str">
        <f>IFERROR(__xludf.DUMMYFUNCTION("""COMPUTED_VALUE"""),"Sudah")</f>
        <v>Sudah</v>
      </c>
      <c r="T127" s="50" t="str">
        <f>IFERROR(__xludf.DUMMYFUNCTION("""COMPUTED_VALUE"""),"Diterima")</f>
        <v>Diterima</v>
      </c>
      <c r="U127" s="50" t="str">
        <f>IFERROR(__xludf.DUMMYFUNCTION("""COMPUTED_VALUE"""),"Syarif")</f>
        <v>Syarif</v>
      </c>
      <c r="V127" s="7"/>
    </row>
    <row r="128">
      <c r="A128" s="104">
        <f>IFERROR(__xludf.DUMMYFUNCTION("""COMPUTED_VALUE"""),45968.889218819444)</f>
        <v>45968.88922</v>
      </c>
      <c r="B128" s="7" t="str">
        <f>IFERROR(__xludf.DUMMYFUNCTION("""COMPUTED_VALUE"""),"Ahmad kaisan sidqi")</f>
        <v>Ahmad kaisan sidqi</v>
      </c>
      <c r="C128" s="7" t="str">
        <f>IFERROR(__xludf.DUMMYFUNCTION("""COMPUTED_VALUE"""),"Wasita")</f>
        <v>Wasita</v>
      </c>
      <c r="D128" s="7" t="str">
        <f>IFERROR(__xludf.DUMMYFUNCTION("""COMPUTED_VALUE"""),"SMA")</f>
        <v>SMA</v>
      </c>
      <c r="E128" s="7" t="str">
        <f>IFERROR(__xludf.DUMMYFUNCTION("""COMPUTED_VALUE"""),"C250007")</f>
        <v>C250007</v>
      </c>
      <c r="F128" s="7" t="str">
        <f>IFERROR(__xludf.DUMMYFUNCTION("""COMPUTED_VALUE"""),"Dari ust. Lokal disana ")</f>
        <v>Dari ust. Lokal disana </v>
      </c>
      <c r="G128" s="7" t="str">
        <f>IFERROR(__xludf.DUMMYFUNCTION("""COMPUTED_VALUE"""),"Baru")</f>
        <v>Baru</v>
      </c>
      <c r="H128" s="7" t="str">
        <f>IFERROR(__xludf.DUMMYFUNCTION("""COMPUTED_VALUE"""),"A. Condong ke orientasi akhirat/agama")</f>
        <v>A. Condong ke orientasi akhirat/agama</v>
      </c>
      <c r="I128" s="7" t="str">
        <f>IFERROR(__xludf.DUMMYFUNCTION("""COMPUTED_VALUE"""),"A. Pilihan utama untuk agama, akhlak, dan karakter")</f>
        <v>A. Pilihan utama untuk agama, akhlak, dan karakter</v>
      </c>
      <c r="J128" s="7" t="str">
        <f>IFERROR(__xludf.DUMMYFUNCTION("""COMPUTED_VALUE"""),"B. Anak")</f>
        <v>B. Anak</v>
      </c>
      <c r="K128" s="7" t="str">
        <f>IFERROR(__xludf.DUMMYFUNCTION("""COMPUTED_VALUE"""),"A. Memberikan pengertian")</f>
        <v>A. Memberikan pengertian</v>
      </c>
      <c r="L128" s="7" t="str">
        <f>IFERROR(__xludf.DUMMYFUNCTION("""COMPUTED_VALUE"""),"A. Intensif (tahfizh, sekolah Islam)")</f>
        <v>A. Intensif (tahfizh, sekolah Islam)</v>
      </c>
      <c r="M128" s="7" t="str">
        <f>IFERROR(__xludf.DUMMYFUNCTION("""COMPUTED_VALUE"""),"A. Yakin")</f>
        <v>A. Yakin</v>
      </c>
      <c r="N128" s="7" t="str">
        <f>IFERROR(__xludf.DUMMYFUNCTION("""COMPUTED_VALUE"""),"A. Sangat penting")</f>
        <v>A. Sangat penting</v>
      </c>
      <c r="O128" s="7" t="str">
        <f>IFERROR(__xludf.DUMMYFUNCTION("""COMPUTED_VALUE"""),"C. Sesempatnya saja")</f>
        <v>C. Sesempatnya saja</v>
      </c>
      <c r="P128" s="7" t="str">
        <f>IFERROR(__xludf.DUMMYFUNCTION("""COMPUTED_VALUE"""),"A. Klarifikasi &amp; beri semangat pada anak")</f>
        <v>A. Klarifikasi &amp; beri semangat pada anak</v>
      </c>
      <c r="Q128" s="7" t="str">
        <f>IFERROR(__xludf.DUMMYFUNCTION("""COMPUTED_VALUE"""),"A. Menerima sebagai konsekuensi (selama bimbingan sudah maksimal)")</f>
        <v>A. Menerima sebagai konsekuensi (selama bimbingan sudah maksimal)</v>
      </c>
      <c r="R128" s="7" t="str">
        <f>IFERROR(__xludf.DUMMYFUNCTION("""COMPUTED_VALUE"""),"Rajin, kurang fokus, susah bangun")</f>
        <v>Rajin, kurang fokus, susah bangun</v>
      </c>
      <c r="S128" s="7" t="str">
        <f>IFERROR(__xludf.DUMMYFUNCTION("""COMPUTED_VALUE"""),"Sudah")</f>
        <v>Sudah</v>
      </c>
      <c r="T128" s="50" t="str">
        <f>IFERROR(__xludf.DUMMYFUNCTION("""COMPUTED_VALUE"""),"Diterima dengan catatan")</f>
        <v>Diterima dengan catatan</v>
      </c>
      <c r="U128" s="50" t="str">
        <f>IFERROR(__xludf.DUMMYFUNCTION("""COMPUTED_VALUE"""),"Bachtiar")</f>
        <v>Bachtiar</v>
      </c>
      <c r="V128" s="7" t="str">
        <f>IFERROR(__xludf.DUMMYFUNCTION("""COMPUTED_VALUE"""),"Bersedia jika masuk IL dulu")</f>
        <v>Bersedia jika masuk IL dulu</v>
      </c>
    </row>
    <row r="129">
      <c r="A129" s="104">
        <f>IFERROR(__xludf.DUMMYFUNCTION("""COMPUTED_VALUE"""),45969.40651152778)</f>
        <v>45969.40651</v>
      </c>
      <c r="B129" s="7" t="str">
        <f>IFERROR(__xludf.DUMMYFUNCTION("""COMPUTED_VALUE"""),"Najla ulfa")</f>
        <v>Najla ulfa</v>
      </c>
      <c r="C129" s="7" t="str">
        <f>IFERROR(__xludf.DUMMYFUNCTION("""COMPUTED_VALUE"""),"Dewi yulita")</f>
        <v>Dewi yulita</v>
      </c>
      <c r="D129" s="7" t="str">
        <f>IFERROR(__xludf.DUMMYFUNCTION("""COMPUTED_VALUE"""),"IL Putri")</f>
        <v>IL Putri</v>
      </c>
      <c r="E129" s="7" t="str">
        <f>IFERROR(__xludf.DUMMYFUNCTION("""COMPUTED_VALUE"""),"E250009")</f>
        <v>E250009</v>
      </c>
      <c r="F129" s="7" t="str">
        <f>IFERROR(__xludf.DUMMYFUNCTION("""COMPUTED_VALUE"""),"FB")</f>
        <v>FB</v>
      </c>
      <c r="G129" s="7" t="str">
        <f>IFERROR(__xludf.DUMMYFUNCTION("""COMPUTED_VALUE"""),"Baru")</f>
        <v>Baru</v>
      </c>
      <c r="H129" s="7" t="str">
        <f>IFERROR(__xludf.DUMMYFUNCTION("""COMPUTED_VALUE"""),"A. Condong ke orientasi akhirat/agama")</f>
        <v>A. Condong ke orientasi akhirat/agama</v>
      </c>
      <c r="I129" s="7" t="str">
        <f>IFERROR(__xludf.DUMMYFUNCTION("""COMPUTED_VALUE"""),"A. Pilihan utama untuk agama, akhlak, dan karakter")</f>
        <v>A. Pilihan utama untuk agama, akhlak, dan karakter</v>
      </c>
      <c r="J129" s="7" t="str">
        <f>IFERROR(__xludf.DUMMYFUNCTION("""COMPUTED_VALUE"""),"B. Anak")</f>
        <v>B. Anak</v>
      </c>
      <c r="K129" s="7" t="str">
        <f>IFERROR(__xludf.DUMMYFUNCTION("""COMPUTED_VALUE"""),"A. Memberikan pengertian")</f>
        <v>A. Memberikan pengertian</v>
      </c>
      <c r="L129" s="7" t="str">
        <f>IFERROR(__xludf.DUMMYFUNCTION("""COMPUTED_VALUE"""),"A. Intensif (tahfizh, sekolah Islam)")</f>
        <v>A. Intensif (tahfizh, sekolah Islam)</v>
      </c>
      <c r="M129" s="7" t="str">
        <f>IFERROR(__xludf.DUMMYFUNCTION("""COMPUTED_VALUE"""),"A. Yakin")</f>
        <v>A. Yakin</v>
      </c>
      <c r="N129" s="7" t="str">
        <f>IFERROR(__xludf.DUMMYFUNCTION("""COMPUTED_VALUE"""),"A. Sangat penting")</f>
        <v>A. Sangat penting</v>
      </c>
      <c r="O129" s="7" t="str">
        <f>IFERROR(__xludf.DUMMYFUNCTION("""COMPUTED_VALUE"""),"C. Sesempatnya saja")</f>
        <v>C. Sesempatnya saja</v>
      </c>
      <c r="P129" s="7" t="str">
        <f>IFERROR(__xludf.DUMMYFUNCTION("""COMPUTED_VALUE"""),"A. Klarifikasi &amp; beri semangat pada anak")</f>
        <v>A. Klarifikasi &amp; beri semangat pada anak</v>
      </c>
      <c r="Q129" s="7" t="str">
        <f>IFERROR(__xludf.DUMMYFUNCTION("""COMPUTED_VALUE"""),"A. Menerima sebagai konsekuensi (selama bimbingan sudah maksimal)")</f>
        <v>A. Menerima sebagai konsekuensi (selama bimbingan sudah maksimal)</v>
      </c>
      <c r="R129" s="7" t="str">
        <f>IFERROR(__xludf.DUMMYFUNCTION("""COMPUTED_VALUE"""),"Gampang menghapal, susah gaul, aktif")</f>
        <v>Gampang menghapal, susah gaul, aktif</v>
      </c>
      <c r="S129" s="7" t="str">
        <f>IFERROR(__xludf.DUMMYFUNCTION("""COMPUTED_VALUE"""),"Belum")</f>
        <v>Belum</v>
      </c>
      <c r="T129" s="50" t="str">
        <f>IFERROR(__xludf.DUMMYFUNCTION("""COMPUTED_VALUE"""),"Diterima")</f>
        <v>Diterima</v>
      </c>
      <c r="U129" s="50" t="str">
        <f>IFERROR(__xludf.DUMMYFUNCTION("""COMPUTED_VALUE"""),"Bachtiar")</f>
        <v>Bachtiar</v>
      </c>
      <c r="V129" s="7"/>
    </row>
    <row r="130">
      <c r="A130" s="104">
        <f>IFERROR(__xludf.DUMMYFUNCTION("""COMPUTED_VALUE"""),45969.58072203703)</f>
        <v>45969.58072</v>
      </c>
      <c r="B130" s="7" t="str">
        <f>IFERROR(__xludf.DUMMYFUNCTION("""COMPUTED_VALUE"""),"Unaysah")</f>
        <v>Unaysah</v>
      </c>
      <c r="C130" s="7" t="str">
        <f>IFERROR(__xludf.DUMMYFUNCTION("""COMPUTED_VALUE"""),"Arifin")</f>
        <v>Arifin</v>
      </c>
      <c r="D130" s="7" t="str">
        <f>IFERROR(__xludf.DUMMYFUNCTION("""COMPUTED_VALUE"""),"SMA")</f>
        <v>SMA</v>
      </c>
      <c r="E130" s="7" t="str">
        <f>IFERROR(__xludf.DUMMYFUNCTION("""COMPUTED_VALUE"""),"F250002")</f>
        <v>F250002</v>
      </c>
      <c r="F130" s="7" t="str">
        <f>IFERROR(__xludf.DUMMYFUNCTION("""COMPUTED_VALUE"""),"FB")</f>
        <v>FB</v>
      </c>
      <c r="G130" s="7" t="str">
        <f>IFERROR(__xludf.DUMMYFUNCTION("""COMPUTED_VALUE"""),"Baru")</f>
        <v>Baru</v>
      </c>
      <c r="H130" s="7" t="str">
        <f>IFERROR(__xludf.DUMMYFUNCTION("""COMPUTED_VALUE"""),"A. Condong ke orientasi akhirat/agama")</f>
        <v>A. Condong ke orientasi akhirat/agama</v>
      </c>
      <c r="I130" s="7" t="str">
        <f>IFERROR(__xludf.DUMMYFUNCTION("""COMPUTED_VALUE"""),"A. Pilihan utama untuk agama, akhlak, dan karakter")</f>
        <v>A. Pilihan utama untuk agama, akhlak, dan karakter</v>
      </c>
      <c r="J130" s="7" t="str">
        <f>IFERROR(__xludf.DUMMYFUNCTION("""COMPUTED_VALUE"""),"A. Orang tua &amp; anak")</f>
        <v>A. Orang tua &amp; anak</v>
      </c>
      <c r="K130" s="7" t="str">
        <f>IFERROR(__xludf.DUMMYFUNCTION("""COMPUTED_VALUE"""),"A. Memberikan pengertian")</f>
        <v>A. Memberikan pengertian</v>
      </c>
      <c r="L130" s="7" t="str">
        <f>IFERROR(__xludf.DUMMYFUNCTION("""COMPUTED_VALUE"""),"A. Intensif (tahfizh, sekolah Islam)")</f>
        <v>A. Intensif (tahfizh, sekolah Islam)</v>
      </c>
      <c r="M130" s="7" t="str">
        <f>IFERROR(__xludf.DUMMYFUNCTION("""COMPUTED_VALUE"""),"A. Yakin")</f>
        <v>A. Yakin</v>
      </c>
      <c r="N130" s="7" t="str">
        <f>IFERROR(__xludf.DUMMYFUNCTION("""COMPUTED_VALUE"""),"A. Sangat penting")</f>
        <v>A. Sangat penting</v>
      </c>
      <c r="O130" s="7" t="str">
        <f>IFERROR(__xludf.DUMMYFUNCTION("""COMPUTED_VALUE"""),"A. Berkala")</f>
        <v>A. Berkala</v>
      </c>
      <c r="P130" s="7" t="str">
        <f>IFERROR(__xludf.DUMMYFUNCTION("""COMPUTED_VALUE"""),"A. Klarifikasi &amp; beri semangat pada anak")</f>
        <v>A. Klarifikasi &amp; beri semangat pada anak</v>
      </c>
      <c r="Q130" s="7" t="str">
        <f>IFERROR(__xludf.DUMMYFUNCTION("""COMPUTED_VALUE"""),"A. Menerima sebagai konsekuensi (selama bimbingan sudah maksimal)")</f>
        <v>A. Menerima sebagai konsekuensi (selama bimbingan sudah maksimal)</v>
      </c>
      <c r="R130" s="7" t="str">
        <f>IFERROR(__xludf.DUMMYFUNCTION("""COMPUTED_VALUE"""),"Positif : Rajin, Supel
Negatif : -")</f>
        <v>Positif : Rajin, Supel
Negatif : -</v>
      </c>
      <c r="S130" s="7" t="str">
        <f>IFERROR(__xludf.DUMMYFUNCTION("""COMPUTED_VALUE"""),"Sudah")</f>
        <v>Sudah</v>
      </c>
      <c r="T130" s="50" t="str">
        <f>IFERROR(__xludf.DUMMYFUNCTION("""COMPUTED_VALUE"""),"Diterima dengan catatan")</f>
        <v>Diterima dengan catatan</v>
      </c>
      <c r="U130" s="50" t="str">
        <f>IFERROR(__xludf.DUMMYFUNCTION("""COMPUTED_VALUE"""),"Adib")</f>
        <v>Adib</v>
      </c>
      <c r="V130" s="7" t="str">
        <f>IFERROR(__xludf.DUMMYFUNCTION("""COMPUTED_VALUE"""),"Orang tua dan calon santri ingin bisa memulai study langsung di kelas 10, dikarenakan saat ini ananda sebenarnya sudah kelas 10, hanya saja pihak pondoknya yg sekarang telat mendaftarkan ananda di PKBMnya.
Kesimpulannya mereka ragu-ragu jika harus mundur "&amp;"lagi selama 1 tahun")</f>
        <v>Orang tua dan calon santri ingin bisa memulai study langsung di kelas 10, dikarenakan saat ini ananda sebenarnya sudah kelas 10, hanya saja pihak pondoknya yg sekarang telat mendaftarkan ananda di PKBMnya.
Kesimpulannya mereka ragu-ragu jika harus mundur lagi selama 1 tahun</v>
      </c>
    </row>
    <row r="131">
      <c r="A131" s="104">
        <f>IFERROR(__xludf.DUMMYFUNCTION("""COMPUTED_VALUE"""),45969.60896402778)</f>
        <v>45969.60896</v>
      </c>
      <c r="B131" s="7" t="str">
        <f>IFERROR(__xludf.DUMMYFUNCTION("""COMPUTED_VALUE"""),"Bisma Adhi Saputra")</f>
        <v>Bisma Adhi Saputra</v>
      </c>
      <c r="C131" s="7" t="str">
        <f>IFERROR(__xludf.DUMMYFUNCTION("""COMPUTED_VALUE"""),"Ade Rio Firmansyah")</f>
        <v>Ade Rio Firmansyah</v>
      </c>
      <c r="D131" s="7" t="str">
        <f>IFERROR(__xludf.DUMMYFUNCTION("""COMPUTED_VALUE"""),"I'L Putra")</f>
        <v>I'L Putra</v>
      </c>
      <c r="E131" s="7" t="str">
        <f>IFERROR(__xludf.DUMMYFUNCTION("""COMPUTED_VALUE"""),"B250028")</f>
        <v>B250028</v>
      </c>
      <c r="F131" s="7" t="str">
        <f>IFERROR(__xludf.DUMMYFUNCTION("""COMPUTED_VALUE"""),"FB")</f>
        <v>FB</v>
      </c>
      <c r="G131" s="7" t="str">
        <f>IFERROR(__xludf.DUMMYFUNCTION("""COMPUTED_VALUE"""),"Baru")</f>
        <v>Baru</v>
      </c>
      <c r="H131" s="7" t="str">
        <f>IFERROR(__xludf.DUMMYFUNCTION("""COMPUTED_VALUE"""),"A. Condong ke orientasi akhirat/agama")</f>
        <v>A. Condong ke orientasi akhirat/agama</v>
      </c>
      <c r="I131" s="7" t="str">
        <f>IFERROR(__xludf.DUMMYFUNCTION("""COMPUTED_VALUE"""),"A. Pilihan utama untuk agama, akhlak, dan karakter")</f>
        <v>A. Pilihan utama untuk agama, akhlak, dan karakter</v>
      </c>
      <c r="J131" s="7" t="str">
        <f>IFERROR(__xludf.DUMMYFUNCTION("""COMPUTED_VALUE"""),"A. Orang tua &amp; anak")</f>
        <v>A. Orang tua &amp; anak</v>
      </c>
      <c r="K131" s="7" t="str">
        <f>IFERROR(__xludf.DUMMYFUNCTION("""COMPUTED_VALUE"""),"A. Memberikan pengertian")</f>
        <v>A. Memberikan pengertian</v>
      </c>
      <c r="L131" s="7" t="str">
        <f>IFERROR(__xludf.DUMMYFUNCTION("""COMPUTED_VALUE"""),"A. Intensif (tahfizh, sekolah Islam)")</f>
        <v>A. Intensif (tahfizh, sekolah Islam)</v>
      </c>
      <c r="M131" s="7" t="str">
        <f>IFERROR(__xludf.DUMMYFUNCTION("""COMPUTED_VALUE"""),"A. Yakin")</f>
        <v>A. Yakin</v>
      </c>
      <c r="N131" s="7" t="str">
        <f>IFERROR(__xludf.DUMMYFUNCTION("""COMPUTED_VALUE"""),"A. Sangat penting")</f>
        <v>A. Sangat penting</v>
      </c>
      <c r="O131" s="7" t="str">
        <f>IFERROR(__xludf.DUMMYFUNCTION("""COMPUTED_VALUE"""),"A. Berkala")</f>
        <v>A. Berkala</v>
      </c>
      <c r="P131" s="7" t="str">
        <f>IFERROR(__xludf.DUMMYFUNCTION("""COMPUTED_VALUE"""),"A. Klarifikasi &amp; beri semangat pada anak")</f>
        <v>A. Klarifikasi &amp; beri semangat pada anak</v>
      </c>
      <c r="Q131" s="7" t="str">
        <f>IFERROR(__xludf.DUMMYFUNCTION("""COMPUTED_VALUE"""),"A. Menerima sebagai konsekuensi (selama bimbingan sudah maksimal)")</f>
        <v>A. Menerima sebagai konsekuensi (selama bimbingan sudah maksimal)</v>
      </c>
      <c r="R131" s="7" t="str">
        <f>IFERROR(__xludf.DUMMYFUNCTION("""COMPUTED_VALUE"""),"Positif : Mudah bergaul
Negatif : Kurang semangat dalam belajar")</f>
        <v>Positif : Mudah bergaul
Negatif : Kurang semangat dalam belajar</v>
      </c>
      <c r="S131" s="7" t="str">
        <f>IFERROR(__xludf.DUMMYFUNCTION("""COMPUTED_VALUE"""),"Belum")</f>
        <v>Belum</v>
      </c>
      <c r="T131" s="50" t="str">
        <f>IFERROR(__xludf.DUMMYFUNCTION("""COMPUTED_VALUE"""),"Diterima")</f>
        <v>Diterima</v>
      </c>
      <c r="U131" s="50" t="str">
        <f>IFERROR(__xludf.DUMMYFUNCTION("""COMPUTED_VALUE"""),"Adib")</f>
        <v>Adib</v>
      </c>
      <c r="V131" s="7"/>
    </row>
    <row r="132">
      <c r="A132" s="104">
        <f>IFERROR(__xludf.DUMMYFUNCTION("""COMPUTED_VALUE"""),45971.574397233795)</f>
        <v>45971.5744</v>
      </c>
      <c r="B132" s="7" t="str">
        <f>IFERROR(__xludf.DUMMYFUNCTION("""COMPUTED_VALUE"""),"Abdurrahman Dihya Arrobi")</f>
        <v>Abdurrahman Dihya Arrobi</v>
      </c>
      <c r="C132" s="7" t="str">
        <f>IFERROR(__xludf.DUMMYFUNCTION("""COMPUTED_VALUE"""),"Huzni Farhani")</f>
        <v>Huzni Farhani</v>
      </c>
      <c r="D132" s="7" t="str">
        <f>IFERROR(__xludf.DUMMYFUNCTION("""COMPUTED_VALUE"""),"MTs Putra")</f>
        <v>MTs Putra</v>
      </c>
      <c r="E132" s="7" t="str">
        <f>IFERROR(__xludf.DUMMYFUNCTION("""COMPUTED_VALUE"""),"A250056")</f>
        <v>A250056</v>
      </c>
      <c r="F132" s="7" t="str">
        <f>IFERROR(__xludf.DUMMYFUNCTION("""COMPUTED_VALUE"""),"Dari ustadz Nurdin")</f>
        <v>Dari ustadz Nurdin</v>
      </c>
      <c r="G132" s="7" t="str">
        <f>IFERROR(__xludf.DUMMYFUNCTION("""COMPUTED_VALUE"""),"Baru")</f>
        <v>Baru</v>
      </c>
      <c r="H132" s="7" t="str">
        <f>IFERROR(__xludf.DUMMYFUNCTION("""COMPUTED_VALUE"""),"A. Condong ke orientasi akhirat/agama")</f>
        <v>A. Condong ke orientasi akhirat/agama</v>
      </c>
      <c r="I132" s="7" t="str">
        <f>IFERROR(__xludf.DUMMYFUNCTION("""COMPUTED_VALUE"""),"A. Pilihan utama untuk agama, akhlak, dan karakter")</f>
        <v>A. Pilihan utama untuk agama, akhlak, dan karakter</v>
      </c>
      <c r="J132" s="7" t="str">
        <f>IFERROR(__xludf.DUMMYFUNCTION("""COMPUTED_VALUE"""),"B. Anak")</f>
        <v>B. Anak</v>
      </c>
      <c r="K132" s="7" t="str">
        <f>IFERROR(__xludf.DUMMYFUNCTION("""COMPUTED_VALUE"""),"A. Memberikan pengertian")</f>
        <v>A. Memberikan pengertian</v>
      </c>
      <c r="L132" s="7" t="str">
        <f>IFERROR(__xludf.DUMMYFUNCTION("""COMPUTED_VALUE"""),"A. Intensif (tahfizh, sekolah Islam)")</f>
        <v>A. Intensif (tahfizh, sekolah Islam)</v>
      </c>
      <c r="M132" s="7" t="str">
        <f>IFERROR(__xludf.DUMMYFUNCTION("""COMPUTED_VALUE"""),"A. Yakin")</f>
        <v>A. Yakin</v>
      </c>
      <c r="N132" s="7" t="str">
        <f>IFERROR(__xludf.DUMMYFUNCTION("""COMPUTED_VALUE"""),"A. Sangat penting")</f>
        <v>A. Sangat penting</v>
      </c>
      <c r="O132" s="7" t="str">
        <f>IFERROR(__xludf.DUMMYFUNCTION("""COMPUTED_VALUE"""),"C. Sesempatnya saja")</f>
        <v>C. Sesempatnya saja</v>
      </c>
      <c r="P132" s="7" t="str">
        <f>IFERROR(__xludf.DUMMYFUNCTION("""COMPUTED_VALUE"""),"A. Klarifikasi &amp; beri semangat pada anak")</f>
        <v>A. Klarifikasi &amp; beri semangat pada anak</v>
      </c>
      <c r="Q132" s="7" t="str">
        <f>IFERROR(__xludf.DUMMYFUNCTION("""COMPUTED_VALUE"""),"A. Menerima sebagai konsekuensi (selama bimbingan sudah maksimal)")</f>
        <v>A. Menerima sebagai konsekuensi (selama bimbingan sudah maksimal)</v>
      </c>
      <c r="R132" s="7" t="str">
        <f>IFERROR(__xludf.DUMMYFUNCTION("""COMPUTED_VALUE"""),"Ulet, humoris, humble, susah fokus, agak susah mengingat, tapi klo sudah ingat nempel lama")</f>
        <v>Ulet, humoris, humble, susah fokus, agak susah mengingat, tapi klo sudah ingat nempel lama</v>
      </c>
      <c r="S132" s="7" t="str">
        <f>IFERROR(__xludf.DUMMYFUNCTION("""COMPUTED_VALUE"""),"Sudah")</f>
        <v>Sudah</v>
      </c>
      <c r="T132" s="50" t="str">
        <f>IFERROR(__xludf.DUMMYFUNCTION("""COMPUTED_VALUE"""),"Diterima")</f>
        <v>Diterima</v>
      </c>
      <c r="U132" s="50" t="str">
        <f>IFERROR(__xludf.DUMMYFUNCTION("""COMPUTED_VALUE"""),"Bachtiar")</f>
        <v>Bachtiar</v>
      </c>
      <c r="V132" s="7"/>
    </row>
    <row r="133">
      <c r="A133" s="104">
        <f>IFERROR(__xludf.DUMMYFUNCTION("""COMPUTED_VALUE"""),45972.57602605324)</f>
        <v>45972.57603</v>
      </c>
      <c r="B133" s="7" t="str">
        <f>IFERROR(__xludf.DUMMYFUNCTION("""COMPUTED_VALUE"""),"Clarisa aqilla putri")</f>
        <v>Clarisa aqilla putri</v>
      </c>
      <c r="C133" s="7" t="str">
        <f>IFERROR(__xludf.DUMMYFUNCTION("""COMPUTED_VALUE"""),"Saidah")</f>
        <v>Saidah</v>
      </c>
      <c r="D133" s="7" t="str">
        <f>IFERROR(__xludf.DUMMYFUNCTION("""COMPUTED_VALUE"""),"MTs Putri")</f>
        <v>MTs Putri</v>
      </c>
      <c r="E133" s="7" t="str">
        <f>IFERROR(__xludf.DUMMYFUNCTION("""COMPUTED_VALUE"""),"D250030")</f>
        <v>D250030</v>
      </c>
      <c r="F133" s="7" t="str">
        <f>IFERROR(__xludf.DUMMYFUNCTION("""COMPUTED_VALUE"""),"IG")</f>
        <v>IG</v>
      </c>
      <c r="G133" s="7" t="str">
        <f>IFERROR(__xludf.DUMMYFUNCTION("""COMPUTED_VALUE"""),"Yatim/ah")</f>
        <v>Yatim/ah</v>
      </c>
      <c r="H133" s="7" t="str">
        <f>IFERROR(__xludf.DUMMYFUNCTION("""COMPUTED_VALUE"""),"A. Condong ke orientasi akhirat/agama")</f>
        <v>A. Condong ke orientasi akhirat/agama</v>
      </c>
      <c r="I133" s="7" t="str">
        <f>IFERROR(__xludf.DUMMYFUNCTION("""COMPUTED_VALUE"""),"A. Pilihan utama untuk agama, akhlak, dan karakter")</f>
        <v>A. Pilihan utama untuk agama, akhlak, dan karakter</v>
      </c>
      <c r="J133" s="7" t="str">
        <f>IFERROR(__xludf.DUMMYFUNCTION("""COMPUTED_VALUE"""),"A. Orang tua &amp; anak")</f>
        <v>A. Orang tua &amp; anak</v>
      </c>
      <c r="K133" s="7" t="str">
        <f>IFERROR(__xludf.DUMMYFUNCTION("""COMPUTED_VALUE"""),"A. Memberikan pengertian")</f>
        <v>A. Memberikan pengertian</v>
      </c>
      <c r="L133" s="7" t="str">
        <f>IFERROR(__xludf.DUMMYFUNCTION("""COMPUTED_VALUE"""),"A. Intensif (tahfizh, sekolah Islam)")</f>
        <v>A. Intensif (tahfizh, sekolah Islam)</v>
      </c>
      <c r="M133" s="7" t="str">
        <f>IFERROR(__xludf.DUMMYFUNCTION("""COMPUTED_VALUE"""),"A. Yakin")</f>
        <v>A. Yakin</v>
      </c>
      <c r="N133" s="7" t="str">
        <f>IFERROR(__xludf.DUMMYFUNCTION("""COMPUTED_VALUE"""),"A. Sangat penting")</f>
        <v>A. Sangat penting</v>
      </c>
      <c r="O133" s="7" t="str">
        <f>IFERROR(__xludf.DUMMYFUNCTION("""COMPUTED_VALUE"""),"A. Berkala")</f>
        <v>A. Berkala</v>
      </c>
      <c r="P133" s="7" t="str">
        <f>IFERROR(__xludf.DUMMYFUNCTION("""COMPUTED_VALUE"""),"A. Klarifikasi &amp; beri semangat pada anak")</f>
        <v>A. Klarifikasi &amp; beri semangat pada anak</v>
      </c>
      <c r="Q133" s="7" t="str">
        <f>IFERROR(__xludf.DUMMYFUNCTION("""COMPUTED_VALUE"""),"A. Menerima sebagai konsekuensi (selama bimbingan sudah maksimal)")</f>
        <v>A. Menerima sebagai konsekuensi (selama bimbingan sudah maksimal)</v>
      </c>
      <c r="R133" s="7" t="str">
        <f>IFERROR(__xludf.DUMMYFUNCTION("""COMPUTED_VALUE"""),"Positif : Nurut
Negatif : Masih suka bolong sholat")</f>
        <v>Positif : Nurut
Negatif : Masih suka bolong sholat</v>
      </c>
      <c r="S133" s="7" t="str">
        <f>IFERROR(__xludf.DUMMYFUNCTION("""COMPUTED_VALUE"""),"Sudah")</f>
        <v>Sudah</v>
      </c>
      <c r="T133" s="50" t="str">
        <f>IFERROR(__xludf.DUMMYFUNCTION("""COMPUTED_VALUE"""),"Diterima")</f>
        <v>Diterima</v>
      </c>
      <c r="U133" s="50" t="str">
        <f>IFERROR(__xludf.DUMMYFUNCTION("""COMPUTED_VALUE"""),"Adib")</f>
        <v>Adib</v>
      </c>
      <c r="V133" s="7"/>
    </row>
    <row r="134">
      <c r="A134" s="104">
        <f>IFERROR(__xludf.DUMMYFUNCTION("""COMPUTED_VALUE"""),45972.67166729167)</f>
        <v>45972.67167</v>
      </c>
      <c r="B134" s="7" t="str">
        <f>IFERROR(__xludf.DUMMYFUNCTION("""COMPUTED_VALUE"""),"Fatan Ihya As-sunnah")</f>
        <v>Fatan Ihya As-sunnah</v>
      </c>
      <c r="C134" s="7" t="str">
        <f>IFERROR(__xludf.DUMMYFUNCTION("""COMPUTED_VALUE"""),"Ust Abdul harist ")</f>
        <v>Ust Abdul harist </v>
      </c>
      <c r="D134" s="7" t="str">
        <f>IFERROR(__xludf.DUMMYFUNCTION("""COMPUTED_VALUE"""),"MTs Putra")</f>
        <v>MTs Putra</v>
      </c>
      <c r="E134" s="7" t="str">
        <f>IFERROR(__xludf.DUMMYFUNCTION("""COMPUTED_VALUE"""),"A250031")</f>
        <v>A250031</v>
      </c>
      <c r="F134" s="7" t="str">
        <f>IFERROR(__xludf.DUMMYFUNCTION("""COMPUTED_VALUE"""),"Andalan andalus pusat.")</f>
        <v>Andalan andalus pusat.</v>
      </c>
      <c r="G134" s="7" t="str">
        <f>IFERROR(__xludf.DUMMYFUNCTION("""COMPUTED_VALUE"""),"Memiliki teman/rekan/tetangga di PUAS")</f>
        <v>Memiliki teman/rekan/tetangga di PUAS</v>
      </c>
      <c r="H134" s="7" t="str">
        <f>IFERROR(__xludf.DUMMYFUNCTION("""COMPUTED_VALUE"""),"A. Condong ke orientasi akhirat/agama")</f>
        <v>A. Condong ke orientasi akhirat/agama</v>
      </c>
      <c r="I134" s="7" t="str">
        <f>IFERROR(__xludf.DUMMYFUNCTION("""COMPUTED_VALUE"""),"A. Pilihan utama untuk agama, akhlak, dan karakter")</f>
        <v>A. Pilihan utama untuk agama, akhlak, dan karakter</v>
      </c>
      <c r="J134" s="7" t="str">
        <f>IFERROR(__xludf.DUMMYFUNCTION("""COMPUTED_VALUE"""),"A. Orang tua &amp; anak")</f>
        <v>A. Orang tua &amp; anak</v>
      </c>
      <c r="K134" s="7" t="str">
        <f>IFERROR(__xludf.DUMMYFUNCTION("""COMPUTED_VALUE"""),"A. Memberikan pengertian")</f>
        <v>A. Memberikan pengertian</v>
      </c>
      <c r="L134" s="7" t="str">
        <f>IFERROR(__xludf.DUMMYFUNCTION("""COMPUTED_VALUE"""),"A. Intensif (tahfizh, sekolah Islam)")</f>
        <v>A. Intensif (tahfizh, sekolah Islam)</v>
      </c>
      <c r="M134" s="7" t="str">
        <f>IFERROR(__xludf.DUMMYFUNCTION("""COMPUTED_VALUE"""),"A. Yakin")</f>
        <v>A. Yakin</v>
      </c>
      <c r="N134" s="7" t="str">
        <f>IFERROR(__xludf.DUMMYFUNCTION("""COMPUTED_VALUE"""),"A. Sangat penting")</f>
        <v>A. Sangat penting</v>
      </c>
      <c r="O134" s="7" t="str">
        <f>IFERROR(__xludf.DUMMYFUNCTION("""COMPUTED_VALUE"""),"A. Berkala")</f>
        <v>A. Berkala</v>
      </c>
      <c r="P134" s="7" t="str">
        <f>IFERROR(__xludf.DUMMYFUNCTION("""COMPUTED_VALUE"""),"A. Klarifikasi &amp; beri semangat pada anak")</f>
        <v>A. Klarifikasi &amp; beri semangat pada anak</v>
      </c>
      <c r="Q134" s="7" t="str">
        <f>IFERROR(__xludf.DUMMYFUNCTION("""COMPUTED_VALUE"""),"A. Menerima sebagai konsekuensi (selama bimbingan sudah maksimal)")</f>
        <v>A. Menerima sebagai konsekuensi (selama bimbingan sudah maksimal)</v>
      </c>
      <c r="R134" s="7" t="str">
        <f>IFERROR(__xludf.DUMMYFUNCTION("""COMPUTED_VALUE"""),"Rajin bljr, susah dimnta tlg. Jail.suka bergaul, aktf.")</f>
        <v>Rajin bljr, susah dimnta tlg. Jail.suka bergaul, aktf.</v>
      </c>
      <c r="S134" s="7" t="str">
        <f>IFERROR(__xludf.DUMMYFUNCTION("""COMPUTED_VALUE"""),"Sudah")</f>
        <v>Sudah</v>
      </c>
      <c r="T134" s="50" t="str">
        <f>IFERROR(__xludf.DUMMYFUNCTION("""COMPUTED_VALUE"""),"Diterima")</f>
        <v>Diterima</v>
      </c>
      <c r="U134" s="50" t="str">
        <f>IFERROR(__xludf.DUMMYFUNCTION("""COMPUTED_VALUE"""),"Syarif")</f>
        <v>Syarif</v>
      </c>
      <c r="V134" s="7" t="str">
        <f>IFERROR(__xludf.DUMMYFUNCTION("""COMPUTED_VALUE"""),"Ortunya Andalus pusat hehee")</f>
        <v>Ortunya Andalus pusat hehee</v>
      </c>
    </row>
    <row r="135">
      <c r="A135" s="104">
        <f>IFERROR(__xludf.DUMMYFUNCTION("""COMPUTED_VALUE"""),45972.674064293984)</f>
        <v>45972.67406</v>
      </c>
      <c r="B135" s="7" t="str">
        <f>IFERROR(__xludf.DUMMYFUNCTION("""COMPUTED_VALUE"""),"Al Raffi Hafizh Irham Zakaria")</f>
        <v>Al Raffi Hafizh Irham Zakaria</v>
      </c>
      <c r="C135" s="7" t="str">
        <f>IFERROR(__xludf.DUMMYFUNCTION("""COMPUTED_VALUE"""),"Ayu Puspitasari ")</f>
        <v>Ayu Puspitasari </v>
      </c>
      <c r="D135" s="7" t="str">
        <f>IFERROR(__xludf.DUMMYFUNCTION("""COMPUTED_VALUE"""),"I'L Putra")</f>
        <v>I'L Putra</v>
      </c>
      <c r="E135" s="7" t="str">
        <f>IFERROR(__xludf.DUMMYFUNCTION("""COMPUTED_VALUE"""),"C250025")</f>
        <v>C250025</v>
      </c>
      <c r="F135" s="7" t="str">
        <f>IFERROR(__xludf.DUMMYFUNCTION("""COMPUTED_VALUE"""),"FB")</f>
        <v>FB</v>
      </c>
      <c r="G135" s="7" t="str">
        <f>IFERROR(__xludf.DUMMYFUNCTION("""COMPUTED_VALUE"""),"Baru")</f>
        <v>Baru</v>
      </c>
      <c r="H135" s="7" t="str">
        <f>IFERROR(__xludf.DUMMYFUNCTION("""COMPUTED_VALUE"""),"A. Condong ke orientasi akhirat/agama")</f>
        <v>A. Condong ke orientasi akhirat/agama</v>
      </c>
      <c r="I135" s="7" t="str">
        <f>IFERROR(__xludf.DUMMYFUNCTION("""COMPUTED_VALUE"""),"A. Pilihan utama untuk agama, akhlak, dan karakter")</f>
        <v>A. Pilihan utama untuk agama, akhlak, dan karakter</v>
      </c>
      <c r="J135" s="7" t="str">
        <f>IFERROR(__xludf.DUMMYFUNCTION("""COMPUTED_VALUE"""),"B. Anak")</f>
        <v>B. Anak</v>
      </c>
      <c r="K135" s="7" t="str">
        <f>IFERROR(__xludf.DUMMYFUNCTION("""COMPUTED_VALUE"""),"A. Memberikan pengertian")</f>
        <v>A. Memberikan pengertian</v>
      </c>
      <c r="L135" s="7" t="str">
        <f>IFERROR(__xludf.DUMMYFUNCTION("""COMPUTED_VALUE"""),"A. Intensif (tahfizh, sekolah Islam)")</f>
        <v>A. Intensif (tahfizh, sekolah Islam)</v>
      </c>
      <c r="M135" s="7" t="str">
        <f>IFERROR(__xludf.DUMMYFUNCTION("""COMPUTED_VALUE"""),"A. Yakin")</f>
        <v>A. Yakin</v>
      </c>
      <c r="N135" s="7" t="str">
        <f>IFERROR(__xludf.DUMMYFUNCTION("""COMPUTED_VALUE"""),"A. Sangat penting")</f>
        <v>A. Sangat penting</v>
      </c>
      <c r="O135" s="7" t="str">
        <f>IFERROR(__xludf.DUMMYFUNCTION("""COMPUTED_VALUE"""),"B. Tidak menjenguk karena jauh")</f>
        <v>B. Tidak menjenguk karena jauh</v>
      </c>
      <c r="P135" s="7" t="str">
        <f>IFERROR(__xludf.DUMMYFUNCTION("""COMPUTED_VALUE"""),"A. Klarifikasi &amp; beri semangat pada anak")</f>
        <v>A. Klarifikasi &amp; beri semangat pada anak</v>
      </c>
      <c r="Q135" s="7" t="str">
        <f>IFERROR(__xludf.DUMMYFUNCTION("""COMPUTED_VALUE"""),"A. Menerima sebagai konsekuensi (selama bimbingan sudah maksimal)")</f>
        <v>A. Menerima sebagai konsekuensi (selama bimbingan sudah maksimal)</v>
      </c>
      <c r="R135" s="7" t="str">
        <f>IFERROR(__xludf.DUMMYFUNCTION("""COMPUTED_VALUE"""),"Peduli Thd sesama, mudah adaptasi, lemah dibidang akademik, labil, boros jajan")</f>
        <v>Peduli Thd sesama, mudah adaptasi, lemah dibidang akademik, labil, boros jajan</v>
      </c>
      <c r="S135" s="7" t="str">
        <f>IFERROR(__xludf.DUMMYFUNCTION("""COMPUTED_VALUE"""),"Belum")</f>
        <v>Belum</v>
      </c>
      <c r="T135" s="50" t="str">
        <f>IFERROR(__xludf.DUMMYFUNCTION("""COMPUTED_VALUE"""),"Diterima dengan catatan")</f>
        <v>Diterima dengan catatan</v>
      </c>
      <c r="U135" s="50" t="str">
        <f>IFERROR(__xludf.DUMMYFUNCTION("""COMPUTED_VALUE"""),"Bachtiar")</f>
        <v>Bachtiar</v>
      </c>
      <c r="V135" s="7" t="str">
        <f>IFERROR(__xludf.DUMMYFUNCTION("""COMPUTED_VALUE"""),"Bersedia di alihkan ke IL")</f>
        <v>Bersedia di alihkan ke IL</v>
      </c>
    </row>
    <row r="136">
      <c r="A136" s="104">
        <f>IFERROR(__xludf.DUMMYFUNCTION("""COMPUTED_VALUE"""),45972.68871686343)</f>
        <v>45972.68872</v>
      </c>
      <c r="B136" s="7" t="str">
        <f>IFERROR(__xludf.DUMMYFUNCTION("""COMPUTED_VALUE"""),"M. Daffa Barokah")</f>
        <v>M. Daffa Barokah</v>
      </c>
      <c r="C136" s="7" t="str">
        <f>IFERROR(__xludf.DUMMYFUNCTION("""COMPUTED_VALUE"""),"Akbar lingser")</f>
        <v>Akbar lingser</v>
      </c>
      <c r="D136" s="7" t="str">
        <f>IFERROR(__xludf.DUMMYFUNCTION("""COMPUTED_VALUE"""),"I'L Putra")</f>
        <v>I'L Putra</v>
      </c>
      <c r="E136" s="7" t="str">
        <f>IFERROR(__xludf.DUMMYFUNCTION("""COMPUTED_VALUE"""),"C250006")</f>
        <v>C250006</v>
      </c>
      <c r="F136" s="7" t="str">
        <f>IFERROR(__xludf.DUMMYFUNCTION("""COMPUTED_VALUE"""),"Dr ust dipondok imam Syafi'i sumatra")</f>
        <v>Dr ust dipondok imam Syafi'i sumatra</v>
      </c>
      <c r="G136" s="7" t="str">
        <f>IFERROR(__xludf.DUMMYFUNCTION("""COMPUTED_VALUE"""),"Baru")</f>
        <v>Baru</v>
      </c>
      <c r="H136" s="7" t="str">
        <f>IFERROR(__xludf.DUMMYFUNCTION("""COMPUTED_VALUE"""),"A. Condong ke orientasi akhirat/agama")</f>
        <v>A. Condong ke orientasi akhirat/agama</v>
      </c>
      <c r="I136" s="7" t="str">
        <f>IFERROR(__xludf.DUMMYFUNCTION("""COMPUTED_VALUE"""),"A. Pilihan utama untuk agama, akhlak, dan karakter")</f>
        <v>A. Pilihan utama untuk agama, akhlak, dan karakter</v>
      </c>
      <c r="J136" s="7" t="str">
        <f>IFERROR(__xludf.DUMMYFUNCTION("""COMPUTED_VALUE"""),"B. Anak")</f>
        <v>B. Anak</v>
      </c>
      <c r="K136" s="7" t="str">
        <f>IFERROR(__xludf.DUMMYFUNCTION("""COMPUTED_VALUE"""),"A. Memberikan pengertian")</f>
        <v>A. Memberikan pengertian</v>
      </c>
      <c r="L136" s="7" t="str">
        <f>IFERROR(__xludf.DUMMYFUNCTION("""COMPUTED_VALUE"""),"A. Intensif (tahfizh, sekolah Islam)")</f>
        <v>A. Intensif (tahfizh, sekolah Islam)</v>
      </c>
      <c r="M136" s="7" t="str">
        <f>IFERROR(__xludf.DUMMYFUNCTION("""COMPUTED_VALUE"""),"A. Yakin")</f>
        <v>A. Yakin</v>
      </c>
      <c r="N136" s="7" t="str">
        <f>IFERROR(__xludf.DUMMYFUNCTION("""COMPUTED_VALUE"""),"A. Sangat penting")</f>
        <v>A. Sangat penting</v>
      </c>
      <c r="O136" s="7" t="str">
        <f>IFERROR(__xludf.DUMMYFUNCTION("""COMPUTED_VALUE"""),"C. Sesempatnya saja")</f>
        <v>C. Sesempatnya saja</v>
      </c>
      <c r="P136" s="7" t="str">
        <f>IFERROR(__xludf.DUMMYFUNCTION("""COMPUTED_VALUE"""),"B. Serahkan ke pesantren")</f>
        <v>B. Serahkan ke pesantren</v>
      </c>
      <c r="Q136" s="7" t="str">
        <f>IFERROR(__xludf.DUMMYFUNCTION("""COMPUTED_VALUE"""),"A. Menerima sebagai konsekuensi (selama bimbingan sudah maksimal)")</f>
        <v>A. Menerima sebagai konsekuensi (selama bimbingan sudah maksimal)</v>
      </c>
      <c r="R136" s="7" t="str">
        <f>IFERROR(__xludf.DUMMYFUNCTION("""COMPUTED_VALUE"""),"Aktif, mandiri, pendiam, ")</f>
        <v>Aktif, mandiri, pendiam, </v>
      </c>
      <c r="S136" s="7" t="str">
        <f>IFERROR(__xludf.DUMMYFUNCTION("""COMPUTED_VALUE"""),"Sudah")</f>
        <v>Sudah</v>
      </c>
      <c r="T136" s="50" t="str">
        <f>IFERROR(__xludf.DUMMYFUNCTION("""COMPUTED_VALUE"""),"Diterima")</f>
        <v>Diterima</v>
      </c>
      <c r="U136" s="50" t="str">
        <f>IFERROR(__xludf.DUMMYFUNCTION("""COMPUTED_VALUE"""),"Syarif")</f>
        <v>Syarif</v>
      </c>
      <c r="V136" s="7"/>
    </row>
    <row r="137">
      <c r="A137" s="104">
        <f>IFERROR(__xludf.DUMMYFUNCTION("""COMPUTED_VALUE"""),45972.72273825231)</f>
        <v>45972.72274</v>
      </c>
      <c r="B137" s="7" t="str">
        <f>IFERROR(__xludf.DUMMYFUNCTION("""COMPUTED_VALUE"""),"RAYYAN MUZAFFAR FIRDAUS")</f>
        <v>RAYYAN MUZAFFAR FIRDAUS</v>
      </c>
      <c r="C137" s="7" t="str">
        <f>IFERROR(__xludf.DUMMYFUNCTION("""COMPUTED_VALUE"""),"Eri Yusuf Kurniawan. Eni nuraini")</f>
        <v>Eri Yusuf Kurniawan. Eni nuraini</v>
      </c>
      <c r="D137" s="7" t="str">
        <f>IFERROR(__xludf.DUMMYFUNCTION("""COMPUTED_VALUE"""),"MTs Putra")</f>
        <v>MTs Putra</v>
      </c>
      <c r="E137" s="7" t="str">
        <f>IFERROR(__xludf.DUMMYFUNCTION("""COMPUTED_VALUE"""),"A250039")</f>
        <v>A250039</v>
      </c>
      <c r="F137" s="7" t="str">
        <f>IFERROR(__xludf.DUMMYFUNCTION("""COMPUTED_VALUE"""),"Tmnya anakny putri di ponpes ")</f>
        <v>Tmnya anakny putri di ponpes </v>
      </c>
      <c r="G137" s="7" t="str">
        <f>IFERROR(__xludf.DUMMYFUNCTION("""COMPUTED_VALUE"""),"Memiliki teman/rekan/tetangga di PUAS")</f>
        <v>Memiliki teman/rekan/tetangga di PUAS</v>
      </c>
      <c r="H137" s="7" t="str">
        <f>IFERROR(__xludf.DUMMYFUNCTION("""COMPUTED_VALUE"""),"A. Condong ke orientasi akhirat/agama")</f>
        <v>A. Condong ke orientasi akhirat/agama</v>
      </c>
      <c r="I137" s="7" t="str">
        <f>IFERROR(__xludf.DUMMYFUNCTION("""COMPUTED_VALUE"""),"A. Pilihan utama untuk agama, akhlak, dan karakter")</f>
        <v>A. Pilihan utama untuk agama, akhlak, dan karakter</v>
      </c>
      <c r="J137" s="7" t="str">
        <f>IFERROR(__xludf.DUMMYFUNCTION("""COMPUTED_VALUE"""),"A. Orang tua &amp; anak")</f>
        <v>A. Orang tua &amp; anak</v>
      </c>
      <c r="K137" s="7" t="str">
        <f>IFERROR(__xludf.DUMMYFUNCTION("""COMPUTED_VALUE"""),"A. Memberikan pengertian")</f>
        <v>A. Memberikan pengertian</v>
      </c>
      <c r="L137" s="7" t="str">
        <f>IFERROR(__xludf.DUMMYFUNCTION("""COMPUTED_VALUE"""),"A. Intensif (tahfizh, sekolah Islam)")</f>
        <v>A. Intensif (tahfizh, sekolah Islam)</v>
      </c>
      <c r="M137" s="7" t="str">
        <f>IFERROR(__xludf.DUMMYFUNCTION("""COMPUTED_VALUE"""),"A. Yakin")</f>
        <v>A. Yakin</v>
      </c>
      <c r="N137" s="7" t="str">
        <f>IFERROR(__xludf.DUMMYFUNCTION("""COMPUTED_VALUE"""),"A. Sangat penting")</f>
        <v>A. Sangat penting</v>
      </c>
      <c r="O137" s="7" t="str">
        <f>IFERROR(__xludf.DUMMYFUNCTION("""COMPUTED_VALUE"""),"A. Berkala")</f>
        <v>A. Berkala</v>
      </c>
      <c r="P137" s="7" t="str">
        <f>IFERROR(__xludf.DUMMYFUNCTION("""COMPUTED_VALUE"""),"A. Klarifikasi &amp; beri semangat pada anak")</f>
        <v>A. Klarifikasi &amp; beri semangat pada anak</v>
      </c>
      <c r="Q137" s="7" t="str">
        <f>IFERROR(__xludf.DUMMYFUNCTION("""COMPUTED_VALUE"""),"A. Menerima sebagai konsekuensi (selama bimbingan sudah maksimal)")</f>
        <v>A. Menerima sebagai konsekuensi (selama bimbingan sudah maksimal)</v>
      </c>
      <c r="R137" s="7" t="str">
        <f>IFERROR(__xludf.DUMMYFUNCTION("""COMPUTED_VALUE"""),"Penurut, ego, CPT marah.")</f>
        <v>Penurut, ego, CPT marah.</v>
      </c>
      <c r="S137" s="7" t="str">
        <f>IFERROR(__xludf.DUMMYFUNCTION("""COMPUTED_VALUE"""),"Sudah")</f>
        <v>Sudah</v>
      </c>
      <c r="T137" s="50" t="str">
        <f>IFERROR(__xludf.DUMMYFUNCTION("""COMPUTED_VALUE"""),"Diterima")</f>
        <v>Diterima</v>
      </c>
      <c r="U137" s="50" t="str">
        <f>IFERROR(__xludf.DUMMYFUNCTION("""COMPUTED_VALUE"""),"Syarif")</f>
        <v>Syarif</v>
      </c>
      <c r="V137" s="7"/>
    </row>
    <row r="138">
      <c r="A138" s="104">
        <f>IFERROR(__xludf.DUMMYFUNCTION("""COMPUTED_VALUE"""),45972.78791233797)</f>
        <v>45972.78791</v>
      </c>
      <c r="B138" s="7" t="str">
        <f>IFERROR(__xludf.DUMMYFUNCTION("""COMPUTED_VALUE"""),"Urwatulwutsqo ")</f>
        <v>Urwatulwutsqo </v>
      </c>
      <c r="C138" s="7" t="str">
        <f>IFERROR(__xludf.DUMMYFUNCTION("""COMPUTED_VALUE"""),"Amir Hamzah ")</f>
        <v>Amir Hamzah </v>
      </c>
      <c r="D138" s="7" t="str">
        <f>IFERROR(__xludf.DUMMYFUNCTION("""COMPUTED_VALUE"""),"MTs Putra")</f>
        <v>MTs Putra</v>
      </c>
      <c r="E138" s="7" t="str">
        <f>IFERROR(__xludf.DUMMYFUNCTION("""COMPUTED_VALUE"""),"A250082")</f>
        <v>A250082</v>
      </c>
      <c r="F138" s="7" t="str">
        <f>IFERROR(__xludf.DUMMYFUNCTION("""COMPUTED_VALUE"""),"Kenalan bpknya ust. Muhib")</f>
        <v>Kenalan bpknya ust. Muhib</v>
      </c>
      <c r="G138" s="7" t="str">
        <f>IFERROR(__xludf.DUMMYFUNCTION("""COMPUTED_VALUE"""),"Memiliki teman/rekan/tetangga di PUAS")</f>
        <v>Memiliki teman/rekan/tetangga di PUAS</v>
      </c>
      <c r="H138" s="7" t="str">
        <f>IFERROR(__xludf.DUMMYFUNCTION("""COMPUTED_VALUE"""),"A. Condong ke orientasi akhirat/agama")</f>
        <v>A. Condong ke orientasi akhirat/agama</v>
      </c>
      <c r="I138" s="7" t="str">
        <f>IFERROR(__xludf.DUMMYFUNCTION("""COMPUTED_VALUE"""),"A. Pilihan utama untuk agama, akhlak, dan karakter")</f>
        <v>A. Pilihan utama untuk agama, akhlak, dan karakter</v>
      </c>
      <c r="J138" s="7" t="str">
        <f>IFERROR(__xludf.DUMMYFUNCTION("""COMPUTED_VALUE"""),"B. Anak")</f>
        <v>B. Anak</v>
      </c>
      <c r="K138" s="7" t="str">
        <f>IFERROR(__xludf.DUMMYFUNCTION("""COMPUTED_VALUE"""),"A. Memberikan pengertian")</f>
        <v>A. Memberikan pengertian</v>
      </c>
      <c r="L138" s="7" t="str">
        <f>IFERROR(__xludf.DUMMYFUNCTION("""COMPUTED_VALUE"""),"A. Intensif (tahfizh, sekolah Islam)")</f>
        <v>A. Intensif (tahfizh, sekolah Islam)</v>
      </c>
      <c r="M138" s="7" t="str">
        <f>IFERROR(__xludf.DUMMYFUNCTION("""COMPUTED_VALUE"""),"A. Yakin")</f>
        <v>A. Yakin</v>
      </c>
      <c r="N138" s="7" t="str">
        <f>IFERROR(__xludf.DUMMYFUNCTION("""COMPUTED_VALUE"""),"A. Sangat penting")</f>
        <v>A. Sangat penting</v>
      </c>
      <c r="O138" s="7" t="str">
        <f>IFERROR(__xludf.DUMMYFUNCTION("""COMPUTED_VALUE"""),"A. Berkala")</f>
        <v>A. Berkala</v>
      </c>
      <c r="P138" s="7" t="str">
        <f>IFERROR(__xludf.DUMMYFUNCTION("""COMPUTED_VALUE"""),"A. Klarifikasi &amp; beri semangat pada anak")</f>
        <v>A. Klarifikasi &amp; beri semangat pada anak</v>
      </c>
      <c r="Q138" s="7" t="str">
        <f>IFERROR(__xludf.DUMMYFUNCTION("""COMPUTED_VALUE"""),"A. Menerima sebagai konsekuensi (selama bimbingan sudah maksimal)")</f>
        <v>A. Menerima sebagai konsekuensi (selama bimbingan sudah maksimal)</v>
      </c>
      <c r="R138" s="7" t="str">
        <f>IFERROR(__xludf.DUMMYFUNCTION("""COMPUTED_VALUE"""),"Kurang konsen, cepat tersinggung, manja")</f>
        <v>Kurang konsen, cepat tersinggung, manja</v>
      </c>
      <c r="S138" s="7" t="str">
        <f>IFERROR(__xludf.DUMMYFUNCTION("""COMPUTED_VALUE"""),"Sudah")</f>
        <v>Sudah</v>
      </c>
      <c r="T138" s="50" t="str">
        <f>IFERROR(__xludf.DUMMYFUNCTION("""COMPUTED_VALUE"""),"Diterima")</f>
        <v>Diterima</v>
      </c>
      <c r="U138" s="50" t="str">
        <f>IFERROR(__xludf.DUMMYFUNCTION("""COMPUTED_VALUE"""),"Bachtiar")</f>
        <v>Bachtiar</v>
      </c>
      <c r="V138" s="7"/>
    </row>
    <row r="139">
      <c r="A139" s="104">
        <f>IFERROR(__xludf.DUMMYFUNCTION("""COMPUTED_VALUE"""),45972.84998834491)</f>
        <v>45972.84999</v>
      </c>
      <c r="B139" s="7" t="str">
        <f>IFERROR(__xludf.DUMMYFUNCTION("""COMPUTED_VALUE"""),"FADLAN WALDI ZAMZAMI")</f>
        <v>FADLAN WALDI ZAMZAMI</v>
      </c>
      <c r="C139" s="7" t="str">
        <f>IFERROR(__xludf.DUMMYFUNCTION("""COMPUTED_VALUE"""),"Nirmala sari")</f>
        <v>Nirmala sari</v>
      </c>
      <c r="D139" s="7" t="str">
        <f>IFERROR(__xludf.DUMMYFUNCTION("""COMPUTED_VALUE"""),"SMA")</f>
        <v>SMA</v>
      </c>
      <c r="E139" s="7" t="str">
        <f>IFERROR(__xludf.DUMMYFUNCTION("""COMPUTED_VALUE"""),"C250005")</f>
        <v>C250005</v>
      </c>
      <c r="F139" s="7" t="str">
        <f>IFERROR(__xludf.DUMMYFUNCTION("""COMPUTED_VALUE"""),"Dr temenya info puas")</f>
        <v>Dr temenya info puas</v>
      </c>
      <c r="G139" s="7" t="str">
        <f>IFERROR(__xludf.DUMMYFUNCTION("""COMPUTED_VALUE"""),"Baru")</f>
        <v>Baru</v>
      </c>
      <c r="H139" s="7" t="str">
        <f>IFERROR(__xludf.DUMMYFUNCTION("""COMPUTED_VALUE"""),"A. Condong ke orientasi akhirat/agama")</f>
        <v>A. Condong ke orientasi akhirat/agama</v>
      </c>
      <c r="I139" s="7" t="str">
        <f>IFERROR(__xludf.DUMMYFUNCTION("""COMPUTED_VALUE"""),"A. Pilihan utama untuk agama, akhlak, dan karakter")</f>
        <v>A. Pilihan utama untuk agama, akhlak, dan karakter</v>
      </c>
      <c r="J139" s="7" t="str">
        <f>IFERROR(__xludf.DUMMYFUNCTION("""COMPUTED_VALUE"""),"A. Orang tua &amp; anak")</f>
        <v>A. Orang tua &amp; anak</v>
      </c>
      <c r="K139" s="7" t="str">
        <f>IFERROR(__xludf.DUMMYFUNCTION("""COMPUTED_VALUE"""),"A. Memberikan pengertian")</f>
        <v>A. Memberikan pengertian</v>
      </c>
      <c r="L139" s="7" t="str">
        <f>IFERROR(__xludf.DUMMYFUNCTION("""COMPUTED_VALUE"""),"A. Intensif (tahfizh, sekolah Islam)")</f>
        <v>A. Intensif (tahfizh, sekolah Islam)</v>
      </c>
      <c r="M139" s="7" t="str">
        <f>IFERROR(__xludf.DUMMYFUNCTION("""COMPUTED_VALUE"""),"A. Yakin")</f>
        <v>A. Yakin</v>
      </c>
      <c r="N139" s="7" t="str">
        <f>IFERROR(__xludf.DUMMYFUNCTION("""COMPUTED_VALUE"""),"A. Sangat penting")</f>
        <v>A. Sangat penting</v>
      </c>
      <c r="O139" s="7" t="str">
        <f>IFERROR(__xludf.DUMMYFUNCTION("""COMPUTED_VALUE"""),"A. Berkala")</f>
        <v>A. Berkala</v>
      </c>
      <c r="P139" s="7" t="str">
        <f>IFERROR(__xludf.DUMMYFUNCTION("""COMPUTED_VALUE"""),"A. Klarifikasi &amp; beri semangat pada anak")</f>
        <v>A. Klarifikasi &amp; beri semangat pada anak</v>
      </c>
      <c r="Q139" s="7" t="str">
        <f>IFERROR(__xludf.DUMMYFUNCTION("""COMPUTED_VALUE"""),"A. Menerima sebagai konsekuensi (selama bimbingan sudah maksimal)")</f>
        <v>A. Menerima sebagai konsekuensi (selama bimbingan sudah maksimal)</v>
      </c>
      <c r="R139" s="7" t="str">
        <f>IFERROR(__xludf.DUMMYFUNCTION("""COMPUTED_VALUE"""),"Aktif, mudah berteman. Mandiri. Suka iseng")</f>
        <v>Aktif, mudah berteman. Mandiri. Suka iseng</v>
      </c>
      <c r="S139" s="7" t="str">
        <f>IFERROR(__xludf.DUMMYFUNCTION("""COMPUTED_VALUE"""),"Sudah")</f>
        <v>Sudah</v>
      </c>
      <c r="T139" s="50" t="str">
        <f>IFERROR(__xludf.DUMMYFUNCTION("""COMPUTED_VALUE"""),"Diterima")</f>
        <v>Diterima</v>
      </c>
      <c r="U139" s="50" t="str">
        <f>IFERROR(__xludf.DUMMYFUNCTION("""COMPUTED_VALUE"""),"Syarif")</f>
        <v>Syarif</v>
      </c>
      <c r="V139" s="7" t="str">
        <f>IFERROR(__xludf.DUMMYFUNCTION("""COMPUTED_VALUE"""),"Tidak masuk SMA solusi dah disetujui Masuk di idad lughowy dr ortu dan anak siap.")</f>
        <v>Tidak masuk SMA solusi dah disetujui Masuk di idad lughowy dr ortu dan anak siap.</v>
      </c>
    </row>
    <row r="140">
      <c r="A140" s="104">
        <f>IFERROR(__xludf.DUMMYFUNCTION("""COMPUTED_VALUE"""),45973.463547453706)</f>
        <v>45973.46355</v>
      </c>
      <c r="B140" s="7" t="str">
        <f>IFERROR(__xludf.DUMMYFUNCTION("""COMPUTED_VALUE"""),"Zakaria reynaldo")</f>
        <v>Zakaria reynaldo</v>
      </c>
      <c r="C140" s="7" t="str">
        <f>IFERROR(__xludf.DUMMYFUNCTION("""COMPUTED_VALUE"""),"Abu Zakariya")</f>
        <v>Abu Zakariya</v>
      </c>
      <c r="D140" s="7" t="str">
        <f>IFERROR(__xludf.DUMMYFUNCTION("""COMPUTED_VALUE"""),"I'L Putra")</f>
        <v>I'L Putra</v>
      </c>
      <c r="E140" s="7" t="str">
        <f>IFERROR(__xludf.DUMMYFUNCTION("""COMPUTED_VALUE"""),"C0000")</f>
        <v>C0000</v>
      </c>
      <c r="F140" s="7" t="str">
        <f>IFERROR(__xludf.DUMMYFUNCTION("""COMPUTED_VALUE"""),"FB")</f>
        <v>FB</v>
      </c>
      <c r="G140" s="7" t="str">
        <f>IFERROR(__xludf.DUMMYFUNCTION("""COMPUTED_VALUE"""),"Baru")</f>
        <v>Baru</v>
      </c>
      <c r="H140" s="7" t="str">
        <f>IFERROR(__xludf.DUMMYFUNCTION("""COMPUTED_VALUE"""),"A. Condong ke orientasi akhirat/agama")</f>
        <v>A. Condong ke orientasi akhirat/agama</v>
      </c>
      <c r="I140" s="7" t="str">
        <f>IFERROR(__xludf.DUMMYFUNCTION("""COMPUTED_VALUE"""),"A. Pilihan utama untuk agama, akhlak, dan karakter")</f>
        <v>A. Pilihan utama untuk agama, akhlak, dan karakter</v>
      </c>
      <c r="J140" s="7" t="str">
        <f>IFERROR(__xludf.DUMMYFUNCTION("""COMPUTED_VALUE"""),"A. Orang tua &amp; anak")</f>
        <v>A. Orang tua &amp; anak</v>
      </c>
      <c r="K140" s="7" t="str">
        <f>IFERROR(__xludf.DUMMYFUNCTION("""COMPUTED_VALUE"""),"A. Memberikan pengertian")</f>
        <v>A. Memberikan pengertian</v>
      </c>
      <c r="L140" s="7" t="str">
        <f>IFERROR(__xludf.DUMMYFUNCTION("""COMPUTED_VALUE"""),"A. Intensif (tahfizh, sekolah Islam)")</f>
        <v>A. Intensif (tahfizh, sekolah Islam)</v>
      </c>
      <c r="M140" s="7" t="str">
        <f>IFERROR(__xludf.DUMMYFUNCTION("""COMPUTED_VALUE"""),"A. Yakin")</f>
        <v>A. Yakin</v>
      </c>
      <c r="N140" s="7" t="str">
        <f>IFERROR(__xludf.DUMMYFUNCTION("""COMPUTED_VALUE"""),"A. Sangat penting")</f>
        <v>A. Sangat penting</v>
      </c>
      <c r="O140" s="7" t="str">
        <f>IFERROR(__xludf.DUMMYFUNCTION("""COMPUTED_VALUE"""),"A. Berkala")</f>
        <v>A. Berkala</v>
      </c>
      <c r="P140" s="7" t="str">
        <f>IFERROR(__xludf.DUMMYFUNCTION("""COMPUTED_VALUE"""),"A. Klarifikasi &amp; beri semangat pada anak")</f>
        <v>A. Klarifikasi &amp; beri semangat pada anak</v>
      </c>
      <c r="Q140" s="7" t="str">
        <f>IFERROR(__xludf.DUMMYFUNCTION("""COMPUTED_VALUE"""),"A. Menerima sebagai konsekuensi (selama bimbingan sudah maksimal)")</f>
        <v>A. Menerima sebagai konsekuensi (selama bimbingan sudah maksimal)</v>
      </c>
      <c r="R140" s="7" t="str">
        <f>IFERROR(__xludf.DUMMYFUNCTION("""COMPUTED_VALUE"""),"Terbuka, jujur, komunikatif, mudah bergaul; nekat, punya riwayat merokok dan berkelahi")</f>
        <v>Terbuka, jujur, komunikatif, mudah bergaul; nekat, punya riwayat merokok dan berkelahi</v>
      </c>
      <c r="S140" s="7" t="str">
        <f>IFERROR(__xludf.DUMMYFUNCTION("""COMPUTED_VALUE"""),"Sudah")</f>
        <v>Sudah</v>
      </c>
      <c r="T140" s="50" t="str">
        <f>IFERROR(__xludf.DUMMYFUNCTION("""COMPUTED_VALUE"""),"Diterima")</f>
        <v>Diterima</v>
      </c>
      <c r="U140" s="50" t="str">
        <f>IFERROR(__xludf.DUMMYFUNCTION("""COMPUTED_VALUE"""),"Bachtiar")</f>
        <v>Bachtiar</v>
      </c>
      <c r="V140" s="7"/>
    </row>
    <row r="141">
      <c r="A141" s="106">
        <f>IFERROR(__xludf.DUMMYFUNCTION("""COMPUTED_VALUE"""),45974.566242002315)</f>
        <v>45974.56624</v>
      </c>
      <c r="B141" s="108" t="str">
        <f>IFERROR(__xludf.DUMMYFUNCTION("""COMPUTED_VALUE"""),"Miizan alghifary dizlilar")</f>
        <v>Miizan alghifary dizlilar</v>
      </c>
      <c r="C141" s="108" t="str">
        <f>IFERROR(__xludf.DUMMYFUNCTION("""COMPUTED_VALUE"""),"Asep mulyadi")</f>
        <v>Asep mulyadi</v>
      </c>
      <c r="D141" s="108" t="str">
        <f>IFERROR(__xludf.DUMMYFUNCTION("""COMPUTED_VALUE"""),"I'L Putra")</f>
        <v>I'L Putra</v>
      </c>
      <c r="E141" s="108" t="str">
        <f>IFERROR(__xludf.DUMMYFUNCTION("""COMPUTED_VALUE"""),"B250008")</f>
        <v>B250008</v>
      </c>
      <c r="F141" s="108" t="str">
        <f>IFERROR(__xludf.DUMMYFUNCTION("""COMPUTED_VALUE"""),"FB")</f>
        <v>FB</v>
      </c>
      <c r="G141" s="108" t="str">
        <f>IFERROR(__xludf.DUMMYFUNCTION("""COMPUTED_VALUE"""),"Baru")</f>
        <v>Baru</v>
      </c>
      <c r="H141" s="108" t="str">
        <f>IFERROR(__xludf.DUMMYFUNCTION("""COMPUTED_VALUE"""),"A. Condong ke orientasi akhirat/agama")</f>
        <v>A. Condong ke orientasi akhirat/agama</v>
      </c>
      <c r="I141" s="108" t="str">
        <f>IFERROR(__xludf.DUMMYFUNCTION("""COMPUTED_VALUE"""),"A. Pilihan utama untuk agama, akhlak, dan karakter")</f>
        <v>A. Pilihan utama untuk agama, akhlak, dan karakter</v>
      </c>
      <c r="J141" s="108" t="str">
        <f>IFERROR(__xludf.DUMMYFUNCTION("""COMPUTED_VALUE"""),"C. Orang tua / ikut teman")</f>
        <v>C. Orang tua / ikut teman</v>
      </c>
      <c r="K141" s="108" t="str">
        <f>IFERROR(__xludf.DUMMYFUNCTION("""COMPUTED_VALUE"""),"A. Memberikan pengertian")</f>
        <v>A. Memberikan pengertian</v>
      </c>
      <c r="L141" s="108" t="str">
        <f>IFERROR(__xludf.DUMMYFUNCTION("""COMPUTED_VALUE"""),"A. Intensif (tahfizh, sekolah Islam)")</f>
        <v>A. Intensif (tahfizh, sekolah Islam)</v>
      </c>
      <c r="M141" s="108" t="str">
        <f>IFERROR(__xludf.DUMMYFUNCTION("""COMPUTED_VALUE"""),"A. Yakin")</f>
        <v>A. Yakin</v>
      </c>
      <c r="N141" s="108" t="str">
        <f>IFERROR(__xludf.DUMMYFUNCTION("""COMPUTED_VALUE"""),"A. Sangat penting")</f>
        <v>A. Sangat penting</v>
      </c>
      <c r="O141" s="108" t="str">
        <f>IFERROR(__xludf.DUMMYFUNCTION("""COMPUTED_VALUE"""),"A. Berkala")</f>
        <v>A. Berkala</v>
      </c>
      <c r="P141" s="108" t="str">
        <f>IFERROR(__xludf.DUMMYFUNCTION("""COMPUTED_VALUE"""),"B. Serahkan ke pesantren")</f>
        <v>B. Serahkan ke pesantren</v>
      </c>
      <c r="Q141" s="108" t="str">
        <f>IFERROR(__xludf.DUMMYFUNCTION("""COMPUTED_VALUE"""),"A. Menerima sebagai konsekuensi (selama bimbingan sudah maksimal)")</f>
        <v>A. Menerima sebagai konsekuensi (selama bimbingan sudah maksimal)</v>
      </c>
      <c r="R141" s="108" t="str">
        <f>IFERROR(__xludf.DUMMYFUNCTION("""COMPUTED_VALUE"""),"Slow.rajin.hrs diingatkan. Mandiri")</f>
        <v>Slow.rajin.hrs diingatkan. Mandiri</v>
      </c>
      <c r="S141" s="108" t="str">
        <f>IFERROR(__xludf.DUMMYFUNCTION("""COMPUTED_VALUE"""),"Sudah")</f>
        <v>Sudah</v>
      </c>
      <c r="T141" s="161" t="str">
        <f>IFERROR(__xludf.DUMMYFUNCTION("""COMPUTED_VALUE"""),"Diterima")</f>
        <v>Diterima</v>
      </c>
      <c r="U141" s="161" t="str">
        <f>IFERROR(__xludf.DUMMYFUNCTION("""COMPUTED_VALUE"""),"Syarif")</f>
        <v>Syarif</v>
      </c>
      <c r="V141" s="108"/>
      <c r="W141" s="108"/>
      <c r="X141" s="108"/>
      <c r="Y141" s="108"/>
      <c r="Z141" s="108"/>
    </row>
    <row r="142">
      <c r="A142" s="104">
        <f>IFERROR(__xludf.DUMMYFUNCTION("""COMPUTED_VALUE"""),45977.2939616088)</f>
        <v>45977.29396</v>
      </c>
      <c r="B142" s="7" t="str">
        <f>IFERROR(__xludf.DUMMYFUNCTION("""COMPUTED_VALUE"""),"Aisah")</f>
        <v>Aisah</v>
      </c>
      <c r="C142" s="7" t="str">
        <f>IFERROR(__xludf.DUMMYFUNCTION("""COMPUTED_VALUE"""),"Ayum rumania")</f>
        <v>Ayum rumania</v>
      </c>
      <c r="D142" s="7" t="str">
        <f>IFERROR(__xludf.DUMMYFUNCTION("""COMPUTED_VALUE"""),"MTs Putri")</f>
        <v>MTs Putri</v>
      </c>
      <c r="E142" s="7" t="str">
        <f>IFERROR(__xludf.DUMMYFUNCTION("""COMPUTED_VALUE"""),"D250032")</f>
        <v>D250032</v>
      </c>
      <c r="F142" s="7" t="str">
        <f>IFERROR(__xludf.DUMMYFUNCTION("""COMPUTED_VALUE"""),"Kakaknya IL")</f>
        <v>Kakaknya IL</v>
      </c>
      <c r="G142" s="7" t="str">
        <f>IFERROR(__xludf.DUMMYFUNCTION("""COMPUTED_VALUE"""),"Yatim/ah")</f>
        <v>Yatim/ah</v>
      </c>
      <c r="H142" s="7" t="str">
        <f>IFERROR(__xludf.DUMMYFUNCTION("""COMPUTED_VALUE"""),"A. Condong ke orientasi akhirat/agama")</f>
        <v>A. Condong ke orientasi akhirat/agama</v>
      </c>
      <c r="I142" s="7" t="str">
        <f>IFERROR(__xludf.DUMMYFUNCTION("""COMPUTED_VALUE"""),"A. Pilihan utama untuk agama, akhlak, dan karakter")</f>
        <v>A. Pilihan utama untuk agama, akhlak, dan karakter</v>
      </c>
      <c r="J142" s="7" t="str">
        <f>IFERROR(__xludf.DUMMYFUNCTION("""COMPUTED_VALUE"""),"B. Anak")</f>
        <v>B. Anak</v>
      </c>
      <c r="K142" s="7" t="str">
        <f>IFERROR(__xludf.DUMMYFUNCTION("""COMPUTED_VALUE"""),"A. Memberikan pengertian")</f>
        <v>A. Memberikan pengertian</v>
      </c>
      <c r="L142" s="7" t="str">
        <f>IFERROR(__xludf.DUMMYFUNCTION("""COMPUTED_VALUE"""),"A. Intensif (tahfizh, sekolah Islam)")</f>
        <v>A. Intensif (tahfizh, sekolah Islam)</v>
      </c>
      <c r="M142" s="7" t="str">
        <f>IFERROR(__xludf.DUMMYFUNCTION("""COMPUTED_VALUE"""),"A. Yakin")</f>
        <v>A. Yakin</v>
      </c>
      <c r="N142" s="7" t="str">
        <f>IFERROR(__xludf.DUMMYFUNCTION("""COMPUTED_VALUE"""),"A. Sangat penting")</f>
        <v>A. Sangat penting</v>
      </c>
      <c r="O142" s="7" t="str">
        <f>IFERROR(__xludf.DUMMYFUNCTION("""COMPUTED_VALUE"""),"A. Berkala")</f>
        <v>A. Berkala</v>
      </c>
      <c r="P142" s="7" t="str">
        <f>IFERROR(__xludf.DUMMYFUNCTION("""COMPUTED_VALUE"""),"A. Klarifikasi &amp; beri semangat pada anak")</f>
        <v>A. Klarifikasi &amp; beri semangat pada anak</v>
      </c>
      <c r="Q142" s="7" t="str">
        <f>IFERROR(__xludf.DUMMYFUNCTION("""COMPUTED_VALUE"""),"A. Menerima sebagai konsekuensi (selama bimbingan sudah maksimal)")</f>
        <v>A. Menerima sebagai konsekuensi (selama bimbingan sudah maksimal)</v>
      </c>
      <c r="R142" s="7" t="str">
        <f>IFERROR(__xludf.DUMMYFUNCTION("""COMPUTED_VALUE"""),"Kurg mandiri, rajin, harus disuruh.")</f>
        <v>Kurg mandiri, rajin, harus disuruh.</v>
      </c>
      <c r="S142" s="7" t="str">
        <f>IFERROR(__xludf.DUMMYFUNCTION("""COMPUTED_VALUE"""),"Sudah")</f>
        <v>Sudah</v>
      </c>
      <c r="T142" s="50" t="str">
        <f>IFERROR(__xludf.DUMMYFUNCTION("""COMPUTED_VALUE"""),"Diterima")</f>
        <v>Diterima</v>
      </c>
      <c r="U142" s="50" t="str">
        <f>IFERROR(__xludf.DUMMYFUNCTION("""COMPUTED_VALUE"""),"Syarif")</f>
        <v>Syarif</v>
      </c>
      <c r="V142" s="7" t="str">
        <f>IFERROR(__xludf.DUMMYFUNCTION("""COMPUTED_VALUE"""),"Ingin beasiswa Krn Yatimah kakaknya hudaifah di IL.")</f>
        <v>Ingin beasiswa Krn Yatimah kakaknya hudaifah di IL.</v>
      </c>
    </row>
    <row r="143">
      <c r="A143" s="104">
        <f>IFERROR(__xludf.DUMMYFUNCTION("""COMPUTED_VALUE"""),45994.55465446759)</f>
        <v>45994.55465</v>
      </c>
      <c r="B143" s="7" t="str">
        <f>IFERROR(__xludf.DUMMYFUNCTION("""COMPUTED_VALUE"""),"Naisya Ashadiya Rusli")</f>
        <v>Naisya Ashadiya Rusli</v>
      </c>
      <c r="C143" s="7" t="str">
        <f>IFERROR(__xludf.DUMMYFUNCTION("""COMPUTED_VALUE"""),"Yulinda Laila sari")</f>
        <v>Yulinda Laila sari</v>
      </c>
      <c r="D143" s="7" t="str">
        <f>IFERROR(__xludf.DUMMYFUNCTION("""COMPUTED_VALUE"""),"MTs Putri")</f>
        <v>MTs Putri</v>
      </c>
      <c r="E143" s="7" t="str">
        <f>IFERROR(__xludf.DUMMYFUNCTION("""COMPUTED_VALUE"""),"D250035")</f>
        <v>D250035</v>
      </c>
      <c r="F143" s="7" t="str">
        <f>IFERROR(__xludf.DUMMYFUNCTION("""COMPUTED_VALUE"""),"IG")</f>
        <v>IG</v>
      </c>
      <c r="G143" s="7" t="str">
        <f>IFERROR(__xludf.DUMMYFUNCTION("""COMPUTED_VALUE"""),"Yatim/ah")</f>
        <v>Yatim/ah</v>
      </c>
      <c r="H143" s="7" t="str">
        <f>IFERROR(__xludf.DUMMYFUNCTION("""COMPUTED_VALUE"""),"A. Condong ke orientasi akhirat/agama")</f>
        <v>A. Condong ke orientasi akhirat/agama</v>
      </c>
      <c r="I143" s="7" t="str">
        <f>IFERROR(__xludf.DUMMYFUNCTION("""COMPUTED_VALUE"""),"A. Pilihan utama untuk agama, akhlak, dan karakter")</f>
        <v>A. Pilihan utama untuk agama, akhlak, dan karakter</v>
      </c>
      <c r="J143" s="7" t="str">
        <f>IFERROR(__xludf.DUMMYFUNCTION("""COMPUTED_VALUE"""),"B. Anak")</f>
        <v>B. Anak</v>
      </c>
      <c r="K143" s="7" t="str">
        <f>IFERROR(__xludf.DUMMYFUNCTION("""COMPUTED_VALUE"""),"A. Memberikan pengertian")</f>
        <v>A. Memberikan pengertian</v>
      </c>
      <c r="L143" s="7" t="str">
        <f>IFERROR(__xludf.DUMMYFUNCTION("""COMPUTED_VALUE"""),"B. Non intensif (swasta biasa)")</f>
        <v>B. Non intensif (swasta biasa)</v>
      </c>
      <c r="M143" s="7" t="str">
        <f>IFERROR(__xludf.DUMMYFUNCTION("""COMPUTED_VALUE"""),"A. Yakin")</f>
        <v>A. Yakin</v>
      </c>
      <c r="N143" s="7" t="str">
        <f>IFERROR(__xludf.DUMMYFUNCTION("""COMPUTED_VALUE"""),"A. Sangat penting")</f>
        <v>A. Sangat penting</v>
      </c>
      <c r="O143" s="7" t="str">
        <f>IFERROR(__xludf.DUMMYFUNCTION("""COMPUTED_VALUE"""),"A. Berkala")</f>
        <v>A. Berkala</v>
      </c>
      <c r="P143" s="7" t="str">
        <f>IFERROR(__xludf.DUMMYFUNCTION("""COMPUTED_VALUE"""),"A. Klarifikasi &amp; beri semangat pada anak")</f>
        <v>A. Klarifikasi &amp; beri semangat pada anak</v>
      </c>
      <c r="Q143" s="7" t="str">
        <f>IFERROR(__xludf.DUMMYFUNCTION("""COMPUTED_VALUE"""),"A. Menerima sebagai konsekuensi (selama bimbingan sudah maksimal)")</f>
        <v>A. Menerima sebagai konsekuensi (selama bimbingan sudah maksimal)</v>
      </c>
      <c r="R143" s="7" t="str">
        <f>IFERROR(__xludf.DUMMYFUNCTION("""COMPUTED_VALUE"""),"Males, respect, mandiri, aktif, ")</f>
        <v>Males, respect, mandiri, aktif, </v>
      </c>
      <c r="S143" s="7" t="str">
        <f>IFERROR(__xludf.DUMMYFUNCTION("""COMPUTED_VALUE"""),"Sudah")</f>
        <v>Sudah</v>
      </c>
      <c r="T143" s="50" t="str">
        <f>IFERROR(__xludf.DUMMYFUNCTION("""COMPUTED_VALUE"""),"Diterima")</f>
        <v>Diterima</v>
      </c>
      <c r="U143" s="50" t="str">
        <f>IFERROR(__xludf.DUMMYFUNCTION("""COMPUTED_VALUE"""),"Syarif")</f>
        <v>Syarif</v>
      </c>
      <c r="V143" s="7"/>
    </row>
    <row r="144">
      <c r="A144" s="104">
        <f>IFERROR(__xludf.DUMMYFUNCTION("""COMPUTED_VALUE"""),45994.60392418981)</f>
        <v>45994.60392</v>
      </c>
      <c r="B144" s="7" t="str">
        <f>IFERROR(__xludf.DUMMYFUNCTION("""COMPUTED_VALUE"""),"Kimora Ananda Putri")</f>
        <v>Kimora Ananda Putri</v>
      </c>
      <c r="C144" s="7" t="str">
        <f>IFERROR(__xludf.DUMMYFUNCTION("""COMPUTED_VALUE"""),"Bpk. Andri")</f>
        <v>Bpk. Andri</v>
      </c>
      <c r="D144" s="7" t="str">
        <f>IFERROR(__xludf.DUMMYFUNCTION("""COMPUTED_VALUE"""),"MTs Putri")</f>
        <v>MTs Putri</v>
      </c>
      <c r="E144" s="7" t="str">
        <f>IFERROR(__xludf.DUMMYFUNCTION("""COMPUTED_VALUE"""),"D250033")</f>
        <v>D250033</v>
      </c>
      <c r="F144" s="7" t="str">
        <f>IFERROR(__xludf.DUMMYFUNCTION("""COMPUTED_VALUE"""),"Dari ipar")</f>
        <v>Dari ipar</v>
      </c>
      <c r="G144" s="7" t="str">
        <f>IFERROR(__xludf.DUMMYFUNCTION("""COMPUTED_VALUE"""),"Memiliki teman/rekan/tetangga di PUAS")</f>
        <v>Memiliki teman/rekan/tetangga di PUAS</v>
      </c>
      <c r="H144" s="7" t="str">
        <f>IFERROR(__xludf.DUMMYFUNCTION("""COMPUTED_VALUE"""),"A. Condong ke orientasi akhirat/agama")</f>
        <v>A. Condong ke orientasi akhirat/agama</v>
      </c>
      <c r="I144" s="7" t="str">
        <f>IFERROR(__xludf.DUMMYFUNCTION("""COMPUTED_VALUE"""),"A. Pilihan utama untuk agama, akhlak, dan karakter")</f>
        <v>A. Pilihan utama untuk agama, akhlak, dan karakter</v>
      </c>
      <c r="J144" s="7" t="str">
        <f>IFERROR(__xludf.DUMMYFUNCTION("""COMPUTED_VALUE"""),"B. Anak")</f>
        <v>B. Anak</v>
      </c>
      <c r="K144" s="7" t="str">
        <f>IFERROR(__xludf.DUMMYFUNCTION("""COMPUTED_VALUE"""),"A. Memberikan pengertian")</f>
        <v>A. Memberikan pengertian</v>
      </c>
      <c r="L144" s="7" t="str">
        <f>IFERROR(__xludf.DUMMYFUNCTION("""COMPUTED_VALUE"""),"A. Intensif (tahfizh, sekolah Islam)")</f>
        <v>A. Intensif (tahfizh, sekolah Islam)</v>
      </c>
      <c r="M144" s="7" t="str">
        <f>IFERROR(__xludf.DUMMYFUNCTION("""COMPUTED_VALUE"""),"A. Yakin")</f>
        <v>A. Yakin</v>
      </c>
      <c r="N144" s="7" t="str">
        <f>IFERROR(__xludf.DUMMYFUNCTION("""COMPUTED_VALUE"""),"A. Sangat penting")</f>
        <v>A. Sangat penting</v>
      </c>
      <c r="O144" s="7" t="str">
        <f>IFERROR(__xludf.DUMMYFUNCTION("""COMPUTED_VALUE"""),"C. Sesempatnya saja")</f>
        <v>C. Sesempatnya saja</v>
      </c>
      <c r="P144" s="7" t="str">
        <f>IFERROR(__xludf.DUMMYFUNCTION("""COMPUTED_VALUE"""),"A. Klarifikasi &amp; beri semangat pada anak")</f>
        <v>A. Klarifikasi &amp; beri semangat pada anak</v>
      </c>
      <c r="Q144" s="7" t="str">
        <f>IFERROR(__xludf.DUMMYFUNCTION("""COMPUTED_VALUE"""),"A. Menerima sebagai konsekuensi (selama bimbingan sudah maksimal)")</f>
        <v>A. Menerima sebagai konsekuensi (selama bimbingan sudah maksimal)</v>
      </c>
      <c r="R144" s="7" t="str">
        <f>IFERROR(__xludf.DUMMYFUNCTION("""COMPUTED_VALUE"""),"Kekurangan : agak lambat respon,
Kelebihan : bisa bergaul dgn cepat")</f>
        <v>Kekurangan : agak lambat respon,
Kelebihan : bisa bergaul dgn cepat</v>
      </c>
      <c r="S144" s="7" t="str">
        <f>IFERROR(__xludf.DUMMYFUNCTION("""COMPUTED_VALUE"""),"Sudah")</f>
        <v>Sudah</v>
      </c>
      <c r="T144" s="50" t="str">
        <f>IFERROR(__xludf.DUMMYFUNCTION("""COMPUTED_VALUE"""),"Diterima dengan catatan")</f>
        <v>Diterima dengan catatan</v>
      </c>
      <c r="U144" s="50" t="str">
        <f>IFERROR(__xludf.DUMMYFUNCTION("""COMPUTED_VALUE"""),"Bachtiar")</f>
        <v>Bachtiar</v>
      </c>
      <c r="V144" s="7"/>
    </row>
    <row r="145">
      <c r="A145" s="104">
        <f>IFERROR(__xludf.DUMMYFUNCTION("""COMPUTED_VALUE"""),45994.68120348379)</f>
        <v>45994.6812</v>
      </c>
      <c r="B145" s="7" t="str">
        <f>IFERROR(__xludf.DUMMYFUNCTION("""COMPUTED_VALUE"""),"Aisha Salma Mutmainnah")</f>
        <v>Aisha Salma Mutmainnah</v>
      </c>
      <c r="C145" s="7" t="str">
        <f>IFERROR(__xludf.DUMMYFUNCTION("""COMPUTED_VALUE"""),"Ernawati ")</f>
        <v>Ernawati </v>
      </c>
      <c r="D145" s="7" t="str">
        <f>IFERROR(__xludf.DUMMYFUNCTION("""COMPUTED_VALUE"""),"MTs Putri")</f>
        <v>MTs Putri</v>
      </c>
      <c r="E145" s="7" t="str">
        <f>IFERROR(__xludf.DUMMYFUNCTION("""COMPUTED_VALUE"""),"D250034")</f>
        <v>D250034</v>
      </c>
      <c r="F145" s="7" t="str">
        <f>IFERROR(__xludf.DUMMYFUNCTION("""COMPUTED_VALUE"""),"Brosur yg disebar ")</f>
        <v>Brosur yg disebar </v>
      </c>
      <c r="G145" s="7" t="str">
        <f>IFERROR(__xludf.DUMMYFUNCTION("""COMPUTED_VALUE"""),"Baru")</f>
        <v>Baru</v>
      </c>
      <c r="H145" s="7" t="str">
        <f>IFERROR(__xludf.DUMMYFUNCTION("""COMPUTED_VALUE"""),"A. Condong ke orientasi akhirat/agama")</f>
        <v>A. Condong ke orientasi akhirat/agama</v>
      </c>
      <c r="I145" s="7" t="str">
        <f>IFERROR(__xludf.DUMMYFUNCTION("""COMPUTED_VALUE"""),"A. Pilihan utama untuk agama, akhlak, dan karakter")</f>
        <v>A. Pilihan utama untuk agama, akhlak, dan karakter</v>
      </c>
      <c r="J145" s="7" t="str">
        <f>IFERROR(__xludf.DUMMYFUNCTION("""COMPUTED_VALUE"""),"B. Anak")</f>
        <v>B. Anak</v>
      </c>
      <c r="K145" s="7" t="str">
        <f>IFERROR(__xludf.DUMMYFUNCTION("""COMPUTED_VALUE"""),"A. Memberikan pengertian")</f>
        <v>A. Memberikan pengertian</v>
      </c>
      <c r="L145" s="7" t="str">
        <f>IFERROR(__xludf.DUMMYFUNCTION("""COMPUTED_VALUE"""),"A. Intensif (tahfizh, sekolah Islam)")</f>
        <v>A. Intensif (tahfizh, sekolah Islam)</v>
      </c>
      <c r="M145" s="7" t="str">
        <f>IFERROR(__xludf.DUMMYFUNCTION("""COMPUTED_VALUE"""),"A. Yakin")</f>
        <v>A. Yakin</v>
      </c>
      <c r="N145" s="7" t="str">
        <f>IFERROR(__xludf.DUMMYFUNCTION("""COMPUTED_VALUE"""),"A. Sangat penting")</f>
        <v>A. Sangat penting</v>
      </c>
      <c r="O145" s="7" t="str">
        <f>IFERROR(__xludf.DUMMYFUNCTION("""COMPUTED_VALUE"""),"C. Sesempatnya saja")</f>
        <v>C. Sesempatnya saja</v>
      </c>
      <c r="P145" s="7" t="str">
        <f>IFERROR(__xludf.DUMMYFUNCTION("""COMPUTED_VALUE"""),"A. Klarifikasi &amp; beri semangat pada anak")</f>
        <v>A. Klarifikasi &amp; beri semangat pada anak</v>
      </c>
      <c r="Q145" s="7" t="str">
        <f>IFERROR(__xludf.DUMMYFUNCTION("""COMPUTED_VALUE"""),"A. Menerima sebagai konsekuensi (selama bimbingan sudah maksimal)")</f>
        <v>A. Menerima sebagai konsekuensi (selama bimbingan sudah maksimal)</v>
      </c>
      <c r="R145" s="7" t="str">
        <f>IFERROR(__xludf.DUMMYFUNCTION("""COMPUTED_VALUE"""),"inisiatif, agak teledor, ")</f>
        <v>inisiatif, agak teledor, </v>
      </c>
      <c r="S145" s="7" t="str">
        <f>IFERROR(__xludf.DUMMYFUNCTION("""COMPUTED_VALUE"""),"Sudah")</f>
        <v>Sudah</v>
      </c>
      <c r="T145" s="50" t="str">
        <f>IFERROR(__xludf.DUMMYFUNCTION("""COMPUTED_VALUE"""),"Diterima")</f>
        <v>Diterima</v>
      </c>
      <c r="U145" s="50" t="str">
        <f>IFERROR(__xludf.DUMMYFUNCTION("""COMPUTED_VALUE"""),"Bachtiar")</f>
        <v>Bachtiar</v>
      </c>
      <c r="V145" s="7"/>
    </row>
    <row r="146">
      <c r="A146" s="104">
        <f>IFERROR(__xludf.DUMMYFUNCTION("""COMPUTED_VALUE"""),45994.856397800926)</f>
        <v>45994.8564</v>
      </c>
      <c r="B146" s="7" t="str">
        <f>IFERROR(__xludf.DUMMYFUNCTION("""COMPUTED_VALUE"""),"Nada Faizah muttaqiyah")</f>
        <v>Nada Faizah muttaqiyah</v>
      </c>
      <c r="C146" s="7" t="str">
        <f>IFERROR(__xludf.DUMMYFUNCTION("""COMPUTED_VALUE"""),"Yayan suryana")</f>
        <v>Yayan suryana</v>
      </c>
      <c r="D146" s="7" t="str">
        <f>IFERROR(__xludf.DUMMYFUNCTION("""COMPUTED_VALUE"""),"IL Putri")</f>
        <v>IL Putri</v>
      </c>
      <c r="E146" s="7" t="str">
        <f>IFERROR(__xludf.DUMMYFUNCTION("""COMPUTED_VALUE"""),"E250010")</f>
        <v>E250010</v>
      </c>
      <c r="F146" s="7" t="str">
        <f>IFERROR(__xludf.DUMMYFUNCTION("""COMPUTED_VALUE"""),"FB")</f>
        <v>FB</v>
      </c>
      <c r="G146" s="7" t="str">
        <f>IFERROR(__xludf.DUMMYFUNCTION("""COMPUTED_VALUE"""),"Baru")</f>
        <v>Baru</v>
      </c>
      <c r="H146" s="7" t="str">
        <f>IFERROR(__xludf.DUMMYFUNCTION("""COMPUTED_VALUE"""),"A. Condong ke orientasi akhirat/agama")</f>
        <v>A. Condong ke orientasi akhirat/agama</v>
      </c>
      <c r="I146" s="7" t="str">
        <f>IFERROR(__xludf.DUMMYFUNCTION("""COMPUTED_VALUE"""),"A. Pilihan utama untuk agama, akhlak, dan karakter")</f>
        <v>A. Pilihan utama untuk agama, akhlak, dan karakter</v>
      </c>
      <c r="J146" s="7" t="str">
        <f>IFERROR(__xludf.DUMMYFUNCTION("""COMPUTED_VALUE"""),"A. Orang tua &amp; anak")</f>
        <v>A. Orang tua &amp; anak</v>
      </c>
      <c r="K146" s="7" t="str">
        <f>IFERROR(__xludf.DUMMYFUNCTION("""COMPUTED_VALUE"""),"A. Memberikan pengertian")</f>
        <v>A. Memberikan pengertian</v>
      </c>
      <c r="L146" s="7" t="str">
        <f>IFERROR(__xludf.DUMMYFUNCTION("""COMPUTED_VALUE"""),"A. Intensif (tahfizh, sekolah Islam)")</f>
        <v>A. Intensif (tahfizh, sekolah Islam)</v>
      </c>
      <c r="M146" s="7" t="str">
        <f>IFERROR(__xludf.DUMMYFUNCTION("""COMPUTED_VALUE"""),"A. Yakin")</f>
        <v>A. Yakin</v>
      </c>
      <c r="N146" s="7" t="str">
        <f>IFERROR(__xludf.DUMMYFUNCTION("""COMPUTED_VALUE"""),"A. Sangat penting")</f>
        <v>A. Sangat penting</v>
      </c>
      <c r="O146" s="7" t="str">
        <f>IFERROR(__xludf.DUMMYFUNCTION("""COMPUTED_VALUE"""),"A. Berkala")</f>
        <v>A. Berkala</v>
      </c>
      <c r="P146" s="7" t="str">
        <f>IFERROR(__xludf.DUMMYFUNCTION("""COMPUTED_VALUE"""),"A. Klarifikasi &amp; beri semangat pada anak")</f>
        <v>A. Klarifikasi &amp; beri semangat pada anak</v>
      </c>
      <c r="Q146" s="7" t="str">
        <f>IFERROR(__xludf.DUMMYFUNCTION("""COMPUTED_VALUE"""),"A. Menerima sebagai konsekuensi (selama bimbingan sudah maksimal)")</f>
        <v>A. Menerima sebagai konsekuensi (selama bimbingan sudah maksimal)</v>
      </c>
      <c r="R146" s="7" t="str">
        <f>IFERROR(__xludf.DUMMYFUNCTION("""COMPUTED_VALUE"""),"Pendiam, malu, ")</f>
        <v>Pendiam, malu, </v>
      </c>
      <c r="S146" s="7" t="str">
        <f>IFERROR(__xludf.DUMMYFUNCTION("""COMPUTED_VALUE"""),"Belum")</f>
        <v>Belum</v>
      </c>
      <c r="T146" s="50" t="str">
        <f>IFERROR(__xludf.DUMMYFUNCTION("""COMPUTED_VALUE"""),"Diterima")</f>
        <v>Diterima</v>
      </c>
      <c r="U146" s="50" t="str">
        <f>IFERROR(__xludf.DUMMYFUNCTION("""COMPUTED_VALUE"""),"Syarif")</f>
        <v>Syarif</v>
      </c>
      <c r="V146" s="7"/>
    </row>
    <row r="147">
      <c r="A147" s="7"/>
      <c r="B147" s="7" t="str">
        <f>IFERROR(__xludf.DUMMYFUNCTION("""COMPUTED_VALUE"""),"FAEYZA SIDQI HISYAM")</f>
        <v>FAEYZA SIDQI HISYAM</v>
      </c>
      <c r="C147" s="7"/>
      <c r="D147" s="7" t="str">
        <f>IFERROR(__xludf.DUMMYFUNCTION("""COMPUTED_VALUE"""),"MTs Putra")</f>
        <v>MTs Putra</v>
      </c>
      <c r="E147" s="7" t="str">
        <f>IFERROR(__xludf.DUMMYFUNCTION("""COMPUTED_VALUE"""),"A250044")</f>
        <v>A250044</v>
      </c>
      <c r="F147" s="7"/>
      <c r="G147" s="7"/>
      <c r="H147" s="7"/>
      <c r="I147" s="7"/>
      <c r="J147" s="7"/>
      <c r="K147" s="7"/>
      <c r="L147" s="7"/>
      <c r="M147" s="7"/>
      <c r="N147" s="7"/>
      <c r="O147" s="7"/>
      <c r="P147" s="7"/>
      <c r="Q147" s="7"/>
      <c r="R147" s="7"/>
      <c r="S147" s="7"/>
      <c r="T147" s="50" t="str">
        <f>IFERROR(__xludf.DUMMYFUNCTION("""COMPUTED_VALUE"""),"Diterima dengan catatan")</f>
        <v>Diterima dengan catatan</v>
      </c>
      <c r="U147" s="50"/>
      <c r="V147" s="7"/>
    </row>
    <row r="148">
      <c r="A148" s="7"/>
      <c r="B148" s="7" t="str">
        <f>IFERROR(__xludf.DUMMYFUNCTION("""COMPUTED_VALUE"""),"Farid")</f>
        <v>Farid</v>
      </c>
      <c r="C148" s="7"/>
      <c r="D148" s="7"/>
      <c r="E148" s="7" t="str">
        <f>IFERROR(__xludf.DUMMYFUNCTION("""COMPUTED_VALUE"""),"B250027")</f>
        <v>B250027</v>
      </c>
      <c r="F148" s="7"/>
      <c r="G148" s="7"/>
      <c r="H148" s="7"/>
      <c r="I148" s="7"/>
      <c r="J148" s="7"/>
      <c r="K148" s="7"/>
      <c r="L148" s="7"/>
      <c r="M148" s="7"/>
      <c r="N148" s="7"/>
      <c r="O148" s="7"/>
      <c r="P148" s="7"/>
      <c r="Q148" s="7"/>
      <c r="R148" s="7"/>
      <c r="S148" s="7"/>
      <c r="T148" s="50" t="str">
        <f>IFERROR(__xludf.DUMMYFUNCTION("""COMPUTED_VALUE"""),"Diterima dengan catatan")</f>
        <v>Diterima dengan catatan</v>
      </c>
      <c r="U148" s="50"/>
      <c r="V148" s="7"/>
    </row>
    <row r="149">
      <c r="A149" s="7"/>
      <c r="B149" s="7" t="str">
        <f>IFERROR(__xludf.DUMMYFUNCTION("""COMPUTED_VALUE"""),"Muhammad Dafa Athallah")</f>
        <v>Muhammad Dafa Athallah</v>
      </c>
      <c r="C149" s="7"/>
      <c r="D149" s="7"/>
      <c r="E149" s="7" t="str">
        <f>IFERROR(__xludf.DUMMYFUNCTION("""COMPUTED_VALUE"""),"B250023")</f>
        <v>B250023</v>
      </c>
      <c r="F149" s="7"/>
      <c r="G149" s="7"/>
      <c r="H149" s="7"/>
      <c r="I149" s="7"/>
      <c r="J149" s="7"/>
      <c r="K149" s="7"/>
      <c r="L149" s="7"/>
      <c r="M149" s="7"/>
      <c r="N149" s="7"/>
      <c r="O149" s="7"/>
      <c r="P149" s="7"/>
      <c r="Q149" s="7"/>
      <c r="R149" s="7"/>
      <c r="S149" s="7"/>
      <c r="T149" s="50" t="str">
        <f>IFERROR(__xludf.DUMMYFUNCTION("""COMPUTED_VALUE"""),"Diterima dengan catatan")</f>
        <v>Diterima dengan catatan</v>
      </c>
      <c r="U149" s="50"/>
      <c r="V149" s="7"/>
    </row>
    <row r="150">
      <c r="A150" s="7"/>
      <c r="B150" s="7" t="str">
        <f>IFERROR(__xludf.DUMMYFUNCTION("""COMPUTED_VALUE"""),"Rifqi Fathurrohman")</f>
        <v>Rifqi Fathurrohman</v>
      </c>
      <c r="C150" s="7"/>
      <c r="D150" s="7"/>
      <c r="E150" s="7" t="str">
        <f>IFERROR(__xludf.DUMMYFUNCTION("""COMPUTED_VALUE"""),"A250084")</f>
        <v>A250084</v>
      </c>
      <c r="F150" s="7"/>
      <c r="G150" s="7"/>
      <c r="H150" s="7"/>
      <c r="I150" s="7"/>
      <c r="J150" s="7"/>
      <c r="K150" s="7"/>
      <c r="L150" s="7"/>
      <c r="M150" s="7"/>
      <c r="N150" s="7"/>
      <c r="O150" s="7"/>
      <c r="P150" s="7"/>
      <c r="Q150" s="7"/>
      <c r="R150" s="7"/>
      <c r="S150" s="7"/>
      <c r="T150" s="50" t="str">
        <f>IFERROR(__xludf.DUMMYFUNCTION("""COMPUTED_VALUE"""),"Diterima dengan catatan")</f>
        <v>Diterima dengan catatan</v>
      </c>
      <c r="U150" s="50"/>
      <c r="V150" s="7"/>
    </row>
    <row r="151">
      <c r="A151" s="7"/>
      <c r="B151" s="7" t="str">
        <f>IFERROR(__xludf.DUMMYFUNCTION("""COMPUTED_VALUE"""),"Aisah")</f>
        <v>Aisah</v>
      </c>
      <c r="C151" s="7"/>
      <c r="D151" s="7"/>
      <c r="E151" s="7" t="str">
        <f>IFERROR(__xludf.DUMMYFUNCTION("""COMPUTED_VALUE"""),"D250032")</f>
        <v>D250032</v>
      </c>
      <c r="F151" s="7"/>
      <c r="G151" s="7"/>
      <c r="H151" s="7"/>
      <c r="I151" s="7"/>
      <c r="J151" s="7"/>
      <c r="K151" s="7"/>
      <c r="L151" s="7"/>
      <c r="M151" s="7"/>
      <c r="N151" s="7"/>
      <c r="O151" s="7"/>
      <c r="P151" s="7"/>
      <c r="Q151" s="7"/>
      <c r="R151" s="7"/>
      <c r="S151" s="7"/>
      <c r="T151" s="50" t="str">
        <f>IFERROR(__xludf.DUMMYFUNCTION("""COMPUTED_VALUE"""),"Diterima")</f>
        <v>Diterima</v>
      </c>
      <c r="U151" s="50" t="str">
        <f>IFERROR(__xludf.DUMMYFUNCTION("""COMPUTED_VALUE"""),"Syarif")</f>
        <v>Syarif</v>
      </c>
      <c r="V151" s="7"/>
    </row>
    <row r="152">
      <c r="A152" s="7"/>
      <c r="B152" s="7"/>
      <c r="C152" s="7"/>
      <c r="D152" s="7"/>
      <c r="E152" s="7"/>
      <c r="F152" s="7"/>
      <c r="G152" s="7"/>
      <c r="H152" s="7"/>
      <c r="I152" s="7"/>
      <c r="J152" s="7"/>
      <c r="K152" s="7"/>
      <c r="L152" s="7"/>
      <c r="M152" s="7"/>
      <c r="N152" s="7"/>
      <c r="O152" s="7"/>
      <c r="P152" s="7"/>
      <c r="Q152" s="7"/>
      <c r="R152" s="7"/>
      <c r="S152" s="7"/>
      <c r="T152" s="50"/>
      <c r="U152" s="50"/>
      <c r="V152" s="7"/>
    </row>
    <row r="153">
      <c r="A153" s="7"/>
      <c r="B153" s="7"/>
      <c r="C153" s="7"/>
      <c r="D153" s="7"/>
      <c r="E153" s="7"/>
      <c r="F153" s="7"/>
      <c r="G153" s="7"/>
      <c r="H153" s="7"/>
      <c r="I153" s="7"/>
      <c r="J153" s="7"/>
      <c r="K153" s="7"/>
      <c r="L153" s="7"/>
      <c r="M153" s="7"/>
      <c r="N153" s="7"/>
      <c r="O153" s="7"/>
      <c r="P153" s="7"/>
      <c r="Q153" s="7"/>
      <c r="R153" s="7"/>
      <c r="S153" s="7"/>
      <c r="T153" s="50"/>
      <c r="U153" s="50"/>
      <c r="V153" s="7"/>
    </row>
    <row r="154">
      <c r="A154" s="7"/>
      <c r="B154" s="7"/>
      <c r="C154" s="7"/>
      <c r="D154" s="7"/>
      <c r="E154" s="7"/>
      <c r="F154" s="7"/>
      <c r="G154" s="7"/>
      <c r="H154" s="7"/>
      <c r="I154" s="7"/>
      <c r="J154" s="7"/>
      <c r="K154" s="7"/>
      <c r="L154" s="7"/>
      <c r="M154" s="7"/>
      <c r="N154" s="7"/>
      <c r="O154" s="7"/>
      <c r="P154" s="7"/>
      <c r="Q154" s="7"/>
      <c r="R154" s="7"/>
      <c r="S154" s="7"/>
      <c r="T154" s="50"/>
      <c r="U154" s="50"/>
      <c r="V154" s="7"/>
    </row>
    <row r="155">
      <c r="A155" s="7"/>
      <c r="B155" s="7"/>
      <c r="C155" s="7"/>
      <c r="D155" s="7"/>
      <c r="E155" s="7"/>
      <c r="F155" s="7"/>
      <c r="G155" s="7"/>
      <c r="H155" s="7"/>
      <c r="I155" s="7"/>
      <c r="J155" s="7"/>
      <c r="K155" s="7"/>
      <c r="L155" s="7"/>
      <c r="M155" s="7"/>
      <c r="N155" s="7"/>
      <c r="O155" s="7"/>
      <c r="P155" s="7"/>
      <c r="Q155" s="7"/>
      <c r="R155" s="7"/>
      <c r="S155" s="7"/>
      <c r="T155" s="50"/>
      <c r="U155" s="50"/>
      <c r="V155" s="7"/>
    </row>
    <row r="156">
      <c r="A156" s="7"/>
      <c r="B156" s="7"/>
      <c r="C156" s="7"/>
      <c r="D156" s="7"/>
      <c r="E156" s="7"/>
      <c r="F156" s="7"/>
      <c r="G156" s="7"/>
      <c r="H156" s="7"/>
      <c r="I156" s="7"/>
      <c r="J156" s="7"/>
      <c r="K156" s="7"/>
      <c r="L156" s="7"/>
      <c r="M156" s="7"/>
      <c r="N156" s="7"/>
      <c r="O156" s="7"/>
      <c r="P156" s="7"/>
      <c r="Q156" s="7"/>
      <c r="R156" s="7"/>
      <c r="S156" s="7"/>
      <c r="T156" s="50"/>
      <c r="U156" s="50"/>
      <c r="V156" s="7"/>
    </row>
    <row r="157">
      <c r="A157" s="7"/>
      <c r="B157" s="7"/>
      <c r="C157" s="7"/>
      <c r="D157" s="7"/>
      <c r="E157" s="7"/>
      <c r="F157" s="7"/>
      <c r="G157" s="7"/>
      <c r="H157" s="7"/>
      <c r="I157" s="7"/>
      <c r="J157" s="7"/>
      <c r="K157" s="7"/>
      <c r="L157" s="7"/>
      <c r="M157" s="7"/>
      <c r="N157" s="7"/>
      <c r="O157" s="7"/>
      <c r="P157" s="7"/>
      <c r="Q157" s="7"/>
      <c r="R157" s="7"/>
      <c r="S157" s="7"/>
      <c r="T157" s="50"/>
      <c r="U157" s="50"/>
      <c r="V157" s="7"/>
    </row>
    <row r="158">
      <c r="A158" s="7"/>
      <c r="B158" s="7"/>
      <c r="C158" s="7"/>
      <c r="D158" s="7"/>
      <c r="E158" s="7"/>
      <c r="F158" s="7"/>
      <c r="G158" s="7"/>
      <c r="H158" s="7"/>
      <c r="I158" s="7"/>
      <c r="J158" s="7"/>
      <c r="K158" s="7"/>
      <c r="L158" s="7"/>
      <c r="M158" s="7"/>
      <c r="N158" s="7"/>
      <c r="O158" s="7"/>
      <c r="P158" s="7"/>
      <c r="Q158" s="7"/>
      <c r="R158" s="7"/>
      <c r="S158" s="7"/>
      <c r="T158" s="50"/>
      <c r="U158" s="50"/>
      <c r="V158" s="7"/>
    </row>
    <row r="159">
      <c r="A159" s="7"/>
      <c r="B159" s="7"/>
      <c r="C159" s="7"/>
      <c r="D159" s="7"/>
      <c r="E159" s="7"/>
      <c r="F159" s="7"/>
      <c r="G159" s="7"/>
      <c r="H159" s="7"/>
      <c r="I159" s="7"/>
      <c r="J159" s="7"/>
      <c r="K159" s="7"/>
      <c r="L159" s="7"/>
      <c r="M159" s="7"/>
      <c r="N159" s="7"/>
      <c r="O159" s="7"/>
      <c r="P159" s="7"/>
      <c r="Q159" s="7"/>
      <c r="R159" s="7"/>
      <c r="S159" s="7"/>
      <c r="T159" s="50"/>
      <c r="U159" s="50"/>
      <c r="V159" s="7"/>
    </row>
    <row r="160">
      <c r="A160" s="7"/>
      <c r="B160" s="7"/>
      <c r="C160" s="7"/>
      <c r="D160" s="7"/>
      <c r="E160" s="7"/>
      <c r="F160" s="7"/>
      <c r="G160" s="7"/>
      <c r="H160" s="7"/>
      <c r="I160" s="7"/>
      <c r="J160" s="7"/>
      <c r="K160" s="7"/>
      <c r="L160" s="7"/>
      <c r="M160" s="7"/>
      <c r="N160" s="7"/>
      <c r="O160" s="7"/>
      <c r="P160" s="7"/>
      <c r="Q160" s="7"/>
      <c r="R160" s="7"/>
      <c r="S160" s="7"/>
      <c r="T160" s="50"/>
      <c r="U160" s="50"/>
      <c r="V160" s="7"/>
    </row>
    <row r="161">
      <c r="A161" s="7"/>
      <c r="B161" s="7"/>
      <c r="C161" s="7"/>
      <c r="D161" s="7"/>
      <c r="E161" s="7"/>
      <c r="F161" s="7"/>
      <c r="G161" s="7"/>
      <c r="H161" s="7"/>
      <c r="I161" s="7"/>
      <c r="J161" s="7"/>
      <c r="K161" s="7"/>
      <c r="L161" s="7"/>
      <c r="M161" s="7"/>
      <c r="N161" s="7"/>
      <c r="O161" s="7"/>
      <c r="P161" s="7"/>
      <c r="Q161" s="7"/>
      <c r="R161" s="7"/>
      <c r="S161" s="7"/>
      <c r="T161" s="50"/>
      <c r="U161" s="50"/>
      <c r="V161" s="7"/>
    </row>
    <row r="162">
      <c r="A162" s="7"/>
      <c r="B162" s="7"/>
      <c r="C162" s="7"/>
      <c r="D162" s="7"/>
      <c r="E162" s="7"/>
      <c r="F162" s="7"/>
      <c r="G162" s="7"/>
      <c r="H162" s="7"/>
      <c r="I162" s="7"/>
      <c r="J162" s="7"/>
      <c r="K162" s="7"/>
      <c r="L162" s="7"/>
      <c r="M162" s="7"/>
      <c r="N162" s="7"/>
      <c r="O162" s="7"/>
      <c r="P162" s="7"/>
      <c r="Q162" s="7"/>
      <c r="R162" s="7"/>
      <c r="S162" s="7"/>
      <c r="T162" s="50"/>
      <c r="U162" s="50"/>
      <c r="V162" s="7"/>
    </row>
    <row r="163">
      <c r="A163" s="7"/>
      <c r="B163" s="7"/>
      <c r="C163" s="7"/>
      <c r="D163" s="7"/>
      <c r="E163" s="7"/>
      <c r="F163" s="7"/>
      <c r="G163" s="7"/>
      <c r="H163" s="7"/>
      <c r="I163" s="7"/>
      <c r="J163" s="7"/>
      <c r="K163" s="7"/>
      <c r="L163" s="7"/>
      <c r="M163" s="7"/>
      <c r="N163" s="7"/>
      <c r="O163" s="7"/>
      <c r="P163" s="7"/>
      <c r="Q163" s="7"/>
      <c r="R163" s="7"/>
      <c r="S163" s="7"/>
      <c r="T163" s="50"/>
      <c r="U163" s="50"/>
      <c r="V163" s="7"/>
    </row>
    <row r="164">
      <c r="A164" s="7"/>
      <c r="B164" s="7"/>
      <c r="C164" s="7"/>
      <c r="D164" s="7"/>
      <c r="E164" s="7"/>
      <c r="F164" s="7"/>
      <c r="G164" s="7"/>
      <c r="H164" s="7"/>
      <c r="I164" s="7"/>
      <c r="J164" s="7"/>
      <c r="K164" s="7"/>
      <c r="L164" s="7"/>
      <c r="M164" s="7"/>
      <c r="N164" s="7"/>
      <c r="O164" s="7"/>
      <c r="P164" s="7"/>
      <c r="Q164" s="7"/>
      <c r="R164" s="7"/>
      <c r="S164" s="7"/>
      <c r="T164" s="50"/>
      <c r="U164" s="50"/>
      <c r="V164" s="7"/>
    </row>
    <row r="165">
      <c r="A165" s="7"/>
      <c r="B165" s="7"/>
      <c r="C165" s="7"/>
      <c r="D165" s="7"/>
      <c r="E165" s="7"/>
      <c r="F165" s="7"/>
      <c r="G165" s="7"/>
      <c r="H165" s="7"/>
      <c r="I165" s="7"/>
      <c r="J165" s="7"/>
      <c r="K165" s="7"/>
      <c r="L165" s="7"/>
      <c r="M165" s="7"/>
      <c r="N165" s="7"/>
      <c r="O165" s="7"/>
      <c r="P165" s="7"/>
      <c r="Q165" s="7"/>
      <c r="R165" s="7"/>
      <c r="S165" s="7"/>
      <c r="T165" s="50"/>
      <c r="U165" s="50"/>
      <c r="V165" s="7"/>
    </row>
    <row r="166">
      <c r="A166" s="7"/>
      <c r="B166" s="7"/>
      <c r="C166" s="7"/>
      <c r="D166" s="7"/>
      <c r="E166" s="7"/>
      <c r="F166" s="7"/>
      <c r="G166" s="7"/>
      <c r="H166" s="7"/>
      <c r="I166" s="7"/>
      <c r="J166" s="7"/>
      <c r="K166" s="7"/>
      <c r="L166" s="7"/>
      <c r="M166" s="7"/>
      <c r="N166" s="7"/>
      <c r="O166" s="7"/>
      <c r="P166" s="7"/>
      <c r="Q166" s="7"/>
      <c r="R166" s="7"/>
      <c r="S166" s="7"/>
      <c r="T166" s="50"/>
      <c r="U166" s="50"/>
      <c r="V166" s="7"/>
    </row>
    <row r="167">
      <c r="A167" s="7"/>
      <c r="B167" s="7"/>
      <c r="C167" s="7"/>
      <c r="D167" s="7"/>
      <c r="E167" s="7"/>
      <c r="F167" s="7"/>
      <c r="G167" s="7"/>
      <c r="H167" s="7"/>
      <c r="I167" s="7"/>
      <c r="J167" s="7"/>
      <c r="K167" s="7"/>
      <c r="L167" s="7"/>
      <c r="M167" s="7"/>
      <c r="N167" s="7"/>
      <c r="O167" s="7"/>
      <c r="P167" s="7"/>
      <c r="Q167" s="7"/>
      <c r="R167" s="7"/>
      <c r="S167" s="7"/>
      <c r="T167" s="50"/>
      <c r="U167" s="50"/>
      <c r="V167" s="7"/>
    </row>
    <row r="168">
      <c r="A168" s="7"/>
      <c r="B168" s="7"/>
      <c r="C168" s="7"/>
      <c r="D168" s="7"/>
      <c r="E168" s="7"/>
      <c r="F168" s="7"/>
      <c r="G168" s="7"/>
      <c r="H168" s="7"/>
      <c r="I168" s="7"/>
      <c r="J168" s="7"/>
      <c r="K168" s="7"/>
      <c r="L168" s="7"/>
      <c r="M168" s="7"/>
      <c r="N168" s="7"/>
      <c r="O168" s="7"/>
      <c r="P168" s="7"/>
      <c r="Q168" s="7"/>
      <c r="R168" s="7"/>
      <c r="S168" s="7"/>
      <c r="T168" s="50"/>
      <c r="U168" s="50"/>
      <c r="V168" s="7"/>
    </row>
    <row r="169">
      <c r="A169" s="7"/>
      <c r="B169" s="7"/>
      <c r="C169" s="7"/>
      <c r="D169" s="7"/>
      <c r="E169" s="7"/>
      <c r="F169" s="7"/>
      <c r="G169" s="7"/>
      <c r="H169" s="7"/>
      <c r="I169" s="7"/>
      <c r="J169" s="7"/>
      <c r="K169" s="7"/>
      <c r="L169" s="7"/>
      <c r="M169" s="7"/>
      <c r="N169" s="7"/>
      <c r="O169" s="7"/>
      <c r="P169" s="7"/>
      <c r="Q169" s="7"/>
      <c r="R169" s="7"/>
      <c r="S169" s="7"/>
      <c r="T169" s="50"/>
      <c r="U169" s="50"/>
      <c r="V169" s="7"/>
    </row>
    <row r="170">
      <c r="A170" s="7"/>
      <c r="B170" s="7"/>
      <c r="C170" s="7"/>
      <c r="D170" s="7"/>
      <c r="E170" s="7"/>
      <c r="F170" s="7"/>
      <c r="G170" s="7"/>
      <c r="H170" s="7"/>
      <c r="I170" s="7"/>
      <c r="J170" s="7"/>
      <c r="K170" s="7"/>
      <c r="L170" s="7"/>
      <c r="M170" s="7"/>
      <c r="N170" s="7"/>
      <c r="O170" s="7"/>
      <c r="P170" s="7"/>
      <c r="Q170" s="7"/>
      <c r="R170" s="7"/>
      <c r="S170" s="7"/>
      <c r="T170" s="50"/>
      <c r="U170" s="50"/>
      <c r="V170" s="7"/>
    </row>
    <row r="171">
      <c r="A171" s="7"/>
      <c r="B171" s="7"/>
      <c r="C171" s="7"/>
      <c r="D171" s="7"/>
      <c r="E171" s="7"/>
      <c r="F171" s="7"/>
      <c r="G171" s="7"/>
      <c r="H171" s="7"/>
      <c r="I171" s="7"/>
      <c r="J171" s="7"/>
      <c r="K171" s="7"/>
      <c r="L171" s="7"/>
      <c r="M171" s="7"/>
      <c r="N171" s="7"/>
      <c r="O171" s="7"/>
      <c r="P171" s="7"/>
      <c r="Q171" s="7"/>
      <c r="R171" s="7"/>
      <c r="S171" s="7"/>
      <c r="T171" s="50"/>
      <c r="U171" s="50"/>
      <c r="V171" s="7"/>
    </row>
    <row r="172">
      <c r="A172" s="7"/>
      <c r="B172" s="7"/>
      <c r="C172" s="7"/>
      <c r="D172" s="7"/>
      <c r="E172" s="7"/>
      <c r="F172" s="7"/>
      <c r="G172" s="7"/>
      <c r="H172" s="7"/>
      <c r="I172" s="7"/>
      <c r="J172" s="7"/>
      <c r="K172" s="7"/>
      <c r="L172" s="7"/>
      <c r="M172" s="7"/>
      <c r="N172" s="7"/>
      <c r="O172" s="7"/>
      <c r="P172" s="7"/>
      <c r="Q172" s="7"/>
      <c r="R172" s="7"/>
      <c r="S172" s="7"/>
      <c r="T172" s="50"/>
      <c r="U172" s="50"/>
      <c r="V172" s="7"/>
    </row>
    <row r="173">
      <c r="A173" s="7"/>
      <c r="B173" s="7"/>
      <c r="C173" s="7"/>
      <c r="D173" s="7"/>
      <c r="E173" s="7"/>
      <c r="F173" s="7"/>
      <c r="G173" s="7"/>
      <c r="H173" s="7"/>
      <c r="I173" s="7"/>
      <c r="J173" s="7"/>
      <c r="K173" s="7"/>
      <c r="L173" s="7"/>
      <c r="M173" s="7"/>
      <c r="N173" s="7"/>
      <c r="O173" s="7"/>
      <c r="P173" s="7"/>
      <c r="Q173" s="7"/>
      <c r="R173" s="7"/>
      <c r="S173" s="7"/>
      <c r="T173" s="50"/>
      <c r="U173" s="50"/>
      <c r="V173" s="7"/>
    </row>
    <row r="174">
      <c r="A174" s="7"/>
      <c r="B174" s="7"/>
      <c r="C174" s="7"/>
      <c r="D174" s="7"/>
      <c r="E174" s="7"/>
      <c r="F174" s="7"/>
      <c r="G174" s="7"/>
      <c r="H174" s="7"/>
      <c r="I174" s="7"/>
      <c r="J174" s="7"/>
      <c r="K174" s="7"/>
      <c r="L174" s="7"/>
      <c r="M174" s="7"/>
      <c r="N174" s="7"/>
      <c r="O174" s="7"/>
      <c r="P174" s="7"/>
      <c r="Q174" s="7"/>
      <c r="R174" s="7"/>
      <c r="S174" s="7"/>
      <c r="T174" s="50"/>
      <c r="U174" s="50"/>
      <c r="V174" s="7"/>
    </row>
    <row r="175">
      <c r="A175" s="7"/>
      <c r="B175" s="7"/>
      <c r="C175" s="7"/>
      <c r="D175" s="7"/>
      <c r="E175" s="7"/>
      <c r="F175" s="7"/>
      <c r="G175" s="7"/>
      <c r="H175" s="7"/>
      <c r="I175" s="7"/>
      <c r="J175" s="7"/>
      <c r="K175" s="7"/>
      <c r="L175" s="7"/>
      <c r="M175" s="7"/>
      <c r="N175" s="7"/>
      <c r="O175" s="7"/>
      <c r="P175" s="7"/>
      <c r="Q175" s="7"/>
      <c r="R175" s="7"/>
      <c r="S175" s="7"/>
      <c r="T175" s="50"/>
      <c r="U175" s="50"/>
      <c r="V175" s="7"/>
    </row>
    <row r="176">
      <c r="A176" s="7"/>
      <c r="B176" s="7"/>
      <c r="C176" s="7"/>
      <c r="D176" s="7"/>
      <c r="E176" s="7"/>
      <c r="F176" s="7"/>
      <c r="G176" s="7"/>
      <c r="H176" s="7"/>
      <c r="I176" s="7"/>
      <c r="J176" s="7"/>
      <c r="K176" s="7"/>
      <c r="L176" s="7"/>
      <c r="M176" s="7"/>
      <c r="N176" s="7"/>
      <c r="O176" s="7"/>
      <c r="P176" s="7"/>
      <c r="Q176" s="7"/>
      <c r="R176" s="7"/>
      <c r="S176" s="7"/>
      <c r="T176" s="50"/>
      <c r="U176" s="50"/>
      <c r="V176" s="7"/>
    </row>
    <row r="177">
      <c r="A177" s="7"/>
      <c r="B177" s="7"/>
      <c r="C177" s="7"/>
      <c r="D177" s="7"/>
      <c r="E177" s="7"/>
      <c r="F177" s="7"/>
      <c r="G177" s="7"/>
      <c r="H177" s="7"/>
      <c r="I177" s="7"/>
      <c r="J177" s="7"/>
      <c r="K177" s="7"/>
      <c r="L177" s="7"/>
      <c r="M177" s="7"/>
      <c r="N177" s="7"/>
      <c r="O177" s="7"/>
      <c r="P177" s="7"/>
      <c r="Q177" s="7"/>
      <c r="R177" s="7"/>
      <c r="S177" s="7"/>
      <c r="T177" s="50"/>
      <c r="U177" s="50"/>
      <c r="V177" s="7"/>
    </row>
    <row r="178">
      <c r="A178" s="7"/>
      <c r="B178" s="7"/>
      <c r="C178" s="7"/>
      <c r="D178" s="7"/>
      <c r="E178" s="7"/>
      <c r="F178" s="7"/>
      <c r="G178" s="7"/>
      <c r="H178" s="7"/>
      <c r="I178" s="7"/>
      <c r="J178" s="7"/>
      <c r="K178" s="7"/>
      <c r="L178" s="7"/>
      <c r="M178" s="7"/>
      <c r="N178" s="7"/>
      <c r="O178" s="7"/>
      <c r="P178" s="7"/>
      <c r="Q178" s="7"/>
      <c r="R178" s="7"/>
      <c r="S178" s="7"/>
      <c r="T178" s="50"/>
      <c r="U178" s="50"/>
      <c r="V178" s="7"/>
    </row>
    <row r="179">
      <c r="A179" s="7"/>
      <c r="B179" s="7"/>
      <c r="C179" s="7"/>
      <c r="D179" s="7"/>
      <c r="E179" s="7"/>
      <c r="F179" s="7"/>
      <c r="G179" s="7"/>
      <c r="H179" s="7"/>
      <c r="I179" s="7"/>
      <c r="J179" s="7"/>
      <c r="K179" s="7"/>
      <c r="L179" s="7"/>
      <c r="M179" s="7"/>
      <c r="N179" s="7"/>
      <c r="O179" s="7"/>
      <c r="P179" s="7"/>
      <c r="Q179" s="7"/>
      <c r="R179" s="7"/>
      <c r="S179" s="7"/>
      <c r="T179" s="50"/>
      <c r="U179" s="50"/>
      <c r="V179" s="7"/>
    </row>
    <row r="180">
      <c r="A180" s="7"/>
      <c r="B180" s="7"/>
      <c r="C180" s="7"/>
      <c r="D180" s="7"/>
      <c r="E180" s="7"/>
      <c r="F180" s="7"/>
      <c r="G180" s="7"/>
      <c r="H180" s="7"/>
      <c r="I180" s="7"/>
      <c r="J180" s="7"/>
      <c r="K180" s="7"/>
      <c r="L180" s="7"/>
      <c r="M180" s="7"/>
      <c r="N180" s="7"/>
      <c r="O180" s="7"/>
      <c r="P180" s="7"/>
      <c r="Q180" s="7"/>
      <c r="R180" s="7"/>
      <c r="S180" s="7"/>
      <c r="T180" s="50"/>
      <c r="U180" s="50"/>
      <c r="V180" s="7"/>
    </row>
    <row r="181">
      <c r="A181" s="7"/>
      <c r="B181" s="7"/>
      <c r="C181" s="7"/>
      <c r="D181" s="7"/>
      <c r="E181" s="7"/>
      <c r="F181" s="7"/>
      <c r="G181" s="7"/>
      <c r="H181" s="7"/>
      <c r="I181" s="7"/>
      <c r="J181" s="7"/>
      <c r="K181" s="7"/>
      <c r="L181" s="7"/>
      <c r="M181" s="7"/>
      <c r="N181" s="7"/>
      <c r="O181" s="7"/>
      <c r="P181" s="7"/>
      <c r="Q181" s="7"/>
      <c r="R181" s="7"/>
      <c r="S181" s="7"/>
      <c r="T181" s="50"/>
      <c r="U181" s="50"/>
      <c r="V181" s="7"/>
    </row>
    <row r="182">
      <c r="A182" s="7"/>
      <c r="B182" s="7"/>
      <c r="C182" s="7"/>
      <c r="D182" s="7"/>
      <c r="E182" s="7"/>
      <c r="F182" s="7"/>
      <c r="G182" s="7"/>
      <c r="H182" s="7"/>
      <c r="I182" s="7"/>
      <c r="J182" s="7"/>
      <c r="K182" s="7"/>
      <c r="L182" s="7"/>
      <c r="M182" s="7"/>
      <c r="N182" s="7"/>
      <c r="O182" s="7"/>
      <c r="P182" s="7"/>
      <c r="Q182" s="7"/>
      <c r="R182" s="7"/>
      <c r="S182" s="7"/>
      <c r="T182" s="50"/>
      <c r="U182" s="50"/>
      <c r="V182" s="7"/>
    </row>
    <row r="183">
      <c r="A183" s="7"/>
      <c r="B183" s="7"/>
      <c r="C183" s="7"/>
      <c r="D183" s="7"/>
      <c r="E183" s="7"/>
      <c r="F183" s="7"/>
      <c r="G183" s="7"/>
      <c r="H183" s="7"/>
      <c r="I183" s="7"/>
      <c r="J183" s="7"/>
      <c r="K183" s="7"/>
      <c r="L183" s="7"/>
      <c r="M183" s="7"/>
      <c r="N183" s="7"/>
      <c r="O183" s="7"/>
      <c r="P183" s="7"/>
      <c r="Q183" s="7"/>
      <c r="R183" s="7"/>
      <c r="S183" s="7"/>
      <c r="T183" s="50"/>
      <c r="U183" s="50"/>
      <c r="V183" s="7"/>
    </row>
    <row r="184">
      <c r="A184" s="7"/>
      <c r="B184" s="7"/>
      <c r="C184" s="7"/>
      <c r="D184" s="7"/>
      <c r="E184" s="7"/>
      <c r="F184" s="7"/>
      <c r="G184" s="7"/>
      <c r="H184" s="7"/>
      <c r="I184" s="7"/>
      <c r="J184" s="7"/>
      <c r="K184" s="7"/>
      <c r="L184" s="7"/>
      <c r="M184" s="7"/>
      <c r="N184" s="7"/>
      <c r="O184" s="7"/>
      <c r="P184" s="7"/>
      <c r="Q184" s="7"/>
      <c r="R184" s="7"/>
      <c r="S184" s="7"/>
      <c r="T184" s="50"/>
      <c r="U184" s="50"/>
      <c r="V184" s="7"/>
    </row>
    <row r="185">
      <c r="A185" s="7"/>
      <c r="B185" s="7"/>
      <c r="C185" s="7"/>
      <c r="D185" s="7"/>
      <c r="E185" s="7"/>
      <c r="F185" s="7"/>
      <c r="G185" s="7"/>
      <c r="H185" s="7"/>
      <c r="I185" s="7"/>
      <c r="J185" s="7"/>
      <c r="K185" s="7"/>
      <c r="L185" s="7"/>
      <c r="M185" s="7"/>
      <c r="N185" s="7"/>
      <c r="O185" s="7"/>
      <c r="P185" s="7"/>
      <c r="Q185" s="7"/>
      <c r="R185" s="7"/>
      <c r="S185" s="7"/>
      <c r="T185" s="50"/>
      <c r="U185" s="50"/>
      <c r="V185" s="7"/>
    </row>
    <row r="186">
      <c r="A186" s="7"/>
      <c r="B186" s="7"/>
      <c r="C186" s="7"/>
      <c r="D186" s="7"/>
      <c r="E186" s="7"/>
      <c r="F186" s="7"/>
      <c r="G186" s="7"/>
      <c r="H186" s="7"/>
      <c r="I186" s="7"/>
      <c r="J186" s="7"/>
      <c r="K186" s="7"/>
      <c r="L186" s="7"/>
      <c r="M186" s="7"/>
      <c r="N186" s="7"/>
      <c r="O186" s="7"/>
      <c r="P186" s="7"/>
      <c r="Q186" s="7"/>
      <c r="R186" s="7"/>
      <c r="S186" s="7"/>
      <c r="T186" s="50"/>
      <c r="U186" s="50"/>
      <c r="V186" s="7"/>
    </row>
    <row r="187">
      <c r="A187" s="7"/>
      <c r="B187" s="7"/>
      <c r="C187" s="7"/>
      <c r="D187" s="7"/>
      <c r="E187" s="7"/>
      <c r="F187" s="7"/>
      <c r="G187" s="7"/>
      <c r="H187" s="7"/>
      <c r="I187" s="7"/>
      <c r="J187" s="7"/>
      <c r="K187" s="7"/>
      <c r="L187" s="7"/>
      <c r="M187" s="7"/>
      <c r="N187" s="7"/>
      <c r="O187" s="7"/>
      <c r="P187" s="7"/>
      <c r="Q187" s="7"/>
      <c r="R187" s="7"/>
      <c r="S187" s="7"/>
      <c r="T187" s="50"/>
      <c r="U187" s="50"/>
      <c r="V187" s="7"/>
    </row>
    <row r="188">
      <c r="A188" s="7"/>
      <c r="B188" s="7"/>
      <c r="C188" s="7"/>
      <c r="D188" s="7"/>
      <c r="E188" s="7"/>
      <c r="F188" s="7"/>
      <c r="G188" s="7"/>
      <c r="H188" s="7"/>
      <c r="I188" s="7"/>
      <c r="J188" s="7"/>
      <c r="K188" s="7"/>
      <c r="L188" s="7"/>
      <c r="M188" s="7"/>
      <c r="N188" s="7"/>
      <c r="O188" s="7"/>
      <c r="P188" s="7"/>
      <c r="Q188" s="7"/>
      <c r="R188" s="7"/>
      <c r="S188" s="7"/>
      <c r="T188" s="50"/>
      <c r="U188" s="50"/>
      <c r="V188" s="7"/>
    </row>
    <row r="189">
      <c r="A189" s="7"/>
      <c r="B189" s="7"/>
      <c r="C189" s="7"/>
      <c r="D189" s="7"/>
      <c r="E189" s="7"/>
      <c r="F189" s="7"/>
      <c r="G189" s="7"/>
      <c r="H189" s="7"/>
      <c r="I189" s="7"/>
      <c r="J189" s="7"/>
      <c r="K189" s="7"/>
      <c r="L189" s="7"/>
      <c r="M189" s="7"/>
      <c r="N189" s="7"/>
      <c r="O189" s="7"/>
      <c r="P189" s="7"/>
      <c r="Q189" s="7"/>
      <c r="R189" s="7"/>
      <c r="S189" s="7"/>
      <c r="T189" s="50"/>
      <c r="U189" s="50"/>
      <c r="V189" s="7"/>
    </row>
    <row r="190">
      <c r="A190" s="7"/>
      <c r="B190" s="7"/>
      <c r="C190" s="7"/>
      <c r="D190" s="7"/>
      <c r="E190" s="7"/>
      <c r="F190" s="7"/>
      <c r="G190" s="7"/>
      <c r="H190" s="7"/>
      <c r="I190" s="7"/>
      <c r="J190" s="7"/>
      <c r="K190" s="7"/>
      <c r="L190" s="7"/>
      <c r="M190" s="7"/>
      <c r="N190" s="7"/>
      <c r="O190" s="7"/>
      <c r="P190" s="7"/>
      <c r="Q190" s="7"/>
      <c r="R190" s="7"/>
      <c r="S190" s="7"/>
      <c r="T190" s="50"/>
      <c r="U190" s="50"/>
      <c r="V190" s="7"/>
    </row>
    <row r="191">
      <c r="A191" s="7"/>
      <c r="B191" s="7"/>
      <c r="C191" s="7"/>
      <c r="D191" s="7"/>
      <c r="E191" s="7"/>
      <c r="F191" s="7"/>
      <c r="G191" s="7"/>
      <c r="H191" s="7"/>
      <c r="I191" s="7"/>
      <c r="J191" s="7"/>
      <c r="K191" s="7"/>
      <c r="L191" s="7"/>
      <c r="M191" s="7"/>
      <c r="N191" s="7"/>
      <c r="O191" s="7"/>
      <c r="P191" s="7"/>
      <c r="Q191" s="7"/>
      <c r="R191" s="7"/>
      <c r="S191" s="7"/>
      <c r="T191" s="50"/>
      <c r="U191" s="50"/>
      <c r="V191" s="7"/>
    </row>
    <row r="192">
      <c r="A192" s="7"/>
      <c r="B192" s="7"/>
      <c r="C192" s="7"/>
      <c r="D192" s="7"/>
      <c r="E192" s="7"/>
      <c r="F192" s="7"/>
      <c r="G192" s="7"/>
      <c r="H192" s="7"/>
      <c r="I192" s="7"/>
      <c r="J192" s="7"/>
      <c r="K192" s="7"/>
      <c r="L192" s="7"/>
      <c r="M192" s="7"/>
      <c r="N192" s="7"/>
      <c r="O192" s="7"/>
      <c r="P192" s="7"/>
      <c r="Q192" s="7"/>
      <c r="R192" s="7"/>
      <c r="S192" s="7"/>
      <c r="T192" s="50"/>
      <c r="U192" s="50"/>
      <c r="V192" s="7"/>
    </row>
    <row r="193">
      <c r="A193" s="7"/>
      <c r="B193" s="7"/>
      <c r="C193" s="7"/>
      <c r="D193" s="7"/>
      <c r="E193" s="7"/>
      <c r="F193" s="7"/>
      <c r="G193" s="7"/>
      <c r="H193" s="7"/>
      <c r="I193" s="7"/>
      <c r="J193" s="7"/>
      <c r="K193" s="7"/>
      <c r="L193" s="7"/>
      <c r="M193" s="7"/>
      <c r="N193" s="7"/>
      <c r="O193" s="7"/>
      <c r="P193" s="7"/>
      <c r="Q193" s="7"/>
      <c r="R193" s="7"/>
      <c r="S193" s="7"/>
      <c r="T193" s="50"/>
      <c r="U193" s="50"/>
      <c r="V193" s="7"/>
    </row>
    <row r="194">
      <c r="A194" s="7"/>
      <c r="B194" s="7"/>
      <c r="C194" s="7"/>
      <c r="D194" s="7"/>
      <c r="E194" s="7"/>
      <c r="F194" s="7"/>
      <c r="G194" s="7"/>
      <c r="H194" s="7"/>
      <c r="I194" s="7"/>
      <c r="J194" s="7"/>
      <c r="K194" s="7"/>
      <c r="L194" s="7"/>
      <c r="M194" s="7"/>
      <c r="N194" s="7"/>
      <c r="O194" s="7"/>
      <c r="P194" s="7"/>
      <c r="Q194" s="7"/>
      <c r="R194" s="7"/>
      <c r="S194" s="7"/>
      <c r="T194" s="50"/>
      <c r="U194" s="50"/>
      <c r="V194" s="7"/>
    </row>
    <row r="195">
      <c r="A195" s="7"/>
      <c r="B195" s="7"/>
      <c r="C195" s="7"/>
      <c r="D195" s="7"/>
      <c r="E195" s="7"/>
      <c r="F195" s="7"/>
      <c r="G195" s="7"/>
      <c r="H195" s="7"/>
      <c r="I195" s="7"/>
      <c r="J195" s="7"/>
      <c r="K195" s="7"/>
      <c r="L195" s="7"/>
      <c r="M195" s="7"/>
      <c r="N195" s="7"/>
      <c r="O195" s="7"/>
      <c r="P195" s="7"/>
      <c r="Q195" s="7"/>
      <c r="R195" s="7"/>
      <c r="S195" s="7"/>
      <c r="T195" s="50"/>
      <c r="U195" s="50"/>
      <c r="V195" s="7"/>
    </row>
    <row r="196">
      <c r="A196" s="7"/>
      <c r="B196" s="7"/>
      <c r="C196" s="7"/>
      <c r="D196" s="7"/>
      <c r="E196" s="7"/>
      <c r="F196" s="7"/>
      <c r="G196" s="7"/>
      <c r="H196" s="7"/>
      <c r="I196" s="7"/>
      <c r="J196" s="7"/>
      <c r="K196" s="7"/>
      <c r="L196" s="7"/>
      <c r="M196" s="7"/>
      <c r="N196" s="7"/>
      <c r="O196" s="7"/>
      <c r="P196" s="7"/>
      <c r="Q196" s="7"/>
      <c r="R196" s="7"/>
      <c r="S196" s="7"/>
      <c r="T196" s="50"/>
      <c r="U196" s="50"/>
      <c r="V196" s="7"/>
    </row>
    <row r="197">
      <c r="A197" s="7"/>
      <c r="B197" s="7"/>
      <c r="C197" s="7"/>
      <c r="D197" s="7"/>
      <c r="E197" s="7"/>
      <c r="F197" s="7"/>
      <c r="G197" s="7"/>
      <c r="H197" s="7"/>
      <c r="I197" s="7"/>
      <c r="J197" s="7"/>
      <c r="K197" s="7"/>
      <c r="L197" s="7"/>
      <c r="M197" s="7"/>
      <c r="N197" s="7"/>
      <c r="O197" s="7"/>
      <c r="P197" s="7"/>
      <c r="Q197" s="7"/>
      <c r="R197" s="7"/>
      <c r="S197" s="7"/>
      <c r="T197" s="50"/>
      <c r="U197" s="50"/>
      <c r="V197" s="7"/>
    </row>
    <row r="198">
      <c r="A198" s="7"/>
      <c r="B198" s="7"/>
      <c r="C198" s="7"/>
      <c r="D198" s="7"/>
      <c r="E198" s="7"/>
      <c r="F198" s="7"/>
      <c r="G198" s="7"/>
      <c r="H198" s="7"/>
      <c r="I198" s="7"/>
      <c r="J198" s="7"/>
      <c r="K198" s="7"/>
      <c r="L198" s="7"/>
      <c r="M198" s="7"/>
      <c r="N198" s="7"/>
      <c r="O198" s="7"/>
      <c r="P198" s="7"/>
      <c r="Q198" s="7"/>
      <c r="R198" s="7"/>
      <c r="S198" s="7"/>
      <c r="T198" s="50"/>
      <c r="U198" s="50"/>
      <c r="V198" s="7"/>
    </row>
    <row r="199">
      <c r="A199" s="7"/>
      <c r="B199" s="7"/>
      <c r="C199" s="7"/>
      <c r="D199" s="7"/>
      <c r="E199" s="7"/>
      <c r="F199" s="7"/>
      <c r="G199" s="7"/>
      <c r="H199" s="7"/>
      <c r="I199" s="7"/>
      <c r="J199" s="7"/>
      <c r="K199" s="7"/>
      <c r="L199" s="7"/>
      <c r="M199" s="7"/>
      <c r="N199" s="7"/>
      <c r="O199" s="7"/>
      <c r="P199" s="7"/>
      <c r="Q199" s="7"/>
      <c r="R199" s="7"/>
      <c r="S199" s="7"/>
      <c r="T199" s="50"/>
      <c r="U199" s="50"/>
      <c r="V199" s="7"/>
    </row>
    <row r="200">
      <c r="A200" s="7"/>
      <c r="B200" s="7"/>
      <c r="C200" s="7"/>
      <c r="D200" s="7"/>
      <c r="E200" s="7"/>
      <c r="F200" s="7"/>
      <c r="G200" s="7"/>
      <c r="H200" s="7"/>
      <c r="I200" s="7"/>
      <c r="J200" s="7"/>
      <c r="K200" s="7"/>
      <c r="L200" s="7"/>
      <c r="M200" s="7"/>
      <c r="N200" s="7"/>
      <c r="O200" s="7"/>
      <c r="P200" s="7"/>
      <c r="Q200" s="7"/>
      <c r="R200" s="7"/>
      <c r="S200" s="7"/>
      <c r="T200" s="50"/>
      <c r="U200" s="50"/>
      <c r="V200" s="7"/>
    </row>
    <row r="201">
      <c r="A201" s="7"/>
      <c r="B201" s="7"/>
      <c r="C201" s="7"/>
      <c r="D201" s="7"/>
      <c r="E201" s="7"/>
      <c r="F201" s="7"/>
      <c r="G201" s="7"/>
      <c r="H201" s="7"/>
      <c r="I201" s="7"/>
      <c r="J201" s="7"/>
      <c r="K201" s="7"/>
      <c r="L201" s="7"/>
      <c r="M201" s="7"/>
      <c r="N201" s="7"/>
      <c r="O201" s="7"/>
      <c r="P201" s="7"/>
      <c r="Q201" s="7"/>
      <c r="R201" s="7"/>
      <c r="S201" s="7"/>
      <c r="T201" s="50"/>
      <c r="U201" s="50"/>
      <c r="V201" s="7"/>
    </row>
    <row r="202">
      <c r="A202" s="7"/>
      <c r="B202" s="7"/>
      <c r="C202" s="7"/>
      <c r="D202" s="7"/>
      <c r="E202" s="7"/>
      <c r="F202" s="7"/>
      <c r="G202" s="7"/>
      <c r="H202" s="7"/>
      <c r="I202" s="7"/>
      <c r="J202" s="7"/>
      <c r="K202" s="7"/>
      <c r="L202" s="7"/>
      <c r="M202" s="7"/>
      <c r="N202" s="7"/>
      <c r="O202" s="7"/>
      <c r="P202" s="7"/>
      <c r="Q202" s="7"/>
      <c r="R202" s="7"/>
      <c r="S202" s="7"/>
      <c r="T202" s="50"/>
      <c r="U202" s="50"/>
      <c r="V202" s="7"/>
    </row>
    <row r="203">
      <c r="A203" s="7"/>
      <c r="B203" s="7"/>
      <c r="C203" s="7"/>
      <c r="D203" s="7"/>
      <c r="E203" s="7"/>
      <c r="F203" s="7"/>
      <c r="G203" s="7"/>
      <c r="H203" s="7"/>
      <c r="I203" s="7"/>
      <c r="J203" s="7"/>
      <c r="K203" s="7"/>
      <c r="L203" s="7"/>
      <c r="M203" s="7"/>
      <c r="N203" s="7"/>
      <c r="O203" s="7"/>
      <c r="P203" s="7"/>
      <c r="Q203" s="7"/>
      <c r="R203" s="7"/>
      <c r="S203" s="7"/>
      <c r="T203" s="50"/>
      <c r="U203" s="50"/>
      <c r="V203" s="7"/>
    </row>
    <row r="204">
      <c r="A204" s="7"/>
      <c r="B204" s="7"/>
      <c r="C204" s="7"/>
      <c r="D204" s="7"/>
      <c r="E204" s="7"/>
      <c r="F204" s="7"/>
      <c r="G204" s="7"/>
      <c r="H204" s="7"/>
      <c r="I204" s="7"/>
      <c r="J204" s="7"/>
      <c r="K204" s="7"/>
      <c r="L204" s="7"/>
      <c r="M204" s="7"/>
      <c r="N204" s="7"/>
      <c r="O204" s="7"/>
      <c r="P204" s="7"/>
      <c r="Q204" s="7"/>
      <c r="R204" s="7"/>
      <c r="S204" s="7"/>
      <c r="T204" s="50"/>
      <c r="U204" s="50"/>
      <c r="V204" s="7"/>
    </row>
    <row r="205">
      <c r="A205" s="7"/>
      <c r="B205" s="7"/>
      <c r="C205" s="7"/>
      <c r="D205" s="7"/>
      <c r="E205" s="7"/>
      <c r="F205" s="7"/>
      <c r="G205" s="7"/>
      <c r="H205" s="7"/>
      <c r="I205" s="7"/>
      <c r="J205" s="7"/>
      <c r="K205" s="7"/>
      <c r="L205" s="7"/>
      <c r="M205" s="7"/>
      <c r="N205" s="7"/>
      <c r="O205" s="7"/>
      <c r="P205" s="7"/>
      <c r="Q205" s="7"/>
      <c r="R205" s="7"/>
      <c r="S205" s="7"/>
      <c r="T205" s="50"/>
      <c r="U205" s="50"/>
      <c r="V205" s="7"/>
    </row>
    <row r="206">
      <c r="A206" s="7"/>
      <c r="B206" s="7"/>
      <c r="C206" s="7"/>
      <c r="D206" s="7"/>
      <c r="E206" s="7"/>
      <c r="F206" s="7"/>
      <c r="G206" s="7"/>
      <c r="H206" s="7"/>
      <c r="I206" s="7"/>
      <c r="J206" s="7"/>
      <c r="K206" s="7"/>
      <c r="L206" s="7"/>
      <c r="M206" s="7"/>
      <c r="N206" s="7"/>
      <c r="O206" s="7"/>
      <c r="P206" s="7"/>
      <c r="Q206" s="7"/>
      <c r="R206" s="7"/>
      <c r="S206" s="7"/>
      <c r="T206" s="50"/>
      <c r="U206" s="50"/>
      <c r="V206" s="7"/>
    </row>
    <row r="207">
      <c r="A207" s="7"/>
      <c r="B207" s="7"/>
      <c r="C207" s="7"/>
      <c r="D207" s="7"/>
      <c r="E207" s="7"/>
      <c r="F207" s="7"/>
      <c r="G207" s="7"/>
      <c r="H207" s="7"/>
      <c r="I207" s="7"/>
      <c r="J207" s="7"/>
      <c r="K207" s="7"/>
      <c r="L207" s="7"/>
      <c r="M207" s="7"/>
      <c r="N207" s="7"/>
      <c r="O207" s="7"/>
      <c r="P207" s="7"/>
      <c r="Q207" s="7"/>
      <c r="R207" s="7"/>
      <c r="S207" s="7"/>
      <c r="T207" s="50"/>
      <c r="U207" s="50"/>
      <c r="V207" s="7"/>
    </row>
    <row r="208">
      <c r="A208" s="7"/>
      <c r="B208" s="7"/>
      <c r="C208" s="7"/>
      <c r="D208" s="7"/>
      <c r="E208" s="7"/>
      <c r="F208" s="7"/>
      <c r="G208" s="7"/>
      <c r="H208" s="7"/>
      <c r="I208" s="7"/>
      <c r="J208" s="7"/>
      <c r="K208" s="7"/>
      <c r="L208" s="7"/>
      <c r="M208" s="7"/>
      <c r="N208" s="7"/>
      <c r="O208" s="7"/>
      <c r="P208" s="7"/>
      <c r="Q208" s="7"/>
      <c r="R208" s="7"/>
      <c r="S208" s="7"/>
      <c r="T208" s="50"/>
      <c r="U208" s="50"/>
      <c r="V208" s="7"/>
    </row>
    <row r="209">
      <c r="A209" s="7"/>
      <c r="B209" s="7"/>
      <c r="C209" s="7"/>
      <c r="D209" s="7"/>
      <c r="E209" s="7"/>
      <c r="F209" s="7"/>
      <c r="G209" s="7"/>
      <c r="H209" s="7"/>
      <c r="I209" s="7"/>
      <c r="J209" s="7"/>
      <c r="K209" s="7"/>
      <c r="L209" s="7"/>
      <c r="M209" s="7"/>
      <c r="N209" s="7"/>
      <c r="O209" s="7"/>
      <c r="P209" s="7"/>
      <c r="Q209" s="7"/>
      <c r="R209" s="7"/>
      <c r="S209" s="7"/>
      <c r="T209" s="50"/>
      <c r="U209" s="50"/>
      <c r="V209" s="7"/>
    </row>
    <row r="210">
      <c r="A210" s="7"/>
      <c r="B210" s="7"/>
      <c r="C210" s="7"/>
      <c r="D210" s="7"/>
      <c r="E210" s="7"/>
      <c r="F210" s="7"/>
      <c r="G210" s="7"/>
      <c r="H210" s="7"/>
      <c r="I210" s="7"/>
      <c r="J210" s="7"/>
      <c r="K210" s="7"/>
      <c r="L210" s="7"/>
      <c r="M210" s="7"/>
      <c r="N210" s="7"/>
      <c r="O210" s="7"/>
      <c r="P210" s="7"/>
      <c r="Q210" s="7"/>
      <c r="R210" s="7"/>
      <c r="S210" s="7"/>
      <c r="T210" s="50"/>
      <c r="U210" s="50"/>
      <c r="V210" s="7"/>
    </row>
    <row r="211">
      <c r="A211" s="7"/>
      <c r="B211" s="7"/>
      <c r="C211" s="7"/>
      <c r="D211" s="7"/>
      <c r="E211" s="7"/>
      <c r="F211" s="7"/>
      <c r="G211" s="7"/>
      <c r="H211" s="7"/>
      <c r="I211" s="7"/>
      <c r="J211" s="7"/>
      <c r="K211" s="7"/>
      <c r="L211" s="7"/>
      <c r="M211" s="7"/>
      <c r="N211" s="7"/>
      <c r="O211" s="7"/>
      <c r="P211" s="7"/>
      <c r="Q211" s="7"/>
      <c r="R211" s="7"/>
      <c r="S211" s="7"/>
      <c r="T211" s="50"/>
      <c r="U211" s="50"/>
      <c r="V211" s="7"/>
    </row>
    <row r="212">
      <c r="A212" s="7"/>
      <c r="B212" s="7"/>
      <c r="C212" s="7"/>
      <c r="D212" s="7"/>
      <c r="E212" s="7"/>
      <c r="F212" s="7"/>
      <c r="G212" s="7"/>
      <c r="H212" s="7"/>
      <c r="I212" s="7"/>
      <c r="J212" s="7"/>
      <c r="K212" s="7"/>
      <c r="L212" s="7"/>
      <c r="M212" s="7"/>
      <c r="N212" s="7"/>
      <c r="O212" s="7"/>
      <c r="P212" s="7"/>
      <c r="Q212" s="7"/>
      <c r="R212" s="7"/>
      <c r="S212" s="7"/>
      <c r="T212" s="50"/>
      <c r="U212" s="50"/>
      <c r="V212" s="7"/>
    </row>
    <row r="213">
      <c r="A213" s="7"/>
      <c r="B213" s="7"/>
      <c r="C213" s="7"/>
      <c r="D213" s="7"/>
      <c r="E213" s="7"/>
      <c r="F213" s="7"/>
      <c r="G213" s="7"/>
      <c r="H213" s="7"/>
      <c r="I213" s="7"/>
      <c r="J213" s="7"/>
      <c r="K213" s="7"/>
      <c r="L213" s="7"/>
      <c r="M213" s="7"/>
      <c r="N213" s="7"/>
      <c r="O213" s="7"/>
      <c r="P213" s="7"/>
      <c r="Q213" s="7"/>
      <c r="R213" s="7"/>
      <c r="S213" s="7"/>
      <c r="T213" s="50"/>
      <c r="U213" s="50"/>
      <c r="V213" s="7"/>
    </row>
    <row r="214">
      <c r="A214" s="7"/>
      <c r="B214" s="7"/>
      <c r="C214" s="7"/>
      <c r="D214" s="7"/>
      <c r="E214" s="7"/>
      <c r="F214" s="7"/>
      <c r="G214" s="7"/>
      <c r="H214" s="7"/>
      <c r="I214" s="7"/>
      <c r="J214" s="7"/>
      <c r="K214" s="7"/>
      <c r="L214" s="7"/>
      <c r="M214" s="7"/>
      <c r="N214" s="7"/>
      <c r="O214" s="7"/>
      <c r="P214" s="7"/>
      <c r="Q214" s="7"/>
      <c r="R214" s="7"/>
      <c r="S214" s="7"/>
      <c r="T214" s="50"/>
      <c r="U214" s="50"/>
      <c r="V214" s="7"/>
    </row>
    <row r="215">
      <c r="A215" s="7"/>
      <c r="B215" s="7"/>
      <c r="C215" s="7"/>
      <c r="D215" s="7"/>
      <c r="E215" s="7"/>
      <c r="F215" s="7"/>
      <c r="G215" s="7"/>
      <c r="H215" s="7"/>
      <c r="I215" s="7"/>
      <c r="J215" s="7"/>
      <c r="K215" s="7"/>
      <c r="L215" s="7"/>
      <c r="M215" s="7"/>
      <c r="N215" s="7"/>
      <c r="O215" s="7"/>
      <c r="P215" s="7"/>
      <c r="Q215" s="7"/>
      <c r="R215" s="7"/>
      <c r="S215" s="7"/>
      <c r="T215" s="50"/>
      <c r="U215" s="50"/>
      <c r="V215" s="7"/>
    </row>
    <row r="216">
      <c r="A216" s="7"/>
      <c r="B216" s="7"/>
      <c r="C216" s="7"/>
      <c r="D216" s="7"/>
      <c r="E216" s="7"/>
      <c r="F216" s="7"/>
      <c r="G216" s="7"/>
      <c r="H216" s="7"/>
      <c r="I216" s="7"/>
      <c r="J216" s="7"/>
      <c r="K216" s="7"/>
      <c r="L216" s="7"/>
      <c r="M216" s="7"/>
      <c r="N216" s="7"/>
      <c r="O216" s="7"/>
      <c r="P216" s="7"/>
      <c r="Q216" s="7"/>
      <c r="R216" s="7"/>
      <c r="S216" s="7"/>
      <c r="T216" s="50"/>
      <c r="U216" s="50"/>
      <c r="V216" s="7"/>
    </row>
    <row r="217">
      <c r="A217" s="7"/>
      <c r="B217" s="7"/>
      <c r="C217" s="7"/>
      <c r="D217" s="7"/>
      <c r="E217" s="7"/>
      <c r="F217" s="7"/>
      <c r="G217" s="7"/>
      <c r="H217" s="7"/>
      <c r="I217" s="7"/>
      <c r="J217" s="7"/>
      <c r="K217" s="7"/>
      <c r="L217" s="7"/>
      <c r="M217" s="7"/>
      <c r="N217" s="7"/>
      <c r="O217" s="7"/>
      <c r="P217" s="7"/>
      <c r="Q217" s="7"/>
      <c r="R217" s="7"/>
      <c r="S217" s="7"/>
      <c r="T217" s="50"/>
      <c r="U217" s="50"/>
      <c r="V217" s="7"/>
    </row>
    <row r="218">
      <c r="A218" s="7"/>
      <c r="B218" s="7"/>
      <c r="C218" s="7"/>
      <c r="D218" s="7"/>
      <c r="E218" s="7"/>
      <c r="F218" s="7"/>
      <c r="G218" s="7"/>
      <c r="H218" s="7"/>
      <c r="I218" s="7"/>
      <c r="J218" s="7"/>
      <c r="K218" s="7"/>
      <c r="L218" s="7"/>
      <c r="M218" s="7"/>
      <c r="N218" s="7"/>
      <c r="O218" s="7"/>
      <c r="P218" s="7"/>
      <c r="Q218" s="7"/>
      <c r="R218" s="7"/>
      <c r="S218" s="7"/>
      <c r="T218" s="50"/>
      <c r="U218" s="50"/>
      <c r="V218" s="7"/>
    </row>
    <row r="219">
      <c r="A219" s="7"/>
      <c r="B219" s="7"/>
      <c r="C219" s="7"/>
      <c r="D219" s="7"/>
      <c r="E219" s="7"/>
      <c r="F219" s="7"/>
      <c r="G219" s="7"/>
      <c r="H219" s="7"/>
      <c r="I219" s="7"/>
      <c r="J219" s="7"/>
      <c r="K219" s="7"/>
      <c r="L219" s="7"/>
      <c r="M219" s="7"/>
      <c r="N219" s="7"/>
      <c r="O219" s="7"/>
      <c r="P219" s="7"/>
      <c r="Q219" s="7"/>
      <c r="R219" s="7"/>
      <c r="S219" s="7"/>
      <c r="T219" s="50"/>
      <c r="U219" s="50"/>
      <c r="V219" s="7"/>
    </row>
    <row r="220">
      <c r="A220" s="7"/>
      <c r="B220" s="7"/>
      <c r="C220" s="7"/>
      <c r="D220" s="7"/>
      <c r="E220" s="7"/>
      <c r="F220" s="7"/>
      <c r="G220" s="7"/>
      <c r="H220" s="7"/>
      <c r="I220" s="7"/>
      <c r="J220" s="7"/>
      <c r="K220" s="7"/>
      <c r="L220" s="7"/>
      <c r="M220" s="7"/>
      <c r="N220" s="7"/>
      <c r="O220" s="7"/>
      <c r="P220" s="7"/>
      <c r="Q220" s="7"/>
      <c r="R220" s="7"/>
      <c r="S220" s="7"/>
      <c r="T220" s="50"/>
      <c r="U220" s="50"/>
      <c r="V220" s="7"/>
    </row>
    <row r="221">
      <c r="A221" s="7"/>
      <c r="B221" s="7"/>
      <c r="C221" s="7"/>
      <c r="D221" s="7"/>
      <c r="E221" s="7"/>
      <c r="F221" s="7"/>
      <c r="G221" s="7"/>
      <c r="H221" s="7"/>
      <c r="I221" s="7"/>
      <c r="J221" s="7"/>
      <c r="K221" s="7"/>
      <c r="L221" s="7"/>
      <c r="M221" s="7"/>
      <c r="N221" s="7"/>
      <c r="O221" s="7"/>
      <c r="P221" s="7"/>
      <c r="Q221" s="7"/>
      <c r="R221" s="7"/>
      <c r="S221" s="7"/>
      <c r="T221" s="50"/>
      <c r="U221" s="50"/>
      <c r="V221" s="7"/>
    </row>
    <row r="222">
      <c r="A222" s="7"/>
      <c r="B222" s="7"/>
      <c r="C222" s="7"/>
      <c r="D222" s="7"/>
      <c r="E222" s="7"/>
      <c r="F222" s="7"/>
      <c r="G222" s="7"/>
      <c r="H222" s="7"/>
      <c r="I222" s="7"/>
      <c r="J222" s="7"/>
      <c r="K222" s="7"/>
      <c r="L222" s="7"/>
      <c r="M222" s="7"/>
      <c r="N222" s="7"/>
      <c r="O222" s="7"/>
      <c r="P222" s="7"/>
      <c r="Q222" s="7"/>
      <c r="R222" s="7"/>
      <c r="S222" s="7"/>
      <c r="T222" s="50"/>
      <c r="U222" s="50"/>
      <c r="V222" s="7"/>
    </row>
    <row r="223">
      <c r="A223" s="7"/>
      <c r="B223" s="7"/>
      <c r="C223" s="7"/>
      <c r="D223" s="7"/>
      <c r="E223" s="7"/>
      <c r="F223" s="7"/>
      <c r="G223" s="7"/>
      <c r="H223" s="7"/>
      <c r="I223" s="7"/>
      <c r="J223" s="7"/>
      <c r="K223" s="7"/>
      <c r="L223" s="7"/>
      <c r="M223" s="7"/>
      <c r="N223" s="7"/>
      <c r="O223" s="7"/>
      <c r="P223" s="7"/>
      <c r="Q223" s="7"/>
      <c r="R223" s="7"/>
      <c r="S223" s="7"/>
      <c r="T223" s="50"/>
      <c r="U223" s="50"/>
      <c r="V223" s="7"/>
    </row>
    <row r="224">
      <c r="A224" s="7"/>
      <c r="B224" s="7"/>
      <c r="C224" s="7"/>
      <c r="D224" s="7"/>
      <c r="E224" s="7"/>
      <c r="F224" s="7"/>
      <c r="G224" s="7"/>
      <c r="H224" s="7"/>
      <c r="I224" s="7"/>
      <c r="J224" s="7"/>
      <c r="K224" s="7"/>
      <c r="L224" s="7"/>
      <c r="M224" s="7"/>
      <c r="N224" s="7"/>
      <c r="O224" s="7"/>
      <c r="P224" s="7"/>
      <c r="Q224" s="7"/>
      <c r="R224" s="7"/>
      <c r="S224" s="7"/>
      <c r="T224" s="50"/>
      <c r="U224" s="50"/>
      <c r="V224" s="7"/>
    </row>
    <row r="225">
      <c r="A225" s="7"/>
      <c r="B225" s="7"/>
      <c r="C225" s="7"/>
      <c r="D225" s="7"/>
      <c r="E225" s="7"/>
      <c r="F225" s="7"/>
      <c r="G225" s="7"/>
      <c r="H225" s="7"/>
      <c r="I225" s="7"/>
      <c r="J225" s="7"/>
      <c r="K225" s="7"/>
      <c r="L225" s="7"/>
      <c r="M225" s="7"/>
      <c r="N225" s="7"/>
      <c r="O225" s="7"/>
      <c r="P225" s="7"/>
      <c r="Q225" s="7"/>
      <c r="R225" s="7"/>
      <c r="S225" s="7"/>
      <c r="T225" s="50"/>
      <c r="U225" s="50"/>
      <c r="V225" s="7"/>
    </row>
    <row r="226">
      <c r="A226" s="7"/>
      <c r="B226" s="7"/>
      <c r="C226" s="7"/>
      <c r="D226" s="7"/>
      <c r="E226" s="7"/>
      <c r="F226" s="7"/>
      <c r="G226" s="7"/>
      <c r="H226" s="7"/>
      <c r="I226" s="7"/>
      <c r="J226" s="7"/>
      <c r="K226" s="7"/>
      <c r="L226" s="7"/>
      <c r="M226" s="7"/>
      <c r="N226" s="7"/>
      <c r="O226" s="7"/>
      <c r="P226" s="7"/>
      <c r="Q226" s="7"/>
      <c r="R226" s="7"/>
      <c r="S226" s="7"/>
      <c r="T226" s="50"/>
      <c r="U226" s="50"/>
      <c r="V226" s="7"/>
    </row>
    <row r="227">
      <c r="A227" s="7"/>
      <c r="B227" s="7"/>
      <c r="C227" s="7"/>
      <c r="D227" s="7"/>
      <c r="E227" s="7"/>
      <c r="F227" s="7"/>
      <c r="G227" s="7"/>
      <c r="H227" s="7"/>
      <c r="I227" s="7"/>
      <c r="J227" s="7"/>
      <c r="K227" s="7"/>
      <c r="L227" s="7"/>
      <c r="M227" s="7"/>
      <c r="N227" s="7"/>
      <c r="O227" s="7"/>
      <c r="P227" s="7"/>
      <c r="Q227" s="7"/>
      <c r="R227" s="7"/>
      <c r="S227" s="7"/>
      <c r="T227" s="50"/>
      <c r="U227" s="50"/>
      <c r="V227" s="7"/>
    </row>
    <row r="228">
      <c r="A228" s="7"/>
      <c r="B228" s="7"/>
      <c r="C228" s="7"/>
      <c r="D228" s="7"/>
      <c r="E228" s="7"/>
      <c r="F228" s="7"/>
      <c r="G228" s="7"/>
      <c r="H228" s="7"/>
      <c r="I228" s="7"/>
      <c r="J228" s="7"/>
      <c r="K228" s="7"/>
      <c r="L228" s="7"/>
      <c r="M228" s="7"/>
      <c r="N228" s="7"/>
      <c r="O228" s="7"/>
      <c r="P228" s="7"/>
      <c r="Q228" s="7"/>
      <c r="R228" s="7"/>
      <c r="S228" s="7"/>
      <c r="T228" s="50"/>
      <c r="U228" s="50"/>
      <c r="V228" s="7"/>
    </row>
    <row r="229">
      <c r="A229" s="7"/>
      <c r="B229" s="7"/>
      <c r="C229" s="7"/>
      <c r="D229" s="7"/>
      <c r="E229" s="7"/>
      <c r="F229" s="7"/>
      <c r="G229" s="7"/>
      <c r="H229" s="7"/>
      <c r="I229" s="7"/>
      <c r="J229" s="7"/>
      <c r="K229" s="7"/>
      <c r="L229" s="7"/>
      <c r="M229" s="7"/>
      <c r="N229" s="7"/>
      <c r="O229" s="7"/>
      <c r="P229" s="7"/>
      <c r="Q229" s="7"/>
      <c r="R229" s="7"/>
      <c r="S229" s="7"/>
      <c r="T229" s="50"/>
      <c r="U229" s="50"/>
      <c r="V229" s="7"/>
    </row>
    <row r="230">
      <c r="A230" s="7"/>
      <c r="B230" s="7"/>
      <c r="C230" s="7"/>
      <c r="D230" s="7"/>
      <c r="E230" s="7"/>
      <c r="F230" s="7"/>
      <c r="G230" s="7"/>
      <c r="H230" s="7"/>
      <c r="I230" s="7"/>
      <c r="J230" s="7"/>
      <c r="K230" s="7"/>
      <c r="L230" s="7"/>
      <c r="M230" s="7"/>
      <c r="N230" s="7"/>
      <c r="O230" s="7"/>
      <c r="P230" s="7"/>
      <c r="Q230" s="7"/>
      <c r="R230" s="7"/>
      <c r="S230" s="7"/>
      <c r="T230" s="50"/>
      <c r="U230" s="50"/>
      <c r="V230" s="7"/>
    </row>
    <row r="231">
      <c r="A231" s="7"/>
      <c r="B231" s="7"/>
      <c r="C231" s="7"/>
      <c r="D231" s="7"/>
      <c r="E231" s="7"/>
      <c r="F231" s="7"/>
      <c r="G231" s="7"/>
      <c r="H231" s="7"/>
      <c r="I231" s="7"/>
      <c r="J231" s="7"/>
      <c r="K231" s="7"/>
      <c r="L231" s="7"/>
      <c r="M231" s="7"/>
      <c r="N231" s="7"/>
      <c r="O231" s="7"/>
      <c r="P231" s="7"/>
      <c r="Q231" s="7"/>
      <c r="R231" s="7"/>
      <c r="S231" s="7"/>
      <c r="T231" s="50"/>
      <c r="U231" s="50"/>
      <c r="V231" s="7"/>
    </row>
    <row r="232">
      <c r="A232" s="7"/>
      <c r="B232" s="7"/>
      <c r="C232" s="7"/>
      <c r="D232" s="7"/>
      <c r="E232" s="7"/>
      <c r="F232" s="7"/>
      <c r="G232" s="7"/>
      <c r="H232" s="7"/>
      <c r="I232" s="7"/>
      <c r="J232" s="7"/>
      <c r="K232" s="7"/>
      <c r="L232" s="7"/>
      <c r="M232" s="7"/>
      <c r="N232" s="7"/>
      <c r="O232" s="7"/>
      <c r="P232" s="7"/>
      <c r="Q232" s="7"/>
      <c r="R232" s="7"/>
      <c r="S232" s="7"/>
      <c r="T232" s="50"/>
      <c r="U232" s="50"/>
      <c r="V232" s="7"/>
    </row>
    <row r="233">
      <c r="A233" s="7"/>
      <c r="B233" s="7"/>
      <c r="C233" s="7"/>
      <c r="D233" s="7"/>
      <c r="E233" s="7"/>
      <c r="F233" s="7"/>
      <c r="G233" s="7"/>
      <c r="H233" s="7"/>
      <c r="I233" s="7"/>
      <c r="J233" s="7"/>
      <c r="K233" s="7"/>
      <c r="L233" s="7"/>
      <c r="M233" s="7"/>
      <c r="N233" s="7"/>
      <c r="O233" s="7"/>
      <c r="P233" s="7"/>
      <c r="Q233" s="7"/>
      <c r="R233" s="7"/>
      <c r="S233" s="7"/>
      <c r="T233" s="50"/>
      <c r="U233" s="50"/>
      <c r="V233" s="7"/>
    </row>
    <row r="234">
      <c r="A234" s="7"/>
      <c r="B234" s="7"/>
      <c r="C234" s="7"/>
      <c r="D234" s="7"/>
      <c r="E234" s="7"/>
      <c r="F234" s="7"/>
      <c r="G234" s="7"/>
      <c r="H234" s="7"/>
      <c r="I234" s="7"/>
      <c r="J234" s="7"/>
      <c r="K234" s="7"/>
      <c r="L234" s="7"/>
      <c r="M234" s="7"/>
      <c r="N234" s="7"/>
      <c r="O234" s="7"/>
      <c r="P234" s="7"/>
      <c r="Q234" s="7"/>
      <c r="R234" s="7"/>
      <c r="S234" s="7"/>
      <c r="T234" s="50"/>
      <c r="U234" s="50"/>
      <c r="V234" s="7"/>
    </row>
    <row r="235">
      <c r="A235" s="7"/>
      <c r="B235" s="7"/>
      <c r="C235" s="7"/>
      <c r="D235" s="7"/>
      <c r="E235" s="7"/>
      <c r="F235" s="7"/>
      <c r="G235" s="7"/>
      <c r="H235" s="7"/>
      <c r="I235" s="7"/>
      <c r="J235" s="7"/>
      <c r="K235" s="7"/>
      <c r="L235" s="7"/>
      <c r="M235" s="7"/>
      <c r="N235" s="7"/>
      <c r="O235" s="7"/>
      <c r="P235" s="7"/>
      <c r="Q235" s="7"/>
      <c r="R235" s="7"/>
      <c r="S235" s="7"/>
      <c r="T235" s="50"/>
      <c r="U235" s="50"/>
      <c r="V235" s="7"/>
    </row>
    <row r="236">
      <c r="A236" s="7"/>
      <c r="B236" s="7"/>
      <c r="C236" s="7"/>
      <c r="D236" s="7"/>
      <c r="E236" s="7"/>
      <c r="F236" s="7"/>
      <c r="G236" s="7"/>
      <c r="H236" s="7"/>
      <c r="I236" s="7"/>
      <c r="J236" s="7"/>
      <c r="K236" s="7"/>
      <c r="L236" s="7"/>
      <c r="M236" s="7"/>
      <c r="N236" s="7"/>
      <c r="O236" s="7"/>
      <c r="P236" s="7"/>
      <c r="Q236" s="7"/>
      <c r="R236" s="7"/>
      <c r="S236" s="7"/>
      <c r="T236" s="50"/>
      <c r="U236" s="50"/>
      <c r="V236" s="7"/>
    </row>
    <row r="237">
      <c r="A237" s="7"/>
      <c r="B237" s="7"/>
      <c r="C237" s="7"/>
      <c r="D237" s="7"/>
      <c r="E237" s="7"/>
      <c r="F237" s="7"/>
      <c r="G237" s="7"/>
      <c r="H237" s="7"/>
      <c r="I237" s="7"/>
      <c r="J237" s="7"/>
      <c r="K237" s="7"/>
      <c r="L237" s="7"/>
      <c r="M237" s="7"/>
      <c r="N237" s="7"/>
      <c r="O237" s="7"/>
      <c r="P237" s="7"/>
      <c r="Q237" s="7"/>
      <c r="R237" s="7"/>
      <c r="S237" s="7"/>
      <c r="T237" s="50"/>
      <c r="U237" s="50"/>
      <c r="V237" s="7"/>
    </row>
    <row r="238">
      <c r="A238" s="7"/>
      <c r="B238" s="7"/>
      <c r="C238" s="7"/>
      <c r="D238" s="7"/>
      <c r="E238" s="7"/>
      <c r="F238" s="7"/>
      <c r="G238" s="7"/>
      <c r="H238" s="7"/>
      <c r="I238" s="7"/>
      <c r="J238" s="7"/>
      <c r="K238" s="7"/>
      <c r="L238" s="7"/>
      <c r="M238" s="7"/>
      <c r="N238" s="7"/>
      <c r="O238" s="7"/>
      <c r="P238" s="7"/>
      <c r="Q238" s="7"/>
      <c r="R238" s="7"/>
      <c r="S238" s="7"/>
      <c r="T238" s="50"/>
      <c r="U238" s="50"/>
      <c r="V238" s="7"/>
    </row>
    <row r="239">
      <c r="A239" s="7"/>
      <c r="B239" s="7"/>
      <c r="C239" s="7"/>
      <c r="D239" s="7"/>
      <c r="E239" s="7"/>
      <c r="F239" s="7"/>
      <c r="G239" s="7"/>
      <c r="H239" s="7"/>
      <c r="I239" s="7"/>
      <c r="J239" s="7"/>
      <c r="K239" s="7"/>
      <c r="L239" s="7"/>
      <c r="M239" s="7"/>
      <c r="N239" s="7"/>
      <c r="O239" s="7"/>
      <c r="P239" s="7"/>
      <c r="Q239" s="7"/>
      <c r="R239" s="7"/>
      <c r="S239" s="7"/>
      <c r="T239" s="50"/>
      <c r="U239" s="50"/>
      <c r="V239" s="7"/>
    </row>
    <row r="240">
      <c r="A240" s="7"/>
      <c r="B240" s="7"/>
      <c r="C240" s="7"/>
      <c r="D240" s="7"/>
      <c r="E240" s="7"/>
      <c r="F240" s="7"/>
      <c r="G240" s="7"/>
      <c r="H240" s="7"/>
      <c r="I240" s="7"/>
      <c r="J240" s="7"/>
      <c r="K240" s="7"/>
      <c r="L240" s="7"/>
      <c r="M240" s="7"/>
      <c r="N240" s="7"/>
      <c r="O240" s="7"/>
      <c r="P240" s="7"/>
      <c r="Q240" s="7"/>
      <c r="R240" s="7"/>
      <c r="S240" s="7"/>
      <c r="T240" s="50"/>
      <c r="U240" s="50"/>
      <c r="V240" s="7"/>
    </row>
    <row r="241">
      <c r="A241" s="7"/>
      <c r="B241" s="7"/>
      <c r="C241" s="7"/>
      <c r="D241" s="7"/>
      <c r="E241" s="7"/>
      <c r="F241" s="7"/>
      <c r="G241" s="7"/>
      <c r="H241" s="7"/>
      <c r="I241" s="7"/>
      <c r="J241" s="7"/>
      <c r="K241" s="7"/>
      <c r="L241" s="7"/>
      <c r="M241" s="7"/>
      <c r="N241" s="7"/>
      <c r="O241" s="7"/>
      <c r="P241" s="7"/>
      <c r="Q241" s="7"/>
      <c r="R241" s="7"/>
      <c r="S241" s="7"/>
      <c r="T241" s="50"/>
      <c r="U241" s="50"/>
      <c r="V241" s="7"/>
    </row>
    <row r="242">
      <c r="A242" s="7"/>
      <c r="B242" s="7"/>
      <c r="C242" s="7"/>
      <c r="D242" s="7"/>
      <c r="E242" s="7"/>
      <c r="F242" s="7"/>
      <c r="G242" s="7"/>
      <c r="H242" s="7"/>
      <c r="I242" s="7"/>
      <c r="J242" s="7"/>
      <c r="K242" s="7"/>
      <c r="L242" s="7"/>
      <c r="M242" s="7"/>
      <c r="N242" s="7"/>
      <c r="O242" s="7"/>
      <c r="P242" s="7"/>
      <c r="Q242" s="7"/>
      <c r="R242" s="7"/>
      <c r="S242" s="7"/>
      <c r="T242" s="50"/>
      <c r="U242" s="50"/>
      <c r="V242" s="7"/>
    </row>
    <row r="243">
      <c r="A243" s="7"/>
      <c r="B243" s="7"/>
      <c r="C243" s="7"/>
      <c r="D243" s="7"/>
      <c r="E243" s="7"/>
      <c r="F243" s="7"/>
      <c r="G243" s="7"/>
      <c r="H243" s="7"/>
      <c r="I243" s="7"/>
      <c r="J243" s="7"/>
      <c r="K243" s="7"/>
      <c r="L243" s="7"/>
      <c r="M243" s="7"/>
      <c r="N243" s="7"/>
      <c r="O243" s="7"/>
      <c r="P243" s="7"/>
      <c r="Q243" s="7"/>
      <c r="R243" s="7"/>
      <c r="S243" s="7"/>
      <c r="T243" s="50"/>
      <c r="U243" s="50"/>
      <c r="V243" s="7"/>
    </row>
    <row r="244">
      <c r="A244" s="7"/>
      <c r="B244" s="7"/>
      <c r="C244" s="7"/>
      <c r="D244" s="7"/>
      <c r="E244" s="7"/>
      <c r="F244" s="7"/>
      <c r="G244" s="7"/>
      <c r="H244" s="7"/>
      <c r="I244" s="7"/>
      <c r="J244" s="7"/>
      <c r="K244" s="7"/>
      <c r="L244" s="7"/>
      <c r="M244" s="7"/>
      <c r="N244" s="7"/>
      <c r="O244" s="7"/>
      <c r="P244" s="7"/>
      <c r="Q244" s="7"/>
      <c r="R244" s="7"/>
      <c r="S244" s="7"/>
      <c r="T244" s="50"/>
      <c r="U244" s="50"/>
      <c r="V244" s="7"/>
    </row>
    <row r="245">
      <c r="A245" s="7"/>
      <c r="B245" s="7"/>
      <c r="C245" s="7"/>
      <c r="D245" s="7"/>
      <c r="E245" s="7"/>
      <c r="F245" s="7"/>
      <c r="G245" s="7"/>
      <c r="H245" s="7"/>
      <c r="I245" s="7"/>
      <c r="J245" s="7"/>
      <c r="K245" s="7"/>
      <c r="L245" s="7"/>
      <c r="M245" s="7"/>
      <c r="N245" s="7"/>
      <c r="O245" s="7"/>
      <c r="P245" s="7"/>
      <c r="Q245" s="7"/>
      <c r="R245" s="7"/>
      <c r="S245" s="7"/>
      <c r="T245" s="50"/>
      <c r="U245" s="50"/>
      <c r="V245" s="7"/>
    </row>
    <row r="246">
      <c r="A246" s="7"/>
      <c r="B246" s="7"/>
      <c r="C246" s="7"/>
      <c r="D246" s="7"/>
      <c r="E246" s="7"/>
      <c r="F246" s="7"/>
      <c r="G246" s="7"/>
      <c r="H246" s="7"/>
      <c r="I246" s="7"/>
      <c r="J246" s="7"/>
      <c r="K246" s="7"/>
      <c r="L246" s="7"/>
      <c r="M246" s="7"/>
      <c r="N246" s="7"/>
      <c r="O246" s="7"/>
      <c r="P246" s="7"/>
      <c r="Q246" s="7"/>
      <c r="R246" s="7"/>
      <c r="S246" s="7"/>
      <c r="T246" s="50"/>
      <c r="U246" s="50"/>
      <c r="V246" s="7"/>
    </row>
    <row r="247">
      <c r="T247" s="50"/>
      <c r="U247" s="50"/>
    </row>
    <row r="248">
      <c r="T248" s="50"/>
      <c r="U248" s="50"/>
    </row>
    <row r="249">
      <c r="T249" s="50"/>
      <c r="U249" s="50"/>
    </row>
    <row r="250">
      <c r="T250" s="50"/>
      <c r="U250" s="50"/>
    </row>
    <row r="251">
      <c r="T251" s="50"/>
      <c r="U251" s="50"/>
    </row>
    <row r="252">
      <c r="T252" s="50"/>
      <c r="U252" s="50"/>
    </row>
    <row r="253">
      <c r="T253" s="50"/>
      <c r="U253" s="50"/>
    </row>
    <row r="254">
      <c r="T254" s="50"/>
      <c r="U254" s="50"/>
    </row>
    <row r="255">
      <c r="T255" s="50"/>
      <c r="U255" s="50"/>
    </row>
    <row r="256">
      <c r="T256" s="50"/>
      <c r="U256" s="50"/>
    </row>
    <row r="257">
      <c r="T257" s="50"/>
      <c r="U257" s="50"/>
    </row>
    <row r="258">
      <c r="T258" s="50"/>
      <c r="U258" s="50"/>
    </row>
    <row r="259">
      <c r="T259" s="50"/>
      <c r="U259" s="50"/>
    </row>
    <row r="260">
      <c r="T260" s="50"/>
      <c r="U260" s="50"/>
    </row>
    <row r="261">
      <c r="T261" s="50"/>
      <c r="U261" s="50"/>
    </row>
    <row r="262">
      <c r="T262" s="50"/>
      <c r="U262" s="50"/>
    </row>
    <row r="263">
      <c r="T263" s="50"/>
      <c r="U263" s="50"/>
    </row>
    <row r="264">
      <c r="T264" s="50"/>
      <c r="U264" s="50"/>
    </row>
    <row r="265">
      <c r="T265" s="50"/>
      <c r="U265" s="50"/>
    </row>
    <row r="266">
      <c r="T266" s="50"/>
      <c r="U266" s="50"/>
    </row>
    <row r="267">
      <c r="T267" s="50"/>
      <c r="U267" s="50"/>
    </row>
    <row r="268">
      <c r="T268" s="50"/>
      <c r="U268" s="50"/>
    </row>
    <row r="269">
      <c r="T269" s="50"/>
      <c r="U269" s="50"/>
    </row>
    <row r="270">
      <c r="T270" s="50"/>
      <c r="U270" s="50"/>
    </row>
    <row r="271">
      <c r="T271" s="50"/>
      <c r="U271" s="50"/>
    </row>
    <row r="272">
      <c r="T272" s="50"/>
      <c r="U272" s="50"/>
    </row>
    <row r="273">
      <c r="T273" s="50"/>
      <c r="U273" s="50"/>
    </row>
    <row r="274">
      <c r="T274" s="50"/>
      <c r="U274" s="50"/>
    </row>
    <row r="275">
      <c r="T275" s="50"/>
      <c r="U275" s="50"/>
    </row>
    <row r="276">
      <c r="T276" s="50"/>
      <c r="U276" s="50"/>
    </row>
    <row r="277">
      <c r="T277" s="50"/>
      <c r="U277" s="50"/>
    </row>
    <row r="278">
      <c r="T278" s="50"/>
      <c r="U278" s="50"/>
    </row>
    <row r="279">
      <c r="T279" s="50"/>
      <c r="U279" s="50"/>
    </row>
    <row r="280">
      <c r="T280" s="50"/>
      <c r="U280" s="50"/>
    </row>
    <row r="281">
      <c r="T281" s="50"/>
      <c r="U281" s="50"/>
    </row>
    <row r="282">
      <c r="T282" s="50"/>
      <c r="U282" s="50"/>
    </row>
    <row r="283">
      <c r="T283" s="50"/>
      <c r="U283" s="50"/>
    </row>
    <row r="284">
      <c r="T284" s="50"/>
      <c r="U284" s="50"/>
    </row>
    <row r="285">
      <c r="T285" s="50"/>
      <c r="U285" s="50"/>
    </row>
    <row r="286">
      <c r="T286" s="50"/>
      <c r="U286" s="50"/>
    </row>
    <row r="287">
      <c r="T287" s="50"/>
      <c r="U287" s="50"/>
    </row>
    <row r="288">
      <c r="T288" s="50"/>
      <c r="U288" s="50"/>
    </row>
    <row r="289">
      <c r="T289" s="50"/>
      <c r="U289" s="50"/>
    </row>
    <row r="290">
      <c r="T290" s="50"/>
      <c r="U290" s="50"/>
    </row>
    <row r="291">
      <c r="T291" s="50"/>
      <c r="U291" s="50"/>
    </row>
    <row r="292">
      <c r="T292" s="50"/>
      <c r="U292" s="50"/>
    </row>
    <row r="293">
      <c r="T293" s="50"/>
      <c r="U293" s="50"/>
    </row>
    <row r="294">
      <c r="T294" s="50"/>
      <c r="U294" s="50"/>
    </row>
    <row r="295">
      <c r="T295" s="50"/>
      <c r="U295" s="50"/>
    </row>
    <row r="296">
      <c r="T296" s="50"/>
      <c r="U296" s="50"/>
    </row>
    <row r="297">
      <c r="T297" s="50"/>
      <c r="U297" s="50"/>
    </row>
    <row r="298">
      <c r="T298" s="50"/>
      <c r="U298" s="50"/>
    </row>
    <row r="299">
      <c r="T299" s="50"/>
      <c r="U299" s="50"/>
    </row>
    <row r="300">
      <c r="T300" s="50"/>
      <c r="U300" s="50"/>
    </row>
    <row r="301">
      <c r="T301" s="50"/>
      <c r="U301" s="50"/>
    </row>
    <row r="302">
      <c r="T302" s="50"/>
      <c r="U302" s="50"/>
    </row>
    <row r="303">
      <c r="T303" s="50"/>
      <c r="U303" s="50"/>
    </row>
    <row r="304">
      <c r="T304" s="50"/>
      <c r="U304" s="50"/>
    </row>
    <row r="305">
      <c r="T305" s="50"/>
      <c r="U305" s="50"/>
    </row>
    <row r="306">
      <c r="T306" s="50"/>
      <c r="U306" s="50"/>
    </row>
    <row r="307">
      <c r="T307" s="50"/>
      <c r="U307" s="50"/>
    </row>
    <row r="308">
      <c r="T308" s="50"/>
      <c r="U308" s="50"/>
    </row>
    <row r="309">
      <c r="T309" s="50"/>
      <c r="U309" s="50"/>
    </row>
    <row r="310">
      <c r="T310" s="50"/>
      <c r="U310" s="50"/>
    </row>
    <row r="311">
      <c r="T311" s="50"/>
      <c r="U311" s="50"/>
    </row>
    <row r="312">
      <c r="T312" s="50"/>
      <c r="U312" s="50"/>
    </row>
    <row r="313">
      <c r="T313" s="50"/>
      <c r="U313" s="50"/>
    </row>
    <row r="314">
      <c r="T314" s="50"/>
      <c r="U314" s="50"/>
    </row>
    <row r="315">
      <c r="T315" s="50"/>
      <c r="U315" s="50"/>
    </row>
    <row r="316">
      <c r="T316" s="50"/>
      <c r="U316" s="50"/>
    </row>
    <row r="317">
      <c r="T317" s="50"/>
      <c r="U317" s="50"/>
    </row>
    <row r="318">
      <c r="T318" s="50"/>
      <c r="U318" s="50"/>
    </row>
    <row r="319">
      <c r="T319" s="50"/>
      <c r="U319" s="50"/>
    </row>
    <row r="320">
      <c r="T320" s="50"/>
      <c r="U320" s="50"/>
    </row>
    <row r="321">
      <c r="T321" s="50"/>
      <c r="U321" s="50"/>
    </row>
    <row r="322">
      <c r="T322" s="50"/>
      <c r="U322" s="50"/>
    </row>
    <row r="323">
      <c r="T323" s="50"/>
      <c r="U323" s="50"/>
    </row>
    <row r="324">
      <c r="T324" s="50"/>
      <c r="U324" s="50"/>
    </row>
    <row r="325">
      <c r="T325" s="50"/>
      <c r="U325" s="50"/>
    </row>
    <row r="326">
      <c r="T326" s="50"/>
      <c r="U326" s="50"/>
    </row>
    <row r="327">
      <c r="T327" s="50"/>
      <c r="U327" s="50"/>
    </row>
    <row r="328">
      <c r="T328" s="50"/>
      <c r="U328" s="50"/>
    </row>
    <row r="329">
      <c r="T329" s="50"/>
      <c r="U329" s="50"/>
    </row>
    <row r="330">
      <c r="T330" s="50"/>
      <c r="U330" s="50"/>
    </row>
    <row r="331">
      <c r="T331" s="50"/>
      <c r="U331" s="50"/>
    </row>
    <row r="332">
      <c r="T332" s="50"/>
      <c r="U332" s="50"/>
    </row>
    <row r="333">
      <c r="T333" s="50"/>
      <c r="U333" s="50"/>
    </row>
    <row r="334">
      <c r="T334" s="50"/>
      <c r="U334" s="50"/>
    </row>
    <row r="335">
      <c r="T335" s="50"/>
      <c r="U335" s="50"/>
    </row>
    <row r="336">
      <c r="T336" s="50"/>
      <c r="U336" s="50"/>
    </row>
    <row r="337">
      <c r="T337" s="50"/>
      <c r="U337" s="50"/>
    </row>
    <row r="338">
      <c r="T338" s="50"/>
      <c r="U338" s="50"/>
    </row>
    <row r="339">
      <c r="T339" s="50"/>
      <c r="U339" s="50"/>
    </row>
    <row r="340">
      <c r="T340" s="50"/>
      <c r="U340" s="50"/>
    </row>
    <row r="341">
      <c r="T341" s="50"/>
      <c r="U341" s="50"/>
    </row>
    <row r="342">
      <c r="T342" s="50"/>
      <c r="U342" s="50"/>
    </row>
    <row r="343">
      <c r="T343" s="50"/>
      <c r="U343" s="50"/>
    </row>
    <row r="344">
      <c r="T344" s="50"/>
      <c r="U344" s="50"/>
    </row>
    <row r="345">
      <c r="T345" s="50"/>
      <c r="U345" s="50"/>
    </row>
    <row r="346">
      <c r="T346" s="50"/>
      <c r="U346" s="50"/>
    </row>
    <row r="347">
      <c r="T347" s="50"/>
      <c r="U347" s="50"/>
    </row>
    <row r="348">
      <c r="T348" s="50"/>
      <c r="U348" s="50"/>
    </row>
    <row r="349">
      <c r="T349" s="50"/>
      <c r="U349" s="50"/>
    </row>
    <row r="350">
      <c r="T350" s="50"/>
      <c r="U350" s="50"/>
    </row>
    <row r="351">
      <c r="T351" s="50"/>
      <c r="U351" s="50"/>
    </row>
    <row r="352">
      <c r="T352" s="50"/>
      <c r="U352" s="50"/>
    </row>
    <row r="353">
      <c r="T353" s="50"/>
      <c r="U353" s="50"/>
    </row>
    <row r="354">
      <c r="T354" s="50"/>
      <c r="U354" s="50"/>
    </row>
    <row r="355">
      <c r="T355" s="50"/>
      <c r="U355" s="50"/>
    </row>
    <row r="356">
      <c r="T356" s="50"/>
      <c r="U356" s="50"/>
    </row>
    <row r="357">
      <c r="T357" s="50"/>
      <c r="U357" s="50"/>
    </row>
    <row r="358">
      <c r="T358" s="50"/>
      <c r="U358" s="50"/>
    </row>
    <row r="359">
      <c r="T359" s="50"/>
      <c r="U359" s="50"/>
    </row>
    <row r="360">
      <c r="T360" s="50"/>
      <c r="U360" s="50"/>
    </row>
    <row r="361">
      <c r="T361" s="50"/>
      <c r="U361" s="50"/>
    </row>
    <row r="362">
      <c r="T362" s="50"/>
      <c r="U362" s="50"/>
    </row>
    <row r="363">
      <c r="T363" s="50"/>
      <c r="U363" s="50"/>
    </row>
    <row r="364">
      <c r="T364" s="50"/>
      <c r="U364" s="50"/>
    </row>
    <row r="365">
      <c r="T365" s="50"/>
      <c r="U365" s="50"/>
    </row>
    <row r="366">
      <c r="T366" s="50"/>
      <c r="U366" s="50"/>
    </row>
    <row r="367">
      <c r="T367" s="50"/>
      <c r="U367" s="50"/>
    </row>
    <row r="368">
      <c r="T368" s="50"/>
      <c r="U368" s="50"/>
    </row>
    <row r="369">
      <c r="T369" s="50"/>
      <c r="U369" s="50"/>
    </row>
    <row r="370">
      <c r="T370" s="50"/>
      <c r="U370" s="50"/>
    </row>
    <row r="371">
      <c r="T371" s="50"/>
      <c r="U371" s="50"/>
    </row>
    <row r="372">
      <c r="T372" s="50"/>
      <c r="U372" s="50"/>
    </row>
    <row r="373">
      <c r="T373" s="50"/>
      <c r="U373" s="50"/>
    </row>
    <row r="374">
      <c r="T374" s="50"/>
      <c r="U374" s="50"/>
    </row>
    <row r="375">
      <c r="T375" s="50"/>
      <c r="U375" s="50"/>
    </row>
    <row r="376">
      <c r="T376" s="50"/>
      <c r="U376" s="50"/>
    </row>
    <row r="377">
      <c r="T377" s="50"/>
      <c r="U377" s="50"/>
    </row>
    <row r="378">
      <c r="T378" s="50"/>
      <c r="U378" s="50"/>
    </row>
    <row r="379">
      <c r="T379" s="50"/>
      <c r="U379" s="50"/>
    </row>
    <row r="380">
      <c r="T380" s="50"/>
      <c r="U380" s="50"/>
    </row>
    <row r="381">
      <c r="T381" s="50"/>
      <c r="U381" s="50"/>
    </row>
    <row r="382">
      <c r="T382" s="50"/>
      <c r="U382" s="50"/>
    </row>
    <row r="383">
      <c r="T383" s="50"/>
      <c r="U383" s="50"/>
    </row>
    <row r="384">
      <c r="T384" s="50"/>
      <c r="U384" s="50"/>
    </row>
    <row r="385">
      <c r="T385" s="50"/>
      <c r="U385" s="50"/>
    </row>
    <row r="386">
      <c r="T386" s="50"/>
      <c r="U386" s="50"/>
    </row>
    <row r="387">
      <c r="T387" s="50"/>
      <c r="U387" s="50"/>
    </row>
    <row r="388">
      <c r="T388" s="50"/>
      <c r="U388" s="50"/>
    </row>
    <row r="389">
      <c r="T389" s="50"/>
      <c r="U389" s="50"/>
    </row>
    <row r="390">
      <c r="T390" s="50"/>
      <c r="U390" s="50"/>
    </row>
    <row r="391">
      <c r="T391" s="50"/>
      <c r="U391" s="50"/>
    </row>
    <row r="392">
      <c r="T392" s="50"/>
      <c r="U392" s="50"/>
    </row>
    <row r="393">
      <c r="T393" s="50"/>
      <c r="U393" s="50"/>
    </row>
    <row r="394">
      <c r="T394" s="50"/>
      <c r="U394" s="50"/>
    </row>
    <row r="395">
      <c r="T395" s="50"/>
      <c r="U395" s="50"/>
    </row>
    <row r="396">
      <c r="T396" s="50"/>
      <c r="U396" s="50"/>
    </row>
    <row r="397">
      <c r="T397" s="50"/>
      <c r="U397" s="50"/>
    </row>
    <row r="398">
      <c r="T398" s="50"/>
      <c r="U398" s="50"/>
    </row>
    <row r="399">
      <c r="T399" s="50"/>
      <c r="U399" s="50"/>
    </row>
    <row r="400">
      <c r="T400" s="50"/>
      <c r="U400" s="50"/>
    </row>
    <row r="401">
      <c r="T401" s="50"/>
      <c r="U401" s="50"/>
    </row>
    <row r="402">
      <c r="T402" s="50"/>
      <c r="U402" s="50"/>
    </row>
    <row r="403">
      <c r="T403" s="50"/>
      <c r="U403" s="50"/>
    </row>
    <row r="404">
      <c r="T404" s="50"/>
      <c r="U404" s="50"/>
    </row>
    <row r="405">
      <c r="T405" s="50"/>
      <c r="U405" s="50"/>
    </row>
    <row r="406">
      <c r="T406" s="50"/>
      <c r="U406" s="50"/>
    </row>
    <row r="407">
      <c r="T407" s="50"/>
      <c r="U407" s="50"/>
    </row>
    <row r="408">
      <c r="T408" s="50"/>
      <c r="U408" s="50"/>
    </row>
    <row r="409">
      <c r="T409" s="50"/>
      <c r="U409" s="50"/>
    </row>
    <row r="410">
      <c r="T410" s="50"/>
      <c r="U410" s="50"/>
    </row>
    <row r="411">
      <c r="T411" s="50"/>
      <c r="U411" s="50"/>
    </row>
    <row r="412">
      <c r="T412" s="50"/>
      <c r="U412" s="50"/>
    </row>
    <row r="413">
      <c r="T413" s="50"/>
      <c r="U413" s="50"/>
    </row>
    <row r="414">
      <c r="T414" s="50"/>
      <c r="U414" s="50"/>
    </row>
    <row r="415">
      <c r="T415" s="50"/>
      <c r="U415" s="50"/>
    </row>
    <row r="416">
      <c r="T416" s="50"/>
      <c r="U416" s="50"/>
    </row>
    <row r="417">
      <c r="T417" s="50"/>
      <c r="U417" s="50"/>
    </row>
    <row r="418">
      <c r="T418" s="50"/>
      <c r="U418" s="50"/>
    </row>
    <row r="419">
      <c r="T419" s="50"/>
      <c r="U419" s="50"/>
    </row>
    <row r="420">
      <c r="T420" s="50"/>
      <c r="U420" s="50"/>
    </row>
    <row r="421">
      <c r="T421" s="50"/>
      <c r="U421" s="50"/>
    </row>
    <row r="422">
      <c r="T422" s="50"/>
      <c r="U422" s="50"/>
    </row>
    <row r="423">
      <c r="T423" s="50"/>
      <c r="U423" s="50"/>
    </row>
    <row r="424">
      <c r="T424" s="50"/>
      <c r="U424" s="50"/>
    </row>
    <row r="425">
      <c r="T425" s="50"/>
      <c r="U425" s="50"/>
    </row>
    <row r="426">
      <c r="T426" s="50"/>
      <c r="U426" s="50"/>
    </row>
    <row r="427">
      <c r="T427" s="50"/>
      <c r="U427" s="50"/>
    </row>
    <row r="428">
      <c r="T428" s="50"/>
      <c r="U428" s="50"/>
    </row>
    <row r="429">
      <c r="T429" s="50"/>
      <c r="U429" s="50"/>
    </row>
    <row r="430">
      <c r="T430" s="50"/>
      <c r="U430" s="50"/>
    </row>
    <row r="431">
      <c r="T431" s="50"/>
      <c r="U431" s="50"/>
    </row>
    <row r="432">
      <c r="T432" s="50"/>
      <c r="U432" s="50"/>
    </row>
    <row r="433">
      <c r="T433" s="50"/>
      <c r="U433" s="50"/>
    </row>
    <row r="434">
      <c r="T434" s="50"/>
      <c r="U434" s="50"/>
    </row>
    <row r="435">
      <c r="T435" s="50"/>
      <c r="U435" s="50"/>
    </row>
    <row r="436">
      <c r="T436" s="50"/>
      <c r="U436" s="50"/>
    </row>
    <row r="437">
      <c r="T437" s="50"/>
      <c r="U437" s="50"/>
    </row>
    <row r="438">
      <c r="T438" s="50"/>
      <c r="U438" s="50"/>
    </row>
    <row r="439">
      <c r="T439" s="50"/>
      <c r="U439" s="50"/>
    </row>
    <row r="440">
      <c r="T440" s="50"/>
      <c r="U440" s="50"/>
    </row>
    <row r="441">
      <c r="T441" s="50"/>
      <c r="U441" s="50"/>
    </row>
    <row r="442">
      <c r="T442" s="50"/>
      <c r="U442" s="50"/>
    </row>
    <row r="443">
      <c r="T443" s="50"/>
      <c r="U443" s="50"/>
    </row>
    <row r="444">
      <c r="T444" s="50"/>
      <c r="U444" s="50"/>
    </row>
    <row r="445">
      <c r="T445" s="50"/>
      <c r="U445" s="50"/>
    </row>
    <row r="446">
      <c r="T446" s="50"/>
      <c r="U446" s="50"/>
    </row>
    <row r="447">
      <c r="T447" s="50"/>
      <c r="U447" s="50"/>
    </row>
    <row r="448">
      <c r="T448" s="50"/>
      <c r="U448" s="50"/>
    </row>
    <row r="449">
      <c r="T449" s="50"/>
      <c r="U449" s="50"/>
    </row>
    <row r="450">
      <c r="T450" s="50"/>
      <c r="U450" s="50"/>
    </row>
    <row r="451">
      <c r="T451" s="50"/>
      <c r="U451" s="50"/>
    </row>
    <row r="452">
      <c r="T452" s="50"/>
      <c r="U452" s="50"/>
    </row>
    <row r="453">
      <c r="T453" s="50"/>
      <c r="U453" s="50"/>
    </row>
    <row r="454">
      <c r="T454" s="50"/>
      <c r="U454" s="50"/>
    </row>
    <row r="455">
      <c r="T455" s="50"/>
      <c r="U455" s="50"/>
    </row>
    <row r="456">
      <c r="T456" s="50"/>
      <c r="U456" s="50"/>
    </row>
    <row r="457">
      <c r="T457" s="50"/>
      <c r="U457" s="50"/>
    </row>
    <row r="458">
      <c r="T458" s="50"/>
      <c r="U458" s="50"/>
    </row>
    <row r="459">
      <c r="T459" s="50"/>
      <c r="U459" s="50"/>
    </row>
    <row r="460">
      <c r="T460" s="50"/>
      <c r="U460" s="50"/>
    </row>
    <row r="461">
      <c r="T461" s="50"/>
      <c r="U461" s="50"/>
    </row>
    <row r="462">
      <c r="T462" s="50"/>
      <c r="U462" s="50"/>
    </row>
    <row r="463">
      <c r="T463" s="50"/>
      <c r="U463" s="50"/>
    </row>
    <row r="464">
      <c r="T464" s="50"/>
      <c r="U464" s="50"/>
    </row>
    <row r="465">
      <c r="T465" s="50"/>
      <c r="U465" s="50"/>
    </row>
    <row r="466">
      <c r="T466" s="50"/>
      <c r="U466" s="50"/>
    </row>
    <row r="467">
      <c r="T467" s="50"/>
      <c r="U467" s="50"/>
    </row>
    <row r="468">
      <c r="T468" s="50"/>
      <c r="U468" s="50"/>
    </row>
    <row r="469">
      <c r="T469" s="50"/>
      <c r="U469" s="50"/>
    </row>
    <row r="470">
      <c r="T470" s="50"/>
      <c r="U470" s="50"/>
    </row>
    <row r="471">
      <c r="T471" s="50"/>
      <c r="U471" s="50"/>
    </row>
    <row r="472">
      <c r="T472" s="50"/>
      <c r="U472" s="50"/>
    </row>
    <row r="473">
      <c r="T473" s="50"/>
      <c r="U473" s="50"/>
    </row>
    <row r="474">
      <c r="T474" s="50"/>
      <c r="U474" s="50"/>
    </row>
    <row r="475">
      <c r="T475" s="50"/>
      <c r="U475" s="50"/>
    </row>
    <row r="476">
      <c r="T476" s="50"/>
      <c r="U476" s="50"/>
    </row>
    <row r="477">
      <c r="T477" s="50"/>
      <c r="U477" s="50"/>
    </row>
    <row r="478">
      <c r="T478" s="50"/>
      <c r="U478" s="50"/>
    </row>
    <row r="479">
      <c r="T479" s="50"/>
      <c r="U479" s="50"/>
    </row>
    <row r="480">
      <c r="T480" s="50"/>
      <c r="U480" s="50"/>
    </row>
    <row r="481">
      <c r="T481" s="50"/>
      <c r="U481" s="50"/>
    </row>
    <row r="482">
      <c r="T482" s="50"/>
      <c r="U482" s="50"/>
    </row>
    <row r="483">
      <c r="T483" s="50"/>
      <c r="U483" s="50"/>
    </row>
    <row r="484">
      <c r="T484" s="50"/>
      <c r="U484" s="50"/>
    </row>
    <row r="485">
      <c r="T485" s="50"/>
      <c r="U485" s="50"/>
    </row>
    <row r="486">
      <c r="T486" s="50"/>
      <c r="U486" s="50"/>
    </row>
    <row r="487">
      <c r="T487" s="50"/>
      <c r="U487" s="50"/>
    </row>
    <row r="488">
      <c r="T488" s="50"/>
      <c r="U488" s="50"/>
    </row>
    <row r="489">
      <c r="T489" s="50"/>
      <c r="U489" s="50"/>
    </row>
    <row r="490">
      <c r="T490" s="50"/>
      <c r="U490" s="50"/>
    </row>
    <row r="491">
      <c r="T491" s="50"/>
      <c r="U491" s="50"/>
    </row>
    <row r="492">
      <c r="T492" s="50"/>
      <c r="U492" s="50"/>
    </row>
    <row r="493">
      <c r="T493" s="50"/>
      <c r="U493" s="50"/>
    </row>
    <row r="494">
      <c r="T494" s="50"/>
      <c r="U494" s="50"/>
    </row>
    <row r="495">
      <c r="T495" s="50"/>
      <c r="U495" s="50"/>
    </row>
    <row r="496">
      <c r="T496" s="50"/>
      <c r="U496" s="50"/>
    </row>
    <row r="497">
      <c r="T497" s="50"/>
      <c r="U497" s="50"/>
    </row>
    <row r="498">
      <c r="T498" s="50"/>
      <c r="U498" s="50"/>
    </row>
    <row r="499">
      <c r="T499" s="50"/>
      <c r="U499" s="50"/>
    </row>
    <row r="500">
      <c r="T500" s="50"/>
      <c r="U500" s="50"/>
    </row>
    <row r="501">
      <c r="T501" s="50"/>
      <c r="U501" s="50"/>
    </row>
    <row r="502">
      <c r="T502" s="50"/>
      <c r="U502" s="50"/>
    </row>
    <row r="503">
      <c r="T503" s="50"/>
      <c r="U503" s="50"/>
    </row>
    <row r="504">
      <c r="T504" s="50"/>
      <c r="U504" s="50"/>
    </row>
    <row r="505">
      <c r="T505" s="50"/>
      <c r="U505" s="50"/>
    </row>
    <row r="506">
      <c r="T506" s="50"/>
      <c r="U506" s="50"/>
    </row>
    <row r="507">
      <c r="T507" s="50"/>
      <c r="U507" s="50"/>
    </row>
    <row r="508">
      <c r="T508" s="50"/>
      <c r="U508" s="50"/>
    </row>
    <row r="509">
      <c r="T509" s="50"/>
      <c r="U509" s="50"/>
    </row>
    <row r="510">
      <c r="T510" s="50"/>
      <c r="U510" s="50"/>
    </row>
    <row r="511">
      <c r="T511" s="50"/>
      <c r="U511" s="50"/>
    </row>
    <row r="512">
      <c r="T512" s="50"/>
      <c r="U512" s="50"/>
    </row>
    <row r="513">
      <c r="T513" s="50"/>
      <c r="U513" s="50"/>
    </row>
    <row r="514">
      <c r="T514" s="50"/>
      <c r="U514" s="50"/>
    </row>
    <row r="515">
      <c r="T515" s="50"/>
      <c r="U515" s="50"/>
    </row>
    <row r="516">
      <c r="T516" s="50"/>
      <c r="U516" s="50"/>
    </row>
    <row r="517">
      <c r="T517" s="50"/>
      <c r="U517" s="50"/>
    </row>
    <row r="518">
      <c r="T518" s="50"/>
      <c r="U518" s="50"/>
    </row>
    <row r="519">
      <c r="T519" s="50"/>
      <c r="U519" s="50"/>
    </row>
    <row r="520">
      <c r="T520" s="50"/>
      <c r="U520" s="50"/>
    </row>
    <row r="521">
      <c r="T521" s="50"/>
      <c r="U521" s="50"/>
    </row>
    <row r="522">
      <c r="T522" s="50"/>
      <c r="U522" s="50"/>
    </row>
    <row r="523">
      <c r="T523" s="50"/>
      <c r="U523" s="50"/>
    </row>
    <row r="524">
      <c r="T524" s="50"/>
      <c r="U524" s="50"/>
    </row>
    <row r="525">
      <c r="T525" s="50"/>
      <c r="U525" s="50"/>
    </row>
    <row r="526">
      <c r="T526" s="50"/>
      <c r="U526" s="50"/>
    </row>
    <row r="527">
      <c r="T527" s="50"/>
      <c r="U527" s="50"/>
    </row>
    <row r="528">
      <c r="T528" s="50"/>
      <c r="U528" s="50"/>
    </row>
    <row r="529">
      <c r="T529" s="50"/>
      <c r="U529" s="50"/>
    </row>
    <row r="530">
      <c r="T530" s="50"/>
      <c r="U530" s="50"/>
    </row>
    <row r="531">
      <c r="T531" s="50"/>
      <c r="U531" s="50"/>
    </row>
    <row r="532">
      <c r="T532" s="50"/>
      <c r="U532" s="50"/>
    </row>
    <row r="533">
      <c r="T533" s="50"/>
      <c r="U533" s="50"/>
    </row>
    <row r="534">
      <c r="T534" s="50"/>
      <c r="U534" s="50"/>
    </row>
    <row r="535">
      <c r="T535" s="50"/>
      <c r="U535" s="50"/>
    </row>
    <row r="536">
      <c r="T536" s="50"/>
      <c r="U536" s="50"/>
    </row>
    <row r="537">
      <c r="T537" s="50"/>
      <c r="U537" s="50"/>
    </row>
    <row r="538">
      <c r="T538" s="50"/>
      <c r="U538" s="50"/>
    </row>
    <row r="539">
      <c r="T539" s="50"/>
      <c r="U539" s="50"/>
    </row>
    <row r="540">
      <c r="T540" s="50"/>
      <c r="U540" s="50"/>
    </row>
    <row r="541">
      <c r="T541" s="50"/>
      <c r="U541" s="50"/>
    </row>
    <row r="542">
      <c r="T542" s="50"/>
      <c r="U542" s="50"/>
    </row>
    <row r="543">
      <c r="T543" s="50"/>
      <c r="U543" s="50"/>
    </row>
    <row r="544">
      <c r="T544" s="50"/>
      <c r="U544" s="50"/>
    </row>
    <row r="545">
      <c r="T545" s="50"/>
      <c r="U545" s="50"/>
    </row>
    <row r="546">
      <c r="T546" s="50"/>
      <c r="U546" s="50"/>
    </row>
    <row r="547">
      <c r="T547" s="50"/>
      <c r="U547" s="50"/>
    </row>
    <row r="548">
      <c r="T548" s="50"/>
      <c r="U548" s="50"/>
    </row>
    <row r="549">
      <c r="T549" s="50"/>
      <c r="U549" s="50"/>
    </row>
    <row r="550">
      <c r="T550" s="50"/>
      <c r="U550" s="50"/>
    </row>
    <row r="551">
      <c r="T551" s="50"/>
      <c r="U551" s="50"/>
    </row>
    <row r="552">
      <c r="T552" s="50"/>
      <c r="U552" s="50"/>
    </row>
    <row r="553">
      <c r="T553" s="50"/>
      <c r="U553" s="50"/>
    </row>
    <row r="554">
      <c r="T554" s="50"/>
      <c r="U554" s="50"/>
    </row>
    <row r="555">
      <c r="T555" s="50"/>
      <c r="U555" s="50"/>
    </row>
    <row r="556">
      <c r="T556" s="50"/>
      <c r="U556" s="50"/>
    </row>
    <row r="557">
      <c r="T557" s="50"/>
      <c r="U557" s="50"/>
    </row>
    <row r="558">
      <c r="T558" s="50"/>
      <c r="U558" s="50"/>
    </row>
    <row r="559">
      <c r="T559" s="50"/>
      <c r="U559" s="50"/>
    </row>
    <row r="560">
      <c r="T560" s="50"/>
      <c r="U560" s="50"/>
    </row>
    <row r="561">
      <c r="T561" s="50"/>
      <c r="U561" s="50"/>
    </row>
    <row r="562">
      <c r="T562" s="50"/>
      <c r="U562" s="50"/>
    </row>
    <row r="563">
      <c r="T563" s="50"/>
      <c r="U563" s="50"/>
    </row>
    <row r="564">
      <c r="T564" s="50"/>
      <c r="U564" s="50"/>
    </row>
    <row r="565">
      <c r="T565" s="50"/>
      <c r="U565" s="50"/>
    </row>
    <row r="566">
      <c r="T566" s="50"/>
      <c r="U566" s="50"/>
    </row>
    <row r="567">
      <c r="T567" s="50"/>
      <c r="U567" s="50"/>
    </row>
    <row r="568">
      <c r="T568" s="50"/>
      <c r="U568" s="50"/>
    </row>
    <row r="569">
      <c r="T569" s="50"/>
      <c r="U569" s="50"/>
    </row>
    <row r="570">
      <c r="T570" s="50"/>
      <c r="U570" s="50"/>
    </row>
    <row r="571">
      <c r="T571" s="50"/>
      <c r="U571" s="50"/>
    </row>
    <row r="572">
      <c r="T572" s="50"/>
      <c r="U572" s="50"/>
    </row>
    <row r="573">
      <c r="T573" s="50"/>
      <c r="U573" s="50"/>
    </row>
    <row r="574">
      <c r="T574" s="50"/>
      <c r="U574" s="50"/>
    </row>
    <row r="575">
      <c r="T575" s="50"/>
      <c r="U575" s="50"/>
    </row>
    <row r="576">
      <c r="T576" s="50"/>
      <c r="U576" s="50"/>
    </row>
    <row r="577">
      <c r="T577" s="50"/>
      <c r="U577" s="50"/>
    </row>
    <row r="578">
      <c r="T578" s="50"/>
      <c r="U578" s="50"/>
    </row>
    <row r="579">
      <c r="T579" s="50"/>
      <c r="U579" s="50"/>
    </row>
    <row r="580">
      <c r="T580" s="50"/>
      <c r="U580" s="50"/>
    </row>
    <row r="581">
      <c r="T581" s="50"/>
      <c r="U581" s="50"/>
    </row>
    <row r="582">
      <c r="T582" s="50"/>
      <c r="U582" s="50"/>
    </row>
    <row r="583">
      <c r="T583" s="50"/>
      <c r="U583" s="50"/>
    </row>
    <row r="584">
      <c r="T584" s="50"/>
      <c r="U584" s="50"/>
    </row>
    <row r="585">
      <c r="T585" s="50"/>
      <c r="U585" s="50"/>
    </row>
    <row r="586">
      <c r="T586" s="50"/>
      <c r="U586" s="50"/>
    </row>
    <row r="587">
      <c r="T587" s="50"/>
      <c r="U587" s="50"/>
    </row>
    <row r="588">
      <c r="T588" s="50"/>
      <c r="U588" s="50"/>
    </row>
    <row r="589">
      <c r="T589" s="50"/>
      <c r="U589" s="50"/>
    </row>
    <row r="590">
      <c r="T590" s="50"/>
      <c r="U590" s="50"/>
    </row>
    <row r="591">
      <c r="T591" s="50"/>
      <c r="U591" s="50"/>
    </row>
    <row r="592">
      <c r="T592" s="50"/>
      <c r="U592" s="50"/>
    </row>
    <row r="593">
      <c r="T593" s="50"/>
      <c r="U593" s="50"/>
    </row>
    <row r="594">
      <c r="T594" s="50"/>
      <c r="U594" s="50"/>
    </row>
    <row r="595">
      <c r="T595" s="50"/>
      <c r="U595" s="50"/>
    </row>
    <row r="596">
      <c r="T596" s="50"/>
      <c r="U596" s="50"/>
    </row>
    <row r="597">
      <c r="T597" s="50"/>
      <c r="U597" s="50"/>
    </row>
    <row r="598">
      <c r="T598" s="50"/>
      <c r="U598" s="50"/>
    </row>
    <row r="599">
      <c r="T599" s="50"/>
      <c r="U599" s="50"/>
    </row>
    <row r="600">
      <c r="T600" s="50"/>
      <c r="U600" s="50"/>
    </row>
    <row r="601">
      <c r="T601" s="50"/>
      <c r="U601" s="50"/>
    </row>
    <row r="602">
      <c r="T602" s="50"/>
      <c r="U602" s="50"/>
    </row>
    <row r="603">
      <c r="T603" s="50"/>
      <c r="U603" s="50"/>
    </row>
    <row r="604">
      <c r="T604" s="50"/>
      <c r="U604" s="50"/>
    </row>
    <row r="605">
      <c r="T605" s="50"/>
      <c r="U605" s="50"/>
    </row>
    <row r="606">
      <c r="T606" s="50"/>
      <c r="U606" s="50"/>
    </row>
    <row r="607">
      <c r="T607" s="50"/>
      <c r="U607" s="50"/>
    </row>
    <row r="608">
      <c r="T608" s="50"/>
      <c r="U608" s="50"/>
    </row>
    <row r="609">
      <c r="T609" s="50"/>
      <c r="U609" s="50"/>
    </row>
    <row r="610">
      <c r="T610" s="50"/>
      <c r="U610" s="50"/>
    </row>
    <row r="611">
      <c r="T611" s="50"/>
      <c r="U611" s="50"/>
    </row>
    <row r="612">
      <c r="T612" s="50"/>
      <c r="U612" s="50"/>
    </row>
    <row r="613">
      <c r="T613" s="50"/>
      <c r="U613" s="50"/>
    </row>
    <row r="614">
      <c r="T614" s="50"/>
      <c r="U614" s="50"/>
    </row>
    <row r="615">
      <c r="T615" s="50"/>
      <c r="U615" s="50"/>
    </row>
    <row r="616">
      <c r="T616" s="50"/>
      <c r="U616" s="50"/>
    </row>
    <row r="617">
      <c r="T617" s="50"/>
      <c r="U617" s="50"/>
    </row>
    <row r="618">
      <c r="T618" s="50"/>
      <c r="U618" s="50"/>
    </row>
    <row r="619">
      <c r="T619" s="50"/>
      <c r="U619" s="50"/>
    </row>
    <row r="620">
      <c r="T620" s="50"/>
      <c r="U620" s="50"/>
    </row>
    <row r="621">
      <c r="T621" s="50"/>
      <c r="U621" s="50"/>
    </row>
    <row r="622">
      <c r="T622" s="50"/>
      <c r="U622" s="50"/>
    </row>
    <row r="623">
      <c r="T623" s="50"/>
      <c r="U623" s="50"/>
    </row>
    <row r="624">
      <c r="T624" s="50"/>
      <c r="U624" s="50"/>
    </row>
    <row r="625">
      <c r="T625" s="50"/>
      <c r="U625" s="50"/>
    </row>
    <row r="626">
      <c r="T626" s="50"/>
      <c r="U626" s="50"/>
    </row>
    <row r="627">
      <c r="T627" s="50"/>
      <c r="U627" s="50"/>
    </row>
    <row r="628">
      <c r="T628" s="50"/>
      <c r="U628" s="50"/>
    </row>
    <row r="629">
      <c r="T629" s="50"/>
      <c r="U629" s="50"/>
    </row>
    <row r="630">
      <c r="T630" s="50"/>
      <c r="U630" s="50"/>
    </row>
    <row r="631">
      <c r="T631" s="50"/>
      <c r="U631" s="50"/>
    </row>
    <row r="632">
      <c r="T632" s="50"/>
      <c r="U632" s="50"/>
    </row>
    <row r="633">
      <c r="T633" s="50"/>
      <c r="U633" s="50"/>
    </row>
    <row r="634">
      <c r="T634" s="50"/>
      <c r="U634" s="50"/>
    </row>
    <row r="635">
      <c r="T635" s="50"/>
      <c r="U635" s="50"/>
    </row>
    <row r="636">
      <c r="T636" s="50"/>
      <c r="U636" s="50"/>
    </row>
    <row r="637">
      <c r="T637" s="50"/>
      <c r="U637" s="50"/>
    </row>
    <row r="638">
      <c r="T638" s="50"/>
      <c r="U638" s="50"/>
    </row>
    <row r="639">
      <c r="T639" s="50"/>
      <c r="U639" s="50"/>
    </row>
    <row r="640">
      <c r="T640" s="50"/>
      <c r="U640" s="50"/>
    </row>
    <row r="641">
      <c r="T641" s="50"/>
      <c r="U641" s="50"/>
    </row>
    <row r="642">
      <c r="T642" s="50"/>
      <c r="U642" s="50"/>
    </row>
    <row r="643">
      <c r="T643" s="50"/>
      <c r="U643" s="50"/>
    </row>
    <row r="644">
      <c r="T644" s="50"/>
      <c r="U644" s="50"/>
    </row>
    <row r="645">
      <c r="T645" s="50"/>
      <c r="U645" s="50"/>
    </row>
    <row r="646">
      <c r="T646" s="50"/>
      <c r="U646" s="50"/>
    </row>
    <row r="647">
      <c r="T647" s="50"/>
      <c r="U647" s="50"/>
    </row>
    <row r="648">
      <c r="T648" s="50"/>
      <c r="U648" s="50"/>
    </row>
    <row r="649">
      <c r="T649" s="50"/>
      <c r="U649" s="50"/>
    </row>
    <row r="650">
      <c r="T650" s="50"/>
      <c r="U650" s="50"/>
    </row>
    <row r="651">
      <c r="T651" s="50"/>
      <c r="U651" s="50"/>
    </row>
    <row r="652">
      <c r="T652" s="50"/>
      <c r="U652" s="50"/>
    </row>
    <row r="653">
      <c r="T653" s="50"/>
      <c r="U653" s="50"/>
    </row>
    <row r="654">
      <c r="T654" s="50"/>
      <c r="U654" s="50"/>
    </row>
    <row r="655">
      <c r="T655" s="50"/>
      <c r="U655" s="50"/>
    </row>
    <row r="656">
      <c r="T656" s="50"/>
      <c r="U656" s="50"/>
    </row>
    <row r="657">
      <c r="T657" s="50"/>
      <c r="U657" s="50"/>
    </row>
    <row r="658">
      <c r="T658" s="50"/>
      <c r="U658" s="50"/>
    </row>
    <row r="659">
      <c r="T659" s="50"/>
      <c r="U659" s="50"/>
    </row>
    <row r="660">
      <c r="T660" s="50"/>
      <c r="U660" s="50"/>
    </row>
    <row r="661">
      <c r="T661" s="50"/>
      <c r="U661" s="50"/>
    </row>
    <row r="662">
      <c r="T662" s="50"/>
      <c r="U662" s="50"/>
    </row>
    <row r="663">
      <c r="T663" s="50"/>
      <c r="U663" s="50"/>
    </row>
    <row r="664">
      <c r="T664" s="50"/>
      <c r="U664" s="50"/>
    </row>
    <row r="665">
      <c r="T665" s="50"/>
      <c r="U665" s="50"/>
    </row>
    <row r="666">
      <c r="T666" s="50"/>
      <c r="U666" s="50"/>
    </row>
    <row r="667">
      <c r="T667" s="50"/>
      <c r="U667" s="50"/>
    </row>
    <row r="668">
      <c r="T668" s="50"/>
      <c r="U668" s="50"/>
    </row>
    <row r="669">
      <c r="T669" s="50"/>
      <c r="U669" s="50"/>
    </row>
    <row r="670">
      <c r="T670" s="50"/>
      <c r="U670" s="50"/>
    </row>
    <row r="671">
      <c r="T671" s="50"/>
      <c r="U671" s="50"/>
    </row>
    <row r="672">
      <c r="T672" s="50"/>
      <c r="U672" s="50"/>
    </row>
    <row r="673">
      <c r="T673" s="50"/>
      <c r="U673" s="50"/>
    </row>
    <row r="674">
      <c r="T674" s="50"/>
      <c r="U674" s="50"/>
    </row>
    <row r="675">
      <c r="T675" s="50"/>
      <c r="U675" s="50"/>
    </row>
    <row r="676">
      <c r="T676" s="50"/>
      <c r="U676" s="50"/>
    </row>
    <row r="677">
      <c r="T677" s="50"/>
      <c r="U677" s="50"/>
    </row>
    <row r="678">
      <c r="T678" s="50"/>
      <c r="U678" s="50"/>
    </row>
    <row r="679">
      <c r="T679" s="50"/>
      <c r="U679" s="50"/>
    </row>
    <row r="680">
      <c r="T680" s="50"/>
      <c r="U680" s="50"/>
    </row>
    <row r="681">
      <c r="T681" s="50"/>
      <c r="U681" s="50"/>
    </row>
    <row r="682">
      <c r="T682" s="50"/>
      <c r="U682" s="50"/>
    </row>
    <row r="683">
      <c r="T683" s="50"/>
      <c r="U683" s="50"/>
    </row>
    <row r="684">
      <c r="T684" s="50"/>
      <c r="U684" s="50"/>
    </row>
    <row r="685">
      <c r="T685" s="50"/>
      <c r="U685" s="50"/>
    </row>
    <row r="686">
      <c r="T686" s="50"/>
      <c r="U686" s="50"/>
    </row>
    <row r="687">
      <c r="T687" s="50"/>
      <c r="U687" s="50"/>
    </row>
    <row r="688">
      <c r="T688" s="50"/>
      <c r="U688" s="50"/>
    </row>
    <row r="689">
      <c r="T689" s="50"/>
      <c r="U689" s="50"/>
    </row>
    <row r="690">
      <c r="T690" s="50"/>
      <c r="U690" s="50"/>
    </row>
    <row r="691">
      <c r="T691" s="50"/>
      <c r="U691" s="50"/>
    </row>
    <row r="692">
      <c r="T692" s="50"/>
      <c r="U692" s="50"/>
    </row>
    <row r="693">
      <c r="T693" s="50"/>
      <c r="U693" s="50"/>
    </row>
    <row r="694">
      <c r="T694" s="50"/>
      <c r="U694" s="50"/>
    </row>
    <row r="695">
      <c r="T695" s="50"/>
      <c r="U695" s="50"/>
    </row>
    <row r="696">
      <c r="T696" s="50"/>
      <c r="U696" s="50"/>
    </row>
    <row r="697">
      <c r="T697" s="50"/>
      <c r="U697" s="50"/>
    </row>
    <row r="698">
      <c r="T698" s="50"/>
      <c r="U698" s="50"/>
    </row>
    <row r="699">
      <c r="T699" s="50"/>
      <c r="U699" s="50"/>
    </row>
    <row r="700">
      <c r="T700" s="50"/>
      <c r="U700" s="50"/>
    </row>
    <row r="701">
      <c r="T701" s="50"/>
      <c r="U701" s="50"/>
    </row>
    <row r="702">
      <c r="T702" s="50"/>
      <c r="U702" s="50"/>
    </row>
    <row r="703">
      <c r="T703" s="50"/>
      <c r="U703" s="50"/>
    </row>
    <row r="704">
      <c r="T704" s="50"/>
      <c r="U704" s="50"/>
    </row>
    <row r="705">
      <c r="T705" s="50"/>
      <c r="U705" s="50"/>
    </row>
    <row r="706">
      <c r="T706" s="50"/>
      <c r="U706" s="50"/>
    </row>
    <row r="707">
      <c r="T707" s="50"/>
      <c r="U707" s="50"/>
    </row>
    <row r="708">
      <c r="T708" s="50"/>
      <c r="U708" s="50"/>
    </row>
    <row r="709">
      <c r="T709" s="50"/>
      <c r="U709" s="50"/>
    </row>
    <row r="710">
      <c r="T710" s="50"/>
      <c r="U710" s="50"/>
    </row>
    <row r="711">
      <c r="T711" s="50"/>
      <c r="U711" s="50"/>
    </row>
    <row r="712">
      <c r="T712" s="50"/>
      <c r="U712" s="50"/>
    </row>
    <row r="713">
      <c r="T713" s="50"/>
      <c r="U713" s="50"/>
    </row>
    <row r="714">
      <c r="T714" s="50"/>
      <c r="U714" s="50"/>
    </row>
    <row r="715">
      <c r="T715" s="50"/>
      <c r="U715" s="50"/>
    </row>
    <row r="716">
      <c r="T716" s="50"/>
      <c r="U716" s="50"/>
    </row>
    <row r="717">
      <c r="T717" s="50"/>
      <c r="U717" s="50"/>
    </row>
    <row r="718">
      <c r="T718" s="50"/>
      <c r="U718" s="50"/>
    </row>
    <row r="719">
      <c r="T719" s="50"/>
      <c r="U719" s="50"/>
    </row>
    <row r="720">
      <c r="T720" s="50"/>
      <c r="U720" s="50"/>
    </row>
    <row r="721">
      <c r="T721" s="50"/>
      <c r="U721" s="50"/>
    </row>
    <row r="722">
      <c r="T722" s="50"/>
      <c r="U722" s="50"/>
    </row>
    <row r="723">
      <c r="T723" s="50"/>
      <c r="U723" s="50"/>
    </row>
    <row r="724">
      <c r="T724" s="50"/>
      <c r="U724" s="50"/>
    </row>
    <row r="725">
      <c r="T725" s="50"/>
      <c r="U725" s="50"/>
    </row>
    <row r="726">
      <c r="T726" s="50"/>
      <c r="U726" s="50"/>
    </row>
    <row r="727">
      <c r="T727" s="50"/>
      <c r="U727" s="50"/>
    </row>
    <row r="728">
      <c r="T728" s="50"/>
      <c r="U728" s="50"/>
    </row>
    <row r="729">
      <c r="T729" s="50"/>
      <c r="U729" s="50"/>
    </row>
    <row r="730">
      <c r="T730" s="50"/>
      <c r="U730" s="50"/>
    </row>
    <row r="731">
      <c r="T731" s="50"/>
      <c r="U731" s="50"/>
    </row>
    <row r="732">
      <c r="T732" s="50"/>
      <c r="U732" s="50"/>
    </row>
    <row r="733">
      <c r="T733" s="50"/>
      <c r="U733" s="50"/>
    </row>
    <row r="734">
      <c r="T734" s="50"/>
      <c r="U734" s="50"/>
    </row>
    <row r="735">
      <c r="T735" s="50"/>
      <c r="U735" s="50"/>
    </row>
    <row r="736">
      <c r="T736" s="50"/>
      <c r="U736" s="50"/>
    </row>
    <row r="737">
      <c r="T737" s="50"/>
      <c r="U737" s="50"/>
    </row>
    <row r="738">
      <c r="T738" s="50"/>
      <c r="U738" s="50"/>
    </row>
    <row r="739">
      <c r="T739" s="50"/>
      <c r="U739" s="50"/>
    </row>
    <row r="740">
      <c r="T740" s="50"/>
      <c r="U740" s="50"/>
    </row>
    <row r="741">
      <c r="T741" s="50"/>
      <c r="U741" s="50"/>
    </row>
    <row r="742">
      <c r="T742" s="50"/>
      <c r="U742" s="50"/>
    </row>
    <row r="743">
      <c r="T743" s="50"/>
      <c r="U743" s="50"/>
    </row>
    <row r="744">
      <c r="T744" s="50"/>
      <c r="U744" s="50"/>
    </row>
    <row r="745">
      <c r="T745" s="50"/>
      <c r="U745" s="50"/>
    </row>
    <row r="746">
      <c r="T746" s="50"/>
      <c r="U746" s="50"/>
    </row>
    <row r="747">
      <c r="T747" s="50"/>
      <c r="U747" s="50"/>
    </row>
    <row r="748">
      <c r="T748" s="50"/>
      <c r="U748" s="50"/>
    </row>
    <row r="749">
      <c r="T749" s="50"/>
      <c r="U749" s="50"/>
    </row>
    <row r="750">
      <c r="T750" s="50"/>
      <c r="U750" s="50"/>
    </row>
    <row r="751">
      <c r="T751" s="50"/>
      <c r="U751" s="50"/>
    </row>
    <row r="752">
      <c r="T752" s="50"/>
      <c r="U752" s="50"/>
    </row>
    <row r="753">
      <c r="T753" s="50"/>
      <c r="U753" s="50"/>
    </row>
    <row r="754">
      <c r="T754" s="50"/>
      <c r="U754" s="50"/>
    </row>
    <row r="755">
      <c r="T755" s="50"/>
      <c r="U755" s="50"/>
    </row>
    <row r="756">
      <c r="T756" s="50"/>
      <c r="U756" s="50"/>
    </row>
    <row r="757">
      <c r="T757" s="50"/>
      <c r="U757" s="50"/>
    </row>
    <row r="758">
      <c r="T758" s="50"/>
      <c r="U758" s="50"/>
    </row>
    <row r="759">
      <c r="T759" s="50"/>
      <c r="U759" s="50"/>
    </row>
    <row r="760">
      <c r="T760" s="50"/>
      <c r="U760" s="50"/>
    </row>
    <row r="761">
      <c r="T761" s="50"/>
      <c r="U761" s="50"/>
    </row>
    <row r="762">
      <c r="T762" s="50"/>
      <c r="U762" s="50"/>
    </row>
    <row r="763">
      <c r="T763" s="50"/>
      <c r="U763" s="50"/>
    </row>
    <row r="764">
      <c r="T764" s="50"/>
      <c r="U764" s="50"/>
    </row>
    <row r="765">
      <c r="T765" s="50"/>
      <c r="U765" s="50"/>
    </row>
    <row r="766">
      <c r="T766" s="50"/>
      <c r="U766" s="50"/>
    </row>
    <row r="767">
      <c r="T767" s="50"/>
      <c r="U767" s="50"/>
    </row>
    <row r="768">
      <c r="T768" s="50"/>
      <c r="U768" s="50"/>
    </row>
    <row r="769">
      <c r="T769" s="50"/>
      <c r="U769" s="50"/>
    </row>
    <row r="770">
      <c r="T770" s="50"/>
      <c r="U770" s="50"/>
    </row>
    <row r="771">
      <c r="T771" s="50"/>
      <c r="U771" s="50"/>
    </row>
    <row r="772">
      <c r="T772" s="50"/>
      <c r="U772" s="50"/>
    </row>
    <row r="773">
      <c r="T773" s="50"/>
      <c r="U773" s="50"/>
    </row>
    <row r="774">
      <c r="T774" s="50"/>
      <c r="U774" s="50"/>
    </row>
    <row r="775">
      <c r="T775" s="50"/>
      <c r="U775" s="50"/>
    </row>
    <row r="776">
      <c r="T776" s="50"/>
      <c r="U776" s="50"/>
    </row>
    <row r="777">
      <c r="T777" s="50"/>
      <c r="U777" s="50"/>
    </row>
    <row r="778">
      <c r="T778" s="50"/>
      <c r="U778" s="50"/>
    </row>
    <row r="779">
      <c r="T779" s="50"/>
      <c r="U779" s="50"/>
    </row>
    <row r="780">
      <c r="T780" s="50"/>
      <c r="U780" s="50"/>
    </row>
    <row r="781">
      <c r="T781" s="50"/>
      <c r="U781" s="50"/>
    </row>
    <row r="782">
      <c r="T782" s="50"/>
      <c r="U782" s="50"/>
    </row>
    <row r="783">
      <c r="T783" s="50"/>
      <c r="U783" s="50"/>
    </row>
    <row r="784">
      <c r="T784" s="50"/>
      <c r="U784" s="50"/>
    </row>
    <row r="785">
      <c r="T785" s="50"/>
      <c r="U785" s="50"/>
    </row>
    <row r="786">
      <c r="T786" s="50"/>
      <c r="U786" s="50"/>
    </row>
    <row r="787">
      <c r="T787" s="50"/>
      <c r="U787" s="50"/>
    </row>
    <row r="788">
      <c r="T788" s="50"/>
      <c r="U788" s="50"/>
    </row>
    <row r="789">
      <c r="T789" s="50"/>
      <c r="U789" s="50"/>
    </row>
    <row r="790">
      <c r="T790" s="50"/>
      <c r="U790" s="50"/>
    </row>
    <row r="791">
      <c r="T791" s="50"/>
      <c r="U791" s="50"/>
    </row>
    <row r="792">
      <c r="T792" s="50"/>
      <c r="U792" s="50"/>
    </row>
    <row r="793">
      <c r="T793" s="50"/>
      <c r="U793" s="50"/>
    </row>
    <row r="794">
      <c r="T794" s="50"/>
      <c r="U794" s="50"/>
    </row>
    <row r="795">
      <c r="T795" s="50"/>
      <c r="U795" s="50"/>
    </row>
    <row r="796">
      <c r="T796" s="50"/>
      <c r="U796" s="50"/>
    </row>
    <row r="797">
      <c r="T797" s="50"/>
      <c r="U797" s="50"/>
    </row>
    <row r="798">
      <c r="T798" s="50"/>
      <c r="U798" s="50"/>
    </row>
    <row r="799">
      <c r="T799" s="50"/>
      <c r="U799" s="50"/>
    </row>
    <row r="800">
      <c r="T800" s="50"/>
      <c r="U800" s="50"/>
    </row>
    <row r="801">
      <c r="T801" s="50"/>
      <c r="U801" s="50"/>
    </row>
    <row r="802">
      <c r="T802" s="50"/>
      <c r="U802" s="50"/>
    </row>
    <row r="803">
      <c r="T803" s="50"/>
      <c r="U803" s="50"/>
    </row>
    <row r="804">
      <c r="T804" s="50"/>
      <c r="U804" s="50"/>
    </row>
    <row r="805">
      <c r="T805" s="50"/>
      <c r="U805" s="50"/>
    </row>
    <row r="806">
      <c r="T806" s="50"/>
      <c r="U806" s="50"/>
    </row>
    <row r="807">
      <c r="T807" s="50"/>
      <c r="U807" s="50"/>
    </row>
    <row r="808">
      <c r="T808" s="50"/>
      <c r="U808" s="50"/>
    </row>
    <row r="809">
      <c r="T809" s="50"/>
      <c r="U809" s="50"/>
    </row>
    <row r="810">
      <c r="T810" s="50"/>
      <c r="U810" s="50"/>
    </row>
    <row r="811">
      <c r="T811" s="50"/>
      <c r="U811" s="50"/>
    </row>
    <row r="812">
      <c r="T812" s="50"/>
      <c r="U812" s="50"/>
    </row>
    <row r="813">
      <c r="T813" s="50"/>
      <c r="U813" s="50"/>
    </row>
    <row r="814">
      <c r="T814" s="50"/>
      <c r="U814" s="50"/>
    </row>
    <row r="815">
      <c r="T815" s="50"/>
      <c r="U815" s="50"/>
    </row>
    <row r="816">
      <c r="T816" s="50"/>
      <c r="U816" s="50"/>
    </row>
    <row r="817">
      <c r="T817" s="50"/>
      <c r="U817" s="50"/>
    </row>
    <row r="818">
      <c r="T818" s="50"/>
      <c r="U818" s="50"/>
    </row>
    <row r="819">
      <c r="T819" s="50"/>
      <c r="U819" s="50"/>
    </row>
    <row r="820">
      <c r="T820" s="50"/>
      <c r="U820" s="50"/>
    </row>
    <row r="821">
      <c r="T821" s="50"/>
      <c r="U821" s="50"/>
    </row>
    <row r="822">
      <c r="T822" s="50"/>
      <c r="U822" s="50"/>
    </row>
    <row r="823">
      <c r="T823" s="50"/>
      <c r="U823" s="50"/>
    </row>
    <row r="824">
      <c r="T824" s="50"/>
      <c r="U824" s="50"/>
    </row>
    <row r="825">
      <c r="T825" s="50"/>
      <c r="U825" s="50"/>
    </row>
    <row r="826">
      <c r="T826" s="50"/>
      <c r="U826" s="50"/>
    </row>
    <row r="827">
      <c r="T827" s="50"/>
      <c r="U827" s="50"/>
    </row>
    <row r="828">
      <c r="T828" s="50"/>
      <c r="U828" s="50"/>
    </row>
    <row r="829">
      <c r="T829" s="50"/>
      <c r="U829" s="50"/>
    </row>
    <row r="830">
      <c r="T830" s="50"/>
      <c r="U830" s="50"/>
    </row>
    <row r="831">
      <c r="T831" s="50"/>
      <c r="U831" s="50"/>
    </row>
    <row r="832">
      <c r="T832" s="50"/>
      <c r="U832" s="50"/>
    </row>
    <row r="833">
      <c r="T833" s="50"/>
      <c r="U833" s="50"/>
    </row>
    <row r="834">
      <c r="T834" s="50"/>
      <c r="U834" s="50"/>
    </row>
    <row r="835">
      <c r="T835" s="50"/>
      <c r="U835" s="50"/>
    </row>
    <row r="836">
      <c r="T836" s="50"/>
      <c r="U836" s="50"/>
    </row>
    <row r="837">
      <c r="T837" s="50"/>
      <c r="U837" s="50"/>
    </row>
    <row r="838">
      <c r="T838" s="50"/>
      <c r="U838" s="50"/>
    </row>
    <row r="839">
      <c r="T839" s="50"/>
      <c r="U839" s="50"/>
    </row>
    <row r="840">
      <c r="T840" s="50"/>
      <c r="U840" s="50"/>
    </row>
    <row r="841">
      <c r="T841" s="50"/>
      <c r="U841" s="50"/>
    </row>
    <row r="842">
      <c r="T842" s="50"/>
      <c r="U842" s="50"/>
    </row>
    <row r="843">
      <c r="T843" s="50"/>
      <c r="U843" s="50"/>
    </row>
    <row r="844">
      <c r="T844" s="50"/>
      <c r="U844" s="50"/>
    </row>
    <row r="845">
      <c r="T845" s="50"/>
      <c r="U845" s="50"/>
    </row>
    <row r="846">
      <c r="T846" s="50"/>
      <c r="U846" s="50"/>
    </row>
    <row r="847">
      <c r="T847" s="50"/>
      <c r="U847" s="50"/>
    </row>
    <row r="848">
      <c r="T848" s="50"/>
      <c r="U848" s="50"/>
    </row>
    <row r="849">
      <c r="T849" s="50"/>
      <c r="U849" s="50"/>
    </row>
    <row r="850">
      <c r="T850" s="50"/>
      <c r="U850" s="50"/>
    </row>
    <row r="851">
      <c r="T851" s="50"/>
      <c r="U851" s="50"/>
    </row>
    <row r="852">
      <c r="T852" s="50"/>
      <c r="U852" s="50"/>
    </row>
    <row r="853">
      <c r="T853" s="50"/>
      <c r="U853" s="50"/>
    </row>
    <row r="854">
      <c r="T854" s="50"/>
      <c r="U854" s="50"/>
    </row>
    <row r="855">
      <c r="T855" s="50"/>
      <c r="U855" s="50"/>
    </row>
    <row r="856">
      <c r="T856" s="50"/>
      <c r="U856" s="50"/>
    </row>
    <row r="857">
      <c r="T857" s="50"/>
      <c r="U857" s="50"/>
    </row>
    <row r="858">
      <c r="T858" s="50"/>
      <c r="U858" s="50"/>
    </row>
    <row r="859">
      <c r="T859" s="50"/>
      <c r="U859" s="50"/>
    </row>
    <row r="860">
      <c r="T860" s="50"/>
      <c r="U860" s="50"/>
    </row>
    <row r="861">
      <c r="T861" s="50"/>
      <c r="U861" s="50"/>
    </row>
    <row r="862">
      <c r="T862" s="50"/>
      <c r="U862" s="50"/>
    </row>
    <row r="863">
      <c r="T863" s="50"/>
      <c r="U863" s="50"/>
    </row>
    <row r="864">
      <c r="T864" s="50"/>
      <c r="U864" s="50"/>
    </row>
    <row r="865">
      <c r="T865" s="50"/>
      <c r="U865" s="50"/>
    </row>
    <row r="866">
      <c r="T866" s="50"/>
      <c r="U866" s="50"/>
    </row>
    <row r="867">
      <c r="T867" s="50"/>
      <c r="U867" s="50"/>
    </row>
    <row r="868">
      <c r="T868" s="50"/>
      <c r="U868" s="50"/>
    </row>
    <row r="869">
      <c r="T869" s="50"/>
      <c r="U869" s="50"/>
    </row>
    <row r="870">
      <c r="T870" s="50"/>
      <c r="U870" s="50"/>
    </row>
    <row r="871">
      <c r="T871" s="50"/>
      <c r="U871" s="50"/>
    </row>
    <row r="872">
      <c r="T872" s="50"/>
      <c r="U872" s="50"/>
    </row>
    <row r="873">
      <c r="T873" s="50"/>
      <c r="U873" s="50"/>
    </row>
    <row r="874">
      <c r="T874" s="50"/>
      <c r="U874" s="50"/>
    </row>
    <row r="875">
      <c r="T875" s="50"/>
      <c r="U875" s="50"/>
    </row>
    <row r="876">
      <c r="T876" s="50"/>
      <c r="U876" s="50"/>
    </row>
    <row r="877">
      <c r="T877" s="50"/>
      <c r="U877" s="50"/>
    </row>
    <row r="878">
      <c r="T878" s="50"/>
      <c r="U878" s="50"/>
    </row>
    <row r="879">
      <c r="T879" s="50"/>
      <c r="U879" s="50"/>
    </row>
    <row r="880">
      <c r="T880" s="50"/>
      <c r="U880" s="50"/>
    </row>
    <row r="881">
      <c r="T881" s="50"/>
      <c r="U881" s="50"/>
    </row>
    <row r="882">
      <c r="T882" s="50"/>
      <c r="U882" s="50"/>
    </row>
    <row r="883">
      <c r="T883" s="50"/>
      <c r="U883" s="50"/>
    </row>
    <row r="884">
      <c r="T884" s="50"/>
      <c r="U884" s="50"/>
    </row>
    <row r="885">
      <c r="T885" s="50"/>
      <c r="U885" s="50"/>
    </row>
    <row r="886">
      <c r="T886" s="50"/>
      <c r="U886" s="50"/>
    </row>
    <row r="887">
      <c r="T887" s="50"/>
      <c r="U887" s="50"/>
    </row>
    <row r="888">
      <c r="T888" s="50"/>
      <c r="U888" s="50"/>
    </row>
    <row r="889">
      <c r="T889" s="50"/>
      <c r="U889" s="50"/>
    </row>
    <row r="890">
      <c r="T890" s="50"/>
      <c r="U890" s="50"/>
    </row>
    <row r="891">
      <c r="T891" s="50"/>
      <c r="U891" s="50"/>
    </row>
    <row r="892">
      <c r="T892" s="50"/>
      <c r="U892" s="50"/>
    </row>
    <row r="893">
      <c r="T893" s="50"/>
      <c r="U893" s="50"/>
    </row>
    <row r="894">
      <c r="T894" s="50"/>
      <c r="U894" s="50"/>
    </row>
    <row r="895">
      <c r="T895" s="50"/>
      <c r="U895" s="50"/>
    </row>
    <row r="896">
      <c r="T896" s="50"/>
      <c r="U896" s="50"/>
    </row>
    <row r="897">
      <c r="T897" s="50"/>
      <c r="U897" s="50"/>
    </row>
    <row r="898">
      <c r="T898" s="50"/>
      <c r="U898" s="50"/>
    </row>
    <row r="899">
      <c r="T899" s="50"/>
      <c r="U899" s="50"/>
    </row>
    <row r="900">
      <c r="T900" s="50"/>
      <c r="U900" s="50"/>
    </row>
    <row r="901">
      <c r="T901" s="50"/>
      <c r="U901" s="50"/>
    </row>
    <row r="902">
      <c r="T902" s="50"/>
      <c r="U902" s="50"/>
    </row>
    <row r="903">
      <c r="T903" s="50"/>
      <c r="U903" s="50"/>
    </row>
    <row r="904">
      <c r="T904" s="50"/>
      <c r="U904" s="50"/>
    </row>
    <row r="905">
      <c r="T905" s="50"/>
      <c r="U905" s="50"/>
    </row>
    <row r="906">
      <c r="T906" s="50"/>
      <c r="U906" s="50"/>
    </row>
    <row r="907">
      <c r="T907" s="50"/>
      <c r="U907" s="50"/>
    </row>
    <row r="908">
      <c r="T908" s="50"/>
      <c r="U908" s="50"/>
    </row>
    <row r="909">
      <c r="T909" s="50"/>
      <c r="U909" s="50"/>
    </row>
    <row r="910">
      <c r="T910" s="50"/>
      <c r="U910" s="50"/>
    </row>
    <row r="911">
      <c r="T911" s="50"/>
      <c r="U911" s="50"/>
    </row>
    <row r="912">
      <c r="T912" s="50"/>
      <c r="U912" s="50"/>
    </row>
    <row r="913">
      <c r="T913" s="50"/>
      <c r="U913" s="50"/>
    </row>
    <row r="914">
      <c r="T914" s="50"/>
      <c r="U914" s="50"/>
    </row>
    <row r="915">
      <c r="T915" s="50"/>
      <c r="U915" s="50"/>
    </row>
    <row r="916">
      <c r="T916" s="50"/>
      <c r="U916" s="50"/>
    </row>
    <row r="917">
      <c r="T917" s="50"/>
      <c r="U917" s="50"/>
    </row>
    <row r="918">
      <c r="T918" s="50"/>
      <c r="U918" s="50"/>
    </row>
    <row r="919">
      <c r="T919" s="50"/>
      <c r="U919" s="50"/>
    </row>
    <row r="920">
      <c r="T920" s="50"/>
      <c r="U920" s="50"/>
    </row>
    <row r="921">
      <c r="T921" s="50"/>
      <c r="U921" s="50"/>
    </row>
    <row r="922">
      <c r="T922" s="50"/>
      <c r="U922" s="50"/>
    </row>
    <row r="923">
      <c r="T923" s="50"/>
      <c r="U923" s="50"/>
    </row>
    <row r="924">
      <c r="T924" s="50"/>
      <c r="U924" s="50"/>
    </row>
    <row r="925">
      <c r="T925" s="50"/>
      <c r="U925" s="50"/>
    </row>
    <row r="926">
      <c r="T926" s="50"/>
      <c r="U926" s="50"/>
    </row>
    <row r="927">
      <c r="T927" s="50"/>
      <c r="U927" s="50"/>
    </row>
    <row r="928">
      <c r="T928" s="50"/>
      <c r="U928" s="50"/>
    </row>
    <row r="929">
      <c r="T929" s="50"/>
      <c r="U929" s="50"/>
    </row>
    <row r="930">
      <c r="T930" s="50"/>
      <c r="U930" s="50"/>
    </row>
    <row r="931">
      <c r="T931" s="50"/>
      <c r="U931" s="50"/>
    </row>
    <row r="932">
      <c r="T932" s="50"/>
      <c r="U932" s="50"/>
    </row>
    <row r="933">
      <c r="T933" s="50"/>
      <c r="U933" s="50"/>
    </row>
    <row r="934">
      <c r="T934" s="50"/>
      <c r="U934" s="50"/>
    </row>
    <row r="935">
      <c r="T935" s="50"/>
      <c r="U935" s="50"/>
    </row>
    <row r="936">
      <c r="T936" s="50"/>
      <c r="U936" s="50"/>
    </row>
    <row r="937">
      <c r="T937" s="50"/>
      <c r="U937" s="50"/>
    </row>
    <row r="938">
      <c r="T938" s="50"/>
      <c r="U938" s="50"/>
    </row>
    <row r="939">
      <c r="T939" s="50"/>
      <c r="U939" s="50"/>
    </row>
    <row r="940">
      <c r="T940" s="50"/>
      <c r="U940" s="50"/>
    </row>
    <row r="941">
      <c r="T941" s="50"/>
      <c r="U941" s="50"/>
    </row>
    <row r="942">
      <c r="T942" s="50"/>
      <c r="U942" s="50"/>
    </row>
    <row r="943">
      <c r="T943" s="50"/>
      <c r="U943" s="50"/>
    </row>
    <row r="944">
      <c r="T944" s="50"/>
      <c r="U944" s="50"/>
    </row>
    <row r="945">
      <c r="T945" s="50"/>
      <c r="U945" s="50"/>
    </row>
    <row r="946">
      <c r="T946" s="50"/>
      <c r="U946" s="50"/>
    </row>
    <row r="947">
      <c r="T947" s="50"/>
      <c r="U947" s="50"/>
    </row>
    <row r="948">
      <c r="T948" s="50"/>
      <c r="U948" s="50"/>
    </row>
    <row r="949">
      <c r="T949" s="50"/>
      <c r="U949" s="50"/>
    </row>
    <row r="950">
      <c r="T950" s="50"/>
      <c r="U950" s="50"/>
    </row>
    <row r="951">
      <c r="T951" s="50"/>
      <c r="U951" s="50"/>
    </row>
    <row r="952">
      <c r="T952" s="50"/>
      <c r="U952" s="50"/>
    </row>
    <row r="953">
      <c r="T953" s="50"/>
      <c r="U953" s="50"/>
    </row>
    <row r="954">
      <c r="T954" s="50"/>
      <c r="U954" s="50"/>
    </row>
    <row r="955">
      <c r="T955" s="50"/>
      <c r="U955" s="50"/>
    </row>
    <row r="956">
      <c r="T956" s="50"/>
      <c r="U956" s="50"/>
    </row>
    <row r="957">
      <c r="T957" s="50"/>
      <c r="U957" s="50"/>
    </row>
    <row r="958">
      <c r="T958" s="50"/>
      <c r="U958" s="50"/>
    </row>
    <row r="959">
      <c r="T959" s="50"/>
      <c r="U959" s="50"/>
    </row>
    <row r="960">
      <c r="T960" s="50"/>
      <c r="U960" s="50"/>
    </row>
    <row r="961">
      <c r="T961" s="50"/>
      <c r="U961" s="50"/>
    </row>
    <row r="962">
      <c r="T962" s="50"/>
      <c r="U962" s="50"/>
    </row>
    <row r="963">
      <c r="T963" s="50"/>
      <c r="U963" s="50"/>
    </row>
    <row r="964">
      <c r="T964" s="50"/>
      <c r="U964" s="50"/>
    </row>
    <row r="965">
      <c r="T965" s="50"/>
      <c r="U965" s="50"/>
    </row>
    <row r="966">
      <c r="T966" s="50"/>
      <c r="U966" s="50"/>
    </row>
    <row r="967">
      <c r="T967" s="50"/>
      <c r="U967" s="50"/>
    </row>
    <row r="968">
      <c r="T968" s="50"/>
      <c r="U968" s="50"/>
    </row>
    <row r="969">
      <c r="T969" s="50"/>
      <c r="U969" s="50"/>
    </row>
    <row r="970">
      <c r="T970" s="50"/>
      <c r="U970" s="50"/>
    </row>
    <row r="971">
      <c r="T971" s="50"/>
      <c r="U971" s="50"/>
    </row>
    <row r="972">
      <c r="T972" s="50"/>
      <c r="U972" s="50"/>
    </row>
    <row r="973">
      <c r="T973" s="50"/>
      <c r="U973" s="50"/>
    </row>
    <row r="974">
      <c r="T974" s="50"/>
      <c r="U974" s="50"/>
    </row>
    <row r="975">
      <c r="T975" s="50"/>
      <c r="U975" s="50"/>
    </row>
    <row r="976">
      <c r="T976" s="50"/>
      <c r="U976" s="50"/>
    </row>
    <row r="977">
      <c r="T977" s="50"/>
      <c r="U977" s="50"/>
    </row>
    <row r="978">
      <c r="T978" s="50"/>
      <c r="U978" s="50"/>
    </row>
    <row r="979">
      <c r="T979" s="50"/>
      <c r="U979" s="50"/>
    </row>
    <row r="980">
      <c r="T980" s="50"/>
      <c r="U980" s="50"/>
    </row>
    <row r="981">
      <c r="T981" s="50"/>
      <c r="U981" s="50"/>
    </row>
    <row r="982">
      <c r="T982" s="50"/>
      <c r="U982" s="50"/>
    </row>
    <row r="983">
      <c r="T983" s="50"/>
      <c r="U983" s="50"/>
    </row>
    <row r="984">
      <c r="T984" s="50"/>
      <c r="U984" s="50"/>
    </row>
    <row r="985">
      <c r="T985" s="50"/>
      <c r="U985" s="50"/>
    </row>
    <row r="986">
      <c r="T986" s="50"/>
      <c r="U986" s="50"/>
    </row>
    <row r="987">
      <c r="T987" s="50"/>
      <c r="U987" s="50"/>
    </row>
    <row r="988">
      <c r="T988" s="50"/>
      <c r="U988" s="50"/>
    </row>
    <row r="989">
      <c r="T989" s="50"/>
      <c r="U989" s="50"/>
    </row>
    <row r="990">
      <c r="T990" s="50"/>
      <c r="U990" s="50"/>
    </row>
    <row r="991">
      <c r="T991" s="50"/>
      <c r="U991" s="50"/>
    </row>
    <row r="992">
      <c r="T992" s="50"/>
      <c r="U992" s="50"/>
    </row>
    <row r="993">
      <c r="T993" s="50"/>
      <c r="U993" s="50"/>
    </row>
    <row r="994">
      <c r="T994" s="50"/>
      <c r="U994" s="50"/>
    </row>
    <row r="995">
      <c r="T995" s="50"/>
      <c r="U995" s="50"/>
    </row>
    <row r="996">
      <c r="T996" s="50"/>
      <c r="U996" s="50"/>
    </row>
    <row r="997">
      <c r="T997" s="50"/>
      <c r="U997" s="50"/>
    </row>
    <row r="998">
      <c r="T998" s="50"/>
      <c r="U998" s="50"/>
    </row>
    <row r="999">
      <c r="T999" s="50"/>
      <c r="U999" s="50"/>
    </row>
    <row r="1000">
      <c r="T1000" s="50"/>
      <c r="U1000" s="50"/>
    </row>
  </sheetData>
  <autoFilter ref="$A$1:$V$60"/>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2.25"/>
    <col customWidth="1" min="2" max="2" width="32.75"/>
    <col customWidth="1" min="3" max="3" width="9.75"/>
    <col customWidth="1" min="4" max="4" width="7.63"/>
    <col customWidth="1" min="5" max="5" width="10.25"/>
    <col customWidth="1" min="6" max="6" width="10.75"/>
    <col customWidth="1" min="7" max="7" width="9.38"/>
    <col customWidth="1" min="8" max="8" width="9.88"/>
    <col customWidth="1" min="9" max="9" width="10.13"/>
    <col customWidth="1" min="10" max="10" width="11.5"/>
    <col customWidth="1" min="11" max="11" width="12.25"/>
    <col customWidth="1" min="12" max="12" width="9.5"/>
    <col customWidth="1" min="13" max="13" width="19.88"/>
    <col customWidth="1" min="14" max="14" width="21.5"/>
    <col customWidth="1" min="15" max="15" width="18.25"/>
    <col customWidth="1" min="16" max="16" width="27.0"/>
    <col customWidth="1" min="17" max="17" width="3.5"/>
    <col customWidth="1" min="18" max="18" width="3.38"/>
    <col customWidth="1" min="19" max="19" width="4.38"/>
    <col customWidth="1" min="20" max="20" width="4.75"/>
    <col customWidth="1" min="21" max="22" width="5.63"/>
  </cols>
  <sheetData>
    <row r="1">
      <c r="A1" s="162" t="s">
        <v>1</v>
      </c>
      <c r="B1" s="162" t="s">
        <v>0</v>
      </c>
      <c r="C1" s="162" t="s">
        <v>2</v>
      </c>
      <c r="D1" s="162" t="s">
        <v>3</v>
      </c>
      <c r="E1" s="162" t="s">
        <v>4</v>
      </c>
      <c r="F1" s="162" t="s">
        <v>55</v>
      </c>
      <c r="G1" s="162" t="s">
        <v>56</v>
      </c>
      <c r="H1" s="162" t="s">
        <v>57</v>
      </c>
      <c r="I1" s="162" t="s">
        <v>58</v>
      </c>
      <c r="J1" s="162" t="s">
        <v>59</v>
      </c>
      <c r="K1" s="162" t="s">
        <v>60</v>
      </c>
      <c r="L1" s="162" t="s">
        <v>61</v>
      </c>
      <c r="M1" s="162" t="s">
        <v>62</v>
      </c>
      <c r="N1" s="163"/>
      <c r="O1" s="2" t="s">
        <v>63</v>
      </c>
      <c r="P1" s="164" t="s">
        <v>64</v>
      </c>
      <c r="Q1" s="165" t="s">
        <v>65</v>
      </c>
      <c r="R1" s="165" t="s">
        <v>66</v>
      </c>
      <c r="S1" s="165" t="s">
        <v>67</v>
      </c>
      <c r="T1" s="165" t="s">
        <v>68</v>
      </c>
      <c r="U1" s="165" t="s">
        <v>69</v>
      </c>
      <c r="V1" s="166"/>
    </row>
    <row r="2">
      <c r="A2" s="167" t="str">
        <f>Kp!C4</f>
        <v>B250025</v>
      </c>
      <c r="B2" s="11" t="str">
        <f>Kp!B4</f>
        <v>Syabban ghozy al'fathan </v>
      </c>
      <c r="C2" s="5" t="str">
        <f>Kp!D4</f>
        <v>IL Putra</v>
      </c>
      <c r="D2" s="168">
        <f>IFERROR(VLOOKUP(A2, AQ!$B$2:$E$500, 3, FALSE),"-")</f>
        <v>85</v>
      </c>
      <c r="E2" s="168">
        <f>IFERROR(VLOOKUP(A2, AQ!$B$2:$E$500, 4, FALSE),"-")</f>
        <v>50</v>
      </c>
      <c r="F2" s="168" t="str">
        <f>IFERROR(VLOOKUP(A2, AQ!$B$2:$F$500, 5, FALSE),"-")</f>
        <v>B. Cadangan</v>
      </c>
      <c r="G2" s="168" t="str">
        <f>IFERROR(VLOOKUP($A2,A.M!$C$3:$BC$500,53,0),"-")</f>
        <v>-</v>
      </c>
      <c r="H2" s="168">
        <f>IFERROR(VLOOKUP($A2,A.IL!$C$3:$BC$500,53,0),"-")</f>
        <v>35</v>
      </c>
      <c r="I2" s="168" t="str">
        <f>IFERROR(VLOOKUP($A2,A.S!$C$3:$BC$500,53,0),"-")</f>
        <v>-</v>
      </c>
      <c r="J2" s="168">
        <f>IFERROR(vlookup($A2,Kp!$C3:$JF$500,264,0),"-")</f>
        <v>2</v>
      </c>
      <c r="K2" s="168" t="str">
        <f>IFERROR(vlookup($A2,W.S!$D$2:$X$500,21,0),"-")</f>
        <v>Cukup Siap</v>
      </c>
      <c r="L2" s="168" t="str">
        <f>IFERROR(vlookup($A2,Ks!$C$2:$X$500,20,0),"-")</f>
        <v>Belum Siap</v>
      </c>
      <c r="M2" s="168" t="str">
        <f>IFERROR(vlookup($A2,W.O!$E$2:$U$500,16,0),"-")</f>
        <v>Diterima</v>
      </c>
      <c r="N2" s="169" t="s">
        <v>70</v>
      </c>
      <c r="O2" s="170" t="s">
        <v>71</v>
      </c>
      <c r="Q2" s="168" t="str">
        <f t="shared" ref="Q2:Q148" si="2">IF(F2="A. Diterima","A",IF(F2="B. Cadangan","B",IF(F2="C. Ditolak","C","")))</f>
        <v>B</v>
      </c>
      <c r="R2" s="168" t="str">
        <f t="shared" ref="R2:R148" si="3">IF(MAX(G2:I2)&gt;=75,"A",IF(MAX(G2:I2)&gt;=60,"B","C"))</f>
        <v>C</v>
      </c>
      <c r="S2" s="168" t="str">
        <f t="shared" ref="S2:S148" si="4">IF(OR(J2=0,J2=1),"A",IF(J2=2,"B",IF(J2&gt;=3,"C","")))</f>
        <v>B</v>
      </c>
      <c r="T2" s="168" t="str">
        <f t="shared" ref="T2:U2" si="1">IF(K2="Siap","A",IF(K2="Cukup Siap","B",IF(K2="Belum Siap","C","")))</f>
        <v>B</v>
      </c>
      <c r="U2" s="168" t="str">
        <f t="shared" si="1"/>
        <v>C</v>
      </c>
    </row>
    <row r="3">
      <c r="A3" s="167" t="str">
        <f>Kp!C5</f>
        <v>A250060</v>
      </c>
      <c r="B3" s="11" t="str">
        <f>Kp!B5</f>
        <v>Aviccena syahdan haqqani </v>
      </c>
      <c r="C3" s="5" t="str">
        <f>Kp!D5</f>
        <v>MTs Putra</v>
      </c>
      <c r="D3" s="168">
        <f>IFERROR(VLOOKUP(A3, AQ!$B$2:$E$500, 3, FALSE),"-")</f>
        <v>70</v>
      </c>
      <c r="E3" s="168">
        <f>IFERROR(VLOOKUP(A3, AQ!$B$2:$E$500, 4, FALSE),"-")</f>
        <v>50</v>
      </c>
      <c r="F3" s="168" t="str">
        <f>IFERROR(VLOOKUP(A3, AQ!$B$2:$F$500, 5, FALSE),"-")</f>
        <v>C. Ditolak</v>
      </c>
      <c r="G3" s="168">
        <f>IFERROR(VLOOKUP($A3,A.M!$C$3:$BC$500,53,0),"-")</f>
        <v>55</v>
      </c>
      <c r="H3" s="168" t="str">
        <f>IFERROR(VLOOKUP($A3,A.IL!$C$3:$BC$500,53,0),"-")</f>
        <v>-</v>
      </c>
      <c r="I3" s="168" t="str">
        <f>IFERROR(VLOOKUP($A3,A.S!$C$3:$BC$500,53,0),"-")</f>
        <v>-</v>
      </c>
      <c r="J3" s="168">
        <f>IFERROR(vlookup($A3,Kp!$C4:$JF$500,264,0),"-")</f>
        <v>3</v>
      </c>
      <c r="K3" s="168" t="str">
        <f>IFERROR(vlookup($A3,W.S!$D$2:$X$500,21,0),"-")</f>
        <v>Siap</v>
      </c>
      <c r="L3" s="168" t="str">
        <f>IFERROR(vlookup($A3,Ks!$C$2:$X$500,20,0),"-")</f>
        <v>Siap</v>
      </c>
      <c r="M3" s="168" t="s">
        <v>72</v>
      </c>
      <c r="N3" s="169" t="s">
        <v>70</v>
      </c>
      <c r="O3" s="170" t="s">
        <v>71</v>
      </c>
      <c r="Q3" s="168" t="str">
        <f t="shared" si="2"/>
        <v>C</v>
      </c>
      <c r="R3" s="168" t="str">
        <f t="shared" si="3"/>
        <v>C</v>
      </c>
      <c r="S3" s="168" t="str">
        <f t="shared" si="4"/>
        <v>C</v>
      </c>
      <c r="T3" s="168" t="str">
        <f t="shared" ref="T3:U3" si="5">IF(K3="Siap","A",IF(K3="Cukup Siap","B",IF(K3="Belum Siap","C","")))</f>
        <v>A</v>
      </c>
      <c r="U3" s="168" t="str">
        <f t="shared" si="5"/>
        <v>A</v>
      </c>
    </row>
    <row r="4">
      <c r="A4" s="167" t="str">
        <f>Kp!C6</f>
        <v>A250008</v>
      </c>
      <c r="B4" s="171" t="str">
        <f>Kp!B6</f>
        <v>Daffa Taamir Alfarizi</v>
      </c>
      <c r="C4" s="5" t="str">
        <f>Kp!D6</f>
        <v>MTs Putra</v>
      </c>
      <c r="D4" s="168">
        <f>IFERROR(VLOOKUP(A4, AQ!$B$2:$E$500, 3, FALSE),"-")</f>
        <v>93</v>
      </c>
      <c r="E4" s="168">
        <f>IFERROR(VLOOKUP(A4, AQ!$B$2:$E$500, 4, FALSE),"-")</f>
        <v>90</v>
      </c>
      <c r="F4" s="168" t="str">
        <f>IFERROR(VLOOKUP(A4, AQ!$B$2:$F$500, 5, FALSE),"-")</f>
        <v>A. Diterima</v>
      </c>
      <c r="G4" s="168">
        <f>IFERROR(VLOOKUP($A4,A.M!$C$3:$BC$500,53,0),"-")</f>
        <v>90</v>
      </c>
      <c r="H4" s="168" t="str">
        <f>IFERROR(VLOOKUP($A4,A.IL!$C$3:$BC$500,53,0),"-")</f>
        <v>-</v>
      </c>
      <c r="I4" s="168" t="str">
        <f>IFERROR(VLOOKUP($A4,A.S!$C$3:$BC$500,53,0),"-")</f>
        <v>-</v>
      </c>
      <c r="J4" s="168">
        <f>IFERROR(vlookup($A4,Kp!$C5:$JF$500,264,0),"-")</f>
        <v>2</v>
      </c>
      <c r="K4" s="168" t="str">
        <f>IFERROR(vlookup($A4,W.S!$D$2:$X$500,21,0),"-")</f>
        <v>Siap</v>
      </c>
      <c r="L4" s="168" t="str">
        <f>IFERROR(vlookup($A4,Ks!$C$2:$X$500,20,0),"-")</f>
        <v>Siap</v>
      </c>
      <c r="M4" s="168" t="str">
        <f>IFERROR(vlookup($A4,W.O!$E$2:$U$500,16,0),"-")</f>
        <v>Diterima dengan catatan</v>
      </c>
      <c r="N4" s="172"/>
      <c r="O4" s="173" t="s">
        <v>73</v>
      </c>
      <c r="Q4" s="168" t="str">
        <f t="shared" si="2"/>
        <v>A</v>
      </c>
      <c r="R4" s="168" t="str">
        <f t="shared" si="3"/>
        <v>A</v>
      </c>
      <c r="S4" s="168" t="str">
        <f t="shared" si="4"/>
        <v>B</v>
      </c>
      <c r="T4" s="168" t="str">
        <f t="shared" ref="T4:U4" si="6">IF(K4="Siap","A",IF(K4="Cukup Siap","B",IF(K4="Belum Siap","C","")))</f>
        <v>A</v>
      </c>
      <c r="U4" s="168" t="str">
        <f t="shared" si="6"/>
        <v>A</v>
      </c>
    </row>
    <row r="5">
      <c r="A5" s="167" t="str">
        <f>Kp!C7</f>
        <v>D250009</v>
      </c>
      <c r="B5" s="171" t="str">
        <f>Kp!B7</f>
        <v>keyza qaireen</v>
      </c>
      <c r="C5" s="5" t="str">
        <f>Kp!D7</f>
        <v>MTs Putri</v>
      </c>
      <c r="D5" s="168">
        <f>IFERROR(VLOOKUP(A5, AQ!$B$2:$E$500, 3, FALSE),"-")</f>
        <v>85</v>
      </c>
      <c r="E5" s="168">
        <f>IFERROR(VLOOKUP(A5, AQ!$B$2:$E$500, 4, FALSE),"-")</f>
        <v>85</v>
      </c>
      <c r="F5" s="168" t="str">
        <f>IFERROR(VLOOKUP(A5, AQ!$B$2:$F$500, 5, FALSE),"-")</f>
        <v>A. Diterima</v>
      </c>
      <c r="G5" s="168">
        <f>IFERROR(VLOOKUP($A5,A.M!$C$3:$BC$500,53,0),"-")</f>
        <v>70</v>
      </c>
      <c r="H5" s="168" t="str">
        <f>IFERROR(VLOOKUP($A5,A.IL!$C$3:$BC$500,53,0),"-")</f>
        <v>-</v>
      </c>
      <c r="I5" s="168" t="str">
        <f>IFERROR(VLOOKUP($A5,A.S!$C$3:$BC$500,53,0),"-")</f>
        <v>-</v>
      </c>
      <c r="J5" s="168">
        <f>IFERROR(vlookup($A5,Kp!$C6:$JF$500,264,0),"-")</f>
        <v>1</v>
      </c>
      <c r="K5" s="168" t="str">
        <f>IFERROR(vlookup($A5,W.S!$D$2:$X$500,21,0),"-")</f>
        <v>Siap</v>
      </c>
      <c r="L5" s="168" t="str">
        <f>IFERROR(vlookup($A5,Ks!$C$2:$X$500,20,0),"-")</f>
        <v>Siap</v>
      </c>
      <c r="M5" s="168" t="str">
        <f>IFERROR(vlookup($A5,W.O!$E$2:$U$500,16,0),"-")</f>
        <v>Diterima</v>
      </c>
      <c r="N5" s="172"/>
      <c r="O5" s="173" t="s">
        <v>73</v>
      </c>
      <c r="Q5" s="168" t="str">
        <f t="shared" si="2"/>
        <v>A</v>
      </c>
      <c r="R5" s="168" t="str">
        <f t="shared" si="3"/>
        <v>B</v>
      </c>
      <c r="S5" s="168" t="str">
        <f t="shared" si="4"/>
        <v>A</v>
      </c>
      <c r="T5" s="168" t="str">
        <f t="shared" ref="T5:U5" si="7">IF(K5="Siap","A",IF(K5="Cukup Siap","B",IF(K5="Belum Siap","C","")))</f>
        <v>A</v>
      </c>
      <c r="U5" s="168" t="str">
        <f t="shared" si="7"/>
        <v>A</v>
      </c>
    </row>
    <row r="6">
      <c r="A6" s="167" t="str">
        <f>Kp!C8</f>
        <v>D250007</v>
      </c>
      <c r="B6" s="171" t="str">
        <f>Kp!B8</f>
        <v>Siti Azizah</v>
      </c>
      <c r="C6" s="5" t="str">
        <f>Kp!D8</f>
        <v>MTs Putri</v>
      </c>
      <c r="D6" s="168">
        <f>IFERROR(VLOOKUP(A6, AQ!$B$2:$E$500, 3, FALSE),"-")</f>
        <v>85</v>
      </c>
      <c r="E6" s="168">
        <f>IFERROR(VLOOKUP(A6, AQ!$B$2:$E$500, 4, FALSE),"-")</f>
        <v>84</v>
      </c>
      <c r="F6" s="168" t="str">
        <f>IFERROR(VLOOKUP(A6, AQ!$B$2:$F$500, 5, FALSE),"-")</f>
        <v>A. Diterima</v>
      </c>
      <c r="G6" s="168">
        <f>IFERROR(VLOOKUP($A6,A.M!$C$3:$BC$500,53,0),"-")</f>
        <v>70</v>
      </c>
      <c r="H6" s="168" t="str">
        <f>IFERROR(VLOOKUP($A6,A.IL!$C$3:$BC$500,53,0),"-")</f>
        <v>-</v>
      </c>
      <c r="I6" s="168" t="str">
        <f>IFERROR(VLOOKUP($A6,A.S!$C$3:$BC$500,53,0),"-")</f>
        <v>-</v>
      </c>
      <c r="J6" s="168">
        <f>IFERROR(vlookup($A6,Kp!$C7:$JF$500,264,0),"-")</f>
        <v>1</v>
      </c>
      <c r="K6" s="168" t="str">
        <f>IFERROR(vlookup($A6,W.S!$D$2:$X$500,21,0),"-")</f>
        <v>Siap</v>
      </c>
      <c r="L6" s="168" t="str">
        <f>IFERROR(vlookup($A6,Ks!$C$2:$X$500,20,0),"-")</f>
        <v>Siap</v>
      </c>
      <c r="M6" s="168" t="str">
        <f>IFERROR(vlookup($A6,W.O!$E$2:$U$500,16,0),"-")</f>
        <v>Diterima</v>
      </c>
      <c r="N6" s="174"/>
      <c r="O6" s="173" t="s">
        <v>73</v>
      </c>
      <c r="Q6" s="168" t="str">
        <f t="shared" si="2"/>
        <v>A</v>
      </c>
      <c r="R6" s="168" t="str">
        <f t="shared" si="3"/>
        <v>B</v>
      </c>
      <c r="S6" s="168" t="str">
        <f t="shared" si="4"/>
        <v>A</v>
      </c>
      <c r="T6" s="168" t="str">
        <f t="shared" ref="T6:U6" si="8">IF(K6="Siap","A",IF(K6="Cukup Siap","B",IF(K6="Belum Siap","C","")))</f>
        <v>A</v>
      </c>
      <c r="U6" s="168" t="str">
        <f t="shared" si="8"/>
        <v>A</v>
      </c>
    </row>
    <row r="7">
      <c r="A7" s="167" t="str">
        <f>Kp!C9</f>
        <v>D250006</v>
      </c>
      <c r="B7" s="171" t="str">
        <f>Kp!B9</f>
        <v>Aina Syahmina Givani</v>
      </c>
      <c r="C7" s="5" t="str">
        <f>Kp!D9</f>
        <v>MTs Putri</v>
      </c>
      <c r="D7" s="168">
        <f>IFERROR(VLOOKUP(A7, AQ!$B$2:$E$500, 3, FALSE),"-")</f>
        <v>81</v>
      </c>
      <c r="E7" s="168">
        <f>IFERROR(VLOOKUP(A7, AQ!$B$2:$E$500, 4, FALSE),"-")</f>
        <v>80</v>
      </c>
      <c r="F7" s="168" t="str">
        <f>IFERROR(VLOOKUP(A7, AQ!$B$2:$F$500, 5, FALSE),"-")</f>
        <v>A. Diterima</v>
      </c>
      <c r="G7" s="168">
        <f>IFERROR(VLOOKUP($A7,A.M!$C$3:$BC$500,53,0),"-")</f>
        <v>85</v>
      </c>
      <c r="H7" s="168" t="str">
        <f>IFERROR(VLOOKUP($A7,A.IL!$C$3:$BC$500,53,0),"-")</f>
        <v>-</v>
      </c>
      <c r="I7" s="168" t="str">
        <f>IFERROR(VLOOKUP($A7,A.S!$C$3:$BC$500,53,0),"-")</f>
        <v>-</v>
      </c>
      <c r="J7" s="168">
        <f>IFERROR(vlookup($A7,Kp!$C8:$JF$500,264,0),"-")</f>
        <v>1</v>
      </c>
      <c r="K7" s="168" t="str">
        <f>IFERROR(vlookup($A7,W.S!$D$2:$X$500,21,0),"-")</f>
        <v>Siap</v>
      </c>
      <c r="L7" s="168" t="str">
        <f>IFERROR(vlookup($A7,Ks!$C$2:$X$500,20,0),"-")</f>
        <v>Siap</v>
      </c>
      <c r="M7" s="168" t="str">
        <f>IFERROR(vlookup($A7,W.O!$E$2:$U$500,16,0),"-")</f>
        <v>Diterima</v>
      </c>
      <c r="N7" s="172"/>
      <c r="O7" s="173" t="s">
        <v>73</v>
      </c>
      <c r="Q7" s="168" t="str">
        <f t="shared" si="2"/>
        <v>A</v>
      </c>
      <c r="R7" s="168" t="str">
        <f t="shared" si="3"/>
        <v>A</v>
      </c>
      <c r="S7" s="168" t="str">
        <f t="shared" si="4"/>
        <v>A</v>
      </c>
      <c r="T7" s="168" t="str">
        <f t="shared" ref="T7:U7" si="9">IF(K7="Siap","A",IF(K7="Cukup Siap","B",IF(K7="Belum Siap","C","")))</f>
        <v>A</v>
      </c>
      <c r="U7" s="168" t="str">
        <f t="shared" si="9"/>
        <v>A</v>
      </c>
    </row>
    <row r="8">
      <c r="A8" s="167" t="str">
        <f>Kp!C10</f>
        <v>D250005</v>
      </c>
      <c r="B8" s="171" t="str">
        <f>Kp!B10</f>
        <v>Aisyah</v>
      </c>
      <c r="C8" s="5" t="str">
        <f>Kp!D10</f>
        <v>MTs Putri</v>
      </c>
      <c r="D8" s="168">
        <f>IFERROR(VLOOKUP(A8, AQ!$B$2:$E$500, 3, FALSE),"-")</f>
        <v>80</v>
      </c>
      <c r="E8" s="168">
        <f>IFERROR(VLOOKUP(A8, AQ!$B$2:$E$500, 4, FALSE),"-")</f>
        <v>80</v>
      </c>
      <c r="F8" s="168" t="str">
        <f>IFERROR(VLOOKUP(A8, AQ!$B$2:$F$500, 5, FALSE),"-")</f>
        <v>A. Diterima</v>
      </c>
      <c r="G8" s="168">
        <f>IFERROR(VLOOKUP($A8,A.M!$C$3:$BC$500,53,0),"-")</f>
        <v>85</v>
      </c>
      <c r="H8" s="168" t="str">
        <f>IFERROR(VLOOKUP($A8,A.IL!$C$3:$BC$500,53,0),"-")</f>
        <v>-</v>
      </c>
      <c r="I8" s="168" t="str">
        <f>IFERROR(VLOOKUP($A8,A.S!$C$3:$BC$500,53,0),"-")</f>
        <v>-</v>
      </c>
      <c r="J8" s="168">
        <f>IFERROR(vlookup($A8,Kp!$C9:$JF$500,264,0),"-")</f>
        <v>1</v>
      </c>
      <c r="K8" s="168" t="str">
        <f>IFERROR(vlookup($A8,W.S!$D$2:$X$500,21,0),"-")</f>
        <v>Siap</v>
      </c>
      <c r="L8" s="168" t="str">
        <f>IFERROR(vlookup($A8,Ks!$C$2:$X$500,20,0),"-")</f>
        <v>Siap</v>
      </c>
      <c r="M8" s="168" t="str">
        <f>IFERROR(vlookup($A8,W.O!$E$2:$U$500,16,0),"-")</f>
        <v>Diterima</v>
      </c>
      <c r="N8" s="174"/>
      <c r="O8" s="173" t="s">
        <v>73</v>
      </c>
      <c r="Q8" s="168" t="str">
        <f t="shared" si="2"/>
        <v>A</v>
      </c>
      <c r="R8" s="168" t="str">
        <f t="shared" si="3"/>
        <v>A</v>
      </c>
      <c r="S8" s="168" t="str">
        <f t="shared" si="4"/>
        <v>A</v>
      </c>
      <c r="T8" s="168" t="str">
        <f t="shared" ref="T8:U8" si="10">IF(K8="Siap","A",IF(K8="Cukup Siap","B",IF(K8="Belum Siap","C","")))</f>
        <v>A</v>
      </c>
      <c r="U8" s="168" t="str">
        <f t="shared" si="10"/>
        <v>A</v>
      </c>
    </row>
    <row r="9">
      <c r="A9" s="167" t="str">
        <f>Kp!C11</f>
        <v>B250009</v>
      </c>
      <c r="B9" s="171" t="str">
        <f>Kp!B11</f>
        <v>Azka Ulinnuha</v>
      </c>
      <c r="C9" s="5" t="str">
        <f>Kp!D11</f>
        <v>IL Putra</v>
      </c>
      <c r="D9" s="168">
        <f>IFERROR(VLOOKUP(A9, AQ!$B$2:$E$500, 3, FALSE),"-")</f>
        <v>70</v>
      </c>
      <c r="E9" s="168">
        <f>IFERROR(VLOOKUP(A9, AQ!$B$2:$E$500, 4, FALSE),"-")</f>
        <v>70</v>
      </c>
      <c r="F9" s="168" t="str">
        <f>IFERROR(VLOOKUP(A9, AQ!$B$2:$F$500, 5, FALSE),"-")</f>
        <v>B. Cadangan</v>
      </c>
      <c r="G9" s="168" t="str">
        <f>IFERROR(VLOOKUP($A9,A.M!$C$3:$BC$500,53,0),"-")</f>
        <v>-</v>
      </c>
      <c r="H9" s="168">
        <f>IFERROR(VLOOKUP($A9,A.IL!$C$3:$BC$500,53,0),"-")</f>
        <v>40</v>
      </c>
      <c r="I9" s="168" t="str">
        <f>IFERROR(VLOOKUP($A9,A.S!$C$3:$BC$500,53,0),"-")</f>
        <v>-</v>
      </c>
      <c r="J9" s="168">
        <f>IFERROR(vlookup($A9,Kp!$C10:$JF$500,264,0),"-")</f>
        <v>1</v>
      </c>
      <c r="K9" s="168" t="str">
        <f>IFERROR(vlookup($A9,W.S!$D$2:$X$500,21,0),"-")</f>
        <v>Siap</v>
      </c>
      <c r="L9" s="168" t="str">
        <f>IFERROR(vlookup($A9,Ks!$C$2:$X$500,20,0),"-")</f>
        <v>Siap</v>
      </c>
      <c r="M9" s="168" t="str">
        <f>IFERROR(vlookup($A9,W.O!$E$2:$U$500,16,0),"-")</f>
        <v>Diterima</v>
      </c>
      <c r="N9" s="174"/>
      <c r="O9" s="173" t="s">
        <v>73</v>
      </c>
      <c r="Q9" s="168" t="str">
        <f t="shared" si="2"/>
        <v>B</v>
      </c>
      <c r="R9" s="168" t="str">
        <f t="shared" si="3"/>
        <v>C</v>
      </c>
      <c r="S9" s="168" t="str">
        <f t="shared" si="4"/>
        <v>A</v>
      </c>
      <c r="T9" s="168" t="str">
        <f t="shared" ref="T9:U9" si="11">IF(K9="Siap","A",IF(K9="Cukup Siap","B",IF(K9="Belum Siap","C","")))</f>
        <v>A</v>
      </c>
      <c r="U9" s="168" t="str">
        <f t="shared" si="11"/>
        <v>A</v>
      </c>
    </row>
    <row r="10">
      <c r="A10" s="167" t="str">
        <f>Kp!C12</f>
        <v>D250015</v>
      </c>
      <c r="B10" s="171" t="str">
        <f>Kp!B12</f>
        <v>Sarah Afifa</v>
      </c>
      <c r="C10" s="5" t="str">
        <f>Kp!D12</f>
        <v>MTs Putri</v>
      </c>
      <c r="D10" s="168">
        <f>IFERROR(VLOOKUP(A10, AQ!$B$2:$E$500, 3, FALSE),"-")</f>
        <v>90</v>
      </c>
      <c r="E10" s="168">
        <f>IFERROR(VLOOKUP(A10, AQ!$B$2:$E$500, 4, FALSE),"-")</f>
        <v>80</v>
      </c>
      <c r="F10" s="168" t="str">
        <f>IFERROR(VLOOKUP(A10, AQ!$B$2:$F$500, 5, FALSE),"-")</f>
        <v>A. Diterima</v>
      </c>
      <c r="G10" s="168">
        <f>IFERROR(VLOOKUP($A10,A.M!$C$3:$BC$500,53,0),"-")</f>
        <v>75</v>
      </c>
      <c r="H10" s="168" t="str">
        <f>IFERROR(VLOOKUP($A10,A.IL!$C$3:$BC$500,53,0),"-")</f>
        <v>-</v>
      </c>
      <c r="I10" s="168" t="str">
        <f>IFERROR(VLOOKUP($A10,A.S!$C$3:$BC$500,53,0),"-")</f>
        <v>-</v>
      </c>
      <c r="J10" s="168">
        <f>IFERROR(vlookup($A10,Kp!$C11:$JF$500,264,0),"-")</f>
        <v>1</v>
      </c>
      <c r="K10" s="168" t="str">
        <f>IFERROR(vlookup($A10,W.S!$D$2:$X$500,21,0),"-")</f>
        <v>Siap</v>
      </c>
      <c r="L10" s="168" t="str">
        <f>IFERROR(vlookup($A10,Ks!$C$2:$X$500,20,0),"-")</f>
        <v>Siap</v>
      </c>
      <c r="M10" s="168" t="str">
        <f>IFERROR(vlookup($A10,W.O!$E$2:$U$500,16,0),"-")</f>
        <v>Diterima</v>
      </c>
      <c r="N10" s="172"/>
      <c r="O10" s="173" t="s">
        <v>73</v>
      </c>
      <c r="Q10" s="168" t="str">
        <f t="shared" si="2"/>
        <v>A</v>
      </c>
      <c r="R10" s="168" t="str">
        <f t="shared" si="3"/>
        <v>A</v>
      </c>
      <c r="S10" s="168" t="str">
        <f t="shared" si="4"/>
        <v>A</v>
      </c>
      <c r="T10" s="168" t="str">
        <f t="shared" ref="T10:U10" si="12">IF(K10="Siap","A",IF(K10="Cukup Siap","B",IF(K10="Belum Siap","C","")))</f>
        <v>A</v>
      </c>
      <c r="U10" s="168" t="str">
        <f t="shared" si="12"/>
        <v>A</v>
      </c>
    </row>
    <row r="11">
      <c r="A11" s="167" t="str">
        <f>Kp!C13</f>
        <v>A250066</v>
      </c>
      <c r="B11" s="175" t="str">
        <f>Kp!B13</f>
        <v>Ambia Addaruqutni Julpasa</v>
      </c>
      <c r="C11" s="5" t="str">
        <f>Kp!D13</f>
        <v>MTs Putra</v>
      </c>
      <c r="D11" s="168">
        <f>IFERROR(VLOOKUP(A11, AQ!$B$2:$E$500, 3, FALSE),"-")</f>
        <v>85</v>
      </c>
      <c r="E11" s="168">
        <f>IFERROR(VLOOKUP(A11, AQ!$B$2:$E$500, 4, FALSE),"-")</f>
        <v>85</v>
      </c>
      <c r="F11" s="168" t="str">
        <f>IFERROR(VLOOKUP(A11, AQ!$B$2:$F$500, 5, FALSE),"-")</f>
        <v>B. Cadangan</v>
      </c>
      <c r="G11" s="168">
        <f>IFERROR(VLOOKUP($A11,A.M!$C$3:$BC$500,53,0),"-")</f>
        <v>55</v>
      </c>
      <c r="H11" s="168" t="str">
        <f>IFERROR(VLOOKUP($A11,A.IL!$C$3:$BC$500,53,0),"-")</f>
        <v>-</v>
      </c>
      <c r="I11" s="168" t="str">
        <f>IFERROR(VLOOKUP($A11,A.S!$C$3:$BC$500,53,0),"-")</f>
        <v>-</v>
      </c>
      <c r="J11" s="168">
        <f>IFERROR(vlookup($A11,Kp!$C12:$JF$500,264,0),"-")</f>
        <v>0</v>
      </c>
      <c r="K11" s="168" t="str">
        <f>IFERROR(vlookup($A11,W.S!$D$2:$X$500,21,0),"-")</f>
        <v>Siap</v>
      </c>
      <c r="L11" s="168" t="str">
        <f>IFERROR(vlookup($A11,Ks!$C$2:$X$500,20,0),"-")</f>
        <v>Siap</v>
      </c>
      <c r="M11" s="168" t="str">
        <f>IFERROR(vlookup($A11,W.O!$E$2:$U$500,16,0),"-")</f>
        <v>Diterima</v>
      </c>
      <c r="N11" s="174"/>
      <c r="O11" s="176" t="s">
        <v>74</v>
      </c>
      <c r="Q11" s="168" t="str">
        <f t="shared" si="2"/>
        <v>B</v>
      </c>
      <c r="R11" s="168" t="str">
        <f t="shared" si="3"/>
        <v>C</v>
      </c>
      <c r="S11" s="168" t="str">
        <f t="shared" si="4"/>
        <v>A</v>
      </c>
      <c r="T11" s="168" t="str">
        <f t="shared" ref="T11:U11" si="13">IF(K11="Siap","A",IF(K11="Cukup Siap","B",IF(K11="Belum Siap","C","")))</f>
        <v>A</v>
      </c>
      <c r="U11" s="168" t="str">
        <f t="shared" si="13"/>
        <v>A</v>
      </c>
    </row>
    <row r="12">
      <c r="A12" s="167" t="str">
        <f>Kp!C14</f>
        <v>A250025</v>
      </c>
      <c r="B12" s="171" t="str">
        <f>Kp!B14</f>
        <v>ABU REIHAN AL FAJRI</v>
      </c>
      <c r="C12" s="5" t="str">
        <f>Kp!D14</f>
        <v>MTs Putra</v>
      </c>
      <c r="D12" s="168">
        <f>IFERROR(VLOOKUP(A12, AQ!$B$2:$E$500, 3, FALSE),"-")</f>
        <v>85</v>
      </c>
      <c r="E12" s="168">
        <f>IFERROR(VLOOKUP(A12, AQ!$B$2:$E$500, 4, FALSE),"-")</f>
        <v>85</v>
      </c>
      <c r="F12" s="168" t="str">
        <f>IFERROR(VLOOKUP(A12, AQ!$B$2:$F$500, 5, FALSE),"-")</f>
        <v>A. Diterima</v>
      </c>
      <c r="G12" s="168">
        <f>IFERROR(VLOOKUP($A12,A.M!$C$3:$BC$500,53,0),"-")</f>
        <v>90</v>
      </c>
      <c r="H12" s="168" t="str">
        <f>IFERROR(VLOOKUP($A12,A.IL!$C$3:$BC$500,53,0),"-")</f>
        <v>-</v>
      </c>
      <c r="I12" s="168" t="str">
        <f>IFERROR(VLOOKUP($A12,A.S!$C$3:$BC$500,53,0),"-")</f>
        <v>-</v>
      </c>
      <c r="J12" s="168">
        <f>IFERROR(vlookup($A12,Kp!$C13:$JF$500,264,0),"-")</f>
        <v>0</v>
      </c>
      <c r="K12" s="168" t="str">
        <f>IFERROR(vlookup($A12,W.S!$D$2:$X$500,21,0),"-")</f>
        <v>Siap</v>
      </c>
      <c r="L12" s="168" t="str">
        <f>IFERROR(vlookup($A12,Ks!$C$2:$X$500,20,0),"-")</f>
        <v>Siap</v>
      </c>
      <c r="M12" s="168" t="str">
        <f>IFERROR(vlookup($A12,W.O!$E$2:$U$500,16,0),"-")</f>
        <v>Diterima</v>
      </c>
      <c r="N12" s="174"/>
      <c r="O12" s="173" t="s">
        <v>73</v>
      </c>
      <c r="Q12" s="168" t="str">
        <f t="shared" si="2"/>
        <v>A</v>
      </c>
      <c r="R12" s="168" t="str">
        <f t="shared" si="3"/>
        <v>A</v>
      </c>
      <c r="S12" s="168" t="str">
        <f t="shared" si="4"/>
        <v>A</v>
      </c>
      <c r="T12" s="168" t="str">
        <f t="shared" ref="T12:U12" si="14">IF(K12="Siap","A",IF(K12="Cukup Siap","B",IF(K12="Belum Siap","C","")))</f>
        <v>A</v>
      </c>
      <c r="U12" s="168" t="str">
        <f t="shared" si="14"/>
        <v>A</v>
      </c>
    </row>
    <row r="13">
      <c r="A13" s="167" t="str">
        <f>Kp!C15</f>
        <v>D250003</v>
      </c>
      <c r="B13" s="171" t="str">
        <f>Kp!B15</f>
        <v>Adibah saefulloh</v>
      </c>
      <c r="C13" s="5" t="str">
        <f>Kp!D15</f>
        <v>MTs Putri</v>
      </c>
      <c r="D13" s="168">
        <f>IFERROR(VLOOKUP(A13, AQ!$B$2:$E$500, 3, FALSE),"-")</f>
        <v>70</v>
      </c>
      <c r="E13" s="168">
        <f>IFERROR(VLOOKUP(A13, AQ!$B$2:$E$500, 4, FALSE),"-")</f>
        <v>70</v>
      </c>
      <c r="F13" s="168" t="str">
        <f>IFERROR(VLOOKUP(A13, AQ!$B$2:$F$500, 5, FALSE),"-")</f>
        <v>A. Diterima</v>
      </c>
      <c r="G13" s="168">
        <f>IFERROR(VLOOKUP($A13,A.M!$C$3:$BC$500,53,0),"-")</f>
        <v>75</v>
      </c>
      <c r="H13" s="168" t="str">
        <f>IFERROR(VLOOKUP($A13,A.IL!$C$3:$BC$500,53,0),"-")</f>
        <v>-</v>
      </c>
      <c r="I13" s="168" t="str">
        <f>IFERROR(VLOOKUP($A13,A.S!$C$3:$BC$500,53,0),"-")</f>
        <v>-</v>
      </c>
      <c r="J13" s="168">
        <f>IFERROR(vlookup($A13,Kp!$C14:$JF$500,264,0),"-")</f>
        <v>1</v>
      </c>
      <c r="K13" s="168" t="str">
        <f>IFERROR(vlookup($A13,W.S!$D$2:$X$500,21,0),"-")</f>
        <v>Siap</v>
      </c>
      <c r="L13" s="168" t="str">
        <f>IFERROR(vlookup($A13,Ks!$C$2:$X$500,20,0),"-")</f>
        <v>Siap</v>
      </c>
      <c r="M13" s="168" t="str">
        <f>IFERROR(vlookup($A13,W.O!$E$2:$U$500,16,0),"-")</f>
        <v>Diterima</v>
      </c>
      <c r="N13" s="172"/>
      <c r="O13" s="173" t="s">
        <v>73</v>
      </c>
      <c r="Q13" s="168" t="str">
        <f t="shared" si="2"/>
        <v>A</v>
      </c>
      <c r="R13" s="168" t="str">
        <f t="shared" si="3"/>
        <v>A</v>
      </c>
      <c r="S13" s="168" t="str">
        <f t="shared" si="4"/>
        <v>A</v>
      </c>
      <c r="T13" s="168" t="str">
        <f t="shared" ref="T13:U13" si="15">IF(K13="Siap","A",IF(K13="Cukup Siap","B",IF(K13="Belum Siap","C","")))</f>
        <v>A</v>
      </c>
      <c r="U13" s="168" t="str">
        <f t="shared" si="15"/>
        <v>A</v>
      </c>
    </row>
    <row r="14">
      <c r="A14" s="167" t="str">
        <f>Kp!C16</f>
        <v>D250008</v>
      </c>
      <c r="B14" s="171" t="str">
        <f>Kp!B16</f>
        <v>SHAKIRA NUR AISYAH</v>
      </c>
      <c r="C14" s="5" t="str">
        <f>Kp!D16</f>
        <v>MTs Putri</v>
      </c>
      <c r="D14" s="168">
        <f>IFERROR(VLOOKUP(A14, AQ!$B$2:$E$500, 3, FALSE),"-")</f>
        <v>70</v>
      </c>
      <c r="E14" s="168">
        <f>IFERROR(VLOOKUP(A14, AQ!$B$2:$E$500, 4, FALSE),"-")</f>
        <v>80</v>
      </c>
      <c r="F14" s="168" t="str">
        <f>IFERROR(VLOOKUP(A14, AQ!$B$2:$F$500, 5, FALSE),"-")</f>
        <v>A. Diterima</v>
      </c>
      <c r="G14" s="168">
        <f>IFERROR(VLOOKUP($A14,A.M!$C$3:$BC$500,53,0),"-")</f>
        <v>90</v>
      </c>
      <c r="H14" s="168" t="str">
        <f>IFERROR(VLOOKUP($A14,A.IL!$C$3:$BC$500,53,0),"-")</f>
        <v>-</v>
      </c>
      <c r="I14" s="168" t="str">
        <f>IFERROR(VLOOKUP($A14,A.S!$C$3:$BC$500,53,0),"-")</f>
        <v>-</v>
      </c>
      <c r="J14" s="168">
        <f>IFERROR(vlookup($A14,Kp!$C15:$JF$500,264,0),"-")</f>
        <v>0</v>
      </c>
      <c r="K14" s="168" t="str">
        <f>IFERROR(vlookup($A14,W.S!$D$2:$X$500,21,0),"-")</f>
        <v>Siap</v>
      </c>
      <c r="L14" s="168" t="str">
        <f>IFERROR(vlookup($A14,Ks!$C$2:$X$500,20,0),"-")</f>
        <v>Siap</v>
      </c>
      <c r="M14" s="168" t="str">
        <f>IFERROR(vlookup($A14,W.O!$E$2:$U$500,16,0),"-")</f>
        <v>Diterima</v>
      </c>
      <c r="N14" s="174"/>
      <c r="O14" s="173" t="s">
        <v>73</v>
      </c>
      <c r="Q14" s="168" t="str">
        <f t="shared" si="2"/>
        <v>A</v>
      </c>
      <c r="R14" s="168" t="str">
        <f t="shared" si="3"/>
        <v>A</v>
      </c>
      <c r="S14" s="168" t="str">
        <f t="shared" si="4"/>
        <v>A</v>
      </c>
      <c r="T14" s="168" t="str">
        <f t="shared" ref="T14:U14" si="16">IF(K14="Siap","A",IF(K14="Cukup Siap","B",IF(K14="Belum Siap","C","")))</f>
        <v>A</v>
      </c>
      <c r="U14" s="168" t="str">
        <f t="shared" si="16"/>
        <v>A</v>
      </c>
    </row>
    <row r="15">
      <c r="A15" s="167" t="str">
        <f>Kp!C17</f>
        <v>A250013</v>
      </c>
      <c r="B15" s="11" t="str">
        <f>Kp!B17</f>
        <v>Adya Wiguna</v>
      </c>
      <c r="C15" s="5" t="str">
        <f>Kp!D17</f>
        <v>MTs Putra</v>
      </c>
      <c r="D15" s="168">
        <f>IFERROR(VLOOKUP(A15, AQ!$B$2:$E$500, 3, FALSE),"-")</f>
        <v>60</v>
      </c>
      <c r="E15" s="168">
        <f>IFERROR(VLOOKUP(A15, AQ!$B$2:$E$500, 4, FALSE),"-")</f>
        <v>50</v>
      </c>
      <c r="F15" s="168" t="str">
        <f>IFERROR(VLOOKUP(A15, AQ!$B$2:$F$500, 5, FALSE),"-")</f>
        <v>C. Ditolak</v>
      </c>
      <c r="G15" s="168">
        <f>IFERROR(VLOOKUP($A15,A.M!$C$3:$BC$500,53,0),"-")</f>
        <v>50</v>
      </c>
      <c r="H15" s="168" t="str">
        <f>IFERROR(VLOOKUP($A15,A.IL!$C$3:$BC$500,53,0),"-")</f>
        <v>-</v>
      </c>
      <c r="I15" s="168" t="str">
        <f>IFERROR(VLOOKUP($A15,A.S!$C$3:$BC$500,53,0),"-")</f>
        <v>-</v>
      </c>
      <c r="J15" s="168">
        <f>IFERROR(vlookup($A15,Kp!$C16:$JF$500,264,0),"-")</f>
        <v>3</v>
      </c>
      <c r="K15" s="168" t="str">
        <f>IFERROR(vlookup($A15,W.S!$D$2:$X$500,21,0),"-")</f>
        <v>Cukup Siap</v>
      </c>
      <c r="L15" s="168" t="str">
        <f>IFERROR(vlookup($A15,Ks!$C$2:$X$500,20,0),"-")</f>
        <v>Siap</v>
      </c>
      <c r="M15" s="168" t="str">
        <f>IFERROR(vlookup($A15,W.O!$E$2:$U$500,16,0),"-")</f>
        <v>Diterima dengan catatan</v>
      </c>
      <c r="N15" s="169" t="s">
        <v>70</v>
      </c>
      <c r="O15" s="170" t="s">
        <v>71</v>
      </c>
      <c r="Q15" s="168" t="str">
        <f t="shared" si="2"/>
        <v>C</v>
      </c>
      <c r="R15" s="168" t="str">
        <f t="shared" si="3"/>
        <v>C</v>
      </c>
      <c r="S15" s="168" t="str">
        <f t="shared" si="4"/>
        <v>C</v>
      </c>
      <c r="T15" s="168" t="str">
        <f t="shared" ref="T15:U15" si="17">IF(K15="Siap","A",IF(K15="Cukup Siap","B",IF(K15="Belum Siap","C","")))</f>
        <v>B</v>
      </c>
      <c r="U15" s="168" t="str">
        <f t="shared" si="17"/>
        <v>A</v>
      </c>
    </row>
    <row r="16">
      <c r="A16" s="167" t="str">
        <f>Kp!C18</f>
        <v>A250020</v>
      </c>
      <c r="B16" s="171" t="str">
        <f>Kp!B18</f>
        <v>Muhamad Umar Ali</v>
      </c>
      <c r="C16" s="5" t="str">
        <f>Kp!D18</f>
        <v>MTs Putra</v>
      </c>
      <c r="D16" s="168">
        <f>IFERROR(VLOOKUP(A16, AQ!$B$2:$E$500, 3, FALSE),"-")</f>
        <v>78</v>
      </c>
      <c r="E16" s="168">
        <f>IFERROR(VLOOKUP(A16, AQ!$B$2:$E$500, 4, FALSE),"-")</f>
        <v>75</v>
      </c>
      <c r="F16" s="168" t="str">
        <f>IFERROR(VLOOKUP(A16, AQ!$B$2:$F$500, 5, FALSE),"-")</f>
        <v>B. Cadangan</v>
      </c>
      <c r="G16" s="168">
        <f>IFERROR(VLOOKUP($A16,A.M!$C$3:$BC$500,53,0),"-")</f>
        <v>70</v>
      </c>
      <c r="H16" s="168" t="str">
        <f>IFERROR(VLOOKUP($A16,A.IL!$C$3:$BC$500,53,0),"-")</f>
        <v>-</v>
      </c>
      <c r="I16" s="168" t="str">
        <f>IFERROR(VLOOKUP($A16,A.S!$C$3:$BC$500,53,0),"-")</f>
        <v>-</v>
      </c>
      <c r="J16" s="168">
        <f>IFERROR(vlookup($A16,Kp!$C17:$JF$500,264,0),"-")</f>
        <v>1</v>
      </c>
      <c r="K16" s="168" t="str">
        <f>IFERROR(vlookup($A16,W.S!$D$2:$X$500,21,0),"-")</f>
        <v>Siap</v>
      </c>
      <c r="L16" s="168" t="str">
        <f>IFERROR(vlookup($A16,Ks!$C$2:$X$500,20,0),"-")</f>
        <v>Siap</v>
      </c>
      <c r="M16" s="168" t="str">
        <f>M17</f>
        <v>Diterima</v>
      </c>
      <c r="N16" s="174"/>
      <c r="O16" s="173" t="s">
        <v>73</v>
      </c>
      <c r="Q16" s="168" t="str">
        <f t="shared" si="2"/>
        <v>B</v>
      </c>
      <c r="R16" s="168" t="str">
        <f t="shared" si="3"/>
        <v>B</v>
      </c>
      <c r="S16" s="168" t="str">
        <f t="shared" si="4"/>
        <v>A</v>
      </c>
      <c r="T16" s="168" t="str">
        <f t="shared" ref="T16:U16" si="18">IF(K16="Siap","A",IF(K16="Cukup Siap","B",IF(K16="Belum Siap","C","")))</f>
        <v>A</v>
      </c>
      <c r="U16" s="168" t="str">
        <f t="shared" si="18"/>
        <v>A</v>
      </c>
    </row>
    <row r="17">
      <c r="A17" s="167" t="str">
        <f>Kp!C19</f>
        <v>A250018</v>
      </c>
      <c r="B17" s="175" t="str">
        <f>Kp!B19</f>
        <v>Muhamad Usman Ali</v>
      </c>
      <c r="C17" s="5" t="str">
        <f>Kp!D19</f>
        <v>MTs Putra</v>
      </c>
      <c r="D17" s="168">
        <f>IFERROR(VLOOKUP(A17, AQ!$B$2:$E$500, 3, FALSE),"-")</f>
        <v>65</v>
      </c>
      <c r="E17" s="168">
        <f>IFERROR(VLOOKUP(A17, AQ!$B$2:$E$500, 4, FALSE),"-")</f>
        <v>60</v>
      </c>
      <c r="F17" s="168" t="str">
        <f>IFERROR(VLOOKUP(A17, AQ!$B$2:$F$500, 5, FALSE),"-")</f>
        <v>C. Ditolak</v>
      </c>
      <c r="G17" s="168">
        <f>IFERROR(VLOOKUP($A17,A.M!$C$3:$BC$500,53,0),"-")</f>
        <v>65</v>
      </c>
      <c r="H17" s="168" t="str">
        <f>IFERROR(VLOOKUP($A17,A.IL!$C$3:$BC$500,53,0),"-")</f>
        <v>-</v>
      </c>
      <c r="I17" s="168" t="str">
        <f>IFERROR(VLOOKUP($A17,A.S!$C$3:$BC$500,53,0),"-")</f>
        <v>-</v>
      </c>
      <c r="J17" s="168">
        <f>IFERROR(vlookup($A17,Kp!$C18:$JF$500,264,0),"-")</f>
        <v>2</v>
      </c>
      <c r="K17" s="168" t="str">
        <f>IFERROR(vlookup($A17,W.S!$D$2:$X$500,21,0),"-")</f>
        <v>Siap</v>
      </c>
      <c r="L17" s="168" t="str">
        <f>IFERROR(vlookup($A17,Ks!$C$2:$X$500,20,0),"-")</f>
        <v>Siap</v>
      </c>
      <c r="M17" s="168" t="str">
        <f>IFERROR(vlookup($A17,W.O!$E$2:$U$500,16,0),"-")</f>
        <v>Diterima</v>
      </c>
      <c r="N17" s="174"/>
      <c r="O17" s="173" t="s">
        <v>73</v>
      </c>
      <c r="Q17" s="168" t="str">
        <f t="shared" si="2"/>
        <v>C</v>
      </c>
      <c r="R17" s="168" t="str">
        <f t="shared" si="3"/>
        <v>B</v>
      </c>
      <c r="S17" s="168" t="str">
        <f t="shared" si="4"/>
        <v>B</v>
      </c>
      <c r="T17" s="168" t="str">
        <f t="shared" ref="T17:U17" si="19">IF(K17="Siap","A",IF(K17="Cukup Siap","B",IF(K17="Belum Siap","C","")))</f>
        <v>A</v>
      </c>
      <c r="U17" s="168" t="str">
        <f t="shared" si="19"/>
        <v>A</v>
      </c>
    </row>
    <row r="18">
      <c r="A18" s="167" t="str">
        <f>Kp!C20</f>
        <v>A250016</v>
      </c>
      <c r="B18" s="171" t="str">
        <f>Kp!B20</f>
        <v>Faeyza Izzatul Khairy</v>
      </c>
      <c r="C18" s="5" t="str">
        <f>Kp!D20</f>
        <v>MTs Putra</v>
      </c>
      <c r="D18" s="168">
        <f>IFERROR(VLOOKUP(A18, AQ!$B$2:$E$500, 3, FALSE),"-")</f>
        <v>80</v>
      </c>
      <c r="E18" s="168">
        <f>IFERROR(VLOOKUP(A18, AQ!$B$2:$E$500, 4, FALSE),"-")</f>
        <v>85</v>
      </c>
      <c r="F18" s="168" t="str">
        <f>IFERROR(VLOOKUP(A18, AQ!$B$2:$F$500, 5, FALSE),"-")</f>
        <v>B. Cadangan</v>
      </c>
      <c r="G18" s="168">
        <f>IFERROR(VLOOKUP($A18,A.M!$C$3:$BC$500,53,0),"-")</f>
        <v>90</v>
      </c>
      <c r="H18" s="168" t="str">
        <f>IFERROR(VLOOKUP($A18,A.IL!$C$3:$BC$500,53,0),"-")</f>
        <v>-</v>
      </c>
      <c r="I18" s="168" t="str">
        <f>IFERROR(VLOOKUP($A18,A.S!$C$3:$BC$500,53,0),"-")</f>
        <v>-</v>
      </c>
      <c r="J18" s="168">
        <f>IFERROR(vlookup($A18,Kp!$C19:$JF$500,264,0),"-")</f>
        <v>2</v>
      </c>
      <c r="K18" s="168" t="str">
        <f>IFERROR(vlookup($A18,W.S!$D$2:$X$500,21,0),"-")</f>
        <v>Siap</v>
      </c>
      <c r="L18" s="168" t="str">
        <f>IFERROR(vlookup($A18,Ks!$C$2:$X$500,20,0),"-")</f>
        <v>Siap</v>
      </c>
      <c r="M18" s="168" t="str">
        <f>IFERROR(vlookup($A18,W.O!$E$2:$U$500,16,0),"-")</f>
        <v>Diterima</v>
      </c>
      <c r="N18" s="177"/>
      <c r="O18" s="173" t="s">
        <v>73</v>
      </c>
      <c r="Q18" s="168" t="str">
        <f t="shared" si="2"/>
        <v>B</v>
      </c>
      <c r="R18" s="168" t="str">
        <f t="shared" si="3"/>
        <v>A</v>
      </c>
      <c r="S18" s="168" t="str">
        <f t="shared" si="4"/>
        <v>B</v>
      </c>
      <c r="T18" s="168" t="str">
        <f t="shared" ref="T18:U18" si="20">IF(K18="Siap","A",IF(K18="Cukup Siap","B",IF(K18="Belum Siap","C","")))</f>
        <v>A</v>
      </c>
      <c r="U18" s="168" t="str">
        <f t="shared" si="20"/>
        <v>A</v>
      </c>
    </row>
    <row r="19">
      <c r="A19" s="167" t="str">
        <f>Kp!C21</f>
        <v>A250012</v>
      </c>
      <c r="B19" s="171" t="str">
        <f>Kp!B21</f>
        <v>Haneef Abdurahman</v>
      </c>
      <c r="C19" s="5" t="str">
        <f>Kp!D21</f>
        <v>MTs Putra</v>
      </c>
      <c r="D19" s="168">
        <f>IFERROR(VLOOKUP(A19, AQ!$B$2:$E$500, 3, FALSE),"-")</f>
        <v>95</v>
      </c>
      <c r="E19" s="168">
        <f>IFERROR(VLOOKUP(A19, AQ!$B$2:$E$500, 4, FALSE),"-")</f>
        <v>96</v>
      </c>
      <c r="F19" s="168" t="str">
        <f>IFERROR(VLOOKUP(A19, AQ!$B$2:$F$500, 5, FALSE),"-")</f>
        <v>A. Diterima</v>
      </c>
      <c r="G19" s="168">
        <f>IFERROR(VLOOKUP($A19,A.M!$C$3:$BC$500,53,0),"-")</f>
        <v>90</v>
      </c>
      <c r="H19" s="168" t="str">
        <f>IFERROR(VLOOKUP($A19,A.IL!$C$3:$BC$500,53,0),"-")</f>
        <v>-</v>
      </c>
      <c r="I19" s="168" t="str">
        <f>IFERROR(VLOOKUP($A19,A.S!$C$3:$BC$500,53,0),"-")</f>
        <v>-</v>
      </c>
      <c r="J19" s="168">
        <f>IFERROR(vlookup($A19,Kp!$C20:$JF$500,264,0),"-")</f>
        <v>1</v>
      </c>
      <c r="K19" s="168" t="str">
        <f>IFERROR(vlookup($A19,W.S!$D$2:$X$500,21,0),"-")</f>
        <v>Siap</v>
      </c>
      <c r="L19" s="168" t="str">
        <f>IFERROR(vlookup($A19,Ks!$C$2:$X$500,20,0),"-")</f>
        <v>Siap</v>
      </c>
      <c r="M19" s="168" t="str">
        <f>IFERROR(vlookup($A19,W.O!$E$2:$U$500,16,0),"-")</f>
        <v>Diterima</v>
      </c>
      <c r="N19" s="172"/>
      <c r="O19" s="173" t="s">
        <v>73</v>
      </c>
      <c r="Q19" s="168" t="str">
        <f t="shared" si="2"/>
        <v>A</v>
      </c>
      <c r="R19" s="168" t="str">
        <f t="shared" si="3"/>
        <v>A</v>
      </c>
      <c r="S19" s="168" t="str">
        <f t="shared" si="4"/>
        <v>A</v>
      </c>
      <c r="T19" s="168" t="str">
        <f t="shared" ref="T19:U19" si="21">IF(K19="Siap","A",IF(K19="Cukup Siap","B",IF(K19="Belum Siap","C","")))</f>
        <v>A</v>
      </c>
      <c r="U19" s="168" t="str">
        <f t="shared" si="21"/>
        <v>A</v>
      </c>
    </row>
    <row r="20">
      <c r="A20" s="167" t="str">
        <f>Kp!C22</f>
        <v>A250003</v>
      </c>
      <c r="B20" s="175" t="str">
        <f>Kp!B22</f>
        <v>PUTRA PERDANA</v>
      </c>
      <c r="C20" s="5" t="str">
        <f>Kp!D22</f>
        <v>MTs Putra</v>
      </c>
      <c r="D20" s="168">
        <f>IFERROR(VLOOKUP(A20, AQ!$B$2:$E$500, 3, FALSE),"-")</f>
        <v>65</v>
      </c>
      <c r="E20" s="168">
        <f>IFERROR(VLOOKUP(A20, AQ!$B$2:$E$500, 4, FALSE),"-")</f>
        <v>65</v>
      </c>
      <c r="F20" s="168" t="str">
        <f>IFERROR(VLOOKUP(A20, AQ!$B$2:$F$500, 5, FALSE),"-")</f>
        <v>C. Ditolak</v>
      </c>
      <c r="G20" s="168">
        <f>IFERROR(VLOOKUP($A20,A.M!$C$3:$BC$500,53,0),"-")</f>
        <v>70</v>
      </c>
      <c r="H20" s="168" t="str">
        <f>IFERROR(VLOOKUP($A20,A.IL!$C$3:$BC$500,53,0),"-")</f>
        <v>-</v>
      </c>
      <c r="I20" s="168" t="str">
        <f>IFERROR(VLOOKUP($A20,A.S!$C$3:$BC$500,53,0),"-")</f>
        <v>-</v>
      </c>
      <c r="J20" s="168">
        <f>IFERROR(vlookup($A20,Kp!$C21:$JF$500,264,0),"-")</f>
        <v>1</v>
      </c>
      <c r="K20" s="168" t="str">
        <f>IFERROR(vlookup($A20,W.S!$D$2:$X$500,21,0),"-")</f>
        <v>Cukup Siap</v>
      </c>
      <c r="L20" s="168" t="str">
        <f>IFERROR(vlookup($A20,Ks!$C$2:$X$500,20,0),"-")</f>
        <v>Siap</v>
      </c>
      <c r="M20" s="168" t="str">
        <f>IFERROR(vlookup($A20,W.O!$E$2:$U$500,16,0),"-")</f>
        <v>Diterima</v>
      </c>
      <c r="N20" s="177"/>
      <c r="O20" s="173" t="s">
        <v>73</v>
      </c>
      <c r="Q20" s="168" t="str">
        <f t="shared" si="2"/>
        <v>C</v>
      </c>
      <c r="R20" s="168" t="str">
        <f t="shared" si="3"/>
        <v>B</v>
      </c>
      <c r="S20" s="168" t="str">
        <f t="shared" si="4"/>
        <v>A</v>
      </c>
      <c r="T20" s="168" t="str">
        <f t="shared" ref="T20:U20" si="22">IF(K20="Siap","A",IF(K20="Cukup Siap","B",IF(K20="Belum Siap","C","")))</f>
        <v>B</v>
      </c>
      <c r="U20" s="168" t="str">
        <f t="shared" si="22"/>
        <v>A</v>
      </c>
    </row>
    <row r="21">
      <c r="A21" s="167" t="str">
        <f>Kp!C23</f>
        <v>A250034</v>
      </c>
      <c r="B21" s="171" t="str">
        <f>Kp!B23</f>
        <v>Abudzar Al Mahbub</v>
      </c>
      <c r="C21" s="5" t="str">
        <f>Kp!D23</f>
        <v>MTs Putra</v>
      </c>
      <c r="D21" s="168">
        <f>IFERROR(VLOOKUP(A21, AQ!$B$2:$E$500, 3, FALSE),"-")</f>
        <v>85</v>
      </c>
      <c r="E21" s="168">
        <f>IFERROR(VLOOKUP(A21, AQ!$B$2:$E$500, 4, FALSE),"-")</f>
        <v>85</v>
      </c>
      <c r="F21" s="168" t="str">
        <f>IFERROR(VLOOKUP(A21, AQ!$B$2:$F$500, 5, FALSE),"-")</f>
        <v>A. Diterima</v>
      </c>
      <c r="G21" s="168">
        <f>IFERROR(VLOOKUP($A21,A.M!$C$3:$BC$500,53,0),"-")</f>
        <v>70</v>
      </c>
      <c r="H21" s="168" t="str">
        <f>IFERROR(VLOOKUP($A21,A.IL!$C$3:$BC$500,53,0),"-")</f>
        <v>-</v>
      </c>
      <c r="I21" s="168" t="str">
        <f>IFERROR(VLOOKUP($A21,A.S!$C$3:$BC$500,53,0),"-")</f>
        <v>-</v>
      </c>
      <c r="J21" s="168">
        <f>IFERROR(vlookup($A21,Kp!$C22:$JF$500,264,0),"-")</f>
        <v>1</v>
      </c>
      <c r="K21" s="168" t="str">
        <f>IFERROR(vlookup($A21,W.S!$D$2:$X$500,21,0),"-")</f>
        <v>Siap</v>
      </c>
      <c r="L21" s="168" t="str">
        <f>IFERROR(vlookup($A21,Ks!$C$2:$X$500,20,0),"-")</f>
        <v>Siap</v>
      </c>
      <c r="M21" s="168" t="str">
        <f>IFERROR(vlookup($A21,W.O!$E$2:$U$500,16,0),"-")</f>
        <v>Diterima dengan catatan</v>
      </c>
      <c r="N21" s="177"/>
      <c r="O21" s="173" t="s">
        <v>73</v>
      </c>
      <c r="Q21" s="168" t="str">
        <f t="shared" si="2"/>
        <v>A</v>
      </c>
      <c r="R21" s="168" t="str">
        <f t="shared" si="3"/>
        <v>B</v>
      </c>
      <c r="S21" s="168" t="str">
        <f t="shared" si="4"/>
        <v>A</v>
      </c>
      <c r="T21" s="168" t="str">
        <f t="shared" ref="T21:U21" si="23">IF(K21="Siap","A",IF(K21="Cukup Siap","B",IF(K21="Belum Siap","C","")))</f>
        <v>A</v>
      </c>
      <c r="U21" s="168" t="str">
        <f t="shared" si="23"/>
        <v>A</v>
      </c>
    </row>
    <row r="22">
      <c r="A22" s="167" t="str">
        <f>Kp!C24</f>
        <v>B250010</v>
      </c>
      <c r="B22" s="171" t="str">
        <f>Kp!B24</f>
        <v>Ksatria Hudzaifah Al Mizzi</v>
      </c>
      <c r="C22" s="5" t="str">
        <f>Kp!D24</f>
        <v>IL Putra</v>
      </c>
      <c r="D22" s="168">
        <f>IFERROR(VLOOKUP(A22, AQ!$B$2:$E$500, 3, FALSE),"-")</f>
        <v>95</v>
      </c>
      <c r="E22" s="168">
        <f>IFERROR(VLOOKUP(A22, AQ!$B$2:$E$500, 4, FALSE),"-")</f>
        <v>90</v>
      </c>
      <c r="F22" s="168" t="str">
        <f>IFERROR(VLOOKUP(A22, AQ!$B$2:$F$500, 5, FALSE),"-")</f>
        <v>A. Diterima</v>
      </c>
      <c r="G22" s="168" t="str">
        <f>IFERROR(VLOOKUP($A22,A.M!$C$3:$BC$500,53,0),"-")</f>
        <v>-</v>
      </c>
      <c r="H22" s="168">
        <f>IFERROR(VLOOKUP($A22,A.IL!$C$3:$BC$500,53,0),"-")</f>
        <v>85</v>
      </c>
      <c r="I22" s="168" t="str">
        <f>IFERROR(VLOOKUP($A22,A.S!$C$3:$BC$500,53,0),"-")</f>
        <v>-</v>
      </c>
      <c r="J22" s="168">
        <f>IFERROR(vlookup($A22,Kp!$C23:$JF$500,264,0),"-")</f>
        <v>1</v>
      </c>
      <c r="K22" s="168" t="str">
        <f>IFERROR(vlookup($A22,W.S!$D$2:$X$500,21,0),"-")</f>
        <v>Cukup Siap</v>
      </c>
      <c r="L22" s="168" t="str">
        <f>IFERROR(vlookup($A22,Ks!$C$2:$X$500,20,0),"-")</f>
        <v>Siap</v>
      </c>
      <c r="M22" s="168" t="str">
        <f>IFERROR(vlookup($A22,W.O!$E$2:$U$500,16,0),"-")</f>
        <v>Diterima</v>
      </c>
      <c r="N22" s="172"/>
      <c r="O22" s="173" t="s">
        <v>73</v>
      </c>
      <c r="Q22" s="168" t="str">
        <f t="shared" si="2"/>
        <v>A</v>
      </c>
      <c r="R22" s="168" t="str">
        <f t="shared" si="3"/>
        <v>A</v>
      </c>
      <c r="S22" s="168" t="str">
        <f t="shared" si="4"/>
        <v>A</v>
      </c>
      <c r="T22" s="168" t="str">
        <f t="shared" ref="T22:U22" si="24">IF(K22="Siap","A",IF(K22="Cukup Siap","B",IF(K22="Belum Siap","C","")))</f>
        <v>B</v>
      </c>
      <c r="U22" s="168" t="str">
        <f t="shared" si="24"/>
        <v>A</v>
      </c>
    </row>
    <row r="23">
      <c r="A23" s="167" t="str">
        <f>Kp!C25</f>
        <v>A250055</v>
      </c>
      <c r="B23" s="175" t="str">
        <f>Kp!B25</f>
        <v>Kafie Arkan Rafiqi </v>
      </c>
      <c r="C23" s="5" t="str">
        <f>Kp!D25</f>
        <v>MTs Putra</v>
      </c>
      <c r="D23" s="168">
        <f>IFERROR(VLOOKUP(A23, AQ!$B$2:$E$500, 3, FALSE),"-")</f>
        <v>87</v>
      </c>
      <c r="E23" s="168">
        <f>IFERROR(VLOOKUP(A23, AQ!$B$2:$E$500, 4, FALSE),"-")</f>
        <v>84</v>
      </c>
      <c r="F23" s="168" t="str">
        <f>IFERROR(VLOOKUP(A23, AQ!$B$2:$F$500, 5, FALSE),"-")</f>
        <v>A. Diterima</v>
      </c>
      <c r="G23" s="168">
        <f>IFERROR(VLOOKUP($A23,A.M!$C$3:$BC$500,53,0),"-")</f>
        <v>80</v>
      </c>
      <c r="H23" s="168" t="str">
        <f>IFERROR(VLOOKUP($A23,A.IL!$C$3:$BC$500,53,0),"-")</f>
        <v>-</v>
      </c>
      <c r="I23" s="168" t="str">
        <f>IFERROR(VLOOKUP($A23,A.S!$C$3:$BC$500,53,0),"-")</f>
        <v>-</v>
      </c>
      <c r="J23" s="168">
        <f>IFERROR(vlookup($A23,Kp!$C24:$JF$500,264,0),"-")</f>
        <v>6</v>
      </c>
      <c r="K23" s="168" t="str">
        <f>IFERROR(vlookup($A23,W.S!$D$2:$X$500,21,0),"-")</f>
        <v>Siap</v>
      </c>
      <c r="L23" s="168" t="str">
        <f>IFERROR(vlookup($A23,Ks!$C$2:$X$500,20,0),"-")</f>
        <v>Siap</v>
      </c>
      <c r="M23" s="168" t="str">
        <f>IFERROR(vlookup($A23,W.O!$E$2:$U$500,16,0),"-")</f>
        <v>Diterima</v>
      </c>
      <c r="N23" s="169" t="s">
        <v>70</v>
      </c>
      <c r="O23" s="176" t="s">
        <v>74</v>
      </c>
      <c r="Q23" s="168" t="str">
        <f t="shared" si="2"/>
        <v>A</v>
      </c>
      <c r="R23" s="168" t="str">
        <f t="shared" si="3"/>
        <v>A</v>
      </c>
      <c r="S23" s="168" t="str">
        <f t="shared" si="4"/>
        <v>C</v>
      </c>
      <c r="T23" s="168" t="str">
        <f t="shared" ref="T23:U23" si="25">IF(K23="Siap","A",IF(K23="Cukup Siap","B",IF(K23="Belum Siap","C","")))</f>
        <v>A</v>
      </c>
      <c r="U23" s="168" t="str">
        <f t="shared" si="25"/>
        <v>A</v>
      </c>
    </row>
    <row r="24">
      <c r="A24" s="167" t="str">
        <f>Kp!C26</f>
        <v>A250024</v>
      </c>
      <c r="B24" s="171" t="str">
        <f>Kp!B26</f>
        <v>Shafwan Iyadh Addarimy</v>
      </c>
      <c r="C24" s="5" t="str">
        <f>Kp!D26</f>
        <v>MTs Putra</v>
      </c>
      <c r="D24" s="168">
        <f>IFERROR(VLOOKUP(A24, AQ!$B$2:$E$500, 3, FALSE),"-")</f>
        <v>85</v>
      </c>
      <c r="E24" s="168">
        <f>IFERROR(VLOOKUP(A24, AQ!$B$2:$E$500, 4, FALSE),"-")</f>
        <v>87</v>
      </c>
      <c r="F24" s="168" t="str">
        <f>IFERROR(VLOOKUP(A24, AQ!$B$2:$F$500, 5, FALSE),"-")</f>
        <v>A. Diterima</v>
      </c>
      <c r="G24" s="168">
        <f>IFERROR(VLOOKUP($A24,A.M!$C$3:$BC$500,53,0),"-")</f>
        <v>60</v>
      </c>
      <c r="H24" s="168" t="str">
        <f>IFERROR(VLOOKUP($A24,A.IL!$C$3:$BC$500,53,0),"-")</f>
        <v>-</v>
      </c>
      <c r="I24" s="168" t="str">
        <f>IFERROR(VLOOKUP($A24,A.S!$C$3:$BC$500,53,0),"-")</f>
        <v>-</v>
      </c>
      <c r="J24" s="168">
        <f>IFERROR(vlookup($A24,Kp!$C25:$JF$500,264,0),"-")</f>
        <v>1</v>
      </c>
      <c r="K24" s="168" t="str">
        <f>IFERROR(vlookup($A24,W.S!$D$2:$X$500,21,0),"-")</f>
        <v>Siap</v>
      </c>
      <c r="L24" s="168" t="str">
        <f>IFERROR(vlookup($A24,Ks!$C$2:$X$500,20,0),"-")</f>
        <v>Siap</v>
      </c>
      <c r="M24" s="168" t="str">
        <f>IFERROR(vlookup($A24,W.O!$E$2:$U$500,16,0),"-")</f>
        <v>Diterima</v>
      </c>
      <c r="N24" s="177"/>
      <c r="O24" s="173" t="s">
        <v>73</v>
      </c>
      <c r="Q24" s="168" t="str">
        <f t="shared" si="2"/>
        <v>A</v>
      </c>
      <c r="R24" s="168" t="str">
        <f t="shared" si="3"/>
        <v>B</v>
      </c>
      <c r="S24" s="168" t="str">
        <f t="shared" si="4"/>
        <v>A</v>
      </c>
      <c r="T24" s="168" t="str">
        <f t="shared" ref="T24:U24" si="26">IF(K24="Siap","A",IF(K24="Cukup Siap","B",IF(K24="Belum Siap","C","")))</f>
        <v>A</v>
      </c>
      <c r="U24" s="168" t="str">
        <f t="shared" si="26"/>
        <v>A</v>
      </c>
    </row>
    <row r="25">
      <c r="A25" s="167" t="str">
        <f>Kp!C27</f>
        <v>D250024</v>
      </c>
      <c r="B25" s="171" t="str">
        <f>Kp!B27</f>
        <v>Hana Dwi Rinjani</v>
      </c>
      <c r="C25" s="5" t="str">
        <f>Kp!D27</f>
        <v>MTs Putri</v>
      </c>
      <c r="D25" s="168">
        <f>IFERROR(VLOOKUP(A25, AQ!$B$2:$E$500, 3, FALSE),"-")</f>
        <v>85</v>
      </c>
      <c r="E25" s="168">
        <f>IFERROR(VLOOKUP(A25, AQ!$B$2:$E$500, 4, FALSE),"-")</f>
        <v>85</v>
      </c>
      <c r="F25" s="168" t="str">
        <f>IFERROR(VLOOKUP(A25, AQ!$B$2:$F$500, 5, FALSE),"-")</f>
        <v>A. Diterima</v>
      </c>
      <c r="G25" s="168">
        <f>IFERROR(VLOOKUP($A25,A.M!$C$3:$BC$500,53,0),"-")</f>
        <v>75</v>
      </c>
      <c r="H25" s="168" t="str">
        <f>IFERROR(VLOOKUP($A25,A.IL!$C$3:$BC$500,53,0),"-")</f>
        <v>-</v>
      </c>
      <c r="I25" s="168" t="str">
        <f>IFERROR(VLOOKUP($A25,A.S!$C$3:$BC$500,53,0),"-")</f>
        <v>-</v>
      </c>
      <c r="J25" s="168">
        <f>IFERROR(vlookup($A25,Kp!$C26:$JF$500,264,0),"-")</f>
        <v>0</v>
      </c>
      <c r="K25" s="168" t="str">
        <f>IFERROR(vlookup($A25,W.S!$D$2:$X$500,21,0),"-")</f>
        <v>Siap</v>
      </c>
      <c r="L25" s="168" t="str">
        <f>IFERROR(vlookup($A25,Ks!$C$2:$X$500,20,0),"-")</f>
        <v>Siap</v>
      </c>
      <c r="M25" s="168" t="str">
        <f>IFERROR(vlookup($A25,W.O!$E$2:$U$500,16,0),"-")</f>
        <v>Diterima</v>
      </c>
      <c r="N25" s="177"/>
      <c r="O25" s="178" t="s">
        <v>73</v>
      </c>
      <c r="Q25" s="168" t="str">
        <f t="shared" si="2"/>
        <v>A</v>
      </c>
      <c r="R25" s="168" t="str">
        <f t="shared" si="3"/>
        <v>A</v>
      </c>
      <c r="S25" s="168" t="str">
        <f t="shared" si="4"/>
        <v>A</v>
      </c>
      <c r="T25" s="168" t="str">
        <f t="shared" ref="T25:U25" si="27">IF(K25="Siap","A",IF(K25="Cukup Siap","B",IF(K25="Belum Siap","C","")))</f>
        <v>A</v>
      </c>
      <c r="U25" s="168" t="str">
        <f t="shared" si="27"/>
        <v>A</v>
      </c>
    </row>
    <row r="26">
      <c r="A26" s="167" t="str">
        <f>Kp!C28</f>
        <v>A250014</v>
      </c>
      <c r="B26" s="171" t="str">
        <f>Kp!B28</f>
        <v>Muhammad Hilmy Ilyasa Rizal</v>
      </c>
      <c r="C26" s="5" t="str">
        <f>Kp!D28</f>
        <v>MTs Putra</v>
      </c>
      <c r="D26" s="168">
        <f>IFERROR(VLOOKUP(A26, AQ!$B$2:$E$500, 3, FALSE),"-")</f>
        <v>87</v>
      </c>
      <c r="E26" s="168">
        <f>IFERROR(VLOOKUP(A26, AQ!$B$2:$E$500, 4, FALSE),"-")</f>
        <v>85</v>
      </c>
      <c r="F26" s="168" t="str">
        <f>IFERROR(VLOOKUP(A26, AQ!$B$2:$F$500, 5, FALSE),"-")</f>
        <v>A. Diterima</v>
      </c>
      <c r="G26" s="168">
        <f>IFERROR(VLOOKUP($A26,A.M!$C$3:$BC$500,53,0),"-")</f>
        <v>75</v>
      </c>
      <c r="H26" s="168" t="str">
        <f>IFERROR(VLOOKUP($A26,A.IL!$C$3:$BC$500,53,0),"-")</f>
        <v>-</v>
      </c>
      <c r="I26" s="168" t="str">
        <f>IFERROR(VLOOKUP($A26,A.S!$C$3:$BC$500,53,0),"-")</f>
        <v>-</v>
      </c>
      <c r="J26" s="168">
        <f>IFERROR(vlookup($A26,Kp!$C27:$JF$500,264,0),"-")</f>
        <v>2</v>
      </c>
      <c r="K26" s="168" t="str">
        <f>IFERROR(vlookup($A26,W.S!$D$2:$X$500,21,0),"-")</f>
        <v>Siap</v>
      </c>
      <c r="L26" s="168" t="str">
        <f>IFERROR(vlookup($A26,Ks!$C$2:$X$500,20,0),"-")</f>
        <v>Siap</v>
      </c>
      <c r="M26" s="168" t="str">
        <f>IFERROR(vlookup($A26,W.O!$E$2:$U$500,16,0),"-")</f>
        <v>Diterima</v>
      </c>
      <c r="N26" s="169" t="s">
        <v>75</v>
      </c>
      <c r="O26" s="178" t="s">
        <v>73</v>
      </c>
      <c r="Q26" s="168" t="str">
        <f t="shared" si="2"/>
        <v>A</v>
      </c>
      <c r="R26" s="168" t="str">
        <f t="shared" si="3"/>
        <v>A</v>
      </c>
      <c r="S26" s="168" t="str">
        <f t="shared" si="4"/>
        <v>B</v>
      </c>
      <c r="T26" s="168" t="str">
        <f t="shared" ref="T26:U26" si="28">IF(K26="Siap","A",IF(K26="Cukup Siap","B",IF(K26="Belum Siap","C","")))</f>
        <v>A</v>
      </c>
      <c r="U26" s="168" t="str">
        <f t="shared" si="28"/>
        <v>A</v>
      </c>
    </row>
    <row r="27">
      <c r="A27" s="167" t="str">
        <f>Kp!C29</f>
        <v>A250009</v>
      </c>
      <c r="B27" s="171" t="str">
        <f>Kp!B29</f>
        <v>Nahnurizko nabhan farghali </v>
      </c>
      <c r="C27" s="5" t="str">
        <f>Kp!D29</f>
        <v>MTs Putra</v>
      </c>
      <c r="D27" s="168">
        <f>IFERROR(VLOOKUP(A27, AQ!$B$2:$E$500, 3, FALSE),"-")</f>
        <v>90</v>
      </c>
      <c r="E27" s="168">
        <f>IFERROR(VLOOKUP(A27, AQ!$B$2:$E$500, 4, FALSE),"-")</f>
        <v>92</v>
      </c>
      <c r="F27" s="168" t="str">
        <f>IFERROR(VLOOKUP(A27, AQ!$B$2:$F$500, 5, FALSE),"-")</f>
        <v>A. Diterima</v>
      </c>
      <c r="G27" s="168">
        <f>IFERROR(VLOOKUP($A27,A.M!$C$3:$BC$500,53,0),"-")</f>
        <v>90</v>
      </c>
      <c r="H27" s="168" t="str">
        <f>IFERROR(VLOOKUP($A27,A.IL!$C$3:$BC$500,53,0),"-")</f>
        <v>-</v>
      </c>
      <c r="I27" s="168" t="str">
        <f>IFERROR(VLOOKUP($A27,A.S!$C$3:$BC$500,53,0),"-")</f>
        <v>-</v>
      </c>
      <c r="J27" s="168">
        <f>IFERROR(vlookup($A27,Kp!$C28:$JF$500,264,0),"-")</f>
        <v>1</v>
      </c>
      <c r="K27" s="168" t="str">
        <f>IFERROR(vlookup($A27,W.S!$D$2:$X$500,21,0),"-")</f>
        <v>Siap</v>
      </c>
      <c r="L27" s="168" t="str">
        <f>IFERROR(vlookup($A27,Ks!$C$2:$X$500,20,0),"-")</f>
        <v>Siap</v>
      </c>
      <c r="M27" s="168" t="str">
        <f>IFERROR(vlookup($A27,W.O!$E$2:$U$500,16,0),"-")</f>
        <v>Diterima</v>
      </c>
      <c r="N27" s="177"/>
      <c r="O27" s="173" t="s">
        <v>73</v>
      </c>
      <c r="Q27" s="168" t="str">
        <f t="shared" si="2"/>
        <v>A</v>
      </c>
      <c r="R27" s="168" t="str">
        <f t="shared" si="3"/>
        <v>A</v>
      </c>
      <c r="S27" s="168" t="str">
        <f t="shared" si="4"/>
        <v>A</v>
      </c>
      <c r="T27" s="168" t="str">
        <f t="shared" ref="T27:U27" si="29">IF(K27="Siap","A",IF(K27="Cukup Siap","B",IF(K27="Belum Siap","C","")))</f>
        <v>A</v>
      </c>
      <c r="U27" s="168" t="str">
        <f t="shared" si="29"/>
        <v>A</v>
      </c>
    </row>
    <row r="28">
      <c r="A28" s="167" t="str">
        <f>Kp!C30</f>
        <v>E250001</v>
      </c>
      <c r="B28" s="171" t="str">
        <f>Kp!B30</f>
        <v>Widya Meilani Zahra</v>
      </c>
      <c r="C28" s="5" t="str">
        <f>Kp!D30</f>
        <v>IL Putri</v>
      </c>
      <c r="D28" s="168">
        <f>IFERROR(VLOOKUP(A28, AQ!$B$2:$E$500, 3, FALSE),"-")</f>
        <v>85</v>
      </c>
      <c r="E28" s="168">
        <f>IFERROR(VLOOKUP(A28, AQ!$B$2:$E$500, 4, FALSE),"-")</f>
        <v>90</v>
      </c>
      <c r="F28" s="168" t="str">
        <f>IFERROR(VLOOKUP(A28, AQ!$B$2:$F$500, 5, FALSE),"-")</f>
        <v>A. Diterima</v>
      </c>
      <c r="G28" s="168" t="str">
        <f>IFERROR(VLOOKUP($A28,A.M!$C$3:$BC$500,53,0),"-")</f>
        <v>-</v>
      </c>
      <c r="H28" s="168">
        <f>IFERROR(VLOOKUP($A28,A.IL!$C$3:$BC$500,53,0),"-")</f>
        <v>35</v>
      </c>
      <c r="I28" s="168" t="str">
        <f>IFERROR(VLOOKUP($A28,A.S!$C$3:$BC$500,53,0),"-")</f>
        <v>-</v>
      </c>
      <c r="J28" s="168">
        <f>IFERROR(vlookup($A28,Kp!$C29:$JF$500,264,0),"-")</f>
        <v>1</v>
      </c>
      <c r="K28" s="168" t="str">
        <f>IFERROR(vlookup($A28,W.S!$D$2:$X$500,21,0),"-")</f>
        <v>Siap</v>
      </c>
      <c r="L28" s="168" t="str">
        <f>IFERROR(vlookup($A28,Ks!$C$2:$X$500,20,0),"-")</f>
        <v>Siap</v>
      </c>
      <c r="M28" s="168" t="str">
        <f>IFERROR(vlookup($A28,W.O!$E$2:$U$500,16,0),"-")</f>
        <v>Diterima</v>
      </c>
      <c r="N28" s="177"/>
      <c r="O28" s="178" t="s">
        <v>73</v>
      </c>
      <c r="Q28" s="168" t="str">
        <f t="shared" si="2"/>
        <v>A</v>
      </c>
      <c r="R28" s="168" t="str">
        <f t="shared" si="3"/>
        <v>C</v>
      </c>
      <c r="S28" s="168" t="str">
        <f t="shared" si="4"/>
        <v>A</v>
      </c>
      <c r="T28" s="168" t="str">
        <f t="shared" ref="T28:U28" si="30">IF(K28="Siap","A",IF(K28="Cukup Siap","B",IF(K28="Belum Siap","C","")))</f>
        <v>A</v>
      </c>
      <c r="U28" s="168" t="str">
        <f t="shared" si="30"/>
        <v>A</v>
      </c>
    </row>
    <row r="29">
      <c r="A29" s="167" t="str">
        <f>Kp!C31</f>
        <v>E250007</v>
      </c>
      <c r="B29" s="171" t="str">
        <f>Kp!B31</f>
        <v>Nadira Salsabila apriliani </v>
      </c>
      <c r="C29" s="5" t="str">
        <f>Kp!D31</f>
        <v>IL Putri</v>
      </c>
      <c r="D29" s="168">
        <f>IFERROR(VLOOKUP(A29, AQ!$B$2:$E$500, 3, FALSE),"-")</f>
        <v>82</v>
      </c>
      <c r="E29" s="168">
        <f>IFERROR(VLOOKUP(A29, AQ!$B$2:$E$500, 4, FALSE),"-")</f>
        <v>90</v>
      </c>
      <c r="F29" s="168" t="str">
        <f>IFERROR(VLOOKUP(A29, AQ!$B$2:$F$500, 5, FALSE),"-")</f>
        <v>A. Diterima</v>
      </c>
      <c r="G29" s="168" t="str">
        <f>IFERROR(VLOOKUP($A29,A.M!$C$3:$BC$500,53,0),"-")</f>
        <v>-</v>
      </c>
      <c r="H29" s="168">
        <f>IFERROR(VLOOKUP($A29,A.IL!$C$3:$BC$500,53,0),"-")</f>
        <v>25</v>
      </c>
      <c r="I29" s="168" t="str">
        <f>IFERROR(VLOOKUP($A29,A.S!$C$3:$BC$500,53,0),"-")</f>
        <v>-</v>
      </c>
      <c r="J29" s="168">
        <f>IFERROR(vlookup($A29,Kp!$C30:$JF$500,264,0),"-")</f>
        <v>1</v>
      </c>
      <c r="K29" s="168" t="str">
        <f>IFERROR(vlookup($A29,W.S!$D$2:$X$500,21,0),"-")</f>
        <v>Siap</v>
      </c>
      <c r="L29" s="168" t="str">
        <f>IFERROR(vlookup($A29,Ks!$C$2:$X$500,20,0),"-")</f>
        <v>Siap</v>
      </c>
      <c r="M29" s="168" t="str">
        <f>IFERROR(vlookup($A29,W.O!$E$2:$U$500,16,0),"-")</f>
        <v>Diterima</v>
      </c>
      <c r="N29" s="177"/>
      <c r="O29" s="178" t="s">
        <v>73</v>
      </c>
      <c r="Q29" s="168" t="str">
        <f t="shared" si="2"/>
        <v>A</v>
      </c>
      <c r="R29" s="168" t="str">
        <f t="shared" si="3"/>
        <v>C</v>
      </c>
      <c r="S29" s="168" t="str">
        <f t="shared" si="4"/>
        <v>A</v>
      </c>
      <c r="T29" s="168" t="str">
        <f t="shared" ref="T29:U29" si="31">IF(K29="Siap","A",IF(K29="Cukup Siap","B",IF(K29="Belum Siap","C","")))</f>
        <v>A</v>
      </c>
      <c r="U29" s="168" t="str">
        <f t="shared" si="31"/>
        <v>A</v>
      </c>
    </row>
    <row r="30">
      <c r="A30" s="167" t="str">
        <f>Kp!C32</f>
        <v>E250005</v>
      </c>
      <c r="B30" s="171" t="str">
        <f>Kp!B32</f>
        <v>SITI HAFSHOH SHOLIHAH</v>
      </c>
      <c r="C30" s="5" t="str">
        <f>Kp!D32</f>
        <v>IL Putri</v>
      </c>
      <c r="D30" s="168">
        <f>IFERROR(VLOOKUP(A30, AQ!$B$2:$E$500, 3, FALSE),"-")</f>
        <v>85</v>
      </c>
      <c r="E30" s="168">
        <f>IFERROR(VLOOKUP(A30, AQ!$B$2:$E$500, 4, FALSE),"-")</f>
        <v>90</v>
      </c>
      <c r="F30" s="168" t="str">
        <f>IFERROR(VLOOKUP(A30, AQ!$B$2:$F$500, 5, FALSE),"-")</f>
        <v>A. Diterima</v>
      </c>
      <c r="G30" s="168" t="str">
        <f>IFERROR(VLOOKUP($A30,A.M!$C$3:$BC$500,53,0),"-")</f>
        <v>-</v>
      </c>
      <c r="H30" s="168">
        <f>IFERROR(VLOOKUP($A30,A.IL!$C$3:$BC$500,53,0),"-")</f>
        <v>25</v>
      </c>
      <c r="I30" s="168" t="str">
        <f>IFERROR(VLOOKUP($A30,A.S!$C$3:$BC$500,53,0),"-")</f>
        <v>-</v>
      </c>
      <c r="J30" s="168">
        <f>IFERROR(vlookup($A30,Kp!$C31:$JF$500,264,0),"-")</f>
        <v>2</v>
      </c>
      <c r="K30" s="168" t="str">
        <f>IFERROR(vlookup($A30,W.S!$D$2:$X$500,21,0),"-")</f>
        <v>Siap</v>
      </c>
      <c r="L30" s="168" t="str">
        <f>IFERROR(vlookup($A30,Ks!$C$2:$X$500,20,0),"-")</f>
        <v>Siap</v>
      </c>
      <c r="M30" s="168" t="str">
        <f>IFERROR(vlookup($A30,W.O!$E$2:$U$500,16,0),"-")</f>
        <v>Diterima</v>
      </c>
      <c r="N30" s="177"/>
      <c r="O30" s="178" t="s">
        <v>73</v>
      </c>
      <c r="Q30" s="168" t="str">
        <f t="shared" si="2"/>
        <v>A</v>
      </c>
      <c r="R30" s="168" t="str">
        <f t="shared" si="3"/>
        <v>C</v>
      </c>
      <c r="S30" s="168" t="str">
        <f t="shared" si="4"/>
        <v>B</v>
      </c>
      <c r="T30" s="168" t="str">
        <f t="shared" ref="T30:U30" si="32">IF(K30="Siap","A",IF(K30="Cukup Siap","B",IF(K30="Belum Siap","C","")))</f>
        <v>A</v>
      </c>
      <c r="U30" s="168" t="str">
        <f t="shared" si="32"/>
        <v>A</v>
      </c>
    </row>
    <row r="31">
      <c r="A31" s="167" t="str">
        <f>Kp!C33</f>
        <v>A250028</v>
      </c>
      <c r="B31" s="171" t="str">
        <f>Kp!B33</f>
        <v>Satria Panca Desmara</v>
      </c>
      <c r="C31" s="5" t="str">
        <f>Kp!D33</f>
        <v>MTs Putra</v>
      </c>
      <c r="D31" s="168">
        <f>IFERROR(VLOOKUP(A31, AQ!$B$2:$E$500, 3, FALSE),"-")</f>
        <v>70</v>
      </c>
      <c r="E31" s="168">
        <f>IFERROR(VLOOKUP(A31, AQ!$B$2:$E$500, 4, FALSE),"-")</f>
        <v>73</v>
      </c>
      <c r="F31" s="168" t="str">
        <f>IFERROR(VLOOKUP(A31, AQ!$B$2:$F$500, 5, FALSE),"-")</f>
        <v>B. Cadangan</v>
      </c>
      <c r="G31" s="168">
        <f>IFERROR(VLOOKUP($A31,A.M!$C$3:$BC$500,53,0),"-")</f>
        <v>95</v>
      </c>
      <c r="H31" s="168" t="str">
        <f>IFERROR(VLOOKUP($A31,A.IL!$C$3:$BC$500,53,0),"-")</f>
        <v>-</v>
      </c>
      <c r="I31" s="168" t="str">
        <f>IFERROR(VLOOKUP($A31,A.S!$C$3:$BC$500,53,0),"-")</f>
        <v>-</v>
      </c>
      <c r="J31" s="168">
        <f>IFERROR(vlookup($A31,Kp!$C32:$JF$500,264,0),"-")</f>
        <v>0</v>
      </c>
      <c r="K31" s="168" t="str">
        <f>IFERROR(vlookup($A31,W.S!$D$2:$X$500,21,0),"-")</f>
        <v>Cukup Siap</v>
      </c>
      <c r="L31" s="168" t="str">
        <f>IFERROR(vlookup($A31,Ks!$C$2:$X$500,20,0),"-")</f>
        <v>Siap</v>
      </c>
      <c r="M31" s="168" t="str">
        <f>IFERROR(vlookup($A31,W.O!$E$2:$U$500,16,0),"-")</f>
        <v>Diterima</v>
      </c>
      <c r="N31" s="177"/>
      <c r="O31" s="178" t="s">
        <v>73</v>
      </c>
      <c r="Q31" s="168" t="str">
        <f t="shared" si="2"/>
        <v>B</v>
      </c>
      <c r="R31" s="168" t="str">
        <f t="shared" si="3"/>
        <v>A</v>
      </c>
      <c r="S31" s="168" t="str">
        <f t="shared" si="4"/>
        <v>A</v>
      </c>
      <c r="T31" s="168" t="str">
        <f t="shared" ref="T31:U31" si="33">IF(K31="Siap","A",IF(K31="Cukup Siap","B",IF(K31="Belum Siap","C","")))</f>
        <v>B</v>
      </c>
      <c r="U31" s="168" t="str">
        <f t="shared" si="33"/>
        <v>A</v>
      </c>
    </row>
    <row r="32">
      <c r="A32" s="167" t="str">
        <f>Kp!C34</f>
        <v>E250002</v>
      </c>
      <c r="B32" s="171" t="str">
        <f>Kp!B34</f>
        <v>HILDA SAHLANNISA</v>
      </c>
      <c r="C32" s="5" t="str">
        <f>Kp!D34</f>
        <v>IL Putri</v>
      </c>
      <c r="D32" s="168">
        <f>IFERROR(VLOOKUP(A32, AQ!$B$2:$E$500, 3, FALSE),"-")</f>
        <v>84</v>
      </c>
      <c r="E32" s="168">
        <f>IFERROR(VLOOKUP(A32, AQ!$B$2:$E$500, 4, FALSE),"-")</f>
        <v>90</v>
      </c>
      <c r="F32" s="168" t="str">
        <f>IFERROR(VLOOKUP(A32, AQ!$B$2:$F$500, 5, FALSE),"-")</f>
        <v>A. Diterima</v>
      </c>
      <c r="G32" s="168" t="str">
        <f>IFERROR(VLOOKUP($A32,A.M!$C$3:$BC$500,53,0),"-")</f>
        <v>-</v>
      </c>
      <c r="H32" s="168">
        <f>IFERROR(VLOOKUP($A32,A.IL!$C$3:$BC$500,53,0),"-")</f>
        <v>100</v>
      </c>
      <c r="I32" s="168" t="str">
        <f>IFERROR(VLOOKUP($A32,A.S!$C$3:$BC$500,53,0),"-")</f>
        <v>-</v>
      </c>
      <c r="J32" s="168">
        <f>IFERROR(vlookup($A32,Kp!$C33:$JF$500,264,0),"-")</f>
        <v>0</v>
      </c>
      <c r="K32" s="168" t="str">
        <f>IFERROR(vlookup($A32,W.S!$D$2:$X$500,21,0),"-")</f>
        <v>Siap</v>
      </c>
      <c r="L32" s="168" t="str">
        <f>IFERROR(vlookup($A32,Ks!$C$2:$X$500,20,0),"-")</f>
        <v>Siap</v>
      </c>
      <c r="M32" s="168" t="str">
        <f>IFERROR(vlookup($A32,W.O!$E$2:$U$500,16,0),"-")</f>
        <v>Diterima</v>
      </c>
      <c r="N32" s="177"/>
      <c r="O32" s="173" t="s">
        <v>73</v>
      </c>
      <c r="Q32" s="168" t="str">
        <f t="shared" si="2"/>
        <v>A</v>
      </c>
      <c r="R32" s="168" t="str">
        <f t="shared" si="3"/>
        <v>A</v>
      </c>
      <c r="S32" s="168" t="str">
        <f t="shared" si="4"/>
        <v>A</v>
      </c>
      <c r="T32" s="168" t="str">
        <f t="shared" ref="T32:U32" si="34">IF(K32="Siap","A",IF(K32="Cukup Siap","B",IF(K32="Belum Siap","C","")))</f>
        <v>A</v>
      </c>
      <c r="U32" s="168" t="str">
        <f t="shared" si="34"/>
        <v>A</v>
      </c>
    </row>
    <row r="33">
      <c r="A33" s="167" t="str">
        <f>Kp!C35</f>
        <v>A250010</v>
      </c>
      <c r="B33" s="171" t="str">
        <f>Kp!B35</f>
        <v>Muhammad Asyam Abdullah </v>
      </c>
      <c r="C33" s="5" t="str">
        <f>Kp!D35</f>
        <v>MTs Putra</v>
      </c>
      <c r="D33" s="168">
        <f>IFERROR(VLOOKUP(A33, AQ!$B$2:$E$500, 3, FALSE),"-")</f>
        <v>95</v>
      </c>
      <c r="E33" s="168">
        <f>IFERROR(VLOOKUP(A33, AQ!$B$2:$E$500, 4, FALSE),"-")</f>
        <v>90</v>
      </c>
      <c r="F33" s="168" t="str">
        <f>IFERROR(VLOOKUP(A33, AQ!$B$2:$F$500, 5, FALSE),"-")</f>
        <v>A. Diterima</v>
      </c>
      <c r="G33" s="168">
        <f>IFERROR(VLOOKUP($A33,A.M!$C$3:$BC$500,53,0),"-")</f>
        <v>75</v>
      </c>
      <c r="H33" s="168" t="str">
        <f>IFERROR(VLOOKUP($A33,A.IL!$C$3:$BC$500,53,0),"-")</f>
        <v>-</v>
      </c>
      <c r="I33" s="168" t="str">
        <f>IFERROR(VLOOKUP($A33,A.S!$C$3:$BC$500,53,0),"-")</f>
        <v>-</v>
      </c>
      <c r="J33" s="168">
        <f>IFERROR(vlookup($A33,Kp!$C34:$JF$500,264,0),"-")</f>
        <v>2</v>
      </c>
      <c r="K33" s="168" t="str">
        <f>IFERROR(vlookup($A33,W.S!$D$2:$X$500,21,0),"-")</f>
        <v>Siap</v>
      </c>
      <c r="L33" s="168" t="str">
        <f>IFERROR(vlookup($A33,Ks!$C$2:$X$500,20,0),"-")</f>
        <v>Siap</v>
      </c>
      <c r="M33" s="168" t="str">
        <f>IFERROR(vlookup($A33,W.O!$E$2:$U$500,16,0),"-")</f>
        <v>Diterima</v>
      </c>
      <c r="N33" s="177"/>
      <c r="O33" s="173" t="s">
        <v>73</v>
      </c>
      <c r="Q33" s="168" t="str">
        <f t="shared" si="2"/>
        <v>A</v>
      </c>
      <c r="R33" s="168" t="str">
        <f t="shared" si="3"/>
        <v>A</v>
      </c>
      <c r="S33" s="168" t="str">
        <f t="shared" si="4"/>
        <v>B</v>
      </c>
      <c r="T33" s="168" t="str">
        <f t="shared" ref="T33:U33" si="35">IF(K33="Siap","A",IF(K33="Cukup Siap","B",IF(K33="Belum Siap","C","")))</f>
        <v>A</v>
      </c>
      <c r="U33" s="168" t="str">
        <f t="shared" si="35"/>
        <v>A</v>
      </c>
    </row>
    <row r="34">
      <c r="A34" s="167" t="str">
        <f>Kp!C36</f>
        <v>D250002</v>
      </c>
      <c r="B34" s="171" t="str">
        <f>Kp!B36</f>
        <v>Hanifah Qurrotul 'Ain </v>
      </c>
      <c r="C34" s="5" t="str">
        <f>Kp!D36</f>
        <v>MTs Putri</v>
      </c>
      <c r="D34" s="168">
        <f>IFERROR(VLOOKUP(A34, AQ!$B$2:$E$500, 3, FALSE),"-")</f>
        <v>87</v>
      </c>
      <c r="E34" s="168">
        <f>IFERROR(VLOOKUP(A34, AQ!$B$2:$E$500, 4, FALSE),"-")</f>
        <v>92</v>
      </c>
      <c r="F34" s="168" t="str">
        <f>IFERROR(VLOOKUP(A34, AQ!$B$2:$F$500, 5, FALSE),"-")</f>
        <v>A. Diterima</v>
      </c>
      <c r="G34" s="168">
        <f>IFERROR(VLOOKUP($A34,A.M!$C$3:$BC$500,53,0),"-")</f>
        <v>85</v>
      </c>
      <c r="H34" s="168" t="str">
        <f>IFERROR(VLOOKUP($A34,A.IL!$C$3:$BC$500,53,0),"-")</f>
        <v>-</v>
      </c>
      <c r="I34" s="168" t="str">
        <f>IFERROR(VLOOKUP($A34,A.S!$C$3:$BC$500,53,0),"-")</f>
        <v>-</v>
      </c>
      <c r="J34" s="168">
        <f>IFERROR(vlookup($A34,Kp!$C35:$JF$500,264,0),"-")</f>
        <v>0</v>
      </c>
      <c r="K34" s="168" t="str">
        <f>IFERROR(vlookup($A34,W.S!$D$2:$X$500,21,0),"-")</f>
        <v>Siap</v>
      </c>
      <c r="L34" s="168" t="str">
        <f>IFERROR(vlookup($A34,Ks!$C$2:$X$500,20,0),"-")</f>
        <v>Siap</v>
      </c>
      <c r="M34" s="168" t="str">
        <f>M32</f>
        <v>Diterima</v>
      </c>
      <c r="N34" s="177"/>
      <c r="O34" s="173" t="s">
        <v>73</v>
      </c>
      <c r="Q34" s="168" t="str">
        <f t="shared" si="2"/>
        <v>A</v>
      </c>
      <c r="R34" s="168" t="str">
        <f t="shared" si="3"/>
        <v>A</v>
      </c>
      <c r="S34" s="168" t="str">
        <f t="shared" si="4"/>
        <v>A</v>
      </c>
      <c r="T34" s="168" t="str">
        <f t="shared" ref="T34:U34" si="36">IF(K34="Siap","A",IF(K34="Cukup Siap","B",IF(K34="Belum Siap","C","")))</f>
        <v>A</v>
      </c>
      <c r="U34" s="168" t="str">
        <f t="shared" si="36"/>
        <v>A</v>
      </c>
    </row>
    <row r="35">
      <c r="A35" s="167" t="str">
        <f>Kp!C37</f>
        <v>A250023</v>
      </c>
      <c r="B35" s="175" t="str">
        <f>Kp!B37</f>
        <v>NOUVALLDY FARZANI PRAYOGA</v>
      </c>
      <c r="C35" s="5" t="str">
        <f>Kp!D37</f>
        <v>MTs Putra</v>
      </c>
      <c r="D35" s="168">
        <f>IFERROR(VLOOKUP(A35, AQ!$B$2:$E$500, 3, FALSE),"-")</f>
        <v>60</v>
      </c>
      <c r="E35" s="168">
        <f>IFERROR(VLOOKUP(A35, AQ!$B$2:$E$500, 4, FALSE),"-")</f>
        <v>58</v>
      </c>
      <c r="F35" s="168" t="str">
        <f>IFERROR(VLOOKUP(A35, AQ!$B$2:$F$500, 5, FALSE),"-")</f>
        <v>C. Ditolak</v>
      </c>
      <c r="G35" s="168">
        <f>IFERROR(VLOOKUP($A35,A.M!$C$3:$BC$500,53,0),"-")</f>
        <v>85</v>
      </c>
      <c r="H35" s="168" t="str">
        <f>IFERROR(VLOOKUP($A35,A.IL!$C$3:$BC$500,53,0),"-")</f>
        <v>-</v>
      </c>
      <c r="I35" s="168" t="str">
        <f>IFERROR(VLOOKUP($A35,A.S!$C$3:$BC$500,53,0),"-")</f>
        <v>-</v>
      </c>
      <c r="J35" s="168">
        <f>IFERROR(vlookup($A35,Kp!$C36:$JF$500,264,0),"-")</f>
        <v>0</v>
      </c>
      <c r="K35" s="168" t="str">
        <f>IFERROR(vlookup($A35,W.S!$D$2:$X$500,21,0),"-")</f>
        <v>Siap</v>
      </c>
      <c r="L35" s="168" t="str">
        <f>IFERROR(vlookup($A35,Ks!$C$2:$X$500,20,0),"-")</f>
        <v>Siap</v>
      </c>
      <c r="M35" s="168" t="str">
        <f>IFERROR(vlookup($A35,W.O!$E$2:$U$500,16,0),"-")</f>
        <v>Diterima</v>
      </c>
      <c r="N35" s="177"/>
      <c r="O35" s="179" t="s">
        <v>74</v>
      </c>
      <c r="Q35" s="168" t="str">
        <f t="shared" si="2"/>
        <v>C</v>
      </c>
      <c r="R35" s="168" t="str">
        <f t="shared" si="3"/>
        <v>A</v>
      </c>
      <c r="S35" s="168" t="str">
        <f t="shared" si="4"/>
        <v>A</v>
      </c>
      <c r="T35" s="168" t="str">
        <f t="shared" ref="T35:U35" si="37">IF(K35="Siap","A",IF(K35="Cukup Siap","B",IF(K35="Belum Siap","C","")))</f>
        <v>A</v>
      </c>
      <c r="U35" s="168" t="str">
        <f t="shared" si="37"/>
        <v>A</v>
      </c>
    </row>
    <row r="36">
      <c r="A36" s="167" t="str">
        <f>Kp!C38</f>
        <v>A250048</v>
      </c>
      <c r="B36" s="171" t="str">
        <f>Kp!B38</f>
        <v>MUHAMMAD HANIF ASH SHIDDIQ</v>
      </c>
      <c r="C36" s="5" t="str">
        <f>Kp!D38</f>
        <v>MTs Putra</v>
      </c>
      <c r="D36" s="168">
        <f>IFERROR(VLOOKUP(A36, AQ!$B$2:$E$500, 3, FALSE),"-")</f>
        <v>90</v>
      </c>
      <c r="E36" s="168">
        <f>IFERROR(VLOOKUP(A36, AQ!$B$2:$E$500, 4, FALSE),"-")</f>
        <v>87</v>
      </c>
      <c r="F36" s="168" t="str">
        <f>IFERROR(VLOOKUP(A36, AQ!$B$2:$F$500, 5, FALSE),"-")</f>
        <v>A. Diterima</v>
      </c>
      <c r="G36" s="168">
        <f>IFERROR(VLOOKUP($A36,A.M!$C$3:$BC$500,53,0),"-")</f>
        <v>75</v>
      </c>
      <c r="H36" s="168" t="str">
        <f>IFERROR(VLOOKUP($A36,A.IL!$C$3:$BC$500,53,0),"-")</f>
        <v>-</v>
      </c>
      <c r="I36" s="168" t="str">
        <f>IFERROR(VLOOKUP($A36,A.S!$C$3:$BC$500,53,0),"-")</f>
        <v>-</v>
      </c>
      <c r="J36" s="168">
        <f>IFERROR(vlookup($A36,Kp!$C37:$JF$500,264,0),"-")</f>
        <v>2</v>
      </c>
      <c r="K36" s="168" t="str">
        <f>IFERROR(vlookup($A36,W.S!$D$2:$X$500,21,0),"-")</f>
        <v>Siap</v>
      </c>
      <c r="L36" s="168" t="str">
        <f>IFERROR(vlookup($A36,Ks!$C$2:$X$500,20,0),"-")</f>
        <v>Siap</v>
      </c>
      <c r="M36" s="168" t="str">
        <f>IFERROR(vlookup($A36,W.O!$E$2:$U$500,16,0),"-")</f>
        <v>Diterima</v>
      </c>
      <c r="N36" s="177"/>
      <c r="O36" s="173" t="s">
        <v>73</v>
      </c>
      <c r="Q36" s="168" t="str">
        <f t="shared" si="2"/>
        <v>A</v>
      </c>
      <c r="R36" s="168" t="str">
        <f t="shared" si="3"/>
        <v>A</v>
      </c>
      <c r="S36" s="168" t="str">
        <f t="shared" si="4"/>
        <v>B</v>
      </c>
      <c r="T36" s="168" t="str">
        <f t="shared" ref="T36:U36" si="38">IF(K36="Siap","A",IF(K36="Cukup Siap","B",IF(K36="Belum Siap","C","")))</f>
        <v>A</v>
      </c>
      <c r="U36" s="168" t="str">
        <f t="shared" si="38"/>
        <v>A</v>
      </c>
    </row>
    <row r="37">
      <c r="A37" s="167" t="str">
        <f>Kp!C39</f>
        <v>D250004</v>
      </c>
      <c r="B37" s="171" t="str">
        <f>Kp!B39</f>
        <v>Janeeta Candy Hinata</v>
      </c>
      <c r="C37" s="5" t="str">
        <f>Kp!D39</f>
        <v>MTs Putri</v>
      </c>
      <c r="D37" s="168">
        <f>IFERROR(VLOOKUP(A37, AQ!$B$2:$E$500, 3, FALSE),"-")</f>
        <v>90</v>
      </c>
      <c r="E37" s="168">
        <f>IFERROR(VLOOKUP(A37, AQ!$B$2:$E$500, 4, FALSE),"-")</f>
        <v>90</v>
      </c>
      <c r="F37" s="168" t="str">
        <f>IFERROR(VLOOKUP(A37, AQ!$B$2:$F$500, 5, FALSE),"-")</f>
        <v>A. Diterima</v>
      </c>
      <c r="G37" s="168">
        <f>IFERROR(VLOOKUP($A37,A.M!$C$3:$BC$500,53,0),"-")</f>
        <v>90</v>
      </c>
      <c r="H37" s="168" t="str">
        <f>IFERROR(VLOOKUP($A37,A.IL!$C$3:$BC$500,53,0),"-")</f>
        <v>-</v>
      </c>
      <c r="I37" s="168" t="str">
        <f>IFERROR(VLOOKUP($A37,A.S!$C$3:$BC$500,53,0),"-")</f>
        <v>-</v>
      </c>
      <c r="J37" s="168">
        <f>IFERROR(vlookup($A37,Kp!$C38:$JF$500,264,0),"-")</f>
        <v>1</v>
      </c>
      <c r="K37" s="168" t="str">
        <f>IFERROR(vlookup($A37,W.S!$D$2:$X$500,21,0),"-")</f>
        <v>Siap</v>
      </c>
      <c r="L37" s="168" t="str">
        <f>IFERROR(vlookup($A37,Ks!$C$2:$X$500,20,0),"-")</f>
        <v>Siap</v>
      </c>
      <c r="M37" s="168" t="str">
        <f>IFERROR(vlookup($A37,W.O!$E$2:$U$500,16,0),"-")</f>
        <v>Diterima</v>
      </c>
      <c r="N37" s="177"/>
      <c r="O37" s="173" t="s">
        <v>73</v>
      </c>
      <c r="Q37" s="168" t="str">
        <f t="shared" si="2"/>
        <v>A</v>
      </c>
      <c r="R37" s="168" t="str">
        <f t="shared" si="3"/>
        <v>A</v>
      </c>
      <c r="S37" s="168" t="str">
        <f t="shared" si="4"/>
        <v>A</v>
      </c>
      <c r="T37" s="168" t="str">
        <f t="shared" ref="T37:U37" si="39">IF(K37="Siap","A",IF(K37="Cukup Siap","B",IF(K37="Belum Siap","C","")))</f>
        <v>A</v>
      </c>
      <c r="U37" s="168" t="str">
        <f t="shared" si="39"/>
        <v>A</v>
      </c>
    </row>
    <row r="38">
      <c r="A38" s="167" t="str">
        <f>Kp!C40</f>
        <v>D250011</v>
      </c>
      <c r="B38" s="171" t="str">
        <f>Kp!B40</f>
        <v>Alesha az zahra saputra</v>
      </c>
      <c r="C38" s="5" t="str">
        <f>Kp!D40</f>
        <v>MTs Putri</v>
      </c>
      <c r="D38" s="168">
        <f>IFERROR(VLOOKUP(A38, AQ!$B$2:$E$500, 3, FALSE),"-")</f>
        <v>78</v>
      </c>
      <c r="E38" s="168">
        <f>IFERROR(VLOOKUP(A38, AQ!$B$2:$E$500, 4, FALSE),"-")</f>
        <v>80</v>
      </c>
      <c r="F38" s="168" t="str">
        <f>IFERROR(VLOOKUP(A38, AQ!$B$2:$F$500, 5, FALSE),"-")</f>
        <v>A. Diterima</v>
      </c>
      <c r="G38" s="168">
        <f>IFERROR(VLOOKUP($A38,A.M!$C$3:$BC$500,53,0),"-")</f>
        <v>90</v>
      </c>
      <c r="H38" s="168" t="str">
        <f>IFERROR(VLOOKUP($A38,A.IL!$C$3:$BC$500,53,0),"-")</f>
        <v>-</v>
      </c>
      <c r="I38" s="168" t="str">
        <f>IFERROR(VLOOKUP($A38,A.S!$C$3:$BC$500,53,0),"-")</f>
        <v>-</v>
      </c>
      <c r="J38" s="168">
        <f>IFERROR(vlookup($A38,Kp!$C39:$JF$500,264,0),"-")</f>
        <v>1</v>
      </c>
      <c r="K38" s="168" t="str">
        <f>IFERROR(vlookup($A38,W.S!$D$2:$X$500,21,0),"-")</f>
        <v>Cukup Siap</v>
      </c>
      <c r="L38" s="168" t="str">
        <f>IFERROR(vlookup($A38,Ks!$C$2:$X$500,20,0),"-")</f>
        <v>Siap</v>
      </c>
      <c r="M38" s="168" t="str">
        <f>IFERROR(vlookup($A38,W.O!$E$2:$U$500,16,0),"-")</f>
        <v>Diterima</v>
      </c>
      <c r="N38" s="177"/>
      <c r="O38" s="173" t="s">
        <v>73</v>
      </c>
      <c r="Q38" s="168" t="str">
        <f t="shared" si="2"/>
        <v>A</v>
      </c>
      <c r="R38" s="168" t="str">
        <f t="shared" si="3"/>
        <v>A</v>
      </c>
      <c r="S38" s="168" t="str">
        <f t="shared" si="4"/>
        <v>A</v>
      </c>
      <c r="T38" s="168" t="str">
        <f t="shared" ref="T38:U38" si="40">IF(K38="Siap","A",IF(K38="Cukup Siap","B",IF(K38="Belum Siap","C","")))</f>
        <v>B</v>
      </c>
      <c r="U38" s="168" t="str">
        <f t="shared" si="40"/>
        <v>A</v>
      </c>
    </row>
    <row r="39">
      <c r="A39" s="167" t="str">
        <f>Kp!C41</f>
        <v>A250053</v>
      </c>
      <c r="B39" s="175" t="str">
        <f>Kp!B41</f>
        <v>Muhammad Kamil Athaillah Rizki</v>
      </c>
      <c r="C39" s="5" t="str">
        <f>Kp!D41</f>
        <v>MTs Putra</v>
      </c>
      <c r="D39" s="168">
        <f>IFERROR(VLOOKUP(A39, AQ!$B$2:$E$500, 3, FALSE),"-")</f>
        <v>87</v>
      </c>
      <c r="E39" s="168">
        <f>IFERROR(VLOOKUP(A39, AQ!$B$2:$E$500, 4, FALSE),"-")</f>
        <v>90</v>
      </c>
      <c r="F39" s="168" t="str">
        <f>IFERROR(VLOOKUP(A39, AQ!$B$2:$F$500, 5, FALSE),"-")</f>
        <v>A. Diterima</v>
      </c>
      <c r="G39" s="168">
        <f>IFERROR(VLOOKUP($A39,A.M!$C$3:$BC$500,53,0),"-")</f>
        <v>75</v>
      </c>
      <c r="H39" s="168" t="str">
        <f>IFERROR(VLOOKUP($A39,A.IL!$C$3:$BC$500,53,0),"-")</f>
        <v>-</v>
      </c>
      <c r="I39" s="168" t="str">
        <f>IFERROR(VLOOKUP($A39,A.S!$C$3:$BC$500,53,0),"-")</f>
        <v>-</v>
      </c>
      <c r="J39" s="168">
        <f>IFERROR(vlookup($A39,Kp!$C40:$JF$500,264,0),"-")</f>
        <v>4</v>
      </c>
      <c r="K39" s="168" t="str">
        <f>IFERROR(vlookup($A39,W.S!$D$2:$X$500,21,0),"-")</f>
        <v>Siap</v>
      </c>
      <c r="L39" s="168" t="str">
        <f>IFERROR(vlookup($A39,Ks!$C$2:$X$500,20,0),"-")</f>
        <v>Siap</v>
      </c>
      <c r="M39" s="168" t="str">
        <f>IFERROR(vlookup($A39,W.O!$E$2:$U$500,16,0),"-")</f>
        <v>Diterima</v>
      </c>
      <c r="N39" s="169" t="s">
        <v>70</v>
      </c>
      <c r="O39" s="179" t="s">
        <v>74</v>
      </c>
      <c r="Q39" s="168" t="str">
        <f t="shared" si="2"/>
        <v>A</v>
      </c>
      <c r="R39" s="168" t="str">
        <f t="shared" si="3"/>
        <v>A</v>
      </c>
      <c r="S39" s="168" t="str">
        <f t="shared" si="4"/>
        <v>C</v>
      </c>
      <c r="T39" s="168" t="str">
        <f t="shared" ref="T39:U39" si="41">IF(K39="Siap","A",IF(K39="Cukup Siap","B",IF(K39="Belum Siap","C","")))</f>
        <v>A</v>
      </c>
      <c r="U39" s="168" t="str">
        <f t="shared" si="41"/>
        <v>A</v>
      </c>
    </row>
    <row r="40">
      <c r="A40" s="167" t="str">
        <f>Kp!C42</f>
        <v>C250003</v>
      </c>
      <c r="B40" s="180" t="str">
        <f>Kp!B42</f>
        <v>Hibban Hibaturrahman</v>
      </c>
      <c r="C40" s="5" t="str">
        <f>Kp!D42</f>
        <v>SMA</v>
      </c>
      <c r="D40" s="168">
        <f>IFERROR(VLOOKUP(A40, AQ!$B$2:$E$500, 3, FALSE),"-")</f>
        <v>84</v>
      </c>
      <c r="E40" s="168">
        <f>IFERROR(VLOOKUP(A40, AQ!$B$2:$E$500, 4, FALSE),"-")</f>
        <v>87</v>
      </c>
      <c r="F40" s="168" t="str">
        <f>IFERROR(VLOOKUP(A40, AQ!$B$2:$F$500, 5, FALSE),"-")</f>
        <v>C. Ditolak</v>
      </c>
      <c r="G40" s="168" t="str">
        <f>IFERROR(VLOOKUP($A40,A.M!$C$3:$BC$500,53,0),"-")</f>
        <v>-</v>
      </c>
      <c r="H40" s="168" t="str">
        <f>IFERROR(VLOOKUP($A40,A.IL!$C$3:$BC$500,53,0),"-")</f>
        <v>-</v>
      </c>
      <c r="I40" s="168">
        <f>IFERROR(VLOOKUP($A40,A.S!$C$3:$BC$500,53,0),"-")</f>
        <v>55</v>
      </c>
      <c r="J40" s="168">
        <f>IFERROR(vlookup($A40,Kp!$C41:$JF$500,264,0),"-")</f>
        <v>2</v>
      </c>
      <c r="K40" s="168" t="str">
        <f>IFERROR(vlookup($A40,W.S!$D$2:$X$500,21,0),"-")</f>
        <v>Siap</v>
      </c>
      <c r="L40" s="168" t="str">
        <f>IFERROR(vlookup($A40,Ks!$C$2:$X$500,20,0),"-")</f>
        <v>Siap</v>
      </c>
      <c r="M40" s="168" t="str">
        <f>IFERROR(vlookup($A40,W.O!$E$2:$U$500,16,0),"-")</f>
        <v>Diterima dengan catatan</v>
      </c>
      <c r="N40" s="177"/>
      <c r="O40" s="181" t="s">
        <v>76</v>
      </c>
      <c r="P40" s="182" t="s">
        <v>77</v>
      </c>
      <c r="Q40" s="168" t="str">
        <f t="shared" si="2"/>
        <v>C</v>
      </c>
      <c r="R40" s="168" t="str">
        <f t="shared" si="3"/>
        <v>C</v>
      </c>
      <c r="S40" s="168" t="str">
        <f t="shared" si="4"/>
        <v>B</v>
      </c>
      <c r="T40" s="168" t="str">
        <f t="shared" ref="T40:U40" si="42">IF(K40="Siap","A",IF(K40="Cukup Siap","B",IF(K40="Belum Siap","C","")))</f>
        <v>A</v>
      </c>
      <c r="U40" s="168" t="str">
        <f t="shared" si="42"/>
        <v>A</v>
      </c>
    </row>
    <row r="41">
      <c r="A41" s="167" t="str">
        <f>Kp!C43</f>
        <v>A250007</v>
      </c>
      <c r="B41" s="183" t="str">
        <f>Kp!B43</f>
        <v>Lazuardi Akbar Narendra </v>
      </c>
      <c r="C41" s="5" t="str">
        <f>Kp!D43</f>
        <v>MTs Putra</v>
      </c>
      <c r="D41" s="168">
        <f>IFERROR(VLOOKUP(A41, AQ!$B$2:$E$500, 3, FALSE),"-")</f>
        <v>60</v>
      </c>
      <c r="E41" s="168">
        <f>IFERROR(VLOOKUP(A41, AQ!$B$2:$E$500, 4, FALSE),"-")</f>
        <v>60</v>
      </c>
      <c r="F41" s="168" t="str">
        <f>IFERROR(VLOOKUP(A41, AQ!$B$2:$F$500, 5, FALSE),"-")</f>
        <v>C. Ditolak</v>
      </c>
      <c r="G41" s="168">
        <f>IFERROR(VLOOKUP($A41,A.M!$C$3:$BC$500,53,0),"-")</f>
        <v>35</v>
      </c>
      <c r="H41" s="168" t="str">
        <f>IFERROR(VLOOKUP($A41,A.IL!$C$3:$BC$500,53,0),"-")</f>
        <v>-</v>
      </c>
      <c r="I41" s="168" t="str">
        <f>IFERROR(VLOOKUP($A41,A.S!$C$3:$BC$500,53,0),"-")</f>
        <v>-</v>
      </c>
      <c r="J41" s="168">
        <f>IFERROR(vlookup($A41,Kp!$C42:$JF$500,264,0),"-")</f>
        <v>1</v>
      </c>
      <c r="K41" s="168" t="str">
        <f>IFERROR(vlookup($A41,W.S!$D$2:$X$500,21,0),"-")</f>
        <v>Cukup Siap</v>
      </c>
      <c r="L41" s="168" t="str">
        <f>IFERROR(vlookup($A41,Ks!$C$2:$X$500,20,0),"-")</f>
        <v>Siap</v>
      </c>
      <c r="M41" s="168" t="str">
        <f>IFERROR(vlookup($A41,W.O!$E$2:$U$500,16,0),"-")</f>
        <v>Diterima</v>
      </c>
      <c r="N41" s="177"/>
      <c r="O41" s="184" t="s">
        <v>71</v>
      </c>
      <c r="Q41" s="168" t="str">
        <f t="shared" si="2"/>
        <v>C</v>
      </c>
      <c r="R41" s="168" t="str">
        <f t="shared" si="3"/>
        <v>C</v>
      </c>
      <c r="S41" s="168" t="str">
        <f t="shared" si="4"/>
        <v>A</v>
      </c>
      <c r="T41" s="168" t="str">
        <f t="shared" ref="T41:U41" si="43">IF(K41="Siap","A",IF(K41="Cukup Siap","B",IF(K41="Belum Siap","C","")))</f>
        <v>B</v>
      </c>
      <c r="U41" s="168" t="str">
        <f t="shared" si="43"/>
        <v>A</v>
      </c>
    </row>
    <row r="42">
      <c r="A42" s="167" t="str">
        <f>Kp!C44</f>
        <v>A250054</v>
      </c>
      <c r="B42" s="171" t="str">
        <f>Kp!B44</f>
        <v>Muhammad Al-Fatih Fadhly</v>
      </c>
      <c r="C42" s="5" t="str">
        <f>Kp!D44</f>
        <v>MTs Putra</v>
      </c>
      <c r="D42" s="168">
        <f>IFERROR(VLOOKUP(A42, AQ!$B$2:$E$500, 3, FALSE),"-")</f>
        <v>80</v>
      </c>
      <c r="E42" s="168">
        <f>IFERROR(VLOOKUP(A42, AQ!$B$2:$E$500, 4, FALSE),"-")</f>
        <v>75</v>
      </c>
      <c r="F42" s="168" t="str">
        <f>IFERROR(VLOOKUP(A42, AQ!$B$2:$F$500, 5, FALSE),"-")</f>
        <v>B. Cadangan</v>
      </c>
      <c r="G42" s="168">
        <f>IFERROR(VLOOKUP($A42,A.M!$C$3:$BC$500,53,0),"-")</f>
        <v>60</v>
      </c>
      <c r="H42" s="168" t="str">
        <f>IFERROR(VLOOKUP($A42,A.IL!$C$3:$BC$500,53,0),"-")</f>
        <v>-</v>
      </c>
      <c r="I42" s="168" t="str">
        <f>IFERROR(VLOOKUP($A42,A.S!$C$3:$BC$500,53,0),"-")</f>
        <v>-</v>
      </c>
      <c r="J42" s="168">
        <f>IFERROR(vlookup($A42,Kp!$C43:$JF$500,264,0),"-")</f>
        <v>0</v>
      </c>
      <c r="K42" s="168" t="str">
        <f>IFERROR(vlookup($A42,W.S!$D$2:$X$500,21,0),"-")</f>
        <v>Siap</v>
      </c>
      <c r="L42" s="168" t="str">
        <f>IFERROR(vlookup($A42,Ks!$C$2:$X$500,20,0),"-")</f>
        <v>Siap</v>
      </c>
      <c r="M42" s="168" t="str">
        <f>IFERROR(vlookup($A42,W.O!$E$2:$U$500,16,0),"-")</f>
        <v>Diterima</v>
      </c>
      <c r="N42" s="177"/>
      <c r="O42" s="173" t="s">
        <v>73</v>
      </c>
      <c r="Q42" s="168" t="str">
        <f t="shared" si="2"/>
        <v>B</v>
      </c>
      <c r="R42" s="168" t="str">
        <f t="shared" si="3"/>
        <v>B</v>
      </c>
      <c r="S42" s="168" t="str">
        <f t="shared" si="4"/>
        <v>A</v>
      </c>
      <c r="T42" s="168" t="str">
        <f t="shared" ref="T42:U42" si="44">IF(K42="Siap","A",IF(K42="Cukup Siap","B",IF(K42="Belum Siap","C","")))</f>
        <v>A</v>
      </c>
      <c r="U42" s="168" t="str">
        <f t="shared" si="44"/>
        <v>A</v>
      </c>
    </row>
    <row r="43">
      <c r="A43" s="167" t="str">
        <f>Kp!C45</f>
        <v>A250038</v>
      </c>
      <c r="B43" s="175" t="str">
        <f>Kp!B45</f>
        <v>M. Rezza Putra Darma</v>
      </c>
      <c r="C43" s="5" t="str">
        <f>Kp!D45</f>
        <v>MTs Putra</v>
      </c>
      <c r="D43" s="168">
        <f>IFERROR(VLOOKUP(A43, AQ!$B$2:$E$500, 3, FALSE),"-")</f>
        <v>65</v>
      </c>
      <c r="E43" s="168">
        <f>IFERROR(VLOOKUP(A43, AQ!$B$2:$E$500, 4, FALSE),"-")</f>
        <v>50</v>
      </c>
      <c r="F43" s="168" t="str">
        <f>IFERROR(VLOOKUP(A43, AQ!$B$2:$F$500, 5, FALSE),"-")</f>
        <v>C. Ditolak</v>
      </c>
      <c r="G43" s="168">
        <f>IFERROR(VLOOKUP($A43,A.M!$C$3:$BC$500,53,0),"-")</f>
        <v>85</v>
      </c>
      <c r="H43" s="168" t="str">
        <f>IFERROR(VLOOKUP($A43,A.IL!$C$3:$BC$500,53,0),"-")</f>
        <v>-</v>
      </c>
      <c r="I43" s="168" t="str">
        <f>IFERROR(VLOOKUP($A43,A.S!$C$3:$BC$500,53,0),"-")</f>
        <v>-</v>
      </c>
      <c r="J43" s="168">
        <f>IFERROR(vlookup($A43,Kp!$C44:$JF$500,264,0),"-")</f>
        <v>1</v>
      </c>
      <c r="K43" s="168" t="str">
        <f>IFERROR(vlookup($A43,W.S!$D$2:$X$500,21,0),"-")</f>
        <v>Cukup Siap</v>
      </c>
      <c r="L43" s="168" t="str">
        <f>IFERROR(vlookup($A43,Ks!$C$2:$X$500,20,0),"-")</f>
        <v>Siap</v>
      </c>
      <c r="M43" s="168" t="str">
        <f>IFERROR(vlookup($A43,W.O!$E$2:$U$500,16,0),"-")</f>
        <v>Diterima</v>
      </c>
      <c r="N43" s="177"/>
      <c r="O43" s="179" t="s">
        <v>74</v>
      </c>
      <c r="Q43" s="168" t="str">
        <f t="shared" si="2"/>
        <v>C</v>
      </c>
      <c r="R43" s="168" t="str">
        <f t="shared" si="3"/>
        <v>A</v>
      </c>
      <c r="S43" s="168" t="str">
        <f t="shared" si="4"/>
        <v>A</v>
      </c>
      <c r="T43" s="168" t="str">
        <f t="shared" ref="T43:U43" si="45">IF(K43="Siap","A",IF(K43="Cukup Siap","B",IF(K43="Belum Siap","C","")))</f>
        <v>B</v>
      </c>
      <c r="U43" s="168" t="str">
        <f t="shared" si="45"/>
        <v>A</v>
      </c>
    </row>
    <row r="44">
      <c r="A44" s="167" t="str">
        <f>Kp!C46</f>
        <v>D250019</v>
      </c>
      <c r="B44" s="171" t="str">
        <f>Kp!B46</f>
        <v>Maryam Al-Kayyisah </v>
      </c>
      <c r="C44" s="5" t="str">
        <f>Kp!D46</f>
        <v>MTs Putri</v>
      </c>
      <c r="D44" s="168">
        <f>IFERROR(VLOOKUP(A44, AQ!$B$2:$E$500, 3, FALSE),"-")</f>
        <v>95</v>
      </c>
      <c r="E44" s="168">
        <f>IFERROR(VLOOKUP(A44, AQ!$B$2:$E$500, 4, FALSE),"-")</f>
        <v>90</v>
      </c>
      <c r="F44" s="168" t="str">
        <f>IFERROR(VLOOKUP(A44, AQ!$B$2:$F$500, 5, FALSE),"-")</f>
        <v>A. Diterima</v>
      </c>
      <c r="G44" s="168">
        <f>IFERROR(VLOOKUP($A44,A.M!$C$3:$BC$500,53,0),"-")</f>
        <v>70</v>
      </c>
      <c r="H44" s="168" t="str">
        <f>IFERROR(VLOOKUP($A44,A.IL!$C$3:$BC$500,53,0),"-")</f>
        <v>-</v>
      </c>
      <c r="I44" s="168" t="str">
        <f>IFERROR(VLOOKUP($A44,A.S!$C$3:$BC$500,53,0),"-")</f>
        <v>-</v>
      </c>
      <c r="J44" s="168">
        <f>IFERROR(vlookup($A44,Kp!$C45:$JF$500,264,0),"-")</f>
        <v>1</v>
      </c>
      <c r="K44" s="168" t="str">
        <f>IFERROR(vlookup($A44,W.S!$D$2:$X$500,21,0),"-")</f>
        <v>Siap</v>
      </c>
      <c r="L44" s="168" t="str">
        <f>IFERROR(vlookup($A44,Ks!$C$2:$X$500,20,0),"-")</f>
        <v>Siap</v>
      </c>
      <c r="M44" s="168" t="str">
        <f>IFERROR(vlookup($A44,W.O!$E$2:$U$500,16,0),"-")</f>
        <v>Diterima</v>
      </c>
      <c r="N44" s="177"/>
      <c r="O44" s="173" t="s">
        <v>73</v>
      </c>
      <c r="Q44" s="168" t="str">
        <f t="shared" si="2"/>
        <v>A</v>
      </c>
      <c r="R44" s="168" t="str">
        <f t="shared" si="3"/>
        <v>B</v>
      </c>
      <c r="S44" s="168" t="str">
        <f t="shared" si="4"/>
        <v>A</v>
      </c>
      <c r="T44" s="168" t="str">
        <f t="shared" ref="T44:U44" si="46">IF(K44="Siap","A",IF(K44="Cukup Siap","B",IF(K44="Belum Siap","C","")))</f>
        <v>A</v>
      </c>
      <c r="U44" s="168" t="str">
        <f t="shared" si="46"/>
        <v>A</v>
      </c>
    </row>
    <row r="45">
      <c r="A45" s="167" t="str">
        <f>Kp!C47</f>
        <v>B250021</v>
      </c>
      <c r="B45" s="171" t="str">
        <f>Kp!B47</f>
        <v>keanu azka wibowo</v>
      </c>
      <c r="C45" s="5" t="str">
        <f>Kp!D47</f>
        <v>IL Putra</v>
      </c>
      <c r="D45" s="168">
        <f>IFERROR(VLOOKUP(A45, AQ!$B$2:$E$500, 3, FALSE),"-")</f>
        <v>90</v>
      </c>
      <c r="E45" s="168">
        <f>IFERROR(VLOOKUP(A45, AQ!$B$2:$E$500, 4, FALSE),"-")</f>
        <v>93</v>
      </c>
      <c r="F45" s="168" t="str">
        <f>IFERROR(VLOOKUP(A45, AQ!$B$2:$F$500, 5, FALSE),"-")</f>
        <v>A. Diterima</v>
      </c>
      <c r="G45" s="168" t="str">
        <f>IFERROR(VLOOKUP($A45,A.M!$C$3:$BC$500,53,0),"-")</f>
        <v>-</v>
      </c>
      <c r="H45" s="168">
        <f>IFERROR(VLOOKUP($A45,A.IL!$C$3:$BC$500,53,0),"-")</f>
        <v>85</v>
      </c>
      <c r="I45" s="168" t="str">
        <f>IFERROR(VLOOKUP($A45,A.S!$C$3:$BC$500,53,0),"-")</f>
        <v>-</v>
      </c>
      <c r="J45" s="168">
        <f>IFERROR(vlookup($A45,Kp!$C46:$JF$500,264,0),"-")</f>
        <v>2</v>
      </c>
      <c r="K45" s="168" t="str">
        <f>IFERROR(vlookup($A45,W.S!$D$2:$X$500,21,0),"-")</f>
        <v>Siap</v>
      </c>
      <c r="L45" s="168" t="str">
        <f>IFERROR(vlookup($A45,Ks!$C$2:$X$500,20,0),"-")</f>
        <v>Siap</v>
      </c>
      <c r="M45" s="168" t="str">
        <f>IFERROR(vlookup($A45,W.O!$E$2:$U$500,16,0),"-")</f>
        <v>Diterima</v>
      </c>
      <c r="N45" s="169" t="s">
        <v>70</v>
      </c>
      <c r="O45" s="173" t="s">
        <v>73</v>
      </c>
      <c r="Q45" s="168" t="str">
        <f t="shared" si="2"/>
        <v>A</v>
      </c>
      <c r="R45" s="168" t="str">
        <f t="shared" si="3"/>
        <v>A</v>
      </c>
      <c r="S45" s="168" t="str">
        <f t="shared" si="4"/>
        <v>B</v>
      </c>
      <c r="T45" s="168" t="str">
        <f t="shared" ref="T45:U45" si="47">IF(K45="Siap","A",IF(K45="Cukup Siap","B",IF(K45="Belum Siap","C","")))</f>
        <v>A</v>
      </c>
      <c r="U45" s="168" t="str">
        <f t="shared" si="47"/>
        <v>A</v>
      </c>
    </row>
    <row r="46">
      <c r="A46" s="167" t="str">
        <f>Kp!C48</f>
        <v>D250017</v>
      </c>
      <c r="B46" s="171" t="str">
        <f>Kp!B48</f>
        <v>Qaesyara Siti Zafna Fitriyadi</v>
      </c>
      <c r="C46" s="5" t="str">
        <f>Kp!D48</f>
        <v>MTs Putri</v>
      </c>
      <c r="D46" s="168">
        <f>IFERROR(VLOOKUP(A46, AQ!$B$2:$E$500, 3, FALSE),"-")</f>
        <v>80</v>
      </c>
      <c r="E46" s="168">
        <f>IFERROR(VLOOKUP(A46, AQ!$B$2:$E$500, 4, FALSE),"-")</f>
        <v>79</v>
      </c>
      <c r="F46" s="168" t="str">
        <f>IFERROR(VLOOKUP(A46, AQ!$B$2:$F$500, 5, FALSE),"-")</f>
        <v>A. Diterima</v>
      </c>
      <c r="G46" s="168">
        <f>IFERROR(VLOOKUP($A46,A.M!$C$3:$BC$500,53,0),"-")</f>
        <v>85</v>
      </c>
      <c r="H46" s="168" t="str">
        <f>IFERROR(VLOOKUP($A46,A.IL!$C$3:$BC$500,53,0),"-")</f>
        <v>-</v>
      </c>
      <c r="I46" s="168" t="str">
        <f>IFERROR(VLOOKUP($A46,A.S!$C$3:$BC$500,53,0),"-")</f>
        <v>-</v>
      </c>
      <c r="J46" s="168">
        <f>IFERROR(vlookup($A46,Kp!$C47:$JF$500,264,0),"-")</f>
        <v>1</v>
      </c>
      <c r="K46" s="168" t="str">
        <f>IFERROR(vlookup($A46,W.S!$D$2:$X$500,21,0),"-")</f>
        <v>Siap</v>
      </c>
      <c r="L46" s="168" t="str">
        <f>IFERROR(vlookup($A46,Ks!$C$2:$X$500,20,0),"-")</f>
        <v>Siap</v>
      </c>
      <c r="M46" s="168" t="str">
        <f>IFERROR(vlookup($A46,W.O!$E$2:$U$500,16,0),"-")</f>
        <v>Diterima</v>
      </c>
      <c r="N46" s="177"/>
      <c r="O46" s="173" t="s">
        <v>73</v>
      </c>
      <c r="Q46" s="168" t="str">
        <f t="shared" si="2"/>
        <v>A</v>
      </c>
      <c r="R46" s="168" t="str">
        <f t="shared" si="3"/>
        <v>A</v>
      </c>
      <c r="S46" s="168" t="str">
        <f t="shared" si="4"/>
        <v>A</v>
      </c>
      <c r="T46" s="168" t="str">
        <f t="shared" ref="T46:U46" si="48">IF(K46="Siap","A",IF(K46="Cukup Siap","B",IF(K46="Belum Siap","C","")))</f>
        <v>A</v>
      </c>
      <c r="U46" s="168" t="str">
        <f t="shared" si="48"/>
        <v>A</v>
      </c>
    </row>
    <row r="47">
      <c r="A47" s="167" t="str">
        <f>Kp!C49</f>
        <v>C250004</v>
      </c>
      <c r="B47" s="180" t="str">
        <f>Kp!B49</f>
        <v>abdurraman umar  </v>
      </c>
      <c r="C47" s="5" t="str">
        <f>Kp!D49</f>
        <v>SMA</v>
      </c>
      <c r="D47" s="168">
        <f>IFERROR(VLOOKUP(A47, AQ!$B$2:$E$500, 3, FALSE),"-")</f>
        <v>90</v>
      </c>
      <c r="E47" s="168">
        <f>IFERROR(VLOOKUP(A47, AQ!$B$2:$E$500, 4, FALSE),"-")</f>
        <v>90</v>
      </c>
      <c r="F47" s="168" t="str">
        <f>IFERROR(VLOOKUP(A47, AQ!$B$2:$F$500, 5, FALSE),"-")</f>
        <v>A. Diterima</v>
      </c>
      <c r="G47" s="168" t="str">
        <f>IFERROR(VLOOKUP($A47,A.M!$C$3:$BC$500,53,0),"-")</f>
        <v>-</v>
      </c>
      <c r="H47" s="168" t="str">
        <f>IFERROR(VLOOKUP($A47,A.IL!$C$3:$BC$500,53,0),"-")</f>
        <v>-</v>
      </c>
      <c r="I47" s="168">
        <f>IFERROR(VLOOKUP($A47,A.S!$C$3:$BC$500,53,0),"-")</f>
        <v>55</v>
      </c>
      <c r="J47" s="168">
        <f>IFERROR(vlookup($A47,Kp!$C48:$JF$500,264,0),"-")</f>
        <v>1</v>
      </c>
      <c r="K47" s="168" t="str">
        <f>IFERROR(vlookup($A47,W.S!$D$2:$X$500,21,0),"-")</f>
        <v>Siap</v>
      </c>
      <c r="L47" s="168" t="str">
        <f>IFERROR(vlookup($A47,Ks!$C$2:$X$500,20,0),"-")</f>
        <v>Siap</v>
      </c>
      <c r="M47" s="168" t="str">
        <f>IFERROR(vlookup($A47,W.O!$E$2:$U$500,16,0),"-")</f>
        <v>Diterima</v>
      </c>
      <c r="N47" s="177"/>
      <c r="O47" s="181" t="s">
        <v>76</v>
      </c>
      <c r="P47" s="182" t="s">
        <v>78</v>
      </c>
      <c r="Q47" s="168" t="str">
        <f t="shared" si="2"/>
        <v>A</v>
      </c>
      <c r="R47" s="168" t="str">
        <f t="shared" si="3"/>
        <v>C</v>
      </c>
      <c r="S47" s="168" t="str">
        <f t="shared" si="4"/>
        <v>A</v>
      </c>
      <c r="T47" s="168" t="str">
        <f t="shared" ref="T47:U47" si="49">IF(K47="Siap","A",IF(K47="Cukup Siap","B",IF(K47="Belum Siap","C","")))</f>
        <v>A</v>
      </c>
      <c r="U47" s="168" t="str">
        <f t="shared" si="49"/>
        <v>A</v>
      </c>
    </row>
    <row r="48">
      <c r="A48" s="167" t="str">
        <f>Kp!C50</f>
        <v>A250046</v>
      </c>
      <c r="B48" s="171" t="str">
        <f>Kp!B50</f>
        <v>Sulthan Faqih Al Hadziq</v>
      </c>
      <c r="C48" s="5" t="str">
        <f>Kp!D50</f>
        <v>MTs Putra</v>
      </c>
      <c r="D48" s="168">
        <f>IFERROR(VLOOKUP(A48, AQ!$B$2:$E$500, 3, FALSE),"-")</f>
        <v>93</v>
      </c>
      <c r="E48" s="168">
        <f>IFERROR(VLOOKUP(A48, AQ!$B$2:$E$500, 4, FALSE),"-")</f>
        <v>95</v>
      </c>
      <c r="F48" s="168" t="str">
        <f>IFERROR(VLOOKUP(A48, AQ!$B$2:$F$500, 5, FALSE),"-")</f>
        <v>A. Diterima</v>
      </c>
      <c r="G48" s="168">
        <f>IFERROR(VLOOKUP($A48,A.M!$C$3:$BC$500,53,0),"-")</f>
        <v>90</v>
      </c>
      <c r="H48" s="168" t="str">
        <f>IFERROR(VLOOKUP($A48,A.IL!$C$3:$BC$500,53,0),"-")</f>
        <v>-</v>
      </c>
      <c r="I48" s="168" t="str">
        <f>IFERROR(VLOOKUP($A48,A.S!$C$3:$BC$500,53,0),"-")</f>
        <v>-</v>
      </c>
      <c r="J48" s="168">
        <f>IFERROR(vlookup($A48,Kp!$C49:$JF$500,264,0),"-")</f>
        <v>0</v>
      </c>
      <c r="K48" s="168" t="str">
        <f>IFERROR(vlookup($A48,W.S!$D$2:$X$500,21,0),"-")</f>
        <v>Siap</v>
      </c>
      <c r="L48" s="168" t="str">
        <f>IFERROR(vlookup($A48,Ks!$C$2:$X$500,20,0),"-")</f>
        <v>Siap</v>
      </c>
      <c r="M48" s="168" t="str">
        <f>IFERROR(vlookup($A48,W.O!$E$2:$U$500,16,0),"-")</f>
        <v>Diterima</v>
      </c>
      <c r="N48" s="177"/>
      <c r="O48" s="185" t="s">
        <v>73</v>
      </c>
      <c r="Q48" s="168" t="str">
        <f t="shared" si="2"/>
        <v>A</v>
      </c>
      <c r="R48" s="168" t="str">
        <f t="shared" si="3"/>
        <v>A</v>
      </c>
      <c r="S48" s="168" t="str">
        <f t="shared" si="4"/>
        <v>A</v>
      </c>
      <c r="T48" s="168" t="str">
        <f t="shared" ref="T48:U48" si="50">IF(K48="Siap","A",IF(K48="Cukup Siap","B",IF(K48="Belum Siap","C","")))</f>
        <v>A</v>
      </c>
      <c r="U48" s="168" t="str">
        <f t="shared" si="50"/>
        <v>A</v>
      </c>
    </row>
    <row r="49">
      <c r="A49" s="167" t="str">
        <f>Kp!C51</f>
        <v>A250037</v>
      </c>
      <c r="B49" s="171" t="str">
        <f>Kp!B51</f>
        <v>Muhammad Arkan</v>
      </c>
      <c r="C49" s="5" t="str">
        <f>Kp!D51</f>
        <v>MTs Putra</v>
      </c>
      <c r="D49" s="168">
        <f>IFERROR(VLOOKUP(A49, AQ!$B$2:$E$500, 3, FALSE),"-")</f>
        <v>90</v>
      </c>
      <c r="E49" s="168">
        <f>IFERROR(VLOOKUP(A49, AQ!$B$2:$E$500, 4, FALSE),"-")</f>
        <v>95</v>
      </c>
      <c r="F49" s="168" t="str">
        <f>IFERROR(VLOOKUP(A49, AQ!$B$2:$F$500, 5, FALSE),"-")</f>
        <v>A. Diterima</v>
      </c>
      <c r="G49" s="168">
        <f>IFERROR(VLOOKUP($A49,A.M!$C$3:$BC$500,53,0),"-")</f>
        <v>95</v>
      </c>
      <c r="H49" s="168" t="str">
        <f>IFERROR(VLOOKUP($A49,A.IL!$C$3:$BC$500,53,0),"-")</f>
        <v>-</v>
      </c>
      <c r="I49" s="168" t="str">
        <f>IFERROR(VLOOKUP($A49,A.S!$C$3:$BC$500,53,0),"-")</f>
        <v>-</v>
      </c>
      <c r="J49" s="168">
        <f>IFERROR(vlookup($A49,Kp!$C50:$JF$500,264,0),"-")</f>
        <v>0</v>
      </c>
      <c r="K49" s="168" t="str">
        <f>IFERROR(vlookup($A49,W.S!$D$2:$X$500,21,0),"-")</f>
        <v>Siap</v>
      </c>
      <c r="L49" s="168" t="str">
        <f>IFERROR(vlookup($A49,Ks!$C$2:$X$500,20,0),"-")</f>
        <v>Siap</v>
      </c>
      <c r="M49" s="168" t="str">
        <f>IFERROR(vlookup($A49,W.O!$E$2:$U$500,16,0),"-")</f>
        <v>Diterima</v>
      </c>
      <c r="N49" s="177"/>
      <c r="O49" s="185" t="s">
        <v>73</v>
      </c>
      <c r="Q49" s="168" t="str">
        <f t="shared" si="2"/>
        <v>A</v>
      </c>
      <c r="R49" s="168" t="str">
        <f t="shared" si="3"/>
        <v>A</v>
      </c>
      <c r="S49" s="168" t="str">
        <f t="shared" si="4"/>
        <v>A</v>
      </c>
      <c r="T49" s="168" t="str">
        <f t="shared" ref="T49:U49" si="51">IF(K49="Siap","A",IF(K49="Cukup Siap","B",IF(K49="Belum Siap","C","")))</f>
        <v>A</v>
      </c>
      <c r="U49" s="168" t="str">
        <f t="shared" si="51"/>
        <v>A</v>
      </c>
    </row>
    <row r="50">
      <c r="A50" s="167" t="str">
        <f>Kp!C52</f>
        <v>A250043</v>
      </c>
      <c r="B50" s="11" t="str">
        <f>Kp!B52</f>
        <v>Wahid Ahmad Nugraha</v>
      </c>
      <c r="C50" s="5" t="str">
        <f>Kp!D52</f>
        <v>MTs Putra</v>
      </c>
      <c r="D50" s="168">
        <f>IFERROR(VLOOKUP(A50, AQ!$B$2:$E$500, 3, FALSE),"-")</f>
        <v>80</v>
      </c>
      <c r="E50" s="168">
        <f>IFERROR(VLOOKUP(A50, AQ!$B$2:$E$500, 4, FALSE),"-")</f>
        <v>75</v>
      </c>
      <c r="F50" s="168" t="str">
        <f>IFERROR(VLOOKUP(A50, AQ!$B$2:$F$500, 5, FALSE),"-")</f>
        <v>B. Cadangan</v>
      </c>
      <c r="G50" s="168">
        <f>IFERROR(VLOOKUP($A50,A.M!$C$3:$BC$500,53,0),"-")</f>
        <v>55</v>
      </c>
      <c r="H50" s="168" t="str">
        <f>IFERROR(VLOOKUP($A50,A.IL!$C$3:$BC$500,53,0),"-")</f>
        <v>-</v>
      </c>
      <c r="I50" s="168" t="str">
        <f>IFERROR(VLOOKUP($A50,A.S!$C$3:$BC$500,53,0),"-")</f>
        <v>-</v>
      </c>
      <c r="J50" s="168">
        <f>IFERROR(vlookup($A50,Kp!$C51:$JF$500,264,0),"-")</f>
        <v>2</v>
      </c>
      <c r="K50" s="168" t="str">
        <f>IFERROR(vlookup($A50,W.S!$D$2:$X$500,21,0),"-")</f>
        <v>Belum Siap</v>
      </c>
      <c r="L50" s="168" t="str">
        <f>IFERROR(vlookup($A50,Ks!$C$2:$X$500,20,0),"-")</f>
        <v>Siap</v>
      </c>
      <c r="M50" s="168" t="str">
        <f>IFERROR(vlookup($A50,W.O!$E$2:$U$500,16,0),"-")</f>
        <v>Diterima</v>
      </c>
      <c r="N50" s="177"/>
      <c r="O50" s="184" t="s">
        <v>71</v>
      </c>
      <c r="Q50" s="168" t="str">
        <f t="shared" si="2"/>
        <v>B</v>
      </c>
      <c r="R50" s="168" t="str">
        <f t="shared" si="3"/>
        <v>C</v>
      </c>
      <c r="S50" s="168" t="str">
        <f t="shared" si="4"/>
        <v>B</v>
      </c>
      <c r="T50" s="168" t="str">
        <f t="shared" ref="T50:U50" si="52">IF(K50="Siap","A",IF(K50="Cukup Siap","B",IF(K50="Belum Siap","C","")))</f>
        <v>C</v>
      </c>
      <c r="U50" s="168" t="str">
        <f t="shared" si="52"/>
        <v>A</v>
      </c>
    </row>
    <row r="51">
      <c r="A51" s="167" t="str">
        <f>Kp!C53</f>
        <v>B250006</v>
      </c>
      <c r="B51" s="175" t="str">
        <f>Kp!B53</f>
        <v>Rezvan Zhian Agusto</v>
      </c>
      <c r="C51" s="5" t="str">
        <f>Kp!D53</f>
        <v>IL Putra</v>
      </c>
      <c r="D51" s="168">
        <f>IFERROR(VLOOKUP(A51, AQ!$B$2:$E$500, 3, FALSE),"-")</f>
        <v>60</v>
      </c>
      <c r="E51" s="168">
        <f>IFERROR(VLOOKUP(A51, AQ!$B$2:$E$500, 4, FALSE),"-")</f>
        <v>65</v>
      </c>
      <c r="F51" s="168" t="str">
        <f>IFERROR(VLOOKUP(A51, AQ!$B$2:$F$500, 5, FALSE),"-")</f>
        <v>A. Diterima</v>
      </c>
      <c r="G51" s="168" t="str">
        <f>IFERROR(VLOOKUP($A51,A.M!$C$3:$BC$500,53,0),"-")</f>
        <v>-</v>
      </c>
      <c r="H51" s="168">
        <f>IFERROR(VLOOKUP($A51,A.IL!$C$3:$BC$500,53,0),"-")</f>
        <v>55</v>
      </c>
      <c r="I51" s="168" t="str">
        <f>IFERROR(VLOOKUP($A51,A.S!$C$3:$BC$500,53,0),"-")</f>
        <v>-</v>
      </c>
      <c r="J51" s="168">
        <f>IFERROR(vlookup($A51,Kp!$C52:$JF$500,264,0),"-")</f>
        <v>3</v>
      </c>
      <c r="K51" s="168" t="str">
        <f>IFERROR(vlookup($A51,W.S!$D$2:$X$500,21,0),"-")</f>
        <v>Siap</v>
      </c>
      <c r="L51" s="168" t="str">
        <f>IFERROR(vlookup($A51,Ks!$C$2:$X$500,20,0),"-")</f>
        <v>Siap</v>
      </c>
      <c r="M51" s="168" t="str">
        <f>IFERROR(vlookup($A51,W.O!$E$2:$U$500,16,0),"-")</f>
        <v>Diterima</v>
      </c>
      <c r="N51" s="177"/>
      <c r="O51" s="179" t="s">
        <v>74</v>
      </c>
      <c r="Q51" s="168" t="str">
        <f t="shared" si="2"/>
        <v>A</v>
      </c>
      <c r="R51" s="168" t="str">
        <f t="shared" si="3"/>
        <v>C</v>
      </c>
      <c r="S51" s="168" t="str">
        <f t="shared" si="4"/>
        <v>C</v>
      </c>
      <c r="T51" s="168" t="str">
        <f t="shared" ref="T51:U51" si="53">IF(K51="Siap","A",IF(K51="Cukup Siap","B",IF(K51="Belum Siap","C","")))</f>
        <v>A</v>
      </c>
      <c r="U51" s="168" t="str">
        <f t="shared" si="53"/>
        <v>A</v>
      </c>
    </row>
    <row r="52">
      <c r="A52" s="167" t="str">
        <f>Kp!C54</f>
        <v>A250072</v>
      </c>
      <c r="B52" s="171" t="str">
        <f>Kp!B54</f>
        <v>Satria Ibrahim Tamaoki</v>
      </c>
      <c r="C52" s="5" t="str">
        <f>Kp!D54</f>
        <v>MTs Putra</v>
      </c>
      <c r="D52" s="168">
        <f>IFERROR(VLOOKUP(A52, AQ!$B$2:$E$500, 3, FALSE),"-")</f>
        <v>88</v>
      </c>
      <c r="E52" s="168">
        <f>IFERROR(VLOOKUP(A52, AQ!$B$2:$E$500, 4, FALSE),"-")</f>
        <v>87</v>
      </c>
      <c r="F52" s="168" t="str">
        <f>IFERROR(VLOOKUP(A52, AQ!$B$2:$F$500, 5, FALSE),"-")</f>
        <v>A. Diterima</v>
      </c>
      <c r="G52" s="168">
        <f>IFERROR(VLOOKUP($A52,A.M!$C$3:$BC$500,53,0),"-")</f>
        <v>90</v>
      </c>
      <c r="H52" s="168" t="str">
        <f>IFERROR(VLOOKUP($A52,A.IL!$C$3:$BC$500,53,0),"-")</f>
        <v>-</v>
      </c>
      <c r="I52" s="168" t="str">
        <f>IFERROR(VLOOKUP($A52,A.S!$C$3:$BC$500,53,0),"-")</f>
        <v>-</v>
      </c>
      <c r="J52" s="168">
        <f>IFERROR(vlookup($A52,Kp!$C53:$JF$500,264,0),"-")</f>
        <v>0</v>
      </c>
      <c r="K52" s="168" t="str">
        <f>IFERROR(vlookup($A52,W.S!$D$2:$X$500,21,0),"-")</f>
        <v>Siap</v>
      </c>
      <c r="L52" s="168" t="str">
        <f>IFERROR(vlookup($A52,Ks!$C$2:$X$500,20,0),"-")</f>
        <v>Siap</v>
      </c>
      <c r="M52" s="168" t="str">
        <f>IFERROR(vlookup($A52,W.O!$E$2:$U$500,16,0),"-")</f>
        <v>Diterima dengan catatan</v>
      </c>
      <c r="N52" s="177"/>
      <c r="O52" s="181" t="s">
        <v>79</v>
      </c>
      <c r="Q52" s="168" t="str">
        <f t="shared" si="2"/>
        <v>A</v>
      </c>
      <c r="R52" s="168" t="str">
        <f t="shared" si="3"/>
        <v>A</v>
      </c>
      <c r="S52" s="168" t="str">
        <f t="shared" si="4"/>
        <v>A</v>
      </c>
      <c r="T52" s="168" t="str">
        <f t="shared" ref="T52:U52" si="54">IF(K52="Siap","A",IF(K52="Cukup Siap","B",IF(K52="Belum Siap","C","")))</f>
        <v>A</v>
      </c>
      <c r="U52" s="168" t="str">
        <f t="shared" si="54"/>
        <v>A</v>
      </c>
    </row>
    <row r="53">
      <c r="A53" s="167" t="str">
        <f>Kp!C55</f>
        <v>D250027</v>
      </c>
      <c r="B53" s="171" t="str">
        <f>Kp!B55</f>
        <v>Ulfia Nurfauziah </v>
      </c>
      <c r="C53" s="5" t="str">
        <f>Kp!D55</f>
        <v>MTs Putri</v>
      </c>
      <c r="D53" s="168">
        <f>IFERROR(VLOOKUP(A53, AQ!$B$2:$E$500, 3, FALSE),"-")</f>
        <v>85</v>
      </c>
      <c r="E53" s="168">
        <f>IFERROR(VLOOKUP(A53, AQ!$B$2:$E$500, 4, FALSE),"-")</f>
        <v>90</v>
      </c>
      <c r="F53" s="168" t="str">
        <f>IFERROR(VLOOKUP(A53, AQ!$B$2:$F$500, 5, FALSE),"-")</f>
        <v>A. Diterima</v>
      </c>
      <c r="G53" s="168">
        <f>IFERROR(VLOOKUP($A53,A.M!$C$3:$BC$500,53,0),"-")</f>
        <v>55</v>
      </c>
      <c r="H53" s="168" t="str">
        <f>IFERROR(VLOOKUP($A53,A.IL!$C$3:$BC$500,53,0),"-")</f>
        <v>-</v>
      </c>
      <c r="I53" s="168" t="str">
        <f>IFERROR(VLOOKUP($A53,A.S!$C$3:$BC$500,53,0),"-")</f>
        <v>-</v>
      </c>
      <c r="J53" s="168">
        <f>IFERROR(vlookup($A53,Kp!$C54:$JF$500,264,0),"-")</f>
        <v>1</v>
      </c>
      <c r="K53" s="168" t="str">
        <f>IFERROR(vlookup($A53,W.S!$D$2:$X$500,21,0),"-")</f>
        <v>Siap</v>
      </c>
      <c r="L53" s="168" t="str">
        <f>IFERROR(vlookup($A53,Ks!$C$2:$X$500,20,0),"-")</f>
        <v>Siap</v>
      </c>
      <c r="M53" s="168" t="str">
        <f>IFERROR(vlookup($A53,W.O!$E$2:$U$500,16,0),"-")</f>
        <v>Diterima</v>
      </c>
      <c r="N53" s="177"/>
      <c r="O53" s="185" t="s">
        <v>73</v>
      </c>
      <c r="Q53" s="168" t="str">
        <f t="shared" si="2"/>
        <v>A</v>
      </c>
      <c r="R53" s="168" t="str">
        <f t="shared" si="3"/>
        <v>C</v>
      </c>
      <c r="S53" s="168" t="str">
        <f t="shared" si="4"/>
        <v>A</v>
      </c>
      <c r="T53" s="168" t="str">
        <f t="shared" ref="T53:U53" si="55">IF(K53="Siap","A",IF(K53="Cukup Siap","B",IF(K53="Belum Siap","C","")))</f>
        <v>A</v>
      </c>
      <c r="U53" s="168" t="str">
        <f t="shared" si="55"/>
        <v>A</v>
      </c>
    </row>
    <row r="54">
      <c r="A54" s="167" t="str">
        <f>Kp!C56</f>
        <v>D250010</v>
      </c>
      <c r="B54" s="186" t="str">
        <f>Kp!B56</f>
        <v>Siti Fatimah Azzahra</v>
      </c>
      <c r="C54" s="5" t="str">
        <f>Kp!D56</f>
        <v>MTs Putri</v>
      </c>
      <c r="D54" s="168">
        <f>IFERROR(VLOOKUP(A54, AQ!$B$2:$E$500, 3, FALSE),"-")</f>
        <v>79</v>
      </c>
      <c r="E54" s="168">
        <f>IFERROR(VLOOKUP(A54, AQ!$B$2:$E$500, 4, FALSE),"-")</f>
        <v>85</v>
      </c>
      <c r="F54" s="168" t="str">
        <f>IFERROR(VLOOKUP(A54, AQ!$B$2:$F$500, 5, FALSE),"-")</f>
        <v>A. Diterima</v>
      </c>
      <c r="G54" s="168">
        <f>IFERROR(VLOOKUP($A54,A.M!$C$3:$BC$500,53,0),"-")</f>
        <v>90</v>
      </c>
      <c r="H54" s="168" t="str">
        <f>IFERROR(VLOOKUP($A54,A.IL!$C$3:$BC$500,53,0),"-")</f>
        <v>-</v>
      </c>
      <c r="I54" s="168" t="str">
        <f>IFERROR(VLOOKUP($A54,A.S!$C$3:$BC$500,53,0),"-")</f>
        <v>-</v>
      </c>
      <c r="J54" s="168">
        <f>IFERROR(vlookup($A54,Kp!$C55:$JF$500,264,0),"-")</f>
        <v>1</v>
      </c>
      <c r="K54" s="168" t="str">
        <f>IFERROR(vlookup($A54,W.S!$D$2:$X$500,21,0),"-")</f>
        <v>Siap</v>
      </c>
      <c r="L54" s="168" t="str">
        <f>IFERROR(vlookup($A54,Ks!$C$2:$X$500,20,0),"-")</f>
        <v>Siap</v>
      </c>
      <c r="M54" s="168" t="str">
        <f>IFERROR(vlookup($A54,W.O!$E$2:$U$500,16,0),"-")</f>
        <v>Diterima</v>
      </c>
      <c r="N54" s="177"/>
      <c r="O54" s="185" t="s">
        <v>73</v>
      </c>
      <c r="Q54" s="168" t="str">
        <f t="shared" si="2"/>
        <v>A</v>
      </c>
      <c r="R54" s="168" t="str">
        <f t="shared" si="3"/>
        <v>A</v>
      </c>
      <c r="S54" s="168" t="str">
        <f t="shared" si="4"/>
        <v>A</v>
      </c>
      <c r="T54" s="168" t="str">
        <f t="shared" ref="T54:U54" si="56">IF(K54="Siap","A",IF(K54="Cukup Siap","B",IF(K54="Belum Siap","C","")))</f>
        <v>A</v>
      </c>
      <c r="U54" s="168" t="str">
        <f t="shared" si="56"/>
        <v>A</v>
      </c>
    </row>
    <row r="55">
      <c r="A55" s="167" t="str">
        <f>Kp!C57</f>
        <v>B250014</v>
      </c>
      <c r="B55" s="175" t="str">
        <f>Kp!B57</f>
        <v>FAIZ ABDUSSALAM TASLIM BUDIDOYO</v>
      </c>
      <c r="C55" s="5" t="str">
        <f>Kp!D57</f>
        <v>IL Putra</v>
      </c>
      <c r="D55" s="168">
        <f>IFERROR(VLOOKUP(A55, AQ!$B$2:$E$500, 3, FALSE),"-")</f>
        <v>88</v>
      </c>
      <c r="E55" s="168">
        <f>IFERROR(VLOOKUP(A55, AQ!$B$2:$E$500, 4, FALSE),"-")</f>
        <v>90</v>
      </c>
      <c r="F55" s="168" t="str">
        <f>IFERROR(VLOOKUP(A55, AQ!$B$2:$F$500, 5, FALSE),"-")</f>
        <v>A. Diterima</v>
      </c>
      <c r="G55" s="168" t="str">
        <f>IFERROR(VLOOKUP($A55,A.M!$C$3:$BC$500,53,0),"-")</f>
        <v>-</v>
      </c>
      <c r="H55" s="168">
        <f>IFERROR(VLOOKUP($A55,A.IL!$C$3:$BC$500,53,0),"-")</f>
        <v>45</v>
      </c>
      <c r="I55" s="168" t="str">
        <f>IFERROR(VLOOKUP($A55,A.S!$C$3:$BC$500,53,0),"-")</f>
        <v>-</v>
      </c>
      <c r="J55" s="168">
        <f>IFERROR(vlookup($A55,Kp!$C56:$JF$500,264,0),"-")</f>
        <v>2</v>
      </c>
      <c r="K55" s="168" t="str">
        <f>IFERROR(vlookup($A55,W.S!$D$2:$X$500,21,0),"-")</f>
        <v>Siap</v>
      </c>
      <c r="L55" s="168" t="str">
        <f>IFERROR(vlookup($A55,Ks!$C$2:$X$500,20,0),"-")</f>
        <v>Siap</v>
      </c>
      <c r="M55" s="168" t="str">
        <f>IFERROR(vlookup($A55,W.O!$E$2:$U$500,16,0),"-")</f>
        <v>Diterima</v>
      </c>
      <c r="N55" s="169" t="s">
        <v>80</v>
      </c>
      <c r="O55" s="179" t="s">
        <v>74</v>
      </c>
      <c r="Q55" s="168" t="str">
        <f t="shared" si="2"/>
        <v>A</v>
      </c>
      <c r="R55" s="168" t="str">
        <f t="shared" si="3"/>
        <v>C</v>
      </c>
      <c r="S55" s="168" t="str">
        <f t="shared" si="4"/>
        <v>B</v>
      </c>
      <c r="T55" s="168" t="str">
        <f t="shared" ref="T55:U55" si="57">IF(K55="Siap","A",IF(K55="Cukup Siap","B",IF(K55="Belum Siap","C","")))</f>
        <v>A</v>
      </c>
      <c r="U55" s="168" t="str">
        <f t="shared" si="57"/>
        <v>A</v>
      </c>
    </row>
    <row r="56">
      <c r="A56" s="167" t="str">
        <f>Kp!C58</f>
        <v>B250018</v>
      </c>
      <c r="B56" s="171" t="str">
        <f>Kp!B58</f>
        <v>Farhan ibadurrohman </v>
      </c>
      <c r="C56" s="5" t="str">
        <f>Kp!D58</f>
        <v>IL Putra</v>
      </c>
      <c r="D56" s="168">
        <f>IFERROR(VLOOKUP(A56, AQ!$B$2:$E$500, 3, FALSE),"-")</f>
        <v>90</v>
      </c>
      <c r="E56" s="168">
        <f>IFERROR(VLOOKUP(A56, AQ!$B$2:$E$500, 4, FALSE),"-")</f>
        <v>90</v>
      </c>
      <c r="F56" s="168" t="str">
        <f>IFERROR(VLOOKUP(A56, AQ!$B$2:$F$500, 5, FALSE),"-")</f>
        <v>A. Diterima</v>
      </c>
      <c r="G56" s="168" t="str">
        <f>IFERROR(VLOOKUP($A56,A.M!$C$3:$BC$500,53,0),"-")</f>
        <v>-</v>
      </c>
      <c r="H56" s="168">
        <f>IFERROR(VLOOKUP($A56,A.IL!$C$3:$BC$500,53,0),"-")</f>
        <v>70</v>
      </c>
      <c r="I56" s="168" t="str">
        <f>IFERROR(VLOOKUP($A56,A.S!$C$3:$BC$500,53,0),"-")</f>
        <v>-</v>
      </c>
      <c r="J56" s="168">
        <f>IFERROR(vlookup($A56,Kp!$C57:$JF$500,264,0),"-")</f>
        <v>2</v>
      </c>
      <c r="K56" s="168" t="str">
        <f>IFERROR(vlookup($A56,W.S!$D$2:$X$500,21,0),"-")</f>
        <v>Siap</v>
      </c>
      <c r="L56" s="168" t="str">
        <f>IFERROR(vlookup($A56,Ks!$C$2:$X$500,20,0),"-")</f>
        <v>Siap</v>
      </c>
      <c r="M56" s="168" t="str">
        <f>IFERROR(vlookup($A56,W.O!$E$2:$U$500,16,0),"-")</f>
        <v>Diterima</v>
      </c>
      <c r="N56" s="177"/>
      <c r="O56" s="185" t="s">
        <v>73</v>
      </c>
      <c r="Q56" s="168" t="str">
        <f t="shared" si="2"/>
        <v>A</v>
      </c>
      <c r="R56" s="168" t="str">
        <f t="shared" si="3"/>
        <v>B</v>
      </c>
      <c r="S56" s="168" t="str">
        <f t="shared" si="4"/>
        <v>B</v>
      </c>
      <c r="T56" s="168" t="str">
        <f t="shared" ref="T56:U56" si="58">IF(K56="Siap","A",IF(K56="Cukup Siap","B",IF(K56="Belum Siap","C","")))</f>
        <v>A</v>
      </c>
      <c r="U56" s="168" t="str">
        <f t="shared" si="58"/>
        <v>A</v>
      </c>
    </row>
    <row r="57">
      <c r="A57" s="167" t="str">
        <f>Kp!C59</f>
        <v>E250008</v>
      </c>
      <c r="B57" s="171" t="str">
        <f>Kp!B59</f>
        <v>Siti Arafah </v>
      </c>
      <c r="C57" s="5" t="str">
        <f>Kp!D59</f>
        <v>IL Putri</v>
      </c>
      <c r="D57" s="168">
        <f>IFERROR(VLOOKUP(A57, AQ!$B$2:$E$500, 3, FALSE),"-")</f>
        <v>75</v>
      </c>
      <c r="E57" s="168">
        <f>IFERROR(VLOOKUP(A57, AQ!$B$2:$E$500, 4, FALSE),"-")</f>
        <v>85</v>
      </c>
      <c r="F57" s="168" t="str">
        <f>IFERROR(VLOOKUP(A57, AQ!$B$2:$F$500, 5, FALSE),"-")</f>
        <v>A. Diterima</v>
      </c>
      <c r="G57" s="168" t="str">
        <f>IFERROR(VLOOKUP($A57,A.M!$C$3:$BC$500,53,0),"-")</f>
        <v>-</v>
      </c>
      <c r="H57" s="168">
        <f>IFERROR(VLOOKUP($A57,A.IL!$C$3:$BC$500,53,0),"-")</f>
        <v>50</v>
      </c>
      <c r="I57" s="168" t="str">
        <f>IFERROR(VLOOKUP($A57,A.S!$C$3:$BC$500,53,0),"-")</f>
        <v>-</v>
      </c>
      <c r="J57" s="168">
        <f>IFERROR(vlookup($A57,Kp!$C58:$JF$500,264,0),"-")</f>
        <v>2</v>
      </c>
      <c r="K57" s="168" t="str">
        <f>IFERROR(vlookup($A57,W.S!$D$2:$X$500,21,0),"-")</f>
        <v>Siap</v>
      </c>
      <c r="L57" s="168" t="str">
        <f>IFERROR(vlookup($A57,Ks!$C$2:$X$500,20,0),"-")</f>
        <v>Siap</v>
      </c>
      <c r="M57" s="168" t="str">
        <f>IFERROR(vlookup($A57,W.O!$E$2:$U$500,16,0),"-")</f>
        <v>Diterima</v>
      </c>
      <c r="N57" s="177"/>
      <c r="O57" s="185" t="s">
        <v>73</v>
      </c>
      <c r="Q57" s="168" t="str">
        <f t="shared" si="2"/>
        <v>A</v>
      </c>
      <c r="R57" s="168" t="str">
        <f t="shared" si="3"/>
        <v>C</v>
      </c>
      <c r="S57" s="168" t="str">
        <f t="shared" si="4"/>
        <v>B</v>
      </c>
      <c r="T57" s="168" t="str">
        <f t="shared" ref="T57:U57" si="59">IF(K57="Siap","A",IF(K57="Cukup Siap","B",IF(K57="Belum Siap","C","")))</f>
        <v>A</v>
      </c>
      <c r="U57" s="168" t="str">
        <f t="shared" si="59"/>
        <v>A</v>
      </c>
    </row>
    <row r="58">
      <c r="A58" s="167" t="str">
        <f>Kp!C60</f>
        <v>E250004</v>
      </c>
      <c r="B58" s="171" t="str">
        <f>Kp!B60</f>
        <v>adinda humaira</v>
      </c>
      <c r="C58" s="5" t="str">
        <f>Kp!D60</f>
        <v>IL Putri</v>
      </c>
      <c r="D58" s="168">
        <f>IFERROR(VLOOKUP(A58, AQ!$B$2:$E$500, 3, FALSE),"-")</f>
        <v>80</v>
      </c>
      <c r="E58" s="168">
        <f>IFERROR(VLOOKUP(A58, AQ!$B$2:$E$500, 4, FALSE),"-")</f>
        <v>90</v>
      </c>
      <c r="F58" s="168" t="str">
        <f>IFERROR(VLOOKUP(A58, AQ!$B$2:$F$500, 5, FALSE),"-")</f>
        <v>A. Diterima</v>
      </c>
      <c r="G58" s="168" t="str">
        <f>IFERROR(VLOOKUP($A58,A.M!$C$3:$BC$500,53,0),"-")</f>
        <v>-</v>
      </c>
      <c r="H58" s="168">
        <f>IFERROR(VLOOKUP($A58,A.IL!$C$3:$BC$500,53,0),"-")</f>
        <v>65</v>
      </c>
      <c r="I58" s="168" t="str">
        <f>IFERROR(VLOOKUP($A58,A.S!$C$3:$BC$500,53,0),"-")</f>
        <v>-</v>
      </c>
      <c r="J58" s="168">
        <f>IFERROR(vlookup($A58,Kp!$C59:$JF$500,264,0),"-")</f>
        <v>0</v>
      </c>
      <c r="K58" s="168" t="str">
        <f>IFERROR(vlookup($A58,W.S!$D$2:$X$500,21,0),"-")</f>
        <v>Siap</v>
      </c>
      <c r="L58" s="168" t="str">
        <f>IFERROR(vlookup($A58,Ks!$C$2:$X$500,20,0),"-")</f>
        <v>Siap</v>
      </c>
      <c r="M58" s="168" t="str">
        <f>IFERROR(vlookup($A58,W.O!$E$2:$U$500,16,0),"-")</f>
        <v>Diterima</v>
      </c>
      <c r="N58" s="177"/>
      <c r="O58" s="185" t="s">
        <v>73</v>
      </c>
      <c r="Q58" s="168" t="str">
        <f t="shared" si="2"/>
        <v>A</v>
      </c>
      <c r="R58" s="168" t="str">
        <f t="shared" si="3"/>
        <v>B</v>
      </c>
      <c r="S58" s="168" t="str">
        <f t="shared" si="4"/>
        <v>A</v>
      </c>
      <c r="T58" s="168" t="str">
        <f t="shared" ref="T58:U58" si="60">IF(K58="Siap","A",IF(K58="Cukup Siap","B",IF(K58="Belum Siap","C","")))</f>
        <v>A</v>
      </c>
      <c r="U58" s="168" t="str">
        <f t="shared" si="60"/>
        <v>A</v>
      </c>
    </row>
    <row r="59">
      <c r="A59" s="167" t="str">
        <f>Kp!C61</f>
        <v>B250005</v>
      </c>
      <c r="B59" s="171" t="str">
        <f>Kp!B61</f>
        <v>Raihan Farzin </v>
      </c>
      <c r="C59" s="5" t="str">
        <f>Kp!D61</f>
        <v>IL Putra</v>
      </c>
      <c r="D59" s="168">
        <f>IFERROR(VLOOKUP(A59, AQ!$B$2:$E$500, 3, FALSE),"-")</f>
        <v>85</v>
      </c>
      <c r="E59" s="168">
        <f>IFERROR(VLOOKUP(A59, AQ!$B$2:$E$500, 4, FALSE),"-")</f>
        <v>87</v>
      </c>
      <c r="F59" s="168" t="str">
        <f>IFERROR(VLOOKUP(A59, AQ!$B$2:$F$500, 5, FALSE),"-")</f>
        <v>A. Diterima</v>
      </c>
      <c r="G59" s="168" t="str">
        <f>IFERROR(VLOOKUP($A59,A.M!$C$3:$BC$500,53,0),"-")</f>
        <v>-</v>
      </c>
      <c r="H59" s="168">
        <f>IFERROR(VLOOKUP($A59,A.IL!$C$3:$BC$500,53,0),"-")</f>
        <v>55</v>
      </c>
      <c r="I59" s="168" t="str">
        <f>IFERROR(VLOOKUP($A59,A.S!$C$3:$BC$500,53,0),"-")</f>
        <v>-</v>
      </c>
      <c r="J59" s="168">
        <f>IFERROR(vlookup($A59,Kp!$C60:$JF$500,264,0),"-")</f>
        <v>2</v>
      </c>
      <c r="K59" s="168" t="str">
        <f>IFERROR(vlookup($A59,W.S!$D$2:$X$500,21,0),"-")</f>
        <v>Siap</v>
      </c>
      <c r="L59" s="168" t="str">
        <f>IFERROR(vlookup($A59,Ks!$C$2:$X$500,20,0),"-")</f>
        <v>Siap</v>
      </c>
      <c r="M59" s="168" t="str">
        <f>IFERROR(vlookup($A59,W.O!$E$2:$U$500,16,0),"-")</f>
        <v>Diterima</v>
      </c>
      <c r="N59" s="177"/>
      <c r="O59" s="185" t="s">
        <v>73</v>
      </c>
      <c r="Q59" s="168" t="str">
        <f t="shared" si="2"/>
        <v>A</v>
      </c>
      <c r="R59" s="168" t="str">
        <f t="shared" si="3"/>
        <v>C</v>
      </c>
      <c r="S59" s="168" t="str">
        <f t="shared" si="4"/>
        <v>B</v>
      </c>
      <c r="T59" s="168" t="str">
        <f t="shared" ref="T59:U59" si="61">IF(K59="Siap","A",IF(K59="Cukup Siap","B",IF(K59="Belum Siap","C","")))</f>
        <v>A</v>
      </c>
      <c r="U59" s="168" t="str">
        <f t="shared" si="61"/>
        <v>A</v>
      </c>
    </row>
    <row r="60">
      <c r="A60" s="167" t="str">
        <f>Kp!C62</f>
        <v>A250005</v>
      </c>
      <c r="B60" s="171" t="str">
        <f>Kp!B62</f>
        <v>Muhammad Raihan Alfawwaz</v>
      </c>
      <c r="C60" s="5" t="str">
        <f>Kp!D62</f>
        <v>MTs Putra</v>
      </c>
      <c r="D60" s="168">
        <f>IFERROR(VLOOKUP(A60, AQ!$B$2:$E$500, 3, FALSE),"-")</f>
        <v>87</v>
      </c>
      <c r="E60" s="168">
        <f>IFERROR(VLOOKUP(A60, AQ!$B$2:$E$500, 4, FALSE),"-")</f>
        <v>90</v>
      </c>
      <c r="F60" s="168" t="str">
        <f>IFERROR(VLOOKUP(A60, AQ!$B$2:$F$500, 5, FALSE),"-")</f>
        <v>A. Diterima</v>
      </c>
      <c r="G60" s="168">
        <f>IFERROR(VLOOKUP($A60,A.M!$C$3:$BC$500,53,0),"-")</f>
        <v>95</v>
      </c>
      <c r="H60" s="168" t="str">
        <f>IFERROR(VLOOKUP($A60,A.IL!$C$3:$BC$500,53,0),"-")</f>
        <v>-</v>
      </c>
      <c r="I60" s="168" t="str">
        <f>IFERROR(VLOOKUP($A60,A.S!$C$3:$BC$500,53,0),"-")</f>
        <v>-</v>
      </c>
      <c r="J60" s="168">
        <f>IFERROR(vlookup($A60,Kp!$C61:$JF$500,264,0),"-")</f>
        <v>1</v>
      </c>
      <c r="K60" s="168" t="str">
        <f>IFERROR(vlookup($A60,W.S!$D$2:$X$500,21,0),"-")</f>
        <v>Siap</v>
      </c>
      <c r="L60" s="168" t="str">
        <f>IFERROR(vlookup($A60,Ks!$C$2:$X$500,20,0),"-")</f>
        <v>Siap</v>
      </c>
      <c r="M60" s="168" t="str">
        <f>IFERROR(vlookup($A60,W.O!$E$2:$U$500,16,0),"-")</f>
        <v>Diterima</v>
      </c>
      <c r="N60" s="177"/>
      <c r="O60" s="185" t="s">
        <v>73</v>
      </c>
      <c r="Q60" s="168" t="str">
        <f t="shared" si="2"/>
        <v>A</v>
      </c>
      <c r="R60" s="168" t="str">
        <f t="shared" si="3"/>
        <v>A</v>
      </c>
      <c r="S60" s="168" t="str">
        <f t="shared" si="4"/>
        <v>A</v>
      </c>
      <c r="T60" s="168" t="str">
        <f t="shared" ref="T60:U60" si="62">IF(K60="Siap","A",IF(K60="Cukup Siap","B",IF(K60="Belum Siap","C","")))</f>
        <v>A</v>
      </c>
      <c r="U60" s="168" t="str">
        <f t="shared" si="62"/>
        <v>A</v>
      </c>
    </row>
    <row r="61">
      <c r="A61" s="167" t="str">
        <f>Kp!C63</f>
        <v>C250009</v>
      </c>
      <c r="B61" s="180" t="str">
        <f>Kp!B63</f>
        <v>nizar</v>
      </c>
      <c r="C61" s="5" t="str">
        <f>Kp!D63</f>
        <v>SMA</v>
      </c>
      <c r="D61" s="168">
        <f>IFERROR(VLOOKUP(A61, AQ!$B$2:$E$500, 3, FALSE),"-")</f>
        <v>95</v>
      </c>
      <c r="E61" s="168">
        <f>IFERROR(VLOOKUP(A61, AQ!$B$2:$E$500, 4, FALSE),"-")</f>
        <v>90</v>
      </c>
      <c r="F61" s="168" t="str">
        <f>IFERROR(VLOOKUP(A61, AQ!$B$2:$F$500, 5, FALSE),"-")</f>
        <v>A. Diterima</v>
      </c>
      <c r="G61" s="168" t="str">
        <f>IFERROR(VLOOKUP($A61,A.M!$C$3:$BC$500,53,0),"-")</f>
        <v>-</v>
      </c>
      <c r="H61" s="168" t="str">
        <f>IFERROR(VLOOKUP($A61,A.IL!$C$3:$BC$500,53,0),"-")</f>
        <v>-</v>
      </c>
      <c r="I61" s="168">
        <f>IFERROR(VLOOKUP($A61,A.S!$C$3:$BC$500,53,0),"-")</f>
        <v>55</v>
      </c>
      <c r="J61" s="168">
        <f>IFERROR(vlookup($A61,Kp!$C62:$JF$500,264,0),"-")</f>
        <v>1</v>
      </c>
      <c r="K61" s="168" t="str">
        <f>IFERROR(vlookup($A61,W.S!$D$2:$X$500,21,0),"-")</f>
        <v>Siap</v>
      </c>
      <c r="L61" s="168" t="str">
        <f>IFERROR(vlookup($A61,Ks!$C$2:$X$500,20,0),"-")</f>
        <v>Siap</v>
      </c>
      <c r="M61" s="168" t="str">
        <f>IFERROR(vlookup($A61,W.O!$E$2:$U$500,16,0),"-")</f>
        <v>Diterima</v>
      </c>
      <c r="N61" s="177"/>
      <c r="O61" s="181" t="s">
        <v>76</v>
      </c>
      <c r="P61" s="182" t="s">
        <v>78</v>
      </c>
      <c r="Q61" s="168" t="str">
        <f t="shared" si="2"/>
        <v>A</v>
      </c>
      <c r="R61" s="168" t="str">
        <f t="shared" si="3"/>
        <v>C</v>
      </c>
      <c r="S61" s="168" t="str">
        <f t="shared" si="4"/>
        <v>A</v>
      </c>
      <c r="T61" s="168" t="str">
        <f t="shared" ref="T61:U61" si="63">IF(K61="Siap","A",IF(K61="Cukup Siap","B",IF(K61="Belum Siap","C","")))</f>
        <v>A</v>
      </c>
      <c r="U61" s="168" t="str">
        <f t="shared" si="63"/>
        <v>A</v>
      </c>
    </row>
    <row r="62">
      <c r="A62" s="167" t="str">
        <f>Kp!C64</f>
        <v>A250015</v>
      </c>
      <c r="B62" s="171" t="str">
        <f>Kp!B64</f>
        <v>ARRAYYAN ABDUR RASHID</v>
      </c>
      <c r="C62" s="5" t="str">
        <f>Kp!D64</f>
        <v>MTs Putra</v>
      </c>
      <c r="D62" s="168">
        <f>IFERROR(VLOOKUP(A62, AQ!$B$2:$E$500, 3, FALSE),"-")</f>
        <v>88</v>
      </c>
      <c r="E62" s="168">
        <f>IFERROR(VLOOKUP(A62, AQ!$B$2:$E$500, 4, FALSE),"-")</f>
        <v>90</v>
      </c>
      <c r="F62" s="168" t="str">
        <f>IFERROR(VLOOKUP(A62, AQ!$B$2:$F$500, 5, FALSE),"-")</f>
        <v>A. Diterima</v>
      </c>
      <c r="G62" s="168">
        <f>IFERROR(VLOOKUP($A62,A.M!$C$3:$BC$500,53,0),"-")</f>
        <v>80</v>
      </c>
      <c r="H62" s="168" t="str">
        <f>IFERROR(VLOOKUP($A62,A.IL!$C$3:$BC$500,53,0),"-")</f>
        <v>-</v>
      </c>
      <c r="I62" s="168" t="str">
        <f>IFERROR(VLOOKUP($A62,A.S!$C$3:$BC$500,53,0),"-")</f>
        <v>-</v>
      </c>
      <c r="J62" s="168">
        <f>IFERROR(vlookup($A62,Kp!$C63:$JF$500,264,0),"-")</f>
        <v>2</v>
      </c>
      <c r="K62" s="168" t="str">
        <f>IFERROR(vlookup($A62,W.S!$D$2:$X$500,21,0),"-")</f>
        <v>Cukup Siap</v>
      </c>
      <c r="L62" s="168" t="str">
        <f>IFERROR(vlookup($A62,Ks!$C$2:$X$500,20,0),"-")</f>
        <v>Siap</v>
      </c>
      <c r="M62" s="168" t="str">
        <f>IFERROR(vlookup($A62,W.O!$E$2:$U$500,16,0),"-")</f>
        <v>Diterima</v>
      </c>
      <c r="N62" s="177"/>
      <c r="O62" s="185" t="s">
        <v>73</v>
      </c>
      <c r="Q62" s="168" t="str">
        <f t="shared" si="2"/>
        <v>A</v>
      </c>
      <c r="R62" s="168" t="str">
        <f t="shared" si="3"/>
        <v>A</v>
      </c>
      <c r="S62" s="168" t="str">
        <f t="shared" si="4"/>
        <v>B</v>
      </c>
      <c r="T62" s="168" t="str">
        <f t="shared" ref="T62:U62" si="64">IF(K62="Siap","A",IF(K62="Cukup Siap","B",IF(K62="Belum Siap","C","")))</f>
        <v>B</v>
      </c>
      <c r="U62" s="168" t="str">
        <f t="shared" si="64"/>
        <v>A</v>
      </c>
    </row>
    <row r="63">
      <c r="A63" s="167" t="str">
        <f>Kp!C65</f>
        <v>A250040</v>
      </c>
      <c r="B63" s="175" t="str">
        <f>Kp!B65</f>
        <v>Riyadi wirawan</v>
      </c>
      <c r="C63" s="5" t="str">
        <f>Kp!D65</f>
        <v>MTs Putra</v>
      </c>
      <c r="D63" s="168">
        <f>IFERROR(VLOOKUP(A63, AQ!$B$2:$E$500, 3, FALSE),"-")</f>
        <v>55</v>
      </c>
      <c r="E63" s="168">
        <f>IFERROR(VLOOKUP(A63, AQ!$B$2:$E$500, 4, FALSE),"-")</f>
        <v>50</v>
      </c>
      <c r="F63" s="168" t="str">
        <f>IFERROR(VLOOKUP(A63, AQ!$B$2:$F$500, 5, FALSE),"-")</f>
        <v>C. Ditolak</v>
      </c>
      <c r="G63" s="168">
        <f>IFERROR(VLOOKUP($A63,A.M!$C$3:$BC$500,53,0),"-")</f>
        <v>75</v>
      </c>
      <c r="H63" s="168" t="str">
        <f>IFERROR(VLOOKUP($A63,A.IL!$C$3:$BC$500,53,0),"-")</f>
        <v>-</v>
      </c>
      <c r="I63" s="168" t="str">
        <f>IFERROR(VLOOKUP($A63,A.S!$C$3:$BC$500,53,0),"-")</f>
        <v>-</v>
      </c>
      <c r="J63" s="168">
        <f>IFERROR(vlookup($A63,Kp!$C64:$JF$500,264,0),"-")</f>
        <v>1</v>
      </c>
      <c r="K63" s="168" t="str">
        <f>IFERROR(vlookup($A63,W.S!$D$2:$X$500,21,0),"-")</f>
        <v>Siap</v>
      </c>
      <c r="L63" s="168" t="str">
        <f>IFERROR(vlookup($A63,Ks!$C$2:$X$500,20,0),"-")</f>
        <v>Siap</v>
      </c>
      <c r="M63" s="168" t="str">
        <f>IFERROR(vlookup($A63,W.O!$E$2:$U$500,16,0),"-")</f>
        <v>Diterima</v>
      </c>
      <c r="N63" s="177"/>
      <c r="O63" s="179" t="s">
        <v>74</v>
      </c>
      <c r="Q63" s="168" t="str">
        <f t="shared" si="2"/>
        <v>C</v>
      </c>
      <c r="R63" s="168" t="str">
        <f t="shared" si="3"/>
        <v>A</v>
      </c>
      <c r="S63" s="168" t="str">
        <f t="shared" si="4"/>
        <v>A</v>
      </c>
      <c r="T63" s="168" t="str">
        <f t="shared" ref="T63:U63" si="65">IF(K63="Siap","A",IF(K63="Cukup Siap","B",IF(K63="Belum Siap","C","")))</f>
        <v>A</v>
      </c>
      <c r="U63" s="168" t="str">
        <f t="shared" si="65"/>
        <v>A</v>
      </c>
    </row>
    <row r="64">
      <c r="A64" s="167" t="str">
        <f>Kp!C66</f>
        <v>B250003</v>
      </c>
      <c r="B64" s="171" t="str">
        <f>Kp!B66</f>
        <v>Ihsan Abdul Hakim </v>
      </c>
      <c r="C64" s="5" t="str">
        <f>Kp!D66</f>
        <v>IL Putra</v>
      </c>
      <c r="D64" s="168">
        <f>IFERROR(VLOOKUP(A64, AQ!$B$2:$E$500, 3, FALSE),"-")</f>
        <v>99</v>
      </c>
      <c r="E64" s="168">
        <f>IFERROR(VLOOKUP(A64, AQ!$B$2:$E$500, 4, FALSE),"-")</f>
        <v>99</v>
      </c>
      <c r="F64" s="168" t="str">
        <f>IFERROR(VLOOKUP(A64, AQ!$B$2:$F$500, 5, FALSE),"-")</f>
        <v>A. Diterima</v>
      </c>
      <c r="G64" s="168" t="str">
        <f>IFERROR(VLOOKUP($A64,A.M!$C$3:$BC$500,53,0),"-")</f>
        <v>-</v>
      </c>
      <c r="H64" s="168">
        <f>IFERROR(VLOOKUP($A64,A.IL!$C$3:$BC$500,53,0),"-")</f>
        <v>65</v>
      </c>
      <c r="I64" s="168" t="str">
        <f>IFERROR(VLOOKUP($A64,A.S!$C$3:$BC$500,53,0),"-")</f>
        <v>-</v>
      </c>
      <c r="J64" s="168">
        <f>IFERROR(vlookup($A64,Kp!$C65:$JF$500,264,0),"-")</f>
        <v>1</v>
      </c>
      <c r="K64" s="168" t="str">
        <f>IFERROR(vlookup($A64,W.S!$D$2:$X$500,21,0),"-")</f>
        <v>Siap</v>
      </c>
      <c r="L64" s="168" t="str">
        <f>IFERROR(vlookup($A64,Ks!$C$2:$X$500,20,0),"-")</f>
        <v>Siap</v>
      </c>
      <c r="M64" s="168" t="str">
        <f>IFERROR(vlookup($A64,W.O!$E$2:$U$500,16,0),"-")</f>
        <v>Diterima</v>
      </c>
      <c r="N64" s="177"/>
      <c r="O64" s="185" t="s">
        <v>73</v>
      </c>
      <c r="Q64" s="168" t="str">
        <f t="shared" si="2"/>
        <v>A</v>
      </c>
      <c r="R64" s="168" t="str">
        <f t="shared" si="3"/>
        <v>B</v>
      </c>
      <c r="S64" s="168" t="str">
        <f t="shared" si="4"/>
        <v>A</v>
      </c>
      <c r="T64" s="168" t="str">
        <f t="shared" ref="T64:U64" si="66">IF(K64="Siap","A",IF(K64="Cukup Siap","B",IF(K64="Belum Siap","C","")))</f>
        <v>A</v>
      </c>
      <c r="U64" s="168" t="str">
        <f t="shared" si="66"/>
        <v>A</v>
      </c>
    </row>
    <row r="65">
      <c r="A65" s="167" t="str">
        <f>Kp!C67</f>
        <v>A250041</v>
      </c>
      <c r="B65" s="175" t="str">
        <f>Kp!B67</f>
        <v>SULTHON ABRISAM KARIM</v>
      </c>
      <c r="C65" s="5" t="str">
        <f>Kp!D67</f>
        <v>MTs Putra</v>
      </c>
      <c r="D65" s="168">
        <f>IFERROR(VLOOKUP(A65, AQ!$B$2:$E$500, 3, FALSE),"-")</f>
        <v>60</v>
      </c>
      <c r="E65" s="168">
        <f>IFERROR(VLOOKUP(A65, AQ!$B$2:$E$500, 4, FALSE),"-")</f>
        <v>55</v>
      </c>
      <c r="F65" s="168" t="str">
        <f>IFERROR(VLOOKUP(A65, AQ!$B$2:$F$500, 5, FALSE),"-")</f>
        <v>C. Ditolak</v>
      </c>
      <c r="G65" s="168">
        <f>IFERROR(VLOOKUP($A65,A.M!$C$3:$BC$500,53,0),"-")</f>
        <v>90</v>
      </c>
      <c r="H65" s="168" t="str">
        <f>IFERROR(VLOOKUP($A65,A.IL!$C$3:$BC$500,53,0),"-")</f>
        <v>-</v>
      </c>
      <c r="I65" s="168" t="str">
        <f>IFERROR(VLOOKUP($A65,A.S!$C$3:$BC$500,53,0),"-")</f>
        <v>-</v>
      </c>
      <c r="J65" s="168">
        <f>IFERROR(vlookup($A65,Kp!$C66:$JF$500,264,0),"-")</f>
        <v>1</v>
      </c>
      <c r="K65" s="168" t="str">
        <f>IFERROR(vlookup($A65,W.S!$D$2:$X$500,21,0),"-")</f>
        <v>Cukup Siap</v>
      </c>
      <c r="L65" s="168" t="str">
        <f>IFERROR(vlookup($A65,Ks!$C$2:$X$500,20,0),"-")</f>
        <v>Siap</v>
      </c>
      <c r="M65" s="168" t="str">
        <f>IFERROR(vlookup($A65,W.O!$E$2:$U$500,16,0),"-")</f>
        <v>Diterima</v>
      </c>
      <c r="N65" s="177"/>
      <c r="O65" s="179" t="s">
        <v>74</v>
      </c>
      <c r="Q65" s="168" t="str">
        <f t="shared" si="2"/>
        <v>C</v>
      </c>
      <c r="R65" s="168" t="str">
        <f t="shared" si="3"/>
        <v>A</v>
      </c>
      <c r="S65" s="168" t="str">
        <f t="shared" si="4"/>
        <v>A</v>
      </c>
      <c r="T65" s="168" t="str">
        <f t="shared" ref="T65:U65" si="67">IF(K65="Siap","A",IF(K65="Cukup Siap","B",IF(K65="Belum Siap","C","")))</f>
        <v>B</v>
      </c>
      <c r="U65" s="168" t="str">
        <f t="shared" si="67"/>
        <v>A</v>
      </c>
    </row>
    <row r="66">
      <c r="A66" s="167" t="str">
        <f>Kp!C68</f>
        <v>A250058</v>
      </c>
      <c r="B66" s="171" t="str">
        <f>Kp!B68</f>
        <v>Yahya Azka Ya'sub </v>
      </c>
      <c r="C66" s="5" t="str">
        <f>Kp!D68</f>
        <v>MTs Putra</v>
      </c>
      <c r="D66" s="168">
        <f>IFERROR(VLOOKUP(A66, AQ!$B$2:$E$500, 3, FALSE),"-")</f>
        <v>95</v>
      </c>
      <c r="E66" s="168">
        <f>IFERROR(VLOOKUP(A66, AQ!$B$2:$E$500, 4, FALSE),"-")</f>
        <v>93</v>
      </c>
      <c r="F66" s="168" t="str">
        <f>IFERROR(VLOOKUP(A66, AQ!$B$2:$F$500, 5, FALSE),"-")</f>
        <v>A. Diterima</v>
      </c>
      <c r="G66" s="168">
        <f>IFERROR(VLOOKUP($A66,A.M!$C$3:$BC$500,53,0),"-")</f>
        <v>70</v>
      </c>
      <c r="H66" s="168" t="str">
        <f>IFERROR(VLOOKUP($A66,A.IL!$C$3:$BC$500,53,0),"-")</f>
        <v>-</v>
      </c>
      <c r="I66" s="168" t="str">
        <f>IFERROR(VLOOKUP($A66,A.S!$C$3:$BC$500,53,0),"-")</f>
        <v>-</v>
      </c>
      <c r="J66" s="168">
        <f>IFERROR(vlookup($A66,Kp!$C67:$JF$500,264,0),"-")</f>
        <v>1</v>
      </c>
      <c r="K66" s="168" t="str">
        <f>IFERROR(vlookup($A66,W.S!$D$2:$X$500,21,0),"-")</f>
        <v>Siap</v>
      </c>
      <c r="L66" s="168" t="str">
        <f>IFERROR(vlookup($A66,Ks!$C$2:$X$500,20,0),"-")</f>
        <v>Siap</v>
      </c>
      <c r="M66" s="168" t="str">
        <f>IFERROR(vlookup($A66,W.O!$E$2:$U$500,16,0),"-")</f>
        <v>Diterima</v>
      </c>
      <c r="N66" s="177"/>
      <c r="O66" s="185" t="s">
        <v>73</v>
      </c>
      <c r="Q66" s="168" t="str">
        <f t="shared" si="2"/>
        <v>A</v>
      </c>
      <c r="R66" s="168" t="str">
        <f t="shared" si="3"/>
        <v>B</v>
      </c>
      <c r="S66" s="168" t="str">
        <f t="shared" si="4"/>
        <v>A</v>
      </c>
      <c r="T66" s="168" t="str">
        <f t="shared" ref="T66:U66" si="68">IF(K66="Siap","A",IF(K66="Cukup Siap","B",IF(K66="Belum Siap","C","")))</f>
        <v>A</v>
      </c>
      <c r="U66" s="168" t="str">
        <f t="shared" si="68"/>
        <v>A</v>
      </c>
    </row>
    <row r="67">
      <c r="A67" s="167" t="str">
        <f>Kp!C69</f>
        <v>A250071</v>
      </c>
      <c r="B67" s="175" t="str">
        <f>Kp!B69</f>
        <v>RUWAIFI</v>
      </c>
      <c r="C67" s="5" t="str">
        <f>Kp!D69</f>
        <v>MTs Putra</v>
      </c>
      <c r="D67" s="168">
        <f>IFERROR(VLOOKUP(A67, AQ!$B$2:$E$500, 3, FALSE),"-")</f>
        <v>75</v>
      </c>
      <c r="E67" s="168">
        <f>IFERROR(VLOOKUP(A67, AQ!$B$2:$E$500, 4, FALSE),"-")</f>
        <v>75</v>
      </c>
      <c r="F67" s="168" t="str">
        <f>IFERROR(VLOOKUP(A67, AQ!$B$2:$F$500, 5, FALSE),"-")</f>
        <v>B. Cadangan</v>
      </c>
      <c r="G67" s="168">
        <f>IFERROR(VLOOKUP($A67,A.M!$C$3:$BC$500,53,0),"-")</f>
        <v>55</v>
      </c>
      <c r="H67" s="168" t="str">
        <f>IFERROR(VLOOKUP($A67,A.IL!$C$3:$BC$500,53,0),"-")</f>
        <v>-</v>
      </c>
      <c r="I67" s="168" t="str">
        <f>IFERROR(VLOOKUP($A67,A.S!$C$3:$BC$500,53,0),"-")</f>
        <v>-</v>
      </c>
      <c r="J67" s="168">
        <f>IFERROR(vlookup($A67,Kp!$C68:$JF$500,264,0),"-")</f>
        <v>2</v>
      </c>
      <c r="K67" s="168" t="str">
        <f>IFERROR(vlookup($A67,W.S!$D$2:$X$500,21,0),"-")</f>
        <v>Cukup Siap</v>
      </c>
      <c r="L67" s="168" t="str">
        <f>IFERROR(vlookup($A67,Ks!$C$2:$X$500,20,0),"-")</f>
        <v>Siap</v>
      </c>
      <c r="M67" s="168" t="str">
        <f>IFERROR(vlookup($A67,W.O!$E$2:$U$500,16,0),"-")</f>
        <v>Diterima</v>
      </c>
      <c r="N67" s="177"/>
      <c r="O67" s="179" t="s">
        <v>74</v>
      </c>
      <c r="Q67" s="168" t="str">
        <f t="shared" si="2"/>
        <v>B</v>
      </c>
      <c r="R67" s="168" t="str">
        <f t="shared" si="3"/>
        <v>C</v>
      </c>
      <c r="S67" s="168" t="str">
        <f t="shared" si="4"/>
        <v>B</v>
      </c>
      <c r="T67" s="168" t="str">
        <f t="shared" ref="T67:U67" si="69">IF(K67="Siap","A",IF(K67="Cukup Siap","B",IF(K67="Belum Siap","C","")))</f>
        <v>B</v>
      </c>
      <c r="U67" s="168" t="str">
        <f t="shared" si="69"/>
        <v>A</v>
      </c>
    </row>
    <row r="68">
      <c r="A68" s="167" t="str">
        <f>Kp!C70</f>
        <v>A250019</v>
      </c>
      <c r="B68" s="171" t="str">
        <f>Kp!B70</f>
        <v>Fatih kenzie dzulian anado</v>
      </c>
      <c r="C68" s="5" t="str">
        <f>Kp!D70</f>
        <v>MTs Putra</v>
      </c>
      <c r="D68" s="168">
        <f>IFERROR(VLOOKUP(A68, AQ!$B$2:$E$500, 3, FALSE),"-")</f>
        <v>90</v>
      </c>
      <c r="E68" s="168">
        <f>IFERROR(VLOOKUP(A68, AQ!$B$2:$E$500, 4, FALSE),"-")</f>
        <v>90</v>
      </c>
      <c r="F68" s="168" t="str">
        <f>IFERROR(VLOOKUP(A68, AQ!$B$2:$F$500, 5, FALSE),"-")</f>
        <v>A. Diterima</v>
      </c>
      <c r="G68" s="168">
        <f>IFERROR(VLOOKUP($A68,A.M!$C$3:$BC$500,53,0),"-")</f>
        <v>80</v>
      </c>
      <c r="H68" s="168" t="str">
        <f>IFERROR(VLOOKUP($A68,A.IL!$C$3:$BC$500,53,0),"-")</f>
        <v>-</v>
      </c>
      <c r="I68" s="168" t="str">
        <f>IFERROR(VLOOKUP($A68,A.S!$C$3:$BC$500,53,0),"-")</f>
        <v>-</v>
      </c>
      <c r="J68" s="168">
        <f>IFERROR(vlookup($A68,Kp!$C69:$JF$500,264,0),"-")</f>
        <v>1</v>
      </c>
      <c r="K68" s="168" t="str">
        <f>IFERROR(vlookup($A68,W.S!$D$2:$X$500,21,0),"-")</f>
        <v>Cukup Siap</v>
      </c>
      <c r="L68" s="168" t="str">
        <f>IFERROR(vlookup($A68,Ks!$C$2:$X$500,20,0),"-")</f>
        <v>Siap</v>
      </c>
      <c r="M68" s="168" t="str">
        <f>IFERROR(vlookup($A68,W.O!$E$2:$U$500,16,0),"-")</f>
        <v>Diterima</v>
      </c>
      <c r="N68" s="177"/>
      <c r="O68" s="185" t="s">
        <v>73</v>
      </c>
      <c r="Q68" s="168" t="str">
        <f t="shared" si="2"/>
        <v>A</v>
      </c>
      <c r="R68" s="168" t="str">
        <f t="shared" si="3"/>
        <v>A</v>
      </c>
      <c r="S68" s="168" t="str">
        <f t="shared" si="4"/>
        <v>A</v>
      </c>
      <c r="T68" s="168" t="str">
        <f t="shared" ref="T68:U68" si="70">IF(K68="Siap","A",IF(K68="Cukup Siap","B",IF(K68="Belum Siap","C","")))</f>
        <v>B</v>
      </c>
      <c r="U68" s="168" t="str">
        <f t="shared" si="70"/>
        <v>A</v>
      </c>
    </row>
    <row r="69">
      <c r="A69" s="167" t="str">
        <f>Kp!C71</f>
        <v>B250004</v>
      </c>
      <c r="B69" s="171" t="str">
        <f>Kp!B71</f>
        <v>Hafizh Abdurrahman </v>
      </c>
      <c r="C69" s="5" t="str">
        <f>Kp!D71</f>
        <v>IL Putra</v>
      </c>
      <c r="D69" s="168">
        <f>IFERROR(VLOOKUP(A69, AQ!$B$2:$E$500, 3, FALSE),"-")</f>
        <v>75</v>
      </c>
      <c r="E69" s="168">
        <f>IFERROR(VLOOKUP(A69, AQ!$B$2:$E$500, 4, FALSE),"-")</f>
        <v>70</v>
      </c>
      <c r="F69" s="168" t="str">
        <f>IFERROR(VLOOKUP(A69, AQ!$B$2:$F$500, 5, FALSE),"-")</f>
        <v>C. Ditolak</v>
      </c>
      <c r="G69" s="168" t="str">
        <f>IFERROR(VLOOKUP($A69,A.M!$C$3:$BC$500,53,0),"-")</f>
        <v>-</v>
      </c>
      <c r="H69" s="168">
        <f>IFERROR(VLOOKUP($A69,A.IL!$C$3:$BC$500,53,0),"-")</f>
        <v>45</v>
      </c>
      <c r="I69" s="168" t="str">
        <f>IFERROR(VLOOKUP($A69,A.S!$C$3:$BC$500,53,0),"-")</f>
        <v>-</v>
      </c>
      <c r="J69" s="168">
        <f>IFERROR(vlookup($A69,Kp!$C70:$JF$500,264,0),"-")</f>
        <v>2</v>
      </c>
      <c r="K69" s="168" t="str">
        <f>IFERROR(vlookup($A69,W.S!$D$2:$X$500,21,0),"-")</f>
        <v>Siap</v>
      </c>
      <c r="L69" s="168" t="str">
        <f>IFERROR(vlookup($A69,Ks!$C$2:$X$500,20,0),"-")</f>
        <v>Siap</v>
      </c>
      <c r="M69" s="168" t="str">
        <f>IFERROR(vlookup($A69,W.O!$E$2:$U$500,16,0),"-")</f>
        <v>Diterima</v>
      </c>
      <c r="N69" s="177"/>
      <c r="O69" s="170" t="s">
        <v>71</v>
      </c>
      <c r="Q69" s="168" t="str">
        <f t="shared" si="2"/>
        <v>C</v>
      </c>
      <c r="R69" s="168" t="str">
        <f t="shared" si="3"/>
        <v>C</v>
      </c>
      <c r="S69" s="168" t="str">
        <f t="shared" si="4"/>
        <v>B</v>
      </c>
      <c r="T69" s="168" t="str">
        <f t="shared" ref="T69:U69" si="71">IF(K69="Siap","A",IF(K69="Cukup Siap","B",IF(K69="Belum Siap","C","")))</f>
        <v>A</v>
      </c>
      <c r="U69" s="168" t="str">
        <f t="shared" si="71"/>
        <v>A</v>
      </c>
    </row>
    <row r="70">
      <c r="A70" s="167" t="str">
        <f>Kp!C72</f>
        <v>D250022</v>
      </c>
      <c r="B70" s="171" t="str">
        <f>Kp!B72</f>
        <v>Hanifah azahra putri</v>
      </c>
      <c r="C70" s="5" t="str">
        <f>Kp!D72</f>
        <v>MTs Putri</v>
      </c>
      <c r="D70" s="168">
        <f>IFERROR(VLOOKUP(A70, AQ!$B$2:$E$500, 3, FALSE),"-")</f>
        <v>80</v>
      </c>
      <c r="E70" s="168">
        <f>IFERROR(VLOOKUP(A70, AQ!$B$2:$E$500, 4, FALSE),"-")</f>
        <v>75</v>
      </c>
      <c r="F70" s="168" t="str">
        <f>IFERROR(VLOOKUP(A70, AQ!$B$2:$F$500, 5, FALSE),"-")</f>
        <v>A. Diterima</v>
      </c>
      <c r="G70" s="168">
        <f>IFERROR(VLOOKUP($A70,A.M!$C$3:$BC$500,53,0),"-")</f>
        <v>80</v>
      </c>
      <c r="H70" s="168" t="str">
        <f>IFERROR(VLOOKUP($A70,A.IL!$C$3:$BC$500,53,0),"-")</f>
        <v>-</v>
      </c>
      <c r="I70" s="168" t="str">
        <f>IFERROR(VLOOKUP($A70,A.S!$C$3:$BC$500,53,0),"-")</f>
        <v>-</v>
      </c>
      <c r="J70" s="168">
        <f>IFERROR(vlookup($A70,Kp!$C71:$JF$500,264,0),"-")</f>
        <v>0</v>
      </c>
      <c r="K70" s="168" t="str">
        <f>IFERROR(vlookup($A70,W.S!$D$2:$X$500,21,0),"-")</f>
        <v>Siap</v>
      </c>
      <c r="L70" s="168" t="str">
        <f>IFERROR(vlookup($A70,Ks!$C$2:$X$500,20,0),"-")</f>
        <v>Siap</v>
      </c>
      <c r="M70" s="168" t="str">
        <f>IFERROR(vlookup($A70,W.O!$E$2:$U$500,16,0),"-")</f>
        <v>Diterima</v>
      </c>
      <c r="N70" s="177"/>
      <c r="O70" s="185" t="s">
        <v>73</v>
      </c>
      <c r="Q70" s="168" t="str">
        <f t="shared" si="2"/>
        <v>A</v>
      </c>
      <c r="R70" s="168" t="str">
        <f t="shared" si="3"/>
        <v>A</v>
      </c>
      <c r="S70" s="168" t="str">
        <f t="shared" si="4"/>
        <v>A</v>
      </c>
      <c r="T70" s="168" t="str">
        <f t="shared" ref="T70:U70" si="72">IF(K70="Siap","A",IF(K70="Cukup Siap","B",IF(K70="Belum Siap","C","")))</f>
        <v>A</v>
      </c>
      <c r="U70" s="168" t="str">
        <f t="shared" si="72"/>
        <v>A</v>
      </c>
    </row>
    <row r="71">
      <c r="A71" s="167" t="str">
        <f>Kp!C73</f>
        <v>C250019</v>
      </c>
      <c r="B71" s="180" t="str">
        <f>Kp!B73</f>
        <v>Muhammad Al Fathih</v>
      </c>
      <c r="C71" s="5" t="str">
        <f>Kp!D73</f>
        <v>SMA</v>
      </c>
      <c r="D71" s="168">
        <f>IFERROR(VLOOKUP(A71, AQ!$B$2:$E$500, 3, FALSE),"-")</f>
        <v>85</v>
      </c>
      <c r="E71" s="168">
        <f>IFERROR(VLOOKUP(A71, AQ!$B$2:$E$500, 4, FALSE),"-")</f>
        <v>90</v>
      </c>
      <c r="F71" s="168" t="str">
        <f>IFERROR(VLOOKUP(A71, AQ!$B$2:$F$500, 5, FALSE),"-")</f>
        <v>A. Diterima</v>
      </c>
      <c r="G71" s="168" t="str">
        <f>IFERROR(VLOOKUP($A71,A.M!$C$3:$BC$500,53,0),"-")</f>
        <v>-</v>
      </c>
      <c r="H71" s="168" t="str">
        <f>IFERROR(VLOOKUP($A71,A.IL!$C$3:$BC$500,53,0),"-")</f>
        <v>-</v>
      </c>
      <c r="I71" s="168">
        <f>IFERROR(VLOOKUP($A71,A.S!$C$3:$BC$500,53,0),"-")</f>
        <v>85</v>
      </c>
      <c r="J71" s="168">
        <f>IFERROR(vlookup($A71,Kp!$C72:$JF$500,264,0),"-")</f>
        <v>1</v>
      </c>
      <c r="K71" s="168" t="str">
        <f>IFERROR(vlookup($A71,W.S!$D$2:$X$500,21,0),"-")</f>
        <v>Siap</v>
      </c>
      <c r="L71" s="168" t="str">
        <f>IFERROR(vlookup($A71,Ks!$C$2:$X$500,20,0),"-")</f>
        <v>Siap</v>
      </c>
      <c r="M71" s="168" t="str">
        <f>IFERROR(vlookup($A71,W.O!$E$2:$U$500,16,0),"-")</f>
        <v>Diterima dengan catatan</v>
      </c>
      <c r="N71" s="177"/>
      <c r="O71" s="181" t="s">
        <v>76</v>
      </c>
      <c r="P71" s="182" t="s">
        <v>81</v>
      </c>
      <c r="Q71" s="168" t="str">
        <f t="shared" si="2"/>
        <v>A</v>
      </c>
      <c r="R71" s="168" t="str">
        <f t="shared" si="3"/>
        <v>A</v>
      </c>
      <c r="S71" s="168" t="str">
        <f t="shared" si="4"/>
        <v>A</v>
      </c>
      <c r="T71" s="168" t="str">
        <f t="shared" ref="T71:U71" si="73">IF(K71="Siap","A",IF(K71="Cukup Siap","B",IF(K71="Belum Siap","C","")))</f>
        <v>A</v>
      </c>
      <c r="U71" s="168" t="str">
        <f t="shared" si="73"/>
        <v>A</v>
      </c>
    </row>
    <row r="72">
      <c r="A72" s="167" t="str">
        <f>Kp!C74</f>
        <v>D250026</v>
      </c>
      <c r="B72" s="171" t="str">
        <f>Kp!B74</f>
        <v>Granada khansa el qibtiya</v>
      </c>
      <c r="C72" s="5" t="str">
        <f>Kp!D74</f>
        <v>MTs Putri</v>
      </c>
      <c r="D72" s="168">
        <f>IFERROR(VLOOKUP(A72, AQ!$B$2:$E$500, 3, FALSE),"-")</f>
        <v>80</v>
      </c>
      <c r="E72" s="168">
        <f>IFERROR(VLOOKUP(A72, AQ!$B$2:$E$500, 4, FALSE),"-")</f>
        <v>80</v>
      </c>
      <c r="F72" s="168" t="str">
        <f>IFERROR(VLOOKUP(A72, AQ!$B$2:$F$500, 5, FALSE),"-")</f>
        <v>A. Diterima</v>
      </c>
      <c r="G72" s="168">
        <f>IFERROR(VLOOKUP($A72,A.M!$C$3:$BC$500,53,0),"-")</f>
        <v>95</v>
      </c>
      <c r="H72" s="168" t="str">
        <f>IFERROR(VLOOKUP($A72,A.IL!$C$3:$BC$500,53,0),"-")</f>
        <v>-</v>
      </c>
      <c r="I72" s="168" t="str">
        <f>IFERROR(VLOOKUP($A72,A.S!$C$3:$BC$500,53,0),"-")</f>
        <v>-</v>
      </c>
      <c r="J72" s="168">
        <f>IFERROR(vlookup($A72,Kp!$C73:$JF$500,264,0),"-")</f>
        <v>0</v>
      </c>
      <c r="K72" s="168" t="str">
        <f>IFERROR(vlookup($A72,W.S!$D$2:$X$500,21,0),"-")</f>
        <v>Siap</v>
      </c>
      <c r="L72" s="168" t="str">
        <f>IFERROR(vlookup($A72,Ks!$C$2:$X$500,20,0),"-")</f>
        <v>Siap</v>
      </c>
      <c r="M72" s="168" t="str">
        <f>M73</f>
        <v>Diterima</v>
      </c>
      <c r="N72" s="177"/>
      <c r="O72" s="185" t="s">
        <v>73</v>
      </c>
      <c r="Q72" s="168" t="str">
        <f t="shared" si="2"/>
        <v>A</v>
      </c>
      <c r="R72" s="168" t="str">
        <f t="shared" si="3"/>
        <v>A</v>
      </c>
      <c r="S72" s="168" t="str">
        <f t="shared" si="4"/>
        <v>A</v>
      </c>
      <c r="T72" s="168" t="str">
        <f t="shared" ref="T72:U72" si="74">IF(K72="Siap","A",IF(K72="Cukup Siap","B",IF(K72="Belum Siap","C","")))</f>
        <v>A</v>
      </c>
      <c r="U72" s="168" t="str">
        <f t="shared" si="74"/>
        <v>A</v>
      </c>
    </row>
    <row r="73">
      <c r="A73" s="167" t="str">
        <f>Kp!C75</f>
        <v>A250032</v>
      </c>
      <c r="B73" s="171" t="str">
        <f>Kp!B75</f>
        <v>Artka hasbina azhuary</v>
      </c>
      <c r="C73" s="5" t="str">
        <f>Kp!D75</f>
        <v>MTs Putra</v>
      </c>
      <c r="D73" s="168">
        <f>IFERROR(VLOOKUP(A73, AQ!$B$2:$E$500, 3, FALSE),"-")</f>
        <v>90</v>
      </c>
      <c r="E73" s="168">
        <f>IFERROR(VLOOKUP(A73, AQ!$B$2:$E$500, 4, FALSE),"-")</f>
        <v>87</v>
      </c>
      <c r="F73" s="168" t="str">
        <f>IFERROR(VLOOKUP(A73, AQ!$B$2:$F$500, 5, FALSE),"-")</f>
        <v>A. Diterima</v>
      </c>
      <c r="G73" s="168">
        <f>IFERROR(VLOOKUP($A73,A.M!$C$3:$BC$500,53,0),"-")</f>
        <v>55</v>
      </c>
      <c r="H73" s="168" t="str">
        <f>IFERROR(VLOOKUP($A73,A.IL!$C$3:$BC$500,53,0),"-")</f>
        <v>-</v>
      </c>
      <c r="I73" s="168" t="str">
        <f>IFERROR(VLOOKUP($A73,A.S!$C$3:$BC$500,53,0),"-")</f>
        <v>-</v>
      </c>
      <c r="J73" s="168">
        <f>IFERROR(vlookup($A73,Kp!$C74:$JF$500,264,0),"-")</f>
        <v>0</v>
      </c>
      <c r="K73" s="168" t="str">
        <f>IFERROR(vlookup($A73,W.S!$D$2:$X$500,21,0),"-")</f>
        <v>Siap</v>
      </c>
      <c r="L73" s="168" t="str">
        <f>IFERROR(vlookup($A73,Ks!$C$2:$X$500,20,0),"-")</f>
        <v>Siap</v>
      </c>
      <c r="M73" s="168" t="str">
        <f>IFERROR(vlookup($A73,W.O!$E$2:$U$500,16,0),"-")</f>
        <v>Diterima</v>
      </c>
      <c r="N73" s="177"/>
      <c r="O73" s="185" t="s">
        <v>73</v>
      </c>
      <c r="Q73" s="168" t="str">
        <f t="shared" si="2"/>
        <v>A</v>
      </c>
      <c r="R73" s="168" t="str">
        <f t="shared" si="3"/>
        <v>C</v>
      </c>
      <c r="S73" s="168" t="str">
        <f t="shared" si="4"/>
        <v>A</v>
      </c>
      <c r="T73" s="168" t="str">
        <f t="shared" ref="T73:U73" si="75">IF(K73="Siap","A",IF(K73="Cukup Siap","B",IF(K73="Belum Siap","C","")))</f>
        <v>A</v>
      </c>
      <c r="U73" s="168" t="str">
        <f t="shared" si="75"/>
        <v>A</v>
      </c>
    </row>
    <row r="74">
      <c r="A74" s="167" t="str">
        <f>Kp!C76</f>
        <v>A250045</v>
      </c>
      <c r="B74" s="171" t="str">
        <f>Kp!B76</f>
        <v>Suhail Aiman</v>
      </c>
      <c r="C74" s="5" t="str">
        <f>Kp!D76</f>
        <v>MTs Putra</v>
      </c>
      <c r="D74" s="168">
        <f>IFERROR(VLOOKUP(A74, AQ!$B$2:$E$500, 3, FALSE),"-")</f>
        <v>83</v>
      </c>
      <c r="E74" s="168">
        <f>IFERROR(VLOOKUP(A74, AQ!$B$2:$E$500, 4, FALSE),"-")</f>
        <v>85</v>
      </c>
      <c r="F74" s="168" t="str">
        <f>IFERROR(VLOOKUP(A74, AQ!$B$2:$F$500, 5, FALSE),"-")</f>
        <v>A. Diterima</v>
      </c>
      <c r="G74" s="168">
        <f>IFERROR(VLOOKUP($A74,A.M!$C$3:$BC$500,53,0),"-")</f>
        <v>90</v>
      </c>
      <c r="H74" s="168" t="str">
        <f>IFERROR(VLOOKUP($A74,A.IL!$C$3:$BC$500,53,0),"-")</f>
        <v>-</v>
      </c>
      <c r="I74" s="168" t="str">
        <f>IFERROR(VLOOKUP($A74,A.S!$C$3:$BC$500,53,0),"-")</f>
        <v>-</v>
      </c>
      <c r="J74" s="168">
        <f>IFERROR(vlookup($A74,Kp!$C75:$JF$500,264,0),"-")</f>
        <v>1</v>
      </c>
      <c r="K74" s="168" t="str">
        <f>IFERROR(vlookup($A74,W.S!$D$2:$X$500,21,0),"-")</f>
        <v>Siap</v>
      </c>
      <c r="L74" s="168" t="str">
        <f>IFERROR(vlookup($A74,Ks!$C$2:$X$500,20,0),"-")</f>
        <v>Siap</v>
      </c>
      <c r="M74" s="168" t="str">
        <f>M73</f>
        <v>Diterima</v>
      </c>
      <c r="N74" s="177"/>
      <c r="O74" s="185" t="s">
        <v>73</v>
      </c>
      <c r="Q74" s="168" t="str">
        <f t="shared" si="2"/>
        <v>A</v>
      </c>
      <c r="R74" s="168" t="str">
        <f t="shared" si="3"/>
        <v>A</v>
      </c>
      <c r="S74" s="168" t="str">
        <f t="shared" si="4"/>
        <v>A</v>
      </c>
      <c r="T74" s="168" t="str">
        <f t="shared" ref="T74:U74" si="76">IF(K74="Siap","A",IF(K74="Cukup Siap","B",IF(K74="Belum Siap","C","")))</f>
        <v>A</v>
      </c>
      <c r="U74" s="168" t="str">
        <f t="shared" si="76"/>
        <v>A</v>
      </c>
    </row>
    <row r="75">
      <c r="A75" s="167" t="str">
        <f>Kp!C77</f>
        <v>A250011</v>
      </c>
      <c r="B75" s="175" t="str">
        <f>Kp!B77</f>
        <v>Fathi Fahlevi Fahmi</v>
      </c>
      <c r="C75" s="5" t="str">
        <f>Kp!D77</f>
        <v>MTs Putra</v>
      </c>
      <c r="D75" s="168">
        <f>IFERROR(VLOOKUP(A75, AQ!$B$2:$E$500, 3, FALSE),"-")</f>
        <v>65</v>
      </c>
      <c r="E75" s="168">
        <f>IFERROR(VLOOKUP(A75, AQ!$B$2:$E$500, 4, FALSE),"-")</f>
        <v>63</v>
      </c>
      <c r="F75" s="168" t="str">
        <f>IFERROR(VLOOKUP(A75, AQ!$B$2:$F$500, 5, FALSE),"-")</f>
        <v>C. Ditolak</v>
      </c>
      <c r="G75" s="168">
        <f>IFERROR(VLOOKUP($A75,A.M!$C$3:$BC$500,53,0),"-")</f>
        <v>80</v>
      </c>
      <c r="H75" s="168" t="str">
        <f>IFERROR(VLOOKUP($A75,A.IL!$C$3:$BC$500,53,0),"-")</f>
        <v>-</v>
      </c>
      <c r="I75" s="168" t="str">
        <f>IFERROR(VLOOKUP($A75,A.S!$C$3:$BC$500,53,0),"-")</f>
        <v>-</v>
      </c>
      <c r="J75" s="168">
        <f>IFERROR(vlookup($A75,Kp!$C76:$JF$500,264,0),"-")</f>
        <v>1</v>
      </c>
      <c r="K75" s="168" t="str">
        <f>IFERROR(vlookup($A75,W.S!$D$2:$X$500,21,0),"-")</f>
        <v>Siap</v>
      </c>
      <c r="L75" s="168" t="str">
        <f>IFERROR(vlookup($A75,Ks!$C$2:$X$500,20,0),"-")</f>
        <v>Siap</v>
      </c>
      <c r="M75" s="168" t="str">
        <f>IFERROR(vlookup($A75,W.O!$E$2:$U$500,16,0),"-")</f>
        <v>Diterima</v>
      </c>
      <c r="N75" s="177"/>
      <c r="O75" s="179" t="s">
        <v>74</v>
      </c>
      <c r="Q75" s="168" t="str">
        <f t="shared" si="2"/>
        <v>C</v>
      </c>
      <c r="R75" s="168" t="str">
        <f t="shared" si="3"/>
        <v>A</v>
      </c>
      <c r="S75" s="168" t="str">
        <f t="shared" si="4"/>
        <v>A</v>
      </c>
      <c r="T75" s="168" t="str">
        <f t="shared" ref="T75:U75" si="77">IF(K75="Siap","A",IF(K75="Cukup Siap","B",IF(K75="Belum Siap","C","")))</f>
        <v>A</v>
      </c>
      <c r="U75" s="168" t="str">
        <f t="shared" si="77"/>
        <v>A</v>
      </c>
    </row>
    <row r="76">
      <c r="A76" s="167" t="str">
        <f>Kp!C78</f>
        <v>B250017</v>
      </c>
      <c r="B76" s="11" t="str">
        <f>Kp!B78</f>
        <v>Angga saputra</v>
      </c>
      <c r="C76" s="5" t="str">
        <f>Kp!D78</f>
        <v>IL Putra</v>
      </c>
      <c r="D76" s="168">
        <f>IFERROR(VLOOKUP(A76, AQ!$B$2:$E$500, 3, FALSE),"-")</f>
        <v>55</v>
      </c>
      <c r="E76" s="168">
        <f>IFERROR(VLOOKUP(A76, AQ!$B$2:$E$500, 4, FALSE),"-")</f>
        <v>50</v>
      </c>
      <c r="F76" s="168" t="str">
        <f>IFERROR(VLOOKUP(A76, AQ!$B$2:$F$500, 5, FALSE),"-")</f>
        <v>C. Ditolak</v>
      </c>
      <c r="G76" s="168" t="str">
        <f>IFERROR(VLOOKUP($A76,A.M!$C$3:$BC$500,53,0),"-")</f>
        <v>-</v>
      </c>
      <c r="H76" s="168">
        <f>IFERROR(VLOOKUP($A76,A.IL!$C$3:$BC$500,53,0),"-")</f>
        <v>25</v>
      </c>
      <c r="I76" s="168" t="str">
        <f>IFERROR(VLOOKUP($A76,A.S!$C$3:$BC$500,53,0),"-")</f>
        <v>-</v>
      </c>
      <c r="J76" s="168">
        <f>IFERROR(vlookup($A76,Kp!$C77:$JF$500,264,0),"-")</f>
        <v>3</v>
      </c>
      <c r="K76" s="168" t="str">
        <f>IFERROR(vlookup($A76,W.S!$D$2:$X$500,21,0),"-")</f>
        <v>Siap</v>
      </c>
      <c r="L76" s="168" t="str">
        <f>IFERROR(vlookup($A76,Ks!$C$2:$X$500,20,0),"-")</f>
        <v>Siap</v>
      </c>
      <c r="M76" s="168" t="str">
        <f>IFERROR(vlookup($A76,W.O!$E$2:$U$500,16,0),"-")</f>
        <v>Diterima</v>
      </c>
      <c r="N76" s="177"/>
      <c r="O76" s="170" t="s">
        <v>71</v>
      </c>
      <c r="Q76" s="168" t="str">
        <f t="shared" si="2"/>
        <v>C</v>
      </c>
      <c r="R76" s="168" t="str">
        <f t="shared" si="3"/>
        <v>C</v>
      </c>
      <c r="S76" s="168" t="str">
        <f t="shared" si="4"/>
        <v>C</v>
      </c>
      <c r="T76" s="168" t="str">
        <f t="shared" ref="T76:U76" si="78">IF(K76="Siap","A",IF(K76="Cukup Siap","B",IF(K76="Belum Siap","C","")))</f>
        <v>A</v>
      </c>
      <c r="U76" s="168" t="str">
        <f t="shared" si="78"/>
        <v>A</v>
      </c>
    </row>
    <row r="77">
      <c r="A77" s="167" t="str">
        <f>Kp!C79</f>
        <v>A250021</v>
      </c>
      <c r="B77" s="175" t="str">
        <f>Kp!B79</f>
        <v>Malka Firdaus Syarif </v>
      </c>
      <c r="C77" s="5" t="str">
        <f>Kp!D79</f>
        <v>MTs Putra</v>
      </c>
      <c r="D77" s="168">
        <f>IFERROR(VLOOKUP(A77, AQ!$B$2:$E$500, 3, FALSE),"-")</f>
        <v>75</v>
      </c>
      <c r="E77" s="168">
        <f>IFERROR(VLOOKUP(A77, AQ!$B$2:$E$500, 4, FALSE),"-")</f>
        <v>73</v>
      </c>
      <c r="F77" s="168" t="str">
        <f>IFERROR(VLOOKUP(A77, AQ!$B$2:$F$500, 5, FALSE),"-")</f>
        <v>B. Cadangan</v>
      </c>
      <c r="G77" s="168">
        <f>IFERROR(VLOOKUP($A77,A.M!$C$3:$BC$500,53,0),"-")</f>
        <v>65</v>
      </c>
      <c r="H77" s="168" t="str">
        <f>IFERROR(VLOOKUP($A77,A.IL!$C$3:$BC$500,53,0),"-")</f>
        <v>-</v>
      </c>
      <c r="I77" s="168" t="str">
        <f>IFERROR(VLOOKUP($A77,A.S!$C$3:$BC$500,53,0),"-")</f>
        <v>-</v>
      </c>
      <c r="J77" s="168">
        <f>IFERROR(vlookup($A77,Kp!$C78:$JF$500,264,0),"-")</f>
        <v>1</v>
      </c>
      <c r="K77" s="168" t="str">
        <f>IFERROR(vlookup($A77,W.S!$D$2:$X$500,21,0),"-")</f>
        <v>Cukup Siap</v>
      </c>
      <c r="L77" s="168" t="str">
        <f>IFERROR(vlookup($A77,Ks!$C$2:$X$500,20,0),"-")</f>
        <v>Siap</v>
      </c>
      <c r="M77" s="168" t="str">
        <f>IFERROR(vlookup($A77,W.O!$E$2:$U$500,16,0),"-")</f>
        <v>Diterima</v>
      </c>
      <c r="N77" s="177"/>
      <c r="O77" s="179" t="s">
        <v>74</v>
      </c>
      <c r="Q77" s="168" t="str">
        <f t="shared" si="2"/>
        <v>B</v>
      </c>
      <c r="R77" s="168" t="str">
        <f t="shared" si="3"/>
        <v>B</v>
      </c>
      <c r="S77" s="168" t="str">
        <f t="shared" si="4"/>
        <v>A</v>
      </c>
      <c r="T77" s="168" t="str">
        <f t="shared" ref="T77:U77" si="79">IF(K77="Siap","A",IF(K77="Cukup Siap","B",IF(K77="Belum Siap","C","")))</f>
        <v>B</v>
      </c>
      <c r="U77" s="168" t="str">
        <f t="shared" si="79"/>
        <v>A</v>
      </c>
    </row>
    <row r="78">
      <c r="A78" s="167" t="str">
        <f>Kp!C80</f>
        <v>A250062</v>
      </c>
      <c r="B78" s="11" t="str">
        <f>Kp!B80</f>
        <v>Muhamad Hamudi alfariji</v>
      </c>
      <c r="C78" s="5" t="str">
        <f>Kp!D80</f>
        <v>MTs Putra</v>
      </c>
      <c r="D78" s="168">
        <f>IFERROR(VLOOKUP(A78, AQ!$B$2:$E$500, 3, FALSE),"-")</f>
        <v>80</v>
      </c>
      <c r="E78" s="168">
        <f>IFERROR(VLOOKUP(A78, AQ!$B$2:$E$500, 4, FALSE),"-")</f>
        <v>85</v>
      </c>
      <c r="F78" s="168" t="str">
        <f>IFERROR(VLOOKUP(A78, AQ!$B$2:$F$500, 5, FALSE),"-")</f>
        <v>B. Cadangan</v>
      </c>
      <c r="G78" s="168">
        <f>IFERROR(VLOOKUP($A78,A.M!$C$3:$BC$500,53,0),"-")</f>
        <v>55</v>
      </c>
      <c r="H78" s="168" t="str">
        <f>IFERROR(VLOOKUP($A78,A.IL!$C$3:$BC$500,53,0),"-")</f>
        <v>-</v>
      </c>
      <c r="I78" s="168" t="str">
        <f>IFERROR(VLOOKUP($A78,A.S!$C$3:$BC$500,53,0),"-")</f>
        <v>-</v>
      </c>
      <c r="J78" s="168">
        <f>IFERROR(vlookup($A78,Kp!$C79:$JF$500,264,0),"-")</f>
        <v>0</v>
      </c>
      <c r="K78" s="168" t="str">
        <f>IFERROR(vlookup($A78,W.S!$D$2:$X$500,21,0),"-")</f>
        <v>Siap</v>
      </c>
      <c r="L78" s="168" t="str">
        <f>IFERROR(vlookup($A78,Ks!$C$2:$X$500,20,0),"-")</f>
        <v>Siap</v>
      </c>
      <c r="M78" s="168" t="str">
        <f>IFERROR(vlookup($A78,W.O!$E$2:$U$500,16,0),"-")</f>
        <v>Diterima</v>
      </c>
      <c r="N78" s="177"/>
      <c r="O78" s="170" t="s">
        <v>71</v>
      </c>
      <c r="Q78" s="168" t="str">
        <f t="shared" si="2"/>
        <v>B</v>
      </c>
      <c r="R78" s="168" t="str">
        <f t="shared" si="3"/>
        <v>C</v>
      </c>
      <c r="S78" s="168" t="str">
        <f t="shared" si="4"/>
        <v>A</v>
      </c>
      <c r="T78" s="168" t="str">
        <f t="shared" ref="T78:U78" si="80">IF(K78="Siap","A",IF(K78="Cukup Siap","B",IF(K78="Belum Siap","C","")))</f>
        <v>A</v>
      </c>
      <c r="U78" s="168" t="str">
        <f t="shared" si="80"/>
        <v>A</v>
      </c>
    </row>
    <row r="79">
      <c r="A79" s="167" t="str">
        <f>Kp!C81</f>
        <v>B250001</v>
      </c>
      <c r="B79" s="175" t="str">
        <f>Kp!B81</f>
        <v>Donli Caesar Norton</v>
      </c>
      <c r="C79" s="5" t="str">
        <f>Kp!D81</f>
        <v>IL Putra</v>
      </c>
      <c r="D79" s="168">
        <f>IFERROR(VLOOKUP(A79, AQ!$B$2:$E$500, 3, FALSE),"-")</f>
        <v>75</v>
      </c>
      <c r="E79" s="168">
        <f>IFERROR(VLOOKUP(A79, AQ!$B$2:$E$500, 4, FALSE),"-")</f>
        <v>70</v>
      </c>
      <c r="F79" s="168" t="str">
        <f>IFERROR(VLOOKUP(A79, AQ!$B$2:$F$500, 5, FALSE),"-")</f>
        <v>B. Cadangan</v>
      </c>
      <c r="G79" s="168" t="str">
        <f>IFERROR(VLOOKUP($A79,A.M!$C$3:$BC$500,53,0),"-")</f>
        <v>-</v>
      </c>
      <c r="H79" s="168">
        <f>IFERROR(VLOOKUP($A79,A.IL!$C$3:$BC$500,53,0),"-")</f>
        <v>55</v>
      </c>
      <c r="I79" s="168" t="str">
        <f>IFERROR(VLOOKUP($A79,A.S!$C$3:$BC$500,53,0),"-")</f>
        <v>-</v>
      </c>
      <c r="J79" s="168">
        <f>IFERROR(vlookup($A79,Kp!$C80:$JF$500,264,0),"-")</f>
        <v>1</v>
      </c>
      <c r="K79" s="168" t="str">
        <f>IFERROR(vlookup($A79,W.S!$D$2:$X$500,21,0),"-")</f>
        <v>Siap</v>
      </c>
      <c r="L79" s="168" t="str">
        <f>IFERROR(vlookup($A79,Ks!$C$2:$X$500,20,0),"-")</f>
        <v>Siap</v>
      </c>
      <c r="M79" s="168" t="str">
        <f>IFERROR(vlookup($A79,W.O!$E$2:$U$500,16,0),"-")</f>
        <v>Diterima dengan catatan</v>
      </c>
      <c r="N79" s="177"/>
      <c r="O79" s="179" t="s">
        <v>74</v>
      </c>
      <c r="Q79" s="168" t="str">
        <f t="shared" si="2"/>
        <v>B</v>
      </c>
      <c r="R79" s="168" t="str">
        <f t="shared" si="3"/>
        <v>C</v>
      </c>
      <c r="S79" s="168" t="str">
        <f t="shared" si="4"/>
        <v>A</v>
      </c>
      <c r="T79" s="168" t="str">
        <f t="shared" ref="T79:U79" si="81">IF(K79="Siap","A",IF(K79="Cukup Siap","B",IF(K79="Belum Siap","C","")))</f>
        <v>A</v>
      </c>
      <c r="U79" s="168" t="str">
        <f t="shared" si="81"/>
        <v>A</v>
      </c>
    </row>
    <row r="80">
      <c r="A80" s="167" t="str">
        <f>Kp!C82</f>
        <v>A250002</v>
      </c>
      <c r="B80" s="171" t="str">
        <f>Kp!B82</f>
        <v>Umar fawwaz</v>
      </c>
      <c r="C80" s="5" t="str">
        <f>Kp!D82</f>
        <v>MTs Putra</v>
      </c>
      <c r="D80" s="168">
        <f>IFERROR(VLOOKUP(A80, AQ!$B$2:$E$500, 3, FALSE),"-")</f>
        <v>95</v>
      </c>
      <c r="E80" s="168">
        <f>IFERROR(VLOOKUP(A80, AQ!$B$2:$E$500, 4, FALSE),"-")</f>
        <v>95</v>
      </c>
      <c r="F80" s="168" t="str">
        <f>IFERROR(VLOOKUP(A80, AQ!$B$2:$F$500, 5, FALSE),"-")</f>
        <v>A. Diterima</v>
      </c>
      <c r="G80" s="168">
        <f>IFERROR(VLOOKUP($A80,A.M!$C$3:$BC$500,53,0),"-")</f>
        <v>90</v>
      </c>
      <c r="H80" s="168" t="str">
        <f>IFERROR(VLOOKUP($A80,A.IL!$C$3:$BC$500,53,0),"-")</f>
        <v>-</v>
      </c>
      <c r="I80" s="168" t="str">
        <f>IFERROR(VLOOKUP($A80,A.S!$C$3:$BC$500,53,0),"-")</f>
        <v>-</v>
      </c>
      <c r="J80" s="168">
        <f>IFERROR(vlookup($A80,Kp!$C81:$JF$500,264,0),"-")</f>
        <v>1</v>
      </c>
      <c r="K80" s="168" t="str">
        <f>IFERROR(vlookup($A80,W.S!$D$2:$X$500,21,0),"-")</f>
        <v>Siap</v>
      </c>
      <c r="L80" s="168" t="str">
        <f>IFERROR(vlookup($A80,Ks!$C$2:$X$500,20,0),"-")</f>
        <v>Siap</v>
      </c>
      <c r="M80" s="168" t="str">
        <f>IFERROR(vlookup($A80,W.O!$E$2:$U$500,16,0),"-")</f>
        <v>Diterima</v>
      </c>
      <c r="N80" s="177"/>
      <c r="O80" s="185" t="s">
        <v>73</v>
      </c>
      <c r="Q80" s="168" t="str">
        <f t="shared" si="2"/>
        <v>A</v>
      </c>
      <c r="R80" s="168" t="str">
        <f t="shared" si="3"/>
        <v>A</v>
      </c>
      <c r="S80" s="168" t="str">
        <f t="shared" si="4"/>
        <v>A</v>
      </c>
      <c r="T80" s="168" t="str">
        <f t="shared" ref="T80:U80" si="82">IF(K80="Siap","A",IF(K80="Cukup Siap","B",IF(K80="Belum Siap","C","")))</f>
        <v>A</v>
      </c>
      <c r="U80" s="168" t="str">
        <f t="shared" si="82"/>
        <v>A</v>
      </c>
    </row>
    <row r="81">
      <c r="A81" s="170" t="str">
        <f>Kp!C83</f>
        <v>B250022</v>
      </c>
      <c r="B81" s="11" t="str">
        <f>Kp!B83</f>
        <v>Ahmad Al Ghifary </v>
      </c>
      <c r="C81" s="11" t="str">
        <f>Kp!D83</f>
        <v>SMA</v>
      </c>
      <c r="D81" s="187" t="str">
        <f>IFERROR(VLOOKUP(A81, AQ!$B$2:$E$500, 3, FALSE),"-")</f>
        <v>-</v>
      </c>
      <c r="E81" s="187" t="str">
        <f>IFERROR(VLOOKUP(A81, AQ!$B$2:$E$500, 4, FALSE),"-")</f>
        <v>-</v>
      </c>
      <c r="F81" s="187" t="str">
        <f>IFERROR(VLOOKUP(A81, AQ!$B$2:$F$500, 5, FALSE),"-")</f>
        <v>-</v>
      </c>
      <c r="G81" s="187" t="str">
        <f>IFERROR(VLOOKUP($A81,A.M!$C$3:$BC$500,53,0),"-")</f>
        <v>-</v>
      </c>
      <c r="H81" s="187" t="str">
        <f>IFERROR(VLOOKUP($A81,A.IL!$C$3:$BC$500,53,0),"-")</f>
        <v>-</v>
      </c>
      <c r="I81" s="187" t="str">
        <f>IFERROR(VLOOKUP($A81,A.S!$C$3:$BC$500,53,0),"-")</f>
        <v>-</v>
      </c>
      <c r="J81" s="187">
        <f>IFERROR(vlookup($A81,Kp!$C82:$JF$500,264,0),"-")</f>
        <v>1</v>
      </c>
      <c r="K81" s="187" t="str">
        <f>IFERROR(vlookup($A81,W.S!$D$2:$X$500,21,0),"-")</f>
        <v>-</v>
      </c>
      <c r="L81" s="187" t="str">
        <f>IFERROR(vlookup($A81,Ks!$C$2:$X$500,20,0),"-")</f>
        <v>Siap</v>
      </c>
      <c r="M81" s="187" t="str">
        <f>IFERROR(vlookup($A81,W.O!$E$2:$U$500,16,0),"-")</f>
        <v>Diterima</v>
      </c>
      <c r="N81" s="188"/>
      <c r="O81" s="184" t="s">
        <v>82</v>
      </c>
      <c r="P81" s="9"/>
      <c r="Q81" s="187" t="str">
        <f t="shared" si="2"/>
        <v/>
      </c>
      <c r="R81" s="187" t="str">
        <f t="shared" si="3"/>
        <v>C</v>
      </c>
      <c r="S81" s="187" t="str">
        <f t="shared" si="4"/>
        <v>A</v>
      </c>
      <c r="T81" s="187" t="str">
        <f t="shared" ref="T81:U81" si="83">IF(K81="Siap","A",IF(K81="Cukup Siap","B",IF(K81="Belum Siap","C","")))</f>
        <v/>
      </c>
      <c r="U81" s="187" t="str">
        <f t="shared" si="83"/>
        <v>A</v>
      </c>
      <c r="V81" s="9"/>
    </row>
    <row r="82">
      <c r="A82" s="167" t="str">
        <f>Kp!C84</f>
        <v>A250027</v>
      </c>
      <c r="B82" s="175" t="str">
        <f>Kp!B84</f>
        <v>Umar</v>
      </c>
      <c r="C82" s="5" t="str">
        <f>Kp!D84</f>
        <v>MTs Putra</v>
      </c>
      <c r="D82" s="168">
        <f>IFERROR(VLOOKUP(A82, AQ!$B$2:$E$500, 3, FALSE),"-")</f>
        <v>75</v>
      </c>
      <c r="E82" s="168">
        <f>IFERROR(VLOOKUP(A82, AQ!$B$2:$E$500, 4, FALSE),"-")</f>
        <v>75</v>
      </c>
      <c r="F82" s="168" t="str">
        <f>IFERROR(VLOOKUP(A82, AQ!$B$2:$F$500, 5, FALSE),"-")</f>
        <v>B. Cadangan</v>
      </c>
      <c r="G82" s="168">
        <f>IFERROR(VLOOKUP($A82,A.M!$C$3:$BC$500,53,0),"-")</f>
        <v>85</v>
      </c>
      <c r="H82" s="168" t="str">
        <f>IFERROR(VLOOKUP($A82,A.IL!$C$3:$BC$500,53,0),"-")</f>
        <v>-</v>
      </c>
      <c r="I82" s="168" t="str">
        <f>IFERROR(VLOOKUP($A82,A.S!$C$3:$BC$500,53,0),"-")</f>
        <v>-</v>
      </c>
      <c r="J82" s="168">
        <f>IFERROR(vlookup($A82,Kp!$C83:$JF$500,264,0),"-")</f>
        <v>4</v>
      </c>
      <c r="K82" s="168" t="str">
        <f>IFERROR(vlookup($A82,W.S!$D$2:$X$500,21,0),"-")</f>
        <v>Siap</v>
      </c>
      <c r="L82" s="168" t="str">
        <f>IFERROR(vlookup($A82,Ks!$C$2:$X$500,20,0),"-")</f>
        <v>Siap</v>
      </c>
      <c r="M82" s="168" t="str">
        <f>IFERROR(vlookup($A82,W.O!$E$2:$U$500,16,0),"-")</f>
        <v>Diterima</v>
      </c>
      <c r="N82" s="169" t="s">
        <v>83</v>
      </c>
      <c r="O82" s="179" t="s">
        <v>74</v>
      </c>
      <c r="Q82" s="168" t="str">
        <f t="shared" si="2"/>
        <v>B</v>
      </c>
      <c r="R82" s="168" t="str">
        <f t="shared" si="3"/>
        <v>A</v>
      </c>
      <c r="S82" s="168" t="str">
        <f t="shared" si="4"/>
        <v>C</v>
      </c>
      <c r="T82" s="168" t="str">
        <f t="shared" ref="T82:U82" si="84">IF(K82="Siap","A",IF(K82="Cukup Siap","B",IF(K82="Belum Siap","C","")))</f>
        <v>A</v>
      </c>
      <c r="U82" s="168" t="str">
        <f t="shared" si="84"/>
        <v>A</v>
      </c>
    </row>
    <row r="83">
      <c r="A83" s="167" t="str">
        <f>Kp!C85</f>
        <v>A250031</v>
      </c>
      <c r="B83" s="171" t="str">
        <f>Kp!B85</f>
        <v>FATAN IHYA AS-SUNNAH</v>
      </c>
      <c r="C83" s="5" t="str">
        <f>Kp!D85</f>
        <v>MTs Putra</v>
      </c>
      <c r="D83" s="168">
        <f>IFERROR(VLOOKUP(A83, AQ!$B$2:$E$500, 3, FALSE),"-")</f>
        <v>82</v>
      </c>
      <c r="E83" s="168">
        <f>IFERROR(VLOOKUP(A83, AQ!$B$2:$E$500, 4, FALSE),"-")</f>
        <v>80</v>
      </c>
      <c r="F83" s="168" t="str">
        <f>IFERROR(VLOOKUP(A83, AQ!$B$2:$F$500, 5, FALSE),"-")</f>
        <v>A. Diterima</v>
      </c>
      <c r="G83" s="168">
        <f>IFERROR(VLOOKUP($A83,A.M!$C$3:$BC$500,53,0),"-")</f>
        <v>55</v>
      </c>
      <c r="H83" s="168" t="str">
        <f>IFERROR(VLOOKUP($A83,A.IL!$C$3:$BC$500,53,0),"-")</f>
        <v>-</v>
      </c>
      <c r="I83" s="168" t="str">
        <f>IFERROR(VLOOKUP($A83,A.S!$C$3:$BC$500,53,0),"-")</f>
        <v>-</v>
      </c>
      <c r="J83" s="168">
        <f>IFERROR(vlookup($A83,Kp!$C84:$JF$500,264,0),"-")</f>
        <v>1</v>
      </c>
      <c r="K83" s="168" t="str">
        <f>IFERROR(vlookup($A83,W.S!$D$2:$X$500,21,0),"-")</f>
        <v>Siap</v>
      </c>
      <c r="L83" s="168" t="str">
        <f>IFERROR(vlookup($A83,Ks!$C$2:$X$500,20,0),"-")</f>
        <v>Siap</v>
      </c>
      <c r="M83" s="168" t="str">
        <f>M82</f>
        <v>Diterima</v>
      </c>
      <c r="N83" s="177"/>
      <c r="O83" s="185" t="s">
        <v>73</v>
      </c>
      <c r="Q83" s="168" t="str">
        <f t="shared" si="2"/>
        <v>A</v>
      </c>
      <c r="R83" s="168" t="str">
        <f t="shared" si="3"/>
        <v>C</v>
      </c>
      <c r="S83" s="168" t="str">
        <f t="shared" si="4"/>
        <v>A</v>
      </c>
      <c r="T83" s="168" t="str">
        <f t="shared" ref="T83:U83" si="85">IF(K83="Siap","A",IF(K83="Cukup Siap","B",IF(K83="Belum Siap","C","")))</f>
        <v>A</v>
      </c>
      <c r="U83" s="168" t="str">
        <f t="shared" si="85"/>
        <v>A</v>
      </c>
    </row>
    <row r="84">
      <c r="A84" s="167" t="str">
        <f>Kp!C86</f>
        <v>C250020</v>
      </c>
      <c r="B84" s="180" t="str">
        <f>Kp!B86</f>
        <v>ALIFADHILAH IRHAB HAUZAN</v>
      </c>
      <c r="C84" s="5" t="str">
        <f>Kp!D86</f>
        <v>SMA</v>
      </c>
      <c r="D84" s="168">
        <f>IFERROR(VLOOKUP(A84, AQ!$B$2:$E$500, 3, FALSE),"-")</f>
        <v>75</v>
      </c>
      <c r="E84" s="168">
        <f>IFERROR(VLOOKUP(A84, AQ!$B$2:$E$500, 4, FALSE),"-")</f>
        <v>78</v>
      </c>
      <c r="F84" s="168" t="str">
        <f>IFERROR(VLOOKUP(A84, AQ!$B$2:$F$500, 5, FALSE),"-")</f>
        <v>B. Cadangan</v>
      </c>
      <c r="G84" s="168" t="str">
        <f>IFERROR(VLOOKUP($A84,A.M!$C$3:$BC$500,53,0),"-")</f>
        <v>-</v>
      </c>
      <c r="H84" s="168" t="str">
        <f>IFERROR(VLOOKUP($A84,A.IL!$C$3:$BC$500,53,0),"-")</f>
        <v>-</v>
      </c>
      <c r="I84" s="168">
        <f>IFERROR(VLOOKUP($A84,A.S!$C$3:$BC$500,53,0),"-")</f>
        <v>65</v>
      </c>
      <c r="J84" s="168">
        <f>IFERROR(vlookup($A84,Kp!$C85:$JF$500,264,0),"-")</f>
        <v>0</v>
      </c>
      <c r="K84" s="168" t="str">
        <f>IFERROR(vlookup($A84,W.S!$D$2:$X$500,21,0),"-")</f>
        <v>Siap</v>
      </c>
      <c r="L84" s="168" t="str">
        <f>IFERROR(vlookup($A84,Ks!$C$2:$X$500,20,0),"-")</f>
        <v>Siap</v>
      </c>
      <c r="M84" s="168" t="str">
        <f>IFERROR(vlookup($A84,W.O!$E$2:$U$500,16,0),"-")</f>
        <v>Diterima</v>
      </c>
      <c r="N84" s="177"/>
      <c r="O84" s="181" t="s">
        <v>76</v>
      </c>
      <c r="P84" s="182" t="s">
        <v>84</v>
      </c>
      <c r="Q84" s="168" t="str">
        <f t="shared" si="2"/>
        <v>B</v>
      </c>
      <c r="R84" s="168" t="str">
        <f t="shared" si="3"/>
        <v>B</v>
      </c>
      <c r="S84" s="168" t="str">
        <f t="shared" si="4"/>
        <v>A</v>
      </c>
      <c r="T84" s="168" t="str">
        <f t="shared" ref="T84:U84" si="86">IF(K84="Siap","A",IF(K84="Cukup Siap","B",IF(K84="Belum Siap","C","")))</f>
        <v>A</v>
      </c>
      <c r="U84" s="168" t="str">
        <f t="shared" si="86"/>
        <v>A</v>
      </c>
    </row>
    <row r="85">
      <c r="A85" s="167" t="str">
        <f>Kp!C87</f>
        <v>A250033</v>
      </c>
      <c r="B85" s="171" t="str">
        <f>Kp!B87</f>
        <v>AZKA KHAIRUL ICHSAN HASUGIANA</v>
      </c>
      <c r="C85" s="5" t="str">
        <f>Kp!D87</f>
        <v>MTs Putra</v>
      </c>
      <c r="D85" s="168">
        <f>IFERROR(VLOOKUP(A85, AQ!$B$2:$E$500, 3, FALSE),"-")</f>
        <v>82</v>
      </c>
      <c r="E85" s="168">
        <f>IFERROR(VLOOKUP(A85, AQ!$B$2:$E$500, 4, FALSE),"-")</f>
        <v>80</v>
      </c>
      <c r="F85" s="168" t="str">
        <f>IFERROR(VLOOKUP(A85, AQ!$B$2:$F$500, 5, FALSE),"-")</f>
        <v>B. Cadangan</v>
      </c>
      <c r="G85" s="168">
        <f>IFERROR(VLOOKUP($A85,A.M!$C$3:$BC$500,53,0),"-")</f>
        <v>85</v>
      </c>
      <c r="H85" s="168" t="str">
        <f>IFERROR(VLOOKUP($A85,A.IL!$C$3:$BC$500,53,0),"-")</f>
        <v>-</v>
      </c>
      <c r="I85" s="168" t="str">
        <f>IFERROR(VLOOKUP($A85,A.S!$C$3:$BC$500,53,0),"-")</f>
        <v>-</v>
      </c>
      <c r="J85" s="168">
        <f>IFERROR(vlookup($A85,Kp!$C86:$JF$500,264,0),"-")</f>
        <v>0</v>
      </c>
      <c r="K85" s="168" t="str">
        <f>IFERROR(vlookup($A85,W.S!$D$2:$X$500,21,0),"-")</f>
        <v>Siap</v>
      </c>
      <c r="L85" s="168" t="str">
        <f>IFERROR(vlookup($A85,Ks!$C$2:$X$500,20,0),"-")</f>
        <v>Siap</v>
      </c>
      <c r="M85" s="168" t="str">
        <f>IFERROR(vlookup($A85,W.O!$E$2:$U$500,16,0),"-")</f>
        <v>Diterima</v>
      </c>
      <c r="N85" s="177"/>
      <c r="O85" s="185" t="s">
        <v>73</v>
      </c>
      <c r="Q85" s="168" t="str">
        <f t="shared" si="2"/>
        <v>B</v>
      </c>
      <c r="R85" s="168" t="str">
        <f t="shared" si="3"/>
        <v>A</v>
      </c>
      <c r="S85" s="168" t="str">
        <f t="shared" si="4"/>
        <v>A</v>
      </c>
      <c r="T85" s="168" t="str">
        <f t="shared" ref="T85:U85" si="87">IF(K85="Siap","A",IF(K85="Cukup Siap","B",IF(K85="Belum Siap","C","")))</f>
        <v>A</v>
      </c>
      <c r="U85" s="168" t="str">
        <f t="shared" si="87"/>
        <v>A</v>
      </c>
    </row>
    <row r="86">
      <c r="A86" s="167" t="str">
        <f>Kp!C88</f>
        <v>D250001</v>
      </c>
      <c r="B86" s="171" t="str">
        <f>Kp!B88</f>
        <v>Qisya Rahma Kamila </v>
      </c>
      <c r="C86" s="5" t="str">
        <f>Kp!D88</f>
        <v>MTs Putri</v>
      </c>
      <c r="D86" s="168">
        <f>IFERROR(VLOOKUP(A86, AQ!$B$2:$E$500, 3, FALSE),"-")</f>
        <v>85</v>
      </c>
      <c r="E86" s="168">
        <f>IFERROR(VLOOKUP(A86, AQ!$B$2:$E$500, 4, FALSE),"-")</f>
        <v>85</v>
      </c>
      <c r="F86" s="168" t="str">
        <f>IFERROR(VLOOKUP(A86, AQ!$B$2:$F$500, 5, FALSE),"-")</f>
        <v>A. Diterima</v>
      </c>
      <c r="G86" s="168">
        <f>IFERROR(VLOOKUP($A86,A.M!$C$3:$BC$500,53,0),"-")</f>
        <v>80</v>
      </c>
      <c r="H86" s="168" t="str">
        <f>IFERROR(VLOOKUP($A86,A.IL!$C$3:$BC$500,53,0),"-")</f>
        <v>-</v>
      </c>
      <c r="I86" s="168" t="str">
        <f>IFERROR(VLOOKUP($A86,A.S!$C$3:$BC$500,53,0),"-")</f>
        <v>-</v>
      </c>
      <c r="J86" s="168">
        <f>IFERROR(vlookup($A86,Kp!$C87:$JF$500,264,0),"-")</f>
        <v>0</v>
      </c>
      <c r="K86" s="168" t="str">
        <f>IFERROR(vlookup($A86,W.S!$D$2:$X$500,21,0),"-")</f>
        <v>Siap</v>
      </c>
      <c r="L86" s="168" t="str">
        <f>IFERROR(vlookup($A86,Ks!$C$2:$X$500,20,0),"-")</f>
        <v>Siap</v>
      </c>
      <c r="M86" s="168" t="str">
        <f>IFERROR(vlookup($A86,W.O!$E$2:$U$500,16,0),"-")</f>
        <v>Diterima</v>
      </c>
      <c r="N86" s="177"/>
      <c r="O86" s="185" t="s">
        <v>73</v>
      </c>
      <c r="Q86" s="168" t="str">
        <f t="shared" si="2"/>
        <v>A</v>
      </c>
      <c r="R86" s="168" t="str">
        <f t="shared" si="3"/>
        <v>A</v>
      </c>
      <c r="S86" s="168" t="str">
        <f t="shared" si="4"/>
        <v>A</v>
      </c>
      <c r="T86" s="168" t="str">
        <f t="shared" ref="T86:U86" si="88">IF(K86="Siap","A",IF(K86="Cukup Siap","B",IF(K86="Belum Siap","C","")))</f>
        <v>A</v>
      </c>
      <c r="U86" s="168" t="str">
        <f t="shared" si="88"/>
        <v>A</v>
      </c>
    </row>
    <row r="87">
      <c r="A87" s="167" t="str">
        <f>Kp!C89</f>
        <v>A250017</v>
      </c>
      <c r="B87" s="171" t="str">
        <f>Kp!B89</f>
        <v>Akhdan Azkiya Mahdy</v>
      </c>
      <c r="C87" s="5" t="str">
        <f>Kp!D89</f>
        <v>MTs Putra</v>
      </c>
      <c r="D87" s="168">
        <f>IFERROR(VLOOKUP(A87, AQ!$B$2:$E$500, 3, FALSE),"-")</f>
        <v>82</v>
      </c>
      <c r="E87" s="168">
        <f>IFERROR(VLOOKUP(A87, AQ!$B$2:$E$500, 4, FALSE),"-")</f>
        <v>80</v>
      </c>
      <c r="F87" s="168" t="str">
        <f>IFERROR(VLOOKUP(A87, AQ!$B$2:$F$500, 5, FALSE),"-")</f>
        <v>A. Diterima</v>
      </c>
      <c r="G87" s="168">
        <f>IFERROR(VLOOKUP($A87,A.M!$C$3:$BC$500,53,0),"-")</f>
        <v>90</v>
      </c>
      <c r="H87" s="168" t="str">
        <f>IFERROR(VLOOKUP($A87,A.IL!$C$3:$BC$500,53,0),"-")</f>
        <v>-</v>
      </c>
      <c r="I87" s="168" t="str">
        <f>IFERROR(VLOOKUP($A87,A.S!$C$3:$BC$500,53,0),"-")</f>
        <v>-</v>
      </c>
      <c r="J87" s="168">
        <f>IFERROR(vlookup($A87,Kp!$C88:$JF$500,264,0),"-")</f>
        <v>1</v>
      </c>
      <c r="K87" s="168" t="str">
        <f>IFERROR(vlookup($A87,W.S!$D$2:$X$500,21,0),"-")</f>
        <v>Cukup Siap</v>
      </c>
      <c r="L87" s="168" t="str">
        <f>IFERROR(vlookup($A87,Ks!$C$2:$X$500,20,0),"-")</f>
        <v>Siap</v>
      </c>
      <c r="M87" s="168" t="str">
        <f>IFERROR(vlookup($A87,W.O!$E$2:$U$500,16,0),"-")</f>
        <v>Diterima</v>
      </c>
      <c r="N87" s="177"/>
      <c r="O87" s="185" t="s">
        <v>73</v>
      </c>
      <c r="Q87" s="168" t="str">
        <f t="shared" si="2"/>
        <v>A</v>
      </c>
      <c r="R87" s="168" t="str">
        <f t="shared" si="3"/>
        <v>A</v>
      </c>
      <c r="S87" s="168" t="str">
        <f t="shared" si="4"/>
        <v>A</v>
      </c>
      <c r="T87" s="168" t="str">
        <f t="shared" ref="T87:U87" si="89">IF(K87="Siap","A",IF(K87="Cukup Siap","B",IF(K87="Belum Siap","C","")))</f>
        <v>B</v>
      </c>
      <c r="U87" s="168" t="str">
        <f t="shared" si="89"/>
        <v>A</v>
      </c>
    </row>
    <row r="88">
      <c r="A88" s="167" t="str">
        <f>Kp!C90</f>
        <v>A250061</v>
      </c>
      <c r="B88" s="175" t="str">
        <f>Kp!B90</f>
        <v>Muhammad nizar</v>
      </c>
      <c r="C88" s="5" t="str">
        <f>Kp!D90</f>
        <v>MTs Putra</v>
      </c>
      <c r="D88" s="168">
        <f>IFERROR(VLOOKUP(A88, AQ!$B$2:$E$500, 3, FALSE),"-")</f>
        <v>80</v>
      </c>
      <c r="E88" s="168">
        <f>IFERROR(VLOOKUP(A88, AQ!$B$2:$E$500, 4, FALSE),"-")</f>
        <v>80</v>
      </c>
      <c r="F88" s="168" t="str">
        <f>IFERROR(VLOOKUP(A88, AQ!$B$2:$F$500, 5, FALSE),"-")</f>
        <v>B. Cadangan</v>
      </c>
      <c r="G88" s="168">
        <f>IFERROR(VLOOKUP($A88,A.M!$C$3:$BC$500,53,0),"-")</f>
        <v>60</v>
      </c>
      <c r="H88" s="168" t="str">
        <f>IFERROR(VLOOKUP($A88,A.IL!$C$3:$BC$500,53,0),"-")</f>
        <v>-</v>
      </c>
      <c r="I88" s="168" t="str">
        <f>IFERROR(VLOOKUP($A88,A.S!$C$3:$BC$500,53,0),"-")</f>
        <v>-</v>
      </c>
      <c r="J88" s="168">
        <f>IFERROR(vlookup($A88,Kp!$C89:$JF$500,264,0),"-")</f>
        <v>0</v>
      </c>
      <c r="K88" s="168" t="str">
        <f>IFERROR(vlookup($A88,W.S!$D$2:$X$500,21,0),"-")</f>
        <v>Siap</v>
      </c>
      <c r="L88" s="168" t="str">
        <f>IFERROR(vlookup($A88,Ks!$C$2:$X$500,20,0),"-")</f>
        <v>Siap</v>
      </c>
      <c r="M88" s="168" t="str">
        <f>IFERROR(vlookup($A88,W.O!$E$2:$U$500,16,0),"-")</f>
        <v>Diterima</v>
      </c>
      <c r="N88" s="177"/>
      <c r="O88" s="179" t="s">
        <v>74</v>
      </c>
      <c r="Q88" s="168" t="str">
        <f t="shared" si="2"/>
        <v>B</v>
      </c>
      <c r="R88" s="168" t="str">
        <f t="shared" si="3"/>
        <v>B</v>
      </c>
      <c r="S88" s="168" t="str">
        <f t="shared" si="4"/>
        <v>A</v>
      </c>
      <c r="T88" s="168" t="str">
        <f t="shared" ref="T88:U88" si="90">IF(K88="Siap","A",IF(K88="Cukup Siap","B",IF(K88="Belum Siap","C","")))</f>
        <v>A</v>
      </c>
      <c r="U88" s="168" t="str">
        <f t="shared" si="90"/>
        <v>A</v>
      </c>
    </row>
    <row r="89">
      <c r="A89" s="167" t="str">
        <f>Kp!C91</f>
        <v>D250012</v>
      </c>
      <c r="B89" s="175" t="str">
        <f>Kp!B91</f>
        <v>anastasya putri </v>
      </c>
      <c r="C89" s="5" t="str">
        <f>Kp!D91</f>
        <v>MTs Putri</v>
      </c>
      <c r="D89" s="168">
        <f>IFERROR(VLOOKUP(A89, AQ!$B$2:$E$500, 3, FALSE),"-")</f>
        <v>65</v>
      </c>
      <c r="E89" s="168">
        <f>IFERROR(VLOOKUP(A89, AQ!$B$2:$E$500, 4, FALSE),"-")</f>
        <v>65</v>
      </c>
      <c r="F89" s="168" t="str">
        <f>IFERROR(VLOOKUP(A89, AQ!$B$2:$F$500, 5, FALSE),"-")</f>
        <v>B. Cadangan</v>
      </c>
      <c r="G89" s="168">
        <f>IFERROR(VLOOKUP($A89,A.M!$C$3:$BC$500,53,0),"-")</f>
        <v>60</v>
      </c>
      <c r="H89" s="168" t="str">
        <f>IFERROR(VLOOKUP($A89,A.IL!$C$3:$BC$500,53,0),"-")</f>
        <v>-</v>
      </c>
      <c r="I89" s="168" t="str">
        <f>IFERROR(VLOOKUP($A89,A.S!$C$3:$BC$500,53,0),"-")</f>
        <v>-</v>
      </c>
      <c r="J89" s="168">
        <f>IFERROR(vlookup($A89,Kp!$C90:$JF$500,264,0),"-")</f>
        <v>2</v>
      </c>
      <c r="K89" s="168" t="str">
        <f>IFERROR(vlookup($A89,W.S!$D$2:$X$500,21,0),"-")</f>
        <v>Siap</v>
      </c>
      <c r="L89" s="168" t="str">
        <f>IFERROR(vlookup($A89,Ks!$C$2:$X$500,20,0),"-")</f>
        <v>Siap</v>
      </c>
      <c r="M89" s="168" t="str">
        <f>IFERROR(vlookup($A89,W.O!$E$2:$U$500,16,0),"-")</f>
        <v>Diterima</v>
      </c>
      <c r="N89" s="177"/>
      <c r="O89" s="179" t="s">
        <v>74</v>
      </c>
      <c r="Q89" s="168" t="str">
        <f t="shared" si="2"/>
        <v>B</v>
      </c>
      <c r="R89" s="168" t="str">
        <f t="shared" si="3"/>
        <v>B</v>
      </c>
      <c r="S89" s="168" t="str">
        <f t="shared" si="4"/>
        <v>B</v>
      </c>
      <c r="T89" s="168" t="str">
        <f t="shared" ref="T89:U89" si="91">IF(K89="Siap","A",IF(K89="Cukup Siap","B",IF(K89="Belum Siap","C","")))</f>
        <v>A</v>
      </c>
      <c r="U89" s="168" t="str">
        <f t="shared" si="91"/>
        <v>A</v>
      </c>
    </row>
    <row r="90">
      <c r="A90" s="167" t="str">
        <f>Kp!C92</f>
        <v>E250003</v>
      </c>
      <c r="B90" s="171" t="str">
        <f>Kp!B92</f>
        <v>NISRINA QURROTA AINI </v>
      </c>
      <c r="C90" s="5" t="str">
        <f>Kp!D92</f>
        <v>IL Putri</v>
      </c>
      <c r="D90" s="168">
        <f>IFERROR(VLOOKUP(A90, AQ!$B$2:$E$500, 3, FALSE),"-")</f>
        <v>85</v>
      </c>
      <c r="E90" s="168">
        <f>IFERROR(VLOOKUP(A90, AQ!$B$2:$E$500, 4, FALSE),"-")</f>
        <v>90</v>
      </c>
      <c r="F90" s="168" t="str">
        <f>IFERROR(VLOOKUP(A90, AQ!$B$2:$F$500, 5, FALSE),"-")</f>
        <v>A. Diterima</v>
      </c>
      <c r="G90" s="168" t="str">
        <f>IFERROR(VLOOKUP($A90,A.M!$C$3:$BC$500,53,0),"-")</f>
        <v>-</v>
      </c>
      <c r="H90" s="168">
        <f>IFERROR(VLOOKUP($A90,A.IL!$C$3:$BC$500,53,0),"-")</f>
        <v>25</v>
      </c>
      <c r="I90" s="168" t="str">
        <f>IFERROR(VLOOKUP($A90,A.S!$C$3:$BC$500,53,0),"-")</f>
        <v>-</v>
      </c>
      <c r="J90" s="168">
        <f>IFERROR(vlookup($A90,Kp!$C91:$JF$500,264,0),"-")</f>
        <v>1</v>
      </c>
      <c r="K90" s="168" t="str">
        <f>IFERROR(vlookup($A90,W.S!$D$2:$X$500,21,0),"-")</f>
        <v>Siap</v>
      </c>
      <c r="L90" s="168" t="str">
        <f>IFERROR(vlookup($A90,Ks!$C$2:$X$500,20,0),"-")</f>
        <v>Siap</v>
      </c>
      <c r="M90" s="168" t="str">
        <f>IFERROR(vlookup($A90,W.O!$E$2:$U$500,16,0),"-")</f>
        <v>Diterima</v>
      </c>
      <c r="N90" s="177"/>
      <c r="O90" s="178" t="s">
        <v>73</v>
      </c>
      <c r="Q90" s="168" t="str">
        <f t="shared" si="2"/>
        <v>A</v>
      </c>
      <c r="R90" s="168" t="str">
        <f t="shared" si="3"/>
        <v>C</v>
      </c>
      <c r="S90" s="168" t="str">
        <f t="shared" si="4"/>
        <v>A</v>
      </c>
      <c r="T90" s="168" t="str">
        <f t="shared" ref="T90:U90" si="92">IF(K90="Siap","A",IF(K90="Cukup Siap","B",IF(K90="Belum Siap","C","")))</f>
        <v>A</v>
      </c>
      <c r="U90" s="168" t="str">
        <f t="shared" si="92"/>
        <v>A</v>
      </c>
    </row>
    <row r="91">
      <c r="A91" s="167" t="str">
        <f>Kp!C93</f>
        <v>B250013</v>
      </c>
      <c r="B91" s="175" t="str">
        <f>Kp!B93</f>
        <v>Abdurrahman hafizh ayyasi</v>
      </c>
      <c r="C91" s="5" t="str">
        <f>Kp!D93</f>
        <v>IL Putra</v>
      </c>
      <c r="D91" s="168">
        <f>IFERROR(VLOOKUP(A91, AQ!$B$2:$E$500, 3, FALSE),"-")</f>
        <v>70</v>
      </c>
      <c r="E91" s="168">
        <f>IFERROR(VLOOKUP(A91, AQ!$B$2:$E$500, 4, FALSE),"-")</f>
        <v>75</v>
      </c>
      <c r="F91" s="168" t="str">
        <f>IFERROR(VLOOKUP(A91, AQ!$B$2:$F$500, 5, FALSE),"-")</f>
        <v>B. Cadangan</v>
      </c>
      <c r="G91" s="168" t="str">
        <f>IFERROR(VLOOKUP($A91,A.M!$C$3:$BC$500,53,0),"-")</f>
        <v>-</v>
      </c>
      <c r="H91" s="168">
        <f>IFERROR(VLOOKUP($A91,A.IL!$C$3:$BC$500,53,0),"-")</f>
        <v>55</v>
      </c>
      <c r="I91" s="168" t="str">
        <f>IFERROR(VLOOKUP($A91,A.S!$C$3:$BC$500,53,0),"-")</f>
        <v>-</v>
      </c>
      <c r="J91" s="168">
        <f>IFERROR(vlookup($A91,Kp!$C92:$JF$500,264,0),"-")</f>
        <v>2</v>
      </c>
      <c r="K91" s="168" t="str">
        <f>IFERROR(vlookup($A91,W.S!$D$2:$X$500,21,0),"-")</f>
        <v>Siap</v>
      </c>
      <c r="L91" s="168" t="str">
        <f>IFERROR(vlookup($A91,Ks!$C$2:$X$500,20,0),"-")</f>
        <v>Siap</v>
      </c>
      <c r="M91" s="168" t="str">
        <f>IFERROR(vlookup($A91,W.O!$E$2:$U$500,16,0),"-")</f>
        <v>Diterima</v>
      </c>
      <c r="N91" s="177"/>
      <c r="O91" s="179" t="s">
        <v>74</v>
      </c>
      <c r="Q91" s="168" t="str">
        <f t="shared" si="2"/>
        <v>B</v>
      </c>
      <c r="R91" s="168" t="str">
        <f t="shared" si="3"/>
        <v>C</v>
      </c>
      <c r="S91" s="168" t="str">
        <f t="shared" si="4"/>
        <v>B</v>
      </c>
      <c r="T91" s="168" t="str">
        <f t="shared" ref="T91:U91" si="93">IF(K91="Siap","A",IF(K91="Cukup Siap","B",IF(K91="Belum Siap","C","")))</f>
        <v>A</v>
      </c>
      <c r="U91" s="168" t="str">
        <f t="shared" si="93"/>
        <v>A</v>
      </c>
    </row>
    <row r="92">
      <c r="A92" s="167" t="str">
        <f>Kp!C94</f>
        <v>C250014</v>
      </c>
      <c r="B92" s="180" t="str">
        <f>Kp!B94</f>
        <v>Adhyasta widyadhana</v>
      </c>
      <c r="C92" s="5" t="str">
        <f>Kp!D94</f>
        <v>SMA</v>
      </c>
      <c r="D92" s="168">
        <f>IFERROR(VLOOKUP(A92, AQ!$B$2:$E$500, 3, FALSE),"-")</f>
        <v>95</v>
      </c>
      <c r="E92" s="168">
        <f>IFERROR(VLOOKUP(A92, AQ!$B$2:$E$500, 4, FALSE),"-")</f>
        <v>90</v>
      </c>
      <c r="F92" s="168" t="str">
        <f>IFERROR(VLOOKUP(A92, AQ!$B$2:$F$500, 5, FALSE),"-")</f>
        <v>A. Diterima</v>
      </c>
      <c r="G92" s="168" t="str">
        <f>IFERROR(VLOOKUP($A92,A.M!$C$3:$BC$500,53,0),"-")</f>
        <v>-</v>
      </c>
      <c r="H92" s="168" t="str">
        <f>IFERROR(VLOOKUP($A92,A.IL!$C$3:$BC$500,53,0),"-")</f>
        <v>-</v>
      </c>
      <c r="I92" s="168">
        <f>IFERROR(VLOOKUP($A92,A.S!$C$3:$BC$500,53,0),"-")</f>
        <v>35</v>
      </c>
      <c r="J92" s="168">
        <f>IFERROR(vlookup($A92,Kp!$C93:$JF$500,264,0),"-")</f>
        <v>1</v>
      </c>
      <c r="K92" s="168" t="str">
        <f>IFERROR(vlookup($A92,W.S!$D$2:$X$500,21,0),"-")</f>
        <v>Siap</v>
      </c>
      <c r="L92" s="168" t="str">
        <f>IFERROR(vlookup($A92,Ks!$C$2:$X$500,20,0),"-")</f>
        <v>Siap</v>
      </c>
      <c r="M92" s="168" t="str">
        <f>IFERROR(vlookup($A92,W.O!$E$2:$U$500,16,0),"-")</f>
        <v>Diterima</v>
      </c>
      <c r="N92" s="177"/>
      <c r="O92" s="181" t="s">
        <v>76</v>
      </c>
      <c r="P92" s="182" t="s">
        <v>78</v>
      </c>
      <c r="Q92" s="168" t="str">
        <f t="shared" si="2"/>
        <v>A</v>
      </c>
      <c r="R92" s="168" t="str">
        <f t="shared" si="3"/>
        <v>C</v>
      </c>
      <c r="S92" s="168" t="str">
        <f t="shared" si="4"/>
        <v>A</v>
      </c>
      <c r="T92" s="168" t="str">
        <f t="shared" ref="T92:U92" si="94">IF(K92="Siap","A",IF(K92="Cukup Siap","B",IF(K92="Belum Siap","C","")))</f>
        <v>A</v>
      </c>
      <c r="U92" s="168" t="str">
        <f t="shared" si="94"/>
        <v>A</v>
      </c>
    </row>
    <row r="93">
      <c r="A93" s="167" t="str">
        <f>Kp!C95</f>
        <v>B250012</v>
      </c>
      <c r="B93" s="175" t="str">
        <f>Kp!B95</f>
        <v>salman alfarizi alamsyah</v>
      </c>
      <c r="C93" s="5" t="str">
        <f>Kp!D95</f>
        <v>IL Putra</v>
      </c>
      <c r="D93" s="168">
        <f>IFERROR(VLOOKUP(A93, AQ!$B$2:$E$500, 3, FALSE),"-")</f>
        <v>67</v>
      </c>
      <c r="E93" s="168">
        <f>IFERROR(VLOOKUP(A93, AQ!$B$2:$E$500, 4, FALSE),"-")</f>
        <v>65</v>
      </c>
      <c r="F93" s="168" t="str">
        <f>IFERROR(VLOOKUP(A93, AQ!$B$2:$F$500, 5, FALSE),"-")</f>
        <v>B. Cadangan</v>
      </c>
      <c r="G93" s="168" t="str">
        <f>IFERROR(VLOOKUP($A93,A.M!$C$3:$BC$500,53,0),"-")</f>
        <v>-</v>
      </c>
      <c r="H93" s="168">
        <f>IFERROR(VLOOKUP($A93,A.IL!$C$3:$BC$500,53,0),"-")</f>
        <v>90</v>
      </c>
      <c r="I93" s="168" t="str">
        <f>IFERROR(VLOOKUP($A93,A.S!$C$3:$BC$500,53,0),"-")</f>
        <v>-</v>
      </c>
      <c r="J93" s="168">
        <f>IFERROR(vlookup($A93,Kp!$C94:$JF$500,264,0),"-")</f>
        <v>1</v>
      </c>
      <c r="K93" s="168" t="str">
        <f>IFERROR(vlookup($A93,W.S!$D$2:$X$500,21,0),"-")</f>
        <v>Siap</v>
      </c>
      <c r="L93" s="168" t="str">
        <f>IFERROR(vlookup($A93,Ks!$C$2:$X$500,20,0),"-")</f>
        <v>Siap</v>
      </c>
      <c r="M93" s="168" t="str">
        <f>IFERROR(vlookup($A93,W.O!$E$2:$U$500,16,0),"-")</f>
        <v>Diterima</v>
      </c>
      <c r="N93" s="177"/>
      <c r="O93" s="179" t="s">
        <v>74</v>
      </c>
      <c r="Q93" s="168" t="str">
        <f t="shared" si="2"/>
        <v>B</v>
      </c>
      <c r="R93" s="168" t="str">
        <f t="shared" si="3"/>
        <v>A</v>
      </c>
      <c r="S93" s="168" t="str">
        <f t="shared" si="4"/>
        <v>A</v>
      </c>
      <c r="T93" s="168" t="str">
        <f t="shared" ref="T93:U93" si="95">IF(K93="Siap","A",IF(K93="Cukup Siap","B",IF(K93="Belum Siap","C","")))</f>
        <v>A</v>
      </c>
      <c r="U93" s="168" t="str">
        <f t="shared" si="95"/>
        <v>A</v>
      </c>
    </row>
    <row r="94">
      <c r="A94" s="167" t="str">
        <f>Kp!C96</f>
        <v>E250006</v>
      </c>
      <c r="B94" s="175" t="str">
        <f>Kp!B96</f>
        <v>Azkia Salsabila</v>
      </c>
      <c r="C94" s="5" t="str">
        <f>Kp!D96</f>
        <v>IL Putri</v>
      </c>
      <c r="D94" s="168">
        <f>IFERROR(VLOOKUP(A94, AQ!$B$2:$E$500, 3, FALSE),"-")</f>
        <v>90</v>
      </c>
      <c r="E94" s="168">
        <f>IFERROR(VLOOKUP(A94, AQ!$B$2:$E$500, 4, FALSE),"-")</f>
        <v>95</v>
      </c>
      <c r="F94" s="168" t="str">
        <f>IFERROR(VLOOKUP(A94, AQ!$B$2:$F$500, 5, FALSE),"-")</f>
        <v>A. Diterima</v>
      </c>
      <c r="G94" s="168" t="str">
        <f>IFERROR(VLOOKUP($A94,A.M!$C$3:$BC$500,53,0),"-")</f>
        <v>-</v>
      </c>
      <c r="H94" s="168">
        <f>IFERROR(VLOOKUP($A94,A.IL!$C$3:$BC$500,53,0),"-")</f>
        <v>50</v>
      </c>
      <c r="I94" s="168" t="str">
        <f>IFERROR(VLOOKUP($A94,A.S!$C$3:$BC$500,53,0),"-")</f>
        <v>-</v>
      </c>
      <c r="J94" s="168">
        <f>IFERROR(vlookup($A94,Kp!$C95:$JF$500,264,0),"-")</f>
        <v>2</v>
      </c>
      <c r="K94" s="168" t="str">
        <f>IFERROR(vlookup($A94,W.S!$D$2:$X$500,21,0),"-")</f>
        <v>Siap</v>
      </c>
      <c r="L94" s="168" t="str">
        <f>IFERROR(vlookup($A94,Ks!$C$2:$X$500,20,0),"-")</f>
        <v>Siap</v>
      </c>
      <c r="M94" s="168" t="str">
        <f>IFERROR(vlookup($A94,W.O!$E$2:$U$500,16,0),"-")</f>
        <v>Diterima</v>
      </c>
      <c r="N94" s="177"/>
      <c r="O94" s="179" t="s">
        <v>74</v>
      </c>
      <c r="Q94" s="168" t="str">
        <f t="shared" si="2"/>
        <v>A</v>
      </c>
      <c r="R94" s="168" t="str">
        <f t="shared" si="3"/>
        <v>C</v>
      </c>
      <c r="S94" s="168" t="str">
        <f t="shared" si="4"/>
        <v>B</v>
      </c>
      <c r="T94" s="168" t="str">
        <f t="shared" ref="T94:U94" si="96">IF(K94="Siap","A",IF(K94="Cukup Siap","B",IF(K94="Belum Siap","C","")))</f>
        <v>A</v>
      </c>
      <c r="U94" s="168" t="str">
        <f t="shared" si="96"/>
        <v>A</v>
      </c>
    </row>
    <row r="95">
      <c r="A95" s="167" t="str">
        <f>Kp!C97</f>
        <v>A250057</v>
      </c>
      <c r="B95" s="175" t="str">
        <f>Kp!B97</f>
        <v>Hamzah aqil</v>
      </c>
      <c r="C95" s="5" t="str">
        <f>Kp!D97</f>
        <v>MTs Putra</v>
      </c>
      <c r="D95" s="168">
        <f>IFERROR(VLOOKUP(A95, AQ!$B$2:$E$500, 3, FALSE),"-")</f>
        <v>80</v>
      </c>
      <c r="E95" s="168">
        <f>IFERROR(VLOOKUP(A95, AQ!$B$2:$E$500, 4, FALSE),"-")</f>
        <v>85</v>
      </c>
      <c r="F95" s="168" t="str">
        <f>IFERROR(VLOOKUP(A95, AQ!$B$2:$F$500, 5, FALSE),"-")</f>
        <v>B. Cadangan</v>
      </c>
      <c r="G95" s="168">
        <f>IFERROR(VLOOKUP($A95,A.M!$C$3:$BC$500,53,0),"-")</f>
        <v>65</v>
      </c>
      <c r="H95" s="168" t="str">
        <f>IFERROR(VLOOKUP($A95,A.IL!$C$3:$BC$500,53,0),"-")</f>
        <v>-</v>
      </c>
      <c r="I95" s="168" t="str">
        <f>IFERROR(VLOOKUP($A95,A.S!$C$3:$BC$500,53,0),"-")</f>
        <v>-</v>
      </c>
      <c r="J95" s="168">
        <f>IFERROR(vlookup($A95,Kp!$C96:$JF$500,264,0),"-")</f>
        <v>1</v>
      </c>
      <c r="K95" s="168" t="str">
        <f>IFERROR(vlookup($A95,W.S!$D$2:$X$500,21,0),"-")</f>
        <v>Siap</v>
      </c>
      <c r="L95" s="168" t="str">
        <f>IFERROR(vlookup($A95,Ks!$C$2:$X$500,20,0),"-")</f>
        <v>Siap</v>
      </c>
      <c r="M95" s="168" t="str">
        <f>IFERROR(vlookup($A95,W.O!$E$2:$U$500,16,0),"-")</f>
        <v>Diterima</v>
      </c>
      <c r="N95" s="177"/>
      <c r="O95" s="179" t="s">
        <v>74</v>
      </c>
      <c r="Q95" s="168" t="str">
        <f t="shared" si="2"/>
        <v>B</v>
      </c>
      <c r="R95" s="168" t="str">
        <f t="shared" si="3"/>
        <v>B</v>
      </c>
      <c r="S95" s="168" t="str">
        <f t="shared" si="4"/>
        <v>A</v>
      </c>
      <c r="T95" s="168" t="str">
        <f t="shared" ref="T95:U95" si="97">IF(K95="Siap","A",IF(K95="Cukup Siap","B",IF(K95="Belum Siap","C","")))</f>
        <v>A</v>
      </c>
      <c r="U95" s="168" t="str">
        <f t="shared" si="97"/>
        <v>A</v>
      </c>
    </row>
    <row r="96">
      <c r="A96" s="167" t="str">
        <f>Kp!C98</f>
        <v>B250024</v>
      </c>
      <c r="B96" s="171" t="str">
        <f>Kp!B98</f>
        <v>Ahadan Nazka Harits</v>
      </c>
      <c r="C96" s="5" t="str">
        <f>Kp!D98</f>
        <v>IL Putra</v>
      </c>
      <c r="D96" s="168">
        <f>IFERROR(VLOOKUP(A96, AQ!$B$2:$E$500, 3, FALSE),"-")</f>
        <v>75</v>
      </c>
      <c r="E96" s="168">
        <f>IFERROR(VLOOKUP(A96, AQ!$B$2:$E$500, 4, FALSE),"-")</f>
        <v>80</v>
      </c>
      <c r="F96" s="168" t="str">
        <f>IFERROR(VLOOKUP(A96, AQ!$B$2:$F$500, 5, FALSE),"-")</f>
        <v>B. Cadangan</v>
      </c>
      <c r="G96" s="168" t="str">
        <f>IFERROR(VLOOKUP($A96,A.M!$C$3:$BC$500,53,0),"-")</f>
        <v>-</v>
      </c>
      <c r="H96" s="168">
        <f>IFERROR(VLOOKUP($A96,A.IL!$C$3:$BC$500,53,0),"-")</f>
        <v>60</v>
      </c>
      <c r="I96" s="168" t="str">
        <f>IFERROR(VLOOKUP($A96,A.S!$C$3:$BC$500,53,0),"-")</f>
        <v>-</v>
      </c>
      <c r="J96" s="168">
        <f>IFERROR(vlookup($A96,Kp!$C97:$JF$500,264,0),"-")</f>
        <v>1</v>
      </c>
      <c r="K96" s="168" t="str">
        <f>IFERROR(vlookup($A96,W.S!$D$2:$X$500,21,0),"-")</f>
        <v>Siap</v>
      </c>
      <c r="L96" s="168" t="str">
        <f>IFERROR(vlookup($A96,Ks!$C$2:$X$500,20,0),"-")</f>
        <v>Siap</v>
      </c>
      <c r="M96" s="168" t="str">
        <f>IFERROR(vlookup($A96,W.O!$E$2:$U$500,16,0),"-")</f>
        <v>Diterima</v>
      </c>
      <c r="N96" s="177"/>
      <c r="O96" s="178" t="s">
        <v>73</v>
      </c>
      <c r="Q96" s="168" t="str">
        <f t="shared" si="2"/>
        <v>B</v>
      </c>
      <c r="R96" s="168" t="str">
        <f t="shared" si="3"/>
        <v>B</v>
      </c>
      <c r="S96" s="168" t="str">
        <f t="shared" si="4"/>
        <v>A</v>
      </c>
      <c r="T96" s="168" t="str">
        <f t="shared" ref="T96:U96" si="98">IF(K96="Siap","A",IF(K96="Cukup Siap","B",IF(K96="Belum Siap","C","")))</f>
        <v>A</v>
      </c>
      <c r="U96" s="168" t="str">
        <f t="shared" si="98"/>
        <v>A</v>
      </c>
    </row>
    <row r="97">
      <c r="A97" s="167" t="str">
        <f>Kp!C99</f>
        <v>B250007</v>
      </c>
      <c r="B97" s="11" t="str">
        <f>Kp!B99</f>
        <v>Ali Barqi As-Saif</v>
      </c>
      <c r="C97" s="5" t="str">
        <f>Kp!D99</f>
        <v>SMA</v>
      </c>
      <c r="D97" s="168">
        <f>IFERROR(VLOOKUP(A97, AQ!$B$2:$E$500, 3, FALSE),"-")</f>
        <v>90</v>
      </c>
      <c r="E97" s="168">
        <f>IFERROR(VLOOKUP(A97, AQ!$B$2:$E$500, 4, FALSE),"-")</f>
        <v>90</v>
      </c>
      <c r="F97" s="168" t="str">
        <f>IFERROR(VLOOKUP(A97, AQ!$B$2:$F$500, 5, FALSE),"-")</f>
        <v>A. Diterima</v>
      </c>
      <c r="G97" s="168" t="str">
        <f>IFERROR(VLOOKUP($A97,A.M!$C$3:$BC$500,53,0),"-")</f>
        <v>-</v>
      </c>
      <c r="H97" s="168">
        <f>IFERROR(VLOOKUP($A97,A.IL!$C$3:$BC$500,53,0),"-")</f>
        <v>45</v>
      </c>
      <c r="I97" s="168" t="str">
        <f>IFERROR(VLOOKUP($A97,A.S!$C$3:$BC$500,53,0),"-")</f>
        <v>-</v>
      </c>
      <c r="J97" s="168">
        <f>IFERROR(vlookup($A97,Kp!$C98:$JF$500,264,0),"-")</f>
        <v>5</v>
      </c>
      <c r="K97" s="168" t="str">
        <f>IFERROR(vlookup($A97,W.S!$D$2:$X$500,21,0),"-")</f>
        <v>Siap</v>
      </c>
      <c r="L97" s="168" t="str">
        <f>IFERROR(vlookup($A97,Ks!$C$2:$X$500,20,0),"-")</f>
        <v>Siap</v>
      </c>
      <c r="M97" s="168" t="str">
        <f>IFERROR(vlookup($A97,W.O!$E$2:$U$500,16,0),"-")</f>
        <v>Diterima dengan catatan</v>
      </c>
      <c r="N97" s="177"/>
      <c r="O97" s="170" t="s">
        <v>71</v>
      </c>
      <c r="Q97" s="168" t="str">
        <f t="shared" si="2"/>
        <v>A</v>
      </c>
      <c r="R97" s="168" t="str">
        <f t="shared" si="3"/>
        <v>C</v>
      </c>
      <c r="S97" s="168" t="str">
        <f t="shared" si="4"/>
        <v>C</v>
      </c>
      <c r="T97" s="168" t="str">
        <f t="shared" ref="T97:U97" si="99">IF(K97="Siap","A",IF(K97="Cukup Siap","B",IF(K97="Belum Siap","C","")))</f>
        <v>A</v>
      </c>
      <c r="U97" s="168" t="str">
        <f t="shared" si="99"/>
        <v>A</v>
      </c>
    </row>
    <row r="98">
      <c r="A98" s="167" t="str">
        <f>Kp!C100</f>
        <v>B250019</v>
      </c>
      <c r="B98" s="171" t="str">
        <f>Kp!B100</f>
        <v>Abbas Raihan</v>
      </c>
      <c r="C98" s="5" t="str">
        <f>Kp!D100</f>
        <v>IL Putra</v>
      </c>
      <c r="D98" s="168">
        <f>IFERROR(VLOOKUP(A98, AQ!$B$2:$E$500, 3, FALSE),"-")</f>
        <v>85</v>
      </c>
      <c r="E98" s="168">
        <f>IFERROR(VLOOKUP(A98, AQ!$B$2:$E$500, 4, FALSE),"-")</f>
        <v>82</v>
      </c>
      <c r="F98" s="168" t="str">
        <f>IFERROR(VLOOKUP(A98, AQ!$B$2:$F$500, 5, FALSE),"-")</f>
        <v>B. Cadangan</v>
      </c>
      <c r="G98" s="168" t="str">
        <f>IFERROR(VLOOKUP($A98,A.M!$C$3:$BC$500,53,0),"-")</f>
        <v>-</v>
      </c>
      <c r="H98" s="168" t="str">
        <f>IFERROR(VLOOKUP($A98,A.IL!$C$3:$BC$500,53,0),"-")</f>
        <v>-</v>
      </c>
      <c r="I98" s="168">
        <f>IFERROR(VLOOKUP($A98,A.S!$C$3:$BC$500,53,0),"-")</f>
        <v>95</v>
      </c>
      <c r="J98" s="168">
        <f>IFERROR(vlookup($A98,Kp!$C99:$JF$500,264,0),"-")</f>
        <v>1</v>
      </c>
      <c r="K98" s="168" t="str">
        <f>IFERROR(vlookup($A98,W.S!$D$2:$X$500,21,0),"-")</f>
        <v>Siap</v>
      </c>
      <c r="L98" s="168" t="str">
        <f>IFERROR(vlookup($A98,Ks!$C$2:$X$500,20,0),"-")</f>
        <v>Belum Siap</v>
      </c>
      <c r="M98" s="168" t="str">
        <f>IFERROR(vlookup($A98,W.O!$E$2:$U$500,16,0),"-")</f>
        <v>Diterima</v>
      </c>
      <c r="N98" s="177"/>
      <c r="O98" s="185" t="s">
        <v>73</v>
      </c>
      <c r="Q98" s="168" t="str">
        <f t="shared" si="2"/>
        <v>B</v>
      </c>
      <c r="R98" s="168" t="str">
        <f t="shared" si="3"/>
        <v>A</v>
      </c>
      <c r="S98" s="168" t="str">
        <f t="shared" si="4"/>
        <v>A</v>
      </c>
      <c r="T98" s="168" t="str">
        <f t="shared" ref="T98:U98" si="100">IF(K98="Siap","A",IF(K98="Cukup Siap","B",IF(K98="Belum Siap","C","")))</f>
        <v>A</v>
      </c>
      <c r="U98" s="168" t="str">
        <f t="shared" si="100"/>
        <v>C</v>
      </c>
    </row>
    <row r="99">
      <c r="A99" s="167" t="str">
        <f>Kp!C101</f>
        <v>A250051</v>
      </c>
      <c r="B99" s="171" t="str">
        <f>Kp!B101</f>
        <v>Khalid Muhammad Affiq</v>
      </c>
      <c r="C99" s="5" t="str">
        <f>Kp!D101</f>
        <v>MTs Putra</v>
      </c>
      <c r="D99" s="168">
        <f>IFERROR(VLOOKUP(A99, AQ!$B$2:$E$500, 3, FALSE),"-")</f>
        <v>87</v>
      </c>
      <c r="E99" s="168">
        <f>IFERROR(VLOOKUP(A99, AQ!$B$2:$E$500, 4, FALSE),"-")</f>
        <v>90</v>
      </c>
      <c r="F99" s="168" t="str">
        <f>IFERROR(VLOOKUP(A99, AQ!$B$2:$F$500, 5, FALSE),"-")</f>
        <v>A. Diterima</v>
      </c>
      <c r="G99" s="168">
        <f>IFERROR(VLOOKUP($A99,A.M!$C$3:$BC$500,53,0),"-")</f>
        <v>75</v>
      </c>
      <c r="H99" s="168" t="str">
        <f>IFERROR(VLOOKUP($A99,A.IL!$C$3:$BC$500,53,0),"-")</f>
        <v>-</v>
      </c>
      <c r="I99" s="168" t="str">
        <f>IFERROR(VLOOKUP($A99,A.S!$C$3:$BC$500,53,0),"-")</f>
        <v>-</v>
      </c>
      <c r="J99" s="168">
        <f>IFERROR(vlookup($A99,Kp!$C100:$JF$500,264,0),"-")</f>
        <v>1</v>
      </c>
      <c r="K99" s="168" t="str">
        <f>IFERROR(vlookup($A99,W.S!$D$2:$X$500,21,0),"-")</f>
        <v>Siap</v>
      </c>
      <c r="L99" s="168" t="str">
        <f>IFERROR(vlookup($A99,Ks!$C$2:$X$500,20,0),"-")</f>
        <v>Siap</v>
      </c>
      <c r="M99" s="168" t="str">
        <f>IFERROR(vlookup($A99,W.O!$E$2:$U$500,16,0),"-")</f>
        <v>Diterima</v>
      </c>
      <c r="N99" s="177"/>
      <c r="O99" s="178" t="s">
        <v>73</v>
      </c>
      <c r="Q99" s="168" t="str">
        <f t="shared" si="2"/>
        <v>A</v>
      </c>
      <c r="R99" s="168" t="str">
        <f t="shared" si="3"/>
        <v>A</v>
      </c>
      <c r="S99" s="168" t="str">
        <f t="shared" si="4"/>
        <v>A</v>
      </c>
      <c r="T99" s="168" t="str">
        <f t="shared" ref="T99:U99" si="101">IF(K99="Siap","A",IF(K99="Cukup Siap","B",IF(K99="Belum Siap","C","")))</f>
        <v>A</v>
      </c>
      <c r="U99" s="168" t="str">
        <f t="shared" si="101"/>
        <v>A</v>
      </c>
    </row>
    <row r="100">
      <c r="A100" s="167" t="str">
        <f>Kp!C102</f>
        <v>D250013</v>
      </c>
      <c r="B100" s="171" t="str">
        <f>Kp!B102</f>
        <v>Rizkia Aulia Az zahra </v>
      </c>
      <c r="C100" s="5" t="str">
        <f>Kp!D102</f>
        <v>MTs Putri</v>
      </c>
      <c r="D100" s="168">
        <f>IFERROR(VLOOKUP(A100, AQ!$B$2:$E$500, 3, FALSE),"-")</f>
        <v>90</v>
      </c>
      <c r="E100" s="168">
        <f>IFERROR(VLOOKUP(A100, AQ!$B$2:$E$500, 4, FALSE),"-")</f>
        <v>80</v>
      </c>
      <c r="F100" s="168" t="str">
        <f>IFERROR(VLOOKUP(A100, AQ!$B$2:$F$500, 5, FALSE),"-")</f>
        <v>A. Diterima</v>
      </c>
      <c r="G100" s="168">
        <f>IFERROR(VLOOKUP($A100,A.M!$C$3:$BC$500,53,0),"-")</f>
        <v>90</v>
      </c>
      <c r="H100" s="168" t="str">
        <f>IFERROR(VLOOKUP($A100,A.IL!$C$3:$BC$500,53,0),"-")</f>
        <v>-</v>
      </c>
      <c r="I100" s="168" t="str">
        <f>IFERROR(VLOOKUP($A100,A.S!$C$3:$BC$500,53,0),"-")</f>
        <v>-</v>
      </c>
      <c r="J100" s="168">
        <f>IFERROR(vlookup($A100,Kp!$C101:$JF$500,264,0),"-")</f>
        <v>2</v>
      </c>
      <c r="K100" s="168" t="str">
        <f>IFERROR(vlookup($A100,W.S!$D$2:$X$500,21,0),"-")</f>
        <v>Siap</v>
      </c>
      <c r="L100" s="168" t="str">
        <f>IFERROR(vlookup($A100,Ks!$C$2:$X$500,20,0),"-")</f>
        <v>Siap</v>
      </c>
      <c r="M100" s="168" t="str">
        <f>IFERROR(vlookup($A100,W.O!$E$2:$U$500,16,0),"-")</f>
        <v>Diterima</v>
      </c>
      <c r="N100" s="169" t="s">
        <v>70</v>
      </c>
      <c r="O100" s="178" t="s">
        <v>73</v>
      </c>
      <c r="Q100" s="168" t="str">
        <f t="shared" si="2"/>
        <v>A</v>
      </c>
      <c r="R100" s="168" t="str">
        <f t="shared" si="3"/>
        <v>A</v>
      </c>
      <c r="S100" s="168" t="str">
        <f t="shared" si="4"/>
        <v>B</v>
      </c>
      <c r="T100" s="168" t="str">
        <f t="shared" ref="T100:U100" si="102">IF(K100="Siap","A",IF(K100="Cukup Siap","B",IF(K100="Belum Siap","C","")))</f>
        <v>A</v>
      </c>
      <c r="U100" s="168" t="str">
        <f t="shared" si="102"/>
        <v>A</v>
      </c>
    </row>
    <row r="101">
      <c r="A101" s="167" t="str">
        <f>Kp!C103</f>
        <v>A250078</v>
      </c>
      <c r="B101" s="11" t="str">
        <f>Kp!B103</f>
        <v>umar syahid</v>
      </c>
      <c r="C101" s="5" t="str">
        <f>Kp!D103</f>
        <v>MTs Putra</v>
      </c>
      <c r="D101" s="168">
        <f>IFERROR(VLOOKUP(A101, AQ!$B$2:$E$500, 3, FALSE),"-")</f>
        <v>74</v>
      </c>
      <c r="E101" s="168">
        <f>IFERROR(VLOOKUP(A101, AQ!$B$2:$E$500, 4, FALSE),"-")</f>
        <v>75</v>
      </c>
      <c r="F101" s="168" t="str">
        <f>IFERROR(VLOOKUP(A101, AQ!$B$2:$F$500, 5, FALSE),"-")</f>
        <v>B. Cadangan</v>
      </c>
      <c r="G101" s="168">
        <f>IFERROR(VLOOKUP($A101,A.M!$C$3:$BC$500,53,0),"-")</f>
        <v>75</v>
      </c>
      <c r="H101" s="168" t="str">
        <f>IFERROR(VLOOKUP($A101,A.IL!$C$3:$BC$500,53,0),"-")</f>
        <v>-</v>
      </c>
      <c r="I101" s="168" t="str">
        <f>IFERROR(VLOOKUP($A101,A.S!$C$3:$BC$500,53,0),"-")</f>
        <v>-</v>
      </c>
      <c r="J101" s="168">
        <f>IFERROR(vlookup($A101,Kp!$C102:$JF$500,264,0),"-")</f>
        <v>3</v>
      </c>
      <c r="K101" s="168" t="str">
        <f>IFERROR(vlookup($A101,W.S!$D$2:$X$500,21,0),"-")</f>
        <v>Siap</v>
      </c>
      <c r="L101" s="168" t="str">
        <f>IFERROR(vlookup($A101,Ks!$C$2:$X$500,20,0),"-")</f>
        <v>Siap</v>
      </c>
      <c r="M101" s="168" t="str">
        <f>IFERROR(vlookup($A101,W.O!$E$2:$U$500,16,0),"-")</f>
        <v>Diterima</v>
      </c>
      <c r="N101" s="169" t="s">
        <v>85</v>
      </c>
      <c r="O101" s="170" t="s">
        <v>71</v>
      </c>
      <c r="Q101" s="168" t="str">
        <f t="shared" si="2"/>
        <v>B</v>
      </c>
      <c r="R101" s="168" t="str">
        <f t="shared" si="3"/>
        <v>A</v>
      </c>
      <c r="S101" s="168" t="str">
        <f t="shared" si="4"/>
        <v>C</v>
      </c>
      <c r="T101" s="168" t="str">
        <f t="shared" ref="T101:U101" si="103">IF(K101="Siap","A",IF(K101="Cukup Siap","B",IF(K101="Belum Siap","C","")))</f>
        <v>A</v>
      </c>
      <c r="U101" s="168" t="str">
        <f t="shared" si="103"/>
        <v>A</v>
      </c>
    </row>
    <row r="102">
      <c r="A102" s="167" t="str">
        <f>Kp!C104</f>
        <v>C250016</v>
      </c>
      <c r="B102" s="180" t="str">
        <f>Kp!B104</f>
        <v>FATHAN SYAHRIL SUSENO</v>
      </c>
      <c r="C102" s="5" t="str">
        <f>Kp!D104</f>
        <v>SMA</v>
      </c>
      <c r="D102" s="168">
        <f>IFERROR(VLOOKUP(A102, AQ!$B$2:$E$500, 3, FALSE),"-")</f>
        <v>85</v>
      </c>
      <c r="E102" s="168">
        <f>IFERROR(VLOOKUP(A102, AQ!$B$2:$E$500, 4, FALSE),"-")</f>
        <v>70</v>
      </c>
      <c r="F102" s="168" t="str">
        <f>IFERROR(VLOOKUP(A102, AQ!$B$2:$F$500, 5, FALSE),"-")</f>
        <v>C. Ditolak</v>
      </c>
      <c r="G102" s="168" t="str">
        <f>IFERROR(VLOOKUP($A102,A.M!$C$3:$BC$500,53,0),"-")</f>
        <v>-</v>
      </c>
      <c r="H102" s="168" t="str">
        <f>IFERROR(VLOOKUP($A102,A.IL!$C$3:$BC$500,53,0),"-")</f>
        <v>-</v>
      </c>
      <c r="I102" s="168">
        <f>IFERROR(VLOOKUP($A102,A.S!$C$3:$BC$500,53,0),"-")</f>
        <v>70</v>
      </c>
      <c r="J102" s="168">
        <f>IFERROR(vlookup($A102,Kp!$C103:$JF$500,264,0),"-")</f>
        <v>0</v>
      </c>
      <c r="K102" s="168" t="str">
        <f>IFERROR(vlookup($A102,W.S!$D$2:$X$500,21,0),"-")</f>
        <v>Siap</v>
      </c>
      <c r="L102" s="168" t="str">
        <f>IFERROR(vlookup($A102,Ks!$C$2:$X$500,20,0),"-")</f>
        <v>Siap</v>
      </c>
      <c r="M102" s="168" t="str">
        <f>IFERROR(vlookup($A102,W.O!$E$2:$U$500,16,0),"-")</f>
        <v>Diterima</v>
      </c>
      <c r="N102" s="177"/>
      <c r="O102" s="181" t="s">
        <v>76</v>
      </c>
      <c r="P102" s="182" t="s">
        <v>86</v>
      </c>
      <c r="Q102" s="168" t="str">
        <f t="shared" si="2"/>
        <v>C</v>
      </c>
      <c r="R102" s="168" t="str">
        <f t="shared" si="3"/>
        <v>B</v>
      </c>
      <c r="S102" s="168" t="str">
        <f t="shared" si="4"/>
        <v>A</v>
      </c>
      <c r="T102" s="168" t="str">
        <f t="shared" ref="T102:U102" si="104">IF(K102="Siap","A",IF(K102="Cukup Siap","B",IF(K102="Belum Siap","C","")))</f>
        <v>A</v>
      </c>
      <c r="U102" s="168" t="str">
        <f t="shared" si="104"/>
        <v>A</v>
      </c>
    </row>
    <row r="103">
      <c r="A103" s="167" t="str">
        <f>Kp!C105</f>
        <v>B250023</v>
      </c>
      <c r="B103" s="171" t="str">
        <f>Kp!B105</f>
        <v>Muhammad Dafa Athallah</v>
      </c>
      <c r="C103" s="5" t="str">
        <f>Kp!D105</f>
        <v>IL Putra</v>
      </c>
      <c r="D103" s="168">
        <f>IFERROR(VLOOKUP(A103, AQ!$B$2:$E$500, 3, FALSE),"-")</f>
        <v>88</v>
      </c>
      <c r="E103" s="168">
        <f>IFERROR(VLOOKUP(A103, AQ!$B$2:$E$500, 4, FALSE),"-")</f>
        <v>86</v>
      </c>
      <c r="F103" s="168" t="str">
        <f>IFERROR(VLOOKUP(A103, AQ!$B$2:$F$500, 5, FALSE),"-")</f>
        <v>A. Diterima</v>
      </c>
      <c r="G103" s="168" t="str">
        <f>IFERROR(VLOOKUP($A103,A.M!$C$3:$BC$500,53,0),"-")</f>
        <v>-</v>
      </c>
      <c r="H103" s="168">
        <f>IFERROR(VLOOKUP($A103,A.IL!$C$3:$BC$500,53,0),"-")</f>
        <v>85</v>
      </c>
      <c r="I103" s="168" t="str">
        <f>IFERROR(VLOOKUP($A103,A.S!$C$3:$BC$500,53,0),"-")</f>
        <v>-</v>
      </c>
      <c r="J103" s="168">
        <f>IFERROR(vlookup($A103,Kp!$C104:$JF$500,264,0),"-")</f>
        <v>1</v>
      </c>
      <c r="K103" s="168" t="str">
        <f>IFERROR(vlookup($A103,W.S!$D$2:$X$500,21,0),"-")</f>
        <v>Siap</v>
      </c>
      <c r="L103" s="168" t="str">
        <f>IFERROR(vlookup($A103,Ks!$C$2:$X$500,20,0),"-")</f>
        <v>Siap</v>
      </c>
      <c r="M103" s="168" t="str">
        <f>IFERROR(vlookup($A103,W.O!$E$2:$U$500,16,0),"-")</f>
        <v>Diterima dengan catatan</v>
      </c>
      <c r="N103" s="177"/>
      <c r="O103" s="178" t="s">
        <v>73</v>
      </c>
      <c r="Q103" s="168" t="str">
        <f t="shared" si="2"/>
        <v>A</v>
      </c>
      <c r="R103" s="168" t="str">
        <f t="shared" si="3"/>
        <v>A</v>
      </c>
      <c r="S103" s="168" t="str">
        <f t="shared" si="4"/>
        <v>A</v>
      </c>
      <c r="T103" s="168" t="str">
        <f t="shared" ref="T103:U103" si="105">IF(K103="Siap","A",IF(K103="Cukup Siap","B",IF(K103="Belum Siap","C","")))</f>
        <v>A</v>
      </c>
      <c r="U103" s="168" t="str">
        <f t="shared" si="105"/>
        <v>A</v>
      </c>
    </row>
    <row r="104">
      <c r="A104" s="167" t="str">
        <f>Kp!C106</f>
        <v>B250027</v>
      </c>
      <c r="B104" s="11" t="str">
        <f>Kp!B106</f>
        <v>Farid</v>
      </c>
      <c r="C104" s="5" t="str">
        <f>Kp!D106</f>
        <v>IL Putra</v>
      </c>
      <c r="D104" s="168">
        <f>IFERROR(VLOOKUP(A104, AQ!$B$2:$E$500, 3, FALSE),"-")</f>
        <v>75</v>
      </c>
      <c r="E104" s="168">
        <f>IFERROR(VLOOKUP(A104, AQ!$B$2:$E$500, 4, FALSE),"-")</f>
        <v>73</v>
      </c>
      <c r="F104" s="168" t="str">
        <f>IFERROR(VLOOKUP(A104, AQ!$B$2:$F$500, 5, FALSE),"-")</f>
        <v>C. Ditolak</v>
      </c>
      <c r="G104" s="168" t="str">
        <f>IFERROR(VLOOKUP($A104,A.M!$C$3:$BC$500,53,0),"-")</f>
        <v>-</v>
      </c>
      <c r="H104" s="168">
        <f>IFERROR(VLOOKUP($A104,A.IL!$C$3:$BC$500,53,0),"-")</f>
        <v>50</v>
      </c>
      <c r="I104" s="168" t="str">
        <f>IFERROR(VLOOKUP($A104,A.S!$C$3:$BC$500,53,0),"-")</f>
        <v>-</v>
      </c>
      <c r="J104" s="168">
        <f>IFERROR(vlookup($A104,Kp!$C105:$JF$500,264,0),"-")</f>
        <v>0</v>
      </c>
      <c r="K104" s="168" t="str">
        <f>IFERROR(vlookup($A104,W.S!$D$2:$X$500,21,0),"-")</f>
        <v>Siap</v>
      </c>
      <c r="L104" s="168" t="str">
        <f>IFERROR(vlookup($A104,Ks!$C$2:$X$500,20,0),"-")</f>
        <v>Siap</v>
      </c>
      <c r="M104" s="168" t="str">
        <f>IFERROR(vlookup($A104,W.O!$E$2:$U$500,16,0),"-")</f>
        <v>Diterima dengan catatan</v>
      </c>
      <c r="N104" s="177"/>
      <c r="O104" s="170" t="s">
        <v>71</v>
      </c>
      <c r="Q104" s="168" t="str">
        <f t="shared" si="2"/>
        <v>C</v>
      </c>
      <c r="R104" s="168" t="str">
        <f t="shared" si="3"/>
        <v>C</v>
      </c>
      <c r="S104" s="168" t="str">
        <f t="shared" si="4"/>
        <v>A</v>
      </c>
      <c r="T104" s="168" t="str">
        <f t="shared" ref="T104:U104" si="106">IF(K104="Siap","A",IF(K104="Cukup Siap","B",IF(K104="Belum Siap","C","")))</f>
        <v>A</v>
      </c>
      <c r="U104" s="168" t="str">
        <f t="shared" si="106"/>
        <v>A</v>
      </c>
    </row>
    <row r="105">
      <c r="A105" s="167" t="str">
        <f>Kp!C107</f>
        <v>A250074</v>
      </c>
      <c r="B105" s="171" t="str">
        <f>Kp!B107</f>
        <v>Eshan Kazim</v>
      </c>
      <c r="C105" s="5" t="str">
        <f>Kp!D107</f>
        <v>MTs Putra</v>
      </c>
      <c r="D105" s="168">
        <f>IFERROR(VLOOKUP(A105, AQ!$B$2:$E$500, 3, FALSE),"-")</f>
        <v>99</v>
      </c>
      <c r="E105" s="168">
        <f>IFERROR(VLOOKUP(A105, AQ!$B$2:$E$500, 4, FALSE),"-")</f>
        <v>100</v>
      </c>
      <c r="F105" s="168" t="str">
        <f>IFERROR(VLOOKUP(A105, AQ!$B$2:$F$500, 5, FALSE),"-")</f>
        <v>A. Diterima</v>
      </c>
      <c r="G105" s="168">
        <f>IFERROR(VLOOKUP($A105,A.M!$C$3:$BC$500,53,0),"-")</f>
        <v>95</v>
      </c>
      <c r="H105" s="168" t="str">
        <f>IFERROR(VLOOKUP($A105,A.IL!$C$3:$BC$500,53,0),"-")</f>
        <v>-</v>
      </c>
      <c r="I105" s="168" t="str">
        <f>IFERROR(VLOOKUP($A105,A.S!$C$3:$BC$500,53,0),"-")</f>
        <v>-</v>
      </c>
      <c r="J105" s="168">
        <f>IFERROR(vlookup($A105,Kp!$C106:$JF$500,264,0),"-")</f>
        <v>0</v>
      </c>
      <c r="K105" s="168" t="str">
        <f>IFERROR(vlookup($A105,W.S!$D$2:$X$500,21,0),"-")</f>
        <v>Siap</v>
      </c>
      <c r="L105" s="168" t="str">
        <f>IFERROR(vlookup($A105,Ks!$C$2:$X$500,20,0),"-")</f>
        <v>Siap</v>
      </c>
      <c r="M105" s="168" t="str">
        <f>IFERROR(vlookup($A105,W.O!$E$2:$U$500,16,0),"-")</f>
        <v>Diterima</v>
      </c>
      <c r="N105" s="177"/>
      <c r="O105" s="178" t="s">
        <v>73</v>
      </c>
      <c r="Q105" s="168" t="str">
        <f t="shared" si="2"/>
        <v>A</v>
      </c>
      <c r="R105" s="168" t="str">
        <f t="shared" si="3"/>
        <v>A</v>
      </c>
      <c r="S105" s="168" t="str">
        <f t="shared" si="4"/>
        <v>A</v>
      </c>
      <c r="T105" s="168" t="str">
        <f t="shared" ref="T105:U105" si="107">IF(K105="Siap","A",IF(K105="Cukup Siap","B",IF(K105="Belum Siap","C","")))</f>
        <v>A</v>
      </c>
      <c r="U105" s="168" t="str">
        <f t="shared" si="107"/>
        <v>A</v>
      </c>
    </row>
    <row r="106">
      <c r="A106" s="167" t="str">
        <f>Kp!C108</f>
        <v>C250021</v>
      </c>
      <c r="B106" s="180" t="str">
        <f>Kp!B108</f>
        <v>Aditya Afhan Dhiyaulhaq Ilham</v>
      </c>
      <c r="C106" s="5" t="str">
        <f>Kp!D108</f>
        <v>SMA</v>
      </c>
      <c r="D106" s="168">
        <f>IFERROR(VLOOKUP(A106, AQ!$B$2:$E$500, 3, FALSE),"-")</f>
        <v>85</v>
      </c>
      <c r="E106" s="168">
        <f>IFERROR(VLOOKUP(A106, AQ!$B$2:$E$500, 4, FALSE),"-")</f>
        <v>85</v>
      </c>
      <c r="F106" s="168" t="str">
        <f>IFERROR(VLOOKUP(A106, AQ!$B$2:$F$500, 5, FALSE),"-")</f>
        <v>C. Ditolak</v>
      </c>
      <c r="G106" s="168" t="str">
        <f>IFERROR(VLOOKUP($A106,A.M!$C$3:$BC$500,53,0),"-")</f>
        <v>-</v>
      </c>
      <c r="H106" s="168" t="str">
        <f>IFERROR(VLOOKUP($A106,A.IL!$C$3:$BC$500,53,0),"-")</f>
        <v>-</v>
      </c>
      <c r="I106" s="168">
        <f>IFERROR(VLOOKUP($A106,A.S!$C$3:$BC$500,53,0),"-")</f>
        <v>75</v>
      </c>
      <c r="J106" s="168">
        <f>IFERROR(vlookup($A106,Kp!$C107:$JF$500,264,0),"-")</f>
        <v>1</v>
      </c>
      <c r="K106" s="168" t="str">
        <f>IFERROR(vlookup($A106,W.S!$D$2:$X$500,21,0),"-")</f>
        <v>Siap</v>
      </c>
      <c r="L106" s="168" t="str">
        <f>IFERROR(vlookup($A106,Ks!$C$2:$X$500,20,0),"-")</f>
        <v>Siap</v>
      </c>
      <c r="M106" s="168" t="str">
        <f>IFERROR(vlookup($A106,W.O!$E$2:$U$500,16,0),"-")</f>
        <v>Diterima</v>
      </c>
      <c r="N106" s="177"/>
      <c r="O106" s="181" t="s">
        <v>76</v>
      </c>
      <c r="Q106" s="168" t="str">
        <f t="shared" si="2"/>
        <v>C</v>
      </c>
      <c r="R106" s="168" t="str">
        <f t="shared" si="3"/>
        <v>A</v>
      </c>
      <c r="S106" s="168" t="str">
        <f t="shared" si="4"/>
        <v>A</v>
      </c>
      <c r="T106" s="168" t="str">
        <f t="shared" ref="T106:U106" si="108">IF(K106="Siap","A",IF(K106="Cukup Siap","B",IF(K106="Belum Siap","C","")))</f>
        <v>A</v>
      </c>
      <c r="U106" s="168" t="str">
        <f t="shared" si="108"/>
        <v>A</v>
      </c>
    </row>
    <row r="107">
      <c r="A107" s="167" t="str">
        <f>Kp!C109</f>
        <v>C250023</v>
      </c>
      <c r="B107" s="180" t="str">
        <f>Kp!B109</f>
        <v>Muhammad irsyad</v>
      </c>
      <c r="C107" s="5" t="str">
        <f>Kp!D109</f>
        <v>SMA</v>
      </c>
      <c r="D107" s="168">
        <f>IFERROR(VLOOKUP(A107, AQ!$B$2:$E$500, 3, FALSE),"-")</f>
        <v>85</v>
      </c>
      <c r="E107" s="168">
        <f>IFERROR(VLOOKUP(A107, AQ!$B$2:$E$500, 4, FALSE),"-")</f>
        <v>85</v>
      </c>
      <c r="F107" s="168" t="str">
        <f>IFERROR(VLOOKUP(A107, AQ!$B$2:$F$500, 5, FALSE),"-")</f>
        <v>C. Ditolak</v>
      </c>
      <c r="G107" s="168" t="str">
        <f>IFERROR(VLOOKUP($A107,A.M!$C$3:$BC$500,53,0),"-")</f>
        <v>-</v>
      </c>
      <c r="H107" s="168" t="str">
        <f>IFERROR(VLOOKUP($A107,A.IL!$C$3:$BC$500,53,0),"-")</f>
        <v>-</v>
      </c>
      <c r="I107" s="168">
        <f>IFERROR(VLOOKUP($A107,A.S!$C$3:$BC$500,53,0),"-")</f>
        <v>60</v>
      </c>
      <c r="J107" s="168">
        <f>IFERROR(vlookup($A107,Kp!$C108:$JF$500,264,0),"-")</f>
        <v>0</v>
      </c>
      <c r="K107" s="168" t="str">
        <f>IFERROR(vlookup($A107,W.S!$D$2:$X$500,21,0),"-")</f>
        <v>Siap</v>
      </c>
      <c r="L107" s="168" t="str">
        <f>IFERROR(vlookup($A107,Ks!$C$2:$X$500,20,0),"-")</f>
        <v>Siap</v>
      </c>
      <c r="M107" s="168" t="str">
        <f>IFERROR(vlookup($A107,W.O!$E$2:$U$500,16,0),"-")</f>
        <v>Diterima</v>
      </c>
      <c r="O107" s="181" t="s">
        <v>76</v>
      </c>
      <c r="P107" s="169" t="s">
        <v>87</v>
      </c>
      <c r="Q107" s="168" t="str">
        <f t="shared" si="2"/>
        <v>C</v>
      </c>
      <c r="R107" s="168" t="str">
        <f t="shared" si="3"/>
        <v>B</v>
      </c>
      <c r="S107" s="168" t="str">
        <f t="shared" si="4"/>
        <v>A</v>
      </c>
      <c r="T107" s="168" t="str">
        <f t="shared" ref="T107:U107" si="109">IF(K107="Siap","A",IF(K107="Cukup Siap","B",IF(K107="Belum Siap","C","")))</f>
        <v>A</v>
      </c>
      <c r="U107" s="168" t="str">
        <f t="shared" si="109"/>
        <v>A</v>
      </c>
    </row>
    <row r="108">
      <c r="A108" s="167" t="str">
        <f>Kp!C110</f>
        <v>C250018</v>
      </c>
      <c r="B108" s="180" t="str">
        <f>Kp!B110</f>
        <v>Kamil Iskandar </v>
      </c>
      <c r="C108" s="5" t="str">
        <f>Kp!D110</f>
        <v>SMA</v>
      </c>
      <c r="D108" s="168">
        <f>IFERROR(VLOOKUP(A108, AQ!$B$2:$E$500, 3, FALSE),"-")</f>
        <v>83</v>
      </c>
      <c r="E108" s="168">
        <f>IFERROR(VLOOKUP(A108, AQ!$B$2:$E$500, 4, FALSE),"-")</f>
        <v>73</v>
      </c>
      <c r="F108" s="168" t="str">
        <f>IFERROR(VLOOKUP(A108, AQ!$B$2:$F$500, 5, FALSE),"-")</f>
        <v>B. Cadangan</v>
      </c>
      <c r="G108" s="168" t="str">
        <f>IFERROR(VLOOKUP($A108,A.M!$C$3:$BC$500,53,0),"-")</f>
        <v>-</v>
      </c>
      <c r="H108" s="168" t="str">
        <f>IFERROR(VLOOKUP($A108,A.IL!$C$3:$BC$500,53,0),"-")</f>
        <v>-</v>
      </c>
      <c r="I108" s="168">
        <f>IFERROR(VLOOKUP($A108,A.S!$C$3:$BC$500,53,0),"-")</f>
        <v>25</v>
      </c>
      <c r="J108" s="168">
        <f>IFERROR(vlookup($A108,Kp!$C109:$JF$500,264,0),"-")</f>
        <v>0</v>
      </c>
      <c r="K108" s="168" t="str">
        <f>IFERROR(vlookup($A108,W.S!$D$2:$X$500,21,0),"-")</f>
        <v>Siap</v>
      </c>
      <c r="L108" s="168" t="str">
        <f>IFERROR(vlookup($A108,Ks!$C$2:$X$500,20,0),"-")</f>
        <v>Siap</v>
      </c>
      <c r="M108" s="168" t="str">
        <f>IFERROR(vlookup($A108,W.O!$E$2:$U$500,16,0),"-")</f>
        <v>Diterima</v>
      </c>
      <c r="N108" s="177"/>
      <c r="O108" s="181" t="s">
        <v>76</v>
      </c>
      <c r="P108" s="182" t="s">
        <v>88</v>
      </c>
      <c r="Q108" s="168" t="str">
        <f t="shared" si="2"/>
        <v>B</v>
      </c>
      <c r="R108" s="168" t="str">
        <f t="shared" si="3"/>
        <v>C</v>
      </c>
      <c r="S108" s="168" t="str">
        <f t="shared" si="4"/>
        <v>A</v>
      </c>
      <c r="T108" s="168" t="str">
        <f t="shared" ref="T108:U108" si="110">IF(K108="Siap","A",IF(K108="Cukup Siap","B",IF(K108="Belum Siap","C","")))</f>
        <v>A</v>
      </c>
      <c r="U108" s="168" t="str">
        <f t="shared" si="110"/>
        <v>A</v>
      </c>
    </row>
    <row r="109">
      <c r="A109" s="167" t="str">
        <f>Kp!C111</f>
        <v>C250010</v>
      </c>
      <c r="B109" s="180" t="str">
        <f>Kp!B111</f>
        <v>MUHAMMAD HILMAN ALFARISI </v>
      </c>
      <c r="C109" s="5" t="str">
        <f>Kp!D111</f>
        <v>SMA</v>
      </c>
      <c r="D109" s="168">
        <f>IFERROR(VLOOKUP(A109, AQ!$B$2:$E$500, 3, FALSE),"-")</f>
        <v>90</v>
      </c>
      <c r="E109" s="168">
        <f>IFERROR(VLOOKUP(A109, AQ!$B$2:$E$500, 4, FALSE),"-")</f>
        <v>90</v>
      </c>
      <c r="F109" s="168" t="str">
        <f>IFERROR(VLOOKUP(A109, AQ!$B$2:$F$500, 5, FALSE),"-")</f>
        <v>A. Diterima</v>
      </c>
      <c r="G109" s="168" t="str">
        <f>IFERROR(VLOOKUP($A109,A.M!$C$3:$BC$500,53,0),"-")</f>
        <v>-</v>
      </c>
      <c r="H109" s="168" t="str">
        <f>IFERROR(VLOOKUP($A109,A.IL!$C$3:$BC$500,53,0),"-")</f>
        <v>-</v>
      </c>
      <c r="I109" s="168">
        <f>IFERROR(VLOOKUP($A109,A.S!$C$3:$BC$500,53,0),"-")</f>
        <v>50</v>
      </c>
      <c r="J109" s="168">
        <f>IFERROR(vlookup($A109,Kp!$C110:$JF$500,264,0),"-")</f>
        <v>2</v>
      </c>
      <c r="K109" s="168" t="str">
        <f>IFERROR(vlookup($A109,W.S!$D$2:$X$500,21,0),"-")</f>
        <v>Siap</v>
      </c>
      <c r="L109" s="168" t="str">
        <f>IFERROR(vlookup($A109,Ks!$C$2:$X$500,20,0),"-")</f>
        <v>Siap</v>
      </c>
      <c r="M109" s="168" t="str">
        <f>IFERROR(vlookup($A109,W.O!$E$2:$U$500,16,0),"-")</f>
        <v>Diterima</v>
      </c>
      <c r="N109" s="177"/>
      <c r="O109" s="181" t="s">
        <v>76</v>
      </c>
      <c r="P109" s="182" t="s">
        <v>89</v>
      </c>
      <c r="Q109" s="168" t="str">
        <f t="shared" si="2"/>
        <v>A</v>
      </c>
      <c r="R109" s="168" t="str">
        <f t="shared" si="3"/>
        <v>C</v>
      </c>
      <c r="S109" s="168" t="str">
        <f t="shared" si="4"/>
        <v>B</v>
      </c>
      <c r="T109" s="168" t="str">
        <f t="shared" ref="T109:U109" si="111">IF(K109="Siap","A",IF(K109="Cukup Siap","B",IF(K109="Belum Siap","C","")))</f>
        <v>A</v>
      </c>
      <c r="U109" s="168" t="str">
        <f t="shared" si="111"/>
        <v>A</v>
      </c>
    </row>
    <row r="110">
      <c r="A110" s="167" t="str">
        <f>Kp!C112</f>
        <v>A250022</v>
      </c>
      <c r="B110" s="175" t="str">
        <f>Kp!B112</f>
        <v>Arjuna Permana putra </v>
      </c>
      <c r="C110" s="5" t="str">
        <f>Kp!D112</f>
        <v>MTs Putra</v>
      </c>
      <c r="F110" s="168" t="str">
        <f>IFERROR(VLOOKUP(A110, AQ!$B$2:$F$500, 5, FALSE),"-")</f>
        <v>A. Diterima</v>
      </c>
      <c r="G110" s="168">
        <f>IFERROR(VLOOKUP($A110,A.M!$C$3:$BC$500,53,0),"-")</f>
        <v>90</v>
      </c>
      <c r="H110" s="168" t="str">
        <f>IFERROR(VLOOKUP($A110,A.IL!$C$3:$BC$500,53,0),"-")</f>
        <v>-</v>
      </c>
      <c r="I110" s="168" t="str">
        <f>IFERROR(VLOOKUP($A110,A.S!$C$3:$BC$500,53,0),"-")</f>
        <v>-</v>
      </c>
      <c r="J110" s="168">
        <f>IFERROR(vlookup($A110,Kp!$C111:$JF$500,264,0),"-")</f>
        <v>4</v>
      </c>
      <c r="K110" s="168" t="str">
        <f>IFERROR(vlookup($A110,W.S!$D$2:$X$500,21,0),"-")</f>
        <v>Siap</v>
      </c>
      <c r="L110" s="168" t="str">
        <f>IFERROR(vlookup($A110,Ks!$C$2:$X$500,20,0),"-")</f>
        <v>Siap</v>
      </c>
      <c r="M110" s="168" t="str">
        <f>IFERROR(vlookup($A110,W.O!$E$2:$U$500,16,0),"-")</f>
        <v>Diterima dengan catatan</v>
      </c>
      <c r="N110" s="177"/>
      <c r="O110" s="179" t="s">
        <v>74</v>
      </c>
      <c r="Q110" s="168" t="str">
        <f t="shared" si="2"/>
        <v>A</v>
      </c>
      <c r="R110" s="168" t="str">
        <f t="shared" si="3"/>
        <v>A</v>
      </c>
      <c r="S110" s="168" t="str">
        <f t="shared" si="4"/>
        <v>C</v>
      </c>
      <c r="T110" s="168" t="str">
        <f t="shared" ref="T110:U110" si="112">IF(K110="Siap","A",IF(K110="Cukup Siap","B",IF(K110="Belum Siap","C","")))</f>
        <v>A</v>
      </c>
      <c r="U110" s="168" t="str">
        <f t="shared" si="112"/>
        <v>A</v>
      </c>
    </row>
    <row r="111">
      <c r="A111" s="167" t="str">
        <f>Kp!C113</f>
        <v>D250021</v>
      </c>
      <c r="B111" s="171" t="str">
        <f>Kp!B113</f>
        <v>Alika Aisyah Putri </v>
      </c>
      <c r="C111" s="5" t="str">
        <f>Kp!D113</f>
        <v>MTs Putri</v>
      </c>
      <c r="F111" s="168" t="str">
        <f>IFERROR(VLOOKUP(A111, AQ!$B$2:$F$500, 5, FALSE),"-")</f>
        <v>A. Diterima</v>
      </c>
      <c r="G111" s="168">
        <f>IFERROR(VLOOKUP($A111,A.M!$C$3:$BC$500,53,0),"-")</f>
        <v>75</v>
      </c>
      <c r="H111" s="168" t="str">
        <f>IFERROR(VLOOKUP($A111,A.IL!$C$3:$BC$500,53,0),"-")</f>
        <v>-</v>
      </c>
      <c r="I111" s="168" t="str">
        <f>IFERROR(VLOOKUP($A111,A.S!$C$3:$BC$500,53,0),"-")</f>
        <v>-</v>
      </c>
      <c r="J111" s="168">
        <f>IFERROR(vlookup($A111,Kp!$C112:$JF$500,264,0),"-")</f>
        <v>0</v>
      </c>
      <c r="K111" s="168" t="str">
        <f>IFERROR(vlookup($A111,W.S!$D$2:$X$500,21,0),"-")</f>
        <v>Siap</v>
      </c>
      <c r="L111" s="168" t="str">
        <f>IFERROR(vlookup($A111,Ks!$C$2:$X$500,20,0),"-")</f>
        <v>Siap</v>
      </c>
      <c r="M111" s="168" t="str">
        <f>IFERROR(vlookup($A111,W.O!$E$2:$U$500,16,0),"-")</f>
        <v>Diterima</v>
      </c>
      <c r="N111" s="177"/>
      <c r="O111" s="178" t="s">
        <v>73</v>
      </c>
      <c r="Q111" s="168" t="str">
        <f t="shared" si="2"/>
        <v>A</v>
      </c>
      <c r="R111" s="168" t="str">
        <f t="shared" si="3"/>
        <v>A</v>
      </c>
      <c r="S111" s="168" t="str">
        <f t="shared" si="4"/>
        <v>A</v>
      </c>
      <c r="T111" s="168" t="str">
        <f t="shared" ref="T111:U111" si="113">IF(K111="Siap","A",IF(K111="Cukup Siap","B",IF(K111="Belum Siap","C","")))</f>
        <v>A</v>
      </c>
      <c r="U111" s="168" t="str">
        <f t="shared" si="113"/>
        <v>A</v>
      </c>
    </row>
    <row r="112">
      <c r="A112" s="167" t="str">
        <f>Kp!C114</f>
        <v>D250018</v>
      </c>
      <c r="B112" s="171" t="str">
        <f>Kp!B114</f>
        <v>Syahira Zahratul Islam</v>
      </c>
      <c r="C112" s="5" t="str">
        <f>Kp!D114</f>
        <v>MTs Putri</v>
      </c>
      <c r="F112" s="168" t="str">
        <f>IFERROR(VLOOKUP(A112, AQ!$B$2:$F$500, 5, FALSE),"-")</f>
        <v>A. Diterima</v>
      </c>
      <c r="G112" s="168">
        <f>IFERROR(VLOOKUP($A112,A.M!$C$3:$BC$500,53,0),"-")</f>
        <v>90</v>
      </c>
      <c r="H112" s="168" t="str">
        <f>IFERROR(VLOOKUP($A112,A.IL!$C$3:$BC$500,53,0),"-")</f>
        <v>-</v>
      </c>
      <c r="I112" s="168" t="str">
        <f>IFERROR(VLOOKUP($A112,A.S!$C$3:$BC$500,53,0),"-")</f>
        <v>-</v>
      </c>
      <c r="J112" s="168">
        <f>IFERROR(vlookup($A112,Kp!$C113:$JF$500,264,0),"-")</f>
        <v>1</v>
      </c>
      <c r="K112" s="168" t="str">
        <f>IFERROR(vlookup($A112,W.S!$D$2:$X$500,21,0),"-")</f>
        <v>Siap</v>
      </c>
      <c r="L112" s="168" t="str">
        <f>IFERROR(vlookup($A112,Ks!$C$2:$X$500,20,0),"-")</f>
        <v>Siap</v>
      </c>
      <c r="M112" s="168" t="str">
        <f>IFERROR(vlookup($A112,W.O!$E$2:$U$500,16,0),"-")</f>
        <v>Diterima</v>
      </c>
      <c r="N112" s="177"/>
      <c r="O112" s="178" t="s">
        <v>73</v>
      </c>
      <c r="Q112" s="168" t="str">
        <f t="shared" si="2"/>
        <v>A</v>
      </c>
      <c r="R112" s="168" t="str">
        <f t="shared" si="3"/>
        <v>A</v>
      </c>
      <c r="S112" s="168" t="str">
        <f t="shared" si="4"/>
        <v>A</v>
      </c>
      <c r="T112" s="168" t="str">
        <f t="shared" ref="T112:U112" si="114">IF(K112="Siap","A",IF(K112="Cukup Siap","B",IF(K112="Belum Siap","C","")))</f>
        <v>A</v>
      </c>
      <c r="U112" s="168" t="str">
        <f t="shared" si="114"/>
        <v>A</v>
      </c>
    </row>
    <row r="113">
      <c r="A113" s="167" t="str">
        <f>Kp!C115</f>
        <v>C250006</v>
      </c>
      <c r="B113" s="175" t="str">
        <f>Kp!B115</f>
        <v>M. Daffa Barokah </v>
      </c>
      <c r="C113" s="5" t="str">
        <f>Kp!D115</f>
        <v>IL Putra</v>
      </c>
      <c r="F113" s="168" t="str">
        <f>IFERROR(VLOOKUP(A113, AQ!$B$2:$F$500, 5, FALSE),"-")</f>
        <v>C. Ditolak</v>
      </c>
      <c r="G113" s="168" t="str">
        <f>IFERROR(VLOOKUP($A113,A.M!$C$3:$BC$500,53,0),"-")</f>
        <v>-</v>
      </c>
      <c r="H113" s="168">
        <f>IFERROR(VLOOKUP($A113,A.IL!$C$3:$BC$500,53,0),"-")</f>
        <v>95</v>
      </c>
      <c r="I113" s="168" t="str">
        <f>IFERROR(VLOOKUP($A113,A.S!$C$3:$BC$500,53,0),"-")</f>
        <v>-</v>
      </c>
      <c r="J113" s="168">
        <f>IFERROR(vlookup($A113,Kp!$C114:$JF$500,264,0),"-")</f>
        <v>1</v>
      </c>
      <c r="K113" s="168" t="str">
        <f>IFERROR(vlookup($A113,W.S!$D$2:$X$500,21,0),"-")</f>
        <v>Cukup Siap</v>
      </c>
      <c r="L113" s="168" t="str">
        <f>IFERROR(vlookup($A113,Ks!$C$2:$X$500,20,0),"-")</f>
        <v>Siap</v>
      </c>
      <c r="M113" s="168" t="str">
        <f>IFERROR(vlookup($A113,W.O!$E$2:$U$500,16,0),"-")</f>
        <v>Diterima</v>
      </c>
      <c r="N113" s="177"/>
      <c r="O113" s="179" t="s">
        <v>74</v>
      </c>
      <c r="Q113" s="168" t="str">
        <f t="shared" si="2"/>
        <v>C</v>
      </c>
      <c r="R113" s="168" t="str">
        <f t="shared" si="3"/>
        <v>A</v>
      </c>
      <c r="S113" s="168" t="str">
        <f t="shared" si="4"/>
        <v>A</v>
      </c>
      <c r="T113" s="168" t="str">
        <f t="shared" ref="T113:U113" si="115">IF(K113="Siap","A",IF(K113="Cukup Siap","B",IF(K113="Belum Siap","C","")))</f>
        <v>B</v>
      </c>
      <c r="U113" s="168" t="str">
        <f t="shared" si="115"/>
        <v>A</v>
      </c>
    </row>
    <row r="114">
      <c r="A114" s="167" t="str">
        <f>Kp!C116</f>
        <v>A250030</v>
      </c>
      <c r="B114" s="171" t="str">
        <f>Kp!B116</f>
        <v>Ahmad Kamaludi</v>
      </c>
      <c r="C114" s="5" t="str">
        <f>Kp!D116</f>
        <v>MTs Putra</v>
      </c>
      <c r="F114" s="168" t="str">
        <f>IFERROR(VLOOKUP(A114, AQ!$B$2:$F$500, 5, FALSE),"-")</f>
        <v>A. Diterima</v>
      </c>
      <c r="G114" s="168">
        <f>IFERROR(VLOOKUP($A114,A.M!$C$3:$BC$500,53,0),"-")</f>
        <v>75</v>
      </c>
      <c r="H114" s="168" t="str">
        <f>IFERROR(VLOOKUP($A114,A.IL!$C$3:$BC$500,53,0),"-")</f>
        <v>-</v>
      </c>
      <c r="I114" s="168" t="str">
        <f>IFERROR(VLOOKUP($A114,A.S!$C$3:$BC$500,53,0),"-")</f>
        <v>-</v>
      </c>
      <c r="J114" s="168">
        <f>IFERROR(vlookup($A114,Kp!$C115:$JF$500,264,0),"-")</f>
        <v>1</v>
      </c>
      <c r="K114" s="168" t="str">
        <f>IFERROR(vlookup($A114,W.S!$D$2:$X$500,21,0),"-")</f>
        <v>Cukup Siap</v>
      </c>
      <c r="L114" s="168" t="str">
        <f>IFERROR(vlookup($A114,Ks!$C$2:$X$500,20,0),"-")</f>
        <v>Siap</v>
      </c>
      <c r="M114" s="168" t="str">
        <f>IFERROR(vlookup($A114,W.O!$E$2:$U$500,16,0),"-")</f>
        <v>Diterima</v>
      </c>
      <c r="N114" s="177"/>
      <c r="O114" s="178" t="s">
        <v>73</v>
      </c>
      <c r="Q114" s="168" t="str">
        <f t="shared" si="2"/>
        <v>A</v>
      </c>
      <c r="R114" s="168" t="str">
        <f t="shared" si="3"/>
        <v>A</v>
      </c>
      <c r="S114" s="168" t="str">
        <f t="shared" si="4"/>
        <v>A</v>
      </c>
      <c r="T114" s="168" t="str">
        <f t="shared" ref="T114:U114" si="116">IF(K114="Siap","A",IF(K114="Cukup Siap","B",IF(K114="Belum Siap","C","")))</f>
        <v>B</v>
      </c>
      <c r="U114" s="168" t="str">
        <f t="shared" si="116"/>
        <v>A</v>
      </c>
    </row>
    <row r="115">
      <c r="A115" s="167" t="str">
        <f>Kp!C117</f>
        <v>A250077</v>
      </c>
      <c r="B115" s="171" t="str">
        <f>Kp!B117</f>
        <v>Abdurrahman</v>
      </c>
      <c r="C115" s="5" t="str">
        <f>Kp!D117</f>
        <v>MTs Putra</v>
      </c>
      <c r="F115" s="168" t="str">
        <f>IFERROR(VLOOKUP(A115, AQ!$B$2:$F$500, 5, FALSE),"-")</f>
        <v>A. Diterima</v>
      </c>
      <c r="G115" s="168">
        <f>IFERROR(VLOOKUP($A115,A.M!$C$3:$BC$500,53,0),"-")</f>
        <v>85</v>
      </c>
      <c r="H115" s="168" t="str">
        <f>IFERROR(VLOOKUP($A115,A.IL!$C$3:$BC$500,53,0),"-")</f>
        <v>-</v>
      </c>
      <c r="I115" s="168" t="str">
        <f>IFERROR(VLOOKUP($A115,A.S!$C$3:$BC$500,53,0),"-")</f>
        <v>-</v>
      </c>
      <c r="J115" s="168">
        <f>IFERROR(vlookup($A115,Kp!$C116:$JF$500,264,0),"-")</f>
        <v>1</v>
      </c>
      <c r="K115" s="168" t="str">
        <f>IFERROR(vlookup($A115,W.S!$D$2:$X$500,21,0),"-")</f>
        <v>Siap</v>
      </c>
      <c r="L115" s="168" t="str">
        <f>IFERROR(vlookup($A115,Ks!$C$2:$X$500,20,0),"-")</f>
        <v>Siap</v>
      </c>
      <c r="M115" s="168" t="str">
        <f>IFERROR(vlookup($A115,W.O!$E$2:$U$500,16,0),"-")</f>
        <v>Diterima</v>
      </c>
      <c r="N115" s="177"/>
      <c r="O115" s="185" t="s">
        <v>73</v>
      </c>
      <c r="Q115" s="168" t="str">
        <f t="shared" si="2"/>
        <v>A</v>
      </c>
      <c r="R115" s="168" t="str">
        <f t="shared" si="3"/>
        <v>A</v>
      </c>
      <c r="S115" s="168" t="str">
        <f t="shared" si="4"/>
        <v>A</v>
      </c>
      <c r="T115" s="168" t="str">
        <f t="shared" ref="T115:U115" si="117">IF(K115="Siap","A",IF(K115="Cukup Siap","B",IF(K115="Belum Siap","C","")))</f>
        <v>A</v>
      </c>
      <c r="U115" s="168" t="str">
        <f t="shared" si="117"/>
        <v>A</v>
      </c>
    </row>
    <row r="116">
      <c r="A116" s="167" t="str">
        <f>Kp!C118</f>
        <v>B250011</v>
      </c>
      <c r="B116" s="175" t="str">
        <f>Kp!B118</f>
        <v>Muhammad risky shapin</v>
      </c>
      <c r="C116" s="5" t="str">
        <f>Kp!D118</f>
        <v>SMA</v>
      </c>
      <c r="F116" s="168" t="str">
        <f>IFERROR(VLOOKUP(A116, AQ!$B$2:$F$500, 5, FALSE),"-")</f>
        <v>A. Diterima</v>
      </c>
      <c r="G116" s="168" t="str">
        <f>IFERROR(VLOOKUP($A116,A.M!$C$3:$BC$500,53,0),"-")</f>
        <v>-</v>
      </c>
      <c r="H116" s="168">
        <f>IFERROR(VLOOKUP($A116,A.IL!$C$3:$BC$500,53,0),"-")</f>
        <v>30</v>
      </c>
      <c r="I116" s="168" t="str">
        <f>IFERROR(VLOOKUP($A116,A.S!$C$3:$BC$500,53,0),"-")</f>
        <v>-</v>
      </c>
      <c r="J116" s="168">
        <f>IFERROR(vlookup($A116,Kp!$C117:$JF$500,264,0),"-")</f>
        <v>3</v>
      </c>
      <c r="K116" s="168" t="str">
        <f>IFERROR(vlookup($A116,W.S!$D$2:$X$500,21,0),"-")</f>
        <v>Siap</v>
      </c>
      <c r="L116" s="168" t="str">
        <f>IFERROR(vlookup($A116,Ks!$C$2:$X$500,20,0),"-")</f>
        <v>Siap</v>
      </c>
      <c r="M116" s="168" t="str">
        <f>IFERROR(vlookup($A116,W.O!$E$2:$U$500,16,0),"-")</f>
        <v>Diterima</v>
      </c>
      <c r="N116" s="177"/>
      <c r="O116" s="179" t="s">
        <v>74</v>
      </c>
      <c r="Q116" s="168" t="str">
        <f t="shared" si="2"/>
        <v>A</v>
      </c>
      <c r="R116" s="168" t="str">
        <f t="shared" si="3"/>
        <v>C</v>
      </c>
      <c r="S116" s="168" t="str">
        <f t="shared" si="4"/>
        <v>C</v>
      </c>
      <c r="T116" s="168" t="str">
        <f t="shared" ref="T116:U116" si="118">IF(K116="Siap","A",IF(K116="Cukup Siap","B",IF(K116="Belum Siap","C","")))</f>
        <v>A</v>
      </c>
      <c r="U116" s="168" t="str">
        <f t="shared" si="118"/>
        <v>A</v>
      </c>
    </row>
    <row r="117">
      <c r="A117" s="167" t="str">
        <f>Kp!C119</f>
        <v>C250005</v>
      </c>
      <c r="B117" s="11" t="str">
        <f>Kp!B119</f>
        <v>Fadlan waldi zamzami</v>
      </c>
      <c r="C117" s="5" t="str">
        <f>Kp!D119</f>
        <v>SMA</v>
      </c>
      <c r="F117" s="168" t="str">
        <f>IFERROR(VLOOKUP(A117, AQ!$B$2:$F$500, 5, FALSE),"-")</f>
        <v>C. Ditolak</v>
      </c>
      <c r="G117" s="168" t="str">
        <f>IFERROR(VLOOKUP($A117,A.M!$C$3:$BC$500,53,0),"-")</f>
        <v>-</v>
      </c>
      <c r="H117" s="168" t="str">
        <f>IFERROR(VLOOKUP($A117,A.IL!$C$3:$BC$500,53,0),"-")</f>
        <v>-</v>
      </c>
      <c r="I117" s="168">
        <f>IFERROR(VLOOKUP($A117,A.S!$C$3:$BC$500,53,0),"-")</f>
        <v>60</v>
      </c>
      <c r="J117" s="168">
        <f>IFERROR(vlookup($A117,Kp!$C118:$JF$500,264,0),"-")</f>
        <v>3</v>
      </c>
      <c r="K117" s="168" t="str">
        <f>IFERROR(vlookup($A117,W.S!$D$2:$X$500,21,0),"-")</f>
        <v>Siap</v>
      </c>
      <c r="L117" s="168" t="str">
        <f>IFERROR(vlookup($A117,Ks!$C$2:$X$500,20,0),"-")</f>
        <v>Siap</v>
      </c>
      <c r="M117" s="168" t="str">
        <f>IFERROR(vlookup($A117,W.O!$E$2:$U$500,16,0),"-")</f>
        <v>Diterima</v>
      </c>
      <c r="N117" s="177"/>
      <c r="O117" s="170" t="s">
        <v>71</v>
      </c>
      <c r="Q117" s="168" t="str">
        <f t="shared" si="2"/>
        <v>C</v>
      </c>
      <c r="R117" s="168" t="str">
        <f t="shared" si="3"/>
        <v>B</v>
      </c>
      <c r="S117" s="168" t="str">
        <f t="shared" si="4"/>
        <v>C</v>
      </c>
      <c r="T117" s="168" t="str">
        <f t="shared" ref="T117:U117" si="119">IF(K117="Siap","A",IF(K117="Cukup Siap","B",IF(K117="Belum Siap","C","")))</f>
        <v>A</v>
      </c>
      <c r="U117" s="168" t="str">
        <f t="shared" si="119"/>
        <v>A</v>
      </c>
    </row>
    <row r="118">
      <c r="A118" s="167" t="str">
        <f>Kp!C120</f>
        <v>D250020</v>
      </c>
      <c r="B118" s="171" t="str">
        <f>Kp!B120</f>
        <v>adlin ar rihaily</v>
      </c>
      <c r="C118" s="5" t="str">
        <f>Kp!D120</f>
        <v>MTs Putri</v>
      </c>
      <c r="F118" s="168" t="str">
        <f>IFERROR(VLOOKUP(A118, AQ!$B$2:$F$500, 5, FALSE),"-")</f>
        <v>A. Diterima</v>
      </c>
      <c r="G118" s="168">
        <f>IFERROR(VLOOKUP($A118,A.M!$C$3:$BC$500,53,0),"-")</f>
        <v>85</v>
      </c>
      <c r="H118" s="168" t="str">
        <f>IFERROR(VLOOKUP($A118,A.IL!$C$3:$BC$500,53,0),"-")</f>
        <v>-</v>
      </c>
      <c r="I118" s="168" t="str">
        <f>IFERROR(VLOOKUP($A118,A.S!$C$3:$BC$500,53,0),"-")</f>
        <v>-</v>
      </c>
      <c r="J118" s="168">
        <f>IFERROR(vlookup($A118,Kp!$C119:$JF$500,264,0),"-")</f>
        <v>0</v>
      </c>
      <c r="K118" s="168" t="str">
        <f>IFERROR(vlookup($A118,W.S!$D$2:$X$500,21,0),"-")</f>
        <v>Siap</v>
      </c>
      <c r="L118" s="168" t="str">
        <f>IFERROR(vlookup($A118,Ks!$C$2:$X$500,20,0),"-")</f>
        <v>Siap</v>
      </c>
      <c r="M118" s="168" t="str">
        <f>IFERROR(vlookup($A118,W.O!$E$2:$U$500,16,0),"-")</f>
        <v>Diterima</v>
      </c>
      <c r="N118" s="177"/>
      <c r="O118" s="185" t="s">
        <v>73</v>
      </c>
      <c r="Q118" s="168" t="str">
        <f t="shared" si="2"/>
        <v>A</v>
      </c>
      <c r="R118" s="168" t="str">
        <f t="shared" si="3"/>
        <v>A</v>
      </c>
      <c r="S118" s="168" t="str">
        <f t="shared" si="4"/>
        <v>A</v>
      </c>
      <c r="T118" s="168" t="str">
        <f t="shared" ref="T118:U118" si="120">IF(K118="Siap","A",IF(K118="Cukup Siap","B",IF(K118="Belum Siap","C","")))</f>
        <v>A</v>
      </c>
      <c r="U118" s="168" t="str">
        <f t="shared" si="120"/>
        <v>A</v>
      </c>
    </row>
    <row r="119">
      <c r="A119" s="167" t="str">
        <f>Kp!C121</f>
        <v>A250036</v>
      </c>
      <c r="B119" s="175" t="str">
        <f>Kp!B121</f>
        <v>Khotibul syafiiq</v>
      </c>
      <c r="C119" s="5" t="str">
        <f>Kp!D121</f>
        <v>MTs Putra</v>
      </c>
      <c r="F119" s="168" t="str">
        <f>IFERROR(VLOOKUP(A119, AQ!$B$2:$F$500, 5, FALSE),"-")</f>
        <v>C. Ditolak</v>
      </c>
      <c r="G119" s="168">
        <f>IFERROR(VLOOKUP($A119,A.M!$C$3:$BC$500,53,0),"-")</f>
        <v>75</v>
      </c>
      <c r="H119" s="168" t="str">
        <f>IFERROR(VLOOKUP($A119,A.IL!$C$3:$BC$500,53,0),"-")</f>
        <v>-</v>
      </c>
      <c r="I119" s="168" t="str">
        <f>IFERROR(VLOOKUP($A119,A.S!$C$3:$BC$500,53,0),"-")</f>
        <v>-</v>
      </c>
      <c r="J119" s="168">
        <f>IFERROR(vlookup($A119,Kp!$C120:$JF$500,264,0),"-")</f>
        <v>1</v>
      </c>
      <c r="K119" s="168" t="str">
        <f>IFERROR(vlookup($A119,W.S!$D$2:$X$500,21,0),"-")</f>
        <v>Siap</v>
      </c>
      <c r="L119" s="168" t="str">
        <f>IFERROR(vlookup($A119,Ks!$C$2:$X$500,20,0),"-")</f>
        <v>Siap</v>
      </c>
      <c r="M119" s="168" t="str">
        <f>IFERROR(vlookup($A119,W.O!$E$2:$U$500,16,0),"-")</f>
        <v>Diterima</v>
      </c>
      <c r="N119" s="177"/>
      <c r="O119" s="179" t="s">
        <v>74</v>
      </c>
      <c r="Q119" s="168" t="str">
        <f t="shared" si="2"/>
        <v>C</v>
      </c>
      <c r="R119" s="168" t="str">
        <f t="shared" si="3"/>
        <v>A</v>
      </c>
      <c r="S119" s="168" t="str">
        <f t="shared" si="4"/>
        <v>A</v>
      </c>
      <c r="T119" s="168" t="str">
        <f t="shared" ref="T119:U119" si="121">IF(K119="Siap","A",IF(K119="Cukup Siap","B",IF(K119="Belum Siap","C","")))</f>
        <v>A</v>
      </c>
      <c r="U119" s="168" t="str">
        <f t="shared" si="121"/>
        <v>A</v>
      </c>
    </row>
    <row r="120">
      <c r="A120" s="167" t="str">
        <f>Kp!C122</f>
        <v>A250076</v>
      </c>
      <c r="B120" s="11" t="str">
        <f>Kp!B122</f>
        <v>Muhammad Azzam Al Hafizh</v>
      </c>
      <c r="C120" s="5" t="str">
        <f>Kp!D122</f>
        <v>MTs Putra</v>
      </c>
      <c r="F120" s="168" t="str">
        <f>IFERROR(VLOOKUP(A120, AQ!$B$2:$F$500, 5, FALSE),"-")</f>
        <v>C. Ditolak</v>
      </c>
      <c r="G120" s="168">
        <f>IFERROR(VLOOKUP($A120,A.M!$C$3:$BC$500,53,0),"-")</f>
        <v>65</v>
      </c>
      <c r="H120" s="168" t="str">
        <f>IFERROR(VLOOKUP($A120,A.IL!$C$3:$BC$500,53,0),"-")</f>
        <v>-</v>
      </c>
      <c r="I120" s="168" t="str">
        <f>IFERROR(VLOOKUP($A120,A.S!$C$3:$BC$500,53,0),"-")</f>
        <v>-</v>
      </c>
      <c r="J120" s="168">
        <f>IFERROR(vlookup($A120,Kp!$C121:$JF$500,264,0),"-")</f>
        <v>0</v>
      </c>
      <c r="K120" s="168" t="str">
        <f>IFERROR(vlookup($A120,W.S!$D$2:$X$500,21,0),"-")</f>
        <v>Siap</v>
      </c>
      <c r="L120" s="168" t="str">
        <f>IFERROR(vlookup($A120,Ks!$C$2:$X$500,20,0),"-")</f>
        <v>Siap</v>
      </c>
      <c r="M120" s="168" t="str">
        <f>IFERROR(vlookup($A120,W.O!$E$2:$U$500,16,0),"-")</f>
        <v>Diterima dengan catatan</v>
      </c>
      <c r="N120" s="177"/>
      <c r="O120" s="170" t="s">
        <v>71</v>
      </c>
      <c r="Q120" s="168" t="str">
        <f t="shared" si="2"/>
        <v>C</v>
      </c>
      <c r="R120" s="168" t="str">
        <f t="shared" si="3"/>
        <v>B</v>
      </c>
      <c r="S120" s="168" t="str">
        <f t="shared" si="4"/>
        <v>A</v>
      </c>
      <c r="T120" s="168" t="str">
        <f t="shared" ref="T120:U120" si="122">IF(K120="Siap","A",IF(K120="Cukup Siap","B",IF(K120="Belum Siap","C","")))</f>
        <v>A</v>
      </c>
      <c r="U120" s="168" t="str">
        <f t="shared" si="122"/>
        <v>A</v>
      </c>
    </row>
    <row r="121">
      <c r="A121" s="167" t="str">
        <f>Kp!C123</f>
        <v>F250001</v>
      </c>
      <c r="B121" s="171" t="str">
        <f>Kp!B123</f>
        <v>Naisya Tazqia Qolbi</v>
      </c>
      <c r="C121" s="5" t="str">
        <f>Kp!D123</f>
        <v>IL Putri</v>
      </c>
      <c r="F121" s="168" t="str">
        <f>IFERROR(VLOOKUP(A121, AQ!$B$2:$F$500, 5, FALSE),"-")</f>
        <v>A. Diterima</v>
      </c>
      <c r="G121" s="168" t="str">
        <f>IFERROR(VLOOKUP($A121,A.M!$C$3:$BC$500,53,0),"-")</f>
        <v>-</v>
      </c>
      <c r="H121" s="168">
        <f>IFERROR(VLOOKUP($A121,A.IL!$C$3:$BC$500,53,0),"-")</f>
        <v>40</v>
      </c>
      <c r="I121" s="168">
        <f>IFERROR(VLOOKUP($A121,A.S!$C$3:$BC$500,53,0),"-")</f>
        <v>45</v>
      </c>
      <c r="J121" s="168">
        <f>IFERROR(vlookup($A121,Kp!$C122:$JF$500,264,0),"-")</f>
        <v>1</v>
      </c>
      <c r="K121" s="168" t="str">
        <f>IFERROR(vlookup($A121,W.S!$D$2:$X$500,21,0),"-")</f>
        <v>Siap</v>
      </c>
      <c r="L121" s="168" t="str">
        <f>IFERROR(vlookup($A121,Ks!$C$2:$X$500,20,0),"-")</f>
        <v>Siap</v>
      </c>
      <c r="M121" s="168" t="str">
        <f>IFERROR(vlookup($A121,W.O!$E$2:$U$500,16,0),"-")</f>
        <v>Diterima</v>
      </c>
      <c r="N121" s="177"/>
      <c r="O121" s="185" t="s">
        <v>73</v>
      </c>
      <c r="Q121" s="168" t="str">
        <f t="shared" si="2"/>
        <v>A</v>
      </c>
      <c r="R121" s="168" t="str">
        <f t="shared" si="3"/>
        <v>C</v>
      </c>
      <c r="S121" s="168" t="str">
        <f t="shared" si="4"/>
        <v>A</v>
      </c>
      <c r="T121" s="168" t="str">
        <f t="shared" ref="T121:U121" si="123">IF(K121="Siap","A",IF(K121="Cukup Siap","B",IF(K121="Belum Siap","C","")))</f>
        <v>A</v>
      </c>
      <c r="U121" s="168" t="str">
        <f t="shared" si="123"/>
        <v>A</v>
      </c>
    </row>
    <row r="122">
      <c r="A122" s="167" t="str">
        <f>Kp!C124</f>
        <v>A250007</v>
      </c>
      <c r="B122" s="11" t="str">
        <f>Kp!B124</f>
        <v>Syabil Al fachrizzi</v>
      </c>
      <c r="C122" s="5" t="str">
        <f>Kp!D124</f>
        <v>MTs Putra</v>
      </c>
      <c r="F122" s="168" t="str">
        <f>IFERROR(VLOOKUP(A122, AQ!$B$2:$F$500, 5, FALSE),"-")</f>
        <v>C. Ditolak</v>
      </c>
      <c r="G122" s="168">
        <f>IFERROR(VLOOKUP($A122,A.M!$C$3:$BC$500,53,0),"-")</f>
        <v>35</v>
      </c>
      <c r="H122" s="168" t="str">
        <f>IFERROR(VLOOKUP($A122,A.IL!$C$3:$BC$500,53,0),"-")</f>
        <v>-</v>
      </c>
      <c r="I122" s="168" t="str">
        <f>IFERROR(VLOOKUP($A122,A.S!$C$3:$BC$500,53,0),"-")</f>
        <v>-</v>
      </c>
      <c r="J122" s="168">
        <f>IFERROR(vlookup($A122,Kp!$C123:$JF$500,264,0),"-")</f>
        <v>1</v>
      </c>
      <c r="K122" s="168" t="str">
        <f>IFERROR(vlookup($A122,W.S!$D$2:$X$500,21,0),"-")</f>
        <v>Cukup Siap</v>
      </c>
      <c r="L122" s="168" t="str">
        <f>IFERROR(vlookup($A122,Ks!$C$2:$X$500,20,0),"-")</f>
        <v>Siap</v>
      </c>
      <c r="M122" s="168" t="str">
        <f>IFERROR(vlookup($A122,W.O!$E$2:$U$500,16,0),"-")</f>
        <v>Diterima</v>
      </c>
      <c r="N122" s="177"/>
      <c r="O122" s="170" t="s">
        <v>71</v>
      </c>
      <c r="Q122" s="168" t="str">
        <f t="shared" si="2"/>
        <v>C</v>
      </c>
      <c r="R122" s="168" t="str">
        <f t="shared" si="3"/>
        <v>C</v>
      </c>
      <c r="S122" s="168" t="str">
        <f t="shared" si="4"/>
        <v>A</v>
      </c>
      <c r="T122" s="168" t="str">
        <f t="shared" ref="T122:U122" si="124">IF(K122="Siap","A",IF(K122="Cukup Siap","B",IF(K122="Belum Siap","C","")))</f>
        <v>B</v>
      </c>
      <c r="U122" s="168" t="str">
        <f t="shared" si="124"/>
        <v>A</v>
      </c>
    </row>
    <row r="123">
      <c r="A123" s="167" t="str">
        <f>Kp!C125</f>
        <v>A250075</v>
      </c>
      <c r="B123" s="171" t="str">
        <f>Kp!B125</f>
        <v>Muhammad Nadhif Raisyauqy</v>
      </c>
      <c r="C123" s="5" t="str">
        <f>Kp!D125</f>
        <v>MTs Putra</v>
      </c>
      <c r="F123" s="168" t="str">
        <f>IFERROR(VLOOKUP(A123, AQ!$B$2:$F$500, 5, FALSE),"-")</f>
        <v>A. Diterima</v>
      </c>
      <c r="G123" s="168">
        <f>IFERROR(VLOOKUP($A123,A.M!$C$3:$BC$500,53,0),"-")</f>
        <v>90</v>
      </c>
      <c r="H123" s="168" t="str">
        <f>IFERROR(VLOOKUP($A123,A.IL!$C$3:$BC$500,53,0),"-")</f>
        <v>-</v>
      </c>
      <c r="I123" s="168" t="str">
        <f>IFERROR(VLOOKUP($A123,A.S!$C$3:$BC$500,53,0),"-")</f>
        <v>-</v>
      </c>
      <c r="J123" s="168">
        <f>IFERROR(vlookup($A123,Kp!$C124:$JF$500,264,0),"-")</f>
        <v>0</v>
      </c>
      <c r="K123" s="168" t="str">
        <f>IFERROR(vlookup($A123,W.S!$D$2:$X$500,21,0),"-")</f>
        <v>Siap</v>
      </c>
      <c r="L123" s="168" t="str">
        <f>IFERROR(vlookup($A123,Ks!$C$2:$X$500,20,0),"-")</f>
        <v>Siap</v>
      </c>
      <c r="M123" s="168" t="str">
        <f>IFERROR(vlookup($A123,W.O!$E$2:$U$500,16,0),"-")</f>
        <v>Diterima</v>
      </c>
      <c r="N123" s="177"/>
      <c r="O123" s="185" t="s">
        <v>73</v>
      </c>
      <c r="Q123" s="168" t="str">
        <f t="shared" si="2"/>
        <v>A</v>
      </c>
      <c r="R123" s="168" t="str">
        <f t="shared" si="3"/>
        <v>A</v>
      </c>
      <c r="S123" s="168" t="str">
        <f t="shared" si="4"/>
        <v>A</v>
      </c>
      <c r="T123" s="168" t="str">
        <f t="shared" ref="T123:U123" si="125">IF(K123="Siap","A",IF(K123="Cukup Siap","B",IF(K123="Belum Siap","C","")))</f>
        <v>A</v>
      </c>
      <c r="U123" s="168" t="str">
        <f t="shared" si="125"/>
        <v>A</v>
      </c>
    </row>
    <row r="124">
      <c r="A124" s="167" t="str">
        <f>Kp!C126</f>
        <v>B250008</v>
      </c>
      <c r="B124" s="175" t="str">
        <f>Kp!B126</f>
        <v>Mizan alghifary dizlilar</v>
      </c>
      <c r="C124" s="5" t="str">
        <f>Kp!D126</f>
        <v>IL Putra</v>
      </c>
      <c r="F124" s="168" t="str">
        <f>IFERROR(VLOOKUP(A124, AQ!$B$2:$F$500, 5, FALSE),"-")</f>
        <v>B. Cadangan</v>
      </c>
      <c r="G124" s="168" t="str">
        <f>IFERROR(VLOOKUP($A124,A.M!$C$3:$BC$500,53,0),"-")</f>
        <v>-</v>
      </c>
      <c r="H124" s="168">
        <f>IFERROR(VLOOKUP($A124,A.IL!$C$3:$BC$500,53,0),"-")</f>
        <v>75</v>
      </c>
      <c r="I124" s="168" t="str">
        <f>IFERROR(VLOOKUP($A124,A.S!$C$3:$BC$500,53,0),"-")</f>
        <v>-</v>
      </c>
      <c r="J124" s="168">
        <f>IFERROR(vlookup($A124,Kp!$C125:$JF$500,264,0),"-")</f>
        <v>1</v>
      </c>
      <c r="K124" s="168" t="str">
        <f>IFERROR(vlookup($A124,W.S!$D$2:$X$500,21,0),"-")</f>
        <v>Siap</v>
      </c>
      <c r="L124" s="168" t="str">
        <f>IFERROR(vlookup($A124,Ks!$C$2:$X$500,20,0),"-")</f>
        <v>Siap</v>
      </c>
      <c r="M124" s="168" t="str">
        <f>IFERROR(vlookup($A124,W.O!$E$2:$U$500,16,0),"-")</f>
        <v>Diterima</v>
      </c>
      <c r="N124" s="177"/>
      <c r="O124" s="179" t="s">
        <v>74</v>
      </c>
      <c r="Q124" s="168" t="str">
        <f t="shared" si="2"/>
        <v>B</v>
      </c>
      <c r="R124" s="168" t="str">
        <f t="shared" si="3"/>
        <v>A</v>
      </c>
      <c r="S124" s="168" t="str">
        <f t="shared" si="4"/>
        <v>A</v>
      </c>
      <c r="T124" s="168" t="str">
        <f t="shared" ref="T124:U124" si="126">IF(K124="Siap","A",IF(K124="Cukup Siap","B",IF(K124="Belum Siap","C","")))</f>
        <v>A</v>
      </c>
      <c r="U124" s="168" t="str">
        <f t="shared" si="126"/>
        <v>A</v>
      </c>
    </row>
    <row r="125">
      <c r="A125" s="167" t="str">
        <f>Kp!C127</f>
        <v>B250029</v>
      </c>
      <c r="B125" s="180" t="str">
        <f>Kp!B127</f>
        <v>Naufal Taqqy hafifurrahman </v>
      </c>
      <c r="C125" s="5" t="str">
        <f>Kp!D127</f>
        <v>SMA</v>
      </c>
      <c r="F125" s="168" t="str">
        <f>IFERROR(VLOOKUP(A125, AQ!$B$2:$F$500, 5, FALSE),"-")</f>
        <v>A. Diterima</v>
      </c>
      <c r="G125" s="168" t="str">
        <f>IFERROR(VLOOKUP($A125,A.M!$C$3:$BC$500,53,0),"-")</f>
        <v>-</v>
      </c>
      <c r="H125" s="168" t="str">
        <f>IFERROR(VLOOKUP($A125,A.IL!$C$3:$BC$500,53,0),"-")</f>
        <v>-</v>
      </c>
      <c r="I125" s="168">
        <f>IFERROR(VLOOKUP($A125,A.S!$C$3:$BC$500,53,0),"-")</f>
        <v>40</v>
      </c>
      <c r="J125" s="168">
        <f>IFERROR(vlookup($A125,Kp!$C126:$JF$500,264,0),"-")</f>
        <v>4</v>
      </c>
      <c r="K125" s="168" t="str">
        <f>IFERROR(vlookup($A125,W.S!$D$2:$X$500,21,0),"-")</f>
        <v>Siap</v>
      </c>
      <c r="L125" s="168" t="str">
        <f>IFERROR(vlookup($A125,Ks!$C$2:$X$500,20,0),"-")</f>
        <v>Siap</v>
      </c>
      <c r="M125" s="168" t="str">
        <f>IFERROR(vlookup($A125,W.O!$E$2:$U$500,16,0),"-")</f>
        <v>Diterima</v>
      </c>
      <c r="N125" s="177"/>
      <c r="O125" s="181" t="s">
        <v>76</v>
      </c>
      <c r="Q125" s="168" t="str">
        <f t="shared" si="2"/>
        <v>A</v>
      </c>
      <c r="R125" s="168" t="str">
        <f t="shared" si="3"/>
        <v>C</v>
      </c>
      <c r="S125" s="168" t="str">
        <f t="shared" si="4"/>
        <v>C</v>
      </c>
      <c r="T125" s="168" t="str">
        <f t="shared" ref="T125:U125" si="127">IF(K125="Siap","A",IF(K125="Cukup Siap","B",IF(K125="Belum Siap","C","")))</f>
        <v>A</v>
      </c>
      <c r="U125" s="168" t="str">
        <f t="shared" si="127"/>
        <v>A</v>
      </c>
    </row>
    <row r="126">
      <c r="A126" s="167" t="str">
        <f>Kp!C128</f>
        <v>A250068</v>
      </c>
      <c r="B126" s="11" t="str">
        <f>Kp!B128</f>
        <v>Alfarizy Fauzan wijaya</v>
      </c>
      <c r="C126" s="5" t="str">
        <f>Kp!D128</f>
        <v>MTs Putra</v>
      </c>
      <c r="F126" s="168" t="str">
        <f>IFERROR(VLOOKUP(A126, AQ!$B$2:$F$500, 5, FALSE),"-")</f>
        <v>C. Ditolak</v>
      </c>
      <c r="G126" s="168">
        <f>IFERROR(VLOOKUP($A126,A.M!$C$3:$BC$500,53,0),"-")</f>
        <v>85</v>
      </c>
      <c r="H126" s="168" t="str">
        <f>IFERROR(VLOOKUP($A126,A.IL!$C$3:$BC$500,53,0),"-")</f>
        <v>-</v>
      </c>
      <c r="I126" s="168" t="str">
        <f>IFERROR(VLOOKUP($A126,A.S!$C$3:$BC$500,53,0),"-")</f>
        <v>-</v>
      </c>
      <c r="J126" s="168">
        <f>IFERROR(vlookup($A126,Kp!$C127:$JF$500,264,0),"-")</f>
        <v>1</v>
      </c>
      <c r="K126" s="168" t="str">
        <f>IFERROR(vlookup($A126,W.S!$D$2:$X$500,21,0),"-")</f>
        <v>Cukup Siap</v>
      </c>
      <c r="L126" s="168" t="str">
        <f>IFERROR(vlookup($A126,Ks!$C$2:$X$500,20,0),"-")</f>
        <v>Siap</v>
      </c>
      <c r="M126" s="168" t="str">
        <f>IFERROR(vlookup($A126,W.O!$E$2:$U$500,16,0),"-")</f>
        <v>Diterima dengan catatan</v>
      </c>
      <c r="N126" s="177"/>
      <c r="O126" s="170" t="s">
        <v>71</v>
      </c>
      <c r="Q126" s="168" t="str">
        <f t="shared" si="2"/>
        <v>C</v>
      </c>
      <c r="R126" s="168" t="str">
        <f t="shared" si="3"/>
        <v>A</v>
      </c>
      <c r="S126" s="168" t="str">
        <f t="shared" si="4"/>
        <v>A</v>
      </c>
      <c r="T126" s="168" t="str">
        <f t="shared" ref="T126:U126" si="128">IF(K126="Siap","A",IF(K126="Cukup Siap","B",IF(K126="Belum Siap","C","")))</f>
        <v>B</v>
      </c>
      <c r="U126" s="168" t="str">
        <f t="shared" si="128"/>
        <v>A</v>
      </c>
    </row>
    <row r="127">
      <c r="A127" s="167" t="str">
        <f>Kp!C129</f>
        <v>F250002</v>
      </c>
      <c r="B127" s="171" t="str">
        <f>Kp!B129</f>
        <v>Unaysah</v>
      </c>
      <c r="C127" s="5" t="str">
        <f>Kp!D129</f>
        <v>IL Putri</v>
      </c>
      <c r="F127" s="168" t="str">
        <f>IFERROR(VLOOKUP(A127, AQ!$B$2:$F$500, 5, FALSE),"-")</f>
        <v>A. Diterima</v>
      </c>
      <c r="G127" s="168" t="str">
        <f>IFERROR(VLOOKUP($A127,A.M!$C$3:$BC$500,53,0),"-")</f>
        <v>-</v>
      </c>
      <c r="H127" s="168" t="str">
        <f>IFERROR(VLOOKUP($A127,A.IL!$C$3:$BC$500,53,0),"-")</f>
        <v>-</v>
      </c>
      <c r="I127" s="168">
        <f>IFERROR(VLOOKUP($A127,A.S!$C$3:$BC$500,53,0),"-")</f>
        <v>85</v>
      </c>
      <c r="J127" s="168">
        <f>IFERROR(vlookup($A127,Kp!$C128:$JF$500,264,0),"-")</f>
        <v>0</v>
      </c>
      <c r="K127" s="168" t="str">
        <f>IFERROR(vlookup($A127,W.S!$D$2:$X$500,21,0),"-")</f>
        <v>Siap</v>
      </c>
      <c r="L127" s="168" t="str">
        <f>IFERROR(vlookup($A127,Ks!$C$2:$X$500,20,0),"-")</f>
        <v>Siap</v>
      </c>
      <c r="M127" s="168" t="str">
        <f>IFERROR(vlookup($A127,W.O!$E$2:$U$500,16,0),"-")</f>
        <v>Diterima dengan catatan</v>
      </c>
      <c r="N127" s="177"/>
      <c r="O127" s="185" t="s">
        <v>73</v>
      </c>
      <c r="Q127" s="168" t="str">
        <f t="shared" si="2"/>
        <v>A</v>
      </c>
      <c r="R127" s="168" t="str">
        <f t="shared" si="3"/>
        <v>A</v>
      </c>
      <c r="S127" s="168" t="str">
        <f t="shared" si="4"/>
        <v>A</v>
      </c>
      <c r="T127" s="168" t="str">
        <f t="shared" ref="T127:U127" si="129">IF(K127="Siap","A",IF(K127="Cukup Siap","B",IF(K127="Belum Siap","C","")))</f>
        <v>A</v>
      </c>
      <c r="U127" s="168" t="str">
        <f t="shared" si="129"/>
        <v>A</v>
      </c>
    </row>
    <row r="128">
      <c r="A128" s="167" t="str">
        <f>Kp!C130</f>
        <v>A250082</v>
      </c>
      <c r="B128" s="5" t="str">
        <f>Kp!B130</f>
        <v>URWATULWUTSQO</v>
      </c>
      <c r="C128" s="5" t="str">
        <f>Kp!D130</f>
        <v>MTs Putra</v>
      </c>
      <c r="F128" s="168" t="str">
        <f>IFERROR(VLOOKUP(A128, AQ!$B$2:$F$500, 5, FALSE),"-")</f>
        <v>A. Diterima</v>
      </c>
      <c r="G128" s="168">
        <f>IFERROR(VLOOKUP($A128,A.M!$C$3:$BC$500,53,0),"-")</f>
        <v>85</v>
      </c>
      <c r="H128" s="168" t="str">
        <f>IFERROR(VLOOKUP($A128,A.IL!$C$3:$BC$500,53,0),"-")</f>
        <v>-</v>
      </c>
      <c r="I128" s="168" t="str">
        <f>IFERROR(VLOOKUP($A128,A.S!$C$3:$BC$500,53,0),"-")</f>
        <v>-</v>
      </c>
      <c r="J128" s="168">
        <f>IFERROR(vlookup($A128,Kp!$C129:$JF$500,264,0),"-")</f>
        <v>1</v>
      </c>
      <c r="K128" s="168" t="str">
        <f>IFERROR(vlookup($A128,W.S!$D$2:$X$500,21,0),"-")</f>
        <v>Siap</v>
      </c>
      <c r="L128" s="168" t="str">
        <f>IFERROR(vlookup($A128,Ks!$C$2:$X$500,20,0),"-")</f>
        <v>Siap</v>
      </c>
      <c r="M128" s="168" t="str">
        <f>IFERROR(vlookup($A128,W.O!$E$2:$U$500,16,0),"-")</f>
        <v>Diterima</v>
      </c>
      <c r="N128" s="177"/>
      <c r="O128" s="185" t="s">
        <v>73</v>
      </c>
      <c r="Q128" s="168" t="str">
        <f t="shared" si="2"/>
        <v>A</v>
      </c>
      <c r="R128" s="168" t="str">
        <f t="shared" si="3"/>
        <v>A</v>
      </c>
      <c r="S128" s="168" t="str">
        <f t="shared" si="4"/>
        <v>A</v>
      </c>
      <c r="T128" s="168" t="str">
        <f t="shared" ref="T128:U128" si="130">IF(K128="Siap","A",IF(K128="Cukup Siap","B",IF(K128="Belum Siap","C","")))</f>
        <v>A</v>
      </c>
      <c r="U128" s="168" t="str">
        <f t="shared" si="130"/>
        <v>A</v>
      </c>
    </row>
    <row r="129">
      <c r="A129" s="167" t="str">
        <f>Kp!C131</f>
        <v>B250028</v>
      </c>
      <c r="B129" s="171" t="str">
        <f>Kp!B131</f>
        <v>Bisma adhi saputra</v>
      </c>
      <c r="C129" s="5" t="str">
        <f>Kp!D131</f>
        <v>IL Putra</v>
      </c>
      <c r="F129" s="168" t="str">
        <f>IFERROR(VLOOKUP(A129, AQ!$B$2:$F$500, 5, FALSE),"-")</f>
        <v>A. Diterima</v>
      </c>
      <c r="G129" s="168" t="str">
        <f>IFERROR(VLOOKUP($A129,A.M!$C$3:$BC$500,53,0),"-")</f>
        <v>-</v>
      </c>
      <c r="H129" s="168">
        <f>IFERROR(VLOOKUP($A129,A.IL!$C$3:$BC$500,53,0),"-")</f>
        <v>45</v>
      </c>
      <c r="I129" s="168" t="str">
        <f>IFERROR(VLOOKUP($A129,A.S!$C$3:$BC$500,53,0),"-")</f>
        <v>-</v>
      </c>
      <c r="J129" s="168">
        <f>IFERROR(vlookup($A129,Kp!$C130:$JF$500,264,0),"-")</f>
        <v>1</v>
      </c>
      <c r="K129" s="168" t="str">
        <f>IFERROR(vlookup($A129,W.S!$D$2:$X$500,21,0),"-")</f>
        <v>Cukup Siap</v>
      </c>
      <c r="L129" s="168" t="str">
        <f>IFERROR(vlookup($A129,Ks!$C$2:$X$500,20,0),"-")</f>
        <v>Siap</v>
      </c>
      <c r="M129" s="168" t="str">
        <f>IFERROR(vlookup($A129,W.O!$E$2:$U$500,16,0),"-")</f>
        <v>Diterima</v>
      </c>
      <c r="N129" s="177"/>
      <c r="O129" s="185" t="s">
        <v>73</v>
      </c>
      <c r="Q129" s="168" t="str">
        <f t="shared" si="2"/>
        <v>A</v>
      </c>
      <c r="R129" s="168" t="str">
        <f t="shared" si="3"/>
        <v>C</v>
      </c>
      <c r="S129" s="168" t="str">
        <f t="shared" si="4"/>
        <v>A</v>
      </c>
      <c r="T129" s="168" t="str">
        <f t="shared" ref="T129:U129" si="131">IF(K129="Siap","A",IF(K129="Cukup Siap","B",IF(K129="Belum Siap","C","")))</f>
        <v>B</v>
      </c>
      <c r="U129" s="168" t="str">
        <f t="shared" si="131"/>
        <v>A</v>
      </c>
    </row>
    <row r="130">
      <c r="A130" s="167" t="str">
        <f>Kp!C132</f>
        <v>D250023</v>
      </c>
      <c r="B130" s="175" t="str">
        <f>Kp!B132</f>
        <v>Aisha Alifa Noor Attarini</v>
      </c>
      <c r="C130" s="5" t="str">
        <f>Kp!D132</f>
        <v>MTs Putri</v>
      </c>
      <c r="F130" s="168" t="str">
        <f>IFERROR(VLOOKUP(A130, AQ!$B$2:$F$500, 5, FALSE),"-")</f>
        <v>B. Cadangan</v>
      </c>
      <c r="G130" s="168">
        <f>IFERROR(VLOOKUP($A130,A.M!$C$3:$BC$500,53,0),"-")</f>
        <v>30</v>
      </c>
      <c r="H130" s="168" t="str">
        <f>IFERROR(VLOOKUP($A130,A.IL!$C$3:$BC$500,53,0),"-")</f>
        <v>-</v>
      </c>
      <c r="I130" s="168" t="str">
        <f>IFERROR(VLOOKUP($A130,A.S!$C$3:$BC$500,53,0),"-")</f>
        <v>-</v>
      </c>
      <c r="J130" s="168">
        <f>IFERROR(vlookup($A130,Kp!$C131:$JF$500,264,0),"-")</f>
        <v>1</v>
      </c>
      <c r="K130" s="168" t="str">
        <f>IFERROR(vlookup($A130,W.S!$D$2:$X$500,21,0),"-")</f>
        <v>Siap</v>
      </c>
      <c r="L130" s="168" t="str">
        <f>IFERROR(vlookup($A130,Ks!$C$2:$X$500,20,0),"-")</f>
        <v>Siap</v>
      </c>
      <c r="M130" s="168" t="str">
        <f>IFERROR(vlookup($A130,W.O!$E$2:$U$500,16,0),"-")</f>
        <v>Diterima dengan catatan</v>
      </c>
      <c r="N130" s="177"/>
      <c r="O130" s="179" t="s">
        <v>74</v>
      </c>
      <c r="Q130" s="168" t="str">
        <f t="shared" si="2"/>
        <v>B</v>
      </c>
      <c r="R130" s="168" t="str">
        <f t="shared" si="3"/>
        <v>C</v>
      </c>
      <c r="S130" s="168" t="str">
        <f t="shared" si="4"/>
        <v>A</v>
      </c>
      <c r="T130" s="168" t="str">
        <f t="shared" ref="T130:U130" si="132">IF(K130="Siap","A",IF(K130="Cukup Siap","B",IF(K130="Belum Siap","C","")))</f>
        <v>A</v>
      </c>
      <c r="U130" s="168" t="str">
        <f t="shared" si="132"/>
        <v>A</v>
      </c>
    </row>
    <row r="131">
      <c r="A131" s="167" t="str">
        <f>Kp!C133</f>
        <v>B250016</v>
      </c>
      <c r="B131" s="175" t="str">
        <f>Kp!B133</f>
        <v>Muhammad Naufal Rafif Athallah </v>
      </c>
      <c r="C131" s="5" t="str">
        <f>Kp!D133</f>
        <v>SMA</v>
      </c>
      <c r="F131" s="168" t="str">
        <f>IFERROR(VLOOKUP(A131, AQ!$B$2:$F$500, 5, FALSE),"-")</f>
        <v>B. Cadangan</v>
      </c>
      <c r="G131" s="168" t="str">
        <f>IFERROR(VLOOKUP($A131,A.M!$C$3:$BC$500,53,0),"-")</f>
        <v>-</v>
      </c>
      <c r="H131" s="168">
        <f>IFERROR(VLOOKUP($A131,A.IL!$C$3:$BC$500,53,0),"-")</f>
        <v>60</v>
      </c>
      <c r="I131" s="168" t="str">
        <f>IFERROR(VLOOKUP($A131,A.S!$C$3:$BC$500,53,0),"-")</f>
        <v>-</v>
      </c>
      <c r="J131" s="168">
        <f>IFERROR(vlookup($A131,Kp!$C132:$JF$500,264,0),"-")</f>
        <v>2</v>
      </c>
      <c r="K131" s="168" t="str">
        <f>IFERROR(vlookup($A131,W.S!$D$2:$X$500,21,0),"-")</f>
        <v>Siap</v>
      </c>
      <c r="L131" s="168" t="str">
        <f>IFERROR(vlookup($A131,Ks!$C$2:$X$500,20,0),"-")</f>
        <v>Siap</v>
      </c>
      <c r="M131" s="168" t="str">
        <f>IFERROR(vlookup($A131,W.O!$E$2:$U$500,16,0),"-")</f>
        <v>Diterima dengan catatan</v>
      </c>
      <c r="N131" s="177"/>
      <c r="O131" s="179" t="s">
        <v>74</v>
      </c>
      <c r="Q131" s="168" t="str">
        <f t="shared" si="2"/>
        <v>B</v>
      </c>
      <c r="R131" s="168" t="str">
        <f t="shared" si="3"/>
        <v>B</v>
      </c>
      <c r="S131" s="168" t="str">
        <f t="shared" si="4"/>
        <v>B</v>
      </c>
      <c r="T131" s="168" t="str">
        <f t="shared" ref="T131:U131" si="133">IF(K131="Siap","A",IF(K131="Cukup Siap","B",IF(K131="Belum Siap","C","")))</f>
        <v>A</v>
      </c>
      <c r="U131" s="168" t="str">
        <f t="shared" si="133"/>
        <v>A</v>
      </c>
    </row>
    <row r="132">
      <c r="A132" s="167" t="str">
        <f>Kp!C134</f>
        <v>E250009</v>
      </c>
      <c r="B132" s="171" t="str">
        <f>Kp!B134</f>
        <v>Najla ulfa</v>
      </c>
      <c r="C132" s="5" t="str">
        <f>Kp!D134</f>
        <v>IL Putri</v>
      </c>
      <c r="F132" s="168" t="str">
        <f>IFERROR(VLOOKUP(A132, AQ!$B$2:$F$500, 5, FALSE),"-")</f>
        <v>A. Diterima</v>
      </c>
      <c r="G132" s="168" t="str">
        <f>IFERROR(VLOOKUP($A132,A.M!$C$3:$BC$500,53,0),"-")</f>
        <v>-</v>
      </c>
      <c r="H132" s="168">
        <f>IFERROR(VLOOKUP($A132,A.IL!$C$3:$BC$500,53,0),"-")</f>
        <v>70</v>
      </c>
      <c r="I132" s="168" t="str">
        <f>IFERROR(VLOOKUP($A132,A.S!$C$3:$BC$500,53,0),"-")</f>
        <v>-</v>
      </c>
      <c r="J132" s="168">
        <f>IFERROR(vlookup($A132,Kp!$C133:$JF$500,264,0),"-")</f>
        <v>1</v>
      </c>
      <c r="K132" s="168" t="str">
        <f>IFERROR(vlookup($A132,W.S!$D$2:$X$500,21,0),"-")</f>
        <v>Siap</v>
      </c>
      <c r="L132" s="168" t="str">
        <f>IFERROR(vlookup($A132,Ks!$C$2:$X$500,20,0),"-")</f>
        <v>Siap</v>
      </c>
      <c r="M132" s="168" t="str">
        <f>IFERROR(vlookup($A132,W.O!$E$2:$U$500,16,0),"-")</f>
        <v>Diterima</v>
      </c>
      <c r="N132" s="177"/>
      <c r="O132" s="185" t="s">
        <v>73</v>
      </c>
      <c r="Q132" s="168" t="str">
        <f t="shared" si="2"/>
        <v>A</v>
      </c>
      <c r="R132" s="168" t="str">
        <f t="shared" si="3"/>
        <v>B</v>
      </c>
      <c r="S132" s="168" t="str">
        <f t="shared" si="4"/>
        <v>A</v>
      </c>
      <c r="T132" s="168" t="str">
        <f t="shared" ref="T132:U132" si="134">IF(K132="Siap","A",IF(K132="Cukup Siap","B",IF(K132="Belum Siap","C","")))</f>
        <v>A</v>
      </c>
      <c r="U132" s="168" t="str">
        <f t="shared" si="134"/>
        <v>A</v>
      </c>
    </row>
    <row r="133">
      <c r="A133" s="167" t="str">
        <f>Kp!C135</f>
        <v>A250084</v>
      </c>
      <c r="B133" s="171" t="str">
        <f>Kp!B135</f>
        <v>Rifqi Fathurrohman</v>
      </c>
      <c r="C133" s="5" t="str">
        <f>Kp!D135</f>
        <v>MTs Putra</v>
      </c>
      <c r="F133" s="168" t="str">
        <f>IFERROR(VLOOKUP(A133, AQ!$B$2:$F$500, 5, FALSE),"-")</f>
        <v>A. Diterima</v>
      </c>
      <c r="G133" s="168">
        <f>IFERROR(VLOOKUP($A133,A.M!$C$3:$BC$500,53,0),"-")</f>
        <v>85</v>
      </c>
      <c r="H133" s="168" t="str">
        <f>IFERROR(VLOOKUP($A133,A.IL!$C$3:$BC$500,53,0),"-")</f>
        <v>-</v>
      </c>
      <c r="I133" s="168" t="str">
        <f>IFERROR(VLOOKUP($A133,A.S!$C$3:$BC$500,53,0),"-")</f>
        <v>-</v>
      </c>
      <c r="J133" s="168">
        <f>IFERROR(vlookup($A133,Kp!$C134:$JF$500,264,0),"-")</f>
        <v>0</v>
      </c>
      <c r="K133" s="168" t="str">
        <f>IFERROR(vlookup($A133,W.S!$D$2:$X$500,21,0),"-")</f>
        <v>Siap</v>
      </c>
      <c r="L133" s="168" t="str">
        <f>IFERROR(vlookup($A133,Ks!$C$2:$X$500,20,0),"-")</f>
        <v>Siap</v>
      </c>
      <c r="M133" s="168" t="str">
        <f>IFERROR(vlookup($A133,W.O!$E$2:$U$500,16,0),"-")</f>
        <v>Diterima dengan catatan</v>
      </c>
      <c r="N133" s="177"/>
      <c r="O133" s="185" t="s">
        <v>73</v>
      </c>
      <c r="Q133" s="168" t="str">
        <f t="shared" si="2"/>
        <v>A</v>
      </c>
      <c r="R133" s="168" t="str">
        <f t="shared" si="3"/>
        <v>A</v>
      </c>
      <c r="S133" s="168" t="str">
        <f t="shared" si="4"/>
        <v>A</v>
      </c>
      <c r="T133" s="168" t="str">
        <f t="shared" ref="T133:U133" si="135">IF(K133="Siap","A",IF(K133="Cukup Siap","B",IF(K133="Belum Siap","C","")))</f>
        <v>A</v>
      </c>
      <c r="U133" s="168" t="str">
        <f t="shared" si="135"/>
        <v>A</v>
      </c>
    </row>
    <row r="134">
      <c r="A134" s="167" t="str">
        <f>Kp!C136</f>
        <v>D250031</v>
      </c>
      <c r="B134" s="171" t="str">
        <f>Kp!B136</f>
        <v>Zihan Muzainah Zein </v>
      </c>
      <c r="C134" s="5" t="str">
        <f>Kp!D136</f>
        <v>MTs Putri</v>
      </c>
      <c r="F134" s="168" t="str">
        <f>IFERROR(VLOOKUP(A134, AQ!$B$2:$F$500, 5, FALSE),"-")</f>
        <v>A. Diterima</v>
      </c>
      <c r="G134" s="168">
        <f>IFERROR(VLOOKUP($A134,A.M!$C$3:$BC$500,53,0),"-")</f>
        <v>85</v>
      </c>
      <c r="H134" s="168" t="str">
        <f>IFERROR(VLOOKUP($A134,A.IL!$C$3:$BC$500,53,0),"-")</f>
        <v>-</v>
      </c>
      <c r="I134" s="168" t="str">
        <f>IFERROR(VLOOKUP($A134,A.S!$C$3:$BC$500,53,0),"-")</f>
        <v>-</v>
      </c>
      <c r="J134" s="168">
        <f>IFERROR(vlookup($A134,Kp!$C135:$JF$500,264,0),"-")</f>
        <v>1</v>
      </c>
      <c r="K134" s="168" t="str">
        <f>IFERROR(vlookup($A134,W.S!$D$2:$X$500,21,0),"-")</f>
        <v>Siap</v>
      </c>
      <c r="L134" s="168" t="str">
        <f>IFERROR(vlookup($A134,Ks!$C$2:$X$500,20,0),"-")</f>
        <v>Siap</v>
      </c>
      <c r="M134" s="168" t="str">
        <f>IFERROR(vlookup($A134,W.O!$E$2:$U$500,16,0),"-")</f>
        <v>Diterima</v>
      </c>
      <c r="N134" s="177"/>
      <c r="O134" s="185" t="s">
        <v>73</v>
      </c>
      <c r="Q134" s="168" t="str">
        <f t="shared" si="2"/>
        <v>A</v>
      </c>
      <c r="R134" s="168" t="str">
        <f t="shared" si="3"/>
        <v>A</v>
      </c>
      <c r="S134" s="168" t="str">
        <f t="shared" si="4"/>
        <v>A</v>
      </c>
      <c r="T134" s="168" t="str">
        <f t="shared" ref="T134:U134" si="136">IF(K134="Siap","A",IF(K134="Cukup Siap","B",IF(K134="Belum Siap","C","")))</f>
        <v>A</v>
      </c>
      <c r="U134" s="168" t="str">
        <f t="shared" si="136"/>
        <v>A</v>
      </c>
    </row>
    <row r="135">
      <c r="A135" s="167" t="str">
        <f>Kp!C137</f>
        <v>A250069</v>
      </c>
      <c r="B135" s="175" t="str">
        <f>Kp!B137</f>
        <v>Muhammad Syauqi Abdul Haq </v>
      </c>
      <c r="C135" s="5" t="str">
        <f>Kp!D137</f>
        <v>MTs Putra</v>
      </c>
      <c r="F135" s="168" t="str">
        <f>IFERROR(VLOOKUP(A135, AQ!$B$2:$F$500, 5, FALSE),"-")</f>
        <v>C. Ditolak</v>
      </c>
      <c r="G135" s="168">
        <f>IFERROR(VLOOKUP($A135,A.M!$C$3:$BC$500,53,0),"-")</f>
        <v>85</v>
      </c>
      <c r="H135" s="168" t="str">
        <f>IFERROR(VLOOKUP($A135,A.IL!$C$3:$BC$500,53,0),"-")</f>
        <v>-</v>
      </c>
      <c r="I135" s="168" t="str">
        <f>IFERROR(VLOOKUP($A135,A.S!$C$3:$BC$500,53,0),"-")</f>
        <v>-</v>
      </c>
      <c r="J135" s="168">
        <f>IFERROR(vlookup($A135,Kp!$C136:$JF$500,264,0),"-")</f>
        <v>1</v>
      </c>
      <c r="K135" s="168" t="str">
        <f>IFERROR(vlookup($A135,W.S!$D$2:$X$500,21,0),"-")</f>
        <v>Cukup Siap</v>
      </c>
      <c r="L135" s="168" t="str">
        <f>IFERROR(vlookup($A135,Ks!$C$2:$X$500,20,0),"-")</f>
        <v>Siap</v>
      </c>
      <c r="M135" s="168" t="str">
        <f>IFERROR(vlookup($A135,W.O!$E$2:$U$500,16,0),"-")</f>
        <v>Diterima</v>
      </c>
      <c r="N135" s="177"/>
      <c r="O135" s="179" t="s">
        <v>74</v>
      </c>
      <c r="Q135" s="168" t="str">
        <f t="shared" si="2"/>
        <v>C</v>
      </c>
      <c r="R135" s="168" t="str">
        <f t="shared" si="3"/>
        <v>A</v>
      </c>
      <c r="S135" s="168" t="str">
        <f t="shared" si="4"/>
        <v>A</v>
      </c>
      <c r="T135" s="168" t="str">
        <f t="shared" ref="T135:U135" si="137">IF(K135="Siap","A",IF(K135="Cukup Siap","B",IF(K135="Belum Siap","C","")))</f>
        <v>B</v>
      </c>
      <c r="U135" s="168" t="str">
        <f t="shared" si="137"/>
        <v>A</v>
      </c>
    </row>
    <row r="136">
      <c r="A136" s="167" t="str">
        <f>Kp!C138</f>
        <v>C250025</v>
      </c>
      <c r="B136" s="180" t="str">
        <f>Kp!B138</f>
        <v>AL RAFFI HAFIZH IRHAM ZAKARIA</v>
      </c>
      <c r="C136" s="5" t="str">
        <f>Kp!D138</f>
        <v>IL Putra</v>
      </c>
      <c r="F136" s="168" t="str">
        <f>IFERROR(VLOOKUP(A136, AQ!$B$2:$F$500, 5, FALSE),"-")</f>
        <v>C. Ditolak</v>
      </c>
      <c r="G136" s="168" t="str">
        <f>IFERROR(VLOOKUP($A136,A.M!$C$3:$BC$500,53,0),"-")</f>
        <v>-</v>
      </c>
      <c r="H136" s="168" t="str">
        <f>IFERROR(VLOOKUP($A136,A.IL!$C$3:$BC$500,53,0),"-")</f>
        <v>-</v>
      </c>
      <c r="I136" s="168" t="str">
        <f>IFERROR(VLOOKUP($A136,A.S!$C$3:$BC$500,53,0),"-")</f>
        <v>-</v>
      </c>
      <c r="J136" s="168">
        <f>IFERROR(vlookup($A136,Kp!$C137:$JF$500,264,0),"-")</f>
        <v>4</v>
      </c>
      <c r="K136" s="168" t="str">
        <f>IFERROR(vlookup($A136,W.S!$D$2:$X$500,21,0),"-")</f>
        <v>Siap</v>
      </c>
      <c r="L136" s="168" t="str">
        <f>IFERROR(vlookup($A136,Ks!$C$2:$X$500,20,0),"-")</f>
        <v>Siap</v>
      </c>
      <c r="M136" s="168" t="str">
        <f>IFERROR(vlookup($A136,W.O!$E$2:$U$500,16,0),"-")</f>
        <v>Diterima dengan catatan</v>
      </c>
      <c r="N136" s="177"/>
      <c r="O136" s="181" t="s">
        <v>76</v>
      </c>
      <c r="Q136" s="168" t="str">
        <f t="shared" si="2"/>
        <v>C</v>
      </c>
      <c r="R136" s="168" t="str">
        <f t="shared" si="3"/>
        <v>C</v>
      </c>
      <c r="S136" s="168" t="str">
        <f t="shared" si="4"/>
        <v>C</v>
      </c>
      <c r="T136" s="168" t="str">
        <f t="shared" ref="T136:U136" si="138">IF(K136="Siap","A",IF(K136="Cukup Siap","B",IF(K136="Belum Siap","C","")))</f>
        <v>A</v>
      </c>
      <c r="U136" s="168" t="str">
        <f t="shared" si="138"/>
        <v>A</v>
      </c>
    </row>
    <row r="137">
      <c r="A137" s="167" t="str">
        <f>Kp!C139</f>
        <v>C250013</v>
      </c>
      <c r="B137" s="180" t="str">
        <f>Kp!B139</f>
        <v> Muhammad ghaza</v>
      </c>
      <c r="C137" s="5" t="str">
        <f>Kp!D139</f>
        <v>SMA</v>
      </c>
      <c r="F137" s="168" t="str">
        <f>IFERROR(VLOOKUP(A137, AQ!$B$2:$F$500, 5, FALSE),"-")</f>
        <v>A. Diterima</v>
      </c>
      <c r="G137" s="168" t="str">
        <f>IFERROR(VLOOKUP($A137,A.M!$C$3:$BC$500,53,0),"-")</f>
        <v>-</v>
      </c>
      <c r="H137" s="168" t="str">
        <f>IFERROR(VLOOKUP($A137,A.IL!$C$3:$BC$500,53,0),"-")</f>
        <v>-</v>
      </c>
      <c r="I137" s="168">
        <f>IFERROR(VLOOKUP($A137,A.S!$C$3:$BC$500,53,0),"-")</f>
        <v>30</v>
      </c>
      <c r="J137" s="168">
        <f>IFERROR(vlookup($A137,Kp!$C138:$JF$500,264,0),"-")</f>
        <v>1</v>
      </c>
      <c r="K137" s="168" t="str">
        <f>IFERROR(vlookup($A137,W.S!$D$2:$X$500,21,0),"-")</f>
        <v>Siap</v>
      </c>
      <c r="L137" s="168" t="str">
        <f>IFERROR(vlookup($A137,Ks!$C$2:$X$500,20,0),"-")</f>
        <v>Siap</v>
      </c>
      <c r="M137" s="168" t="str">
        <f>IFERROR(vlookup($A137,W.O!$E$2:$U$500,16,0),"-")</f>
        <v>Diterima dengan catatan</v>
      </c>
      <c r="N137" s="177"/>
      <c r="O137" s="181" t="s">
        <v>76</v>
      </c>
      <c r="Q137" s="168" t="str">
        <f t="shared" si="2"/>
        <v>A</v>
      </c>
      <c r="R137" s="168" t="str">
        <f t="shared" si="3"/>
        <v>C</v>
      </c>
      <c r="S137" s="168" t="str">
        <f t="shared" si="4"/>
        <v>A</v>
      </c>
      <c r="T137" s="168" t="str">
        <f t="shared" ref="T137:U137" si="139">IF(K137="Siap","A",IF(K137="Cukup Siap","B",IF(K137="Belum Siap","C","")))</f>
        <v>A</v>
      </c>
      <c r="U137" s="168" t="str">
        <f t="shared" si="139"/>
        <v>A</v>
      </c>
    </row>
    <row r="138">
      <c r="A138" s="167" t="str">
        <f>Kp!C140</f>
        <v>C250022</v>
      </c>
      <c r="B138" s="5" t="str">
        <f>Kp!B140</f>
        <v>Khubaib Abdul Aziz </v>
      </c>
      <c r="C138" s="5" t="str">
        <f>Kp!D140</f>
        <v>SMA</v>
      </c>
      <c r="F138" s="168" t="str">
        <f>IFERROR(VLOOKUP(A138, AQ!$B$2:$F$500, 5, FALSE),"-")</f>
        <v>C. Ditolak</v>
      </c>
      <c r="G138" s="168" t="str">
        <f>IFERROR(VLOOKUP($A138,A.M!$C$3:$BC$500,53,0),"-")</f>
        <v>-</v>
      </c>
      <c r="H138" s="168" t="str">
        <f>IFERROR(VLOOKUP($A138,A.IL!$C$3:$BC$500,53,0),"-")</f>
        <v>-</v>
      </c>
      <c r="I138" s="168">
        <f>IFERROR(VLOOKUP($A138,A.S!$C$3:$BC$500,53,0),"-")</f>
        <v>60</v>
      </c>
      <c r="J138" s="168">
        <f>IFERROR(vlookup($A138,Kp!$C139:$JF$500,264,0),"-")</f>
        <v>2</v>
      </c>
      <c r="K138" s="168" t="str">
        <f>IFERROR(vlookup($A138,W.S!$D$2:$X$500,21,0),"-")</f>
        <v>Siap</v>
      </c>
      <c r="L138" s="168" t="str">
        <f>IFERROR(vlookup($A138,Ks!$C$2:$X$500,20,0),"-")</f>
        <v>Siap</v>
      </c>
      <c r="M138" s="168" t="str">
        <f>IFERROR(vlookup($A138,W.O!$E$2:$U$500,16,0),"-")</f>
        <v>Diterima dengan catatan</v>
      </c>
      <c r="N138" s="177"/>
      <c r="O138" s="181" t="s">
        <v>76</v>
      </c>
      <c r="Q138" s="168" t="str">
        <f t="shared" si="2"/>
        <v>C</v>
      </c>
      <c r="R138" s="168" t="str">
        <f t="shared" si="3"/>
        <v>B</v>
      </c>
      <c r="S138" s="168" t="str">
        <f t="shared" si="4"/>
        <v>B</v>
      </c>
      <c r="T138" s="168" t="str">
        <f t="shared" ref="T138:U138" si="140">IF(K138="Siap","A",IF(K138="Cukup Siap","B",IF(K138="Belum Siap","C","")))</f>
        <v>A</v>
      </c>
      <c r="U138" s="168" t="str">
        <f t="shared" si="140"/>
        <v>A</v>
      </c>
    </row>
    <row r="139">
      <c r="A139" s="167" t="str">
        <f>Kp!C141</f>
        <v>A250026</v>
      </c>
      <c r="B139" s="171" t="str">
        <f>Kp!B141</f>
        <v>Faruq Ahmad Asy-Syirbuni</v>
      </c>
      <c r="C139" s="5" t="str">
        <f>Kp!D141</f>
        <v>MTs Putra</v>
      </c>
      <c r="F139" s="168" t="str">
        <f>IFERROR(VLOOKUP(A139, AQ!$B$2:$F$500, 5, FALSE),"-")</f>
        <v>A. Diterima</v>
      </c>
      <c r="G139" s="168">
        <f>IFERROR(VLOOKUP($A139,A.M!$C$3:$BC$500,53,0),"-")</f>
        <v>65</v>
      </c>
      <c r="H139" s="168" t="str">
        <f>IFERROR(VLOOKUP($A139,A.IL!$C$3:$BC$500,53,0),"-")</f>
        <v>-</v>
      </c>
      <c r="I139" s="168" t="str">
        <f>IFERROR(VLOOKUP($A139,A.S!$C$3:$BC$500,53,0),"-")</f>
        <v>-</v>
      </c>
      <c r="J139" s="168">
        <f>IFERROR(vlookup($A139,Kp!$C140:$JF$500,264,0),"-")</f>
        <v>0</v>
      </c>
      <c r="K139" s="168" t="str">
        <f>IFERROR(vlookup($A139,W.S!$D$2:$X$500,21,0),"-")</f>
        <v>Siap</v>
      </c>
      <c r="L139" s="168" t="str">
        <f>IFERROR(vlookup($A139,Ks!$C$2:$X$500,20,0),"-")</f>
        <v>Siap</v>
      </c>
      <c r="M139" s="168" t="str">
        <f>IFERROR(vlookup($A139,W.O!$E$2:$U$500,16,0),"-")</f>
        <v>Diterima</v>
      </c>
      <c r="N139" s="177"/>
      <c r="O139" s="185" t="s">
        <v>73</v>
      </c>
      <c r="Q139" s="168" t="str">
        <f t="shared" si="2"/>
        <v>A</v>
      </c>
      <c r="R139" s="168" t="str">
        <f t="shared" si="3"/>
        <v>B</v>
      </c>
      <c r="S139" s="168" t="str">
        <f t="shared" si="4"/>
        <v>A</v>
      </c>
      <c r="T139" s="168" t="str">
        <f t="shared" ref="T139:U139" si="141">IF(K139="Siap","A",IF(K139="Cukup Siap","B",IF(K139="Belum Siap","C","")))</f>
        <v>A</v>
      </c>
      <c r="U139" s="168" t="str">
        <f t="shared" si="141"/>
        <v>A</v>
      </c>
    </row>
    <row r="140">
      <c r="A140" s="167" t="str">
        <f>Kp!C142</f>
        <v>F250003</v>
      </c>
      <c r="B140" s="171" t="str">
        <f>Kp!B142</f>
        <v>Nidaul Husna </v>
      </c>
      <c r="C140" s="5" t="str">
        <f>Kp!D142</f>
        <v>IL Putri</v>
      </c>
      <c r="F140" s="168" t="str">
        <f>IFERROR(VLOOKUP(A140, AQ!$B$2:$F$500, 5, FALSE),"-")</f>
        <v>A. Diterima</v>
      </c>
      <c r="G140" s="168" t="str">
        <f>IFERROR(VLOOKUP($A140,A.M!$C$3:$BC$500,53,0),"-")</f>
        <v>-</v>
      </c>
      <c r="H140" s="168">
        <f>IFERROR(VLOOKUP($A140,A.IL!$C$3:$BC$500,53,0),"-")</f>
        <v>70</v>
      </c>
      <c r="I140" s="168" t="str">
        <f>IFERROR(VLOOKUP($A140,A.S!$C$3:$BC$500,53,0),"-")</f>
        <v>-</v>
      </c>
      <c r="J140" s="168">
        <f>IFERROR(vlookup($A140,Kp!$C141:$JF$500,264,0),"-")</f>
        <v>1</v>
      </c>
      <c r="K140" s="168" t="str">
        <f>IFERROR(vlookup($A140,W.S!$D$2:$X$500,21,0),"-")</f>
        <v>Siap</v>
      </c>
      <c r="L140" s="168" t="str">
        <f>IFERROR(vlookup($A140,Ks!$C$2:$X$500,20,0),"-")</f>
        <v>Siap</v>
      </c>
      <c r="M140" s="168" t="str">
        <f>IFERROR(vlookup($A140,W.O!$E$2:$U$500,16,0),"-")</f>
        <v>Diterima dengan catatan</v>
      </c>
      <c r="N140" s="177"/>
      <c r="O140" s="185" t="s">
        <v>73</v>
      </c>
      <c r="Q140" s="168" t="str">
        <f t="shared" si="2"/>
        <v>A</v>
      </c>
      <c r="R140" s="168" t="str">
        <f t="shared" si="3"/>
        <v>B</v>
      </c>
      <c r="S140" s="168" t="str">
        <f t="shared" si="4"/>
        <v>A</v>
      </c>
      <c r="T140" s="168" t="str">
        <f t="shared" ref="T140:U140" si="142">IF(K140="Siap","A",IF(K140="Cukup Siap","B",IF(K140="Belum Siap","C","")))</f>
        <v>A</v>
      </c>
      <c r="U140" s="168" t="str">
        <f t="shared" si="142"/>
        <v>A</v>
      </c>
    </row>
    <row r="141">
      <c r="A141" s="167" t="str">
        <f>Kp!C143</f>
        <v>C250007</v>
      </c>
      <c r="B141" s="11" t="str">
        <f>Kp!B143</f>
        <v>Achmad Kaisan Sidqi</v>
      </c>
      <c r="C141" s="5" t="str">
        <f>Kp!D143</f>
        <v>SMA</v>
      </c>
      <c r="F141" s="168" t="str">
        <f>IFERROR(VLOOKUP(A141, AQ!$B$2:$F$500, 5, FALSE),"-")</f>
        <v>C. Ditolak</v>
      </c>
      <c r="G141" s="168" t="str">
        <f>IFERROR(VLOOKUP($A141,A.M!$C$3:$BC$500,53,0),"-")</f>
        <v>-</v>
      </c>
      <c r="H141" s="168" t="str">
        <f>IFERROR(VLOOKUP($A141,A.IL!$C$3:$BC$500,53,0),"-")</f>
        <v>-</v>
      </c>
      <c r="I141" s="168">
        <f>IFERROR(VLOOKUP($A141,A.S!$C$3:$BC$500,53,0),"-")</f>
        <v>50</v>
      </c>
      <c r="J141" s="168">
        <f>IFERROR(vlookup($A141,Kp!$C142:$JF$500,264,0),"-")</f>
        <v>0</v>
      </c>
      <c r="K141" s="168" t="str">
        <f>IFERROR(vlookup($A141,W.S!$D$2:$X$500,21,0),"-")</f>
        <v>Belum Siap</v>
      </c>
      <c r="L141" s="168" t="str">
        <f>IFERROR(vlookup($A141,Ks!$C$2:$X$500,20,0),"-")</f>
        <v>Siap</v>
      </c>
      <c r="M141" s="168" t="str">
        <f>IFERROR(vlookup($A141,W.O!$E$2:$U$500,16,0),"-")</f>
        <v>Diterima dengan catatan</v>
      </c>
      <c r="N141" s="177"/>
      <c r="O141" s="170" t="s">
        <v>71</v>
      </c>
      <c r="Q141" s="168" t="str">
        <f t="shared" si="2"/>
        <v>C</v>
      </c>
      <c r="R141" s="168" t="str">
        <f t="shared" si="3"/>
        <v>C</v>
      </c>
      <c r="S141" s="168" t="str">
        <f t="shared" si="4"/>
        <v>A</v>
      </c>
      <c r="T141" s="168" t="str">
        <f t="shared" ref="T141:U141" si="143">IF(K141="Siap","A",IF(K141="Cukup Siap","B",IF(K141="Belum Siap","C","")))</f>
        <v>C</v>
      </c>
      <c r="U141" s="168" t="str">
        <f t="shared" si="143"/>
        <v>A</v>
      </c>
    </row>
    <row r="142">
      <c r="A142" s="167" t="str">
        <f>Kp!C144</f>
        <v>C0000</v>
      </c>
      <c r="B142" s="180" t="str">
        <f>Kp!B144</f>
        <v>Zakaria reynaldo</v>
      </c>
      <c r="C142" s="5" t="str">
        <f>Kp!D144</f>
        <v>IL Putra</v>
      </c>
      <c r="F142" s="168" t="str">
        <f>IFERROR(VLOOKUP(A142, AQ!$B$2:$F$500, 5, FALSE),"-")</f>
        <v>C. Ditolak</v>
      </c>
      <c r="G142" s="168" t="str">
        <f>IFERROR(VLOOKUP($A142,A.M!$C$3:$BC$500,53,0),"-")</f>
        <v>-</v>
      </c>
      <c r="H142" s="168">
        <f>IFERROR(VLOOKUP($A142,A.IL!$C$3:$BC$500,53,0),"-")</f>
        <v>35</v>
      </c>
      <c r="I142" s="168" t="str">
        <f>IFERROR(VLOOKUP($A142,A.S!$C$3:$BC$500,53,0),"-")</f>
        <v>-</v>
      </c>
      <c r="J142" s="168">
        <f>IFERROR(vlookup($A142,Kp!$C143:$JF$500,264,0),"-")</f>
        <v>1</v>
      </c>
      <c r="K142" s="168" t="str">
        <f>IFERROR(vlookup($A142,W.S!$D$2:$X$500,21,0),"-")</f>
        <v/>
      </c>
      <c r="L142" s="168" t="str">
        <f>IFERROR(vlookup($A142,Ks!$C$2:$X$500,20,0),"-")</f>
        <v>Siap</v>
      </c>
      <c r="M142" s="168" t="str">
        <f>IFERROR(vlookup($A142,W.O!$E$2:$U$500,16,0),"-")</f>
        <v>Diterima</v>
      </c>
      <c r="N142" s="177"/>
      <c r="O142" s="181" t="s">
        <v>76</v>
      </c>
      <c r="Q142" s="168" t="str">
        <f t="shared" si="2"/>
        <v>C</v>
      </c>
      <c r="R142" s="168" t="str">
        <f t="shared" si="3"/>
        <v>C</v>
      </c>
      <c r="S142" s="168" t="str">
        <f t="shared" si="4"/>
        <v>A</v>
      </c>
      <c r="T142" s="168" t="str">
        <f t="shared" ref="T142:U142" si="144">IF(K142="Siap","A",IF(K142="Cukup Siap","B",IF(K142="Belum Siap","C","")))</f>
        <v/>
      </c>
      <c r="U142" s="168" t="str">
        <f t="shared" si="144"/>
        <v>A</v>
      </c>
    </row>
    <row r="143">
      <c r="A143" s="167" t="str">
        <f>Kp!C145</f>
        <v>C250024</v>
      </c>
      <c r="B143" s="180" t="str">
        <f>Kp!B145</f>
        <v>ANANDA HEZKY FAYEZA</v>
      </c>
      <c r="C143" s="5" t="str">
        <f>Kp!D145</f>
        <v>SMA</v>
      </c>
      <c r="F143" s="168" t="str">
        <f>IFERROR(VLOOKUP(A143, AQ!$B$2:$F$500, 5, FALSE),"-")</f>
        <v>C. Ditolak</v>
      </c>
      <c r="G143" s="168" t="str">
        <f>IFERROR(VLOOKUP($A143,A.M!$C$3:$BC$500,53,0),"-")</f>
        <v>-</v>
      </c>
      <c r="H143" s="168" t="str">
        <f>IFERROR(VLOOKUP($A143,A.IL!$C$3:$BC$500,53,0),"-")</f>
        <v>-</v>
      </c>
      <c r="I143" s="168">
        <f>IFERROR(VLOOKUP($A143,A.S!$C$3:$BC$500,53,0),"-")</f>
        <v>60</v>
      </c>
      <c r="J143" s="168">
        <f>IFERROR(vlookup($A143,Kp!$C144:$JF$500,264,0),"-")</f>
        <v>2</v>
      </c>
      <c r="K143" s="168" t="str">
        <f>IFERROR(vlookup($A143,W.S!$D$2:$X$500,21,0),"-")</f>
        <v>Siap</v>
      </c>
      <c r="L143" s="168" t="str">
        <f>IFERROR(vlookup($A143,Ks!$C$2:$X$500,20,0),"-")</f>
        <v>Siap</v>
      </c>
      <c r="M143" s="168" t="str">
        <f>IFERROR(vlookup($A143,W.O!$E$2:$U$500,16,0),"-")</f>
        <v>Diterima</v>
      </c>
      <c r="N143" s="177"/>
      <c r="O143" s="181" t="s">
        <v>76</v>
      </c>
      <c r="Q143" s="168" t="str">
        <f t="shared" si="2"/>
        <v>C</v>
      </c>
      <c r="R143" s="168" t="str">
        <f t="shared" si="3"/>
        <v>B</v>
      </c>
      <c r="S143" s="168" t="str">
        <f t="shared" si="4"/>
        <v>B</v>
      </c>
      <c r="T143" s="168" t="str">
        <f t="shared" ref="T143:U143" si="145">IF(K143="Siap","A",IF(K143="Cukup Siap","B",IF(K143="Belum Siap","C","")))</f>
        <v>A</v>
      </c>
      <c r="U143" s="168" t="str">
        <f t="shared" si="145"/>
        <v>A</v>
      </c>
    </row>
    <row r="144">
      <c r="A144" s="167" t="str">
        <f>Kp!C146</f>
        <v>A250039</v>
      </c>
      <c r="B144" s="11" t="str">
        <f>Kp!B146</f>
        <v>Rayyan Muzaffar Firdaus</v>
      </c>
      <c r="C144" s="5" t="str">
        <f>Kp!D146</f>
        <v>MTs Putra</v>
      </c>
      <c r="F144" s="168" t="str">
        <f>IFERROR(VLOOKUP(A144, AQ!$B$2:$F$500, 5, FALSE),"-")</f>
        <v>C. Ditolak</v>
      </c>
      <c r="G144" s="168">
        <f>IFERROR(VLOOKUP($A144,A.M!$C$3:$BC$500,53,0),"-")</f>
        <v>70</v>
      </c>
      <c r="H144" s="168" t="str">
        <f>IFERROR(VLOOKUP($A144,A.IL!$C$3:$BC$500,53,0),"-")</f>
        <v>-</v>
      </c>
      <c r="I144" s="168" t="str">
        <f>IFERROR(VLOOKUP($A144,A.S!$C$3:$BC$500,53,0),"-")</f>
        <v>-</v>
      </c>
      <c r="J144" s="168">
        <f>IFERROR(vlookup($A144,Kp!$C145:$JF$500,264,0),"-")</f>
        <v>2</v>
      </c>
      <c r="K144" s="168" t="str">
        <f>IFERROR(vlookup($A144,W.S!$D$2:$X$500,21,0),"-")</f>
        <v>Siap</v>
      </c>
      <c r="L144" s="168" t="str">
        <f>IFERROR(vlookup($A144,Ks!$C$2:$X$500,20,0),"-")</f>
        <v>Siap</v>
      </c>
      <c r="M144" s="168" t="str">
        <f>IFERROR(vlookup($A144,W.O!$E$2:$U$500,16,0),"-")</f>
        <v>Diterima</v>
      </c>
      <c r="N144" s="177"/>
      <c r="O144" s="170" t="s">
        <v>71</v>
      </c>
      <c r="Q144" s="168" t="str">
        <f t="shared" si="2"/>
        <v>C</v>
      </c>
      <c r="R144" s="168" t="str">
        <f t="shared" si="3"/>
        <v>B</v>
      </c>
      <c r="S144" s="168" t="str">
        <f t="shared" si="4"/>
        <v>B</v>
      </c>
      <c r="T144" s="168" t="str">
        <f t="shared" ref="T144:U144" si="146">IF(K144="Siap","A",IF(K144="Cukup Siap","B",IF(K144="Belum Siap","C","")))</f>
        <v>A</v>
      </c>
      <c r="U144" s="168" t="str">
        <f t="shared" si="146"/>
        <v>A</v>
      </c>
    </row>
    <row r="145">
      <c r="A145" s="167" t="str">
        <f>Kp!C147</f>
        <v>D250030</v>
      </c>
      <c r="B145" s="11" t="str">
        <f>Kp!B147</f>
        <v>Clarisa aqila putri</v>
      </c>
      <c r="C145" s="5" t="str">
        <f>Kp!D147</f>
        <v>MTs Putri</v>
      </c>
      <c r="F145" s="168" t="str">
        <f>IFERROR(VLOOKUP(A145, AQ!$B$2:$F$500, 5, FALSE),"-")</f>
        <v>B. Cadangan</v>
      </c>
      <c r="G145" s="168">
        <f>IFERROR(VLOOKUP($A145,A.M!$C$3:$BC$500,53,0),"-")</f>
        <v>60</v>
      </c>
      <c r="H145" s="168">
        <f>IFERROR(VLOOKUP($A145,A.IL!$C$3:$BC$500,53,0),"-")</f>
        <v>85</v>
      </c>
      <c r="I145" s="168" t="str">
        <f>IFERROR(VLOOKUP($A145,A.S!$C$3:$BC$500,53,0),"-")</f>
        <v>-</v>
      </c>
      <c r="J145" s="168">
        <f>IFERROR(vlookup($A145,Kp!$C146:$JF$500,264,0),"-")</f>
        <v>3</v>
      </c>
      <c r="K145" s="168" t="str">
        <f>IFERROR(vlookup($A145,W.S!$D$2:$X$500,21,0),"-")</f>
        <v>Siap</v>
      </c>
      <c r="L145" s="168" t="str">
        <f>IFERROR(vlookup($A145,Ks!$C$2:$X$500,20,0),"-")</f>
        <v>Siap</v>
      </c>
      <c r="M145" s="168" t="str">
        <f>IFERROR(vlookup($A145,W.O!$E$2:$U$500,16,0),"-")</f>
        <v>Diterima</v>
      </c>
      <c r="N145" s="177"/>
      <c r="O145" s="170" t="s">
        <v>71</v>
      </c>
      <c r="Q145" s="168" t="str">
        <f t="shared" si="2"/>
        <v>B</v>
      </c>
      <c r="R145" s="168" t="str">
        <f t="shared" si="3"/>
        <v>A</v>
      </c>
      <c r="S145" s="168" t="str">
        <f t="shared" si="4"/>
        <v>C</v>
      </c>
      <c r="T145" s="168" t="str">
        <f t="shared" ref="T145:U145" si="147">IF(K145="Siap","A",IF(K145="Cukup Siap","B",IF(K145="Belum Siap","C","")))</f>
        <v>A</v>
      </c>
      <c r="U145" s="168" t="str">
        <f t="shared" si="147"/>
        <v>A</v>
      </c>
    </row>
    <row r="146">
      <c r="A146" s="167" t="str">
        <f>Kp!C148</f>
        <v>A250056</v>
      </c>
      <c r="B146" s="175" t="str">
        <f>Kp!B148</f>
        <v>Abdurrahman Dihyah Arrobi</v>
      </c>
      <c r="C146" s="5" t="str">
        <f>Kp!D148</f>
        <v>MTs Putra</v>
      </c>
      <c r="F146" s="168" t="str">
        <f>IFERROR(VLOOKUP(A146, AQ!$B$2:$F$500, 5, FALSE),"-")</f>
        <v>B. Cadangan</v>
      </c>
      <c r="G146" s="168">
        <f>IFERROR(VLOOKUP($A146,A.M!$C$3:$BC$500,53,0),"-")</f>
        <v>80</v>
      </c>
      <c r="H146" s="168" t="str">
        <f>IFERROR(VLOOKUP($A146,A.IL!$C$3:$BC$500,53,0),"-")</f>
        <v>-</v>
      </c>
      <c r="I146" s="168" t="str">
        <f>IFERROR(VLOOKUP($A146,A.S!$C$3:$BC$500,53,0),"-")</f>
        <v>-</v>
      </c>
      <c r="J146" s="168">
        <f>IFERROR(vlookup($A146,Kp!$C147:$JF$500,264,0),"-")</f>
        <v>1</v>
      </c>
      <c r="K146" s="168" t="str">
        <f>IFERROR(vlookup($A146,W.S!$D$2:$X$500,21,0),"-")</f>
        <v>Siap</v>
      </c>
      <c r="L146" s="168" t="str">
        <f>IFERROR(vlookup($A146,Ks!$C$2:$X$500,20,0),"-")</f>
        <v>Siap</v>
      </c>
      <c r="M146" s="168" t="str">
        <f>IFERROR(vlookup($A146,W.O!$E$2:$U$500,16,0),"-")</f>
        <v>Diterima</v>
      </c>
      <c r="N146" s="177"/>
      <c r="O146" s="179" t="s">
        <v>74</v>
      </c>
      <c r="Q146" s="168" t="str">
        <f t="shared" si="2"/>
        <v>B</v>
      </c>
      <c r="R146" s="168" t="str">
        <f t="shared" si="3"/>
        <v>A</v>
      </c>
      <c r="S146" s="168" t="str">
        <f t="shared" si="4"/>
        <v>A</v>
      </c>
      <c r="T146" s="168" t="str">
        <f t="shared" ref="T146:U146" si="148">IF(K146="Siap","A",IF(K146="Cukup Siap","B",IF(K146="Belum Siap","C","")))</f>
        <v>A</v>
      </c>
      <c r="U146" s="168" t="str">
        <f t="shared" si="148"/>
        <v>A</v>
      </c>
    </row>
    <row r="147">
      <c r="A147" s="167" t="str">
        <f>Kp!C149</f>
        <v>D250032</v>
      </c>
      <c r="B147" s="171" t="str">
        <f>Kp!B149</f>
        <v>Aisah</v>
      </c>
      <c r="C147" s="5" t="str">
        <f>Kp!D149</f>
        <v>MTs Putri</v>
      </c>
      <c r="F147" s="168" t="str">
        <f>IFERROR(VLOOKUP(A147, AQ!$B$2:$F$500, 5, FALSE),"-")</f>
        <v>A. Diterima</v>
      </c>
      <c r="G147" s="168">
        <f>IFERROR(VLOOKUP($A147,A.M!$C$3:$BC$500,53,0),"-")</f>
        <v>65</v>
      </c>
      <c r="H147" s="168" t="str">
        <f>IFERROR(VLOOKUP($A147,A.IL!$C$3:$BC$500,53,0),"-")</f>
        <v>-</v>
      </c>
      <c r="I147" s="168" t="str">
        <f>IFERROR(VLOOKUP($A147,A.S!$C$3:$BC$500,53,0),"-")</f>
        <v>-</v>
      </c>
      <c r="J147" s="168">
        <f>IFERROR(vlookup($A147,Kp!$C148:$JF$500,264,0),"-")</f>
        <v>1</v>
      </c>
      <c r="K147" s="168" t="str">
        <f>IFERROR(vlookup($A147,W.S!$D$2:$X$500,21,0),"-")</f>
        <v>Siap</v>
      </c>
      <c r="L147" s="168" t="str">
        <f>IFERROR(vlookup($A147,Ks!$C$2:$X$500,20,0),"-")</f>
        <v>Siap</v>
      </c>
      <c r="M147" s="168" t="str">
        <f>IFERROR(vlookup($A147,W.O!$E$2:$U$500,16,0),"-")</f>
        <v>Diterima</v>
      </c>
      <c r="N147" s="177"/>
      <c r="O147" s="185" t="s">
        <v>73</v>
      </c>
      <c r="Q147" s="168" t="str">
        <f t="shared" si="2"/>
        <v>A</v>
      </c>
      <c r="R147" s="168" t="str">
        <f t="shared" si="3"/>
        <v>B</v>
      </c>
      <c r="S147" s="168" t="str">
        <f t="shared" si="4"/>
        <v>A</v>
      </c>
      <c r="T147" s="168" t="str">
        <f t="shared" ref="T147:U147" si="149">IF(K147="Siap","A",IF(K147="Cukup Siap","B",IF(K147="Belum Siap","C","")))</f>
        <v>A</v>
      </c>
      <c r="U147" s="168" t="str">
        <f t="shared" si="149"/>
        <v>A</v>
      </c>
    </row>
    <row r="148">
      <c r="A148" s="189" t="str">
        <f>Kp!C150</f>
        <v>A250083</v>
      </c>
      <c r="B148" s="190" t="str">
        <f>Kp!B150</f>
        <v>GEYSa raipan </v>
      </c>
      <c r="C148" s="190" t="str">
        <f>Kp!D150</f>
        <v>MTs Putra</v>
      </c>
      <c r="D148" s="108"/>
      <c r="E148" s="108"/>
      <c r="F148" s="191" t="str">
        <f>IFERROR(VLOOKUP(A148, AQ!$B$2:$F$500, 5, FALSE),"-")</f>
        <v>B. Cadangan</v>
      </c>
      <c r="G148" s="191">
        <f>IFERROR(VLOOKUP($A148,A.M!$C$3:$BC$500,53,0),"-")</f>
        <v>30</v>
      </c>
      <c r="H148" s="191" t="str">
        <f>IFERROR(VLOOKUP($A148,A.IL!$C$3:$BC$500,53,0),"-")</f>
        <v>-</v>
      </c>
      <c r="I148" s="191" t="str">
        <f>IFERROR(VLOOKUP($A148,A.S!$C$3:$BC$500,53,0),"-")</f>
        <v>-</v>
      </c>
      <c r="J148" s="191">
        <f>IFERROR(vlookup($A148,Kp!$C149:$JF$500,264,0),"-")</f>
        <v>1</v>
      </c>
      <c r="K148" s="191" t="str">
        <f>IFERROR(vlookup($A148,W.S!$D$2:$X$500,21,0),"-")</f>
        <v>Cukup Siap</v>
      </c>
      <c r="L148" s="191" t="str">
        <f>IFERROR(vlookup($A148,Ks!$C$2:$X$500,20,0),"-")</f>
        <v>Siap</v>
      </c>
      <c r="M148" s="191" t="str">
        <f>IFERROR(vlookup($A148,W.O!$E$2:$U$500,16,0),"-")</f>
        <v>Diterima dengan catatan</v>
      </c>
      <c r="N148" s="161"/>
      <c r="O148" s="189" t="s">
        <v>71</v>
      </c>
      <c r="P148" s="108"/>
      <c r="Q148" s="191" t="str">
        <f t="shared" si="2"/>
        <v>B</v>
      </c>
      <c r="R148" s="191" t="str">
        <f t="shared" si="3"/>
        <v>C</v>
      </c>
      <c r="S148" s="191" t="str">
        <f t="shared" si="4"/>
        <v>A</v>
      </c>
      <c r="T148" s="191" t="str">
        <f t="shared" ref="T148:U148" si="150">IF(K148="Siap","A",IF(K148="Cukup Siap","B",IF(K148="Belum Siap","C","")))</f>
        <v>B</v>
      </c>
      <c r="U148" s="191" t="str">
        <f t="shared" si="150"/>
        <v>A</v>
      </c>
      <c r="V148" s="108"/>
    </row>
    <row r="149">
      <c r="A149" s="167" t="str">
        <f>Kp!C151</f>
        <v>A250073</v>
      </c>
      <c r="B149" s="5" t="str">
        <f>Kp!B151</f>
        <v>Ahmad vickhy wijaya </v>
      </c>
      <c r="C149" s="5" t="str">
        <f>Kp!D151</f>
        <v>MTs Putra</v>
      </c>
      <c r="D149" s="108"/>
      <c r="E149" s="108"/>
      <c r="F149" s="191" t="str">
        <f>IFERROR(VLOOKUP(A149, AQ!$B$2:$F$500, 5, FALSE),"-")</f>
        <v>C. Ditolak</v>
      </c>
      <c r="G149" s="191">
        <f>IFERROR(VLOOKUP($A149,A.M!$C$3:$BC$500,53,0),"-")</f>
        <v>45</v>
      </c>
      <c r="H149" s="191" t="str">
        <f>IFERROR(VLOOKUP($A149,A.IL!$C$3:$BC$500,53,0),"-")</f>
        <v>-</v>
      </c>
      <c r="I149" s="191" t="str">
        <f>IFERROR(VLOOKUP($A149,A.S!$C$3:$BC$500,53,0),"-")</f>
        <v>-</v>
      </c>
      <c r="J149" s="191">
        <f>IFERROR(vlookup($A149,Kp!$C150:$JF$500,264,0),"-")</f>
        <v>3</v>
      </c>
      <c r="K149" s="191" t="str">
        <f>IFERROR(vlookup($A149,W.S!$D$2:$X$500,21,0),"-")</f>
        <v>-</v>
      </c>
      <c r="L149" s="191" t="str">
        <f>IFERROR(vlookup($A149,Ks!$C$2:$X$500,20,0),"-")</f>
        <v>Siap</v>
      </c>
      <c r="M149" s="191" t="str">
        <f>IFERROR(vlookup($A149,W.O!$E$2:$U$500,16,0),"-")</f>
        <v>Diterima</v>
      </c>
      <c r="N149" s="177"/>
      <c r="O149" s="170" t="s">
        <v>71</v>
      </c>
      <c r="Q149" s="50"/>
    </row>
    <row r="150">
      <c r="A150" s="167" t="str">
        <f>Kp!C152</f>
        <v>D250033</v>
      </c>
      <c r="B150" s="5" t="str">
        <f>Kp!B152</f>
        <v>Kimora amanda putri</v>
      </c>
      <c r="C150" s="5" t="str">
        <f>Kp!D152</f>
        <v>MTs Putri</v>
      </c>
      <c r="D150" s="108"/>
      <c r="E150" s="108"/>
      <c r="F150" s="191" t="str">
        <f>IFERROR(VLOOKUP(A150, AQ!$B$2:$F$500, 5, FALSE),"-")</f>
        <v>A. Diterima</v>
      </c>
      <c r="G150" s="191">
        <f>IFERROR(VLOOKUP($A150,A.M!$C$3:$BC$500,53,0),"-")</f>
        <v>75</v>
      </c>
      <c r="H150" s="191">
        <f>IFERROR(VLOOKUP($A150,A.IL!$C$3:$BC$500,53,0),"-")</f>
        <v>25</v>
      </c>
      <c r="I150" s="191" t="str">
        <f>IFERROR(VLOOKUP($A150,A.S!$C$3:$BC$500,53,0),"-")</f>
        <v>-</v>
      </c>
      <c r="J150" s="191">
        <f>IFERROR(vlookup($A150,Kp!$C151:$JF$500,264,0),"-")</f>
        <v>1</v>
      </c>
      <c r="K150" s="191" t="str">
        <f>IFERROR(vlookup($A150,W.S!$D$2:$X$500,21,0),"-")</f>
        <v>Siap</v>
      </c>
      <c r="L150" s="191" t="str">
        <f>IFERROR(vlookup($A150,Ks!$C$2:$X$500,20,0),"-")</f>
        <v>Siap</v>
      </c>
      <c r="M150" s="191" t="str">
        <f>IFERROR(vlookup($A150,W.O!$E$2:$U$500,16,0),"-")</f>
        <v>Diterima dengan catatan</v>
      </c>
      <c r="N150" s="177"/>
      <c r="O150" s="179" t="s">
        <v>74</v>
      </c>
      <c r="Q150" s="50"/>
    </row>
    <row r="151">
      <c r="A151" s="167" t="str">
        <f>Kp!C153</f>
        <v>D250035</v>
      </c>
      <c r="B151" s="5" t="str">
        <f>Kp!B153</f>
        <v>Naisya Ashadiya Rusli</v>
      </c>
      <c r="C151" s="5" t="str">
        <f>Kp!D153</f>
        <v>MTs Putri</v>
      </c>
      <c r="D151" s="108"/>
      <c r="E151" s="108"/>
      <c r="F151" s="191" t="str">
        <f>IFERROR(VLOOKUP(A151, AQ!$B$2:$F$500, 5, FALSE),"-")</f>
        <v>A. Diterima</v>
      </c>
      <c r="G151" s="191">
        <f>IFERROR(VLOOKUP($A151,A.M!$C$3:$BC$500,53,0),"-")</f>
        <v>85</v>
      </c>
      <c r="H151" s="191" t="str">
        <f>IFERROR(VLOOKUP($A151,A.IL!$C$3:$BC$500,53,0),"-")</f>
        <v>-</v>
      </c>
      <c r="I151" s="191" t="str">
        <f>IFERROR(VLOOKUP($A151,A.S!$C$3:$BC$500,53,0),"-")</f>
        <v>-</v>
      </c>
      <c r="J151" s="191">
        <f>IFERROR(vlookup($A151,Kp!$C152:$JF$500,264,0),"-")</f>
        <v>1</v>
      </c>
      <c r="K151" s="191" t="str">
        <f>IFERROR(vlookup($A151,W.S!$D$2:$X$500,21,0),"-")</f>
        <v>Siap</v>
      </c>
      <c r="L151" s="191" t="str">
        <f>IFERROR(vlookup($A151,Ks!$C$2:$X$500,20,0),"-")</f>
        <v>Siap</v>
      </c>
      <c r="M151" s="191" t="str">
        <f>IFERROR(vlookup($A151,W.O!$E$2:$U$500,16,0),"-")</f>
        <v>Diterima</v>
      </c>
      <c r="N151" s="177"/>
      <c r="O151" s="185" t="s">
        <v>73</v>
      </c>
      <c r="Q151" s="50"/>
    </row>
    <row r="152">
      <c r="A152" s="167" t="str">
        <f>Kp!C154</f>
        <v>D250034</v>
      </c>
      <c r="B152" s="5" t="str">
        <f>Kp!B154</f>
        <v>Aisha Salma Mutmainnah </v>
      </c>
      <c r="C152" s="5" t="str">
        <f>Kp!D154</f>
        <v>MTs Putri</v>
      </c>
      <c r="D152" s="108"/>
      <c r="E152" s="108"/>
      <c r="F152" s="191" t="str">
        <f>IFERROR(VLOOKUP(A152, AQ!$B$2:$F$500, 5, FALSE),"-")</f>
        <v>A. Diterima</v>
      </c>
      <c r="G152" s="191">
        <f>IFERROR(VLOOKUP($A152,A.M!$C$3:$BC$500,53,0),"-")</f>
        <v>90</v>
      </c>
      <c r="H152" s="191" t="str">
        <f>IFERROR(VLOOKUP($A152,A.IL!$C$3:$BC$500,53,0),"-")</f>
        <v>-</v>
      </c>
      <c r="I152" s="191" t="str">
        <f>IFERROR(VLOOKUP($A152,A.S!$C$3:$BC$500,53,0),"-")</f>
        <v>-</v>
      </c>
      <c r="J152" s="191">
        <f>IFERROR(vlookup($A152,Kp!$C153:$JF$500,264,0),"-")</f>
        <v>1</v>
      </c>
      <c r="K152" s="191" t="str">
        <f>IFERROR(vlookup($A152,W.S!$D$2:$X$500,21,0),"-")</f>
        <v>Siap</v>
      </c>
      <c r="L152" s="191" t="str">
        <f>IFERROR(vlookup($A152,Ks!$C$2:$X$500,20,0),"-")</f>
        <v>Siap</v>
      </c>
      <c r="M152" s="191" t="str">
        <f>IFERROR(vlookup($A152,W.O!$E$2:$U$500,16,0),"-")</f>
        <v>Diterima</v>
      </c>
      <c r="N152" s="177"/>
      <c r="O152" s="185" t="s">
        <v>73</v>
      </c>
      <c r="Q152" s="50"/>
    </row>
    <row r="153">
      <c r="A153" s="167" t="str">
        <f>Kp!C155</f>
        <v>E250010</v>
      </c>
      <c r="B153" s="5" t="str">
        <f>Kp!B155</f>
        <v>Nada Faizah Muttaqiyah </v>
      </c>
      <c r="C153" s="5" t="str">
        <f>Kp!D155</f>
        <v>IL Putri</v>
      </c>
      <c r="D153" s="108"/>
      <c r="E153" s="108"/>
      <c r="F153" s="191" t="str">
        <f>IFERROR(VLOOKUP(A153, AQ!$B$2:$F$500, 5, FALSE),"-")</f>
        <v>A. Diterima</v>
      </c>
      <c r="G153" s="191" t="str">
        <f>IFERROR(VLOOKUP($A153,A.M!$C$3:$BC$500,53,0),"-")</f>
        <v>-</v>
      </c>
      <c r="H153" s="191">
        <f>IFERROR(VLOOKUP($A153,A.IL!$C$3:$BC$500,53,0),"-")</f>
        <v>55</v>
      </c>
      <c r="I153" s="191" t="str">
        <f>IFERROR(VLOOKUP($A153,A.S!$C$3:$BC$500,53,0),"-")</f>
        <v>-</v>
      </c>
      <c r="J153" s="191">
        <f>IFERROR(vlookup($A153,Kp!$C154:$JF$500,264,0),"-")</f>
        <v>2</v>
      </c>
      <c r="K153" s="191" t="str">
        <f>IFERROR(vlookup($A153,W.S!$D$2:$X$500,21,0),"-")</f>
        <v>Siap</v>
      </c>
      <c r="L153" s="191" t="str">
        <f>IFERROR(vlookup($A153,Ks!$C$2:$X$500,20,0),"-")</f>
        <v>Siap</v>
      </c>
      <c r="M153" s="191" t="str">
        <f>IFERROR(vlookup($A153,W.O!$E$2:$U$500,16,0),"-")</f>
        <v>Diterima</v>
      </c>
      <c r="N153" s="177"/>
      <c r="O153" s="179" t="s">
        <v>74</v>
      </c>
      <c r="Q153" s="50"/>
    </row>
    <row r="154">
      <c r="A154" s="167" t="str">
        <f>Kp!C156</f>
        <v>C250026</v>
      </c>
      <c r="B154" s="5" t="str">
        <f>Kp!B156</f>
        <v>Raylan Akbar</v>
      </c>
      <c r="C154" s="5" t="str">
        <f>Kp!D156</f>
        <v>SMA</v>
      </c>
      <c r="D154" s="108"/>
      <c r="E154" s="108"/>
      <c r="F154" s="191" t="str">
        <f>IFERROR(VLOOKUP(A154, AQ!$B$2:$F$500, 5, FALSE),"-")</f>
        <v>C. Ditolak</v>
      </c>
      <c r="G154" s="191" t="str">
        <f>IFERROR(VLOOKUP($A154,A.M!$C$3:$BC$500,53,0),"-")</f>
        <v>-</v>
      </c>
      <c r="H154" s="191">
        <f>IFERROR(VLOOKUP($A154,A.IL!$C$3:$BC$500,53,0),"-")</f>
        <v>30</v>
      </c>
      <c r="I154" s="191">
        <f>IFERROR(VLOOKUP($A154,A.S!$C$3:$BC$500,53,0),"-")</f>
        <v>25</v>
      </c>
      <c r="J154" s="191">
        <f>IFERROR(vlookup($A154,Kp!$C155:$JF$500,264,0),"-")</f>
        <v>2</v>
      </c>
      <c r="K154" s="191" t="str">
        <f>IFERROR(vlookup($A154,W.S!$D$2:$X$500,21,0),"-")</f>
        <v>-</v>
      </c>
      <c r="L154" s="191" t="str">
        <f>IFERROR(vlookup($A154,Ks!$C$2:$X$500,20,0),"-")</f>
        <v>Siap</v>
      </c>
      <c r="M154" s="191" t="str">
        <f>IFERROR(vlookup($A154,W.O!$E$2:$U$500,16,0),"-")</f>
        <v>-</v>
      </c>
      <c r="N154" s="177"/>
      <c r="O154" s="170" t="s">
        <v>71</v>
      </c>
      <c r="Q154" s="50"/>
    </row>
    <row r="155">
      <c r="A155" s="167" t="str">
        <f>Kp!C157</f>
        <v>D250036</v>
      </c>
      <c r="B155" s="5" t="str">
        <f>Kp!B157</f>
        <v>Ratu rafifa putri mulyana </v>
      </c>
      <c r="C155" s="5" t="str">
        <f>Kp!D157</f>
        <v>MTs Putri</v>
      </c>
      <c r="D155" s="108"/>
      <c r="E155" s="108"/>
      <c r="F155" s="191" t="str">
        <f>IFERROR(VLOOKUP(A155, AQ!$B$2:$F$500, 5, FALSE),"-")</f>
        <v>B. Cadangan</v>
      </c>
      <c r="G155" s="191">
        <f>IFERROR(VLOOKUP($A155,A.M!$C$3:$BC$500,53,0),"-")</f>
        <v>85</v>
      </c>
      <c r="H155" s="191" t="str">
        <f>IFERROR(VLOOKUP($A155,A.IL!$C$3:$BC$500,53,0),"-")</f>
        <v>-</v>
      </c>
      <c r="I155" s="191" t="str">
        <f>IFERROR(VLOOKUP($A155,A.S!$C$3:$BC$500,53,0),"-")</f>
        <v>-</v>
      </c>
      <c r="J155" s="191">
        <f>IFERROR(vlookup($A155,Kp!$C156:$JF$500,264,0),"-")</f>
        <v>1</v>
      </c>
      <c r="K155" s="191" t="str">
        <f>IFERROR(vlookup($A155,W.S!$D$2:$X$500,21,0),"-")</f>
        <v>Siap</v>
      </c>
      <c r="L155" s="191" t="str">
        <f>IFERROR(vlookup($A155,Ks!$C$2:$X$500,20,0),"-")</f>
        <v>Siap</v>
      </c>
      <c r="M155" s="191" t="str">
        <f>IFERROR(vlookup($A155,W.O!$E$2:$U$500,16,0),"-")</f>
        <v>-</v>
      </c>
      <c r="N155" s="177"/>
      <c r="O155" s="185" t="s">
        <v>73</v>
      </c>
      <c r="Q155" s="50"/>
    </row>
    <row r="156">
      <c r="A156" s="167" t="str">
        <f>Kp!C158</f>
        <v>C260001</v>
      </c>
      <c r="B156" s="5" t="str">
        <f>Kp!B158</f>
        <v>Muhammad Azka Rizky Ramadhan </v>
      </c>
      <c r="C156" s="5" t="str">
        <f>Kp!D158</f>
        <v>SMA</v>
      </c>
      <c r="D156" s="108"/>
      <c r="E156" s="108"/>
      <c r="F156" s="191" t="str">
        <f>IFERROR(VLOOKUP(A156, AQ!$B$2:$F$500, 5, FALSE),"-")</f>
        <v>-</v>
      </c>
      <c r="G156" s="191" t="str">
        <f>IFERROR(VLOOKUP($A156,A.M!$C$3:$BC$500,53,0),"-")</f>
        <v>-</v>
      </c>
      <c r="H156" s="191" t="str">
        <f>IFERROR(VLOOKUP($A156,A.IL!$C$3:$BC$500,53,0),"-")</f>
        <v>-</v>
      </c>
      <c r="I156" s="191">
        <f>IFERROR(VLOOKUP($A156,A.S!$C$3:$BC$500,53,0),"-")</f>
        <v>55</v>
      </c>
      <c r="J156" s="191">
        <f>IFERROR(vlookup($A156,Kp!$C157:$JF$500,264,0),"-")</f>
        <v>0</v>
      </c>
      <c r="K156" s="191" t="str">
        <f>IFERROR(vlookup($A156,W.S!$D$2:$X$500,21,0),"-")</f>
        <v>-</v>
      </c>
      <c r="L156" s="191" t="str">
        <f>IFERROR(vlookup($A156,Ks!$C$2:$X$500,20,0),"-")</f>
        <v>Siap</v>
      </c>
      <c r="M156" s="191" t="str">
        <f>IFERROR(vlookup($A156,W.O!$E$2:$U$500,16,0),"-")</f>
        <v>-</v>
      </c>
      <c r="N156" s="177"/>
      <c r="O156" s="50"/>
      <c r="Q156" s="50"/>
    </row>
    <row r="157">
      <c r="A157" s="167" t="str">
        <f>Kp!C159</f>
        <v>C250030</v>
      </c>
      <c r="B157" s="5" t="str">
        <f>Kp!B159</f>
        <v>IMAN SETIAWAN</v>
      </c>
      <c r="C157" s="5" t="str">
        <f>Kp!D159</f>
        <v>IL Putra</v>
      </c>
      <c r="D157" s="108"/>
      <c r="E157" s="108"/>
      <c r="F157" s="191" t="str">
        <f>IFERROR(VLOOKUP(A157, AQ!$B$2:$F$500, 5, FALSE),"-")</f>
        <v>-</v>
      </c>
      <c r="G157" s="191" t="str">
        <f>IFERROR(VLOOKUP($A157,A.M!$C$3:$BC$500,53,0),"-")</f>
        <v>-</v>
      </c>
      <c r="H157" s="191">
        <f>IFERROR(VLOOKUP($A157,A.IL!$C$3:$BC$500,53,0),"-")</f>
        <v>50</v>
      </c>
      <c r="I157" s="191" t="str">
        <f>IFERROR(VLOOKUP($A157,A.S!$C$3:$BC$500,53,0),"-")</f>
        <v>-</v>
      </c>
      <c r="J157" s="191">
        <f>IFERROR(vlookup($A157,Kp!$C158:$JF$500,264,0),"-")</f>
        <v>1</v>
      </c>
      <c r="K157" s="191" t="str">
        <f>IFERROR(vlookup($A157,W.S!$D$2:$X$500,21,0),"-")</f>
        <v>-</v>
      </c>
      <c r="L157" s="191" t="str">
        <f>IFERROR(vlookup($A157,Ks!$C$2:$X$500,20,0),"-")</f>
        <v/>
      </c>
      <c r="M157" s="191" t="str">
        <f>IFERROR(vlookup($A157,W.O!$E$2:$U$500,16,0),"-")</f>
        <v>-</v>
      </c>
      <c r="N157" s="177"/>
      <c r="O157" s="50"/>
      <c r="Q157" s="50"/>
    </row>
    <row r="158">
      <c r="A158" s="167" t="str">
        <f>Kp!C160</f>
        <v>000000</v>
      </c>
      <c r="B158" s="5" t="str">
        <f>Kp!B160</f>
        <v>hudzaifah al fawwaz</v>
      </c>
      <c r="C158" s="5" t="str">
        <f>Kp!D160</f>
        <v>IL Putra</v>
      </c>
      <c r="N158" s="177"/>
      <c r="O158" s="50"/>
      <c r="Q158" s="50"/>
    </row>
    <row r="159">
      <c r="A159" s="50"/>
      <c r="N159" s="177"/>
      <c r="O159" s="50"/>
      <c r="Q159" s="50"/>
    </row>
    <row r="160">
      <c r="A160" s="50"/>
      <c r="N160" s="177"/>
      <c r="O160" s="50"/>
      <c r="Q160" s="50"/>
    </row>
    <row r="161">
      <c r="A161" s="50"/>
      <c r="N161" s="177"/>
      <c r="O161" s="50"/>
      <c r="Q161" s="50"/>
    </row>
    <row r="162">
      <c r="A162" s="50"/>
      <c r="N162" s="177"/>
      <c r="O162" s="50"/>
      <c r="Q162" s="50"/>
    </row>
    <row r="163">
      <c r="A163" s="50"/>
      <c r="N163" s="177"/>
      <c r="O163" s="50"/>
      <c r="Q163" s="50"/>
    </row>
    <row r="164">
      <c r="A164" s="50"/>
      <c r="N164" s="177"/>
      <c r="O164" s="50"/>
      <c r="Q164" s="50"/>
    </row>
    <row r="165">
      <c r="A165" s="50"/>
      <c r="N165" s="177"/>
      <c r="O165" s="50"/>
      <c r="Q165" s="50"/>
    </row>
    <row r="166">
      <c r="A166" s="50"/>
      <c r="N166" s="177"/>
      <c r="O166" s="50"/>
      <c r="Q166" s="50"/>
    </row>
    <row r="167">
      <c r="A167" s="50"/>
      <c r="N167" s="177"/>
      <c r="O167" s="50"/>
      <c r="Q167" s="50"/>
    </row>
    <row r="168">
      <c r="A168" s="50"/>
      <c r="N168" s="177"/>
      <c r="O168" s="50"/>
      <c r="Q168" s="50"/>
    </row>
    <row r="169">
      <c r="A169" s="50"/>
      <c r="N169" s="177"/>
      <c r="O169" s="50"/>
      <c r="Q169" s="50"/>
    </row>
    <row r="170">
      <c r="A170" s="50"/>
      <c r="N170" s="177"/>
      <c r="O170" s="50"/>
      <c r="Q170" s="50"/>
    </row>
    <row r="171">
      <c r="A171" s="50"/>
      <c r="N171" s="177"/>
      <c r="O171" s="50"/>
      <c r="Q171" s="50"/>
    </row>
    <row r="172">
      <c r="A172" s="50"/>
      <c r="N172" s="177"/>
      <c r="O172" s="50"/>
      <c r="Q172" s="50"/>
    </row>
    <row r="173">
      <c r="A173" s="50"/>
      <c r="N173" s="177"/>
      <c r="O173" s="50"/>
      <c r="Q173" s="50"/>
    </row>
    <row r="174">
      <c r="A174" s="50"/>
      <c r="N174" s="177"/>
      <c r="O174" s="50"/>
      <c r="Q174" s="50"/>
    </row>
    <row r="175">
      <c r="A175" s="50"/>
      <c r="N175" s="177"/>
      <c r="O175" s="50"/>
      <c r="Q175" s="50"/>
    </row>
    <row r="176">
      <c r="A176" s="50"/>
      <c r="N176" s="177"/>
      <c r="O176" s="50"/>
      <c r="Q176" s="50"/>
    </row>
    <row r="177">
      <c r="A177" s="50"/>
      <c r="N177" s="177"/>
      <c r="O177" s="50"/>
      <c r="Q177" s="50"/>
    </row>
    <row r="178">
      <c r="A178" s="50"/>
      <c r="N178" s="177"/>
      <c r="O178" s="50"/>
      <c r="Q178" s="50"/>
    </row>
    <row r="179">
      <c r="A179" s="50"/>
      <c r="N179" s="177"/>
      <c r="O179" s="50"/>
      <c r="Q179" s="50"/>
    </row>
    <row r="180">
      <c r="A180" s="50"/>
      <c r="N180" s="177"/>
      <c r="O180" s="50"/>
      <c r="Q180" s="50"/>
    </row>
    <row r="181">
      <c r="A181" s="50"/>
      <c r="N181" s="177"/>
      <c r="O181" s="50"/>
      <c r="Q181" s="50"/>
    </row>
    <row r="182">
      <c r="A182" s="50"/>
      <c r="N182" s="177"/>
      <c r="O182" s="50"/>
      <c r="Q182" s="50"/>
    </row>
    <row r="183">
      <c r="A183" s="50"/>
      <c r="N183" s="177"/>
      <c r="O183" s="50"/>
      <c r="Q183" s="50"/>
    </row>
    <row r="184">
      <c r="A184" s="50"/>
      <c r="N184" s="177"/>
      <c r="O184" s="50"/>
      <c r="Q184" s="50"/>
    </row>
    <row r="185">
      <c r="A185" s="50"/>
      <c r="N185" s="177"/>
      <c r="O185" s="50"/>
      <c r="Q185" s="50"/>
    </row>
    <row r="186">
      <c r="A186" s="50"/>
      <c r="N186" s="177"/>
      <c r="O186" s="50"/>
      <c r="Q186" s="50"/>
    </row>
    <row r="187">
      <c r="A187" s="50"/>
      <c r="N187" s="177"/>
      <c r="O187" s="50"/>
      <c r="Q187" s="50"/>
    </row>
    <row r="188">
      <c r="A188" s="50"/>
      <c r="N188" s="177"/>
      <c r="O188" s="50"/>
      <c r="Q188" s="50"/>
    </row>
    <row r="189">
      <c r="A189" s="50"/>
      <c r="N189" s="177"/>
      <c r="O189" s="50"/>
      <c r="Q189" s="50"/>
    </row>
    <row r="190">
      <c r="A190" s="50"/>
      <c r="N190" s="177"/>
      <c r="O190" s="50"/>
      <c r="Q190" s="50"/>
    </row>
    <row r="191">
      <c r="A191" s="50"/>
      <c r="N191" s="177"/>
      <c r="O191" s="50"/>
      <c r="Q191" s="50"/>
    </row>
    <row r="192">
      <c r="A192" s="50"/>
      <c r="N192" s="177"/>
      <c r="O192" s="50"/>
      <c r="Q192" s="50"/>
    </row>
    <row r="193">
      <c r="A193" s="50"/>
      <c r="N193" s="177"/>
      <c r="O193" s="50"/>
      <c r="Q193" s="50"/>
    </row>
    <row r="194">
      <c r="A194" s="50"/>
      <c r="N194" s="177"/>
      <c r="O194" s="50"/>
      <c r="Q194" s="50"/>
    </row>
    <row r="195">
      <c r="A195" s="50"/>
      <c r="N195" s="177"/>
      <c r="O195" s="50"/>
      <c r="Q195" s="50"/>
    </row>
    <row r="196">
      <c r="A196" s="50"/>
      <c r="N196" s="177"/>
      <c r="O196" s="50"/>
      <c r="Q196" s="50"/>
    </row>
    <row r="197">
      <c r="A197" s="50"/>
      <c r="N197" s="177"/>
      <c r="O197" s="50"/>
      <c r="Q197" s="50"/>
    </row>
    <row r="198">
      <c r="A198" s="50"/>
      <c r="N198" s="177"/>
      <c r="O198" s="50"/>
      <c r="Q198" s="50"/>
    </row>
    <row r="199">
      <c r="A199" s="50"/>
      <c r="N199" s="177"/>
      <c r="O199" s="50"/>
      <c r="Q199" s="50"/>
    </row>
    <row r="200">
      <c r="A200" s="50"/>
      <c r="N200" s="177"/>
      <c r="O200" s="50"/>
      <c r="Q200" s="50"/>
    </row>
    <row r="201">
      <c r="A201" s="50"/>
      <c r="N201" s="177"/>
      <c r="O201" s="50"/>
      <c r="Q201" s="50"/>
    </row>
    <row r="202">
      <c r="A202" s="50"/>
      <c r="N202" s="177"/>
      <c r="O202" s="50"/>
      <c r="Q202" s="50"/>
    </row>
    <row r="203">
      <c r="A203" s="50"/>
      <c r="N203" s="177"/>
      <c r="O203" s="50"/>
      <c r="Q203" s="50"/>
    </row>
    <row r="204">
      <c r="A204" s="50"/>
      <c r="N204" s="177"/>
      <c r="O204" s="50"/>
      <c r="Q204" s="50"/>
    </row>
    <row r="205">
      <c r="A205" s="50"/>
      <c r="N205" s="177"/>
      <c r="O205" s="50"/>
      <c r="Q205" s="50"/>
    </row>
    <row r="206">
      <c r="A206" s="50"/>
      <c r="N206" s="177"/>
      <c r="O206" s="50"/>
      <c r="Q206" s="50"/>
    </row>
    <row r="207">
      <c r="A207" s="50"/>
      <c r="N207" s="177"/>
      <c r="O207" s="50"/>
      <c r="Q207" s="50"/>
    </row>
    <row r="208">
      <c r="A208" s="50"/>
      <c r="N208" s="177"/>
      <c r="O208" s="50"/>
      <c r="Q208" s="50"/>
    </row>
    <row r="209">
      <c r="A209" s="50"/>
      <c r="N209" s="177"/>
      <c r="O209" s="50"/>
      <c r="Q209" s="50"/>
    </row>
    <row r="210">
      <c r="A210" s="50"/>
      <c r="N210" s="177"/>
      <c r="O210" s="50"/>
      <c r="Q210" s="50"/>
    </row>
    <row r="211">
      <c r="A211" s="50"/>
      <c r="N211" s="177"/>
      <c r="O211" s="50"/>
      <c r="Q211" s="50"/>
    </row>
    <row r="212">
      <c r="A212" s="50"/>
      <c r="N212" s="177"/>
      <c r="O212" s="50"/>
      <c r="Q212" s="50"/>
    </row>
    <row r="213">
      <c r="A213" s="50"/>
      <c r="N213" s="177"/>
      <c r="O213" s="50"/>
      <c r="Q213" s="50"/>
    </row>
    <row r="214">
      <c r="A214" s="50"/>
      <c r="N214" s="177"/>
      <c r="O214" s="50"/>
      <c r="Q214" s="50"/>
    </row>
    <row r="215">
      <c r="A215" s="50"/>
      <c r="N215" s="177"/>
      <c r="O215" s="50"/>
      <c r="Q215" s="50"/>
    </row>
    <row r="216">
      <c r="A216" s="50"/>
      <c r="N216" s="177"/>
      <c r="O216" s="50"/>
      <c r="Q216" s="50"/>
    </row>
    <row r="217">
      <c r="A217" s="50"/>
      <c r="N217" s="177"/>
      <c r="O217" s="50"/>
      <c r="Q217" s="50"/>
    </row>
    <row r="218">
      <c r="A218" s="50"/>
      <c r="N218" s="177"/>
      <c r="O218" s="50"/>
      <c r="Q218" s="50"/>
    </row>
    <row r="219">
      <c r="A219" s="50"/>
      <c r="N219" s="177"/>
      <c r="O219" s="50"/>
      <c r="Q219" s="50"/>
    </row>
    <row r="220">
      <c r="A220" s="50"/>
      <c r="N220" s="177"/>
      <c r="O220" s="50"/>
      <c r="Q220" s="50"/>
    </row>
    <row r="221">
      <c r="A221" s="50"/>
      <c r="N221" s="177"/>
      <c r="O221" s="50"/>
      <c r="Q221" s="50"/>
    </row>
    <row r="222">
      <c r="A222" s="50"/>
      <c r="N222" s="177"/>
      <c r="O222" s="50"/>
      <c r="Q222" s="50"/>
    </row>
    <row r="223">
      <c r="A223" s="50"/>
      <c r="N223" s="177"/>
      <c r="O223" s="50"/>
      <c r="Q223" s="50"/>
    </row>
    <row r="224">
      <c r="A224" s="50"/>
      <c r="N224" s="177"/>
      <c r="O224" s="50"/>
      <c r="Q224" s="50"/>
    </row>
    <row r="225">
      <c r="A225" s="50"/>
      <c r="N225" s="177"/>
      <c r="O225" s="50"/>
      <c r="Q225" s="50"/>
    </row>
    <row r="226">
      <c r="A226" s="50"/>
      <c r="N226" s="177"/>
      <c r="O226" s="50"/>
      <c r="Q226" s="50"/>
    </row>
    <row r="227">
      <c r="A227" s="50"/>
      <c r="N227" s="177"/>
      <c r="O227" s="50"/>
      <c r="Q227" s="50"/>
    </row>
    <row r="228">
      <c r="A228" s="50"/>
      <c r="N228" s="177"/>
      <c r="O228" s="50"/>
      <c r="Q228" s="50"/>
    </row>
    <row r="229">
      <c r="A229" s="50"/>
      <c r="N229" s="177"/>
      <c r="O229" s="50"/>
      <c r="Q229" s="50"/>
    </row>
    <row r="230">
      <c r="A230" s="50"/>
      <c r="N230" s="177"/>
      <c r="O230" s="50"/>
      <c r="Q230" s="50"/>
    </row>
    <row r="231">
      <c r="A231" s="50"/>
      <c r="N231" s="177"/>
      <c r="O231" s="50"/>
      <c r="Q231" s="50"/>
    </row>
    <row r="232">
      <c r="A232" s="50"/>
      <c r="N232" s="177"/>
      <c r="O232" s="50"/>
      <c r="Q232" s="50"/>
    </row>
    <row r="233">
      <c r="A233" s="50"/>
      <c r="N233" s="177"/>
      <c r="O233" s="50"/>
      <c r="Q233" s="50"/>
    </row>
    <row r="234">
      <c r="A234" s="50"/>
      <c r="N234" s="177"/>
      <c r="O234" s="50"/>
      <c r="Q234" s="50"/>
    </row>
    <row r="235">
      <c r="A235" s="50"/>
      <c r="N235" s="177"/>
      <c r="O235" s="50"/>
      <c r="Q235" s="50"/>
    </row>
    <row r="236">
      <c r="A236" s="50"/>
      <c r="N236" s="177"/>
      <c r="O236" s="50"/>
      <c r="Q236" s="50"/>
    </row>
    <row r="237">
      <c r="A237" s="50"/>
      <c r="N237" s="177"/>
      <c r="O237" s="50"/>
      <c r="Q237" s="50"/>
    </row>
    <row r="238">
      <c r="A238" s="50"/>
      <c r="N238" s="177"/>
      <c r="O238" s="50"/>
      <c r="Q238" s="50"/>
    </row>
    <row r="239">
      <c r="A239" s="50"/>
      <c r="N239" s="177"/>
      <c r="O239" s="50"/>
      <c r="Q239" s="50"/>
    </row>
    <row r="240">
      <c r="A240" s="50"/>
      <c r="N240" s="177"/>
      <c r="O240" s="50"/>
      <c r="Q240" s="50"/>
    </row>
    <row r="241">
      <c r="A241" s="50"/>
      <c r="N241" s="177"/>
      <c r="O241" s="50"/>
      <c r="Q241" s="50"/>
    </row>
    <row r="242">
      <c r="A242" s="50"/>
      <c r="N242" s="177"/>
      <c r="O242" s="50"/>
      <c r="Q242" s="50"/>
    </row>
    <row r="243">
      <c r="A243" s="50"/>
      <c r="N243" s="177"/>
      <c r="O243" s="50"/>
      <c r="Q243" s="50"/>
    </row>
    <row r="244">
      <c r="A244" s="50"/>
      <c r="N244" s="177"/>
      <c r="O244" s="50"/>
      <c r="Q244" s="50"/>
    </row>
    <row r="245">
      <c r="A245" s="50"/>
      <c r="N245" s="177"/>
      <c r="O245" s="50"/>
      <c r="Q245" s="50"/>
    </row>
    <row r="246">
      <c r="A246" s="50"/>
      <c r="N246" s="177"/>
      <c r="O246" s="50"/>
      <c r="Q246" s="50"/>
    </row>
    <row r="247">
      <c r="A247" s="50"/>
      <c r="N247" s="177"/>
      <c r="O247" s="50"/>
      <c r="Q247" s="50"/>
    </row>
    <row r="248">
      <c r="A248" s="50"/>
      <c r="N248" s="177"/>
      <c r="O248" s="50"/>
      <c r="Q248" s="50"/>
    </row>
    <row r="249">
      <c r="A249" s="50"/>
      <c r="N249" s="177"/>
      <c r="O249" s="50"/>
      <c r="Q249" s="50"/>
    </row>
    <row r="250">
      <c r="A250" s="50"/>
      <c r="N250" s="177"/>
      <c r="O250" s="50"/>
      <c r="Q250" s="50"/>
    </row>
    <row r="251">
      <c r="A251" s="50"/>
      <c r="N251" s="177"/>
      <c r="O251" s="50"/>
      <c r="Q251" s="50"/>
    </row>
    <row r="252">
      <c r="A252" s="50"/>
      <c r="N252" s="177"/>
      <c r="O252" s="50"/>
      <c r="Q252" s="50"/>
    </row>
    <row r="253">
      <c r="A253" s="50"/>
      <c r="N253" s="177"/>
      <c r="O253" s="50"/>
      <c r="Q253" s="50"/>
    </row>
    <row r="254">
      <c r="A254" s="50"/>
      <c r="N254" s="177"/>
      <c r="O254" s="50"/>
      <c r="Q254" s="50"/>
    </row>
    <row r="255">
      <c r="A255" s="50"/>
      <c r="N255" s="177"/>
      <c r="O255" s="50"/>
      <c r="Q255" s="50"/>
    </row>
    <row r="256">
      <c r="A256" s="50"/>
      <c r="N256" s="177"/>
      <c r="O256" s="50"/>
      <c r="Q256" s="50"/>
    </row>
    <row r="257">
      <c r="A257" s="50"/>
      <c r="N257" s="177"/>
      <c r="O257" s="50"/>
      <c r="Q257" s="50"/>
    </row>
    <row r="258">
      <c r="A258" s="50"/>
      <c r="N258" s="177"/>
      <c r="O258" s="50"/>
      <c r="Q258" s="50"/>
    </row>
    <row r="259">
      <c r="A259" s="50"/>
      <c r="N259" s="177"/>
      <c r="O259" s="50"/>
      <c r="Q259" s="50"/>
    </row>
    <row r="260">
      <c r="A260" s="50"/>
      <c r="N260" s="177"/>
      <c r="O260" s="50"/>
      <c r="Q260" s="50"/>
    </row>
    <row r="261">
      <c r="A261" s="50"/>
      <c r="N261" s="177"/>
      <c r="O261" s="50"/>
      <c r="Q261" s="50"/>
    </row>
    <row r="262">
      <c r="A262" s="50"/>
      <c r="N262" s="177"/>
      <c r="O262" s="50"/>
      <c r="Q262" s="50"/>
    </row>
    <row r="263">
      <c r="A263" s="50"/>
      <c r="N263" s="177"/>
      <c r="O263" s="50"/>
      <c r="Q263" s="50"/>
    </row>
    <row r="264">
      <c r="A264" s="50"/>
      <c r="N264" s="177"/>
      <c r="O264" s="50"/>
      <c r="Q264" s="50"/>
    </row>
    <row r="265">
      <c r="A265" s="50"/>
      <c r="N265" s="177"/>
      <c r="O265" s="50"/>
      <c r="Q265" s="50"/>
    </row>
    <row r="266">
      <c r="A266" s="50"/>
      <c r="N266" s="177"/>
      <c r="O266" s="50"/>
      <c r="Q266" s="50"/>
    </row>
    <row r="267">
      <c r="A267" s="50"/>
      <c r="N267" s="177"/>
      <c r="O267" s="50"/>
      <c r="Q267" s="50"/>
    </row>
    <row r="268">
      <c r="A268" s="50"/>
      <c r="N268" s="177"/>
      <c r="O268" s="50"/>
      <c r="Q268" s="50"/>
    </row>
    <row r="269">
      <c r="A269" s="50"/>
      <c r="N269" s="177"/>
      <c r="O269" s="50"/>
      <c r="Q269" s="50"/>
    </row>
    <row r="270">
      <c r="A270" s="50"/>
      <c r="N270" s="177"/>
      <c r="O270" s="50"/>
      <c r="Q270" s="50"/>
    </row>
    <row r="271">
      <c r="A271" s="50"/>
      <c r="N271" s="177"/>
      <c r="O271" s="50"/>
      <c r="Q271" s="50"/>
    </row>
    <row r="272">
      <c r="A272" s="50"/>
      <c r="N272" s="177"/>
      <c r="O272" s="50"/>
      <c r="Q272" s="50"/>
    </row>
    <row r="273">
      <c r="A273" s="50"/>
      <c r="N273" s="177"/>
      <c r="O273" s="50"/>
      <c r="Q273" s="50"/>
    </row>
    <row r="274">
      <c r="A274" s="50"/>
      <c r="N274" s="177"/>
      <c r="O274" s="50"/>
      <c r="Q274" s="50"/>
    </row>
    <row r="275">
      <c r="A275" s="50"/>
      <c r="N275" s="177"/>
      <c r="O275" s="50"/>
      <c r="Q275" s="50"/>
    </row>
    <row r="276">
      <c r="A276" s="50"/>
      <c r="N276" s="177"/>
      <c r="O276" s="50"/>
      <c r="Q276" s="50"/>
    </row>
    <row r="277">
      <c r="A277" s="50"/>
      <c r="N277" s="177"/>
      <c r="O277" s="50"/>
      <c r="Q277" s="50"/>
    </row>
    <row r="278">
      <c r="A278" s="50"/>
      <c r="N278" s="177"/>
      <c r="O278" s="50"/>
      <c r="Q278" s="50"/>
    </row>
    <row r="279">
      <c r="A279" s="50"/>
      <c r="N279" s="177"/>
      <c r="O279" s="50"/>
      <c r="Q279" s="50"/>
    </row>
    <row r="280">
      <c r="A280" s="50"/>
      <c r="N280" s="177"/>
      <c r="O280" s="50"/>
      <c r="Q280" s="50"/>
    </row>
    <row r="281">
      <c r="A281" s="50"/>
      <c r="N281" s="177"/>
      <c r="O281" s="50"/>
      <c r="Q281" s="50"/>
    </row>
    <row r="282">
      <c r="A282" s="50"/>
      <c r="N282" s="177"/>
      <c r="O282" s="50"/>
      <c r="Q282" s="50"/>
    </row>
    <row r="283">
      <c r="A283" s="50"/>
      <c r="N283" s="177"/>
      <c r="O283" s="50"/>
      <c r="Q283" s="50"/>
    </row>
    <row r="284">
      <c r="A284" s="50"/>
      <c r="N284" s="177"/>
      <c r="O284" s="50"/>
      <c r="Q284" s="50"/>
    </row>
    <row r="285">
      <c r="A285" s="50"/>
      <c r="N285" s="177"/>
      <c r="O285" s="50"/>
      <c r="Q285" s="50"/>
    </row>
    <row r="286">
      <c r="A286" s="50"/>
      <c r="N286" s="177"/>
      <c r="O286" s="50"/>
      <c r="Q286" s="50"/>
    </row>
    <row r="287">
      <c r="A287" s="50"/>
      <c r="N287" s="177"/>
      <c r="O287" s="50"/>
      <c r="Q287" s="50"/>
    </row>
    <row r="288">
      <c r="A288" s="50"/>
      <c r="N288" s="177"/>
      <c r="O288" s="50"/>
      <c r="Q288" s="50"/>
    </row>
    <row r="289">
      <c r="A289" s="50"/>
      <c r="N289" s="177"/>
      <c r="O289" s="50"/>
      <c r="Q289" s="50"/>
    </row>
    <row r="290">
      <c r="A290" s="50"/>
      <c r="N290" s="177"/>
      <c r="O290" s="50"/>
      <c r="Q290" s="50"/>
    </row>
    <row r="291">
      <c r="A291" s="50"/>
      <c r="N291" s="177"/>
      <c r="O291" s="50"/>
      <c r="Q291" s="50"/>
    </row>
    <row r="292">
      <c r="A292" s="50"/>
      <c r="N292" s="177"/>
      <c r="O292" s="50"/>
      <c r="Q292" s="50"/>
    </row>
    <row r="293">
      <c r="A293" s="50"/>
      <c r="N293" s="177"/>
      <c r="O293" s="50"/>
      <c r="Q293" s="50"/>
    </row>
    <row r="294">
      <c r="A294" s="50"/>
      <c r="N294" s="177"/>
      <c r="O294" s="50"/>
      <c r="Q294" s="50"/>
    </row>
    <row r="295">
      <c r="A295" s="50"/>
      <c r="N295" s="177"/>
      <c r="O295" s="50"/>
      <c r="Q295" s="50"/>
    </row>
    <row r="296">
      <c r="A296" s="50"/>
      <c r="N296" s="177"/>
      <c r="O296" s="50"/>
      <c r="Q296" s="50"/>
    </row>
    <row r="297">
      <c r="A297" s="50"/>
      <c r="N297" s="177"/>
      <c r="O297" s="50"/>
      <c r="Q297" s="50"/>
    </row>
    <row r="298">
      <c r="A298" s="50"/>
      <c r="N298" s="177"/>
      <c r="O298" s="50"/>
      <c r="Q298" s="50"/>
    </row>
    <row r="299">
      <c r="A299" s="50"/>
      <c r="N299" s="177"/>
      <c r="O299" s="50"/>
      <c r="Q299" s="50"/>
    </row>
    <row r="300">
      <c r="A300" s="50"/>
      <c r="N300" s="177"/>
      <c r="O300" s="50"/>
      <c r="Q300" s="50"/>
    </row>
    <row r="301">
      <c r="A301" s="50"/>
      <c r="N301" s="177"/>
      <c r="O301" s="50"/>
      <c r="Q301" s="50"/>
    </row>
    <row r="302">
      <c r="A302" s="50"/>
      <c r="N302" s="177"/>
      <c r="O302" s="50"/>
      <c r="Q302" s="50"/>
    </row>
    <row r="303">
      <c r="A303" s="50"/>
      <c r="N303" s="177"/>
      <c r="O303" s="50"/>
      <c r="Q303" s="50"/>
    </row>
    <row r="304">
      <c r="A304" s="50"/>
      <c r="N304" s="177"/>
      <c r="O304" s="50"/>
      <c r="Q304" s="50"/>
    </row>
    <row r="305">
      <c r="A305" s="50"/>
      <c r="N305" s="177"/>
      <c r="O305" s="50"/>
      <c r="Q305" s="50"/>
    </row>
    <row r="306">
      <c r="A306" s="50"/>
      <c r="N306" s="177"/>
      <c r="O306" s="50"/>
      <c r="Q306" s="50"/>
    </row>
    <row r="307">
      <c r="A307" s="50"/>
      <c r="N307" s="177"/>
      <c r="O307" s="50"/>
      <c r="Q307" s="50"/>
    </row>
    <row r="308">
      <c r="A308" s="50"/>
      <c r="N308" s="177"/>
      <c r="O308" s="50"/>
      <c r="Q308" s="50"/>
    </row>
    <row r="309">
      <c r="A309" s="50"/>
      <c r="N309" s="177"/>
      <c r="O309" s="50"/>
      <c r="Q309" s="50"/>
    </row>
    <row r="310">
      <c r="A310" s="50"/>
      <c r="N310" s="177"/>
      <c r="O310" s="50"/>
      <c r="Q310" s="50"/>
    </row>
    <row r="311">
      <c r="A311" s="50"/>
      <c r="N311" s="177"/>
      <c r="O311" s="50"/>
      <c r="Q311" s="50"/>
    </row>
    <row r="312">
      <c r="A312" s="50"/>
      <c r="N312" s="177"/>
      <c r="O312" s="50"/>
      <c r="Q312" s="50"/>
    </row>
    <row r="313">
      <c r="A313" s="50"/>
      <c r="N313" s="177"/>
      <c r="O313" s="50"/>
      <c r="Q313" s="50"/>
    </row>
    <row r="314">
      <c r="A314" s="50"/>
      <c r="N314" s="177"/>
      <c r="O314" s="50"/>
      <c r="Q314" s="50"/>
    </row>
    <row r="315">
      <c r="A315" s="50"/>
      <c r="N315" s="177"/>
      <c r="O315" s="50"/>
      <c r="Q315" s="50"/>
    </row>
    <row r="316">
      <c r="A316" s="50"/>
      <c r="N316" s="177"/>
      <c r="O316" s="50"/>
      <c r="Q316" s="50"/>
    </row>
    <row r="317">
      <c r="A317" s="50"/>
      <c r="N317" s="177"/>
      <c r="O317" s="50"/>
      <c r="Q317" s="50"/>
    </row>
    <row r="318">
      <c r="A318" s="50"/>
      <c r="N318" s="177"/>
      <c r="O318" s="50"/>
      <c r="Q318" s="50"/>
    </row>
    <row r="319">
      <c r="A319" s="50"/>
      <c r="N319" s="177"/>
      <c r="O319" s="50"/>
      <c r="Q319" s="50"/>
    </row>
    <row r="320">
      <c r="A320" s="50"/>
      <c r="N320" s="177"/>
      <c r="O320" s="50"/>
      <c r="Q320" s="50"/>
    </row>
    <row r="321">
      <c r="A321" s="50"/>
      <c r="N321" s="177"/>
      <c r="O321" s="50"/>
      <c r="Q321" s="50"/>
    </row>
    <row r="322">
      <c r="A322" s="50"/>
      <c r="N322" s="177"/>
      <c r="O322" s="50"/>
      <c r="Q322" s="50"/>
    </row>
    <row r="323">
      <c r="A323" s="50"/>
      <c r="N323" s="177"/>
      <c r="O323" s="50"/>
      <c r="Q323" s="50"/>
    </row>
    <row r="324">
      <c r="A324" s="50"/>
      <c r="N324" s="177"/>
      <c r="O324" s="50"/>
      <c r="Q324" s="50"/>
    </row>
    <row r="325">
      <c r="A325" s="50"/>
      <c r="N325" s="177"/>
      <c r="O325" s="50"/>
      <c r="Q325" s="50"/>
    </row>
    <row r="326">
      <c r="A326" s="50"/>
      <c r="N326" s="177"/>
      <c r="O326" s="50"/>
      <c r="Q326" s="50"/>
    </row>
    <row r="327">
      <c r="A327" s="50"/>
      <c r="N327" s="177"/>
      <c r="O327" s="50"/>
      <c r="Q327" s="50"/>
    </row>
    <row r="328">
      <c r="A328" s="50"/>
      <c r="N328" s="177"/>
      <c r="O328" s="50"/>
      <c r="Q328" s="50"/>
    </row>
    <row r="329">
      <c r="A329" s="50"/>
      <c r="N329" s="177"/>
      <c r="O329" s="50"/>
      <c r="Q329" s="50"/>
    </row>
    <row r="330">
      <c r="A330" s="50"/>
      <c r="N330" s="177"/>
      <c r="O330" s="50"/>
      <c r="Q330" s="50"/>
    </row>
    <row r="331">
      <c r="A331" s="50"/>
      <c r="N331" s="177"/>
      <c r="O331" s="50"/>
      <c r="Q331" s="50"/>
    </row>
    <row r="332">
      <c r="A332" s="50"/>
      <c r="N332" s="177"/>
      <c r="O332" s="50"/>
      <c r="Q332" s="50"/>
    </row>
    <row r="333">
      <c r="A333" s="50"/>
      <c r="N333" s="177"/>
      <c r="O333" s="50"/>
      <c r="Q333" s="50"/>
    </row>
    <row r="334">
      <c r="A334" s="50"/>
      <c r="N334" s="177"/>
      <c r="O334" s="50"/>
      <c r="Q334" s="50"/>
    </row>
    <row r="335">
      <c r="A335" s="50"/>
      <c r="N335" s="177"/>
      <c r="O335" s="50"/>
      <c r="Q335" s="50"/>
    </row>
    <row r="336">
      <c r="A336" s="50"/>
      <c r="N336" s="177"/>
      <c r="O336" s="50"/>
      <c r="Q336" s="50"/>
    </row>
    <row r="337">
      <c r="A337" s="50"/>
      <c r="N337" s="177"/>
      <c r="O337" s="50"/>
      <c r="Q337" s="50"/>
    </row>
    <row r="338">
      <c r="A338" s="50"/>
      <c r="N338" s="177"/>
      <c r="O338" s="50"/>
      <c r="Q338" s="50"/>
    </row>
    <row r="339">
      <c r="A339" s="50"/>
      <c r="N339" s="177"/>
      <c r="O339" s="50"/>
      <c r="Q339" s="50"/>
    </row>
    <row r="340">
      <c r="A340" s="50"/>
      <c r="N340" s="177"/>
      <c r="O340" s="50"/>
      <c r="Q340" s="50"/>
    </row>
    <row r="341">
      <c r="A341" s="50"/>
      <c r="N341" s="177"/>
      <c r="O341" s="50"/>
      <c r="Q341" s="50"/>
    </row>
    <row r="342">
      <c r="A342" s="50"/>
      <c r="N342" s="177"/>
      <c r="O342" s="50"/>
      <c r="Q342" s="50"/>
    </row>
    <row r="343">
      <c r="A343" s="50"/>
      <c r="N343" s="177"/>
      <c r="O343" s="50"/>
      <c r="Q343" s="50"/>
    </row>
    <row r="344">
      <c r="A344" s="50"/>
      <c r="N344" s="177"/>
      <c r="O344" s="50"/>
      <c r="Q344" s="50"/>
    </row>
    <row r="345">
      <c r="A345" s="50"/>
      <c r="N345" s="177"/>
      <c r="O345" s="50"/>
      <c r="Q345" s="50"/>
    </row>
    <row r="346">
      <c r="A346" s="50"/>
      <c r="N346" s="177"/>
      <c r="O346" s="50"/>
      <c r="Q346" s="50"/>
    </row>
    <row r="347">
      <c r="A347" s="50"/>
      <c r="N347" s="177"/>
      <c r="O347" s="50"/>
      <c r="Q347" s="50"/>
    </row>
    <row r="348">
      <c r="A348" s="50"/>
      <c r="N348" s="177"/>
      <c r="O348" s="50"/>
      <c r="Q348" s="50"/>
    </row>
    <row r="349">
      <c r="A349" s="50"/>
      <c r="N349" s="177"/>
      <c r="O349" s="50"/>
      <c r="Q349" s="50"/>
    </row>
    <row r="350">
      <c r="A350" s="50"/>
      <c r="N350" s="177"/>
      <c r="O350" s="50"/>
      <c r="Q350" s="50"/>
    </row>
    <row r="351">
      <c r="A351" s="50"/>
      <c r="N351" s="177"/>
      <c r="O351" s="50"/>
      <c r="Q351" s="50"/>
    </row>
    <row r="352">
      <c r="A352" s="50"/>
      <c r="N352" s="177"/>
      <c r="O352" s="50"/>
      <c r="Q352" s="50"/>
    </row>
    <row r="353">
      <c r="A353" s="50"/>
      <c r="N353" s="177"/>
      <c r="O353" s="50"/>
      <c r="Q353" s="50"/>
    </row>
    <row r="354">
      <c r="A354" s="50"/>
      <c r="N354" s="177"/>
      <c r="O354" s="50"/>
      <c r="Q354" s="50"/>
    </row>
    <row r="355">
      <c r="A355" s="50"/>
      <c r="N355" s="177"/>
      <c r="O355" s="50"/>
      <c r="Q355" s="50"/>
    </row>
    <row r="356">
      <c r="A356" s="50"/>
      <c r="N356" s="177"/>
      <c r="O356" s="50"/>
      <c r="Q356" s="50"/>
    </row>
    <row r="357">
      <c r="A357" s="50"/>
      <c r="N357" s="177"/>
      <c r="O357" s="50"/>
      <c r="Q357" s="50"/>
    </row>
    <row r="358">
      <c r="A358" s="50"/>
      <c r="N358" s="177"/>
      <c r="O358" s="50"/>
      <c r="Q358" s="50"/>
    </row>
    <row r="359">
      <c r="A359" s="50"/>
      <c r="N359" s="177"/>
      <c r="O359" s="50"/>
      <c r="Q359" s="50"/>
    </row>
    <row r="360">
      <c r="A360" s="50"/>
      <c r="N360" s="177"/>
      <c r="O360" s="50"/>
      <c r="Q360" s="50"/>
    </row>
    <row r="361">
      <c r="A361" s="50"/>
      <c r="N361" s="177"/>
      <c r="O361" s="50"/>
      <c r="Q361" s="50"/>
    </row>
    <row r="362">
      <c r="A362" s="50"/>
      <c r="N362" s="177"/>
      <c r="O362" s="50"/>
      <c r="Q362" s="50"/>
    </row>
    <row r="363">
      <c r="A363" s="50"/>
      <c r="N363" s="177"/>
      <c r="O363" s="50"/>
      <c r="Q363" s="50"/>
    </row>
    <row r="364">
      <c r="A364" s="50"/>
      <c r="N364" s="177"/>
      <c r="O364" s="50"/>
      <c r="Q364" s="50"/>
    </row>
    <row r="365">
      <c r="A365" s="50"/>
      <c r="N365" s="177"/>
      <c r="O365" s="50"/>
      <c r="Q365" s="50"/>
    </row>
    <row r="366">
      <c r="A366" s="50"/>
      <c r="N366" s="177"/>
      <c r="O366" s="50"/>
      <c r="Q366" s="50"/>
    </row>
    <row r="367">
      <c r="A367" s="50"/>
      <c r="N367" s="177"/>
      <c r="O367" s="50"/>
      <c r="Q367" s="50"/>
    </row>
    <row r="368">
      <c r="A368" s="50"/>
      <c r="N368" s="177"/>
      <c r="O368" s="50"/>
      <c r="Q368" s="50"/>
    </row>
    <row r="369">
      <c r="A369" s="50"/>
      <c r="N369" s="177"/>
      <c r="O369" s="50"/>
      <c r="Q369" s="50"/>
    </row>
    <row r="370">
      <c r="A370" s="50"/>
      <c r="N370" s="177"/>
      <c r="O370" s="50"/>
      <c r="Q370" s="50"/>
    </row>
    <row r="371">
      <c r="A371" s="50"/>
      <c r="N371" s="177"/>
      <c r="O371" s="50"/>
      <c r="Q371" s="50"/>
    </row>
    <row r="372">
      <c r="A372" s="50"/>
      <c r="N372" s="177"/>
      <c r="O372" s="50"/>
      <c r="Q372" s="50"/>
    </row>
    <row r="373">
      <c r="A373" s="50"/>
      <c r="N373" s="177"/>
      <c r="O373" s="50"/>
      <c r="Q373" s="50"/>
    </row>
    <row r="374">
      <c r="A374" s="50"/>
      <c r="N374" s="177"/>
      <c r="O374" s="50"/>
      <c r="Q374" s="50"/>
    </row>
    <row r="375">
      <c r="A375" s="50"/>
      <c r="N375" s="177"/>
      <c r="O375" s="50"/>
      <c r="Q375" s="50"/>
    </row>
    <row r="376">
      <c r="A376" s="50"/>
      <c r="N376" s="177"/>
      <c r="O376" s="50"/>
      <c r="Q376" s="50"/>
    </row>
    <row r="377">
      <c r="A377" s="50"/>
      <c r="N377" s="177"/>
      <c r="O377" s="50"/>
      <c r="Q377" s="50"/>
    </row>
    <row r="378">
      <c r="A378" s="50"/>
      <c r="N378" s="177"/>
      <c r="O378" s="50"/>
      <c r="Q378" s="50"/>
    </row>
    <row r="379">
      <c r="A379" s="50"/>
      <c r="N379" s="177"/>
      <c r="O379" s="50"/>
      <c r="Q379" s="50"/>
    </row>
    <row r="380">
      <c r="A380" s="50"/>
      <c r="N380" s="177"/>
      <c r="O380" s="50"/>
      <c r="Q380" s="50"/>
    </row>
    <row r="381">
      <c r="A381" s="50"/>
      <c r="N381" s="177"/>
      <c r="O381" s="50"/>
      <c r="Q381" s="50"/>
    </row>
    <row r="382">
      <c r="A382" s="50"/>
      <c r="N382" s="177"/>
      <c r="O382" s="50"/>
      <c r="Q382" s="50"/>
    </row>
    <row r="383">
      <c r="A383" s="50"/>
      <c r="N383" s="177"/>
      <c r="O383" s="50"/>
      <c r="Q383" s="50"/>
    </row>
    <row r="384">
      <c r="A384" s="50"/>
      <c r="N384" s="177"/>
      <c r="O384" s="50"/>
      <c r="Q384" s="50"/>
    </row>
    <row r="385">
      <c r="A385" s="50"/>
      <c r="N385" s="177"/>
      <c r="O385" s="50"/>
      <c r="Q385" s="50"/>
    </row>
    <row r="386">
      <c r="A386" s="50"/>
      <c r="N386" s="177"/>
      <c r="O386" s="50"/>
      <c r="Q386" s="50"/>
    </row>
    <row r="387">
      <c r="A387" s="50"/>
      <c r="N387" s="177"/>
      <c r="O387" s="50"/>
      <c r="Q387" s="50"/>
    </row>
    <row r="388">
      <c r="A388" s="50"/>
      <c r="N388" s="177"/>
      <c r="O388" s="50"/>
      <c r="Q388" s="50"/>
    </row>
    <row r="389">
      <c r="A389" s="50"/>
      <c r="N389" s="177"/>
      <c r="O389" s="50"/>
      <c r="Q389" s="50"/>
    </row>
    <row r="390">
      <c r="A390" s="50"/>
      <c r="N390" s="177"/>
      <c r="O390" s="50"/>
      <c r="Q390" s="50"/>
    </row>
    <row r="391">
      <c r="A391" s="50"/>
      <c r="N391" s="177"/>
      <c r="O391" s="50"/>
      <c r="Q391" s="50"/>
    </row>
    <row r="392">
      <c r="A392" s="50"/>
      <c r="N392" s="177"/>
      <c r="O392" s="50"/>
      <c r="Q392" s="50"/>
    </row>
    <row r="393">
      <c r="A393" s="50"/>
      <c r="N393" s="177"/>
      <c r="O393" s="50"/>
      <c r="Q393" s="50"/>
    </row>
    <row r="394">
      <c r="A394" s="50"/>
      <c r="N394" s="177"/>
      <c r="O394" s="50"/>
      <c r="Q394" s="50"/>
    </row>
    <row r="395">
      <c r="A395" s="50"/>
      <c r="N395" s="177"/>
      <c r="O395" s="50"/>
      <c r="Q395" s="50"/>
    </row>
    <row r="396">
      <c r="A396" s="50"/>
      <c r="N396" s="177"/>
      <c r="O396" s="50"/>
      <c r="Q396" s="50"/>
    </row>
    <row r="397">
      <c r="A397" s="50"/>
      <c r="N397" s="177"/>
      <c r="O397" s="50"/>
      <c r="Q397" s="50"/>
    </row>
    <row r="398">
      <c r="A398" s="50"/>
      <c r="N398" s="177"/>
      <c r="O398" s="50"/>
      <c r="Q398" s="50"/>
    </row>
    <row r="399">
      <c r="A399" s="50"/>
      <c r="N399" s="177"/>
      <c r="O399" s="50"/>
      <c r="Q399" s="50"/>
    </row>
    <row r="400">
      <c r="A400" s="50"/>
      <c r="N400" s="177"/>
      <c r="O400" s="50"/>
      <c r="Q400" s="50"/>
    </row>
    <row r="401">
      <c r="A401" s="50"/>
      <c r="N401" s="177"/>
      <c r="O401" s="50"/>
      <c r="Q401" s="50"/>
    </row>
    <row r="402">
      <c r="A402" s="50"/>
      <c r="N402" s="177"/>
      <c r="O402" s="50"/>
      <c r="Q402" s="50"/>
    </row>
    <row r="403">
      <c r="A403" s="50"/>
      <c r="N403" s="177"/>
      <c r="O403" s="50"/>
      <c r="Q403" s="50"/>
    </row>
    <row r="404">
      <c r="A404" s="50"/>
      <c r="N404" s="177"/>
      <c r="O404" s="50"/>
      <c r="Q404" s="50"/>
    </row>
    <row r="405">
      <c r="A405" s="50"/>
      <c r="N405" s="177"/>
      <c r="O405" s="50"/>
      <c r="Q405" s="50"/>
    </row>
    <row r="406">
      <c r="A406" s="50"/>
      <c r="N406" s="177"/>
      <c r="O406" s="50"/>
      <c r="Q406" s="50"/>
    </row>
    <row r="407">
      <c r="A407" s="50"/>
      <c r="N407" s="177"/>
      <c r="O407" s="50"/>
      <c r="Q407" s="50"/>
    </row>
    <row r="408">
      <c r="A408" s="50"/>
      <c r="N408" s="177"/>
      <c r="O408" s="50"/>
      <c r="Q408" s="50"/>
    </row>
    <row r="409">
      <c r="A409" s="50"/>
      <c r="N409" s="177"/>
      <c r="O409" s="50"/>
      <c r="Q409" s="50"/>
    </row>
    <row r="410">
      <c r="A410" s="50"/>
      <c r="N410" s="177"/>
      <c r="O410" s="50"/>
      <c r="Q410" s="50"/>
    </row>
    <row r="411">
      <c r="A411" s="50"/>
      <c r="N411" s="177"/>
      <c r="O411" s="50"/>
      <c r="Q411" s="50"/>
    </row>
    <row r="412">
      <c r="A412" s="50"/>
      <c r="N412" s="177"/>
      <c r="O412" s="50"/>
      <c r="Q412" s="50"/>
    </row>
    <row r="413">
      <c r="A413" s="50"/>
      <c r="N413" s="177"/>
      <c r="O413" s="50"/>
      <c r="Q413" s="50"/>
    </row>
    <row r="414">
      <c r="A414" s="50"/>
      <c r="N414" s="177"/>
      <c r="O414" s="50"/>
      <c r="Q414" s="50"/>
    </row>
    <row r="415">
      <c r="A415" s="50"/>
      <c r="N415" s="177"/>
      <c r="O415" s="50"/>
      <c r="Q415" s="50"/>
    </row>
    <row r="416">
      <c r="A416" s="50"/>
      <c r="N416" s="177"/>
      <c r="O416" s="50"/>
      <c r="Q416" s="50"/>
    </row>
    <row r="417">
      <c r="A417" s="50"/>
      <c r="N417" s="177"/>
      <c r="O417" s="50"/>
      <c r="Q417" s="50"/>
    </row>
    <row r="418">
      <c r="A418" s="50"/>
      <c r="N418" s="177"/>
      <c r="O418" s="50"/>
      <c r="Q418" s="50"/>
    </row>
    <row r="419">
      <c r="A419" s="50"/>
      <c r="N419" s="177"/>
      <c r="O419" s="50"/>
      <c r="Q419" s="50"/>
    </row>
    <row r="420">
      <c r="A420" s="50"/>
      <c r="N420" s="177"/>
      <c r="O420" s="50"/>
      <c r="Q420" s="50"/>
    </row>
    <row r="421">
      <c r="A421" s="50"/>
      <c r="N421" s="177"/>
      <c r="O421" s="50"/>
      <c r="Q421" s="50"/>
    </row>
    <row r="422">
      <c r="A422" s="50"/>
      <c r="N422" s="177"/>
      <c r="O422" s="50"/>
      <c r="Q422" s="50"/>
    </row>
    <row r="423">
      <c r="A423" s="50"/>
      <c r="N423" s="177"/>
      <c r="O423" s="50"/>
      <c r="Q423" s="50"/>
    </row>
    <row r="424">
      <c r="A424" s="50"/>
      <c r="N424" s="177"/>
      <c r="O424" s="50"/>
      <c r="Q424" s="50"/>
    </row>
    <row r="425">
      <c r="A425" s="50"/>
      <c r="N425" s="177"/>
      <c r="O425" s="50"/>
      <c r="Q425" s="50"/>
    </row>
    <row r="426">
      <c r="A426" s="50"/>
      <c r="N426" s="177"/>
      <c r="O426" s="50"/>
      <c r="Q426" s="50"/>
    </row>
    <row r="427">
      <c r="A427" s="50"/>
      <c r="N427" s="177"/>
      <c r="O427" s="50"/>
      <c r="Q427" s="50"/>
    </row>
    <row r="428">
      <c r="A428" s="50"/>
      <c r="N428" s="177"/>
      <c r="O428" s="50"/>
      <c r="Q428" s="50"/>
    </row>
    <row r="429">
      <c r="A429" s="50"/>
      <c r="N429" s="177"/>
      <c r="O429" s="50"/>
      <c r="Q429" s="50"/>
    </row>
    <row r="430">
      <c r="A430" s="50"/>
      <c r="N430" s="177"/>
      <c r="O430" s="50"/>
      <c r="Q430" s="50"/>
    </row>
    <row r="431">
      <c r="A431" s="50"/>
      <c r="N431" s="177"/>
      <c r="O431" s="50"/>
      <c r="Q431" s="50"/>
    </row>
    <row r="432">
      <c r="A432" s="50"/>
      <c r="N432" s="177"/>
      <c r="O432" s="50"/>
      <c r="Q432" s="50"/>
    </row>
    <row r="433">
      <c r="A433" s="50"/>
      <c r="N433" s="177"/>
      <c r="O433" s="50"/>
      <c r="Q433" s="50"/>
    </row>
    <row r="434">
      <c r="A434" s="50"/>
      <c r="N434" s="177"/>
      <c r="O434" s="50"/>
      <c r="Q434" s="50"/>
    </row>
    <row r="435">
      <c r="A435" s="50"/>
      <c r="N435" s="177"/>
      <c r="O435" s="50"/>
      <c r="Q435" s="50"/>
    </row>
    <row r="436">
      <c r="A436" s="50"/>
      <c r="N436" s="177"/>
      <c r="O436" s="50"/>
      <c r="Q436" s="50"/>
    </row>
    <row r="437">
      <c r="A437" s="50"/>
      <c r="N437" s="177"/>
      <c r="O437" s="50"/>
      <c r="Q437" s="50"/>
    </row>
    <row r="438">
      <c r="A438" s="50"/>
      <c r="N438" s="177"/>
      <c r="O438" s="50"/>
      <c r="Q438" s="50"/>
    </row>
    <row r="439">
      <c r="A439" s="50"/>
      <c r="N439" s="177"/>
      <c r="O439" s="50"/>
      <c r="Q439" s="50"/>
    </row>
    <row r="440">
      <c r="A440" s="50"/>
      <c r="N440" s="177"/>
      <c r="O440" s="50"/>
      <c r="Q440" s="50"/>
    </row>
    <row r="441">
      <c r="A441" s="50"/>
      <c r="N441" s="177"/>
      <c r="O441" s="50"/>
      <c r="Q441" s="50"/>
    </row>
    <row r="442">
      <c r="A442" s="50"/>
      <c r="N442" s="177"/>
      <c r="O442" s="50"/>
      <c r="Q442" s="50"/>
    </row>
    <row r="443">
      <c r="A443" s="50"/>
      <c r="N443" s="177"/>
      <c r="O443" s="50"/>
      <c r="Q443" s="50"/>
    </row>
    <row r="444">
      <c r="A444" s="50"/>
      <c r="N444" s="177"/>
      <c r="O444" s="50"/>
      <c r="Q444" s="50"/>
    </row>
    <row r="445">
      <c r="A445" s="50"/>
      <c r="N445" s="177"/>
      <c r="O445" s="50"/>
      <c r="Q445" s="50"/>
    </row>
    <row r="446">
      <c r="A446" s="50"/>
      <c r="N446" s="177"/>
      <c r="O446" s="50"/>
      <c r="Q446" s="50"/>
    </row>
    <row r="447">
      <c r="A447" s="50"/>
      <c r="N447" s="177"/>
      <c r="O447" s="50"/>
      <c r="Q447" s="50"/>
    </row>
    <row r="448">
      <c r="A448" s="50"/>
      <c r="N448" s="177"/>
      <c r="O448" s="50"/>
      <c r="Q448" s="50"/>
    </row>
    <row r="449">
      <c r="A449" s="50"/>
      <c r="N449" s="177"/>
      <c r="O449" s="50"/>
      <c r="Q449" s="50"/>
    </row>
    <row r="450">
      <c r="A450" s="50"/>
      <c r="N450" s="177"/>
      <c r="O450" s="50"/>
      <c r="Q450" s="50"/>
    </row>
    <row r="451">
      <c r="A451" s="50"/>
      <c r="N451" s="177"/>
      <c r="O451" s="50"/>
      <c r="Q451" s="50"/>
    </row>
    <row r="452">
      <c r="A452" s="50"/>
      <c r="N452" s="177"/>
      <c r="O452" s="50"/>
      <c r="Q452" s="50"/>
    </row>
    <row r="453">
      <c r="A453" s="50"/>
      <c r="N453" s="177"/>
      <c r="O453" s="50"/>
      <c r="Q453" s="50"/>
    </row>
    <row r="454">
      <c r="A454" s="50"/>
      <c r="N454" s="177"/>
      <c r="O454" s="50"/>
      <c r="Q454" s="50"/>
    </row>
    <row r="455">
      <c r="A455" s="50"/>
      <c r="N455" s="177"/>
      <c r="O455" s="50"/>
      <c r="Q455" s="50"/>
    </row>
    <row r="456">
      <c r="A456" s="50"/>
      <c r="N456" s="177"/>
      <c r="O456" s="50"/>
      <c r="Q456" s="50"/>
    </row>
    <row r="457">
      <c r="A457" s="50"/>
      <c r="N457" s="177"/>
      <c r="O457" s="50"/>
      <c r="Q457" s="50"/>
    </row>
    <row r="458">
      <c r="A458" s="50"/>
      <c r="N458" s="177"/>
      <c r="O458" s="50"/>
      <c r="Q458" s="50"/>
    </row>
    <row r="459">
      <c r="A459" s="50"/>
      <c r="N459" s="177"/>
      <c r="O459" s="50"/>
      <c r="Q459" s="50"/>
    </row>
    <row r="460">
      <c r="A460" s="50"/>
      <c r="N460" s="177"/>
      <c r="O460" s="50"/>
      <c r="Q460" s="50"/>
    </row>
    <row r="461">
      <c r="A461" s="50"/>
      <c r="N461" s="177"/>
      <c r="O461" s="50"/>
      <c r="Q461" s="50"/>
    </row>
    <row r="462">
      <c r="A462" s="50"/>
      <c r="N462" s="177"/>
      <c r="O462" s="50"/>
      <c r="Q462" s="50"/>
    </row>
    <row r="463">
      <c r="A463" s="50"/>
      <c r="N463" s="177"/>
      <c r="O463" s="50"/>
      <c r="Q463" s="50"/>
    </row>
    <row r="464">
      <c r="A464" s="50"/>
      <c r="N464" s="177"/>
      <c r="O464" s="50"/>
      <c r="Q464" s="50"/>
    </row>
    <row r="465">
      <c r="A465" s="50"/>
      <c r="N465" s="177"/>
      <c r="O465" s="50"/>
      <c r="Q465" s="50"/>
    </row>
    <row r="466">
      <c r="A466" s="50"/>
      <c r="N466" s="177"/>
      <c r="O466" s="50"/>
      <c r="Q466" s="50"/>
    </row>
    <row r="467">
      <c r="A467" s="50"/>
      <c r="N467" s="177"/>
      <c r="O467" s="50"/>
      <c r="Q467" s="50"/>
    </row>
    <row r="468">
      <c r="A468" s="50"/>
      <c r="N468" s="177"/>
      <c r="O468" s="50"/>
      <c r="Q468" s="50"/>
    </row>
    <row r="469">
      <c r="A469" s="50"/>
      <c r="N469" s="177"/>
      <c r="O469" s="50"/>
      <c r="Q469" s="50"/>
    </row>
    <row r="470">
      <c r="A470" s="50"/>
      <c r="N470" s="177"/>
      <c r="O470" s="50"/>
      <c r="Q470" s="50"/>
    </row>
    <row r="471">
      <c r="A471" s="50"/>
      <c r="N471" s="177"/>
      <c r="O471" s="50"/>
      <c r="Q471" s="50"/>
    </row>
    <row r="472">
      <c r="A472" s="50"/>
      <c r="N472" s="177"/>
      <c r="O472" s="50"/>
      <c r="Q472" s="50"/>
    </row>
    <row r="473">
      <c r="A473" s="50"/>
      <c r="N473" s="177"/>
      <c r="O473" s="50"/>
      <c r="Q473" s="50"/>
    </row>
    <row r="474">
      <c r="A474" s="50"/>
      <c r="N474" s="177"/>
      <c r="O474" s="50"/>
      <c r="Q474" s="50"/>
    </row>
    <row r="475">
      <c r="A475" s="50"/>
      <c r="N475" s="177"/>
      <c r="O475" s="50"/>
      <c r="Q475" s="50"/>
    </row>
    <row r="476">
      <c r="A476" s="50"/>
      <c r="N476" s="177"/>
      <c r="O476" s="50"/>
      <c r="Q476" s="50"/>
    </row>
    <row r="477">
      <c r="A477" s="50"/>
      <c r="N477" s="177"/>
      <c r="O477" s="50"/>
      <c r="Q477" s="50"/>
    </row>
    <row r="478">
      <c r="A478" s="50"/>
      <c r="N478" s="177"/>
      <c r="O478" s="50"/>
      <c r="Q478" s="50"/>
    </row>
    <row r="479">
      <c r="A479" s="50"/>
      <c r="N479" s="177"/>
      <c r="O479" s="50"/>
      <c r="Q479" s="50"/>
    </row>
    <row r="480">
      <c r="A480" s="50"/>
      <c r="N480" s="177"/>
      <c r="O480" s="50"/>
      <c r="Q480" s="50"/>
    </row>
    <row r="481">
      <c r="A481" s="50"/>
      <c r="N481" s="177"/>
      <c r="O481" s="50"/>
      <c r="Q481" s="50"/>
    </row>
    <row r="482">
      <c r="A482" s="50"/>
      <c r="N482" s="177"/>
      <c r="O482" s="50"/>
      <c r="Q482" s="50"/>
    </row>
    <row r="483">
      <c r="A483" s="50"/>
      <c r="N483" s="177"/>
      <c r="O483" s="50"/>
      <c r="Q483" s="50"/>
    </row>
    <row r="484">
      <c r="A484" s="50"/>
      <c r="N484" s="177"/>
      <c r="O484" s="50"/>
      <c r="Q484" s="50"/>
    </row>
    <row r="485">
      <c r="A485" s="50"/>
      <c r="N485" s="177"/>
      <c r="O485" s="50"/>
      <c r="Q485" s="50"/>
    </row>
    <row r="486">
      <c r="A486" s="50"/>
      <c r="N486" s="177"/>
      <c r="O486" s="50"/>
      <c r="Q486" s="50"/>
    </row>
    <row r="487">
      <c r="A487" s="50"/>
      <c r="N487" s="177"/>
      <c r="O487" s="50"/>
      <c r="Q487" s="50"/>
    </row>
    <row r="488">
      <c r="A488" s="50"/>
      <c r="N488" s="177"/>
      <c r="O488" s="50"/>
      <c r="Q488" s="50"/>
    </row>
    <row r="489">
      <c r="A489" s="50"/>
      <c r="N489" s="177"/>
      <c r="O489" s="50"/>
      <c r="Q489" s="50"/>
    </row>
    <row r="490">
      <c r="A490" s="50"/>
      <c r="N490" s="177"/>
      <c r="O490" s="50"/>
      <c r="Q490" s="50"/>
    </row>
    <row r="491">
      <c r="A491" s="50"/>
      <c r="N491" s="177"/>
      <c r="O491" s="50"/>
      <c r="Q491" s="50"/>
    </row>
    <row r="492">
      <c r="A492" s="50"/>
      <c r="N492" s="177"/>
      <c r="O492" s="50"/>
      <c r="Q492" s="50"/>
    </row>
    <row r="493">
      <c r="A493" s="50"/>
      <c r="N493" s="177"/>
      <c r="O493" s="50"/>
      <c r="Q493" s="50"/>
    </row>
    <row r="494">
      <c r="A494" s="50"/>
      <c r="N494" s="177"/>
      <c r="O494" s="50"/>
      <c r="Q494" s="50"/>
    </row>
    <row r="495">
      <c r="A495" s="50"/>
      <c r="N495" s="177"/>
      <c r="O495" s="50"/>
      <c r="Q495" s="50"/>
    </row>
    <row r="496">
      <c r="A496" s="50"/>
      <c r="N496" s="177"/>
      <c r="O496" s="50"/>
      <c r="Q496" s="50"/>
    </row>
    <row r="497">
      <c r="A497" s="50"/>
      <c r="N497" s="177"/>
      <c r="O497" s="50"/>
      <c r="Q497" s="50"/>
    </row>
    <row r="498">
      <c r="A498" s="50"/>
      <c r="N498" s="177"/>
      <c r="O498" s="50"/>
      <c r="Q498" s="50"/>
    </row>
    <row r="499">
      <c r="A499" s="50"/>
      <c r="N499" s="177"/>
      <c r="O499" s="50"/>
      <c r="Q499" s="50"/>
    </row>
    <row r="500">
      <c r="A500" s="50"/>
      <c r="N500" s="177"/>
      <c r="O500" s="50"/>
      <c r="Q500" s="50"/>
    </row>
    <row r="501">
      <c r="A501" s="50"/>
      <c r="N501" s="177"/>
      <c r="O501" s="50"/>
      <c r="Q501" s="50"/>
    </row>
    <row r="502">
      <c r="A502" s="50"/>
      <c r="N502" s="177"/>
      <c r="O502" s="50"/>
      <c r="Q502" s="50"/>
    </row>
    <row r="503">
      <c r="A503" s="50"/>
      <c r="N503" s="177"/>
      <c r="O503" s="50"/>
      <c r="Q503" s="50"/>
    </row>
    <row r="504">
      <c r="A504" s="50"/>
      <c r="N504" s="177"/>
      <c r="O504" s="50"/>
      <c r="Q504" s="50"/>
    </row>
    <row r="505">
      <c r="A505" s="50"/>
      <c r="N505" s="177"/>
      <c r="O505" s="50"/>
      <c r="Q505" s="50"/>
    </row>
    <row r="506">
      <c r="A506" s="50"/>
      <c r="N506" s="177"/>
      <c r="O506" s="50"/>
      <c r="Q506" s="50"/>
    </row>
    <row r="507">
      <c r="A507" s="50"/>
      <c r="N507" s="177"/>
      <c r="O507" s="50"/>
      <c r="Q507" s="50"/>
    </row>
    <row r="508">
      <c r="A508" s="50"/>
      <c r="N508" s="177"/>
      <c r="O508" s="50"/>
      <c r="Q508" s="50"/>
    </row>
    <row r="509">
      <c r="A509" s="50"/>
      <c r="N509" s="177"/>
      <c r="O509" s="50"/>
      <c r="Q509" s="50"/>
    </row>
    <row r="510">
      <c r="A510" s="50"/>
      <c r="N510" s="177"/>
      <c r="O510" s="50"/>
      <c r="Q510" s="50"/>
    </row>
    <row r="511">
      <c r="A511" s="50"/>
      <c r="N511" s="177"/>
      <c r="O511" s="50"/>
      <c r="Q511" s="50"/>
    </row>
    <row r="512">
      <c r="A512" s="50"/>
      <c r="N512" s="177"/>
      <c r="O512" s="50"/>
      <c r="Q512" s="50"/>
    </row>
    <row r="513">
      <c r="A513" s="50"/>
      <c r="N513" s="177"/>
      <c r="O513" s="50"/>
      <c r="Q513" s="50"/>
    </row>
    <row r="514">
      <c r="A514" s="50"/>
      <c r="N514" s="177"/>
      <c r="O514" s="50"/>
      <c r="Q514" s="50"/>
    </row>
    <row r="515">
      <c r="A515" s="50"/>
      <c r="N515" s="177"/>
      <c r="O515" s="50"/>
      <c r="Q515" s="50"/>
    </row>
    <row r="516">
      <c r="A516" s="50"/>
      <c r="N516" s="177"/>
      <c r="O516" s="50"/>
      <c r="Q516" s="50"/>
    </row>
    <row r="517">
      <c r="A517" s="50"/>
      <c r="N517" s="177"/>
      <c r="O517" s="50"/>
      <c r="Q517" s="50"/>
    </row>
    <row r="518">
      <c r="A518" s="50"/>
      <c r="N518" s="177"/>
      <c r="O518" s="50"/>
      <c r="Q518" s="50"/>
    </row>
    <row r="519">
      <c r="A519" s="50"/>
      <c r="N519" s="177"/>
      <c r="O519" s="50"/>
      <c r="Q519" s="50"/>
    </row>
    <row r="520">
      <c r="A520" s="50"/>
      <c r="N520" s="177"/>
      <c r="O520" s="50"/>
      <c r="Q520" s="50"/>
    </row>
    <row r="521">
      <c r="A521" s="50"/>
      <c r="N521" s="177"/>
      <c r="O521" s="50"/>
      <c r="Q521" s="50"/>
    </row>
    <row r="522">
      <c r="A522" s="50"/>
      <c r="N522" s="177"/>
      <c r="O522" s="50"/>
      <c r="Q522" s="50"/>
    </row>
    <row r="523">
      <c r="A523" s="50"/>
      <c r="N523" s="177"/>
      <c r="O523" s="50"/>
      <c r="Q523" s="50"/>
    </row>
    <row r="524">
      <c r="A524" s="50"/>
      <c r="N524" s="177"/>
      <c r="O524" s="50"/>
      <c r="Q524" s="50"/>
    </row>
    <row r="525">
      <c r="A525" s="50"/>
      <c r="N525" s="177"/>
      <c r="O525" s="50"/>
      <c r="Q525" s="50"/>
    </row>
    <row r="526">
      <c r="A526" s="50"/>
      <c r="N526" s="177"/>
      <c r="O526" s="50"/>
      <c r="Q526" s="50"/>
    </row>
    <row r="527">
      <c r="A527" s="50"/>
      <c r="N527" s="177"/>
      <c r="O527" s="50"/>
      <c r="Q527" s="50"/>
    </row>
    <row r="528">
      <c r="A528" s="50"/>
      <c r="N528" s="177"/>
      <c r="O528" s="50"/>
      <c r="Q528" s="50"/>
    </row>
    <row r="529">
      <c r="A529" s="50"/>
      <c r="N529" s="177"/>
      <c r="O529" s="50"/>
      <c r="Q529" s="50"/>
    </row>
    <row r="530">
      <c r="A530" s="50"/>
      <c r="N530" s="177"/>
      <c r="O530" s="50"/>
      <c r="Q530" s="50"/>
    </row>
    <row r="531">
      <c r="A531" s="50"/>
      <c r="N531" s="177"/>
      <c r="O531" s="50"/>
      <c r="Q531" s="50"/>
    </row>
    <row r="532">
      <c r="A532" s="50"/>
      <c r="N532" s="177"/>
      <c r="O532" s="50"/>
      <c r="Q532" s="50"/>
    </row>
    <row r="533">
      <c r="A533" s="50"/>
      <c r="N533" s="177"/>
      <c r="O533" s="50"/>
      <c r="Q533" s="50"/>
    </row>
    <row r="534">
      <c r="A534" s="50"/>
      <c r="N534" s="177"/>
      <c r="O534" s="50"/>
      <c r="Q534" s="50"/>
    </row>
    <row r="535">
      <c r="A535" s="50"/>
      <c r="N535" s="177"/>
      <c r="O535" s="50"/>
      <c r="Q535" s="50"/>
    </row>
    <row r="536">
      <c r="A536" s="50"/>
      <c r="N536" s="177"/>
      <c r="O536" s="50"/>
      <c r="Q536" s="50"/>
    </row>
    <row r="537">
      <c r="A537" s="50"/>
      <c r="N537" s="177"/>
      <c r="O537" s="50"/>
      <c r="Q537" s="50"/>
    </row>
    <row r="538">
      <c r="A538" s="50"/>
      <c r="N538" s="177"/>
      <c r="O538" s="50"/>
      <c r="Q538" s="50"/>
    </row>
    <row r="539">
      <c r="A539" s="50"/>
      <c r="N539" s="177"/>
      <c r="O539" s="50"/>
      <c r="Q539" s="50"/>
    </row>
    <row r="540">
      <c r="A540" s="50"/>
      <c r="N540" s="177"/>
      <c r="O540" s="50"/>
      <c r="Q540" s="50"/>
    </row>
    <row r="541">
      <c r="A541" s="50"/>
      <c r="N541" s="177"/>
      <c r="O541" s="50"/>
      <c r="Q541" s="50"/>
    </row>
    <row r="542">
      <c r="A542" s="50"/>
      <c r="N542" s="177"/>
      <c r="O542" s="50"/>
      <c r="Q542" s="50"/>
    </row>
    <row r="543">
      <c r="A543" s="50"/>
      <c r="N543" s="177"/>
      <c r="O543" s="50"/>
      <c r="Q543" s="50"/>
    </row>
    <row r="544">
      <c r="A544" s="50"/>
      <c r="N544" s="177"/>
      <c r="O544" s="50"/>
      <c r="Q544" s="50"/>
    </row>
    <row r="545">
      <c r="A545" s="50"/>
      <c r="N545" s="177"/>
      <c r="O545" s="50"/>
      <c r="Q545" s="50"/>
    </row>
    <row r="546">
      <c r="A546" s="50"/>
      <c r="N546" s="177"/>
      <c r="O546" s="50"/>
      <c r="Q546" s="50"/>
    </row>
    <row r="547">
      <c r="A547" s="50"/>
      <c r="N547" s="177"/>
      <c r="O547" s="50"/>
      <c r="Q547" s="50"/>
    </row>
    <row r="548">
      <c r="A548" s="50"/>
      <c r="N548" s="177"/>
      <c r="O548" s="50"/>
      <c r="Q548" s="50"/>
    </row>
    <row r="549">
      <c r="A549" s="50"/>
      <c r="N549" s="177"/>
      <c r="O549" s="50"/>
      <c r="Q549" s="50"/>
    </row>
    <row r="550">
      <c r="A550" s="50"/>
      <c r="N550" s="177"/>
      <c r="O550" s="50"/>
      <c r="Q550" s="50"/>
    </row>
    <row r="551">
      <c r="A551" s="50"/>
      <c r="N551" s="177"/>
      <c r="O551" s="50"/>
      <c r="Q551" s="50"/>
    </row>
    <row r="552">
      <c r="A552" s="50"/>
      <c r="N552" s="177"/>
      <c r="O552" s="50"/>
      <c r="Q552" s="50"/>
    </row>
    <row r="553">
      <c r="A553" s="50"/>
      <c r="N553" s="177"/>
      <c r="O553" s="50"/>
      <c r="Q553" s="50"/>
    </row>
    <row r="554">
      <c r="A554" s="50"/>
      <c r="N554" s="177"/>
      <c r="O554" s="50"/>
      <c r="Q554" s="50"/>
    </row>
    <row r="555">
      <c r="A555" s="50"/>
      <c r="N555" s="177"/>
      <c r="O555" s="50"/>
      <c r="Q555" s="50"/>
    </row>
    <row r="556">
      <c r="A556" s="50"/>
      <c r="N556" s="177"/>
      <c r="O556" s="50"/>
      <c r="Q556" s="50"/>
    </row>
    <row r="557">
      <c r="A557" s="50"/>
      <c r="N557" s="177"/>
      <c r="O557" s="50"/>
      <c r="Q557" s="50"/>
    </row>
    <row r="558">
      <c r="A558" s="50"/>
      <c r="N558" s="177"/>
      <c r="O558" s="50"/>
      <c r="Q558" s="50"/>
    </row>
    <row r="559">
      <c r="A559" s="50"/>
      <c r="N559" s="177"/>
      <c r="O559" s="50"/>
      <c r="Q559" s="50"/>
    </row>
    <row r="560">
      <c r="A560" s="50"/>
      <c r="N560" s="177"/>
      <c r="O560" s="50"/>
      <c r="Q560" s="50"/>
    </row>
    <row r="561">
      <c r="A561" s="50"/>
      <c r="N561" s="177"/>
      <c r="O561" s="50"/>
      <c r="Q561" s="50"/>
    </row>
    <row r="562">
      <c r="A562" s="50"/>
      <c r="N562" s="177"/>
      <c r="O562" s="50"/>
      <c r="Q562" s="50"/>
    </row>
    <row r="563">
      <c r="A563" s="50"/>
      <c r="N563" s="177"/>
      <c r="O563" s="50"/>
      <c r="Q563" s="50"/>
    </row>
    <row r="564">
      <c r="A564" s="50"/>
      <c r="N564" s="177"/>
      <c r="O564" s="50"/>
      <c r="Q564" s="50"/>
    </row>
    <row r="565">
      <c r="A565" s="50"/>
      <c r="N565" s="177"/>
      <c r="O565" s="50"/>
      <c r="Q565" s="50"/>
    </row>
    <row r="566">
      <c r="A566" s="50"/>
      <c r="N566" s="177"/>
      <c r="O566" s="50"/>
      <c r="Q566" s="50"/>
    </row>
    <row r="567">
      <c r="A567" s="50"/>
      <c r="N567" s="177"/>
      <c r="O567" s="50"/>
      <c r="Q567" s="50"/>
    </row>
    <row r="568">
      <c r="A568" s="50"/>
      <c r="N568" s="177"/>
      <c r="O568" s="50"/>
      <c r="Q568" s="50"/>
    </row>
    <row r="569">
      <c r="A569" s="50"/>
      <c r="N569" s="177"/>
      <c r="O569" s="50"/>
      <c r="Q569" s="50"/>
    </row>
    <row r="570">
      <c r="A570" s="50"/>
      <c r="N570" s="177"/>
      <c r="O570" s="50"/>
      <c r="Q570" s="50"/>
    </row>
    <row r="571">
      <c r="A571" s="50"/>
      <c r="N571" s="177"/>
      <c r="O571" s="50"/>
      <c r="Q571" s="50"/>
    </row>
    <row r="572">
      <c r="A572" s="50"/>
      <c r="N572" s="177"/>
      <c r="O572" s="50"/>
      <c r="Q572" s="50"/>
    </row>
    <row r="573">
      <c r="A573" s="50"/>
      <c r="N573" s="177"/>
      <c r="O573" s="50"/>
      <c r="Q573" s="50"/>
    </row>
    <row r="574">
      <c r="A574" s="50"/>
      <c r="N574" s="177"/>
      <c r="O574" s="50"/>
      <c r="Q574" s="50"/>
    </row>
    <row r="575">
      <c r="A575" s="50"/>
      <c r="N575" s="177"/>
      <c r="O575" s="50"/>
      <c r="Q575" s="50"/>
    </row>
    <row r="576">
      <c r="A576" s="50"/>
      <c r="N576" s="177"/>
      <c r="O576" s="50"/>
      <c r="Q576" s="50"/>
    </row>
    <row r="577">
      <c r="A577" s="50"/>
      <c r="N577" s="177"/>
      <c r="O577" s="50"/>
      <c r="Q577" s="50"/>
    </row>
    <row r="578">
      <c r="A578" s="50"/>
      <c r="N578" s="177"/>
      <c r="O578" s="50"/>
      <c r="Q578" s="50"/>
    </row>
    <row r="579">
      <c r="A579" s="50"/>
      <c r="N579" s="177"/>
      <c r="O579" s="50"/>
      <c r="Q579" s="50"/>
    </row>
    <row r="580">
      <c r="A580" s="50"/>
      <c r="N580" s="177"/>
      <c r="O580" s="50"/>
      <c r="Q580" s="50"/>
    </row>
    <row r="581">
      <c r="A581" s="50"/>
      <c r="N581" s="177"/>
      <c r="O581" s="50"/>
      <c r="Q581" s="50"/>
    </row>
    <row r="582">
      <c r="A582" s="50"/>
      <c r="N582" s="177"/>
      <c r="O582" s="50"/>
      <c r="Q582" s="50"/>
    </row>
    <row r="583">
      <c r="A583" s="50"/>
      <c r="N583" s="177"/>
      <c r="O583" s="50"/>
      <c r="Q583" s="50"/>
    </row>
    <row r="584">
      <c r="A584" s="50"/>
      <c r="N584" s="177"/>
      <c r="O584" s="50"/>
      <c r="Q584" s="50"/>
    </row>
    <row r="585">
      <c r="A585" s="50"/>
      <c r="N585" s="177"/>
      <c r="O585" s="50"/>
      <c r="Q585" s="50"/>
    </row>
    <row r="586">
      <c r="A586" s="50"/>
      <c r="N586" s="177"/>
      <c r="O586" s="50"/>
      <c r="Q586" s="50"/>
    </row>
    <row r="587">
      <c r="A587" s="50"/>
      <c r="N587" s="177"/>
      <c r="O587" s="50"/>
      <c r="Q587" s="50"/>
    </row>
    <row r="588">
      <c r="A588" s="50"/>
      <c r="N588" s="177"/>
      <c r="O588" s="50"/>
      <c r="Q588" s="50"/>
    </row>
    <row r="589">
      <c r="A589" s="50"/>
      <c r="N589" s="177"/>
      <c r="O589" s="50"/>
      <c r="Q589" s="50"/>
    </row>
    <row r="590">
      <c r="A590" s="50"/>
      <c r="N590" s="177"/>
      <c r="O590" s="50"/>
      <c r="Q590" s="50"/>
    </row>
    <row r="591">
      <c r="A591" s="50"/>
      <c r="N591" s="177"/>
      <c r="O591" s="50"/>
      <c r="Q591" s="50"/>
    </row>
    <row r="592">
      <c r="A592" s="50"/>
      <c r="N592" s="177"/>
      <c r="O592" s="50"/>
      <c r="Q592" s="50"/>
    </row>
    <row r="593">
      <c r="A593" s="50"/>
      <c r="N593" s="177"/>
      <c r="O593" s="50"/>
      <c r="Q593" s="50"/>
    </row>
    <row r="594">
      <c r="A594" s="50"/>
      <c r="N594" s="177"/>
      <c r="O594" s="50"/>
      <c r="Q594" s="50"/>
    </row>
    <row r="595">
      <c r="A595" s="50"/>
      <c r="N595" s="177"/>
      <c r="O595" s="50"/>
      <c r="Q595" s="50"/>
    </row>
    <row r="596">
      <c r="A596" s="50"/>
      <c r="N596" s="177"/>
      <c r="O596" s="50"/>
      <c r="Q596" s="50"/>
    </row>
    <row r="597">
      <c r="A597" s="50"/>
      <c r="N597" s="177"/>
      <c r="O597" s="50"/>
      <c r="Q597" s="50"/>
    </row>
    <row r="598">
      <c r="A598" s="50"/>
      <c r="N598" s="177"/>
      <c r="O598" s="50"/>
      <c r="Q598" s="50"/>
    </row>
    <row r="599">
      <c r="A599" s="50"/>
      <c r="N599" s="177"/>
      <c r="O599" s="50"/>
      <c r="Q599" s="50"/>
    </row>
    <row r="600">
      <c r="A600" s="50"/>
      <c r="N600" s="177"/>
      <c r="O600" s="50"/>
      <c r="Q600" s="50"/>
    </row>
    <row r="601">
      <c r="A601" s="50"/>
      <c r="N601" s="177"/>
      <c r="O601" s="50"/>
      <c r="Q601" s="50"/>
    </row>
    <row r="602">
      <c r="A602" s="50"/>
      <c r="N602" s="177"/>
      <c r="O602" s="50"/>
      <c r="Q602" s="50"/>
    </row>
    <row r="603">
      <c r="A603" s="50"/>
      <c r="N603" s="177"/>
      <c r="O603" s="50"/>
      <c r="Q603" s="50"/>
    </row>
    <row r="604">
      <c r="A604" s="50"/>
      <c r="N604" s="177"/>
      <c r="O604" s="50"/>
      <c r="Q604" s="50"/>
    </row>
    <row r="605">
      <c r="A605" s="50"/>
      <c r="N605" s="177"/>
      <c r="O605" s="50"/>
      <c r="Q605" s="50"/>
    </row>
    <row r="606">
      <c r="A606" s="50"/>
      <c r="N606" s="177"/>
      <c r="O606" s="50"/>
      <c r="Q606" s="50"/>
    </row>
    <row r="607">
      <c r="A607" s="50"/>
      <c r="N607" s="177"/>
      <c r="O607" s="50"/>
      <c r="Q607" s="50"/>
    </row>
    <row r="608">
      <c r="A608" s="50"/>
      <c r="N608" s="177"/>
      <c r="O608" s="50"/>
      <c r="Q608" s="50"/>
    </row>
    <row r="609">
      <c r="A609" s="50"/>
      <c r="N609" s="177"/>
      <c r="O609" s="50"/>
      <c r="Q609" s="50"/>
    </row>
    <row r="610">
      <c r="A610" s="50"/>
      <c r="N610" s="177"/>
      <c r="O610" s="50"/>
      <c r="Q610" s="50"/>
    </row>
    <row r="611">
      <c r="A611" s="50"/>
      <c r="N611" s="177"/>
      <c r="O611" s="50"/>
      <c r="Q611" s="50"/>
    </row>
    <row r="612">
      <c r="A612" s="50"/>
      <c r="N612" s="177"/>
      <c r="O612" s="50"/>
      <c r="Q612" s="50"/>
    </row>
    <row r="613">
      <c r="A613" s="50"/>
      <c r="N613" s="177"/>
      <c r="O613" s="50"/>
      <c r="Q613" s="50"/>
    </row>
    <row r="614">
      <c r="A614" s="50"/>
      <c r="N614" s="177"/>
      <c r="O614" s="50"/>
      <c r="Q614" s="50"/>
    </row>
    <row r="615">
      <c r="A615" s="50"/>
      <c r="N615" s="177"/>
      <c r="O615" s="50"/>
      <c r="Q615" s="50"/>
    </row>
    <row r="616">
      <c r="A616" s="50"/>
      <c r="N616" s="177"/>
      <c r="O616" s="50"/>
      <c r="Q616" s="50"/>
    </row>
    <row r="617">
      <c r="A617" s="50"/>
      <c r="N617" s="177"/>
      <c r="O617" s="50"/>
      <c r="Q617" s="50"/>
    </row>
    <row r="618">
      <c r="A618" s="50"/>
      <c r="N618" s="177"/>
      <c r="O618" s="50"/>
      <c r="Q618" s="50"/>
    </row>
    <row r="619">
      <c r="A619" s="50"/>
      <c r="N619" s="177"/>
      <c r="O619" s="50"/>
      <c r="Q619" s="50"/>
    </row>
    <row r="620">
      <c r="A620" s="50"/>
      <c r="N620" s="177"/>
      <c r="O620" s="50"/>
      <c r="Q620" s="50"/>
    </row>
    <row r="621">
      <c r="A621" s="50"/>
      <c r="N621" s="177"/>
      <c r="O621" s="50"/>
      <c r="Q621" s="50"/>
    </row>
    <row r="622">
      <c r="A622" s="50"/>
      <c r="N622" s="177"/>
      <c r="O622" s="50"/>
      <c r="Q622" s="50"/>
    </row>
    <row r="623">
      <c r="A623" s="50"/>
      <c r="N623" s="177"/>
      <c r="O623" s="50"/>
      <c r="Q623" s="50"/>
    </row>
    <row r="624">
      <c r="A624" s="50"/>
      <c r="N624" s="177"/>
      <c r="O624" s="50"/>
      <c r="Q624" s="50"/>
    </row>
    <row r="625">
      <c r="A625" s="50"/>
      <c r="N625" s="177"/>
      <c r="O625" s="50"/>
      <c r="Q625" s="50"/>
    </row>
    <row r="626">
      <c r="A626" s="50"/>
      <c r="N626" s="177"/>
      <c r="O626" s="50"/>
      <c r="Q626" s="50"/>
    </row>
    <row r="627">
      <c r="A627" s="50"/>
      <c r="N627" s="177"/>
      <c r="O627" s="50"/>
      <c r="Q627" s="50"/>
    </row>
    <row r="628">
      <c r="A628" s="50"/>
      <c r="N628" s="177"/>
      <c r="O628" s="50"/>
      <c r="Q628" s="50"/>
    </row>
    <row r="629">
      <c r="A629" s="50"/>
      <c r="N629" s="177"/>
      <c r="O629" s="50"/>
      <c r="Q629" s="50"/>
    </row>
    <row r="630">
      <c r="A630" s="50"/>
      <c r="N630" s="177"/>
      <c r="O630" s="50"/>
      <c r="Q630" s="50"/>
    </row>
    <row r="631">
      <c r="A631" s="50"/>
      <c r="N631" s="177"/>
      <c r="O631" s="50"/>
      <c r="Q631" s="50"/>
    </row>
    <row r="632">
      <c r="A632" s="50"/>
      <c r="N632" s="177"/>
      <c r="O632" s="50"/>
      <c r="Q632" s="50"/>
    </row>
    <row r="633">
      <c r="A633" s="50"/>
      <c r="N633" s="177"/>
      <c r="O633" s="50"/>
      <c r="Q633" s="50"/>
    </row>
    <row r="634">
      <c r="A634" s="50"/>
      <c r="N634" s="177"/>
      <c r="O634" s="50"/>
      <c r="Q634" s="50"/>
    </row>
    <row r="635">
      <c r="A635" s="50"/>
      <c r="N635" s="177"/>
      <c r="O635" s="50"/>
      <c r="Q635" s="50"/>
    </row>
    <row r="636">
      <c r="A636" s="50"/>
      <c r="N636" s="177"/>
      <c r="O636" s="50"/>
      <c r="Q636" s="50"/>
    </row>
    <row r="637">
      <c r="A637" s="50"/>
      <c r="N637" s="177"/>
      <c r="O637" s="50"/>
      <c r="Q637" s="50"/>
    </row>
    <row r="638">
      <c r="A638" s="50"/>
      <c r="N638" s="177"/>
      <c r="O638" s="50"/>
      <c r="Q638" s="50"/>
    </row>
    <row r="639">
      <c r="A639" s="50"/>
      <c r="N639" s="177"/>
      <c r="O639" s="50"/>
      <c r="Q639" s="50"/>
    </row>
    <row r="640">
      <c r="A640" s="50"/>
      <c r="N640" s="177"/>
      <c r="O640" s="50"/>
      <c r="Q640" s="50"/>
    </row>
    <row r="641">
      <c r="A641" s="50"/>
      <c r="N641" s="177"/>
      <c r="O641" s="50"/>
      <c r="Q641" s="50"/>
    </row>
    <row r="642">
      <c r="A642" s="50"/>
      <c r="N642" s="177"/>
      <c r="O642" s="50"/>
      <c r="Q642" s="50"/>
    </row>
    <row r="643">
      <c r="A643" s="50"/>
      <c r="N643" s="177"/>
      <c r="O643" s="50"/>
      <c r="Q643" s="50"/>
    </row>
    <row r="644">
      <c r="A644" s="50"/>
      <c r="N644" s="177"/>
      <c r="O644" s="50"/>
      <c r="Q644" s="50"/>
    </row>
    <row r="645">
      <c r="A645" s="50"/>
      <c r="N645" s="177"/>
      <c r="O645" s="50"/>
      <c r="Q645" s="50"/>
    </row>
    <row r="646">
      <c r="A646" s="50"/>
      <c r="N646" s="177"/>
      <c r="O646" s="50"/>
      <c r="Q646" s="50"/>
    </row>
    <row r="647">
      <c r="A647" s="50"/>
      <c r="N647" s="177"/>
      <c r="O647" s="50"/>
      <c r="Q647" s="50"/>
    </row>
    <row r="648">
      <c r="A648" s="50"/>
      <c r="N648" s="177"/>
      <c r="O648" s="50"/>
      <c r="Q648" s="50"/>
    </row>
    <row r="649">
      <c r="A649" s="50"/>
      <c r="N649" s="177"/>
      <c r="O649" s="50"/>
      <c r="Q649" s="50"/>
    </row>
    <row r="650">
      <c r="A650" s="50"/>
      <c r="N650" s="177"/>
      <c r="O650" s="50"/>
      <c r="Q650" s="50"/>
    </row>
    <row r="651">
      <c r="A651" s="50"/>
      <c r="N651" s="177"/>
      <c r="O651" s="50"/>
      <c r="Q651" s="50"/>
    </row>
    <row r="652">
      <c r="A652" s="50"/>
      <c r="N652" s="177"/>
      <c r="O652" s="50"/>
      <c r="Q652" s="50"/>
    </row>
    <row r="653">
      <c r="A653" s="50"/>
      <c r="N653" s="177"/>
      <c r="O653" s="50"/>
      <c r="Q653" s="50"/>
    </row>
    <row r="654">
      <c r="A654" s="50"/>
      <c r="N654" s="177"/>
      <c r="O654" s="50"/>
      <c r="Q654" s="50"/>
    </row>
    <row r="655">
      <c r="A655" s="50"/>
      <c r="N655" s="177"/>
      <c r="O655" s="50"/>
      <c r="Q655" s="50"/>
    </row>
    <row r="656">
      <c r="A656" s="50"/>
      <c r="N656" s="177"/>
      <c r="O656" s="50"/>
      <c r="Q656" s="50"/>
    </row>
    <row r="657">
      <c r="A657" s="50"/>
      <c r="N657" s="177"/>
      <c r="O657" s="50"/>
      <c r="Q657" s="50"/>
    </row>
    <row r="658">
      <c r="A658" s="50"/>
      <c r="N658" s="177"/>
      <c r="O658" s="50"/>
      <c r="Q658" s="50"/>
    </row>
    <row r="659">
      <c r="A659" s="50"/>
      <c r="N659" s="177"/>
      <c r="O659" s="50"/>
      <c r="Q659" s="50"/>
    </row>
    <row r="660">
      <c r="A660" s="50"/>
      <c r="N660" s="177"/>
      <c r="O660" s="50"/>
      <c r="Q660" s="50"/>
    </row>
    <row r="661">
      <c r="A661" s="50"/>
      <c r="N661" s="177"/>
      <c r="O661" s="50"/>
      <c r="Q661" s="50"/>
    </row>
    <row r="662">
      <c r="A662" s="50"/>
      <c r="N662" s="177"/>
      <c r="O662" s="50"/>
      <c r="Q662" s="50"/>
    </row>
    <row r="663">
      <c r="A663" s="50"/>
      <c r="N663" s="177"/>
      <c r="O663" s="50"/>
      <c r="Q663" s="50"/>
    </row>
    <row r="664">
      <c r="A664" s="50"/>
      <c r="N664" s="177"/>
      <c r="O664" s="50"/>
      <c r="Q664" s="50"/>
    </row>
    <row r="665">
      <c r="A665" s="50"/>
      <c r="N665" s="177"/>
      <c r="O665" s="50"/>
      <c r="Q665" s="50"/>
    </row>
    <row r="666">
      <c r="A666" s="50"/>
      <c r="N666" s="177"/>
      <c r="O666" s="50"/>
      <c r="Q666" s="50"/>
    </row>
    <row r="667">
      <c r="A667" s="50"/>
      <c r="N667" s="177"/>
      <c r="O667" s="50"/>
      <c r="Q667" s="50"/>
    </row>
    <row r="668">
      <c r="A668" s="50"/>
      <c r="N668" s="177"/>
      <c r="O668" s="50"/>
      <c r="Q668" s="50"/>
    </row>
    <row r="669">
      <c r="A669" s="50"/>
      <c r="N669" s="177"/>
      <c r="O669" s="50"/>
      <c r="Q669" s="50"/>
    </row>
    <row r="670">
      <c r="A670" s="50"/>
      <c r="N670" s="177"/>
      <c r="O670" s="50"/>
      <c r="Q670" s="50"/>
    </row>
    <row r="671">
      <c r="A671" s="50"/>
      <c r="N671" s="177"/>
      <c r="O671" s="50"/>
      <c r="Q671" s="50"/>
    </row>
    <row r="672">
      <c r="A672" s="50"/>
      <c r="N672" s="177"/>
      <c r="O672" s="50"/>
      <c r="Q672" s="50"/>
    </row>
    <row r="673">
      <c r="A673" s="50"/>
      <c r="N673" s="177"/>
      <c r="O673" s="50"/>
      <c r="Q673" s="50"/>
    </row>
    <row r="674">
      <c r="A674" s="50"/>
      <c r="N674" s="177"/>
      <c r="O674" s="50"/>
      <c r="Q674" s="50"/>
    </row>
    <row r="675">
      <c r="A675" s="50"/>
      <c r="N675" s="177"/>
      <c r="O675" s="50"/>
      <c r="Q675" s="50"/>
    </row>
    <row r="676">
      <c r="A676" s="50"/>
      <c r="N676" s="177"/>
      <c r="O676" s="50"/>
      <c r="Q676" s="50"/>
    </row>
    <row r="677">
      <c r="A677" s="50"/>
      <c r="N677" s="177"/>
      <c r="O677" s="50"/>
      <c r="Q677" s="50"/>
    </row>
    <row r="678">
      <c r="A678" s="50"/>
      <c r="N678" s="177"/>
      <c r="O678" s="50"/>
      <c r="Q678" s="50"/>
    </row>
    <row r="679">
      <c r="A679" s="50"/>
      <c r="N679" s="177"/>
      <c r="O679" s="50"/>
      <c r="Q679" s="50"/>
    </row>
    <row r="680">
      <c r="A680" s="50"/>
      <c r="N680" s="177"/>
      <c r="O680" s="50"/>
      <c r="Q680" s="50"/>
    </row>
    <row r="681">
      <c r="A681" s="50"/>
      <c r="N681" s="177"/>
      <c r="O681" s="50"/>
      <c r="Q681" s="50"/>
    </row>
    <row r="682">
      <c r="A682" s="50"/>
      <c r="N682" s="177"/>
      <c r="O682" s="50"/>
      <c r="Q682" s="50"/>
    </row>
    <row r="683">
      <c r="A683" s="50"/>
      <c r="N683" s="177"/>
      <c r="O683" s="50"/>
      <c r="Q683" s="50"/>
    </row>
    <row r="684">
      <c r="A684" s="50"/>
      <c r="N684" s="177"/>
      <c r="O684" s="50"/>
      <c r="Q684" s="50"/>
    </row>
    <row r="685">
      <c r="A685" s="50"/>
      <c r="N685" s="177"/>
      <c r="O685" s="50"/>
      <c r="Q685" s="50"/>
    </row>
    <row r="686">
      <c r="A686" s="50"/>
      <c r="N686" s="177"/>
      <c r="O686" s="50"/>
      <c r="Q686" s="50"/>
    </row>
    <row r="687">
      <c r="A687" s="50"/>
      <c r="N687" s="177"/>
      <c r="O687" s="50"/>
      <c r="Q687" s="50"/>
    </row>
    <row r="688">
      <c r="A688" s="50"/>
      <c r="N688" s="177"/>
      <c r="O688" s="50"/>
      <c r="Q688" s="50"/>
    </row>
    <row r="689">
      <c r="A689" s="50"/>
      <c r="N689" s="177"/>
      <c r="O689" s="50"/>
      <c r="Q689" s="50"/>
    </row>
    <row r="690">
      <c r="A690" s="50"/>
      <c r="N690" s="177"/>
      <c r="O690" s="50"/>
      <c r="Q690" s="50"/>
    </row>
    <row r="691">
      <c r="A691" s="50"/>
      <c r="N691" s="177"/>
      <c r="O691" s="50"/>
      <c r="Q691" s="50"/>
    </row>
    <row r="692">
      <c r="A692" s="50"/>
      <c r="N692" s="177"/>
      <c r="O692" s="50"/>
      <c r="Q692" s="50"/>
    </row>
    <row r="693">
      <c r="A693" s="50"/>
      <c r="N693" s="177"/>
      <c r="O693" s="50"/>
      <c r="Q693" s="50"/>
    </row>
    <row r="694">
      <c r="A694" s="50"/>
      <c r="N694" s="177"/>
      <c r="O694" s="50"/>
      <c r="Q694" s="50"/>
    </row>
    <row r="695">
      <c r="A695" s="50"/>
      <c r="N695" s="177"/>
      <c r="O695" s="50"/>
      <c r="Q695" s="50"/>
    </row>
    <row r="696">
      <c r="A696" s="50"/>
      <c r="N696" s="177"/>
      <c r="O696" s="50"/>
      <c r="Q696" s="50"/>
    </row>
    <row r="697">
      <c r="A697" s="50"/>
      <c r="N697" s="177"/>
      <c r="O697" s="50"/>
      <c r="Q697" s="50"/>
    </row>
    <row r="698">
      <c r="A698" s="50"/>
      <c r="N698" s="177"/>
      <c r="O698" s="50"/>
      <c r="Q698" s="50"/>
    </row>
    <row r="699">
      <c r="A699" s="50"/>
      <c r="N699" s="177"/>
      <c r="O699" s="50"/>
      <c r="Q699" s="50"/>
    </row>
    <row r="700">
      <c r="A700" s="50"/>
      <c r="N700" s="177"/>
      <c r="O700" s="50"/>
      <c r="Q700" s="50"/>
    </row>
    <row r="701">
      <c r="A701" s="50"/>
      <c r="N701" s="177"/>
      <c r="O701" s="50"/>
      <c r="Q701" s="50"/>
    </row>
    <row r="702">
      <c r="A702" s="50"/>
      <c r="N702" s="177"/>
      <c r="O702" s="50"/>
      <c r="Q702" s="50"/>
    </row>
    <row r="703">
      <c r="A703" s="50"/>
      <c r="N703" s="177"/>
      <c r="O703" s="50"/>
      <c r="Q703" s="50"/>
    </row>
    <row r="704">
      <c r="A704" s="50"/>
      <c r="N704" s="177"/>
      <c r="O704" s="50"/>
      <c r="Q704" s="50"/>
    </row>
    <row r="705">
      <c r="A705" s="50"/>
      <c r="N705" s="177"/>
      <c r="O705" s="50"/>
      <c r="Q705" s="50"/>
    </row>
    <row r="706">
      <c r="A706" s="50"/>
      <c r="N706" s="177"/>
      <c r="O706" s="50"/>
      <c r="Q706" s="50"/>
    </row>
    <row r="707">
      <c r="A707" s="50"/>
      <c r="N707" s="177"/>
      <c r="O707" s="50"/>
      <c r="Q707" s="50"/>
    </row>
    <row r="708">
      <c r="A708" s="50"/>
      <c r="N708" s="177"/>
      <c r="O708" s="50"/>
      <c r="Q708" s="50"/>
    </row>
    <row r="709">
      <c r="A709" s="50"/>
      <c r="N709" s="177"/>
      <c r="O709" s="50"/>
      <c r="Q709" s="50"/>
    </row>
    <row r="710">
      <c r="A710" s="50"/>
      <c r="N710" s="177"/>
      <c r="O710" s="50"/>
      <c r="Q710" s="50"/>
    </row>
    <row r="711">
      <c r="A711" s="50"/>
      <c r="N711" s="177"/>
      <c r="O711" s="50"/>
      <c r="Q711" s="50"/>
    </row>
    <row r="712">
      <c r="A712" s="50"/>
      <c r="N712" s="177"/>
      <c r="O712" s="50"/>
      <c r="Q712" s="50"/>
    </row>
    <row r="713">
      <c r="A713" s="50"/>
      <c r="N713" s="177"/>
      <c r="O713" s="50"/>
      <c r="Q713" s="50"/>
    </row>
    <row r="714">
      <c r="A714" s="50"/>
      <c r="N714" s="177"/>
      <c r="O714" s="50"/>
      <c r="Q714" s="50"/>
    </row>
    <row r="715">
      <c r="A715" s="50"/>
      <c r="N715" s="177"/>
      <c r="O715" s="50"/>
      <c r="Q715" s="50"/>
    </row>
    <row r="716">
      <c r="A716" s="50"/>
      <c r="N716" s="177"/>
      <c r="O716" s="50"/>
      <c r="Q716" s="50"/>
    </row>
    <row r="717">
      <c r="A717" s="50"/>
      <c r="N717" s="177"/>
      <c r="O717" s="50"/>
      <c r="Q717" s="50"/>
    </row>
    <row r="718">
      <c r="A718" s="50"/>
      <c r="N718" s="177"/>
      <c r="O718" s="50"/>
      <c r="Q718" s="50"/>
    </row>
    <row r="719">
      <c r="A719" s="50"/>
      <c r="N719" s="177"/>
      <c r="O719" s="50"/>
      <c r="Q719" s="50"/>
    </row>
    <row r="720">
      <c r="A720" s="50"/>
      <c r="N720" s="177"/>
      <c r="O720" s="50"/>
      <c r="Q720" s="50"/>
    </row>
    <row r="721">
      <c r="A721" s="50"/>
      <c r="N721" s="177"/>
      <c r="O721" s="50"/>
      <c r="Q721" s="50"/>
    </row>
    <row r="722">
      <c r="A722" s="50"/>
      <c r="N722" s="177"/>
      <c r="O722" s="50"/>
      <c r="Q722" s="50"/>
    </row>
    <row r="723">
      <c r="A723" s="50"/>
      <c r="N723" s="177"/>
      <c r="O723" s="50"/>
      <c r="Q723" s="50"/>
    </row>
    <row r="724">
      <c r="A724" s="50"/>
      <c r="N724" s="177"/>
      <c r="O724" s="50"/>
      <c r="Q724" s="50"/>
    </row>
    <row r="725">
      <c r="A725" s="50"/>
      <c r="N725" s="177"/>
      <c r="O725" s="50"/>
      <c r="Q725" s="50"/>
    </row>
    <row r="726">
      <c r="A726" s="50"/>
      <c r="N726" s="177"/>
      <c r="O726" s="50"/>
      <c r="Q726" s="50"/>
    </row>
    <row r="727">
      <c r="A727" s="50"/>
      <c r="N727" s="177"/>
      <c r="O727" s="50"/>
      <c r="Q727" s="50"/>
    </row>
    <row r="728">
      <c r="A728" s="50"/>
      <c r="N728" s="177"/>
      <c r="O728" s="50"/>
      <c r="Q728" s="50"/>
    </row>
    <row r="729">
      <c r="A729" s="50"/>
      <c r="N729" s="177"/>
      <c r="O729" s="50"/>
      <c r="Q729" s="50"/>
    </row>
    <row r="730">
      <c r="A730" s="50"/>
      <c r="N730" s="177"/>
      <c r="O730" s="50"/>
      <c r="Q730" s="50"/>
    </row>
    <row r="731">
      <c r="A731" s="50"/>
      <c r="N731" s="177"/>
      <c r="O731" s="50"/>
      <c r="Q731" s="50"/>
    </row>
    <row r="732">
      <c r="A732" s="50"/>
      <c r="N732" s="177"/>
      <c r="O732" s="50"/>
      <c r="Q732" s="50"/>
    </row>
    <row r="733">
      <c r="A733" s="50"/>
      <c r="N733" s="177"/>
      <c r="O733" s="50"/>
      <c r="Q733" s="50"/>
    </row>
    <row r="734">
      <c r="A734" s="50"/>
      <c r="N734" s="177"/>
      <c r="O734" s="50"/>
      <c r="Q734" s="50"/>
    </row>
    <row r="735">
      <c r="A735" s="50"/>
      <c r="N735" s="177"/>
      <c r="O735" s="50"/>
      <c r="Q735" s="50"/>
    </row>
    <row r="736">
      <c r="A736" s="50"/>
      <c r="N736" s="177"/>
      <c r="O736" s="50"/>
      <c r="Q736" s="50"/>
    </row>
    <row r="737">
      <c r="A737" s="50"/>
      <c r="N737" s="177"/>
      <c r="O737" s="50"/>
      <c r="Q737" s="50"/>
    </row>
    <row r="738">
      <c r="A738" s="50"/>
      <c r="N738" s="177"/>
      <c r="O738" s="50"/>
      <c r="Q738" s="50"/>
    </row>
    <row r="739">
      <c r="A739" s="50"/>
      <c r="N739" s="177"/>
      <c r="O739" s="50"/>
      <c r="Q739" s="50"/>
    </row>
    <row r="740">
      <c r="A740" s="50"/>
      <c r="N740" s="177"/>
      <c r="O740" s="50"/>
      <c r="Q740" s="50"/>
    </row>
    <row r="741">
      <c r="A741" s="50"/>
      <c r="N741" s="177"/>
      <c r="O741" s="50"/>
      <c r="Q741" s="50"/>
    </row>
    <row r="742">
      <c r="A742" s="50"/>
      <c r="N742" s="177"/>
      <c r="O742" s="50"/>
      <c r="Q742" s="50"/>
    </row>
    <row r="743">
      <c r="A743" s="50"/>
      <c r="N743" s="177"/>
      <c r="O743" s="50"/>
      <c r="Q743" s="50"/>
    </row>
    <row r="744">
      <c r="A744" s="50"/>
      <c r="N744" s="177"/>
      <c r="O744" s="50"/>
      <c r="Q744" s="50"/>
    </row>
    <row r="745">
      <c r="A745" s="50"/>
      <c r="N745" s="177"/>
      <c r="O745" s="50"/>
      <c r="Q745" s="50"/>
    </row>
    <row r="746">
      <c r="A746" s="50"/>
      <c r="N746" s="177"/>
      <c r="O746" s="50"/>
      <c r="Q746" s="50"/>
    </row>
    <row r="747">
      <c r="A747" s="50"/>
      <c r="N747" s="177"/>
      <c r="O747" s="50"/>
      <c r="Q747" s="50"/>
    </row>
    <row r="748">
      <c r="A748" s="50"/>
      <c r="N748" s="177"/>
      <c r="O748" s="50"/>
      <c r="Q748" s="50"/>
    </row>
    <row r="749">
      <c r="A749" s="50"/>
      <c r="N749" s="177"/>
      <c r="O749" s="50"/>
      <c r="Q749" s="50"/>
    </row>
    <row r="750">
      <c r="A750" s="50"/>
      <c r="N750" s="177"/>
      <c r="O750" s="50"/>
      <c r="Q750" s="50"/>
    </row>
    <row r="751">
      <c r="A751" s="50"/>
      <c r="N751" s="177"/>
      <c r="O751" s="50"/>
      <c r="Q751" s="50"/>
    </row>
    <row r="752">
      <c r="A752" s="50"/>
      <c r="N752" s="177"/>
      <c r="O752" s="50"/>
      <c r="Q752" s="50"/>
    </row>
    <row r="753">
      <c r="A753" s="50"/>
      <c r="N753" s="177"/>
      <c r="O753" s="50"/>
      <c r="Q753" s="50"/>
    </row>
    <row r="754">
      <c r="A754" s="50"/>
      <c r="N754" s="177"/>
      <c r="O754" s="50"/>
      <c r="Q754" s="50"/>
    </row>
    <row r="755">
      <c r="A755" s="50"/>
      <c r="N755" s="177"/>
      <c r="O755" s="50"/>
      <c r="Q755" s="50"/>
    </row>
    <row r="756">
      <c r="A756" s="50"/>
      <c r="N756" s="177"/>
      <c r="O756" s="50"/>
      <c r="Q756" s="50"/>
    </row>
    <row r="757">
      <c r="A757" s="50"/>
      <c r="N757" s="177"/>
      <c r="O757" s="50"/>
      <c r="Q757" s="50"/>
    </row>
    <row r="758">
      <c r="A758" s="50"/>
      <c r="N758" s="177"/>
      <c r="O758" s="50"/>
      <c r="Q758" s="50"/>
    </row>
    <row r="759">
      <c r="A759" s="50"/>
      <c r="N759" s="177"/>
      <c r="O759" s="50"/>
      <c r="Q759" s="50"/>
    </row>
    <row r="760">
      <c r="A760" s="50"/>
      <c r="N760" s="177"/>
      <c r="O760" s="50"/>
      <c r="Q760" s="50"/>
    </row>
    <row r="761">
      <c r="A761" s="50"/>
      <c r="N761" s="177"/>
      <c r="O761" s="50"/>
      <c r="Q761" s="50"/>
    </row>
    <row r="762">
      <c r="A762" s="50"/>
      <c r="N762" s="177"/>
      <c r="O762" s="50"/>
      <c r="Q762" s="50"/>
    </row>
    <row r="763">
      <c r="A763" s="50"/>
      <c r="N763" s="177"/>
      <c r="O763" s="50"/>
      <c r="Q763" s="50"/>
    </row>
    <row r="764">
      <c r="A764" s="50"/>
      <c r="N764" s="177"/>
      <c r="O764" s="50"/>
      <c r="Q764" s="50"/>
    </row>
    <row r="765">
      <c r="A765" s="50"/>
      <c r="N765" s="177"/>
      <c r="O765" s="50"/>
      <c r="Q765" s="50"/>
    </row>
    <row r="766">
      <c r="A766" s="50"/>
      <c r="N766" s="177"/>
      <c r="O766" s="50"/>
      <c r="Q766" s="50"/>
    </row>
    <row r="767">
      <c r="A767" s="50"/>
      <c r="N767" s="177"/>
      <c r="O767" s="50"/>
      <c r="Q767" s="50"/>
    </row>
    <row r="768">
      <c r="A768" s="50"/>
      <c r="N768" s="177"/>
      <c r="O768" s="50"/>
      <c r="Q768" s="50"/>
    </row>
    <row r="769">
      <c r="A769" s="50"/>
      <c r="N769" s="177"/>
      <c r="O769" s="50"/>
      <c r="Q769" s="50"/>
    </row>
    <row r="770">
      <c r="A770" s="50"/>
      <c r="N770" s="177"/>
      <c r="O770" s="50"/>
      <c r="Q770" s="50"/>
    </row>
    <row r="771">
      <c r="A771" s="50"/>
      <c r="N771" s="177"/>
      <c r="O771" s="50"/>
      <c r="Q771" s="50"/>
    </row>
    <row r="772">
      <c r="A772" s="50"/>
      <c r="N772" s="177"/>
      <c r="O772" s="50"/>
      <c r="Q772" s="50"/>
    </row>
    <row r="773">
      <c r="A773" s="50"/>
      <c r="N773" s="177"/>
      <c r="O773" s="50"/>
      <c r="Q773" s="50"/>
    </row>
    <row r="774">
      <c r="A774" s="50"/>
      <c r="N774" s="177"/>
      <c r="O774" s="50"/>
      <c r="Q774" s="50"/>
    </row>
    <row r="775">
      <c r="A775" s="50"/>
      <c r="N775" s="177"/>
      <c r="O775" s="50"/>
      <c r="Q775" s="50"/>
    </row>
    <row r="776">
      <c r="A776" s="50"/>
      <c r="N776" s="177"/>
      <c r="O776" s="50"/>
      <c r="Q776" s="50"/>
    </row>
    <row r="777">
      <c r="A777" s="50"/>
      <c r="N777" s="177"/>
      <c r="O777" s="50"/>
      <c r="Q777" s="50"/>
    </row>
    <row r="778">
      <c r="A778" s="50"/>
      <c r="N778" s="177"/>
      <c r="O778" s="50"/>
      <c r="Q778" s="50"/>
    </row>
    <row r="779">
      <c r="A779" s="50"/>
      <c r="N779" s="177"/>
      <c r="O779" s="50"/>
      <c r="Q779" s="50"/>
    </row>
    <row r="780">
      <c r="A780" s="50"/>
      <c r="N780" s="177"/>
      <c r="O780" s="50"/>
      <c r="Q780" s="50"/>
    </row>
    <row r="781">
      <c r="A781" s="50"/>
      <c r="N781" s="177"/>
      <c r="O781" s="50"/>
      <c r="Q781" s="50"/>
    </row>
    <row r="782">
      <c r="A782" s="50"/>
      <c r="N782" s="177"/>
      <c r="O782" s="50"/>
      <c r="Q782" s="50"/>
    </row>
    <row r="783">
      <c r="A783" s="50"/>
      <c r="N783" s="177"/>
      <c r="O783" s="50"/>
      <c r="Q783" s="50"/>
    </row>
    <row r="784">
      <c r="A784" s="50"/>
      <c r="N784" s="177"/>
      <c r="O784" s="50"/>
      <c r="Q784" s="50"/>
    </row>
    <row r="785">
      <c r="A785" s="50"/>
      <c r="N785" s="177"/>
      <c r="O785" s="50"/>
      <c r="Q785" s="50"/>
    </row>
    <row r="786">
      <c r="A786" s="50"/>
      <c r="N786" s="177"/>
      <c r="O786" s="50"/>
      <c r="Q786" s="50"/>
    </row>
    <row r="787">
      <c r="A787" s="50"/>
      <c r="N787" s="177"/>
      <c r="O787" s="50"/>
      <c r="Q787" s="50"/>
    </row>
    <row r="788">
      <c r="A788" s="50"/>
      <c r="N788" s="177"/>
      <c r="O788" s="50"/>
      <c r="Q788" s="50"/>
    </row>
    <row r="789">
      <c r="A789" s="50"/>
      <c r="N789" s="177"/>
      <c r="O789" s="50"/>
      <c r="Q789" s="50"/>
    </row>
    <row r="790">
      <c r="A790" s="50"/>
      <c r="N790" s="177"/>
      <c r="O790" s="50"/>
      <c r="Q790" s="50"/>
    </row>
    <row r="791">
      <c r="A791" s="50"/>
      <c r="N791" s="177"/>
      <c r="O791" s="50"/>
      <c r="Q791" s="50"/>
    </row>
    <row r="792">
      <c r="A792" s="50"/>
      <c r="N792" s="177"/>
      <c r="O792" s="50"/>
      <c r="Q792" s="50"/>
    </row>
    <row r="793">
      <c r="A793" s="50"/>
      <c r="N793" s="177"/>
      <c r="O793" s="50"/>
      <c r="Q793" s="50"/>
    </row>
    <row r="794">
      <c r="A794" s="50"/>
      <c r="N794" s="177"/>
      <c r="O794" s="50"/>
      <c r="Q794" s="50"/>
    </row>
    <row r="795">
      <c r="A795" s="50"/>
      <c r="N795" s="177"/>
      <c r="O795" s="50"/>
      <c r="Q795" s="50"/>
    </row>
    <row r="796">
      <c r="A796" s="50"/>
      <c r="N796" s="177"/>
      <c r="O796" s="50"/>
      <c r="Q796" s="50"/>
    </row>
    <row r="797">
      <c r="A797" s="50"/>
      <c r="N797" s="177"/>
      <c r="O797" s="50"/>
      <c r="Q797" s="50"/>
    </row>
    <row r="798">
      <c r="A798" s="50"/>
      <c r="N798" s="177"/>
      <c r="O798" s="50"/>
      <c r="Q798" s="50"/>
    </row>
    <row r="799">
      <c r="A799" s="50"/>
      <c r="N799" s="177"/>
      <c r="O799" s="50"/>
      <c r="Q799" s="50"/>
    </row>
    <row r="800">
      <c r="A800" s="50"/>
      <c r="N800" s="177"/>
      <c r="O800" s="50"/>
      <c r="Q800" s="50"/>
    </row>
    <row r="801">
      <c r="A801" s="50"/>
      <c r="N801" s="177"/>
      <c r="O801" s="50"/>
      <c r="Q801" s="50"/>
    </row>
    <row r="802">
      <c r="A802" s="50"/>
      <c r="N802" s="177"/>
      <c r="O802" s="50"/>
      <c r="Q802" s="50"/>
    </row>
    <row r="803">
      <c r="A803" s="50"/>
      <c r="N803" s="177"/>
      <c r="O803" s="50"/>
      <c r="Q803" s="50"/>
    </row>
    <row r="804">
      <c r="A804" s="50"/>
      <c r="N804" s="177"/>
      <c r="O804" s="50"/>
      <c r="Q804" s="50"/>
    </row>
    <row r="805">
      <c r="A805" s="50"/>
      <c r="N805" s="177"/>
      <c r="O805" s="50"/>
      <c r="Q805" s="50"/>
    </row>
    <row r="806">
      <c r="A806" s="50"/>
      <c r="N806" s="177"/>
      <c r="O806" s="50"/>
      <c r="Q806" s="50"/>
    </row>
    <row r="807">
      <c r="A807" s="50"/>
      <c r="N807" s="177"/>
      <c r="O807" s="50"/>
      <c r="Q807" s="50"/>
    </row>
    <row r="808">
      <c r="A808" s="50"/>
      <c r="N808" s="177"/>
      <c r="O808" s="50"/>
      <c r="Q808" s="50"/>
    </row>
    <row r="809">
      <c r="A809" s="50"/>
      <c r="N809" s="177"/>
      <c r="O809" s="50"/>
      <c r="Q809" s="50"/>
    </row>
    <row r="810">
      <c r="A810" s="50"/>
      <c r="N810" s="177"/>
      <c r="O810" s="50"/>
      <c r="Q810" s="50"/>
    </row>
    <row r="811">
      <c r="A811" s="50"/>
      <c r="N811" s="177"/>
      <c r="O811" s="50"/>
      <c r="Q811" s="50"/>
    </row>
    <row r="812">
      <c r="A812" s="50"/>
      <c r="N812" s="177"/>
      <c r="O812" s="50"/>
      <c r="Q812" s="50"/>
    </row>
    <row r="813">
      <c r="A813" s="50"/>
      <c r="N813" s="177"/>
      <c r="O813" s="50"/>
      <c r="Q813" s="50"/>
    </row>
    <row r="814">
      <c r="A814" s="50"/>
      <c r="N814" s="177"/>
      <c r="O814" s="50"/>
      <c r="Q814" s="50"/>
    </row>
    <row r="815">
      <c r="A815" s="50"/>
      <c r="N815" s="177"/>
      <c r="O815" s="50"/>
      <c r="Q815" s="50"/>
    </row>
    <row r="816">
      <c r="A816" s="50"/>
      <c r="N816" s="177"/>
      <c r="O816" s="50"/>
      <c r="Q816" s="50"/>
    </row>
    <row r="817">
      <c r="A817" s="50"/>
      <c r="N817" s="177"/>
      <c r="O817" s="50"/>
      <c r="Q817" s="50"/>
    </row>
    <row r="818">
      <c r="A818" s="50"/>
      <c r="N818" s="177"/>
      <c r="O818" s="50"/>
      <c r="Q818" s="50"/>
    </row>
    <row r="819">
      <c r="A819" s="50"/>
      <c r="N819" s="177"/>
      <c r="O819" s="50"/>
      <c r="Q819" s="50"/>
    </row>
    <row r="820">
      <c r="A820" s="50"/>
      <c r="N820" s="177"/>
      <c r="O820" s="50"/>
      <c r="Q820" s="50"/>
    </row>
    <row r="821">
      <c r="A821" s="50"/>
      <c r="N821" s="177"/>
      <c r="O821" s="50"/>
      <c r="Q821" s="50"/>
    </row>
    <row r="822">
      <c r="A822" s="50"/>
      <c r="N822" s="177"/>
      <c r="O822" s="50"/>
      <c r="Q822" s="50"/>
    </row>
    <row r="823">
      <c r="A823" s="50"/>
      <c r="N823" s="177"/>
      <c r="O823" s="50"/>
      <c r="Q823" s="50"/>
    </row>
    <row r="824">
      <c r="A824" s="50"/>
      <c r="N824" s="177"/>
      <c r="O824" s="50"/>
      <c r="Q824" s="50"/>
    </row>
    <row r="825">
      <c r="A825" s="50"/>
      <c r="N825" s="177"/>
      <c r="O825" s="50"/>
      <c r="Q825" s="50"/>
    </row>
    <row r="826">
      <c r="A826" s="50"/>
      <c r="N826" s="177"/>
      <c r="O826" s="50"/>
      <c r="Q826" s="50"/>
    </row>
    <row r="827">
      <c r="A827" s="50"/>
      <c r="N827" s="177"/>
      <c r="O827" s="50"/>
      <c r="Q827" s="50"/>
    </row>
    <row r="828">
      <c r="A828" s="50"/>
      <c r="N828" s="177"/>
      <c r="O828" s="50"/>
      <c r="Q828" s="50"/>
    </row>
    <row r="829">
      <c r="A829" s="50"/>
      <c r="N829" s="177"/>
      <c r="O829" s="50"/>
      <c r="Q829" s="50"/>
    </row>
    <row r="830">
      <c r="A830" s="50"/>
      <c r="N830" s="177"/>
      <c r="O830" s="50"/>
      <c r="Q830" s="50"/>
    </row>
    <row r="831">
      <c r="A831" s="50"/>
      <c r="N831" s="177"/>
      <c r="O831" s="50"/>
      <c r="Q831" s="50"/>
    </row>
    <row r="832">
      <c r="A832" s="50"/>
      <c r="N832" s="177"/>
      <c r="O832" s="50"/>
      <c r="Q832" s="50"/>
    </row>
    <row r="833">
      <c r="A833" s="50"/>
      <c r="N833" s="177"/>
      <c r="O833" s="50"/>
      <c r="Q833" s="50"/>
    </row>
    <row r="834">
      <c r="A834" s="50"/>
      <c r="N834" s="177"/>
      <c r="O834" s="50"/>
      <c r="Q834" s="50"/>
    </row>
    <row r="835">
      <c r="A835" s="50"/>
      <c r="N835" s="177"/>
      <c r="O835" s="50"/>
      <c r="Q835" s="50"/>
    </row>
    <row r="836">
      <c r="A836" s="50"/>
      <c r="N836" s="177"/>
      <c r="O836" s="50"/>
      <c r="Q836" s="50"/>
    </row>
    <row r="837">
      <c r="A837" s="50"/>
      <c r="N837" s="177"/>
      <c r="O837" s="50"/>
      <c r="Q837" s="50"/>
    </row>
    <row r="838">
      <c r="A838" s="50"/>
      <c r="N838" s="177"/>
      <c r="O838" s="50"/>
      <c r="Q838" s="50"/>
    </row>
    <row r="839">
      <c r="A839" s="50"/>
      <c r="N839" s="177"/>
      <c r="O839" s="50"/>
      <c r="Q839" s="50"/>
    </row>
    <row r="840">
      <c r="A840" s="50"/>
      <c r="N840" s="177"/>
      <c r="O840" s="50"/>
      <c r="Q840" s="50"/>
    </row>
    <row r="841">
      <c r="A841" s="50"/>
      <c r="N841" s="177"/>
      <c r="O841" s="50"/>
      <c r="Q841" s="50"/>
    </row>
    <row r="842">
      <c r="A842" s="50"/>
      <c r="N842" s="177"/>
      <c r="O842" s="50"/>
      <c r="Q842" s="50"/>
    </row>
    <row r="843">
      <c r="A843" s="50"/>
      <c r="N843" s="177"/>
      <c r="O843" s="50"/>
      <c r="Q843" s="50"/>
    </row>
    <row r="844">
      <c r="A844" s="50"/>
      <c r="N844" s="177"/>
      <c r="O844" s="50"/>
      <c r="Q844" s="50"/>
    </row>
    <row r="845">
      <c r="A845" s="50"/>
      <c r="N845" s="177"/>
      <c r="O845" s="50"/>
      <c r="Q845" s="50"/>
    </row>
    <row r="846">
      <c r="A846" s="50"/>
      <c r="N846" s="177"/>
      <c r="O846" s="50"/>
      <c r="Q846" s="50"/>
    </row>
    <row r="847">
      <c r="A847" s="50"/>
      <c r="N847" s="177"/>
      <c r="O847" s="50"/>
      <c r="Q847" s="50"/>
    </row>
    <row r="848">
      <c r="A848" s="50"/>
      <c r="N848" s="177"/>
      <c r="O848" s="50"/>
      <c r="Q848" s="50"/>
    </row>
    <row r="849">
      <c r="A849" s="50"/>
      <c r="N849" s="177"/>
      <c r="O849" s="50"/>
      <c r="Q849" s="50"/>
    </row>
    <row r="850">
      <c r="A850" s="50"/>
      <c r="N850" s="177"/>
      <c r="O850" s="50"/>
      <c r="Q850" s="50"/>
    </row>
    <row r="851">
      <c r="A851" s="50"/>
      <c r="N851" s="177"/>
      <c r="O851" s="50"/>
      <c r="Q851" s="50"/>
    </row>
    <row r="852">
      <c r="A852" s="50"/>
      <c r="N852" s="177"/>
      <c r="O852" s="50"/>
      <c r="Q852" s="50"/>
    </row>
    <row r="853">
      <c r="A853" s="50"/>
      <c r="N853" s="177"/>
      <c r="O853" s="50"/>
      <c r="Q853" s="50"/>
    </row>
    <row r="854">
      <c r="A854" s="50"/>
      <c r="N854" s="177"/>
      <c r="O854" s="50"/>
      <c r="Q854" s="50"/>
    </row>
    <row r="855">
      <c r="A855" s="50"/>
      <c r="N855" s="177"/>
      <c r="O855" s="50"/>
      <c r="Q855" s="50"/>
    </row>
    <row r="856">
      <c r="A856" s="50"/>
      <c r="N856" s="177"/>
      <c r="O856" s="50"/>
      <c r="Q856" s="50"/>
    </row>
    <row r="857">
      <c r="A857" s="50"/>
      <c r="N857" s="177"/>
      <c r="O857" s="50"/>
      <c r="Q857" s="50"/>
    </row>
    <row r="858">
      <c r="A858" s="50"/>
      <c r="N858" s="177"/>
      <c r="O858" s="50"/>
      <c r="Q858" s="50"/>
    </row>
    <row r="859">
      <c r="A859" s="50"/>
      <c r="N859" s="177"/>
      <c r="O859" s="50"/>
      <c r="Q859" s="50"/>
    </row>
    <row r="860">
      <c r="A860" s="50"/>
      <c r="N860" s="177"/>
      <c r="O860" s="50"/>
      <c r="Q860" s="50"/>
    </row>
    <row r="861">
      <c r="A861" s="50"/>
      <c r="N861" s="177"/>
      <c r="O861" s="50"/>
      <c r="Q861" s="50"/>
    </row>
    <row r="862">
      <c r="A862" s="50"/>
      <c r="N862" s="177"/>
      <c r="O862" s="50"/>
      <c r="Q862" s="50"/>
    </row>
    <row r="863">
      <c r="A863" s="50"/>
      <c r="N863" s="177"/>
      <c r="O863" s="50"/>
      <c r="Q863" s="50"/>
    </row>
    <row r="864">
      <c r="A864" s="50"/>
      <c r="N864" s="177"/>
      <c r="O864" s="50"/>
      <c r="Q864" s="50"/>
    </row>
    <row r="865">
      <c r="A865" s="50"/>
      <c r="N865" s="177"/>
      <c r="O865" s="50"/>
      <c r="Q865" s="50"/>
    </row>
    <row r="866">
      <c r="A866" s="50"/>
      <c r="N866" s="177"/>
      <c r="O866" s="50"/>
      <c r="Q866" s="50"/>
    </row>
    <row r="867">
      <c r="A867" s="50"/>
      <c r="N867" s="177"/>
      <c r="O867" s="50"/>
      <c r="Q867" s="50"/>
    </row>
    <row r="868">
      <c r="A868" s="50"/>
      <c r="N868" s="177"/>
      <c r="O868" s="50"/>
      <c r="Q868" s="50"/>
    </row>
    <row r="869">
      <c r="A869" s="50"/>
      <c r="N869" s="177"/>
      <c r="O869" s="50"/>
      <c r="Q869" s="50"/>
    </row>
    <row r="870">
      <c r="A870" s="50"/>
      <c r="N870" s="177"/>
      <c r="O870" s="50"/>
      <c r="Q870" s="50"/>
    </row>
    <row r="871">
      <c r="A871" s="50"/>
      <c r="N871" s="177"/>
      <c r="O871" s="50"/>
      <c r="Q871" s="50"/>
    </row>
    <row r="872">
      <c r="A872" s="50"/>
      <c r="N872" s="177"/>
      <c r="O872" s="50"/>
      <c r="Q872" s="50"/>
    </row>
    <row r="873">
      <c r="A873" s="50"/>
      <c r="N873" s="177"/>
      <c r="O873" s="50"/>
      <c r="Q873" s="50"/>
    </row>
    <row r="874">
      <c r="A874" s="50"/>
      <c r="N874" s="177"/>
      <c r="O874" s="50"/>
      <c r="Q874" s="50"/>
    </row>
    <row r="875">
      <c r="A875" s="50"/>
      <c r="N875" s="177"/>
      <c r="O875" s="50"/>
      <c r="Q875" s="50"/>
    </row>
    <row r="876">
      <c r="A876" s="50"/>
      <c r="N876" s="177"/>
      <c r="O876" s="50"/>
      <c r="Q876" s="50"/>
    </row>
    <row r="877">
      <c r="A877" s="50"/>
      <c r="N877" s="177"/>
      <c r="O877" s="50"/>
      <c r="Q877" s="50"/>
    </row>
    <row r="878">
      <c r="A878" s="50"/>
      <c r="N878" s="177"/>
      <c r="O878" s="50"/>
      <c r="Q878" s="50"/>
    </row>
    <row r="879">
      <c r="A879" s="50"/>
      <c r="N879" s="177"/>
      <c r="O879" s="50"/>
      <c r="Q879" s="50"/>
    </row>
    <row r="880">
      <c r="A880" s="50"/>
      <c r="N880" s="177"/>
      <c r="O880" s="50"/>
      <c r="Q880" s="50"/>
    </row>
    <row r="881">
      <c r="A881" s="50"/>
      <c r="N881" s="177"/>
      <c r="O881" s="50"/>
      <c r="Q881" s="50"/>
    </row>
    <row r="882">
      <c r="A882" s="50"/>
      <c r="N882" s="177"/>
      <c r="O882" s="50"/>
      <c r="Q882" s="50"/>
    </row>
    <row r="883">
      <c r="A883" s="50"/>
      <c r="N883" s="177"/>
      <c r="O883" s="50"/>
      <c r="Q883" s="50"/>
    </row>
    <row r="884">
      <c r="A884" s="50"/>
      <c r="N884" s="177"/>
      <c r="O884" s="50"/>
      <c r="Q884" s="50"/>
    </row>
    <row r="885">
      <c r="A885" s="50"/>
      <c r="N885" s="177"/>
      <c r="O885" s="50"/>
      <c r="Q885" s="50"/>
    </row>
    <row r="886">
      <c r="A886" s="50"/>
      <c r="N886" s="177"/>
      <c r="O886" s="50"/>
      <c r="Q886" s="50"/>
    </row>
    <row r="887">
      <c r="A887" s="50"/>
      <c r="N887" s="177"/>
      <c r="O887" s="50"/>
      <c r="Q887" s="50"/>
    </row>
    <row r="888">
      <c r="A888" s="50"/>
      <c r="N888" s="177"/>
      <c r="O888" s="50"/>
      <c r="Q888" s="50"/>
    </row>
    <row r="889">
      <c r="A889" s="50"/>
      <c r="N889" s="177"/>
      <c r="O889" s="50"/>
      <c r="Q889" s="50"/>
    </row>
    <row r="890">
      <c r="A890" s="50"/>
      <c r="N890" s="177"/>
      <c r="O890" s="50"/>
      <c r="Q890" s="50"/>
    </row>
    <row r="891">
      <c r="A891" s="50"/>
      <c r="N891" s="177"/>
      <c r="O891" s="50"/>
      <c r="Q891" s="50"/>
    </row>
    <row r="892">
      <c r="A892" s="50"/>
      <c r="N892" s="177"/>
      <c r="O892" s="50"/>
      <c r="Q892" s="50"/>
    </row>
    <row r="893">
      <c r="A893" s="50"/>
      <c r="N893" s="177"/>
      <c r="O893" s="50"/>
      <c r="Q893" s="50"/>
    </row>
    <row r="894">
      <c r="A894" s="50"/>
      <c r="N894" s="177"/>
      <c r="O894" s="50"/>
      <c r="Q894" s="50"/>
    </row>
    <row r="895">
      <c r="A895" s="50"/>
      <c r="N895" s="177"/>
      <c r="O895" s="50"/>
      <c r="Q895" s="50"/>
    </row>
    <row r="896">
      <c r="A896" s="50"/>
      <c r="N896" s="177"/>
      <c r="O896" s="50"/>
      <c r="Q896" s="50"/>
    </row>
    <row r="897">
      <c r="A897" s="50"/>
      <c r="N897" s="177"/>
      <c r="O897" s="50"/>
      <c r="Q897" s="50"/>
    </row>
    <row r="898">
      <c r="A898" s="50"/>
      <c r="N898" s="177"/>
      <c r="O898" s="50"/>
      <c r="Q898" s="50"/>
    </row>
    <row r="899">
      <c r="A899" s="50"/>
      <c r="N899" s="177"/>
      <c r="O899" s="50"/>
      <c r="Q899" s="50"/>
    </row>
    <row r="900">
      <c r="A900" s="50"/>
      <c r="N900" s="177"/>
      <c r="O900" s="50"/>
      <c r="Q900" s="50"/>
    </row>
    <row r="901">
      <c r="A901" s="50"/>
      <c r="N901" s="177"/>
      <c r="O901" s="50"/>
      <c r="Q901" s="50"/>
    </row>
    <row r="902">
      <c r="A902" s="50"/>
      <c r="N902" s="177"/>
      <c r="O902" s="50"/>
      <c r="Q902" s="50"/>
    </row>
    <row r="903">
      <c r="A903" s="50"/>
      <c r="N903" s="177"/>
      <c r="O903" s="50"/>
      <c r="Q903" s="50"/>
    </row>
    <row r="904">
      <c r="A904" s="50"/>
      <c r="N904" s="177"/>
      <c r="O904" s="50"/>
      <c r="Q904" s="50"/>
    </row>
    <row r="905">
      <c r="A905" s="50"/>
      <c r="N905" s="177"/>
      <c r="O905" s="50"/>
      <c r="Q905" s="50"/>
    </row>
    <row r="906">
      <c r="A906" s="50"/>
      <c r="N906" s="177"/>
      <c r="O906" s="50"/>
      <c r="Q906" s="50"/>
    </row>
    <row r="907">
      <c r="A907" s="50"/>
      <c r="N907" s="177"/>
      <c r="O907" s="50"/>
      <c r="Q907" s="50"/>
    </row>
    <row r="908">
      <c r="A908" s="50"/>
      <c r="N908" s="177"/>
      <c r="O908" s="50"/>
      <c r="Q908" s="50"/>
    </row>
    <row r="909">
      <c r="A909" s="50"/>
      <c r="N909" s="177"/>
      <c r="O909" s="50"/>
      <c r="Q909" s="50"/>
    </row>
    <row r="910">
      <c r="A910" s="50"/>
      <c r="N910" s="177"/>
      <c r="O910" s="50"/>
      <c r="Q910" s="50"/>
    </row>
    <row r="911">
      <c r="A911" s="50"/>
      <c r="N911" s="177"/>
      <c r="O911" s="50"/>
      <c r="Q911" s="50"/>
    </row>
    <row r="912">
      <c r="A912" s="50"/>
      <c r="N912" s="177"/>
      <c r="O912" s="50"/>
      <c r="Q912" s="50"/>
    </row>
    <row r="913">
      <c r="A913" s="50"/>
      <c r="N913" s="177"/>
      <c r="O913" s="50"/>
      <c r="Q913" s="50"/>
    </row>
    <row r="914">
      <c r="A914" s="50"/>
      <c r="N914" s="177"/>
      <c r="O914" s="50"/>
      <c r="Q914" s="50"/>
    </row>
    <row r="915">
      <c r="A915" s="50"/>
      <c r="N915" s="177"/>
      <c r="O915" s="50"/>
      <c r="Q915" s="50"/>
    </row>
    <row r="916">
      <c r="A916" s="50"/>
      <c r="N916" s="177"/>
      <c r="O916" s="50"/>
      <c r="Q916" s="50"/>
    </row>
    <row r="917">
      <c r="A917" s="50"/>
      <c r="N917" s="177"/>
      <c r="O917" s="50"/>
      <c r="Q917" s="50"/>
    </row>
    <row r="918">
      <c r="A918" s="50"/>
      <c r="N918" s="177"/>
      <c r="O918" s="50"/>
      <c r="Q918" s="50"/>
    </row>
    <row r="919">
      <c r="A919" s="50"/>
      <c r="N919" s="177"/>
      <c r="O919" s="50"/>
      <c r="Q919" s="50"/>
    </row>
    <row r="920">
      <c r="A920" s="50"/>
      <c r="N920" s="177"/>
      <c r="O920" s="50"/>
      <c r="Q920" s="50"/>
    </row>
    <row r="921">
      <c r="A921" s="50"/>
      <c r="N921" s="177"/>
      <c r="O921" s="50"/>
      <c r="Q921" s="50"/>
    </row>
    <row r="922">
      <c r="A922" s="50"/>
      <c r="N922" s="177"/>
      <c r="O922" s="50"/>
      <c r="Q922" s="50"/>
    </row>
    <row r="923">
      <c r="A923" s="50"/>
      <c r="N923" s="177"/>
      <c r="O923" s="50"/>
      <c r="Q923" s="50"/>
    </row>
    <row r="924">
      <c r="A924" s="50"/>
      <c r="N924" s="177"/>
      <c r="O924" s="50"/>
      <c r="Q924" s="50"/>
    </row>
    <row r="925">
      <c r="A925" s="50"/>
      <c r="N925" s="177"/>
      <c r="O925" s="50"/>
      <c r="Q925" s="50"/>
    </row>
    <row r="926">
      <c r="A926" s="50"/>
      <c r="N926" s="177"/>
      <c r="O926" s="50"/>
      <c r="Q926" s="50"/>
    </row>
    <row r="927">
      <c r="A927" s="50"/>
      <c r="N927" s="177"/>
      <c r="O927" s="50"/>
      <c r="Q927" s="50"/>
    </row>
    <row r="928">
      <c r="A928" s="50"/>
      <c r="N928" s="177"/>
      <c r="O928" s="50"/>
      <c r="Q928" s="50"/>
    </row>
    <row r="929">
      <c r="A929" s="50"/>
      <c r="N929" s="177"/>
      <c r="O929" s="50"/>
      <c r="Q929" s="50"/>
    </row>
    <row r="930">
      <c r="A930" s="50"/>
      <c r="N930" s="177"/>
      <c r="O930" s="50"/>
      <c r="Q930" s="50"/>
    </row>
    <row r="931">
      <c r="A931" s="50"/>
      <c r="N931" s="177"/>
      <c r="O931" s="50"/>
      <c r="Q931" s="50"/>
    </row>
    <row r="932">
      <c r="A932" s="50"/>
      <c r="N932" s="177"/>
      <c r="O932" s="50"/>
      <c r="Q932" s="50"/>
    </row>
    <row r="933">
      <c r="A933" s="50"/>
      <c r="N933" s="177"/>
      <c r="O933" s="50"/>
      <c r="Q933" s="50"/>
    </row>
    <row r="934">
      <c r="A934" s="50"/>
      <c r="N934" s="177"/>
      <c r="O934" s="50"/>
      <c r="Q934" s="50"/>
    </row>
    <row r="935">
      <c r="A935" s="50"/>
      <c r="N935" s="177"/>
      <c r="O935" s="50"/>
      <c r="Q935" s="50"/>
    </row>
    <row r="936">
      <c r="A936" s="50"/>
      <c r="N936" s="177"/>
      <c r="O936" s="50"/>
      <c r="Q936" s="50"/>
    </row>
    <row r="937">
      <c r="A937" s="50"/>
      <c r="N937" s="177"/>
      <c r="O937" s="50"/>
      <c r="Q937" s="50"/>
    </row>
    <row r="938">
      <c r="A938" s="50"/>
      <c r="N938" s="177"/>
      <c r="O938" s="50"/>
      <c r="Q938" s="50"/>
    </row>
    <row r="939">
      <c r="A939" s="50"/>
      <c r="N939" s="177"/>
      <c r="O939" s="50"/>
      <c r="Q939" s="50"/>
    </row>
    <row r="940">
      <c r="A940" s="50"/>
      <c r="N940" s="177"/>
      <c r="O940" s="50"/>
      <c r="Q940" s="50"/>
    </row>
    <row r="941">
      <c r="A941" s="50"/>
      <c r="N941" s="177"/>
      <c r="O941" s="50"/>
      <c r="Q941" s="50"/>
    </row>
    <row r="942">
      <c r="A942" s="50"/>
      <c r="N942" s="177"/>
      <c r="O942" s="50"/>
      <c r="Q942" s="50"/>
    </row>
    <row r="943">
      <c r="A943" s="50"/>
      <c r="N943" s="177"/>
      <c r="O943" s="50"/>
      <c r="Q943" s="50"/>
    </row>
    <row r="944">
      <c r="A944" s="50"/>
      <c r="N944" s="177"/>
      <c r="O944" s="50"/>
      <c r="Q944" s="50"/>
    </row>
    <row r="945">
      <c r="A945" s="50"/>
      <c r="N945" s="177"/>
      <c r="O945" s="50"/>
      <c r="Q945" s="50"/>
    </row>
    <row r="946">
      <c r="A946" s="50"/>
      <c r="N946" s="177"/>
      <c r="O946" s="50"/>
      <c r="Q946" s="50"/>
    </row>
    <row r="947">
      <c r="A947" s="50"/>
      <c r="N947" s="177"/>
      <c r="O947" s="50"/>
      <c r="Q947" s="50"/>
    </row>
    <row r="948">
      <c r="A948" s="50"/>
      <c r="N948" s="177"/>
      <c r="O948" s="50"/>
      <c r="Q948" s="50"/>
    </row>
    <row r="949">
      <c r="A949" s="50"/>
      <c r="N949" s="177"/>
      <c r="O949" s="50"/>
      <c r="Q949" s="50"/>
    </row>
    <row r="950">
      <c r="A950" s="50"/>
      <c r="N950" s="177"/>
      <c r="O950" s="50"/>
      <c r="Q950" s="50"/>
    </row>
    <row r="951">
      <c r="A951" s="50"/>
      <c r="N951" s="177"/>
      <c r="O951" s="50"/>
      <c r="Q951" s="50"/>
    </row>
    <row r="952">
      <c r="A952" s="50"/>
      <c r="N952" s="177"/>
      <c r="O952" s="50"/>
      <c r="Q952" s="50"/>
    </row>
    <row r="953">
      <c r="A953" s="50"/>
      <c r="N953" s="177"/>
      <c r="O953" s="50"/>
      <c r="Q953" s="50"/>
    </row>
    <row r="954">
      <c r="A954" s="50"/>
      <c r="N954" s="177"/>
      <c r="O954" s="50"/>
      <c r="Q954" s="50"/>
    </row>
    <row r="955">
      <c r="A955" s="50"/>
      <c r="N955" s="177"/>
      <c r="O955" s="50"/>
      <c r="Q955" s="50"/>
    </row>
    <row r="956">
      <c r="A956" s="50"/>
      <c r="N956" s="177"/>
      <c r="O956" s="50"/>
      <c r="Q956" s="50"/>
    </row>
    <row r="957">
      <c r="A957" s="50"/>
      <c r="N957" s="177"/>
      <c r="O957" s="50"/>
      <c r="Q957" s="50"/>
    </row>
    <row r="958">
      <c r="A958" s="50"/>
      <c r="N958" s="177"/>
      <c r="O958" s="50"/>
      <c r="Q958" s="50"/>
    </row>
    <row r="959">
      <c r="A959" s="50"/>
      <c r="N959" s="177"/>
      <c r="O959" s="50"/>
      <c r="Q959" s="50"/>
    </row>
    <row r="960">
      <c r="A960" s="50"/>
      <c r="N960" s="177"/>
      <c r="O960" s="50"/>
      <c r="Q960" s="50"/>
    </row>
    <row r="961">
      <c r="A961" s="50"/>
      <c r="N961" s="177"/>
      <c r="O961" s="50"/>
      <c r="Q961" s="50"/>
    </row>
    <row r="962">
      <c r="A962" s="50"/>
      <c r="N962" s="177"/>
      <c r="O962" s="50"/>
      <c r="Q962" s="50"/>
    </row>
    <row r="963">
      <c r="A963" s="50"/>
      <c r="N963" s="177"/>
      <c r="O963" s="50"/>
      <c r="Q963" s="50"/>
    </row>
    <row r="964">
      <c r="A964" s="50"/>
      <c r="N964" s="177"/>
      <c r="O964" s="50"/>
      <c r="Q964" s="50"/>
    </row>
    <row r="965">
      <c r="A965" s="50"/>
      <c r="N965" s="177"/>
      <c r="O965" s="50"/>
      <c r="Q965" s="50"/>
    </row>
    <row r="966">
      <c r="A966" s="50"/>
      <c r="N966" s="177"/>
      <c r="O966" s="50"/>
      <c r="Q966" s="50"/>
    </row>
    <row r="967">
      <c r="A967" s="50"/>
      <c r="N967" s="177"/>
      <c r="O967" s="50"/>
      <c r="Q967" s="50"/>
    </row>
    <row r="968">
      <c r="A968" s="50"/>
      <c r="N968" s="177"/>
      <c r="O968" s="50"/>
      <c r="Q968" s="50"/>
    </row>
    <row r="969">
      <c r="A969" s="50"/>
      <c r="N969" s="177"/>
      <c r="O969" s="50"/>
      <c r="Q969" s="50"/>
    </row>
    <row r="970">
      <c r="A970" s="50"/>
      <c r="N970" s="177"/>
      <c r="O970" s="50"/>
      <c r="Q970" s="50"/>
    </row>
    <row r="971">
      <c r="A971" s="50"/>
      <c r="N971" s="177"/>
      <c r="O971" s="50"/>
      <c r="Q971" s="50"/>
    </row>
    <row r="972">
      <c r="A972" s="50"/>
      <c r="N972" s="177"/>
      <c r="O972" s="50"/>
      <c r="Q972" s="50"/>
    </row>
    <row r="973">
      <c r="A973" s="50"/>
      <c r="N973" s="177"/>
      <c r="O973" s="50"/>
      <c r="Q973" s="50"/>
    </row>
    <row r="974">
      <c r="A974" s="50"/>
      <c r="N974" s="177"/>
      <c r="O974" s="50"/>
      <c r="Q974" s="50"/>
    </row>
    <row r="975">
      <c r="A975" s="50"/>
      <c r="N975" s="177"/>
      <c r="O975" s="50"/>
      <c r="Q975" s="50"/>
    </row>
    <row r="976">
      <c r="A976" s="50"/>
      <c r="N976" s="177"/>
      <c r="O976" s="50"/>
      <c r="Q976" s="50"/>
    </row>
    <row r="977">
      <c r="A977" s="50"/>
      <c r="N977" s="177"/>
      <c r="O977" s="50"/>
      <c r="Q977" s="50"/>
    </row>
    <row r="978">
      <c r="A978" s="50"/>
      <c r="N978" s="177"/>
      <c r="O978" s="50"/>
      <c r="Q978" s="50"/>
    </row>
    <row r="979">
      <c r="A979" s="50"/>
      <c r="N979" s="177"/>
      <c r="O979" s="50"/>
      <c r="Q979" s="50"/>
    </row>
    <row r="980">
      <c r="A980" s="50"/>
      <c r="N980" s="177"/>
      <c r="O980" s="50"/>
      <c r="Q980" s="50"/>
    </row>
    <row r="981">
      <c r="A981" s="50"/>
      <c r="N981" s="177"/>
      <c r="O981" s="50"/>
      <c r="Q981" s="50"/>
    </row>
    <row r="982">
      <c r="A982" s="50"/>
      <c r="N982" s="177"/>
      <c r="O982" s="50"/>
      <c r="Q982" s="50"/>
    </row>
    <row r="983">
      <c r="A983" s="50"/>
      <c r="N983" s="177"/>
      <c r="O983" s="50"/>
      <c r="Q983" s="50"/>
    </row>
    <row r="984">
      <c r="A984" s="50"/>
      <c r="N984" s="177"/>
      <c r="O984" s="50"/>
      <c r="Q984" s="50"/>
    </row>
    <row r="985">
      <c r="A985" s="50"/>
      <c r="N985" s="177"/>
      <c r="O985" s="50"/>
      <c r="Q985" s="50"/>
    </row>
    <row r="986">
      <c r="A986" s="50"/>
      <c r="N986" s="177"/>
      <c r="O986" s="50"/>
      <c r="Q986" s="50"/>
    </row>
    <row r="987">
      <c r="A987" s="50"/>
      <c r="N987" s="177"/>
      <c r="O987" s="50"/>
      <c r="Q987" s="50"/>
    </row>
    <row r="988">
      <c r="A988" s="50"/>
      <c r="N988" s="177"/>
      <c r="O988" s="50"/>
      <c r="Q988" s="50"/>
    </row>
    <row r="989">
      <c r="A989" s="50"/>
      <c r="N989" s="177"/>
      <c r="O989" s="50"/>
      <c r="Q989" s="50"/>
    </row>
    <row r="990">
      <c r="A990" s="50"/>
      <c r="N990" s="177"/>
      <c r="O990" s="50"/>
      <c r="Q990" s="50"/>
    </row>
    <row r="991">
      <c r="A991" s="50"/>
      <c r="N991" s="177"/>
      <c r="O991" s="50"/>
      <c r="Q991" s="50"/>
    </row>
    <row r="992">
      <c r="A992" s="50"/>
      <c r="N992" s="177"/>
      <c r="O992" s="50"/>
      <c r="Q992" s="50"/>
    </row>
    <row r="993">
      <c r="A993" s="50"/>
      <c r="N993" s="177"/>
      <c r="O993" s="50"/>
      <c r="Q993" s="50"/>
    </row>
    <row r="994">
      <c r="A994" s="50"/>
      <c r="N994" s="177"/>
      <c r="O994" s="50"/>
      <c r="Q994" s="50"/>
    </row>
    <row r="995">
      <c r="A995" s="50"/>
      <c r="N995" s="177"/>
      <c r="O995" s="50"/>
      <c r="Q995" s="50"/>
    </row>
    <row r="996">
      <c r="A996" s="50"/>
      <c r="N996" s="177"/>
      <c r="O996" s="50"/>
      <c r="Q996" s="50"/>
    </row>
    <row r="997">
      <c r="A997" s="50"/>
      <c r="N997" s="177"/>
      <c r="O997" s="50"/>
      <c r="Q997" s="50"/>
    </row>
    <row r="998">
      <c r="A998" s="50"/>
      <c r="N998" s="177"/>
      <c r="O998" s="50"/>
      <c r="Q998" s="50"/>
    </row>
    <row r="999">
      <c r="A999" s="50"/>
      <c r="N999" s="177"/>
      <c r="O999" s="50"/>
      <c r="Q999" s="50"/>
    </row>
    <row r="1000">
      <c r="A1000" s="50"/>
      <c r="N1000" s="177"/>
      <c r="O1000" s="50"/>
      <c r="Q1000" s="50"/>
    </row>
  </sheetData>
  <autoFilter ref="$A$1:$U$120"/>
  <conditionalFormatting sqref="G2:I157">
    <cfRule type="cellIs" dxfId="3" priority="1" operator="greaterThanOrEqual">
      <formula>75</formula>
    </cfRule>
  </conditionalFormatting>
  <conditionalFormatting sqref="J2:J157">
    <cfRule type="cellIs" dxfId="0" priority="2" operator="greaterThanOrEqual">
      <formula>3</formula>
    </cfRule>
  </conditionalFormatting>
  <conditionalFormatting sqref="K1:K1000">
    <cfRule type="cellIs" dxfId="0" priority="3" operator="equal">
      <formula>"Belum Siap"</formula>
    </cfRule>
  </conditionalFormatting>
  <conditionalFormatting sqref="L1:L1000">
    <cfRule type="cellIs" dxfId="0" priority="4" operator="equal">
      <formula>"Belum Siap"</formula>
    </cfRule>
  </conditionalFormatting>
  <conditionalFormatting sqref="M1:M1000">
    <cfRule type="cellIs" dxfId="1" priority="5" operator="equal">
      <formula>"Diterima dengan catatan"</formula>
    </cfRule>
  </conditionalFormatting>
  <conditionalFormatting sqref="M1:M1000">
    <cfRule type="cellIs" dxfId="9" priority="6" operator="equal">
      <formula>"Ditolak"</formula>
    </cfRule>
  </conditionalFormatting>
  <conditionalFormatting sqref="M1:M1000">
    <cfRule type="cellIs" dxfId="10" priority="7" operator="equal">
      <formula>"Diterima"</formula>
    </cfRule>
  </conditionalFormatting>
  <conditionalFormatting sqref="K1:K1000">
    <cfRule type="cellIs" dxfId="1" priority="8" operator="equal">
      <formula>"Cukup Siap"</formula>
    </cfRule>
  </conditionalFormatting>
  <conditionalFormatting sqref="K1:K1000">
    <cfRule type="cellIs" dxfId="10" priority="9" operator="equal">
      <formula>"Siap"</formula>
    </cfRule>
  </conditionalFormatting>
  <conditionalFormatting sqref="L1:L1000">
    <cfRule type="cellIs" dxfId="1" priority="10" operator="equal">
      <formula>"Cukup Siap"</formula>
    </cfRule>
  </conditionalFormatting>
  <conditionalFormatting sqref="L1:L1000">
    <cfRule type="cellIs" dxfId="10" priority="11" operator="equal">
      <formula>"Siap"</formula>
    </cfRule>
  </conditionalFormatting>
  <conditionalFormatting sqref="J1:J1000">
    <cfRule type="cellIs" dxfId="1" priority="12" operator="equal">
      <formula>2</formula>
    </cfRule>
  </conditionalFormatting>
  <conditionalFormatting sqref="J1:J1000">
    <cfRule type="cellIs" dxfId="3" priority="13" operator="lessThanOrEqual">
      <formula>1</formula>
    </cfRule>
  </conditionalFormatting>
  <conditionalFormatting sqref="F1:F1000">
    <cfRule type="cellIs" dxfId="1" priority="14" operator="equal">
      <formula>"B. Cadangan"</formula>
    </cfRule>
  </conditionalFormatting>
  <conditionalFormatting sqref="F1:F1000">
    <cfRule type="cellIs" dxfId="0" priority="15" operator="equal">
      <formula>"C. Ditolak"</formula>
    </cfRule>
  </conditionalFormatting>
  <conditionalFormatting sqref="G1:I1000">
    <cfRule type="cellIs" dxfId="1" priority="16" operator="between">
      <formula>74</formula>
      <formula>65</formula>
    </cfRule>
  </conditionalFormatting>
  <conditionalFormatting sqref="G1:I1000">
    <cfRule type="cellIs" dxfId="0" priority="17" operator="lessThan">
      <formula>65</formula>
    </cfRule>
  </conditionalFormatting>
  <conditionalFormatting sqref="F1:F1000">
    <cfRule type="cellIs" dxfId="3" priority="18" operator="equal">
      <formula>"A. Diterima"</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21.38"/>
  </cols>
  <sheetData>
    <row r="1">
      <c r="A1" s="165" t="s">
        <v>90</v>
      </c>
      <c r="B1" s="165" t="s">
        <v>0</v>
      </c>
      <c r="C1" s="165" t="s">
        <v>2</v>
      </c>
      <c r="D1" s="192"/>
      <c r="E1" s="192"/>
      <c r="F1" s="192"/>
      <c r="G1" s="192"/>
      <c r="H1" s="192"/>
      <c r="I1" s="192"/>
      <c r="J1" s="192"/>
      <c r="K1" s="192"/>
      <c r="L1" s="192"/>
      <c r="M1" s="192"/>
      <c r="N1" s="192"/>
      <c r="O1" s="192"/>
      <c r="P1" s="192"/>
      <c r="Q1" s="192"/>
      <c r="R1" s="192"/>
      <c r="S1" s="192"/>
      <c r="T1" s="192"/>
      <c r="U1" s="192"/>
      <c r="V1" s="192"/>
      <c r="W1" s="192"/>
      <c r="X1" s="192"/>
      <c r="Y1" s="192"/>
      <c r="Z1" s="192"/>
    </row>
    <row r="2">
      <c r="A2" s="5" t="str">
        <f>IFERROR(__xludf.DUMMYFUNCTION("QUERY(R.H!A:O,""select A,B where O='TIDAK LULUS'"", 0)"),"B250025")</f>
        <v>B250025</v>
      </c>
      <c r="B2" s="5" t="str">
        <f>IFERROR(__xludf.DUMMYFUNCTION("""COMPUTED_VALUE"""),"Syabban ghozy al'fathan ")</f>
        <v>Syabban ghozy al'fathan </v>
      </c>
      <c r="C2" s="5" t="str">
        <f t="array" ref="C2:C1000">IF(A2:A1000="","",SWITCH(LEFT(A2:A1000,1),"A","MTs Putra","B","IL Putra","C","SMA","D","MTs Putri","E","IL Putri",""))
</f>
        <v>IL Putra</v>
      </c>
    </row>
    <row r="3">
      <c r="A3" s="5" t="str">
        <f>IFERROR(__xludf.DUMMYFUNCTION("""COMPUTED_VALUE"""),"A250060")</f>
        <v>A250060</v>
      </c>
      <c r="B3" s="5" t="str">
        <f>IFERROR(__xludf.DUMMYFUNCTION("""COMPUTED_VALUE"""),"Aviccena syahdan haqqani ")</f>
        <v>Aviccena syahdan haqqani </v>
      </c>
      <c r="C3" s="5" t="s">
        <v>91</v>
      </c>
    </row>
    <row r="4">
      <c r="A4" s="5" t="str">
        <f>IFERROR(__xludf.DUMMYFUNCTION("""COMPUTED_VALUE"""),"A250013")</f>
        <v>A250013</v>
      </c>
      <c r="B4" s="5" t="str">
        <f>IFERROR(__xludf.DUMMYFUNCTION("""COMPUTED_VALUE"""),"Adya Wiguna")</f>
        <v>Adya Wiguna</v>
      </c>
      <c r="C4" s="5" t="s">
        <v>91</v>
      </c>
    </row>
    <row r="5">
      <c r="A5" s="5" t="str">
        <f>IFERROR(__xludf.DUMMYFUNCTION("""COMPUTED_VALUE"""),"A250007")</f>
        <v>A250007</v>
      </c>
      <c r="B5" s="5" t="str">
        <f>IFERROR(__xludf.DUMMYFUNCTION("""COMPUTED_VALUE"""),"Lazuardi Akbar Narendra ")</f>
        <v>Lazuardi Akbar Narendra </v>
      </c>
      <c r="C5" s="5" t="s">
        <v>91</v>
      </c>
    </row>
    <row r="6">
      <c r="A6" s="5" t="str">
        <f>IFERROR(__xludf.DUMMYFUNCTION("""COMPUTED_VALUE"""),"A250043")</f>
        <v>A250043</v>
      </c>
      <c r="B6" s="5" t="str">
        <f>IFERROR(__xludf.DUMMYFUNCTION("""COMPUTED_VALUE"""),"Wahid Ahmad Nugraha")</f>
        <v>Wahid Ahmad Nugraha</v>
      </c>
      <c r="C6" s="5" t="s">
        <v>91</v>
      </c>
    </row>
    <row r="7">
      <c r="A7" s="5" t="str">
        <f>IFERROR(__xludf.DUMMYFUNCTION("""COMPUTED_VALUE"""),"B250004")</f>
        <v>B250004</v>
      </c>
      <c r="B7" s="5" t="str">
        <f>IFERROR(__xludf.DUMMYFUNCTION("""COMPUTED_VALUE"""),"Hafizh Abdurrahman ")</f>
        <v>Hafizh Abdurrahman </v>
      </c>
      <c r="C7" s="5" t="s">
        <v>92</v>
      </c>
    </row>
    <row r="8">
      <c r="A8" s="5" t="str">
        <f>IFERROR(__xludf.DUMMYFUNCTION("""COMPUTED_VALUE"""),"B250017")</f>
        <v>B250017</v>
      </c>
      <c r="B8" s="5" t="str">
        <f>IFERROR(__xludf.DUMMYFUNCTION("""COMPUTED_VALUE"""),"Angga saputra")</f>
        <v>Angga saputra</v>
      </c>
      <c r="C8" s="5" t="s">
        <v>92</v>
      </c>
    </row>
    <row r="9">
      <c r="A9" s="5" t="str">
        <f>IFERROR(__xludf.DUMMYFUNCTION("""COMPUTED_VALUE"""),"A250062")</f>
        <v>A250062</v>
      </c>
      <c r="B9" s="5" t="str">
        <f>IFERROR(__xludf.DUMMYFUNCTION("""COMPUTED_VALUE"""),"Muhamad Hamudi alfariji")</f>
        <v>Muhamad Hamudi alfariji</v>
      </c>
      <c r="C9" s="5" t="s">
        <v>91</v>
      </c>
    </row>
    <row r="10">
      <c r="A10" s="5" t="str">
        <f>IFERROR(__xludf.DUMMYFUNCTION("""COMPUTED_VALUE"""),"B250007")</f>
        <v>B250007</v>
      </c>
      <c r="B10" s="5" t="str">
        <f>IFERROR(__xludf.DUMMYFUNCTION("""COMPUTED_VALUE"""),"Ali Barqi As-Saif")</f>
        <v>Ali Barqi As-Saif</v>
      </c>
      <c r="C10" s="5" t="s">
        <v>92</v>
      </c>
    </row>
    <row r="11">
      <c r="A11" s="5" t="str">
        <f>IFERROR(__xludf.DUMMYFUNCTION("""COMPUTED_VALUE"""),"A250078")</f>
        <v>A250078</v>
      </c>
      <c r="B11" s="5" t="str">
        <f>IFERROR(__xludf.DUMMYFUNCTION("""COMPUTED_VALUE"""),"umar syahid")</f>
        <v>umar syahid</v>
      </c>
      <c r="C11" s="5" t="s">
        <v>91</v>
      </c>
    </row>
    <row r="12">
      <c r="A12" s="5" t="str">
        <f>IFERROR(__xludf.DUMMYFUNCTION("""COMPUTED_VALUE"""),"B250027")</f>
        <v>B250027</v>
      </c>
      <c r="B12" s="5" t="str">
        <f>IFERROR(__xludf.DUMMYFUNCTION("""COMPUTED_VALUE"""),"Farid")</f>
        <v>Farid</v>
      </c>
      <c r="C12" s="5" t="s">
        <v>92</v>
      </c>
    </row>
    <row r="13">
      <c r="A13" s="5" t="str">
        <f>IFERROR(__xludf.DUMMYFUNCTION("""COMPUTED_VALUE"""),"C250005")</f>
        <v>C250005</v>
      </c>
      <c r="B13" s="5" t="str">
        <f>IFERROR(__xludf.DUMMYFUNCTION("""COMPUTED_VALUE"""),"Fadlan waldi zamzami")</f>
        <v>Fadlan waldi zamzami</v>
      </c>
      <c r="C13" s="5" t="s">
        <v>93</v>
      </c>
    </row>
    <row r="14">
      <c r="A14" s="7" t="str">
        <f>IFERROR(__xludf.DUMMYFUNCTION("""COMPUTED_VALUE"""),"A250076")</f>
        <v>A250076</v>
      </c>
      <c r="B14" s="7" t="str">
        <f>IFERROR(__xludf.DUMMYFUNCTION("""COMPUTED_VALUE"""),"Muhammad Azzam Al Hafizh")</f>
        <v>Muhammad Azzam Al Hafizh</v>
      </c>
      <c r="C14" s="7" t="s">
        <v>91</v>
      </c>
    </row>
    <row r="15">
      <c r="A15" s="7" t="str">
        <f>IFERROR(__xludf.DUMMYFUNCTION("""COMPUTED_VALUE"""),"A250007")</f>
        <v>A250007</v>
      </c>
      <c r="B15" s="7" t="str">
        <f>IFERROR(__xludf.DUMMYFUNCTION("""COMPUTED_VALUE"""),"Syabil Al fachrizzi")</f>
        <v>Syabil Al fachrizzi</v>
      </c>
      <c r="C15" s="7" t="s">
        <v>91</v>
      </c>
    </row>
    <row r="16">
      <c r="A16" s="7" t="str">
        <f>IFERROR(__xludf.DUMMYFUNCTION("""COMPUTED_VALUE"""),"A250068")</f>
        <v>A250068</v>
      </c>
      <c r="B16" s="7" t="str">
        <f>IFERROR(__xludf.DUMMYFUNCTION("""COMPUTED_VALUE"""),"Alfarizy Fauzan wijaya")</f>
        <v>Alfarizy Fauzan wijaya</v>
      </c>
      <c r="C16" s="7" t="s">
        <v>91</v>
      </c>
    </row>
    <row r="17">
      <c r="A17" s="7" t="str">
        <f>IFERROR(__xludf.DUMMYFUNCTION("""COMPUTED_VALUE"""),"C250007")</f>
        <v>C250007</v>
      </c>
      <c r="B17" s="7" t="str">
        <f>IFERROR(__xludf.DUMMYFUNCTION("""COMPUTED_VALUE"""),"Achmad Kaisan Sidqi")</f>
        <v>Achmad Kaisan Sidqi</v>
      </c>
      <c r="C17" s="7" t="s">
        <v>93</v>
      </c>
    </row>
    <row r="18">
      <c r="A18" s="7" t="str">
        <f>IFERROR(__xludf.DUMMYFUNCTION("""COMPUTED_VALUE"""),"A250039")</f>
        <v>A250039</v>
      </c>
      <c r="B18" s="7" t="str">
        <f>IFERROR(__xludf.DUMMYFUNCTION("""COMPUTED_VALUE"""),"Rayyan Muzaffar Firdaus")</f>
        <v>Rayyan Muzaffar Firdaus</v>
      </c>
      <c r="C18" s="7" t="s">
        <v>91</v>
      </c>
    </row>
    <row r="19">
      <c r="A19" s="7" t="str">
        <f>IFERROR(__xludf.DUMMYFUNCTION("""COMPUTED_VALUE"""),"D250030")</f>
        <v>D250030</v>
      </c>
      <c r="B19" s="7" t="str">
        <f>IFERROR(__xludf.DUMMYFUNCTION("""COMPUTED_VALUE"""),"Clarisa aqila putri")</f>
        <v>Clarisa aqila putri</v>
      </c>
      <c r="C19" s="7" t="s">
        <v>94</v>
      </c>
    </row>
    <row r="20">
      <c r="A20" s="7" t="str">
        <f>IFERROR(__xludf.DUMMYFUNCTION("""COMPUTED_VALUE"""),"A250083")</f>
        <v>A250083</v>
      </c>
      <c r="B20" s="7" t="str">
        <f>IFERROR(__xludf.DUMMYFUNCTION("""COMPUTED_VALUE"""),"GEYSa raipan ")</f>
        <v>GEYSa raipan </v>
      </c>
      <c r="C20" s="7" t="s">
        <v>91</v>
      </c>
    </row>
    <row r="21">
      <c r="A21" s="7" t="str">
        <f>IFERROR(__xludf.DUMMYFUNCTION("""COMPUTED_VALUE"""),"A250073")</f>
        <v>A250073</v>
      </c>
      <c r="B21" s="7" t="str">
        <f>IFERROR(__xludf.DUMMYFUNCTION("""COMPUTED_VALUE"""),"Ahmad vickhy wijaya ")</f>
        <v>Ahmad vickhy wijaya </v>
      </c>
      <c r="C21" s="7" t="s">
        <v>91</v>
      </c>
    </row>
    <row r="22">
      <c r="A22" s="7" t="str">
        <f>IFERROR(__xludf.DUMMYFUNCTION("""COMPUTED_VALUE"""),"C250026")</f>
        <v>C250026</v>
      </c>
      <c r="B22" s="7" t="str">
        <f>IFERROR(__xludf.DUMMYFUNCTION("""COMPUTED_VALUE"""),"Raylan Akbar")</f>
        <v>Raylan Akbar</v>
      </c>
      <c r="C22" s="7" t="s">
        <v>93</v>
      </c>
    </row>
    <row r="23">
      <c r="C23" s="7" t="s">
        <v>95</v>
      </c>
    </row>
    <row r="24">
      <c r="C24" s="7" t="s">
        <v>95</v>
      </c>
    </row>
    <row r="25">
      <c r="C25" s="7" t="s">
        <v>95</v>
      </c>
    </row>
    <row r="26">
      <c r="C26" s="7" t="s">
        <v>95</v>
      </c>
    </row>
    <row r="27">
      <c r="C27" s="7" t="s">
        <v>95</v>
      </c>
    </row>
    <row r="28">
      <c r="C28" s="7" t="s">
        <v>95</v>
      </c>
    </row>
    <row r="29">
      <c r="C29" s="7" t="s">
        <v>95</v>
      </c>
    </row>
    <row r="30">
      <c r="C30" s="7" t="s">
        <v>95</v>
      </c>
    </row>
    <row r="31">
      <c r="C31" s="7" t="s">
        <v>95</v>
      </c>
    </row>
    <row r="32">
      <c r="C32" s="7" t="s">
        <v>95</v>
      </c>
    </row>
    <row r="33">
      <c r="C33" s="7" t="s">
        <v>95</v>
      </c>
    </row>
    <row r="34">
      <c r="C34" s="7" t="s">
        <v>95</v>
      </c>
    </row>
    <row r="35">
      <c r="C35" s="7" t="s">
        <v>95</v>
      </c>
    </row>
    <row r="36">
      <c r="C36" s="7" t="s">
        <v>95</v>
      </c>
    </row>
    <row r="37">
      <c r="C37" s="7" t="s">
        <v>95</v>
      </c>
    </row>
    <row r="38">
      <c r="C38" s="7" t="s">
        <v>95</v>
      </c>
    </row>
    <row r="39">
      <c r="C39" s="7" t="s">
        <v>95</v>
      </c>
    </row>
    <row r="40">
      <c r="C40" s="7" t="s">
        <v>95</v>
      </c>
    </row>
    <row r="41">
      <c r="C41" s="7" t="s">
        <v>95</v>
      </c>
    </row>
    <row r="42">
      <c r="C42" s="7" t="s">
        <v>95</v>
      </c>
    </row>
    <row r="43">
      <c r="C43" s="7" t="s">
        <v>95</v>
      </c>
    </row>
    <row r="44">
      <c r="C44" s="7" t="s">
        <v>95</v>
      </c>
    </row>
    <row r="45">
      <c r="C45" s="7" t="s">
        <v>95</v>
      </c>
    </row>
    <row r="46">
      <c r="C46" s="7" t="s">
        <v>95</v>
      </c>
    </row>
    <row r="47">
      <c r="C47" s="7" t="s">
        <v>95</v>
      </c>
    </row>
    <row r="48">
      <c r="C48" s="7" t="s">
        <v>95</v>
      </c>
    </row>
    <row r="49">
      <c r="C49" s="7" t="s">
        <v>95</v>
      </c>
    </row>
    <row r="50">
      <c r="C50" s="7" t="s">
        <v>95</v>
      </c>
    </row>
    <row r="51">
      <c r="C51" s="7" t="s">
        <v>95</v>
      </c>
    </row>
    <row r="52">
      <c r="C52" s="7" t="s">
        <v>95</v>
      </c>
    </row>
    <row r="53">
      <c r="C53" s="7" t="s">
        <v>95</v>
      </c>
    </row>
    <row r="54">
      <c r="C54" s="7" t="s">
        <v>95</v>
      </c>
    </row>
    <row r="55">
      <c r="C55" s="7" t="s">
        <v>95</v>
      </c>
    </row>
    <row r="56">
      <c r="C56" s="7" t="s">
        <v>95</v>
      </c>
    </row>
    <row r="57">
      <c r="C57" s="7" t="s">
        <v>95</v>
      </c>
    </row>
    <row r="58">
      <c r="C58" s="7" t="s">
        <v>95</v>
      </c>
    </row>
    <row r="59">
      <c r="C59" s="7" t="s">
        <v>95</v>
      </c>
    </row>
    <row r="60">
      <c r="C60" s="7" t="s">
        <v>95</v>
      </c>
    </row>
    <row r="61">
      <c r="C61" s="7" t="s">
        <v>95</v>
      </c>
    </row>
    <row r="62">
      <c r="C62" s="7" t="s">
        <v>95</v>
      </c>
    </row>
    <row r="63">
      <c r="C63" s="7" t="s">
        <v>95</v>
      </c>
    </row>
    <row r="64">
      <c r="C64" s="7" t="s">
        <v>95</v>
      </c>
    </row>
    <row r="65">
      <c r="C65" s="7" t="s">
        <v>95</v>
      </c>
    </row>
    <row r="66">
      <c r="C66" s="7" t="s">
        <v>95</v>
      </c>
    </row>
    <row r="67">
      <c r="C67" s="7" t="s">
        <v>95</v>
      </c>
    </row>
    <row r="68">
      <c r="C68" s="7" t="s">
        <v>95</v>
      </c>
    </row>
    <row r="69">
      <c r="C69" s="7" t="s">
        <v>95</v>
      </c>
    </row>
    <row r="70">
      <c r="C70" s="7" t="s">
        <v>95</v>
      </c>
    </row>
    <row r="71">
      <c r="C71" s="7" t="s">
        <v>95</v>
      </c>
    </row>
    <row r="72">
      <c r="C72" s="7" t="s">
        <v>95</v>
      </c>
    </row>
    <row r="73">
      <c r="C73" s="7" t="s">
        <v>95</v>
      </c>
    </row>
    <row r="74">
      <c r="C74" s="7" t="s">
        <v>95</v>
      </c>
    </row>
    <row r="75">
      <c r="C75" s="7" t="s">
        <v>95</v>
      </c>
    </row>
    <row r="76">
      <c r="C76" s="7" t="s">
        <v>95</v>
      </c>
    </row>
    <row r="77">
      <c r="C77" s="7" t="s">
        <v>95</v>
      </c>
    </row>
    <row r="78">
      <c r="C78" s="7" t="s">
        <v>95</v>
      </c>
    </row>
    <row r="79">
      <c r="C79" s="7" t="s">
        <v>95</v>
      </c>
    </row>
    <row r="80">
      <c r="C80" s="7" t="s">
        <v>95</v>
      </c>
    </row>
    <row r="81">
      <c r="C81" s="7" t="s">
        <v>95</v>
      </c>
    </row>
    <row r="82">
      <c r="C82" s="7" t="s">
        <v>95</v>
      </c>
    </row>
    <row r="83">
      <c r="C83" s="7" t="s">
        <v>95</v>
      </c>
    </row>
    <row r="84">
      <c r="C84" s="7" t="s">
        <v>95</v>
      </c>
    </row>
    <row r="85">
      <c r="C85" s="7" t="s">
        <v>95</v>
      </c>
    </row>
    <row r="86">
      <c r="C86" s="7" t="s">
        <v>95</v>
      </c>
    </row>
    <row r="87">
      <c r="C87" s="7" t="s">
        <v>95</v>
      </c>
    </row>
    <row r="88">
      <c r="C88" s="7" t="s">
        <v>95</v>
      </c>
    </row>
    <row r="89">
      <c r="C89" s="7" t="s">
        <v>95</v>
      </c>
    </row>
    <row r="90">
      <c r="C90" s="7" t="s">
        <v>95</v>
      </c>
    </row>
    <row r="91">
      <c r="C91" s="7" t="s">
        <v>95</v>
      </c>
    </row>
    <row r="92">
      <c r="C92" s="7" t="s">
        <v>95</v>
      </c>
    </row>
    <row r="93">
      <c r="C93" s="7" t="s">
        <v>95</v>
      </c>
    </row>
    <row r="94">
      <c r="C94" s="7" t="s">
        <v>95</v>
      </c>
    </row>
    <row r="95">
      <c r="C95" s="7" t="s">
        <v>95</v>
      </c>
    </row>
    <row r="96">
      <c r="C96" s="7" t="s">
        <v>95</v>
      </c>
    </row>
    <row r="97">
      <c r="C97" s="7" t="s">
        <v>95</v>
      </c>
    </row>
    <row r="98">
      <c r="C98" s="7" t="s">
        <v>95</v>
      </c>
    </row>
    <row r="99">
      <c r="C99" s="7" t="s">
        <v>95</v>
      </c>
    </row>
    <row r="100">
      <c r="C100" s="7" t="s">
        <v>95</v>
      </c>
    </row>
    <row r="101">
      <c r="C101" s="7" t="s">
        <v>95</v>
      </c>
    </row>
    <row r="102">
      <c r="C102" s="7" t="s">
        <v>95</v>
      </c>
    </row>
    <row r="103">
      <c r="C103" s="7" t="s">
        <v>95</v>
      </c>
    </row>
    <row r="104">
      <c r="C104" s="7" t="s">
        <v>95</v>
      </c>
    </row>
    <row r="105">
      <c r="C105" s="7" t="s">
        <v>95</v>
      </c>
    </row>
    <row r="106">
      <c r="C106" s="7" t="s">
        <v>95</v>
      </c>
    </row>
    <row r="107">
      <c r="C107" s="7" t="s">
        <v>95</v>
      </c>
    </row>
    <row r="108">
      <c r="C108" s="7" t="s">
        <v>95</v>
      </c>
    </row>
    <row r="109">
      <c r="C109" s="7" t="s">
        <v>95</v>
      </c>
    </row>
    <row r="110">
      <c r="C110" s="7" t="s">
        <v>95</v>
      </c>
    </row>
    <row r="111">
      <c r="C111" s="7" t="s">
        <v>95</v>
      </c>
    </row>
    <row r="112">
      <c r="C112" s="7" t="s">
        <v>95</v>
      </c>
    </row>
    <row r="113">
      <c r="C113" s="7" t="s">
        <v>95</v>
      </c>
    </row>
    <row r="114">
      <c r="C114" s="7" t="s">
        <v>95</v>
      </c>
    </row>
    <row r="115">
      <c r="C115" s="7" t="s">
        <v>95</v>
      </c>
    </row>
    <row r="116">
      <c r="C116" s="7" t="s">
        <v>95</v>
      </c>
    </row>
    <row r="117">
      <c r="C117" s="7" t="s">
        <v>95</v>
      </c>
    </row>
    <row r="118">
      <c r="C118" s="7" t="s">
        <v>95</v>
      </c>
    </row>
    <row r="119">
      <c r="C119" s="7" t="s">
        <v>95</v>
      </c>
    </row>
    <row r="120">
      <c r="C120" s="7" t="s">
        <v>95</v>
      </c>
    </row>
    <row r="121">
      <c r="C121" s="7" t="s">
        <v>95</v>
      </c>
    </row>
    <row r="122">
      <c r="C122" s="7" t="s">
        <v>95</v>
      </c>
    </row>
    <row r="123">
      <c r="C123" s="7" t="s">
        <v>95</v>
      </c>
    </row>
    <row r="124">
      <c r="C124" s="7" t="s">
        <v>95</v>
      </c>
    </row>
    <row r="125">
      <c r="C125" s="7" t="s">
        <v>95</v>
      </c>
    </row>
    <row r="126">
      <c r="C126" s="7" t="s">
        <v>95</v>
      </c>
    </row>
    <row r="127">
      <c r="C127" s="7" t="s">
        <v>95</v>
      </c>
    </row>
    <row r="128">
      <c r="C128" s="7" t="s">
        <v>95</v>
      </c>
    </row>
    <row r="129">
      <c r="C129" s="7" t="s">
        <v>95</v>
      </c>
    </row>
    <row r="130">
      <c r="C130" s="7" t="s">
        <v>95</v>
      </c>
    </row>
    <row r="131">
      <c r="C131" s="7" t="s">
        <v>95</v>
      </c>
    </row>
    <row r="132">
      <c r="C132" s="7" t="s">
        <v>95</v>
      </c>
    </row>
    <row r="133">
      <c r="C133" s="7" t="s">
        <v>95</v>
      </c>
    </row>
    <row r="134">
      <c r="C134" s="7" t="s">
        <v>95</v>
      </c>
    </row>
    <row r="135">
      <c r="C135" s="7" t="s">
        <v>95</v>
      </c>
    </row>
    <row r="136">
      <c r="C136" s="7" t="s">
        <v>95</v>
      </c>
    </row>
    <row r="137">
      <c r="C137" s="7" t="s">
        <v>95</v>
      </c>
    </row>
    <row r="138">
      <c r="C138" s="7" t="s">
        <v>95</v>
      </c>
    </row>
    <row r="139">
      <c r="C139" s="7" t="s">
        <v>95</v>
      </c>
    </row>
    <row r="140">
      <c r="C140" s="7" t="s">
        <v>95</v>
      </c>
    </row>
    <row r="141">
      <c r="C141" s="7" t="s">
        <v>95</v>
      </c>
    </row>
    <row r="142">
      <c r="C142" s="7" t="s">
        <v>95</v>
      </c>
    </row>
    <row r="143">
      <c r="C143" s="7" t="s">
        <v>95</v>
      </c>
    </row>
    <row r="144">
      <c r="C144" s="7" t="s">
        <v>95</v>
      </c>
    </row>
    <row r="145">
      <c r="C145" s="7" t="s">
        <v>95</v>
      </c>
    </row>
    <row r="146">
      <c r="C146" s="7" t="s">
        <v>95</v>
      </c>
    </row>
    <row r="147">
      <c r="C147" s="7" t="s">
        <v>95</v>
      </c>
    </row>
    <row r="148">
      <c r="C148" s="7" t="s">
        <v>95</v>
      </c>
    </row>
    <row r="149">
      <c r="C149" s="7" t="s">
        <v>95</v>
      </c>
    </row>
    <row r="150">
      <c r="C150" s="7" t="s">
        <v>95</v>
      </c>
    </row>
    <row r="151">
      <c r="C151" s="7" t="s">
        <v>95</v>
      </c>
    </row>
    <row r="152">
      <c r="C152" s="7" t="s">
        <v>95</v>
      </c>
    </row>
    <row r="153">
      <c r="C153" s="7" t="s">
        <v>95</v>
      </c>
    </row>
    <row r="154">
      <c r="C154" s="7" t="s">
        <v>95</v>
      </c>
    </row>
    <row r="155">
      <c r="C155" s="7" t="s">
        <v>95</v>
      </c>
    </row>
    <row r="156">
      <c r="C156" s="7" t="s">
        <v>95</v>
      </c>
    </row>
    <row r="157">
      <c r="C157" s="7" t="s">
        <v>95</v>
      </c>
    </row>
    <row r="158">
      <c r="C158" s="7" t="s">
        <v>95</v>
      </c>
    </row>
    <row r="159">
      <c r="C159" s="7" t="s">
        <v>95</v>
      </c>
    </row>
    <row r="160">
      <c r="C160" s="7" t="s">
        <v>95</v>
      </c>
    </row>
    <row r="161">
      <c r="C161" s="7" t="s">
        <v>95</v>
      </c>
    </row>
    <row r="162">
      <c r="C162" s="7" t="s">
        <v>95</v>
      </c>
    </row>
    <row r="163">
      <c r="C163" s="7" t="s">
        <v>95</v>
      </c>
    </row>
    <row r="164">
      <c r="C164" s="7" t="s">
        <v>95</v>
      </c>
    </row>
    <row r="165">
      <c r="C165" s="7" t="s">
        <v>95</v>
      </c>
    </row>
    <row r="166">
      <c r="C166" s="7" t="s">
        <v>95</v>
      </c>
    </row>
    <row r="167">
      <c r="C167" s="7" t="s">
        <v>95</v>
      </c>
    </row>
    <row r="168">
      <c r="C168" s="7" t="s">
        <v>95</v>
      </c>
    </row>
    <row r="169">
      <c r="C169" s="7" t="s">
        <v>95</v>
      </c>
    </row>
    <row r="170">
      <c r="C170" s="7" t="s">
        <v>95</v>
      </c>
    </row>
    <row r="171">
      <c r="C171" s="7" t="s">
        <v>95</v>
      </c>
    </row>
    <row r="172">
      <c r="C172" s="7" t="s">
        <v>95</v>
      </c>
    </row>
    <row r="173">
      <c r="C173" s="7" t="s">
        <v>95</v>
      </c>
    </row>
    <row r="174">
      <c r="C174" s="7" t="s">
        <v>95</v>
      </c>
    </row>
    <row r="175">
      <c r="C175" s="7" t="s">
        <v>95</v>
      </c>
    </row>
    <row r="176">
      <c r="C176" s="7" t="s">
        <v>95</v>
      </c>
    </row>
    <row r="177">
      <c r="C177" s="7" t="s">
        <v>95</v>
      </c>
    </row>
    <row r="178">
      <c r="C178" s="7" t="s">
        <v>95</v>
      </c>
    </row>
    <row r="179">
      <c r="C179" s="7" t="s">
        <v>95</v>
      </c>
    </row>
    <row r="180">
      <c r="C180" s="7" t="s">
        <v>95</v>
      </c>
    </row>
    <row r="181">
      <c r="C181" s="7" t="s">
        <v>95</v>
      </c>
    </row>
    <row r="182">
      <c r="C182" s="7" t="s">
        <v>95</v>
      </c>
    </row>
    <row r="183">
      <c r="C183" s="7" t="s">
        <v>95</v>
      </c>
    </row>
    <row r="184">
      <c r="C184" s="7" t="s">
        <v>95</v>
      </c>
    </row>
    <row r="185">
      <c r="C185" s="7" t="s">
        <v>95</v>
      </c>
    </row>
    <row r="186">
      <c r="C186" s="7" t="s">
        <v>95</v>
      </c>
    </row>
    <row r="187">
      <c r="C187" s="7" t="s">
        <v>95</v>
      </c>
    </row>
    <row r="188">
      <c r="C188" s="7" t="s">
        <v>95</v>
      </c>
    </row>
    <row r="189">
      <c r="C189" s="7" t="s">
        <v>95</v>
      </c>
    </row>
    <row r="190">
      <c r="C190" s="7" t="s">
        <v>95</v>
      </c>
    </row>
    <row r="191">
      <c r="C191" s="7" t="s">
        <v>95</v>
      </c>
    </row>
    <row r="192">
      <c r="C192" s="7" t="s">
        <v>95</v>
      </c>
    </row>
    <row r="193">
      <c r="C193" s="7" t="s">
        <v>95</v>
      </c>
    </row>
    <row r="194">
      <c r="C194" s="7" t="s">
        <v>95</v>
      </c>
    </row>
    <row r="195">
      <c r="C195" s="7" t="s">
        <v>95</v>
      </c>
    </row>
    <row r="196">
      <c r="C196" s="7" t="s">
        <v>95</v>
      </c>
    </row>
    <row r="197">
      <c r="C197" s="7" t="s">
        <v>95</v>
      </c>
    </row>
    <row r="198">
      <c r="C198" s="7" t="s">
        <v>95</v>
      </c>
    </row>
    <row r="199">
      <c r="C199" s="7" t="s">
        <v>95</v>
      </c>
    </row>
    <row r="200">
      <c r="C200" s="7" t="s">
        <v>95</v>
      </c>
    </row>
    <row r="201">
      <c r="C201" s="7" t="s">
        <v>95</v>
      </c>
    </row>
    <row r="202">
      <c r="C202" s="7" t="s">
        <v>95</v>
      </c>
    </row>
    <row r="203">
      <c r="C203" s="7" t="s">
        <v>95</v>
      </c>
    </row>
    <row r="204">
      <c r="C204" s="7" t="s">
        <v>95</v>
      </c>
    </row>
    <row r="205">
      <c r="C205" s="7" t="s">
        <v>95</v>
      </c>
    </row>
    <row r="206">
      <c r="C206" s="7" t="s">
        <v>95</v>
      </c>
    </row>
    <row r="207">
      <c r="C207" s="7" t="s">
        <v>95</v>
      </c>
    </row>
    <row r="208">
      <c r="C208" s="7" t="s">
        <v>95</v>
      </c>
    </row>
    <row r="209">
      <c r="C209" s="7" t="s">
        <v>95</v>
      </c>
    </row>
    <row r="210">
      <c r="C210" s="7" t="s">
        <v>95</v>
      </c>
    </row>
    <row r="211">
      <c r="C211" s="7" t="s">
        <v>95</v>
      </c>
    </row>
    <row r="212">
      <c r="C212" s="7" t="s">
        <v>95</v>
      </c>
    </row>
    <row r="213">
      <c r="C213" s="7" t="s">
        <v>95</v>
      </c>
    </row>
    <row r="214">
      <c r="C214" s="7" t="s">
        <v>95</v>
      </c>
    </row>
    <row r="215">
      <c r="C215" s="7" t="s">
        <v>95</v>
      </c>
    </row>
    <row r="216">
      <c r="C216" s="7" t="s">
        <v>95</v>
      </c>
    </row>
    <row r="217">
      <c r="C217" s="7" t="s">
        <v>95</v>
      </c>
    </row>
    <row r="218">
      <c r="C218" s="7" t="s">
        <v>95</v>
      </c>
    </row>
    <row r="219">
      <c r="C219" s="7" t="s">
        <v>95</v>
      </c>
    </row>
    <row r="220">
      <c r="C220" s="7" t="s">
        <v>95</v>
      </c>
    </row>
    <row r="221">
      <c r="C221" s="7" t="s">
        <v>95</v>
      </c>
    </row>
    <row r="222">
      <c r="C222" s="7" t="s">
        <v>95</v>
      </c>
    </row>
    <row r="223">
      <c r="C223" s="7" t="s">
        <v>95</v>
      </c>
    </row>
    <row r="224">
      <c r="C224" s="7" t="s">
        <v>95</v>
      </c>
    </row>
    <row r="225">
      <c r="C225" s="7" t="s">
        <v>95</v>
      </c>
    </row>
    <row r="226">
      <c r="C226" s="7" t="s">
        <v>95</v>
      </c>
    </row>
    <row r="227">
      <c r="C227" s="7" t="s">
        <v>95</v>
      </c>
    </row>
    <row r="228">
      <c r="C228" s="7" t="s">
        <v>95</v>
      </c>
    </row>
    <row r="229">
      <c r="C229" s="7" t="s">
        <v>95</v>
      </c>
    </row>
    <row r="230">
      <c r="C230" s="7" t="s">
        <v>95</v>
      </c>
    </row>
    <row r="231">
      <c r="C231" s="7" t="s">
        <v>95</v>
      </c>
    </row>
    <row r="232">
      <c r="C232" s="7" t="s">
        <v>95</v>
      </c>
    </row>
    <row r="233">
      <c r="C233" s="7" t="s">
        <v>95</v>
      </c>
    </row>
    <row r="234">
      <c r="C234" s="7" t="s">
        <v>95</v>
      </c>
    </row>
    <row r="235">
      <c r="C235" s="7" t="s">
        <v>95</v>
      </c>
    </row>
    <row r="236">
      <c r="C236" s="7" t="s">
        <v>95</v>
      </c>
    </row>
    <row r="237">
      <c r="C237" s="7" t="s">
        <v>95</v>
      </c>
    </row>
    <row r="238">
      <c r="C238" s="7" t="s">
        <v>95</v>
      </c>
    </row>
    <row r="239">
      <c r="C239" s="7" t="s">
        <v>95</v>
      </c>
    </row>
    <row r="240">
      <c r="C240" s="7" t="s">
        <v>95</v>
      </c>
    </row>
    <row r="241">
      <c r="C241" s="7" t="s">
        <v>95</v>
      </c>
    </row>
    <row r="242">
      <c r="C242" s="7" t="s">
        <v>95</v>
      </c>
    </row>
    <row r="243">
      <c r="C243" s="7" t="s">
        <v>95</v>
      </c>
    </row>
    <row r="244">
      <c r="C244" s="7" t="s">
        <v>95</v>
      </c>
    </row>
    <row r="245">
      <c r="C245" s="7" t="s">
        <v>95</v>
      </c>
    </row>
    <row r="246">
      <c r="C246" s="7" t="s">
        <v>95</v>
      </c>
    </row>
    <row r="247">
      <c r="C247" s="7" t="s">
        <v>95</v>
      </c>
    </row>
    <row r="248">
      <c r="C248" s="7" t="s">
        <v>95</v>
      </c>
    </row>
    <row r="249">
      <c r="C249" s="7" t="s">
        <v>95</v>
      </c>
    </row>
    <row r="250">
      <c r="C250" s="7" t="s">
        <v>95</v>
      </c>
    </row>
    <row r="251">
      <c r="C251" s="7" t="s">
        <v>95</v>
      </c>
    </row>
    <row r="252">
      <c r="C252" s="7" t="s">
        <v>95</v>
      </c>
    </row>
    <row r="253">
      <c r="C253" s="7" t="s">
        <v>95</v>
      </c>
    </row>
    <row r="254">
      <c r="C254" s="7" t="s">
        <v>95</v>
      </c>
    </row>
    <row r="255">
      <c r="C255" s="7" t="s">
        <v>95</v>
      </c>
    </row>
    <row r="256">
      <c r="C256" s="7" t="s">
        <v>95</v>
      </c>
    </row>
    <row r="257">
      <c r="C257" s="7" t="s">
        <v>95</v>
      </c>
    </row>
    <row r="258">
      <c r="C258" s="7" t="s">
        <v>95</v>
      </c>
    </row>
    <row r="259">
      <c r="C259" s="7" t="s">
        <v>95</v>
      </c>
    </row>
    <row r="260">
      <c r="C260" s="7" t="s">
        <v>95</v>
      </c>
    </row>
    <row r="261">
      <c r="C261" s="7" t="s">
        <v>95</v>
      </c>
    </row>
    <row r="262">
      <c r="C262" s="7" t="s">
        <v>95</v>
      </c>
    </row>
    <row r="263">
      <c r="C263" s="7" t="s">
        <v>95</v>
      </c>
    </row>
    <row r="264">
      <c r="C264" s="7" t="s">
        <v>95</v>
      </c>
    </row>
    <row r="265">
      <c r="C265" s="7" t="s">
        <v>95</v>
      </c>
    </row>
    <row r="266">
      <c r="C266" s="7" t="s">
        <v>95</v>
      </c>
    </row>
    <row r="267">
      <c r="C267" s="7" t="s">
        <v>95</v>
      </c>
    </row>
    <row r="268">
      <c r="C268" s="7" t="s">
        <v>95</v>
      </c>
    </row>
    <row r="269">
      <c r="C269" s="7" t="s">
        <v>95</v>
      </c>
    </row>
    <row r="270">
      <c r="C270" s="7" t="s">
        <v>95</v>
      </c>
    </row>
    <row r="271">
      <c r="C271" s="7" t="s">
        <v>95</v>
      </c>
    </row>
    <row r="272">
      <c r="C272" s="7" t="s">
        <v>95</v>
      </c>
    </row>
    <row r="273">
      <c r="C273" s="7" t="s">
        <v>95</v>
      </c>
    </row>
    <row r="274">
      <c r="C274" s="7" t="s">
        <v>95</v>
      </c>
    </row>
    <row r="275">
      <c r="C275" s="7" t="s">
        <v>95</v>
      </c>
    </row>
    <row r="276">
      <c r="C276" s="7" t="s">
        <v>95</v>
      </c>
    </row>
    <row r="277">
      <c r="C277" s="7" t="s">
        <v>95</v>
      </c>
    </row>
    <row r="278">
      <c r="C278" s="7" t="s">
        <v>95</v>
      </c>
    </row>
    <row r="279">
      <c r="C279" s="7" t="s">
        <v>95</v>
      </c>
    </row>
    <row r="280">
      <c r="C280" s="7" t="s">
        <v>95</v>
      </c>
    </row>
    <row r="281">
      <c r="C281" s="7" t="s">
        <v>95</v>
      </c>
    </row>
    <row r="282">
      <c r="C282" s="7" t="s">
        <v>95</v>
      </c>
    </row>
    <row r="283">
      <c r="C283" s="7" t="s">
        <v>95</v>
      </c>
    </row>
    <row r="284">
      <c r="C284" s="7" t="s">
        <v>95</v>
      </c>
    </row>
    <row r="285">
      <c r="C285" s="7" t="s">
        <v>95</v>
      </c>
    </row>
    <row r="286">
      <c r="C286" s="7" t="s">
        <v>95</v>
      </c>
    </row>
    <row r="287">
      <c r="C287" s="7" t="s">
        <v>95</v>
      </c>
    </row>
    <row r="288">
      <c r="C288" s="7" t="s">
        <v>95</v>
      </c>
    </row>
    <row r="289">
      <c r="C289" s="7" t="s">
        <v>95</v>
      </c>
    </row>
    <row r="290">
      <c r="C290" s="7" t="s">
        <v>95</v>
      </c>
    </row>
    <row r="291">
      <c r="C291" s="7" t="s">
        <v>95</v>
      </c>
    </row>
    <row r="292">
      <c r="C292" s="7" t="s">
        <v>95</v>
      </c>
    </row>
    <row r="293">
      <c r="C293" s="7" t="s">
        <v>95</v>
      </c>
    </row>
    <row r="294">
      <c r="C294" s="7" t="s">
        <v>95</v>
      </c>
    </row>
    <row r="295">
      <c r="C295" s="7" t="s">
        <v>95</v>
      </c>
    </row>
    <row r="296">
      <c r="C296" s="7" t="s">
        <v>95</v>
      </c>
    </row>
    <row r="297">
      <c r="C297" s="7" t="s">
        <v>95</v>
      </c>
    </row>
    <row r="298">
      <c r="C298" s="7" t="s">
        <v>95</v>
      </c>
    </row>
    <row r="299">
      <c r="C299" s="7" t="s">
        <v>95</v>
      </c>
    </row>
    <row r="300">
      <c r="C300" s="7" t="s">
        <v>95</v>
      </c>
    </row>
    <row r="301">
      <c r="C301" s="7" t="s">
        <v>95</v>
      </c>
    </row>
    <row r="302">
      <c r="C302" s="7" t="s">
        <v>95</v>
      </c>
    </row>
    <row r="303">
      <c r="C303" s="7" t="s">
        <v>95</v>
      </c>
    </row>
    <row r="304">
      <c r="C304" s="7" t="s">
        <v>95</v>
      </c>
    </row>
    <row r="305">
      <c r="C305" s="7" t="s">
        <v>95</v>
      </c>
    </row>
    <row r="306">
      <c r="C306" s="7" t="s">
        <v>95</v>
      </c>
    </row>
    <row r="307">
      <c r="C307" s="7" t="s">
        <v>95</v>
      </c>
    </row>
    <row r="308">
      <c r="C308" s="7" t="s">
        <v>95</v>
      </c>
    </row>
    <row r="309">
      <c r="C309" s="7" t="s">
        <v>95</v>
      </c>
    </row>
    <row r="310">
      <c r="C310" s="7" t="s">
        <v>95</v>
      </c>
    </row>
    <row r="311">
      <c r="C311" s="7" t="s">
        <v>95</v>
      </c>
    </row>
    <row r="312">
      <c r="C312" s="7" t="s">
        <v>95</v>
      </c>
    </row>
    <row r="313">
      <c r="C313" s="7" t="s">
        <v>95</v>
      </c>
    </row>
    <row r="314">
      <c r="C314" s="7" t="s">
        <v>95</v>
      </c>
    </row>
    <row r="315">
      <c r="C315" s="7" t="s">
        <v>95</v>
      </c>
    </row>
    <row r="316">
      <c r="C316" s="7" t="s">
        <v>95</v>
      </c>
    </row>
    <row r="317">
      <c r="C317" s="7" t="s">
        <v>95</v>
      </c>
    </row>
    <row r="318">
      <c r="C318" s="7" t="s">
        <v>95</v>
      </c>
    </row>
    <row r="319">
      <c r="C319" s="7" t="s">
        <v>95</v>
      </c>
    </row>
    <row r="320">
      <c r="C320" s="7" t="s">
        <v>95</v>
      </c>
    </row>
    <row r="321">
      <c r="C321" s="7" t="s">
        <v>95</v>
      </c>
    </row>
    <row r="322">
      <c r="C322" s="7" t="s">
        <v>95</v>
      </c>
    </row>
    <row r="323">
      <c r="C323" s="7" t="s">
        <v>95</v>
      </c>
    </row>
    <row r="324">
      <c r="C324" s="7" t="s">
        <v>95</v>
      </c>
    </row>
    <row r="325">
      <c r="C325" s="7" t="s">
        <v>95</v>
      </c>
    </row>
    <row r="326">
      <c r="C326" s="7" t="s">
        <v>95</v>
      </c>
    </row>
    <row r="327">
      <c r="C327" s="7" t="s">
        <v>95</v>
      </c>
    </row>
    <row r="328">
      <c r="C328" s="7" t="s">
        <v>95</v>
      </c>
    </row>
    <row r="329">
      <c r="C329" s="7" t="s">
        <v>95</v>
      </c>
    </row>
    <row r="330">
      <c r="C330" s="7" t="s">
        <v>95</v>
      </c>
    </row>
    <row r="331">
      <c r="C331" s="7" t="s">
        <v>95</v>
      </c>
    </row>
    <row r="332">
      <c r="C332" s="7" t="s">
        <v>95</v>
      </c>
    </row>
    <row r="333">
      <c r="C333" s="7" t="s">
        <v>95</v>
      </c>
    </row>
    <row r="334">
      <c r="C334" s="7" t="s">
        <v>95</v>
      </c>
    </row>
    <row r="335">
      <c r="C335" s="7" t="s">
        <v>95</v>
      </c>
    </row>
    <row r="336">
      <c r="C336" s="7" t="s">
        <v>95</v>
      </c>
    </row>
    <row r="337">
      <c r="C337" s="7" t="s">
        <v>95</v>
      </c>
    </row>
    <row r="338">
      <c r="C338" s="7" t="s">
        <v>95</v>
      </c>
    </row>
    <row r="339">
      <c r="C339" s="7" t="s">
        <v>95</v>
      </c>
    </row>
    <row r="340">
      <c r="C340" s="7" t="s">
        <v>95</v>
      </c>
    </row>
    <row r="341">
      <c r="C341" s="7" t="s">
        <v>95</v>
      </c>
    </row>
    <row r="342">
      <c r="C342" s="7" t="s">
        <v>95</v>
      </c>
    </row>
    <row r="343">
      <c r="C343" s="7" t="s">
        <v>95</v>
      </c>
    </row>
    <row r="344">
      <c r="C344" s="7" t="s">
        <v>95</v>
      </c>
    </row>
    <row r="345">
      <c r="C345" s="7" t="s">
        <v>95</v>
      </c>
    </row>
    <row r="346">
      <c r="C346" s="7" t="s">
        <v>95</v>
      </c>
    </row>
    <row r="347">
      <c r="C347" s="7" t="s">
        <v>95</v>
      </c>
    </row>
    <row r="348">
      <c r="C348" s="7" t="s">
        <v>95</v>
      </c>
    </row>
    <row r="349">
      <c r="C349" s="7" t="s">
        <v>95</v>
      </c>
    </row>
    <row r="350">
      <c r="C350" s="7" t="s">
        <v>95</v>
      </c>
    </row>
    <row r="351">
      <c r="C351" s="7" t="s">
        <v>95</v>
      </c>
    </row>
    <row r="352">
      <c r="C352" s="7" t="s">
        <v>95</v>
      </c>
    </row>
    <row r="353">
      <c r="C353" s="7" t="s">
        <v>95</v>
      </c>
    </row>
    <row r="354">
      <c r="C354" s="7" t="s">
        <v>95</v>
      </c>
    </row>
    <row r="355">
      <c r="C355" s="7" t="s">
        <v>95</v>
      </c>
    </row>
    <row r="356">
      <c r="C356" s="7" t="s">
        <v>95</v>
      </c>
    </row>
    <row r="357">
      <c r="C357" s="7" t="s">
        <v>95</v>
      </c>
    </row>
    <row r="358">
      <c r="C358" s="7" t="s">
        <v>95</v>
      </c>
    </row>
    <row r="359">
      <c r="C359" s="7" t="s">
        <v>95</v>
      </c>
    </row>
    <row r="360">
      <c r="C360" s="7" t="s">
        <v>95</v>
      </c>
    </row>
    <row r="361">
      <c r="C361" s="7" t="s">
        <v>95</v>
      </c>
    </row>
    <row r="362">
      <c r="C362" s="7" t="s">
        <v>95</v>
      </c>
    </row>
    <row r="363">
      <c r="C363" s="7" t="s">
        <v>95</v>
      </c>
    </row>
    <row r="364">
      <c r="C364" s="7" t="s">
        <v>95</v>
      </c>
    </row>
    <row r="365">
      <c r="C365" s="7" t="s">
        <v>95</v>
      </c>
    </row>
    <row r="366">
      <c r="C366" s="7" t="s">
        <v>95</v>
      </c>
    </row>
    <row r="367">
      <c r="C367" s="7" t="s">
        <v>95</v>
      </c>
    </row>
    <row r="368">
      <c r="C368" s="7" t="s">
        <v>95</v>
      </c>
    </row>
    <row r="369">
      <c r="C369" s="7" t="s">
        <v>95</v>
      </c>
    </row>
    <row r="370">
      <c r="C370" s="7" t="s">
        <v>95</v>
      </c>
    </row>
    <row r="371">
      <c r="C371" s="7" t="s">
        <v>95</v>
      </c>
    </row>
    <row r="372">
      <c r="C372" s="7" t="s">
        <v>95</v>
      </c>
    </row>
    <row r="373">
      <c r="C373" s="7" t="s">
        <v>95</v>
      </c>
    </row>
    <row r="374">
      <c r="C374" s="7" t="s">
        <v>95</v>
      </c>
    </row>
    <row r="375">
      <c r="C375" s="7" t="s">
        <v>95</v>
      </c>
    </row>
    <row r="376">
      <c r="C376" s="7" t="s">
        <v>95</v>
      </c>
    </row>
    <row r="377">
      <c r="C377" s="7" t="s">
        <v>95</v>
      </c>
    </row>
    <row r="378">
      <c r="C378" s="7" t="s">
        <v>95</v>
      </c>
    </row>
    <row r="379">
      <c r="C379" s="7" t="s">
        <v>95</v>
      </c>
    </row>
    <row r="380">
      <c r="C380" s="7" t="s">
        <v>95</v>
      </c>
    </row>
    <row r="381">
      <c r="C381" s="7" t="s">
        <v>95</v>
      </c>
    </row>
    <row r="382">
      <c r="C382" s="7" t="s">
        <v>95</v>
      </c>
    </row>
    <row r="383">
      <c r="C383" s="7" t="s">
        <v>95</v>
      </c>
    </row>
    <row r="384">
      <c r="C384" s="7" t="s">
        <v>95</v>
      </c>
    </row>
    <row r="385">
      <c r="C385" s="7" t="s">
        <v>95</v>
      </c>
    </row>
    <row r="386">
      <c r="C386" s="7" t="s">
        <v>95</v>
      </c>
    </row>
    <row r="387">
      <c r="C387" s="7" t="s">
        <v>95</v>
      </c>
    </row>
    <row r="388">
      <c r="C388" s="7" t="s">
        <v>95</v>
      </c>
    </row>
    <row r="389">
      <c r="C389" s="7" t="s">
        <v>95</v>
      </c>
    </row>
    <row r="390">
      <c r="C390" s="7" t="s">
        <v>95</v>
      </c>
    </row>
    <row r="391">
      <c r="C391" s="7" t="s">
        <v>95</v>
      </c>
    </row>
    <row r="392">
      <c r="C392" s="7" t="s">
        <v>95</v>
      </c>
    </row>
    <row r="393">
      <c r="C393" s="7" t="s">
        <v>95</v>
      </c>
    </row>
    <row r="394">
      <c r="C394" s="7" t="s">
        <v>95</v>
      </c>
    </row>
    <row r="395">
      <c r="C395" s="7" t="s">
        <v>95</v>
      </c>
    </row>
    <row r="396">
      <c r="C396" s="7" t="s">
        <v>95</v>
      </c>
    </row>
    <row r="397">
      <c r="C397" s="7" t="s">
        <v>95</v>
      </c>
    </row>
    <row r="398">
      <c r="C398" s="7" t="s">
        <v>95</v>
      </c>
    </row>
    <row r="399">
      <c r="C399" s="7" t="s">
        <v>95</v>
      </c>
    </row>
    <row r="400">
      <c r="C400" s="7" t="s">
        <v>95</v>
      </c>
    </row>
    <row r="401">
      <c r="C401" s="7" t="s">
        <v>95</v>
      </c>
    </row>
    <row r="402">
      <c r="C402" s="7" t="s">
        <v>95</v>
      </c>
    </row>
    <row r="403">
      <c r="C403" s="7" t="s">
        <v>95</v>
      </c>
    </row>
    <row r="404">
      <c r="C404" s="7" t="s">
        <v>95</v>
      </c>
    </row>
    <row r="405">
      <c r="C405" s="7" t="s">
        <v>95</v>
      </c>
    </row>
    <row r="406">
      <c r="C406" s="7" t="s">
        <v>95</v>
      </c>
    </row>
    <row r="407">
      <c r="C407" s="7" t="s">
        <v>95</v>
      </c>
    </row>
    <row r="408">
      <c r="C408" s="7" t="s">
        <v>95</v>
      </c>
    </row>
    <row r="409">
      <c r="C409" s="7" t="s">
        <v>95</v>
      </c>
    </row>
    <row r="410">
      <c r="C410" s="7" t="s">
        <v>95</v>
      </c>
    </row>
    <row r="411">
      <c r="C411" s="7" t="s">
        <v>95</v>
      </c>
    </row>
    <row r="412">
      <c r="C412" s="7" t="s">
        <v>95</v>
      </c>
    </row>
    <row r="413">
      <c r="C413" s="7" t="s">
        <v>95</v>
      </c>
    </row>
    <row r="414">
      <c r="C414" s="7" t="s">
        <v>95</v>
      </c>
    </row>
    <row r="415">
      <c r="C415" s="7" t="s">
        <v>95</v>
      </c>
    </row>
    <row r="416">
      <c r="C416" s="7" t="s">
        <v>95</v>
      </c>
    </row>
    <row r="417">
      <c r="C417" s="7" t="s">
        <v>95</v>
      </c>
    </row>
    <row r="418">
      <c r="C418" s="7" t="s">
        <v>95</v>
      </c>
    </row>
    <row r="419">
      <c r="C419" s="7" t="s">
        <v>95</v>
      </c>
    </row>
    <row r="420">
      <c r="C420" s="7" t="s">
        <v>95</v>
      </c>
    </row>
    <row r="421">
      <c r="C421" s="7" t="s">
        <v>95</v>
      </c>
    </row>
    <row r="422">
      <c r="C422" s="7" t="s">
        <v>95</v>
      </c>
    </row>
    <row r="423">
      <c r="C423" s="7" t="s">
        <v>95</v>
      </c>
    </row>
    <row r="424">
      <c r="C424" s="7" t="s">
        <v>95</v>
      </c>
    </row>
    <row r="425">
      <c r="C425" s="7" t="s">
        <v>95</v>
      </c>
    </row>
    <row r="426">
      <c r="C426" s="7" t="s">
        <v>95</v>
      </c>
    </row>
    <row r="427">
      <c r="C427" s="7" t="s">
        <v>95</v>
      </c>
    </row>
    <row r="428">
      <c r="C428" s="7" t="s">
        <v>95</v>
      </c>
    </row>
    <row r="429">
      <c r="C429" s="7" t="s">
        <v>95</v>
      </c>
    </row>
    <row r="430">
      <c r="C430" s="7" t="s">
        <v>95</v>
      </c>
    </row>
    <row r="431">
      <c r="C431" s="7" t="s">
        <v>95</v>
      </c>
    </row>
    <row r="432">
      <c r="C432" s="7" t="s">
        <v>95</v>
      </c>
    </row>
    <row r="433">
      <c r="C433" s="7" t="s">
        <v>95</v>
      </c>
    </row>
    <row r="434">
      <c r="C434" s="7" t="s">
        <v>95</v>
      </c>
    </row>
    <row r="435">
      <c r="C435" s="7" t="s">
        <v>95</v>
      </c>
    </row>
    <row r="436">
      <c r="C436" s="7" t="s">
        <v>95</v>
      </c>
    </row>
    <row r="437">
      <c r="C437" s="7" t="s">
        <v>95</v>
      </c>
    </row>
    <row r="438">
      <c r="C438" s="7" t="s">
        <v>95</v>
      </c>
    </row>
    <row r="439">
      <c r="C439" s="7" t="s">
        <v>95</v>
      </c>
    </row>
    <row r="440">
      <c r="C440" s="7" t="s">
        <v>95</v>
      </c>
    </row>
    <row r="441">
      <c r="C441" s="7" t="s">
        <v>95</v>
      </c>
    </row>
    <row r="442">
      <c r="C442" s="7" t="s">
        <v>95</v>
      </c>
    </row>
    <row r="443">
      <c r="C443" s="7" t="s">
        <v>95</v>
      </c>
    </row>
    <row r="444">
      <c r="C444" s="7" t="s">
        <v>95</v>
      </c>
    </row>
    <row r="445">
      <c r="C445" s="7" t="s">
        <v>95</v>
      </c>
    </row>
    <row r="446">
      <c r="C446" s="7" t="s">
        <v>95</v>
      </c>
    </row>
    <row r="447">
      <c r="C447" s="7" t="s">
        <v>95</v>
      </c>
    </row>
    <row r="448">
      <c r="C448" s="7" t="s">
        <v>95</v>
      </c>
    </row>
    <row r="449">
      <c r="C449" s="7" t="s">
        <v>95</v>
      </c>
    </row>
    <row r="450">
      <c r="C450" s="7" t="s">
        <v>95</v>
      </c>
    </row>
    <row r="451">
      <c r="C451" s="7" t="s">
        <v>95</v>
      </c>
    </row>
    <row r="452">
      <c r="C452" s="7" t="s">
        <v>95</v>
      </c>
    </row>
    <row r="453">
      <c r="C453" s="7" t="s">
        <v>95</v>
      </c>
    </row>
    <row r="454">
      <c r="C454" s="7" t="s">
        <v>95</v>
      </c>
    </row>
    <row r="455">
      <c r="C455" s="7" t="s">
        <v>95</v>
      </c>
    </row>
    <row r="456">
      <c r="C456" s="7" t="s">
        <v>95</v>
      </c>
    </row>
    <row r="457">
      <c r="C457" s="7" t="s">
        <v>95</v>
      </c>
    </row>
    <row r="458">
      <c r="C458" s="7" t="s">
        <v>95</v>
      </c>
    </row>
    <row r="459">
      <c r="C459" s="7" t="s">
        <v>95</v>
      </c>
    </row>
    <row r="460">
      <c r="C460" s="7" t="s">
        <v>95</v>
      </c>
    </row>
    <row r="461">
      <c r="C461" s="7" t="s">
        <v>95</v>
      </c>
    </row>
    <row r="462">
      <c r="C462" s="7" t="s">
        <v>95</v>
      </c>
    </row>
    <row r="463">
      <c r="C463" s="7" t="s">
        <v>95</v>
      </c>
    </row>
    <row r="464">
      <c r="C464" s="7" t="s">
        <v>95</v>
      </c>
    </row>
    <row r="465">
      <c r="C465" s="7" t="s">
        <v>95</v>
      </c>
    </row>
    <row r="466">
      <c r="C466" s="7" t="s">
        <v>95</v>
      </c>
    </row>
    <row r="467">
      <c r="C467" s="7" t="s">
        <v>95</v>
      </c>
    </row>
    <row r="468">
      <c r="C468" s="7" t="s">
        <v>95</v>
      </c>
    </row>
    <row r="469">
      <c r="C469" s="7" t="s">
        <v>95</v>
      </c>
    </row>
    <row r="470">
      <c r="C470" s="7" t="s">
        <v>95</v>
      </c>
    </row>
    <row r="471">
      <c r="C471" s="7" t="s">
        <v>95</v>
      </c>
    </row>
    <row r="472">
      <c r="C472" s="7" t="s">
        <v>95</v>
      </c>
    </row>
    <row r="473">
      <c r="C473" s="7" t="s">
        <v>95</v>
      </c>
    </row>
    <row r="474">
      <c r="C474" s="7" t="s">
        <v>95</v>
      </c>
    </row>
    <row r="475">
      <c r="C475" s="7" t="s">
        <v>95</v>
      </c>
    </row>
    <row r="476">
      <c r="C476" s="7" t="s">
        <v>95</v>
      </c>
    </row>
    <row r="477">
      <c r="C477" s="7" t="s">
        <v>95</v>
      </c>
    </row>
    <row r="478">
      <c r="C478" s="7" t="s">
        <v>95</v>
      </c>
    </row>
    <row r="479">
      <c r="C479" s="7" t="s">
        <v>95</v>
      </c>
    </row>
    <row r="480">
      <c r="C480" s="7" t="s">
        <v>95</v>
      </c>
    </row>
    <row r="481">
      <c r="C481" s="7" t="s">
        <v>95</v>
      </c>
    </row>
    <row r="482">
      <c r="C482" s="7" t="s">
        <v>95</v>
      </c>
    </row>
    <row r="483">
      <c r="C483" s="7" t="s">
        <v>95</v>
      </c>
    </row>
    <row r="484">
      <c r="C484" s="7" t="s">
        <v>95</v>
      </c>
    </row>
    <row r="485">
      <c r="C485" s="7" t="s">
        <v>95</v>
      </c>
    </row>
    <row r="486">
      <c r="C486" s="7" t="s">
        <v>95</v>
      </c>
    </row>
    <row r="487">
      <c r="C487" s="7" t="s">
        <v>95</v>
      </c>
    </row>
    <row r="488">
      <c r="C488" s="7" t="s">
        <v>95</v>
      </c>
    </row>
    <row r="489">
      <c r="C489" s="7" t="s">
        <v>95</v>
      </c>
    </row>
    <row r="490">
      <c r="C490" s="7" t="s">
        <v>95</v>
      </c>
    </row>
    <row r="491">
      <c r="C491" s="7" t="s">
        <v>95</v>
      </c>
    </row>
    <row r="492">
      <c r="C492" s="7" t="s">
        <v>95</v>
      </c>
    </row>
    <row r="493">
      <c r="C493" s="7" t="s">
        <v>95</v>
      </c>
    </row>
    <row r="494">
      <c r="C494" s="7" t="s">
        <v>95</v>
      </c>
    </row>
    <row r="495">
      <c r="C495" s="7" t="s">
        <v>95</v>
      </c>
    </row>
    <row r="496">
      <c r="C496" s="7" t="s">
        <v>95</v>
      </c>
    </row>
    <row r="497">
      <c r="C497" s="7" t="s">
        <v>95</v>
      </c>
    </row>
    <row r="498">
      <c r="C498" s="7" t="s">
        <v>95</v>
      </c>
    </row>
    <row r="499">
      <c r="C499" s="7" t="s">
        <v>95</v>
      </c>
    </row>
    <row r="500">
      <c r="C500" s="7" t="s">
        <v>95</v>
      </c>
    </row>
    <row r="501">
      <c r="C501" s="7" t="s">
        <v>95</v>
      </c>
    </row>
    <row r="502">
      <c r="C502" s="7" t="s">
        <v>95</v>
      </c>
    </row>
    <row r="503">
      <c r="C503" s="7" t="s">
        <v>95</v>
      </c>
    </row>
    <row r="504">
      <c r="C504" s="7" t="s">
        <v>95</v>
      </c>
    </row>
    <row r="505">
      <c r="C505" s="7" t="s">
        <v>95</v>
      </c>
    </row>
    <row r="506">
      <c r="C506" s="7" t="s">
        <v>95</v>
      </c>
    </row>
    <row r="507">
      <c r="C507" s="7" t="s">
        <v>95</v>
      </c>
    </row>
    <row r="508">
      <c r="C508" s="7" t="s">
        <v>95</v>
      </c>
    </row>
    <row r="509">
      <c r="C509" s="7" t="s">
        <v>95</v>
      </c>
    </row>
    <row r="510">
      <c r="C510" s="7" t="s">
        <v>95</v>
      </c>
    </row>
    <row r="511">
      <c r="C511" s="7" t="s">
        <v>95</v>
      </c>
    </row>
    <row r="512">
      <c r="C512" s="7" t="s">
        <v>95</v>
      </c>
    </row>
    <row r="513">
      <c r="C513" s="7" t="s">
        <v>95</v>
      </c>
    </row>
    <row r="514">
      <c r="C514" s="7" t="s">
        <v>95</v>
      </c>
    </row>
    <row r="515">
      <c r="C515" s="7" t="s">
        <v>95</v>
      </c>
    </row>
    <row r="516">
      <c r="C516" s="7" t="s">
        <v>95</v>
      </c>
    </row>
    <row r="517">
      <c r="C517" s="7" t="s">
        <v>95</v>
      </c>
    </row>
    <row r="518">
      <c r="C518" s="7" t="s">
        <v>95</v>
      </c>
    </row>
    <row r="519">
      <c r="C519" s="7" t="s">
        <v>95</v>
      </c>
    </row>
    <row r="520">
      <c r="C520" s="7" t="s">
        <v>95</v>
      </c>
    </row>
    <row r="521">
      <c r="C521" s="7" t="s">
        <v>95</v>
      </c>
    </row>
    <row r="522">
      <c r="C522" s="7" t="s">
        <v>95</v>
      </c>
    </row>
    <row r="523">
      <c r="C523" s="7" t="s">
        <v>95</v>
      </c>
    </row>
    <row r="524">
      <c r="C524" s="7" t="s">
        <v>95</v>
      </c>
    </row>
    <row r="525">
      <c r="C525" s="7" t="s">
        <v>95</v>
      </c>
    </row>
    <row r="526">
      <c r="C526" s="7" t="s">
        <v>95</v>
      </c>
    </row>
    <row r="527">
      <c r="C527" s="7" t="s">
        <v>95</v>
      </c>
    </row>
    <row r="528">
      <c r="C528" s="7" t="s">
        <v>95</v>
      </c>
    </row>
    <row r="529">
      <c r="C529" s="7" t="s">
        <v>95</v>
      </c>
    </row>
    <row r="530">
      <c r="C530" s="7" t="s">
        <v>95</v>
      </c>
    </row>
    <row r="531">
      <c r="C531" s="7" t="s">
        <v>95</v>
      </c>
    </row>
    <row r="532">
      <c r="C532" s="7" t="s">
        <v>95</v>
      </c>
    </row>
    <row r="533">
      <c r="C533" s="7" t="s">
        <v>95</v>
      </c>
    </row>
    <row r="534">
      <c r="C534" s="7" t="s">
        <v>95</v>
      </c>
    </row>
    <row r="535">
      <c r="C535" s="7" t="s">
        <v>95</v>
      </c>
    </row>
    <row r="536">
      <c r="C536" s="7" t="s">
        <v>95</v>
      </c>
    </row>
    <row r="537">
      <c r="C537" s="7" t="s">
        <v>95</v>
      </c>
    </row>
    <row r="538">
      <c r="C538" s="7" t="s">
        <v>95</v>
      </c>
    </row>
    <row r="539">
      <c r="C539" s="7" t="s">
        <v>95</v>
      </c>
    </row>
    <row r="540">
      <c r="C540" s="7" t="s">
        <v>95</v>
      </c>
    </row>
    <row r="541">
      <c r="C541" s="7" t="s">
        <v>95</v>
      </c>
    </row>
    <row r="542">
      <c r="C542" s="7" t="s">
        <v>95</v>
      </c>
    </row>
    <row r="543">
      <c r="C543" s="7" t="s">
        <v>95</v>
      </c>
    </row>
    <row r="544">
      <c r="C544" s="7" t="s">
        <v>95</v>
      </c>
    </row>
    <row r="545">
      <c r="C545" s="7" t="s">
        <v>95</v>
      </c>
    </row>
    <row r="546">
      <c r="C546" s="7" t="s">
        <v>95</v>
      </c>
    </row>
    <row r="547">
      <c r="C547" s="7" t="s">
        <v>95</v>
      </c>
    </row>
    <row r="548">
      <c r="C548" s="7" t="s">
        <v>95</v>
      </c>
    </row>
    <row r="549">
      <c r="C549" s="7" t="s">
        <v>95</v>
      </c>
    </row>
    <row r="550">
      <c r="C550" s="7" t="s">
        <v>95</v>
      </c>
    </row>
    <row r="551">
      <c r="C551" s="7" t="s">
        <v>95</v>
      </c>
    </row>
    <row r="552">
      <c r="C552" s="7" t="s">
        <v>95</v>
      </c>
    </row>
    <row r="553">
      <c r="C553" s="7" t="s">
        <v>95</v>
      </c>
    </row>
    <row r="554">
      <c r="C554" s="7" t="s">
        <v>95</v>
      </c>
    </row>
    <row r="555">
      <c r="C555" s="7" t="s">
        <v>95</v>
      </c>
    </row>
    <row r="556">
      <c r="C556" s="7" t="s">
        <v>95</v>
      </c>
    </row>
    <row r="557">
      <c r="C557" s="7" t="s">
        <v>95</v>
      </c>
    </row>
    <row r="558">
      <c r="C558" s="7" t="s">
        <v>95</v>
      </c>
    </row>
    <row r="559">
      <c r="C559" s="7" t="s">
        <v>95</v>
      </c>
    </row>
    <row r="560">
      <c r="C560" s="7" t="s">
        <v>95</v>
      </c>
    </row>
    <row r="561">
      <c r="C561" s="7" t="s">
        <v>95</v>
      </c>
    </row>
    <row r="562">
      <c r="C562" s="7" t="s">
        <v>95</v>
      </c>
    </row>
    <row r="563">
      <c r="C563" s="7" t="s">
        <v>95</v>
      </c>
    </row>
    <row r="564">
      <c r="C564" s="7" t="s">
        <v>95</v>
      </c>
    </row>
    <row r="565">
      <c r="C565" s="7" t="s">
        <v>95</v>
      </c>
    </row>
    <row r="566">
      <c r="C566" s="7" t="s">
        <v>95</v>
      </c>
    </row>
    <row r="567">
      <c r="C567" s="7" t="s">
        <v>95</v>
      </c>
    </row>
    <row r="568">
      <c r="C568" s="7" t="s">
        <v>95</v>
      </c>
    </row>
    <row r="569">
      <c r="C569" s="7" t="s">
        <v>95</v>
      </c>
    </row>
    <row r="570">
      <c r="C570" s="7" t="s">
        <v>95</v>
      </c>
    </row>
    <row r="571">
      <c r="C571" s="7" t="s">
        <v>95</v>
      </c>
    </row>
    <row r="572">
      <c r="C572" s="7" t="s">
        <v>95</v>
      </c>
    </row>
    <row r="573">
      <c r="C573" s="7" t="s">
        <v>95</v>
      </c>
    </row>
    <row r="574">
      <c r="C574" s="7" t="s">
        <v>95</v>
      </c>
    </row>
    <row r="575">
      <c r="C575" s="7" t="s">
        <v>95</v>
      </c>
    </row>
    <row r="576">
      <c r="C576" s="7" t="s">
        <v>95</v>
      </c>
    </row>
    <row r="577">
      <c r="C577" s="7" t="s">
        <v>95</v>
      </c>
    </row>
    <row r="578">
      <c r="C578" s="7" t="s">
        <v>95</v>
      </c>
    </row>
    <row r="579">
      <c r="C579" s="7" t="s">
        <v>95</v>
      </c>
    </row>
    <row r="580">
      <c r="C580" s="7" t="s">
        <v>95</v>
      </c>
    </row>
    <row r="581">
      <c r="C581" s="7" t="s">
        <v>95</v>
      </c>
    </row>
    <row r="582">
      <c r="C582" s="7" t="s">
        <v>95</v>
      </c>
    </row>
    <row r="583">
      <c r="C583" s="7" t="s">
        <v>95</v>
      </c>
    </row>
    <row r="584">
      <c r="C584" s="7" t="s">
        <v>95</v>
      </c>
    </row>
    <row r="585">
      <c r="C585" s="7" t="s">
        <v>95</v>
      </c>
    </row>
    <row r="586">
      <c r="C586" s="7" t="s">
        <v>95</v>
      </c>
    </row>
    <row r="587">
      <c r="C587" s="7" t="s">
        <v>95</v>
      </c>
    </row>
    <row r="588">
      <c r="C588" s="7" t="s">
        <v>95</v>
      </c>
    </row>
    <row r="589">
      <c r="C589" s="7" t="s">
        <v>95</v>
      </c>
    </row>
    <row r="590">
      <c r="C590" s="7" t="s">
        <v>95</v>
      </c>
    </row>
    <row r="591">
      <c r="C591" s="7" t="s">
        <v>95</v>
      </c>
    </row>
    <row r="592">
      <c r="C592" s="7" t="s">
        <v>95</v>
      </c>
    </row>
    <row r="593">
      <c r="C593" s="7" t="s">
        <v>95</v>
      </c>
    </row>
    <row r="594">
      <c r="C594" s="7" t="s">
        <v>95</v>
      </c>
    </row>
    <row r="595">
      <c r="C595" s="7" t="s">
        <v>95</v>
      </c>
    </row>
    <row r="596">
      <c r="C596" s="7" t="s">
        <v>95</v>
      </c>
    </row>
    <row r="597">
      <c r="C597" s="7" t="s">
        <v>95</v>
      </c>
    </row>
    <row r="598">
      <c r="C598" s="7" t="s">
        <v>95</v>
      </c>
    </row>
    <row r="599">
      <c r="C599" s="7" t="s">
        <v>95</v>
      </c>
    </row>
    <row r="600">
      <c r="C600" s="7" t="s">
        <v>95</v>
      </c>
    </row>
    <row r="601">
      <c r="C601" s="7" t="s">
        <v>95</v>
      </c>
    </row>
    <row r="602">
      <c r="C602" s="7" t="s">
        <v>95</v>
      </c>
    </row>
    <row r="603">
      <c r="C603" s="7" t="s">
        <v>95</v>
      </c>
    </row>
    <row r="604">
      <c r="C604" s="7" t="s">
        <v>95</v>
      </c>
    </row>
    <row r="605">
      <c r="C605" s="7" t="s">
        <v>95</v>
      </c>
    </row>
    <row r="606">
      <c r="C606" s="7" t="s">
        <v>95</v>
      </c>
    </row>
    <row r="607">
      <c r="C607" s="7" t="s">
        <v>95</v>
      </c>
    </row>
    <row r="608">
      <c r="C608" s="7" t="s">
        <v>95</v>
      </c>
    </row>
    <row r="609">
      <c r="C609" s="7" t="s">
        <v>95</v>
      </c>
    </row>
    <row r="610">
      <c r="C610" s="7" t="s">
        <v>95</v>
      </c>
    </row>
    <row r="611">
      <c r="C611" s="7" t="s">
        <v>95</v>
      </c>
    </row>
    <row r="612">
      <c r="C612" s="7" t="s">
        <v>95</v>
      </c>
    </row>
    <row r="613">
      <c r="C613" s="7" t="s">
        <v>95</v>
      </c>
    </row>
    <row r="614">
      <c r="C614" s="7" t="s">
        <v>95</v>
      </c>
    </row>
    <row r="615">
      <c r="C615" s="7" t="s">
        <v>95</v>
      </c>
    </row>
    <row r="616">
      <c r="C616" s="7" t="s">
        <v>95</v>
      </c>
    </row>
    <row r="617">
      <c r="C617" s="7" t="s">
        <v>95</v>
      </c>
    </row>
    <row r="618">
      <c r="C618" s="7" t="s">
        <v>95</v>
      </c>
    </row>
    <row r="619">
      <c r="C619" s="7" t="s">
        <v>95</v>
      </c>
    </row>
    <row r="620">
      <c r="C620" s="7" t="s">
        <v>95</v>
      </c>
    </row>
    <row r="621">
      <c r="C621" s="7" t="s">
        <v>95</v>
      </c>
    </row>
    <row r="622">
      <c r="C622" s="7" t="s">
        <v>95</v>
      </c>
    </row>
    <row r="623">
      <c r="C623" s="7" t="s">
        <v>95</v>
      </c>
    </row>
    <row r="624">
      <c r="C624" s="7" t="s">
        <v>95</v>
      </c>
    </row>
    <row r="625">
      <c r="C625" s="7" t="s">
        <v>95</v>
      </c>
    </row>
    <row r="626">
      <c r="C626" s="7" t="s">
        <v>95</v>
      </c>
    </row>
    <row r="627">
      <c r="C627" s="7" t="s">
        <v>95</v>
      </c>
    </row>
    <row r="628">
      <c r="C628" s="7" t="s">
        <v>95</v>
      </c>
    </row>
    <row r="629">
      <c r="C629" s="7" t="s">
        <v>95</v>
      </c>
    </row>
    <row r="630">
      <c r="C630" s="7" t="s">
        <v>95</v>
      </c>
    </row>
    <row r="631">
      <c r="C631" s="7" t="s">
        <v>95</v>
      </c>
    </row>
    <row r="632">
      <c r="C632" s="7" t="s">
        <v>95</v>
      </c>
    </row>
    <row r="633">
      <c r="C633" s="7" t="s">
        <v>95</v>
      </c>
    </row>
    <row r="634">
      <c r="C634" s="7" t="s">
        <v>95</v>
      </c>
    </row>
    <row r="635">
      <c r="C635" s="7" t="s">
        <v>95</v>
      </c>
    </row>
    <row r="636">
      <c r="C636" s="7" t="s">
        <v>95</v>
      </c>
    </row>
    <row r="637">
      <c r="C637" s="7" t="s">
        <v>95</v>
      </c>
    </row>
    <row r="638">
      <c r="C638" s="7" t="s">
        <v>95</v>
      </c>
    </row>
    <row r="639">
      <c r="C639" s="7" t="s">
        <v>95</v>
      </c>
    </row>
    <row r="640">
      <c r="C640" s="7" t="s">
        <v>95</v>
      </c>
    </row>
    <row r="641">
      <c r="C641" s="7" t="s">
        <v>95</v>
      </c>
    </row>
    <row r="642">
      <c r="C642" s="7" t="s">
        <v>95</v>
      </c>
    </row>
    <row r="643">
      <c r="C643" s="7" t="s">
        <v>95</v>
      </c>
    </row>
    <row r="644">
      <c r="C644" s="7" t="s">
        <v>95</v>
      </c>
    </row>
    <row r="645">
      <c r="C645" s="7" t="s">
        <v>95</v>
      </c>
    </row>
    <row r="646">
      <c r="C646" s="7" t="s">
        <v>95</v>
      </c>
    </row>
    <row r="647">
      <c r="C647" s="7" t="s">
        <v>95</v>
      </c>
    </row>
    <row r="648">
      <c r="C648" s="7" t="s">
        <v>95</v>
      </c>
    </row>
    <row r="649">
      <c r="C649" s="7" t="s">
        <v>95</v>
      </c>
    </row>
    <row r="650">
      <c r="C650" s="7" t="s">
        <v>95</v>
      </c>
    </row>
    <row r="651">
      <c r="C651" s="7" t="s">
        <v>95</v>
      </c>
    </row>
    <row r="652">
      <c r="C652" s="7" t="s">
        <v>95</v>
      </c>
    </row>
    <row r="653">
      <c r="C653" s="7" t="s">
        <v>95</v>
      </c>
    </row>
    <row r="654">
      <c r="C654" s="7" t="s">
        <v>95</v>
      </c>
    </row>
    <row r="655">
      <c r="C655" s="7" t="s">
        <v>95</v>
      </c>
    </row>
    <row r="656">
      <c r="C656" s="7" t="s">
        <v>95</v>
      </c>
    </row>
    <row r="657">
      <c r="C657" s="7" t="s">
        <v>95</v>
      </c>
    </row>
    <row r="658">
      <c r="C658" s="7" t="s">
        <v>95</v>
      </c>
    </row>
    <row r="659">
      <c r="C659" s="7" t="s">
        <v>95</v>
      </c>
    </row>
    <row r="660">
      <c r="C660" s="7" t="s">
        <v>95</v>
      </c>
    </row>
    <row r="661">
      <c r="C661" s="7" t="s">
        <v>95</v>
      </c>
    </row>
    <row r="662">
      <c r="C662" s="7" t="s">
        <v>95</v>
      </c>
    </row>
    <row r="663">
      <c r="C663" s="7" t="s">
        <v>95</v>
      </c>
    </row>
    <row r="664">
      <c r="C664" s="7" t="s">
        <v>95</v>
      </c>
    </row>
    <row r="665">
      <c r="C665" s="7" t="s">
        <v>95</v>
      </c>
    </row>
    <row r="666">
      <c r="C666" s="7" t="s">
        <v>95</v>
      </c>
    </row>
    <row r="667">
      <c r="C667" s="7" t="s">
        <v>95</v>
      </c>
    </row>
    <row r="668">
      <c r="C668" s="7" t="s">
        <v>95</v>
      </c>
    </row>
    <row r="669">
      <c r="C669" s="7" t="s">
        <v>95</v>
      </c>
    </row>
    <row r="670">
      <c r="C670" s="7" t="s">
        <v>95</v>
      </c>
    </row>
    <row r="671">
      <c r="C671" s="7" t="s">
        <v>95</v>
      </c>
    </row>
    <row r="672">
      <c r="C672" s="7" t="s">
        <v>95</v>
      </c>
    </row>
    <row r="673">
      <c r="C673" s="7" t="s">
        <v>95</v>
      </c>
    </row>
    <row r="674">
      <c r="C674" s="7" t="s">
        <v>95</v>
      </c>
    </row>
    <row r="675">
      <c r="C675" s="7" t="s">
        <v>95</v>
      </c>
    </row>
    <row r="676">
      <c r="C676" s="7" t="s">
        <v>95</v>
      </c>
    </row>
    <row r="677">
      <c r="C677" s="7" t="s">
        <v>95</v>
      </c>
    </row>
    <row r="678">
      <c r="C678" s="7" t="s">
        <v>95</v>
      </c>
    </row>
    <row r="679">
      <c r="C679" s="7" t="s">
        <v>95</v>
      </c>
    </row>
    <row r="680">
      <c r="C680" s="7" t="s">
        <v>95</v>
      </c>
    </row>
    <row r="681">
      <c r="C681" s="7" t="s">
        <v>95</v>
      </c>
    </row>
    <row r="682">
      <c r="C682" s="7" t="s">
        <v>95</v>
      </c>
    </row>
    <row r="683">
      <c r="C683" s="7" t="s">
        <v>95</v>
      </c>
    </row>
    <row r="684">
      <c r="C684" s="7" t="s">
        <v>95</v>
      </c>
    </row>
    <row r="685">
      <c r="C685" s="7" t="s">
        <v>95</v>
      </c>
    </row>
    <row r="686">
      <c r="C686" s="7" t="s">
        <v>95</v>
      </c>
    </row>
    <row r="687">
      <c r="C687" s="7" t="s">
        <v>95</v>
      </c>
    </row>
    <row r="688">
      <c r="C688" s="7" t="s">
        <v>95</v>
      </c>
    </row>
    <row r="689">
      <c r="C689" s="7" t="s">
        <v>95</v>
      </c>
    </row>
    <row r="690">
      <c r="C690" s="7" t="s">
        <v>95</v>
      </c>
    </row>
    <row r="691">
      <c r="C691" s="7" t="s">
        <v>95</v>
      </c>
    </row>
    <row r="692">
      <c r="C692" s="7" t="s">
        <v>95</v>
      </c>
    </row>
    <row r="693">
      <c r="C693" s="7" t="s">
        <v>95</v>
      </c>
    </row>
    <row r="694">
      <c r="C694" s="7" t="s">
        <v>95</v>
      </c>
    </row>
    <row r="695">
      <c r="C695" s="7" t="s">
        <v>95</v>
      </c>
    </row>
    <row r="696">
      <c r="C696" s="7" t="s">
        <v>95</v>
      </c>
    </row>
    <row r="697">
      <c r="C697" s="7" t="s">
        <v>95</v>
      </c>
    </row>
    <row r="698">
      <c r="C698" s="7" t="s">
        <v>95</v>
      </c>
    </row>
    <row r="699">
      <c r="C699" s="7" t="s">
        <v>95</v>
      </c>
    </row>
    <row r="700">
      <c r="C700" s="7" t="s">
        <v>95</v>
      </c>
    </row>
    <row r="701">
      <c r="C701" s="7" t="s">
        <v>95</v>
      </c>
    </row>
    <row r="702">
      <c r="C702" s="7" t="s">
        <v>95</v>
      </c>
    </row>
    <row r="703">
      <c r="C703" s="7" t="s">
        <v>95</v>
      </c>
    </row>
    <row r="704">
      <c r="C704" s="7" t="s">
        <v>95</v>
      </c>
    </row>
    <row r="705">
      <c r="C705" s="7" t="s">
        <v>95</v>
      </c>
    </row>
    <row r="706">
      <c r="C706" s="7" t="s">
        <v>95</v>
      </c>
    </row>
    <row r="707">
      <c r="C707" s="7" t="s">
        <v>95</v>
      </c>
    </row>
    <row r="708">
      <c r="C708" s="7" t="s">
        <v>95</v>
      </c>
    </row>
    <row r="709">
      <c r="C709" s="7" t="s">
        <v>95</v>
      </c>
    </row>
    <row r="710">
      <c r="C710" s="7" t="s">
        <v>95</v>
      </c>
    </row>
    <row r="711">
      <c r="C711" s="7" t="s">
        <v>95</v>
      </c>
    </row>
    <row r="712">
      <c r="C712" s="7" t="s">
        <v>95</v>
      </c>
    </row>
    <row r="713">
      <c r="C713" s="7" t="s">
        <v>95</v>
      </c>
    </row>
    <row r="714">
      <c r="C714" s="7" t="s">
        <v>95</v>
      </c>
    </row>
    <row r="715">
      <c r="C715" s="7" t="s">
        <v>95</v>
      </c>
    </row>
    <row r="716">
      <c r="C716" s="7" t="s">
        <v>95</v>
      </c>
    </row>
    <row r="717">
      <c r="C717" s="7" t="s">
        <v>95</v>
      </c>
    </row>
    <row r="718">
      <c r="C718" s="7" t="s">
        <v>95</v>
      </c>
    </row>
    <row r="719">
      <c r="C719" s="7" t="s">
        <v>95</v>
      </c>
    </row>
    <row r="720">
      <c r="C720" s="7" t="s">
        <v>95</v>
      </c>
    </row>
    <row r="721">
      <c r="C721" s="7" t="s">
        <v>95</v>
      </c>
    </row>
    <row r="722">
      <c r="C722" s="7" t="s">
        <v>95</v>
      </c>
    </row>
    <row r="723">
      <c r="C723" s="7" t="s">
        <v>95</v>
      </c>
    </row>
    <row r="724">
      <c r="C724" s="7" t="s">
        <v>95</v>
      </c>
    </row>
    <row r="725">
      <c r="C725" s="7" t="s">
        <v>95</v>
      </c>
    </row>
    <row r="726">
      <c r="C726" s="7" t="s">
        <v>95</v>
      </c>
    </row>
    <row r="727">
      <c r="C727" s="7" t="s">
        <v>95</v>
      </c>
    </row>
    <row r="728">
      <c r="C728" s="7" t="s">
        <v>95</v>
      </c>
    </row>
    <row r="729">
      <c r="C729" s="7" t="s">
        <v>95</v>
      </c>
    </row>
    <row r="730">
      <c r="C730" s="7" t="s">
        <v>95</v>
      </c>
    </row>
    <row r="731">
      <c r="C731" s="7" t="s">
        <v>95</v>
      </c>
    </row>
    <row r="732">
      <c r="C732" s="7" t="s">
        <v>95</v>
      </c>
    </row>
    <row r="733">
      <c r="C733" s="7" t="s">
        <v>95</v>
      </c>
    </row>
    <row r="734">
      <c r="C734" s="7" t="s">
        <v>95</v>
      </c>
    </row>
    <row r="735">
      <c r="C735" s="7" t="s">
        <v>95</v>
      </c>
    </row>
    <row r="736">
      <c r="C736" s="7" t="s">
        <v>95</v>
      </c>
    </row>
    <row r="737">
      <c r="C737" s="7" t="s">
        <v>95</v>
      </c>
    </row>
    <row r="738">
      <c r="C738" s="7" t="s">
        <v>95</v>
      </c>
    </row>
    <row r="739">
      <c r="C739" s="7" t="s">
        <v>95</v>
      </c>
    </row>
    <row r="740">
      <c r="C740" s="7" t="s">
        <v>95</v>
      </c>
    </row>
    <row r="741">
      <c r="C741" s="7" t="s">
        <v>95</v>
      </c>
    </row>
    <row r="742">
      <c r="C742" s="7" t="s">
        <v>95</v>
      </c>
    </row>
    <row r="743">
      <c r="C743" s="7" t="s">
        <v>95</v>
      </c>
    </row>
    <row r="744">
      <c r="C744" s="7" t="s">
        <v>95</v>
      </c>
    </row>
    <row r="745">
      <c r="C745" s="7" t="s">
        <v>95</v>
      </c>
    </row>
    <row r="746">
      <c r="C746" s="7" t="s">
        <v>95</v>
      </c>
    </row>
    <row r="747">
      <c r="C747" s="7" t="s">
        <v>95</v>
      </c>
    </row>
    <row r="748">
      <c r="C748" s="7" t="s">
        <v>95</v>
      </c>
    </row>
    <row r="749">
      <c r="C749" s="7" t="s">
        <v>95</v>
      </c>
    </row>
    <row r="750">
      <c r="C750" s="7" t="s">
        <v>95</v>
      </c>
    </row>
    <row r="751">
      <c r="C751" s="7" t="s">
        <v>95</v>
      </c>
    </row>
    <row r="752">
      <c r="C752" s="7" t="s">
        <v>95</v>
      </c>
    </row>
    <row r="753">
      <c r="C753" s="7" t="s">
        <v>95</v>
      </c>
    </row>
    <row r="754">
      <c r="C754" s="7" t="s">
        <v>95</v>
      </c>
    </row>
    <row r="755">
      <c r="C755" s="7" t="s">
        <v>95</v>
      </c>
    </row>
    <row r="756">
      <c r="C756" s="7" t="s">
        <v>95</v>
      </c>
    </row>
    <row r="757">
      <c r="C757" s="7" t="s">
        <v>95</v>
      </c>
    </row>
    <row r="758">
      <c r="C758" s="7" t="s">
        <v>95</v>
      </c>
    </row>
    <row r="759">
      <c r="C759" s="7" t="s">
        <v>95</v>
      </c>
    </row>
    <row r="760">
      <c r="C760" s="7" t="s">
        <v>95</v>
      </c>
    </row>
    <row r="761">
      <c r="C761" s="7" t="s">
        <v>95</v>
      </c>
    </row>
    <row r="762">
      <c r="C762" s="7" t="s">
        <v>95</v>
      </c>
    </row>
    <row r="763">
      <c r="C763" s="7" t="s">
        <v>95</v>
      </c>
    </row>
    <row r="764">
      <c r="C764" s="7" t="s">
        <v>95</v>
      </c>
    </row>
    <row r="765">
      <c r="C765" s="7" t="s">
        <v>95</v>
      </c>
    </row>
    <row r="766">
      <c r="C766" s="7" t="s">
        <v>95</v>
      </c>
    </row>
    <row r="767">
      <c r="C767" s="7" t="s">
        <v>95</v>
      </c>
    </row>
    <row r="768">
      <c r="C768" s="7" t="s">
        <v>95</v>
      </c>
    </row>
    <row r="769">
      <c r="C769" s="7" t="s">
        <v>95</v>
      </c>
    </row>
    <row r="770">
      <c r="C770" s="7" t="s">
        <v>95</v>
      </c>
    </row>
    <row r="771">
      <c r="C771" s="7" t="s">
        <v>95</v>
      </c>
    </row>
    <row r="772">
      <c r="C772" s="7" t="s">
        <v>95</v>
      </c>
    </row>
    <row r="773">
      <c r="C773" s="7" t="s">
        <v>95</v>
      </c>
    </row>
    <row r="774">
      <c r="C774" s="7" t="s">
        <v>95</v>
      </c>
    </row>
    <row r="775">
      <c r="C775" s="7" t="s">
        <v>95</v>
      </c>
    </row>
    <row r="776">
      <c r="C776" s="7" t="s">
        <v>95</v>
      </c>
    </row>
    <row r="777">
      <c r="C777" s="7" t="s">
        <v>95</v>
      </c>
    </row>
    <row r="778">
      <c r="C778" s="7" t="s">
        <v>95</v>
      </c>
    </row>
    <row r="779">
      <c r="C779" s="7" t="s">
        <v>95</v>
      </c>
    </row>
    <row r="780">
      <c r="C780" s="7" t="s">
        <v>95</v>
      </c>
    </row>
    <row r="781">
      <c r="C781" s="7" t="s">
        <v>95</v>
      </c>
    </row>
    <row r="782">
      <c r="C782" s="7" t="s">
        <v>95</v>
      </c>
    </row>
    <row r="783">
      <c r="C783" s="7" t="s">
        <v>95</v>
      </c>
    </row>
    <row r="784">
      <c r="C784" s="7" t="s">
        <v>95</v>
      </c>
    </row>
    <row r="785">
      <c r="C785" s="7" t="s">
        <v>95</v>
      </c>
    </row>
    <row r="786">
      <c r="C786" s="7" t="s">
        <v>95</v>
      </c>
    </row>
    <row r="787">
      <c r="C787" s="7" t="s">
        <v>95</v>
      </c>
    </row>
    <row r="788">
      <c r="C788" s="7" t="s">
        <v>95</v>
      </c>
    </row>
    <row r="789">
      <c r="C789" s="7" t="s">
        <v>95</v>
      </c>
    </row>
    <row r="790">
      <c r="C790" s="7" t="s">
        <v>95</v>
      </c>
    </row>
    <row r="791">
      <c r="C791" s="7" t="s">
        <v>95</v>
      </c>
    </row>
    <row r="792">
      <c r="C792" s="7" t="s">
        <v>95</v>
      </c>
    </row>
    <row r="793">
      <c r="C793" s="7" t="s">
        <v>95</v>
      </c>
    </row>
    <row r="794">
      <c r="C794" s="7" t="s">
        <v>95</v>
      </c>
    </row>
    <row r="795">
      <c r="C795" s="7" t="s">
        <v>95</v>
      </c>
    </row>
    <row r="796">
      <c r="C796" s="7" t="s">
        <v>95</v>
      </c>
    </row>
    <row r="797">
      <c r="C797" s="7" t="s">
        <v>95</v>
      </c>
    </row>
    <row r="798">
      <c r="C798" s="7" t="s">
        <v>95</v>
      </c>
    </row>
    <row r="799">
      <c r="C799" s="7" t="s">
        <v>95</v>
      </c>
    </row>
    <row r="800">
      <c r="C800" s="7" t="s">
        <v>95</v>
      </c>
    </row>
    <row r="801">
      <c r="C801" s="7" t="s">
        <v>95</v>
      </c>
    </row>
    <row r="802">
      <c r="C802" s="7" t="s">
        <v>95</v>
      </c>
    </row>
    <row r="803">
      <c r="C803" s="7" t="s">
        <v>95</v>
      </c>
    </row>
    <row r="804">
      <c r="C804" s="7" t="s">
        <v>95</v>
      </c>
    </row>
    <row r="805">
      <c r="C805" s="7" t="s">
        <v>95</v>
      </c>
    </row>
    <row r="806">
      <c r="C806" s="7" t="s">
        <v>95</v>
      </c>
    </row>
    <row r="807">
      <c r="C807" s="7" t="s">
        <v>95</v>
      </c>
    </row>
    <row r="808">
      <c r="C808" s="7" t="s">
        <v>95</v>
      </c>
    </row>
    <row r="809">
      <c r="C809" s="7" t="s">
        <v>95</v>
      </c>
    </row>
    <row r="810">
      <c r="C810" s="7" t="s">
        <v>95</v>
      </c>
    </row>
    <row r="811">
      <c r="C811" s="7" t="s">
        <v>95</v>
      </c>
    </row>
    <row r="812">
      <c r="C812" s="7" t="s">
        <v>95</v>
      </c>
    </row>
    <row r="813">
      <c r="C813" s="7" t="s">
        <v>95</v>
      </c>
    </row>
    <row r="814">
      <c r="C814" s="7" t="s">
        <v>95</v>
      </c>
    </row>
    <row r="815">
      <c r="C815" s="7" t="s">
        <v>95</v>
      </c>
    </row>
    <row r="816">
      <c r="C816" s="7" t="s">
        <v>95</v>
      </c>
    </row>
    <row r="817">
      <c r="C817" s="7" t="s">
        <v>95</v>
      </c>
    </row>
    <row r="818">
      <c r="C818" s="7" t="s">
        <v>95</v>
      </c>
    </row>
    <row r="819">
      <c r="C819" s="7" t="s">
        <v>95</v>
      </c>
    </row>
    <row r="820">
      <c r="C820" s="7" t="s">
        <v>95</v>
      </c>
    </row>
    <row r="821">
      <c r="C821" s="7" t="s">
        <v>95</v>
      </c>
    </row>
    <row r="822">
      <c r="C822" s="7" t="s">
        <v>95</v>
      </c>
    </row>
    <row r="823">
      <c r="C823" s="7" t="s">
        <v>95</v>
      </c>
    </row>
    <row r="824">
      <c r="C824" s="7" t="s">
        <v>95</v>
      </c>
    </row>
    <row r="825">
      <c r="C825" s="7" t="s">
        <v>95</v>
      </c>
    </row>
    <row r="826">
      <c r="C826" s="7" t="s">
        <v>95</v>
      </c>
    </row>
    <row r="827">
      <c r="C827" s="7" t="s">
        <v>95</v>
      </c>
    </row>
    <row r="828">
      <c r="C828" s="7" t="s">
        <v>95</v>
      </c>
    </row>
    <row r="829">
      <c r="C829" s="7" t="s">
        <v>95</v>
      </c>
    </row>
    <row r="830">
      <c r="C830" s="7" t="s">
        <v>95</v>
      </c>
    </row>
    <row r="831">
      <c r="C831" s="7" t="s">
        <v>95</v>
      </c>
    </row>
    <row r="832">
      <c r="C832" s="7" t="s">
        <v>95</v>
      </c>
    </row>
    <row r="833">
      <c r="C833" s="7" t="s">
        <v>95</v>
      </c>
    </row>
    <row r="834">
      <c r="C834" s="7" t="s">
        <v>95</v>
      </c>
    </row>
    <row r="835">
      <c r="C835" s="7" t="s">
        <v>95</v>
      </c>
    </row>
    <row r="836">
      <c r="C836" s="7" t="s">
        <v>95</v>
      </c>
    </row>
    <row r="837">
      <c r="C837" s="7" t="s">
        <v>95</v>
      </c>
    </row>
    <row r="838">
      <c r="C838" s="7" t="s">
        <v>95</v>
      </c>
    </row>
    <row r="839">
      <c r="C839" s="7" t="s">
        <v>95</v>
      </c>
    </row>
    <row r="840">
      <c r="C840" s="7" t="s">
        <v>95</v>
      </c>
    </row>
    <row r="841">
      <c r="C841" s="7" t="s">
        <v>95</v>
      </c>
    </row>
    <row r="842">
      <c r="C842" s="7" t="s">
        <v>95</v>
      </c>
    </row>
    <row r="843">
      <c r="C843" s="7" t="s">
        <v>95</v>
      </c>
    </row>
    <row r="844">
      <c r="C844" s="7" t="s">
        <v>95</v>
      </c>
    </row>
    <row r="845">
      <c r="C845" s="7" t="s">
        <v>95</v>
      </c>
    </row>
    <row r="846">
      <c r="C846" s="7" t="s">
        <v>95</v>
      </c>
    </row>
    <row r="847">
      <c r="C847" s="7" t="s">
        <v>95</v>
      </c>
    </row>
    <row r="848">
      <c r="C848" s="7" t="s">
        <v>95</v>
      </c>
    </row>
    <row r="849">
      <c r="C849" s="7" t="s">
        <v>95</v>
      </c>
    </row>
    <row r="850">
      <c r="C850" s="7" t="s">
        <v>95</v>
      </c>
    </row>
    <row r="851">
      <c r="C851" s="7" t="s">
        <v>95</v>
      </c>
    </row>
    <row r="852">
      <c r="C852" s="7" t="s">
        <v>95</v>
      </c>
    </row>
    <row r="853">
      <c r="C853" s="7" t="s">
        <v>95</v>
      </c>
    </row>
    <row r="854">
      <c r="C854" s="7" t="s">
        <v>95</v>
      </c>
    </row>
    <row r="855">
      <c r="C855" s="7" t="s">
        <v>95</v>
      </c>
    </row>
    <row r="856">
      <c r="C856" s="7" t="s">
        <v>95</v>
      </c>
    </row>
    <row r="857">
      <c r="C857" s="7" t="s">
        <v>95</v>
      </c>
    </row>
    <row r="858">
      <c r="C858" s="7" t="s">
        <v>95</v>
      </c>
    </row>
    <row r="859">
      <c r="C859" s="7" t="s">
        <v>95</v>
      </c>
    </row>
    <row r="860">
      <c r="C860" s="7" t="s">
        <v>95</v>
      </c>
    </row>
    <row r="861">
      <c r="C861" s="7" t="s">
        <v>95</v>
      </c>
    </row>
    <row r="862">
      <c r="C862" s="7" t="s">
        <v>95</v>
      </c>
    </row>
    <row r="863">
      <c r="C863" s="7" t="s">
        <v>95</v>
      </c>
    </row>
    <row r="864">
      <c r="C864" s="7" t="s">
        <v>95</v>
      </c>
    </row>
    <row r="865">
      <c r="C865" s="7" t="s">
        <v>95</v>
      </c>
    </row>
    <row r="866">
      <c r="C866" s="7" t="s">
        <v>95</v>
      </c>
    </row>
    <row r="867">
      <c r="C867" s="7" t="s">
        <v>95</v>
      </c>
    </row>
    <row r="868">
      <c r="C868" s="7" t="s">
        <v>95</v>
      </c>
    </row>
    <row r="869">
      <c r="C869" s="7" t="s">
        <v>95</v>
      </c>
    </row>
    <row r="870">
      <c r="C870" s="7" t="s">
        <v>95</v>
      </c>
    </row>
    <row r="871">
      <c r="C871" s="7" t="s">
        <v>95</v>
      </c>
    </row>
    <row r="872">
      <c r="C872" s="7" t="s">
        <v>95</v>
      </c>
    </row>
    <row r="873">
      <c r="C873" s="7" t="s">
        <v>95</v>
      </c>
    </row>
    <row r="874">
      <c r="C874" s="7" t="s">
        <v>95</v>
      </c>
    </row>
    <row r="875">
      <c r="C875" s="7" t="s">
        <v>95</v>
      </c>
    </row>
    <row r="876">
      <c r="C876" s="7" t="s">
        <v>95</v>
      </c>
    </row>
    <row r="877">
      <c r="C877" s="7" t="s">
        <v>95</v>
      </c>
    </row>
    <row r="878">
      <c r="C878" s="7" t="s">
        <v>95</v>
      </c>
    </row>
    <row r="879">
      <c r="C879" s="7" t="s">
        <v>95</v>
      </c>
    </row>
    <row r="880">
      <c r="C880" s="7" t="s">
        <v>95</v>
      </c>
    </row>
    <row r="881">
      <c r="C881" s="7" t="s">
        <v>95</v>
      </c>
    </row>
    <row r="882">
      <c r="C882" s="7" t="s">
        <v>95</v>
      </c>
    </row>
    <row r="883">
      <c r="C883" s="7" t="s">
        <v>95</v>
      </c>
    </row>
    <row r="884">
      <c r="C884" s="7" t="s">
        <v>95</v>
      </c>
    </row>
    <row r="885">
      <c r="C885" s="7" t="s">
        <v>95</v>
      </c>
    </row>
    <row r="886">
      <c r="C886" s="7" t="s">
        <v>95</v>
      </c>
    </row>
    <row r="887">
      <c r="C887" s="7" t="s">
        <v>95</v>
      </c>
    </row>
    <row r="888">
      <c r="C888" s="7" t="s">
        <v>95</v>
      </c>
    </row>
    <row r="889">
      <c r="C889" s="7" t="s">
        <v>95</v>
      </c>
    </row>
    <row r="890">
      <c r="C890" s="7" t="s">
        <v>95</v>
      </c>
    </row>
    <row r="891">
      <c r="C891" s="7" t="s">
        <v>95</v>
      </c>
    </row>
    <row r="892">
      <c r="C892" s="7" t="s">
        <v>95</v>
      </c>
    </row>
    <row r="893">
      <c r="C893" s="7" t="s">
        <v>95</v>
      </c>
    </row>
    <row r="894">
      <c r="C894" s="7" t="s">
        <v>95</v>
      </c>
    </row>
    <row r="895">
      <c r="C895" s="7" t="s">
        <v>95</v>
      </c>
    </row>
    <row r="896">
      <c r="C896" s="7" t="s">
        <v>95</v>
      </c>
    </row>
    <row r="897">
      <c r="C897" s="7" t="s">
        <v>95</v>
      </c>
    </row>
    <row r="898">
      <c r="C898" s="7" t="s">
        <v>95</v>
      </c>
    </row>
    <row r="899">
      <c r="C899" s="7" t="s">
        <v>95</v>
      </c>
    </row>
    <row r="900">
      <c r="C900" s="7" t="s">
        <v>95</v>
      </c>
    </row>
    <row r="901">
      <c r="C901" s="7" t="s">
        <v>95</v>
      </c>
    </row>
    <row r="902">
      <c r="C902" s="7" t="s">
        <v>95</v>
      </c>
    </row>
    <row r="903">
      <c r="C903" s="7" t="s">
        <v>95</v>
      </c>
    </row>
    <row r="904">
      <c r="C904" s="7" t="s">
        <v>95</v>
      </c>
    </row>
    <row r="905">
      <c r="C905" s="7" t="s">
        <v>95</v>
      </c>
    </row>
    <row r="906">
      <c r="C906" s="7" t="s">
        <v>95</v>
      </c>
    </row>
    <row r="907">
      <c r="C907" s="7" t="s">
        <v>95</v>
      </c>
    </row>
    <row r="908">
      <c r="C908" s="7" t="s">
        <v>95</v>
      </c>
    </row>
    <row r="909">
      <c r="C909" s="7" t="s">
        <v>95</v>
      </c>
    </row>
    <row r="910">
      <c r="C910" s="7" t="s">
        <v>95</v>
      </c>
    </row>
    <row r="911">
      <c r="C911" s="7" t="s">
        <v>95</v>
      </c>
    </row>
    <row r="912">
      <c r="C912" s="7" t="s">
        <v>95</v>
      </c>
    </row>
    <row r="913">
      <c r="C913" s="7" t="s">
        <v>95</v>
      </c>
    </row>
    <row r="914">
      <c r="C914" s="7" t="s">
        <v>95</v>
      </c>
    </row>
    <row r="915">
      <c r="C915" s="7" t="s">
        <v>95</v>
      </c>
    </row>
    <row r="916">
      <c r="C916" s="7" t="s">
        <v>95</v>
      </c>
    </row>
    <row r="917">
      <c r="C917" s="7" t="s">
        <v>95</v>
      </c>
    </row>
    <row r="918">
      <c r="C918" s="7" t="s">
        <v>95</v>
      </c>
    </row>
    <row r="919">
      <c r="C919" s="7" t="s">
        <v>95</v>
      </c>
    </row>
    <row r="920">
      <c r="C920" s="7" t="s">
        <v>95</v>
      </c>
    </row>
    <row r="921">
      <c r="C921" s="7" t="s">
        <v>95</v>
      </c>
    </row>
    <row r="922">
      <c r="C922" s="7" t="s">
        <v>95</v>
      </c>
    </row>
    <row r="923">
      <c r="C923" s="7" t="s">
        <v>95</v>
      </c>
    </row>
    <row r="924">
      <c r="C924" s="7" t="s">
        <v>95</v>
      </c>
    </row>
    <row r="925">
      <c r="C925" s="7" t="s">
        <v>95</v>
      </c>
    </row>
    <row r="926">
      <c r="C926" s="7" t="s">
        <v>95</v>
      </c>
    </row>
    <row r="927">
      <c r="C927" s="7" t="s">
        <v>95</v>
      </c>
    </row>
    <row r="928">
      <c r="C928" s="7" t="s">
        <v>95</v>
      </c>
    </row>
    <row r="929">
      <c r="C929" s="7" t="s">
        <v>95</v>
      </c>
    </row>
    <row r="930">
      <c r="C930" s="7" t="s">
        <v>95</v>
      </c>
    </row>
    <row r="931">
      <c r="C931" s="7" t="s">
        <v>95</v>
      </c>
    </row>
    <row r="932">
      <c r="C932" s="7" t="s">
        <v>95</v>
      </c>
    </row>
    <row r="933">
      <c r="C933" s="7" t="s">
        <v>95</v>
      </c>
    </row>
    <row r="934">
      <c r="C934" s="7" t="s">
        <v>95</v>
      </c>
    </row>
    <row r="935">
      <c r="C935" s="7" t="s">
        <v>95</v>
      </c>
    </row>
    <row r="936">
      <c r="C936" s="7" t="s">
        <v>95</v>
      </c>
    </row>
    <row r="937">
      <c r="C937" s="7" t="s">
        <v>95</v>
      </c>
    </row>
    <row r="938">
      <c r="C938" s="7" t="s">
        <v>95</v>
      </c>
    </row>
    <row r="939">
      <c r="C939" s="7" t="s">
        <v>95</v>
      </c>
    </row>
    <row r="940">
      <c r="C940" s="7" t="s">
        <v>95</v>
      </c>
    </row>
    <row r="941">
      <c r="C941" s="7" t="s">
        <v>95</v>
      </c>
    </row>
    <row r="942">
      <c r="C942" s="7" t="s">
        <v>95</v>
      </c>
    </row>
    <row r="943">
      <c r="C943" s="7" t="s">
        <v>95</v>
      </c>
    </row>
    <row r="944">
      <c r="C944" s="7" t="s">
        <v>95</v>
      </c>
    </row>
    <row r="945">
      <c r="C945" s="7" t="s">
        <v>95</v>
      </c>
    </row>
    <row r="946">
      <c r="C946" s="7" t="s">
        <v>95</v>
      </c>
    </row>
    <row r="947">
      <c r="C947" s="7" t="s">
        <v>95</v>
      </c>
    </row>
    <row r="948">
      <c r="C948" s="7" t="s">
        <v>95</v>
      </c>
    </row>
    <row r="949">
      <c r="C949" s="7" t="s">
        <v>95</v>
      </c>
    </row>
    <row r="950">
      <c r="C950" s="7" t="s">
        <v>95</v>
      </c>
    </row>
    <row r="951">
      <c r="C951" s="7" t="s">
        <v>95</v>
      </c>
    </row>
    <row r="952">
      <c r="C952" s="7" t="s">
        <v>95</v>
      </c>
    </row>
    <row r="953">
      <c r="C953" s="7" t="s">
        <v>95</v>
      </c>
    </row>
    <row r="954">
      <c r="C954" s="7" t="s">
        <v>95</v>
      </c>
    </row>
    <row r="955">
      <c r="C955" s="7" t="s">
        <v>95</v>
      </c>
    </row>
    <row r="956">
      <c r="C956" s="7" t="s">
        <v>95</v>
      </c>
    </row>
    <row r="957">
      <c r="C957" s="7" t="s">
        <v>95</v>
      </c>
    </row>
    <row r="958">
      <c r="C958" s="7" t="s">
        <v>95</v>
      </c>
    </row>
    <row r="959">
      <c r="C959" s="7" t="s">
        <v>95</v>
      </c>
    </row>
    <row r="960">
      <c r="C960" s="7" t="s">
        <v>95</v>
      </c>
    </row>
    <row r="961">
      <c r="C961" s="7" t="s">
        <v>95</v>
      </c>
    </row>
    <row r="962">
      <c r="C962" s="7" t="s">
        <v>95</v>
      </c>
    </row>
    <row r="963">
      <c r="C963" s="7" t="s">
        <v>95</v>
      </c>
    </row>
    <row r="964">
      <c r="C964" s="7" t="s">
        <v>95</v>
      </c>
    </row>
    <row r="965">
      <c r="C965" s="7" t="s">
        <v>95</v>
      </c>
    </row>
    <row r="966">
      <c r="C966" s="7" t="s">
        <v>95</v>
      </c>
    </row>
    <row r="967">
      <c r="C967" s="7" t="s">
        <v>95</v>
      </c>
    </row>
    <row r="968">
      <c r="C968" s="7" t="s">
        <v>95</v>
      </c>
    </row>
    <row r="969">
      <c r="C969" s="7" t="s">
        <v>95</v>
      </c>
    </row>
    <row r="970">
      <c r="C970" s="7" t="s">
        <v>95</v>
      </c>
    </row>
    <row r="971">
      <c r="C971" s="7" t="s">
        <v>95</v>
      </c>
    </row>
    <row r="972">
      <c r="C972" s="7" t="s">
        <v>95</v>
      </c>
    </row>
    <row r="973">
      <c r="C973" s="7" t="s">
        <v>95</v>
      </c>
    </row>
    <row r="974">
      <c r="C974" s="7" t="s">
        <v>95</v>
      </c>
    </row>
    <row r="975">
      <c r="C975" s="7" t="s">
        <v>95</v>
      </c>
    </row>
    <row r="976">
      <c r="C976" s="7" t="s">
        <v>95</v>
      </c>
    </row>
    <row r="977">
      <c r="C977" s="7" t="s">
        <v>95</v>
      </c>
    </row>
    <row r="978">
      <c r="C978" s="7" t="s">
        <v>95</v>
      </c>
    </row>
    <row r="979">
      <c r="C979" s="7" t="s">
        <v>95</v>
      </c>
    </row>
    <row r="980">
      <c r="C980" s="7" t="s">
        <v>95</v>
      </c>
    </row>
    <row r="981">
      <c r="C981" s="7" t="s">
        <v>95</v>
      </c>
    </row>
    <row r="982">
      <c r="C982" s="7" t="s">
        <v>95</v>
      </c>
    </row>
    <row r="983">
      <c r="C983" s="7" t="s">
        <v>95</v>
      </c>
    </row>
    <row r="984">
      <c r="C984" s="7" t="s">
        <v>95</v>
      </c>
    </row>
    <row r="985">
      <c r="C985" s="7" t="s">
        <v>95</v>
      </c>
    </row>
    <row r="986">
      <c r="C986" s="7" t="s">
        <v>95</v>
      </c>
    </row>
    <row r="987">
      <c r="C987" s="7" t="s">
        <v>95</v>
      </c>
    </row>
    <row r="988">
      <c r="C988" s="7" t="s">
        <v>95</v>
      </c>
    </row>
    <row r="989">
      <c r="C989" s="7" t="s">
        <v>95</v>
      </c>
    </row>
    <row r="990">
      <c r="C990" s="7" t="s">
        <v>95</v>
      </c>
    </row>
    <row r="991">
      <c r="C991" s="7" t="s">
        <v>95</v>
      </c>
    </row>
    <row r="992">
      <c r="C992" s="7" t="s">
        <v>95</v>
      </c>
    </row>
    <row r="993">
      <c r="C993" s="7" t="s">
        <v>95</v>
      </c>
    </row>
    <row r="994">
      <c r="C994" s="7" t="s">
        <v>95</v>
      </c>
    </row>
    <row r="995">
      <c r="C995" s="7" t="s">
        <v>95</v>
      </c>
    </row>
    <row r="996">
      <c r="C996" s="7" t="s">
        <v>95</v>
      </c>
    </row>
    <row r="997">
      <c r="C997" s="7" t="s">
        <v>95</v>
      </c>
    </row>
    <row r="998">
      <c r="C998" s="7" t="s">
        <v>95</v>
      </c>
    </row>
    <row r="999">
      <c r="C999" s="7" t="s">
        <v>95</v>
      </c>
    </row>
    <row r="1000">
      <c r="C1000" s="7" t="s">
        <v>95</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32.13"/>
  </cols>
  <sheetData>
    <row r="1">
      <c r="A1" s="165" t="s">
        <v>90</v>
      </c>
      <c r="B1" s="165" t="s">
        <v>0</v>
      </c>
      <c r="C1" s="165" t="s">
        <v>2</v>
      </c>
      <c r="D1" s="192"/>
      <c r="E1" s="192"/>
      <c r="F1" s="192"/>
      <c r="G1" s="192"/>
      <c r="H1" s="192"/>
      <c r="I1" s="192"/>
      <c r="J1" s="192"/>
      <c r="K1" s="192"/>
      <c r="L1" s="192"/>
      <c r="M1" s="192"/>
      <c r="N1" s="192"/>
      <c r="O1" s="192"/>
      <c r="P1" s="192"/>
      <c r="Q1" s="192"/>
      <c r="R1" s="192"/>
      <c r="S1" s="192"/>
      <c r="T1" s="192"/>
      <c r="U1" s="192"/>
      <c r="V1" s="192"/>
      <c r="W1" s="192"/>
      <c r="X1" s="192"/>
      <c r="Y1" s="192"/>
      <c r="Z1" s="192"/>
    </row>
    <row r="2">
      <c r="A2" s="5" t="str">
        <f>IFERROR(__xludf.DUMMYFUNCTION("QUERY(R.H!A:O,""select A,B where O='CADANGAN'"", 0)"),"A250066")</f>
        <v>A250066</v>
      </c>
      <c r="B2" s="5" t="str">
        <f>IFERROR(__xludf.DUMMYFUNCTION("""COMPUTED_VALUE"""),"Ambia Addaruqutni Julpasa")</f>
        <v>Ambia Addaruqutni Julpasa</v>
      </c>
      <c r="C2" s="5" t="str">
        <f t="array" ref="C2:C1000">IF(A2:A1000="","",SWITCH(LEFT(A2:A1000,1),"A","MTs Putra","B","IL Putra","C","SMA","D","MTs Putri","E","IL Putri",""))
</f>
        <v>MTs Putra</v>
      </c>
      <c r="D2" s="182" t="s">
        <v>91</v>
      </c>
      <c r="E2" s="7">
        <f t="shared" ref="E2:E5" si="1">countif(C:C,D2)</f>
        <v>17</v>
      </c>
    </row>
    <row r="3">
      <c r="A3" s="5" t="str">
        <f>IFERROR(__xludf.DUMMYFUNCTION("""COMPUTED_VALUE"""),"A250055")</f>
        <v>A250055</v>
      </c>
      <c r="B3" s="5" t="str">
        <f>IFERROR(__xludf.DUMMYFUNCTION("""COMPUTED_VALUE"""),"Kafie Arkan Rafiqi ")</f>
        <v>Kafie Arkan Rafiqi </v>
      </c>
      <c r="C3" s="5" t="s">
        <v>91</v>
      </c>
      <c r="D3" s="182" t="s">
        <v>94</v>
      </c>
      <c r="E3" s="7">
        <f t="shared" si="1"/>
        <v>3</v>
      </c>
    </row>
    <row r="4">
      <c r="A4" s="5" t="str">
        <f>IFERROR(__xludf.DUMMYFUNCTION("""COMPUTED_VALUE"""),"A250023")</f>
        <v>A250023</v>
      </c>
      <c r="B4" s="5" t="str">
        <f>IFERROR(__xludf.DUMMYFUNCTION("""COMPUTED_VALUE"""),"NOUVALLDY FARZANI PRAYOGA")</f>
        <v>NOUVALLDY FARZANI PRAYOGA</v>
      </c>
      <c r="C4" s="5" t="s">
        <v>91</v>
      </c>
      <c r="D4" s="182" t="s">
        <v>92</v>
      </c>
      <c r="E4" s="7">
        <f t="shared" si="1"/>
        <v>8</v>
      </c>
    </row>
    <row r="5">
      <c r="A5" s="5" t="str">
        <f>IFERROR(__xludf.DUMMYFUNCTION("""COMPUTED_VALUE"""),"A250053")</f>
        <v>A250053</v>
      </c>
      <c r="B5" s="5" t="str">
        <f>IFERROR(__xludf.DUMMYFUNCTION("""COMPUTED_VALUE"""),"Muhammad Kamil Athaillah Rizki")</f>
        <v>Muhammad Kamil Athaillah Rizki</v>
      </c>
      <c r="C5" s="5" t="s">
        <v>91</v>
      </c>
      <c r="D5" s="182" t="s">
        <v>96</v>
      </c>
      <c r="E5" s="7">
        <f t="shared" si="1"/>
        <v>2</v>
      </c>
    </row>
    <row r="6">
      <c r="A6" s="5" t="str">
        <f>IFERROR(__xludf.DUMMYFUNCTION("""COMPUTED_VALUE"""),"A250038")</f>
        <v>A250038</v>
      </c>
      <c r="B6" s="5" t="str">
        <f>IFERROR(__xludf.DUMMYFUNCTION("""COMPUTED_VALUE"""),"M. Rezza Putra Darma")</f>
        <v>M. Rezza Putra Darma</v>
      </c>
      <c r="C6" s="5" t="s">
        <v>91</v>
      </c>
    </row>
    <row r="7">
      <c r="A7" s="5" t="str">
        <f>IFERROR(__xludf.DUMMYFUNCTION("""COMPUTED_VALUE"""),"B250006")</f>
        <v>B250006</v>
      </c>
      <c r="B7" s="5" t="str">
        <f>IFERROR(__xludf.DUMMYFUNCTION("""COMPUTED_VALUE"""),"Rezvan Zhian Agusto")</f>
        <v>Rezvan Zhian Agusto</v>
      </c>
      <c r="C7" s="5" t="s">
        <v>92</v>
      </c>
    </row>
    <row r="8">
      <c r="A8" s="5" t="str">
        <f>IFERROR(__xludf.DUMMYFUNCTION("""COMPUTED_VALUE"""),"B250014")</f>
        <v>B250014</v>
      </c>
      <c r="B8" s="5" t="str">
        <f>IFERROR(__xludf.DUMMYFUNCTION("""COMPUTED_VALUE"""),"FAIZ ABDUSSALAM TASLIM BUDIDOYO")</f>
        <v>FAIZ ABDUSSALAM TASLIM BUDIDOYO</v>
      </c>
      <c r="C8" s="5" t="s">
        <v>92</v>
      </c>
    </row>
    <row r="9">
      <c r="A9" s="5" t="str">
        <f>IFERROR(__xludf.DUMMYFUNCTION("""COMPUTED_VALUE"""),"A250040")</f>
        <v>A250040</v>
      </c>
      <c r="B9" s="5" t="str">
        <f>IFERROR(__xludf.DUMMYFUNCTION("""COMPUTED_VALUE"""),"Riyadi wirawan")</f>
        <v>Riyadi wirawan</v>
      </c>
      <c r="C9" s="5" t="s">
        <v>91</v>
      </c>
    </row>
    <row r="10">
      <c r="A10" s="5" t="str">
        <f>IFERROR(__xludf.DUMMYFUNCTION("""COMPUTED_VALUE"""),"A250041")</f>
        <v>A250041</v>
      </c>
      <c r="B10" s="5" t="str">
        <f>IFERROR(__xludf.DUMMYFUNCTION("""COMPUTED_VALUE"""),"SULTHON ABRISAM KARIM")</f>
        <v>SULTHON ABRISAM KARIM</v>
      </c>
      <c r="C10" s="5" t="s">
        <v>91</v>
      </c>
    </row>
    <row r="11">
      <c r="A11" s="5" t="str">
        <f>IFERROR(__xludf.DUMMYFUNCTION("""COMPUTED_VALUE"""),"A250071")</f>
        <v>A250071</v>
      </c>
      <c r="B11" s="5" t="str">
        <f>IFERROR(__xludf.DUMMYFUNCTION("""COMPUTED_VALUE"""),"RUWAIFI")</f>
        <v>RUWAIFI</v>
      </c>
      <c r="C11" s="5" t="s">
        <v>91</v>
      </c>
    </row>
    <row r="12">
      <c r="A12" s="5" t="str">
        <f>IFERROR(__xludf.DUMMYFUNCTION("""COMPUTED_VALUE"""),"A250011")</f>
        <v>A250011</v>
      </c>
      <c r="B12" s="5" t="str">
        <f>IFERROR(__xludf.DUMMYFUNCTION("""COMPUTED_VALUE"""),"Fathi Fahlevi Fahmi")</f>
        <v>Fathi Fahlevi Fahmi</v>
      </c>
      <c r="C12" s="5" t="s">
        <v>91</v>
      </c>
    </row>
    <row r="13">
      <c r="A13" s="5" t="str">
        <f>IFERROR(__xludf.DUMMYFUNCTION("""COMPUTED_VALUE"""),"A250021")</f>
        <v>A250021</v>
      </c>
      <c r="B13" s="5" t="str">
        <f>IFERROR(__xludf.DUMMYFUNCTION("""COMPUTED_VALUE"""),"Malka Firdaus Syarif ")</f>
        <v>Malka Firdaus Syarif </v>
      </c>
      <c r="C13" s="5" t="s">
        <v>91</v>
      </c>
    </row>
    <row r="14">
      <c r="A14" s="5" t="str">
        <f>IFERROR(__xludf.DUMMYFUNCTION("""COMPUTED_VALUE"""),"B250001")</f>
        <v>B250001</v>
      </c>
      <c r="B14" s="5" t="str">
        <f>IFERROR(__xludf.DUMMYFUNCTION("""COMPUTED_VALUE"""),"Donli Caesar Norton")</f>
        <v>Donli Caesar Norton</v>
      </c>
      <c r="C14" s="5" t="s">
        <v>92</v>
      </c>
    </row>
    <row r="15">
      <c r="A15" s="5" t="str">
        <f>IFERROR(__xludf.DUMMYFUNCTION("""COMPUTED_VALUE"""),"A250027")</f>
        <v>A250027</v>
      </c>
      <c r="B15" s="5" t="str">
        <f>IFERROR(__xludf.DUMMYFUNCTION("""COMPUTED_VALUE"""),"Umar")</f>
        <v>Umar</v>
      </c>
      <c r="C15" s="5" t="s">
        <v>91</v>
      </c>
    </row>
    <row r="16">
      <c r="A16" s="5" t="str">
        <f>IFERROR(__xludf.DUMMYFUNCTION("""COMPUTED_VALUE"""),"A250061")</f>
        <v>A250061</v>
      </c>
      <c r="B16" s="5" t="str">
        <f>IFERROR(__xludf.DUMMYFUNCTION("""COMPUTED_VALUE"""),"Muhammad nizar")</f>
        <v>Muhammad nizar</v>
      </c>
      <c r="C16" s="5" t="s">
        <v>91</v>
      </c>
    </row>
    <row r="17">
      <c r="A17" s="5" t="str">
        <f>IFERROR(__xludf.DUMMYFUNCTION("""COMPUTED_VALUE"""),"D250012")</f>
        <v>D250012</v>
      </c>
      <c r="B17" s="5" t="str">
        <f>IFERROR(__xludf.DUMMYFUNCTION("""COMPUTED_VALUE"""),"anastasya putri ")</f>
        <v>anastasya putri </v>
      </c>
      <c r="C17" s="5" t="s">
        <v>94</v>
      </c>
    </row>
    <row r="18">
      <c r="A18" s="5" t="str">
        <f>IFERROR(__xludf.DUMMYFUNCTION("""COMPUTED_VALUE"""),"B250013")</f>
        <v>B250013</v>
      </c>
      <c r="B18" s="5" t="str">
        <f>IFERROR(__xludf.DUMMYFUNCTION("""COMPUTED_VALUE"""),"Abdurrahman hafizh ayyasi")</f>
        <v>Abdurrahman hafizh ayyasi</v>
      </c>
      <c r="C18" s="5" t="s">
        <v>92</v>
      </c>
    </row>
    <row r="19">
      <c r="A19" s="5" t="str">
        <f>IFERROR(__xludf.DUMMYFUNCTION("""COMPUTED_VALUE"""),"B250012")</f>
        <v>B250012</v>
      </c>
      <c r="B19" s="5" t="str">
        <f>IFERROR(__xludf.DUMMYFUNCTION("""COMPUTED_VALUE"""),"salman alfarizi alamsyah")</f>
        <v>salman alfarizi alamsyah</v>
      </c>
      <c r="C19" s="5" t="s">
        <v>92</v>
      </c>
    </row>
    <row r="20">
      <c r="A20" s="5" t="str">
        <f>IFERROR(__xludf.DUMMYFUNCTION("""COMPUTED_VALUE"""),"E250006")</f>
        <v>E250006</v>
      </c>
      <c r="B20" s="5" t="str">
        <f>IFERROR(__xludf.DUMMYFUNCTION("""COMPUTED_VALUE"""),"Azkia Salsabila")</f>
        <v>Azkia Salsabila</v>
      </c>
      <c r="C20" s="5" t="s">
        <v>96</v>
      </c>
    </row>
    <row r="21">
      <c r="A21" s="5" t="str">
        <f>IFERROR(__xludf.DUMMYFUNCTION("""COMPUTED_VALUE"""),"A250057")</f>
        <v>A250057</v>
      </c>
      <c r="B21" s="5" t="str">
        <f>IFERROR(__xludf.DUMMYFUNCTION("""COMPUTED_VALUE"""),"Hamzah aqil")</f>
        <v>Hamzah aqil</v>
      </c>
      <c r="C21" s="5" t="s">
        <v>91</v>
      </c>
    </row>
    <row r="22">
      <c r="A22" s="5" t="str">
        <f>IFERROR(__xludf.DUMMYFUNCTION("""COMPUTED_VALUE"""),"A250022")</f>
        <v>A250022</v>
      </c>
      <c r="B22" s="5" t="str">
        <f>IFERROR(__xludf.DUMMYFUNCTION("""COMPUTED_VALUE"""),"Arjuna Permana putra ")</f>
        <v>Arjuna Permana putra </v>
      </c>
      <c r="C22" s="5" t="s">
        <v>91</v>
      </c>
    </row>
    <row r="23">
      <c r="A23" s="5" t="str">
        <f>IFERROR(__xludf.DUMMYFUNCTION("""COMPUTED_VALUE"""),"C250006")</f>
        <v>C250006</v>
      </c>
      <c r="B23" s="5" t="str">
        <f>IFERROR(__xludf.DUMMYFUNCTION("""COMPUTED_VALUE"""),"M. Daffa Barokah ")</f>
        <v>M. Daffa Barokah </v>
      </c>
      <c r="C23" s="5" t="s">
        <v>93</v>
      </c>
    </row>
    <row r="24">
      <c r="A24" s="5" t="str">
        <f>IFERROR(__xludf.DUMMYFUNCTION("""COMPUTED_VALUE"""),"B250011")</f>
        <v>B250011</v>
      </c>
      <c r="B24" s="5" t="str">
        <f>IFERROR(__xludf.DUMMYFUNCTION("""COMPUTED_VALUE"""),"Muhammad risky shapin")</f>
        <v>Muhammad risky shapin</v>
      </c>
      <c r="C24" s="5" t="s">
        <v>92</v>
      </c>
    </row>
    <row r="25">
      <c r="A25" s="5" t="str">
        <f>IFERROR(__xludf.DUMMYFUNCTION("""COMPUTED_VALUE"""),"A250036")</f>
        <v>A250036</v>
      </c>
      <c r="B25" s="5" t="str">
        <f>IFERROR(__xludf.DUMMYFUNCTION("""COMPUTED_VALUE"""),"Khotibul syafiiq")</f>
        <v>Khotibul syafiiq</v>
      </c>
      <c r="C25" s="5" t="s">
        <v>91</v>
      </c>
    </row>
    <row r="26">
      <c r="A26" s="5" t="str">
        <f>IFERROR(__xludf.DUMMYFUNCTION("""COMPUTED_VALUE"""),"B250008")</f>
        <v>B250008</v>
      </c>
      <c r="B26" s="5" t="str">
        <f>IFERROR(__xludf.DUMMYFUNCTION("""COMPUTED_VALUE"""),"Mizan alghifary dizlilar")</f>
        <v>Mizan alghifary dizlilar</v>
      </c>
      <c r="C26" s="5" t="s">
        <v>92</v>
      </c>
    </row>
    <row r="27">
      <c r="A27" s="5" t="str">
        <f>IFERROR(__xludf.DUMMYFUNCTION("""COMPUTED_VALUE"""),"D250023")</f>
        <v>D250023</v>
      </c>
      <c r="B27" s="5" t="str">
        <f>IFERROR(__xludf.DUMMYFUNCTION("""COMPUTED_VALUE"""),"Aisha Alifa Noor Attarini")</f>
        <v>Aisha Alifa Noor Attarini</v>
      </c>
      <c r="C27" s="5" t="s">
        <v>94</v>
      </c>
    </row>
    <row r="28">
      <c r="A28" s="5" t="str">
        <f>IFERROR(__xludf.DUMMYFUNCTION("""COMPUTED_VALUE"""),"B250016")</f>
        <v>B250016</v>
      </c>
      <c r="B28" s="5" t="str">
        <f>IFERROR(__xludf.DUMMYFUNCTION("""COMPUTED_VALUE"""),"Muhammad Naufal Rafif Athallah ")</f>
        <v>Muhammad Naufal Rafif Athallah </v>
      </c>
      <c r="C28" s="5" t="s">
        <v>92</v>
      </c>
    </row>
    <row r="29">
      <c r="A29" s="5" t="str">
        <f>IFERROR(__xludf.DUMMYFUNCTION("""COMPUTED_VALUE"""),"A250069")</f>
        <v>A250069</v>
      </c>
      <c r="B29" s="5" t="str">
        <f>IFERROR(__xludf.DUMMYFUNCTION("""COMPUTED_VALUE"""),"Muhammad Syauqi Abdul Haq ")</f>
        <v>Muhammad Syauqi Abdul Haq </v>
      </c>
      <c r="C29" s="5" t="s">
        <v>91</v>
      </c>
    </row>
    <row r="30">
      <c r="A30" s="5" t="str">
        <f>IFERROR(__xludf.DUMMYFUNCTION("""COMPUTED_VALUE"""),"A250056")</f>
        <v>A250056</v>
      </c>
      <c r="B30" s="5" t="str">
        <f>IFERROR(__xludf.DUMMYFUNCTION("""COMPUTED_VALUE"""),"Abdurrahman Dihyah Arrobi")</f>
        <v>Abdurrahman Dihyah Arrobi</v>
      </c>
      <c r="C30" s="5" t="s">
        <v>91</v>
      </c>
    </row>
    <row r="31">
      <c r="A31" s="7" t="str">
        <f>IFERROR(__xludf.DUMMYFUNCTION("""COMPUTED_VALUE"""),"D250033")</f>
        <v>D250033</v>
      </c>
      <c r="B31" s="7" t="str">
        <f>IFERROR(__xludf.DUMMYFUNCTION("""COMPUTED_VALUE"""),"Kimora amanda putri")</f>
        <v>Kimora amanda putri</v>
      </c>
      <c r="C31" s="7" t="s">
        <v>94</v>
      </c>
    </row>
    <row r="32">
      <c r="A32" s="7" t="str">
        <f>IFERROR(__xludf.DUMMYFUNCTION("""COMPUTED_VALUE"""),"E250010")</f>
        <v>E250010</v>
      </c>
      <c r="B32" s="7" t="str">
        <f>IFERROR(__xludf.DUMMYFUNCTION("""COMPUTED_VALUE"""),"Nada Faizah Muttaqiyah ")</f>
        <v>Nada Faizah Muttaqiyah </v>
      </c>
      <c r="C32" s="7" t="s">
        <v>96</v>
      </c>
    </row>
    <row r="33">
      <c r="C33" s="7" t="s">
        <v>95</v>
      </c>
    </row>
    <row r="34">
      <c r="C34" s="7" t="s">
        <v>95</v>
      </c>
    </row>
    <row r="35">
      <c r="C35" s="7" t="s">
        <v>95</v>
      </c>
    </row>
    <row r="36">
      <c r="C36" s="7" t="s">
        <v>95</v>
      </c>
    </row>
    <row r="37">
      <c r="C37" s="7" t="s">
        <v>95</v>
      </c>
    </row>
    <row r="38">
      <c r="C38" s="7" t="s">
        <v>95</v>
      </c>
    </row>
    <row r="39">
      <c r="C39" s="7" t="s">
        <v>95</v>
      </c>
    </row>
    <row r="40">
      <c r="C40" s="7" t="s">
        <v>95</v>
      </c>
    </row>
    <row r="41">
      <c r="C41" s="7" t="s">
        <v>95</v>
      </c>
    </row>
    <row r="42">
      <c r="C42" s="7" t="s">
        <v>95</v>
      </c>
    </row>
    <row r="43">
      <c r="C43" s="7" t="s">
        <v>95</v>
      </c>
    </row>
    <row r="44">
      <c r="C44" s="7" t="s">
        <v>95</v>
      </c>
    </row>
    <row r="45">
      <c r="C45" s="7" t="s">
        <v>95</v>
      </c>
    </row>
    <row r="46">
      <c r="C46" s="7" t="s">
        <v>95</v>
      </c>
    </row>
    <row r="47">
      <c r="C47" s="7" t="s">
        <v>95</v>
      </c>
    </row>
    <row r="48">
      <c r="C48" s="7" t="s">
        <v>95</v>
      </c>
    </row>
    <row r="49">
      <c r="C49" s="7" t="s">
        <v>95</v>
      </c>
    </row>
    <row r="50">
      <c r="C50" s="7" t="s">
        <v>95</v>
      </c>
    </row>
    <row r="51">
      <c r="C51" s="7" t="s">
        <v>95</v>
      </c>
    </row>
    <row r="52">
      <c r="C52" s="7" t="s">
        <v>95</v>
      </c>
    </row>
    <row r="53">
      <c r="C53" s="7" t="s">
        <v>95</v>
      </c>
    </row>
    <row r="54">
      <c r="C54" s="7" t="s">
        <v>95</v>
      </c>
    </row>
    <row r="55">
      <c r="C55" s="7" t="s">
        <v>95</v>
      </c>
    </row>
    <row r="56">
      <c r="C56" s="7" t="s">
        <v>95</v>
      </c>
    </row>
    <row r="57">
      <c r="C57" s="7" t="s">
        <v>95</v>
      </c>
    </row>
    <row r="58">
      <c r="C58" s="7" t="s">
        <v>95</v>
      </c>
    </row>
    <row r="59">
      <c r="C59" s="7" t="s">
        <v>95</v>
      </c>
    </row>
    <row r="60">
      <c r="C60" s="7" t="s">
        <v>95</v>
      </c>
    </row>
    <row r="61">
      <c r="C61" s="7" t="s">
        <v>95</v>
      </c>
    </row>
    <row r="62">
      <c r="C62" s="7" t="s">
        <v>95</v>
      </c>
    </row>
    <row r="63">
      <c r="C63" s="7" t="s">
        <v>95</v>
      </c>
    </row>
    <row r="64">
      <c r="C64" s="7" t="s">
        <v>95</v>
      </c>
    </row>
    <row r="65">
      <c r="C65" s="7" t="s">
        <v>95</v>
      </c>
    </row>
    <row r="66">
      <c r="C66" s="7" t="s">
        <v>95</v>
      </c>
    </row>
    <row r="67">
      <c r="C67" s="7" t="s">
        <v>95</v>
      </c>
    </row>
    <row r="68">
      <c r="C68" s="7" t="s">
        <v>95</v>
      </c>
    </row>
    <row r="69">
      <c r="C69" s="7" t="s">
        <v>95</v>
      </c>
    </row>
    <row r="70">
      <c r="C70" s="7" t="s">
        <v>95</v>
      </c>
    </row>
    <row r="71">
      <c r="C71" s="7" t="s">
        <v>95</v>
      </c>
    </row>
    <row r="72">
      <c r="C72" s="7" t="s">
        <v>95</v>
      </c>
    </row>
    <row r="73">
      <c r="C73" s="7" t="s">
        <v>95</v>
      </c>
    </row>
    <row r="74">
      <c r="C74" s="7" t="s">
        <v>95</v>
      </c>
    </row>
    <row r="75">
      <c r="C75" s="7" t="s">
        <v>95</v>
      </c>
    </row>
    <row r="76">
      <c r="C76" s="7" t="s">
        <v>95</v>
      </c>
    </row>
    <row r="77">
      <c r="C77" s="7" t="s">
        <v>95</v>
      </c>
    </row>
    <row r="78">
      <c r="C78" s="7" t="s">
        <v>95</v>
      </c>
    </row>
    <row r="79">
      <c r="C79" s="7" t="s">
        <v>95</v>
      </c>
    </row>
    <row r="80">
      <c r="C80" s="7" t="s">
        <v>95</v>
      </c>
    </row>
    <row r="81">
      <c r="C81" s="7" t="s">
        <v>95</v>
      </c>
    </row>
    <row r="82">
      <c r="C82" s="7" t="s">
        <v>95</v>
      </c>
    </row>
    <row r="83">
      <c r="C83" s="7" t="s">
        <v>95</v>
      </c>
    </row>
    <row r="84">
      <c r="C84" s="7" t="s">
        <v>95</v>
      </c>
    </row>
    <row r="85">
      <c r="C85" s="7" t="s">
        <v>95</v>
      </c>
    </row>
    <row r="86">
      <c r="C86" s="7" t="s">
        <v>95</v>
      </c>
    </row>
    <row r="87">
      <c r="C87" s="7" t="s">
        <v>95</v>
      </c>
    </row>
    <row r="88">
      <c r="C88" s="7" t="s">
        <v>95</v>
      </c>
    </row>
    <row r="89">
      <c r="C89" s="7" t="s">
        <v>95</v>
      </c>
    </row>
    <row r="90">
      <c r="C90" s="7" t="s">
        <v>95</v>
      </c>
    </row>
    <row r="91">
      <c r="C91" s="7" t="s">
        <v>95</v>
      </c>
    </row>
    <row r="92">
      <c r="C92" s="7" t="s">
        <v>95</v>
      </c>
    </row>
    <row r="93">
      <c r="C93" s="7" t="s">
        <v>95</v>
      </c>
    </row>
    <row r="94">
      <c r="C94" s="7" t="s">
        <v>95</v>
      </c>
    </row>
    <row r="95">
      <c r="C95" s="7" t="s">
        <v>95</v>
      </c>
    </row>
    <row r="96">
      <c r="C96" s="7" t="s">
        <v>95</v>
      </c>
    </row>
    <row r="97">
      <c r="C97" s="7" t="s">
        <v>95</v>
      </c>
    </row>
    <row r="98">
      <c r="C98" s="7" t="s">
        <v>95</v>
      </c>
    </row>
    <row r="99">
      <c r="C99" s="7" t="s">
        <v>95</v>
      </c>
    </row>
    <row r="100">
      <c r="C100" s="7" t="s">
        <v>95</v>
      </c>
    </row>
    <row r="101">
      <c r="C101" s="7" t="s">
        <v>95</v>
      </c>
    </row>
    <row r="102">
      <c r="C102" s="7" t="s">
        <v>95</v>
      </c>
    </row>
    <row r="103">
      <c r="C103" s="7" t="s">
        <v>95</v>
      </c>
    </row>
    <row r="104">
      <c r="C104" s="7" t="s">
        <v>95</v>
      </c>
    </row>
    <row r="105">
      <c r="C105" s="7" t="s">
        <v>95</v>
      </c>
    </row>
    <row r="106">
      <c r="C106" s="7" t="s">
        <v>95</v>
      </c>
    </row>
    <row r="107">
      <c r="C107" s="7" t="s">
        <v>95</v>
      </c>
    </row>
    <row r="108">
      <c r="C108" s="7" t="s">
        <v>95</v>
      </c>
    </row>
    <row r="109">
      <c r="C109" s="7" t="s">
        <v>95</v>
      </c>
    </row>
    <row r="110">
      <c r="C110" s="7" t="s">
        <v>95</v>
      </c>
    </row>
    <row r="111">
      <c r="C111" s="7" t="s">
        <v>95</v>
      </c>
    </row>
    <row r="112">
      <c r="C112" s="7" t="s">
        <v>95</v>
      </c>
    </row>
    <row r="113">
      <c r="C113" s="7" t="s">
        <v>95</v>
      </c>
    </row>
    <row r="114">
      <c r="C114" s="7" t="s">
        <v>95</v>
      </c>
    </row>
    <row r="115">
      <c r="C115" s="7" t="s">
        <v>95</v>
      </c>
    </row>
    <row r="116">
      <c r="C116" s="7" t="s">
        <v>95</v>
      </c>
    </row>
    <row r="117">
      <c r="C117" s="7" t="s">
        <v>95</v>
      </c>
    </row>
    <row r="118">
      <c r="C118" s="7" t="s">
        <v>95</v>
      </c>
    </row>
    <row r="119">
      <c r="C119" s="7" t="s">
        <v>95</v>
      </c>
    </row>
    <row r="120">
      <c r="C120" s="7" t="s">
        <v>95</v>
      </c>
    </row>
    <row r="121">
      <c r="C121" s="7" t="s">
        <v>95</v>
      </c>
    </row>
    <row r="122">
      <c r="C122" s="7" t="s">
        <v>95</v>
      </c>
    </row>
    <row r="123">
      <c r="C123" s="7" t="s">
        <v>95</v>
      </c>
    </row>
    <row r="124">
      <c r="C124" s="7" t="s">
        <v>95</v>
      </c>
    </row>
    <row r="125">
      <c r="C125" s="7" t="s">
        <v>95</v>
      </c>
    </row>
    <row r="126">
      <c r="C126" s="7" t="s">
        <v>95</v>
      </c>
    </row>
    <row r="127">
      <c r="C127" s="7" t="s">
        <v>95</v>
      </c>
    </row>
    <row r="128">
      <c r="C128" s="7" t="s">
        <v>95</v>
      </c>
    </row>
    <row r="129">
      <c r="C129" s="7" t="s">
        <v>95</v>
      </c>
    </row>
    <row r="130">
      <c r="C130" s="7" t="s">
        <v>95</v>
      </c>
    </row>
    <row r="131">
      <c r="C131" s="7" t="s">
        <v>95</v>
      </c>
    </row>
    <row r="132">
      <c r="C132" s="7" t="s">
        <v>95</v>
      </c>
    </row>
    <row r="133">
      <c r="C133" s="7" t="s">
        <v>95</v>
      </c>
    </row>
    <row r="134">
      <c r="C134" s="7" t="s">
        <v>95</v>
      </c>
    </row>
    <row r="135">
      <c r="C135" s="7" t="s">
        <v>95</v>
      </c>
    </row>
    <row r="136">
      <c r="C136" s="7" t="s">
        <v>95</v>
      </c>
    </row>
    <row r="137">
      <c r="C137" s="7" t="s">
        <v>95</v>
      </c>
    </row>
    <row r="138">
      <c r="C138" s="7" t="s">
        <v>95</v>
      </c>
    </row>
    <row r="139">
      <c r="C139" s="7" t="s">
        <v>95</v>
      </c>
    </row>
    <row r="140">
      <c r="C140" s="7" t="s">
        <v>95</v>
      </c>
    </row>
    <row r="141">
      <c r="C141" s="7" t="s">
        <v>95</v>
      </c>
    </row>
    <row r="142">
      <c r="C142" s="7" t="s">
        <v>95</v>
      </c>
    </row>
    <row r="143">
      <c r="C143" s="7" t="s">
        <v>95</v>
      </c>
    </row>
    <row r="144">
      <c r="C144" s="7" t="s">
        <v>95</v>
      </c>
    </row>
    <row r="145">
      <c r="C145" s="7" t="s">
        <v>95</v>
      </c>
    </row>
    <row r="146">
      <c r="C146" s="7" t="s">
        <v>95</v>
      </c>
    </row>
    <row r="147">
      <c r="C147" s="7" t="s">
        <v>95</v>
      </c>
    </row>
    <row r="148">
      <c r="C148" s="7" t="s">
        <v>95</v>
      </c>
    </row>
    <row r="149">
      <c r="C149" s="7" t="s">
        <v>95</v>
      </c>
    </row>
    <row r="150">
      <c r="C150" s="7" t="s">
        <v>95</v>
      </c>
    </row>
    <row r="151">
      <c r="C151" s="7" t="s">
        <v>95</v>
      </c>
    </row>
    <row r="152">
      <c r="C152" s="7" t="s">
        <v>95</v>
      </c>
    </row>
    <row r="153">
      <c r="C153" s="7" t="s">
        <v>95</v>
      </c>
    </row>
    <row r="154">
      <c r="C154" s="7" t="s">
        <v>95</v>
      </c>
    </row>
    <row r="155">
      <c r="C155" s="7" t="s">
        <v>95</v>
      </c>
    </row>
    <row r="156">
      <c r="C156" s="7" t="s">
        <v>95</v>
      </c>
    </row>
    <row r="157">
      <c r="C157" s="7" t="s">
        <v>95</v>
      </c>
    </row>
    <row r="158">
      <c r="C158" s="7" t="s">
        <v>95</v>
      </c>
    </row>
    <row r="159">
      <c r="C159" s="7" t="s">
        <v>95</v>
      </c>
    </row>
    <row r="160">
      <c r="C160" s="7" t="s">
        <v>95</v>
      </c>
    </row>
    <row r="161">
      <c r="C161" s="7" t="s">
        <v>95</v>
      </c>
    </row>
    <row r="162">
      <c r="C162" s="7" t="s">
        <v>95</v>
      </c>
    </row>
    <row r="163">
      <c r="C163" s="7" t="s">
        <v>95</v>
      </c>
    </row>
    <row r="164">
      <c r="C164" s="7" t="s">
        <v>95</v>
      </c>
    </row>
    <row r="165">
      <c r="C165" s="7" t="s">
        <v>95</v>
      </c>
    </row>
    <row r="166">
      <c r="C166" s="7" t="s">
        <v>95</v>
      </c>
    </row>
    <row r="167">
      <c r="C167" s="7" t="s">
        <v>95</v>
      </c>
    </row>
    <row r="168">
      <c r="C168" s="7" t="s">
        <v>95</v>
      </c>
    </row>
    <row r="169">
      <c r="C169" s="7" t="s">
        <v>95</v>
      </c>
    </row>
    <row r="170">
      <c r="C170" s="7" t="s">
        <v>95</v>
      </c>
    </row>
    <row r="171">
      <c r="C171" s="7" t="s">
        <v>95</v>
      </c>
    </row>
    <row r="172">
      <c r="C172" s="7" t="s">
        <v>95</v>
      </c>
    </row>
    <row r="173">
      <c r="C173" s="7" t="s">
        <v>95</v>
      </c>
    </row>
    <row r="174">
      <c r="C174" s="7" t="s">
        <v>95</v>
      </c>
    </row>
    <row r="175">
      <c r="C175" s="7" t="s">
        <v>95</v>
      </c>
    </row>
    <row r="176">
      <c r="C176" s="7" t="s">
        <v>95</v>
      </c>
    </row>
    <row r="177">
      <c r="C177" s="7" t="s">
        <v>95</v>
      </c>
    </row>
    <row r="178">
      <c r="C178" s="7" t="s">
        <v>95</v>
      </c>
    </row>
    <row r="179">
      <c r="C179" s="7" t="s">
        <v>95</v>
      </c>
    </row>
    <row r="180">
      <c r="C180" s="7" t="s">
        <v>95</v>
      </c>
    </row>
    <row r="181">
      <c r="C181" s="7" t="s">
        <v>95</v>
      </c>
    </row>
    <row r="182">
      <c r="C182" s="7" t="s">
        <v>95</v>
      </c>
    </row>
    <row r="183">
      <c r="C183" s="7" t="s">
        <v>95</v>
      </c>
    </row>
    <row r="184">
      <c r="C184" s="7" t="s">
        <v>95</v>
      </c>
    </row>
    <row r="185">
      <c r="C185" s="7" t="s">
        <v>95</v>
      </c>
    </row>
    <row r="186">
      <c r="C186" s="7" t="s">
        <v>95</v>
      </c>
    </row>
    <row r="187">
      <c r="C187" s="7" t="s">
        <v>95</v>
      </c>
    </row>
    <row r="188">
      <c r="C188" s="7" t="s">
        <v>95</v>
      </c>
    </row>
    <row r="189">
      <c r="C189" s="7" t="s">
        <v>95</v>
      </c>
    </row>
    <row r="190">
      <c r="C190" s="7" t="s">
        <v>95</v>
      </c>
    </row>
    <row r="191">
      <c r="C191" s="7" t="s">
        <v>95</v>
      </c>
    </row>
    <row r="192">
      <c r="C192" s="7" t="s">
        <v>95</v>
      </c>
    </row>
    <row r="193">
      <c r="C193" s="7" t="s">
        <v>95</v>
      </c>
    </row>
    <row r="194">
      <c r="C194" s="7" t="s">
        <v>95</v>
      </c>
    </row>
    <row r="195">
      <c r="C195" s="7" t="s">
        <v>95</v>
      </c>
    </row>
    <row r="196">
      <c r="C196" s="7" t="s">
        <v>95</v>
      </c>
    </row>
    <row r="197">
      <c r="C197" s="7" t="s">
        <v>95</v>
      </c>
    </row>
    <row r="198">
      <c r="C198" s="7" t="s">
        <v>95</v>
      </c>
    </row>
    <row r="199">
      <c r="C199" s="7" t="s">
        <v>95</v>
      </c>
    </row>
    <row r="200">
      <c r="C200" s="7" t="s">
        <v>95</v>
      </c>
    </row>
    <row r="201">
      <c r="C201" s="7" t="s">
        <v>95</v>
      </c>
    </row>
    <row r="202">
      <c r="C202" s="7" t="s">
        <v>95</v>
      </c>
    </row>
    <row r="203">
      <c r="C203" s="7" t="s">
        <v>95</v>
      </c>
    </row>
    <row r="204">
      <c r="C204" s="7" t="s">
        <v>95</v>
      </c>
    </row>
    <row r="205">
      <c r="C205" s="7" t="s">
        <v>95</v>
      </c>
    </row>
    <row r="206">
      <c r="C206" s="7" t="s">
        <v>95</v>
      </c>
    </row>
    <row r="207">
      <c r="C207" s="7" t="s">
        <v>95</v>
      </c>
    </row>
    <row r="208">
      <c r="C208" s="7" t="s">
        <v>95</v>
      </c>
    </row>
    <row r="209">
      <c r="C209" s="7" t="s">
        <v>95</v>
      </c>
    </row>
    <row r="210">
      <c r="C210" s="7" t="s">
        <v>95</v>
      </c>
    </row>
    <row r="211">
      <c r="C211" s="7" t="s">
        <v>95</v>
      </c>
    </row>
    <row r="212">
      <c r="C212" s="7" t="s">
        <v>95</v>
      </c>
    </row>
    <row r="213">
      <c r="C213" s="7" t="s">
        <v>95</v>
      </c>
    </row>
    <row r="214">
      <c r="C214" s="7" t="s">
        <v>95</v>
      </c>
    </row>
    <row r="215">
      <c r="C215" s="7" t="s">
        <v>95</v>
      </c>
    </row>
    <row r="216">
      <c r="C216" s="7" t="s">
        <v>95</v>
      </c>
    </row>
    <row r="217">
      <c r="C217" s="7" t="s">
        <v>95</v>
      </c>
    </row>
    <row r="218">
      <c r="C218" s="7" t="s">
        <v>95</v>
      </c>
    </row>
    <row r="219">
      <c r="C219" s="7" t="s">
        <v>95</v>
      </c>
    </row>
    <row r="220">
      <c r="C220" s="7" t="s">
        <v>95</v>
      </c>
    </row>
    <row r="221">
      <c r="C221" s="7" t="s">
        <v>95</v>
      </c>
    </row>
    <row r="222">
      <c r="C222" s="7" t="s">
        <v>95</v>
      </c>
    </row>
    <row r="223">
      <c r="C223" s="7" t="s">
        <v>95</v>
      </c>
    </row>
    <row r="224">
      <c r="C224" s="7" t="s">
        <v>95</v>
      </c>
    </row>
    <row r="225">
      <c r="C225" s="7" t="s">
        <v>95</v>
      </c>
    </row>
    <row r="226">
      <c r="C226" s="7" t="s">
        <v>95</v>
      </c>
    </row>
    <row r="227">
      <c r="C227" s="7" t="s">
        <v>95</v>
      </c>
    </row>
    <row r="228">
      <c r="C228" s="7" t="s">
        <v>95</v>
      </c>
    </row>
    <row r="229">
      <c r="C229" s="7" t="s">
        <v>95</v>
      </c>
    </row>
    <row r="230">
      <c r="C230" s="7" t="s">
        <v>95</v>
      </c>
    </row>
    <row r="231">
      <c r="C231" s="7" t="s">
        <v>95</v>
      </c>
    </row>
    <row r="232">
      <c r="C232" s="7" t="s">
        <v>95</v>
      </c>
    </row>
    <row r="233">
      <c r="C233" s="7" t="s">
        <v>95</v>
      </c>
    </row>
    <row r="234">
      <c r="C234" s="7" t="s">
        <v>95</v>
      </c>
    </row>
    <row r="235">
      <c r="C235" s="7" t="s">
        <v>95</v>
      </c>
    </row>
    <row r="236">
      <c r="C236" s="7" t="s">
        <v>95</v>
      </c>
    </row>
    <row r="237">
      <c r="C237" s="7" t="s">
        <v>95</v>
      </c>
    </row>
    <row r="238">
      <c r="C238" s="7" t="s">
        <v>95</v>
      </c>
    </row>
    <row r="239">
      <c r="C239" s="7" t="s">
        <v>95</v>
      </c>
    </row>
    <row r="240">
      <c r="C240" s="7" t="s">
        <v>95</v>
      </c>
    </row>
    <row r="241">
      <c r="C241" s="7" t="s">
        <v>95</v>
      </c>
    </row>
    <row r="242">
      <c r="C242" s="7" t="s">
        <v>95</v>
      </c>
    </row>
    <row r="243">
      <c r="C243" s="7" t="s">
        <v>95</v>
      </c>
    </row>
    <row r="244">
      <c r="C244" s="7" t="s">
        <v>95</v>
      </c>
    </row>
    <row r="245">
      <c r="C245" s="7" t="s">
        <v>95</v>
      </c>
    </row>
    <row r="246">
      <c r="C246" s="7" t="s">
        <v>95</v>
      </c>
    </row>
    <row r="247">
      <c r="C247" s="7" t="s">
        <v>95</v>
      </c>
    </row>
    <row r="248">
      <c r="C248" s="7" t="s">
        <v>95</v>
      </c>
    </row>
    <row r="249">
      <c r="C249" s="7" t="s">
        <v>95</v>
      </c>
    </row>
    <row r="250">
      <c r="C250" s="7" t="s">
        <v>95</v>
      </c>
    </row>
    <row r="251">
      <c r="C251" s="7" t="s">
        <v>95</v>
      </c>
    </row>
    <row r="252">
      <c r="C252" s="7" t="s">
        <v>95</v>
      </c>
    </row>
    <row r="253">
      <c r="C253" s="7" t="s">
        <v>95</v>
      </c>
    </row>
    <row r="254">
      <c r="C254" s="7" t="s">
        <v>95</v>
      </c>
    </row>
    <row r="255">
      <c r="C255" s="7" t="s">
        <v>95</v>
      </c>
    </row>
    <row r="256">
      <c r="C256" s="7" t="s">
        <v>95</v>
      </c>
    </row>
    <row r="257">
      <c r="C257" s="7" t="s">
        <v>95</v>
      </c>
    </row>
    <row r="258">
      <c r="C258" s="7" t="s">
        <v>95</v>
      </c>
    </row>
    <row r="259">
      <c r="C259" s="7" t="s">
        <v>95</v>
      </c>
    </row>
    <row r="260">
      <c r="C260" s="7" t="s">
        <v>95</v>
      </c>
    </row>
    <row r="261">
      <c r="C261" s="7" t="s">
        <v>95</v>
      </c>
    </row>
    <row r="262">
      <c r="C262" s="7" t="s">
        <v>95</v>
      </c>
    </row>
    <row r="263">
      <c r="C263" s="7" t="s">
        <v>95</v>
      </c>
    </row>
    <row r="264">
      <c r="C264" s="7" t="s">
        <v>95</v>
      </c>
    </row>
    <row r="265">
      <c r="C265" s="7" t="s">
        <v>95</v>
      </c>
    </row>
    <row r="266">
      <c r="C266" s="7" t="s">
        <v>95</v>
      </c>
    </row>
    <row r="267">
      <c r="C267" s="7" t="s">
        <v>95</v>
      </c>
    </row>
    <row r="268">
      <c r="C268" s="7" t="s">
        <v>95</v>
      </c>
    </row>
    <row r="269">
      <c r="C269" s="7" t="s">
        <v>95</v>
      </c>
    </row>
    <row r="270">
      <c r="C270" s="7" t="s">
        <v>95</v>
      </c>
    </row>
    <row r="271">
      <c r="C271" s="7" t="s">
        <v>95</v>
      </c>
    </row>
    <row r="272">
      <c r="C272" s="7" t="s">
        <v>95</v>
      </c>
    </row>
    <row r="273">
      <c r="C273" s="7" t="s">
        <v>95</v>
      </c>
    </row>
    <row r="274">
      <c r="C274" s="7" t="s">
        <v>95</v>
      </c>
    </row>
    <row r="275">
      <c r="C275" s="7" t="s">
        <v>95</v>
      </c>
    </row>
    <row r="276">
      <c r="C276" s="7" t="s">
        <v>95</v>
      </c>
    </row>
    <row r="277">
      <c r="C277" s="7" t="s">
        <v>95</v>
      </c>
    </row>
    <row r="278">
      <c r="C278" s="7" t="s">
        <v>95</v>
      </c>
    </row>
    <row r="279">
      <c r="C279" s="7" t="s">
        <v>95</v>
      </c>
    </row>
    <row r="280">
      <c r="C280" s="7" t="s">
        <v>95</v>
      </c>
    </row>
    <row r="281">
      <c r="C281" s="7" t="s">
        <v>95</v>
      </c>
    </row>
    <row r="282">
      <c r="C282" s="7" t="s">
        <v>95</v>
      </c>
    </row>
    <row r="283">
      <c r="C283" s="7" t="s">
        <v>95</v>
      </c>
    </row>
    <row r="284">
      <c r="C284" s="7" t="s">
        <v>95</v>
      </c>
    </row>
    <row r="285">
      <c r="C285" s="7" t="s">
        <v>95</v>
      </c>
    </row>
    <row r="286">
      <c r="C286" s="7" t="s">
        <v>95</v>
      </c>
    </row>
    <row r="287">
      <c r="C287" s="7" t="s">
        <v>95</v>
      </c>
    </row>
    <row r="288">
      <c r="C288" s="7" t="s">
        <v>95</v>
      </c>
    </row>
    <row r="289">
      <c r="C289" s="7" t="s">
        <v>95</v>
      </c>
    </row>
    <row r="290">
      <c r="C290" s="7" t="s">
        <v>95</v>
      </c>
    </row>
    <row r="291">
      <c r="C291" s="7" t="s">
        <v>95</v>
      </c>
    </row>
    <row r="292">
      <c r="C292" s="7" t="s">
        <v>95</v>
      </c>
    </row>
    <row r="293">
      <c r="C293" s="7" t="s">
        <v>95</v>
      </c>
    </row>
    <row r="294">
      <c r="C294" s="7" t="s">
        <v>95</v>
      </c>
    </row>
    <row r="295">
      <c r="C295" s="7" t="s">
        <v>95</v>
      </c>
    </row>
    <row r="296">
      <c r="C296" s="7" t="s">
        <v>95</v>
      </c>
    </row>
    <row r="297">
      <c r="C297" s="7" t="s">
        <v>95</v>
      </c>
    </row>
    <row r="298">
      <c r="C298" s="7" t="s">
        <v>95</v>
      </c>
    </row>
    <row r="299">
      <c r="C299" s="7" t="s">
        <v>95</v>
      </c>
    </row>
    <row r="300">
      <c r="C300" s="7" t="s">
        <v>95</v>
      </c>
    </row>
    <row r="301">
      <c r="C301" s="7" t="s">
        <v>95</v>
      </c>
    </row>
    <row r="302">
      <c r="C302" s="7" t="s">
        <v>95</v>
      </c>
    </row>
    <row r="303">
      <c r="C303" s="7" t="s">
        <v>95</v>
      </c>
    </row>
    <row r="304">
      <c r="C304" s="7" t="s">
        <v>95</v>
      </c>
    </row>
    <row r="305">
      <c r="C305" s="7" t="s">
        <v>95</v>
      </c>
    </row>
    <row r="306">
      <c r="C306" s="7" t="s">
        <v>95</v>
      </c>
    </row>
    <row r="307">
      <c r="C307" s="7" t="s">
        <v>95</v>
      </c>
    </row>
    <row r="308">
      <c r="C308" s="7" t="s">
        <v>95</v>
      </c>
    </row>
    <row r="309">
      <c r="C309" s="7" t="s">
        <v>95</v>
      </c>
    </row>
    <row r="310">
      <c r="C310" s="7" t="s">
        <v>95</v>
      </c>
    </row>
    <row r="311">
      <c r="C311" s="7" t="s">
        <v>95</v>
      </c>
    </row>
    <row r="312">
      <c r="C312" s="7" t="s">
        <v>95</v>
      </c>
    </row>
    <row r="313">
      <c r="C313" s="7" t="s">
        <v>95</v>
      </c>
    </row>
    <row r="314">
      <c r="C314" s="7" t="s">
        <v>95</v>
      </c>
    </row>
    <row r="315">
      <c r="C315" s="7" t="s">
        <v>95</v>
      </c>
    </row>
    <row r="316">
      <c r="C316" s="7" t="s">
        <v>95</v>
      </c>
    </row>
    <row r="317">
      <c r="C317" s="7" t="s">
        <v>95</v>
      </c>
    </row>
    <row r="318">
      <c r="C318" s="7" t="s">
        <v>95</v>
      </c>
    </row>
    <row r="319">
      <c r="C319" s="7" t="s">
        <v>95</v>
      </c>
    </row>
    <row r="320">
      <c r="C320" s="7" t="s">
        <v>95</v>
      </c>
    </row>
    <row r="321">
      <c r="C321" s="7" t="s">
        <v>95</v>
      </c>
    </row>
    <row r="322">
      <c r="C322" s="7" t="s">
        <v>95</v>
      </c>
    </row>
    <row r="323">
      <c r="C323" s="7" t="s">
        <v>95</v>
      </c>
    </row>
    <row r="324">
      <c r="C324" s="7" t="s">
        <v>95</v>
      </c>
    </row>
    <row r="325">
      <c r="C325" s="7" t="s">
        <v>95</v>
      </c>
    </row>
    <row r="326">
      <c r="C326" s="7" t="s">
        <v>95</v>
      </c>
    </row>
    <row r="327">
      <c r="C327" s="7" t="s">
        <v>95</v>
      </c>
    </row>
    <row r="328">
      <c r="C328" s="7" t="s">
        <v>95</v>
      </c>
    </row>
    <row r="329">
      <c r="C329" s="7" t="s">
        <v>95</v>
      </c>
    </row>
    <row r="330">
      <c r="C330" s="7" t="s">
        <v>95</v>
      </c>
    </row>
    <row r="331">
      <c r="C331" s="7" t="s">
        <v>95</v>
      </c>
    </row>
    <row r="332">
      <c r="C332" s="7" t="s">
        <v>95</v>
      </c>
    </row>
    <row r="333">
      <c r="C333" s="7" t="s">
        <v>95</v>
      </c>
    </row>
    <row r="334">
      <c r="C334" s="7" t="s">
        <v>95</v>
      </c>
    </row>
    <row r="335">
      <c r="C335" s="7" t="s">
        <v>95</v>
      </c>
    </row>
    <row r="336">
      <c r="C336" s="7" t="s">
        <v>95</v>
      </c>
    </row>
    <row r="337">
      <c r="C337" s="7" t="s">
        <v>95</v>
      </c>
    </row>
    <row r="338">
      <c r="C338" s="7" t="s">
        <v>95</v>
      </c>
    </row>
    <row r="339">
      <c r="C339" s="7" t="s">
        <v>95</v>
      </c>
    </row>
    <row r="340">
      <c r="C340" s="7" t="s">
        <v>95</v>
      </c>
    </row>
    <row r="341">
      <c r="C341" s="7" t="s">
        <v>95</v>
      </c>
    </row>
    <row r="342">
      <c r="C342" s="7" t="s">
        <v>95</v>
      </c>
    </row>
    <row r="343">
      <c r="C343" s="7" t="s">
        <v>95</v>
      </c>
    </row>
    <row r="344">
      <c r="C344" s="7" t="s">
        <v>95</v>
      </c>
    </row>
    <row r="345">
      <c r="C345" s="7" t="s">
        <v>95</v>
      </c>
    </row>
    <row r="346">
      <c r="C346" s="7" t="s">
        <v>95</v>
      </c>
    </row>
    <row r="347">
      <c r="C347" s="7" t="s">
        <v>95</v>
      </c>
    </row>
    <row r="348">
      <c r="C348" s="7" t="s">
        <v>95</v>
      </c>
    </row>
    <row r="349">
      <c r="C349" s="7" t="s">
        <v>95</v>
      </c>
    </row>
    <row r="350">
      <c r="C350" s="7" t="s">
        <v>95</v>
      </c>
    </row>
    <row r="351">
      <c r="C351" s="7" t="s">
        <v>95</v>
      </c>
    </row>
    <row r="352">
      <c r="C352" s="7" t="s">
        <v>95</v>
      </c>
    </row>
    <row r="353">
      <c r="C353" s="7" t="s">
        <v>95</v>
      </c>
    </row>
    <row r="354">
      <c r="C354" s="7" t="s">
        <v>95</v>
      </c>
    </row>
    <row r="355">
      <c r="C355" s="7" t="s">
        <v>95</v>
      </c>
    </row>
    <row r="356">
      <c r="C356" s="7" t="s">
        <v>95</v>
      </c>
    </row>
    <row r="357">
      <c r="C357" s="7" t="s">
        <v>95</v>
      </c>
    </row>
    <row r="358">
      <c r="C358" s="7" t="s">
        <v>95</v>
      </c>
    </row>
    <row r="359">
      <c r="C359" s="7" t="s">
        <v>95</v>
      </c>
    </row>
    <row r="360">
      <c r="C360" s="7" t="s">
        <v>95</v>
      </c>
    </row>
    <row r="361">
      <c r="C361" s="7" t="s">
        <v>95</v>
      </c>
    </row>
    <row r="362">
      <c r="C362" s="7" t="s">
        <v>95</v>
      </c>
    </row>
    <row r="363">
      <c r="C363" s="7" t="s">
        <v>95</v>
      </c>
    </row>
    <row r="364">
      <c r="C364" s="7" t="s">
        <v>95</v>
      </c>
    </row>
    <row r="365">
      <c r="C365" s="7" t="s">
        <v>95</v>
      </c>
    </row>
    <row r="366">
      <c r="C366" s="7" t="s">
        <v>95</v>
      </c>
    </row>
    <row r="367">
      <c r="C367" s="7" t="s">
        <v>95</v>
      </c>
    </row>
    <row r="368">
      <c r="C368" s="7" t="s">
        <v>95</v>
      </c>
    </row>
    <row r="369">
      <c r="C369" s="7" t="s">
        <v>95</v>
      </c>
    </row>
    <row r="370">
      <c r="C370" s="7" t="s">
        <v>95</v>
      </c>
    </row>
    <row r="371">
      <c r="C371" s="7" t="s">
        <v>95</v>
      </c>
    </row>
    <row r="372">
      <c r="C372" s="7" t="s">
        <v>95</v>
      </c>
    </row>
    <row r="373">
      <c r="C373" s="7" t="s">
        <v>95</v>
      </c>
    </row>
    <row r="374">
      <c r="C374" s="7" t="s">
        <v>95</v>
      </c>
    </row>
    <row r="375">
      <c r="C375" s="7" t="s">
        <v>95</v>
      </c>
    </row>
    <row r="376">
      <c r="C376" s="7" t="s">
        <v>95</v>
      </c>
    </row>
    <row r="377">
      <c r="C377" s="7" t="s">
        <v>95</v>
      </c>
    </row>
    <row r="378">
      <c r="C378" s="7" t="s">
        <v>95</v>
      </c>
    </row>
    <row r="379">
      <c r="C379" s="7" t="s">
        <v>95</v>
      </c>
    </row>
    <row r="380">
      <c r="C380" s="7" t="s">
        <v>95</v>
      </c>
    </row>
    <row r="381">
      <c r="C381" s="7" t="s">
        <v>95</v>
      </c>
    </row>
    <row r="382">
      <c r="C382" s="7" t="s">
        <v>95</v>
      </c>
    </row>
    <row r="383">
      <c r="C383" s="7" t="s">
        <v>95</v>
      </c>
    </row>
    <row r="384">
      <c r="C384" s="7" t="s">
        <v>95</v>
      </c>
    </row>
    <row r="385">
      <c r="C385" s="7" t="s">
        <v>95</v>
      </c>
    </row>
    <row r="386">
      <c r="C386" s="7" t="s">
        <v>95</v>
      </c>
    </row>
    <row r="387">
      <c r="C387" s="7" t="s">
        <v>95</v>
      </c>
    </row>
    <row r="388">
      <c r="C388" s="7" t="s">
        <v>95</v>
      </c>
    </row>
    <row r="389">
      <c r="C389" s="7" t="s">
        <v>95</v>
      </c>
    </row>
    <row r="390">
      <c r="C390" s="7" t="s">
        <v>95</v>
      </c>
    </row>
    <row r="391">
      <c r="C391" s="7" t="s">
        <v>95</v>
      </c>
    </row>
    <row r="392">
      <c r="C392" s="7" t="s">
        <v>95</v>
      </c>
    </row>
    <row r="393">
      <c r="C393" s="7" t="s">
        <v>95</v>
      </c>
    </row>
    <row r="394">
      <c r="C394" s="7" t="s">
        <v>95</v>
      </c>
    </row>
    <row r="395">
      <c r="C395" s="7" t="s">
        <v>95</v>
      </c>
    </row>
    <row r="396">
      <c r="C396" s="7" t="s">
        <v>95</v>
      </c>
    </row>
    <row r="397">
      <c r="C397" s="7" t="s">
        <v>95</v>
      </c>
    </row>
    <row r="398">
      <c r="C398" s="7" t="s">
        <v>95</v>
      </c>
    </row>
    <row r="399">
      <c r="C399" s="7" t="s">
        <v>95</v>
      </c>
    </row>
    <row r="400">
      <c r="C400" s="7" t="s">
        <v>95</v>
      </c>
    </row>
    <row r="401">
      <c r="C401" s="7" t="s">
        <v>95</v>
      </c>
    </row>
    <row r="402">
      <c r="C402" s="7" t="s">
        <v>95</v>
      </c>
    </row>
    <row r="403">
      <c r="C403" s="7" t="s">
        <v>95</v>
      </c>
    </row>
    <row r="404">
      <c r="C404" s="7" t="s">
        <v>95</v>
      </c>
    </row>
    <row r="405">
      <c r="C405" s="7" t="s">
        <v>95</v>
      </c>
    </row>
    <row r="406">
      <c r="C406" s="7" t="s">
        <v>95</v>
      </c>
    </row>
    <row r="407">
      <c r="C407" s="7" t="s">
        <v>95</v>
      </c>
    </row>
    <row r="408">
      <c r="C408" s="7" t="s">
        <v>95</v>
      </c>
    </row>
    <row r="409">
      <c r="C409" s="7" t="s">
        <v>95</v>
      </c>
    </row>
    <row r="410">
      <c r="C410" s="7" t="s">
        <v>95</v>
      </c>
    </row>
    <row r="411">
      <c r="C411" s="7" t="s">
        <v>95</v>
      </c>
    </row>
    <row r="412">
      <c r="C412" s="7" t="s">
        <v>95</v>
      </c>
    </row>
    <row r="413">
      <c r="C413" s="7" t="s">
        <v>95</v>
      </c>
    </row>
    <row r="414">
      <c r="C414" s="7" t="s">
        <v>95</v>
      </c>
    </row>
    <row r="415">
      <c r="C415" s="7" t="s">
        <v>95</v>
      </c>
    </row>
    <row r="416">
      <c r="C416" s="7" t="s">
        <v>95</v>
      </c>
    </row>
    <row r="417">
      <c r="C417" s="7" t="s">
        <v>95</v>
      </c>
    </row>
    <row r="418">
      <c r="C418" s="7" t="s">
        <v>95</v>
      </c>
    </row>
    <row r="419">
      <c r="C419" s="7" t="s">
        <v>95</v>
      </c>
    </row>
    <row r="420">
      <c r="C420" s="7" t="s">
        <v>95</v>
      </c>
    </row>
    <row r="421">
      <c r="C421" s="7" t="s">
        <v>95</v>
      </c>
    </row>
    <row r="422">
      <c r="C422" s="7" t="s">
        <v>95</v>
      </c>
    </row>
    <row r="423">
      <c r="C423" s="7" t="s">
        <v>95</v>
      </c>
    </row>
    <row r="424">
      <c r="C424" s="7" t="s">
        <v>95</v>
      </c>
    </row>
    <row r="425">
      <c r="C425" s="7" t="s">
        <v>95</v>
      </c>
    </row>
    <row r="426">
      <c r="C426" s="7" t="s">
        <v>95</v>
      </c>
    </row>
    <row r="427">
      <c r="C427" s="7" t="s">
        <v>95</v>
      </c>
    </row>
    <row r="428">
      <c r="C428" s="7" t="s">
        <v>95</v>
      </c>
    </row>
    <row r="429">
      <c r="C429" s="7" t="s">
        <v>95</v>
      </c>
    </row>
    <row r="430">
      <c r="C430" s="7" t="s">
        <v>95</v>
      </c>
    </row>
    <row r="431">
      <c r="C431" s="7" t="s">
        <v>95</v>
      </c>
    </row>
    <row r="432">
      <c r="C432" s="7" t="s">
        <v>95</v>
      </c>
    </row>
    <row r="433">
      <c r="C433" s="7" t="s">
        <v>95</v>
      </c>
    </row>
    <row r="434">
      <c r="C434" s="7" t="s">
        <v>95</v>
      </c>
    </row>
    <row r="435">
      <c r="C435" s="7" t="s">
        <v>95</v>
      </c>
    </row>
    <row r="436">
      <c r="C436" s="7" t="s">
        <v>95</v>
      </c>
    </row>
    <row r="437">
      <c r="C437" s="7" t="s">
        <v>95</v>
      </c>
    </row>
    <row r="438">
      <c r="C438" s="7" t="s">
        <v>95</v>
      </c>
    </row>
    <row r="439">
      <c r="C439" s="7" t="s">
        <v>95</v>
      </c>
    </row>
    <row r="440">
      <c r="C440" s="7" t="s">
        <v>95</v>
      </c>
    </row>
    <row r="441">
      <c r="C441" s="7" t="s">
        <v>95</v>
      </c>
    </row>
    <row r="442">
      <c r="C442" s="7" t="s">
        <v>95</v>
      </c>
    </row>
    <row r="443">
      <c r="C443" s="7" t="s">
        <v>95</v>
      </c>
    </row>
    <row r="444">
      <c r="C444" s="7" t="s">
        <v>95</v>
      </c>
    </row>
    <row r="445">
      <c r="C445" s="7" t="s">
        <v>95</v>
      </c>
    </row>
    <row r="446">
      <c r="C446" s="7" t="s">
        <v>95</v>
      </c>
    </row>
    <row r="447">
      <c r="C447" s="7" t="s">
        <v>95</v>
      </c>
    </row>
    <row r="448">
      <c r="C448" s="7" t="s">
        <v>95</v>
      </c>
    </row>
    <row r="449">
      <c r="C449" s="7" t="s">
        <v>95</v>
      </c>
    </row>
    <row r="450">
      <c r="C450" s="7" t="s">
        <v>95</v>
      </c>
    </row>
    <row r="451">
      <c r="C451" s="7" t="s">
        <v>95</v>
      </c>
    </row>
    <row r="452">
      <c r="C452" s="7" t="s">
        <v>95</v>
      </c>
    </row>
    <row r="453">
      <c r="C453" s="7" t="s">
        <v>95</v>
      </c>
    </row>
    <row r="454">
      <c r="C454" s="7" t="s">
        <v>95</v>
      </c>
    </row>
    <row r="455">
      <c r="C455" s="7" t="s">
        <v>95</v>
      </c>
    </row>
    <row r="456">
      <c r="C456" s="7" t="s">
        <v>95</v>
      </c>
    </row>
    <row r="457">
      <c r="C457" s="7" t="s">
        <v>95</v>
      </c>
    </row>
    <row r="458">
      <c r="C458" s="7" t="s">
        <v>95</v>
      </c>
    </row>
    <row r="459">
      <c r="C459" s="7" t="s">
        <v>95</v>
      </c>
    </row>
    <row r="460">
      <c r="C460" s="7" t="s">
        <v>95</v>
      </c>
    </row>
    <row r="461">
      <c r="C461" s="7" t="s">
        <v>95</v>
      </c>
    </row>
    <row r="462">
      <c r="C462" s="7" t="s">
        <v>95</v>
      </c>
    </row>
    <row r="463">
      <c r="C463" s="7" t="s">
        <v>95</v>
      </c>
    </row>
    <row r="464">
      <c r="C464" s="7" t="s">
        <v>95</v>
      </c>
    </row>
    <row r="465">
      <c r="C465" s="7" t="s">
        <v>95</v>
      </c>
    </row>
    <row r="466">
      <c r="C466" s="7" t="s">
        <v>95</v>
      </c>
    </row>
    <row r="467">
      <c r="C467" s="7" t="s">
        <v>95</v>
      </c>
    </row>
    <row r="468">
      <c r="C468" s="7" t="s">
        <v>95</v>
      </c>
    </row>
    <row r="469">
      <c r="C469" s="7" t="s">
        <v>95</v>
      </c>
    </row>
    <row r="470">
      <c r="C470" s="7" t="s">
        <v>95</v>
      </c>
    </row>
    <row r="471">
      <c r="C471" s="7" t="s">
        <v>95</v>
      </c>
    </row>
    <row r="472">
      <c r="C472" s="7" t="s">
        <v>95</v>
      </c>
    </row>
    <row r="473">
      <c r="C473" s="7" t="s">
        <v>95</v>
      </c>
    </row>
    <row r="474">
      <c r="C474" s="7" t="s">
        <v>95</v>
      </c>
    </row>
    <row r="475">
      <c r="C475" s="7" t="s">
        <v>95</v>
      </c>
    </row>
    <row r="476">
      <c r="C476" s="7" t="s">
        <v>95</v>
      </c>
    </row>
    <row r="477">
      <c r="C477" s="7" t="s">
        <v>95</v>
      </c>
    </row>
    <row r="478">
      <c r="C478" s="7" t="s">
        <v>95</v>
      </c>
    </row>
    <row r="479">
      <c r="C479" s="7" t="s">
        <v>95</v>
      </c>
    </row>
    <row r="480">
      <c r="C480" s="7" t="s">
        <v>95</v>
      </c>
    </row>
    <row r="481">
      <c r="C481" s="7" t="s">
        <v>95</v>
      </c>
    </row>
    <row r="482">
      <c r="C482" s="7" t="s">
        <v>95</v>
      </c>
    </row>
    <row r="483">
      <c r="C483" s="7" t="s">
        <v>95</v>
      </c>
    </row>
    <row r="484">
      <c r="C484" s="7" t="s">
        <v>95</v>
      </c>
    </row>
    <row r="485">
      <c r="C485" s="7" t="s">
        <v>95</v>
      </c>
    </row>
    <row r="486">
      <c r="C486" s="7" t="s">
        <v>95</v>
      </c>
    </row>
    <row r="487">
      <c r="C487" s="7" t="s">
        <v>95</v>
      </c>
    </row>
    <row r="488">
      <c r="C488" s="7" t="s">
        <v>95</v>
      </c>
    </row>
    <row r="489">
      <c r="C489" s="7" t="s">
        <v>95</v>
      </c>
    </row>
    <row r="490">
      <c r="C490" s="7" t="s">
        <v>95</v>
      </c>
    </row>
    <row r="491">
      <c r="C491" s="7" t="s">
        <v>95</v>
      </c>
    </row>
    <row r="492">
      <c r="C492" s="7" t="s">
        <v>95</v>
      </c>
    </row>
    <row r="493">
      <c r="C493" s="7" t="s">
        <v>95</v>
      </c>
    </row>
    <row r="494">
      <c r="C494" s="7" t="s">
        <v>95</v>
      </c>
    </row>
    <row r="495">
      <c r="C495" s="7" t="s">
        <v>95</v>
      </c>
    </row>
    <row r="496">
      <c r="C496" s="7" t="s">
        <v>95</v>
      </c>
    </row>
    <row r="497">
      <c r="C497" s="7" t="s">
        <v>95</v>
      </c>
    </row>
    <row r="498">
      <c r="C498" s="7" t="s">
        <v>95</v>
      </c>
    </row>
    <row r="499">
      <c r="C499" s="7" t="s">
        <v>95</v>
      </c>
    </row>
    <row r="500">
      <c r="C500" s="7" t="s">
        <v>95</v>
      </c>
    </row>
    <row r="501">
      <c r="C501" s="7" t="s">
        <v>95</v>
      </c>
    </row>
    <row r="502">
      <c r="C502" s="7" t="s">
        <v>95</v>
      </c>
    </row>
    <row r="503">
      <c r="C503" s="7" t="s">
        <v>95</v>
      </c>
    </row>
    <row r="504">
      <c r="C504" s="7" t="s">
        <v>95</v>
      </c>
    </row>
    <row r="505">
      <c r="C505" s="7" t="s">
        <v>95</v>
      </c>
    </row>
    <row r="506">
      <c r="C506" s="7" t="s">
        <v>95</v>
      </c>
    </row>
    <row r="507">
      <c r="C507" s="7" t="s">
        <v>95</v>
      </c>
    </row>
    <row r="508">
      <c r="C508" s="7" t="s">
        <v>95</v>
      </c>
    </row>
    <row r="509">
      <c r="C509" s="7" t="s">
        <v>95</v>
      </c>
    </row>
    <row r="510">
      <c r="C510" s="7" t="s">
        <v>95</v>
      </c>
    </row>
    <row r="511">
      <c r="C511" s="7" t="s">
        <v>95</v>
      </c>
    </row>
    <row r="512">
      <c r="C512" s="7" t="s">
        <v>95</v>
      </c>
    </row>
    <row r="513">
      <c r="C513" s="7" t="s">
        <v>95</v>
      </c>
    </row>
    <row r="514">
      <c r="C514" s="7" t="s">
        <v>95</v>
      </c>
    </row>
    <row r="515">
      <c r="C515" s="7" t="s">
        <v>95</v>
      </c>
    </row>
    <row r="516">
      <c r="C516" s="7" t="s">
        <v>95</v>
      </c>
    </row>
    <row r="517">
      <c r="C517" s="7" t="s">
        <v>95</v>
      </c>
    </row>
    <row r="518">
      <c r="C518" s="7" t="s">
        <v>95</v>
      </c>
    </row>
    <row r="519">
      <c r="C519" s="7" t="s">
        <v>95</v>
      </c>
    </row>
    <row r="520">
      <c r="C520" s="7" t="s">
        <v>95</v>
      </c>
    </row>
    <row r="521">
      <c r="C521" s="7" t="s">
        <v>95</v>
      </c>
    </row>
    <row r="522">
      <c r="C522" s="7" t="s">
        <v>95</v>
      </c>
    </row>
    <row r="523">
      <c r="C523" s="7" t="s">
        <v>95</v>
      </c>
    </row>
    <row r="524">
      <c r="C524" s="7" t="s">
        <v>95</v>
      </c>
    </row>
    <row r="525">
      <c r="C525" s="7" t="s">
        <v>95</v>
      </c>
    </row>
    <row r="526">
      <c r="C526" s="7" t="s">
        <v>95</v>
      </c>
    </row>
    <row r="527">
      <c r="C527" s="7" t="s">
        <v>95</v>
      </c>
    </row>
    <row r="528">
      <c r="C528" s="7" t="s">
        <v>95</v>
      </c>
    </row>
    <row r="529">
      <c r="C529" s="7" t="s">
        <v>95</v>
      </c>
    </row>
    <row r="530">
      <c r="C530" s="7" t="s">
        <v>95</v>
      </c>
    </row>
    <row r="531">
      <c r="C531" s="7" t="s">
        <v>95</v>
      </c>
    </row>
    <row r="532">
      <c r="C532" s="7" t="s">
        <v>95</v>
      </c>
    </row>
    <row r="533">
      <c r="C533" s="7" t="s">
        <v>95</v>
      </c>
    </row>
    <row r="534">
      <c r="C534" s="7" t="s">
        <v>95</v>
      </c>
    </row>
    <row r="535">
      <c r="C535" s="7" t="s">
        <v>95</v>
      </c>
    </row>
    <row r="536">
      <c r="C536" s="7" t="s">
        <v>95</v>
      </c>
    </row>
    <row r="537">
      <c r="C537" s="7" t="s">
        <v>95</v>
      </c>
    </row>
    <row r="538">
      <c r="C538" s="7" t="s">
        <v>95</v>
      </c>
    </row>
    <row r="539">
      <c r="C539" s="7" t="s">
        <v>95</v>
      </c>
    </row>
    <row r="540">
      <c r="C540" s="7" t="s">
        <v>95</v>
      </c>
    </row>
    <row r="541">
      <c r="C541" s="7" t="s">
        <v>95</v>
      </c>
    </row>
    <row r="542">
      <c r="C542" s="7" t="s">
        <v>95</v>
      </c>
    </row>
    <row r="543">
      <c r="C543" s="7" t="s">
        <v>95</v>
      </c>
    </row>
    <row r="544">
      <c r="C544" s="7" t="s">
        <v>95</v>
      </c>
    </row>
    <row r="545">
      <c r="C545" s="7" t="s">
        <v>95</v>
      </c>
    </row>
    <row r="546">
      <c r="C546" s="7" t="s">
        <v>95</v>
      </c>
    </row>
    <row r="547">
      <c r="C547" s="7" t="s">
        <v>95</v>
      </c>
    </row>
    <row r="548">
      <c r="C548" s="7" t="s">
        <v>95</v>
      </c>
    </row>
    <row r="549">
      <c r="C549" s="7" t="s">
        <v>95</v>
      </c>
    </row>
    <row r="550">
      <c r="C550" s="7" t="s">
        <v>95</v>
      </c>
    </row>
    <row r="551">
      <c r="C551" s="7" t="s">
        <v>95</v>
      </c>
    </row>
    <row r="552">
      <c r="C552" s="7" t="s">
        <v>95</v>
      </c>
    </row>
    <row r="553">
      <c r="C553" s="7" t="s">
        <v>95</v>
      </c>
    </row>
    <row r="554">
      <c r="C554" s="7" t="s">
        <v>95</v>
      </c>
    </row>
    <row r="555">
      <c r="C555" s="7" t="s">
        <v>95</v>
      </c>
    </row>
    <row r="556">
      <c r="C556" s="7" t="s">
        <v>95</v>
      </c>
    </row>
    <row r="557">
      <c r="C557" s="7" t="s">
        <v>95</v>
      </c>
    </row>
    <row r="558">
      <c r="C558" s="7" t="s">
        <v>95</v>
      </c>
    </row>
    <row r="559">
      <c r="C559" s="7" t="s">
        <v>95</v>
      </c>
    </row>
    <row r="560">
      <c r="C560" s="7" t="s">
        <v>95</v>
      </c>
    </row>
    <row r="561">
      <c r="C561" s="7" t="s">
        <v>95</v>
      </c>
    </row>
    <row r="562">
      <c r="C562" s="7" t="s">
        <v>95</v>
      </c>
    </row>
    <row r="563">
      <c r="C563" s="7" t="s">
        <v>95</v>
      </c>
    </row>
    <row r="564">
      <c r="C564" s="7" t="s">
        <v>95</v>
      </c>
    </row>
    <row r="565">
      <c r="C565" s="7" t="s">
        <v>95</v>
      </c>
    </row>
    <row r="566">
      <c r="C566" s="7" t="s">
        <v>95</v>
      </c>
    </row>
    <row r="567">
      <c r="C567" s="7" t="s">
        <v>95</v>
      </c>
    </row>
    <row r="568">
      <c r="C568" s="7" t="s">
        <v>95</v>
      </c>
    </row>
    <row r="569">
      <c r="C569" s="7" t="s">
        <v>95</v>
      </c>
    </row>
    <row r="570">
      <c r="C570" s="7" t="s">
        <v>95</v>
      </c>
    </row>
    <row r="571">
      <c r="C571" s="7" t="s">
        <v>95</v>
      </c>
    </row>
    <row r="572">
      <c r="C572" s="7" t="s">
        <v>95</v>
      </c>
    </row>
    <row r="573">
      <c r="C573" s="7" t="s">
        <v>95</v>
      </c>
    </row>
    <row r="574">
      <c r="C574" s="7" t="s">
        <v>95</v>
      </c>
    </row>
    <row r="575">
      <c r="C575" s="7" t="s">
        <v>95</v>
      </c>
    </row>
    <row r="576">
      <c r="C576" s="7" t="s">
        <v>95</v>
      </c>
    </row>
    <row r="577">
      <c r="C577" s="7" t="s">
        <v>95</v>
      </c>
    </row>
    <row r="578">
      <c r="C578" s="7" t="s">
        <v>95</v>
      </c>
    </row>
    <row r="579">
      <c r="C579" s="7" t="s">
        <v>95</v>
      </c>
    </row>
    <row r="580">
      <c r="C580" s="7" t="s">
        <v>95</v>
      </c>
    </row>
    <row r="581">
      <c r="C581" s="7" t="s">
        <v>95</v>
      </c>
    </row>
    <row r="582">
      <c r="C582" s="7" t="s">
        <v>95</v>
      </c>
    </row>
    <row r="583">
      <c r="C583" s="7" t="s">
        <v>95</v>
      </c>
    </row>
    <row r="584">
      <c r="C584" s="7" t="s">
        <v>95</v>
      </c>
    </row>
    <row r="585">
      <c r="C585" s="7" t="s">
        <v>95</v>
      </c>
    </row>
    <row r="586">
      <c r="C586" s="7" t="s">
        <v>95</v>
      </c>
    </row>
    <row r="587">
      <c r="C587" s="7" t="s">
        <v>95</v>
      </c>
    </row>
    <row r="588">
      <c r="C588" s="7" t="s">
        <v>95</v>
      </c>
    </row>
    <row r="589">
      <c r="C589" s="7" t="s">
        <v>95</v>
      </c>
    </row>
    <row r="590">
      <c r="C590" s="7" t="s">
        <v>95</v>
      </c>
    </row>
    <row r="591">
      <c r="C591" s="7" t="s">
        <v>95</v>
      </c>
    </row>
    <row r="592">
      <c r="C592" s="7" t="s">
        <v>95</v>
      </c>
    </row>
    <row r="593">
      <c r="C593" s="7" t="s">
        <v>95</v>
      </c>
    </row>
    <row r="594">
      <c r="C594" s="7" t="s">
        <v>95</v>
      </c>
    </row>
    <row r="595">
      <c r="C595" s="7" t="s">
        <v>95</v>
      </c>
    </row>
    <row r="596">
      <c r="C596" s="7" t="s">
        <v>95</v>
      </c>
    </row>
    <row r="597">
      <c r="C597" s="7" t="s">
        <v>95</v>
      </c>
    </row>
    <row r="598">
      <c r="C598" s="7" t="s">
        <v>95</v>
      </c>
    </row>
    <row r="599">
      <c r="C599" s="7" t="s">
        <v>95</v>
      </c>
    </row>
    <row r="600">
      <c r="C600" s="7" t="s">
        <v>95</v>
      </c>
    </row>
    <row r="601">
      <c r="C601" s="7" t="s">
        <v>95</v>
      </c>
    </row>
    <row r="602">
      <c r="C602" s="7" t="s">
        <v>95</v>
      </c>
    </row>
    <row r="603">
      <c r="C603" s="7" t="s">
        <v>95</v>
      </c>
    </row>
    <row r="604">
      <c r="C604" s="7" t="s">
        <v>95</v>
      </c>
    </row>
    <row r="605">
      <c r="C605" s="7" t="s">
        <v>95</v>
      </c>
    </row>
    <row r="606">
      <c r="C606" s="7" t="s">
        <v>95</v>
      </c>
    </row>
    <row r="607">
      <c r="C607" s="7" t="s">
        <v>95</v>
      </c>
    </row>
    <row r="608">
      <c r="C608" s="7" t="s">
        <v>95</v>
      </c>
    </row>
    <row r="609">
      <c r="C609" s="7" t="s">
        <v>95</v>
      </c>
    </row>
    <row r="610">
      <c r="C610" s="7" t="s">
        <v>95</v>
      </c>
    </row>
    <row r="611">
      <c r="C611" s="7" t="s">
        <v>95</v>
      </c>
    </row>
    <row r="612">
      <c r="C612" s="7" t="s">
        <v>95</v>
      </c>
    </row>
    <row r="613">
      <c r="C613" s="7" t="s">
        <v>95</v>
      </c>
    </row>
    <row r="614">
      <c r="C614" s="7" t="s">
        <v>95</v>
      </c>
    </row>
    <row r="615">
      <c r="C615" s="7" t="s">
        <v>95</v>
      </c>
    </row>
    <row r="616">
      <c r="C616" s="7" t="s">
        <v>95</v>
      </c>
    </row>
    <row r="617">
      <c r="C617" s="7" t="s">
        <v>95</v>
      </c>
    </row>
    <row r="618">
      <c r="C618" s="7" t="s">
        <v>95</v>
      </c>
    </row>
    <row r="619">
      <c r="C619" s="7" t="s">
        <v>95</v>
      </c>
    </row>
    <row r="620">
      <c r="C620" s="7" t="s">
        <v>95</v>
      </c>
    </row>
    <row r="621">
      <c r="C621" s="7" t="s">
        <v>95</v>
      </c>
    </row>
    <row r="622">
      <c r="C622" s="7" t="s">
        <v>95</v>
      </c>
    </row>
    <row r="623">
      <c r="C623" s="7" t="s">
        <v>95</v>
      </c>
    </row>
    <row r="624">
      <c r="C624" s="7" t="s">
        <v>95</v>
      </c>
    </row>
    <row r="625">
      <c r="C625" s="7" t="s">
        <v>95</v>
      </c>
    </row>
    <row r="626">
      <c r="C626" s="7" t="s">
        <v>95</v>
      </c>
    </row>
    <row r="627">
      <c r="C627" s="7" t="s">
        <v>95</v>
      </c>
    </row>
    <row r="628">
      <c r="C628" s="7" t="s">
        <v>95</v>
      </c>
    </row>
    <row r="629">
      <c r="C629" s="7" t="s">
        <v>95</v>
      </c>
    </row>
    <row r="630">
      <c r="C630" s="7" t="s">
        <v>95</v>
      </c>
    </row>
    <row r="631">
      <c r="C631" s="7" t="s">
        <v>95</v>
      </c>
    </row>
    <row r="632">
      <c r="C632" s="7" t="s">
        <v>95</v>
      </c>
    </row>
    <row r="633">
      <c r="C633" s="7" t="s">
        <v>95</v>
      </c>
    </row>
    <row r="634">
      <c r="C634" s="7" t="s">
        <v>95</v>
      </c>
    </row>
    <row r="635">
      <c r="C635" s="7" t="s">
        <v>95</v>
      </c>
    </row>
    <row r="636">
      <c r="C636" s="7" t="s">
        <v>95</v>
      </c>
    </row>
    <row r="637">
      <c r="C637" s="7" t="s">
        <v>95</v>
      </c>
    </row>
    <row r="638">
      <c r="C638" s="7" t="s">
        <v>95</v>
      </c>
    </row>
    <row r="639">
      <c r="C639" s="7" t="s">
        <v>95</v>
      </c>
    </row>
    <row r="640">
      <c r="C640" s="7" t="s">
        <v>95</v>
      </c>
    </row>
    <row r="641">
      <c r="C641" s="7" t="s">
        <v>95</v>
      </c>
    </row>
    <row r="642">
      <c r="C642" s="7" t="s">
        <v>95</v>
      </c>
    </row>
    <row r="643">
      <c r="C643" s="7" t="s">
        <v>95</v>
      </c>
    </row>
    <row r="644">
      <c r="C644" s="7" t="s">
        <v>95</v>
      </c>
    </row>
    <row r="645">
      <c r="C645" s="7" t="s">
        <v>95</v>
      </c>
    </row>
    <row r="646">
      <c r="C646" s="7" t="s">
        <v>95</v>
      </c>
    </row>
    <row r="647">
      <c r="C647" s="7" t="s">
        <v>95</v>
      </c>
    </row>
    <row r="648">
      <c r="C648" s="7" t="s">
        <v>95</v>
      </c>
    </row>
    <row r="649">
      <c r="C649" s="7" t="s">
        <v>95</v>
      </c>
    </row>
    <row r="650">
      <c r="C650" s="7" t="s">
        <v>95</v>
      </c>
    </row>
    <row r="651">
      <c r="C651" s="7" t="s">
        <v>95</v>
      </c>
    </row>
    <row r="652">
      <c r="C652" s="7" t="s">
        <v>95</v>
      </c>
    </row>
    <row r="653">
      <c r="C653" s="7" t="s">
        <v>95</v>
      </c>
    </row>
    <row r="654">
      <c r="C654" s="7" t="s">
        <v>95</v>
      </c>
    </row>
    <row r="655">
      <c r="C655" s="7" t="s">
        <v>95</v>
      </c>
    </row>
    <row r="656">
      <c r="C656" s="7" t="s">
        <v>95</v>
      </c>
    </row>
    <row r="657">
      <c r="C657" s="7" t="s">
        <v>95</v>
      </c>
    </row>
    <row r="658">
      <c r="C658" s="7" t="s">
        <v>95</v>
      </c>
    </row>
    <row r="659">
      <c r="C659" s="7" t="s">
        <v>95</v>
      </c>
    </row>
    <row r="660">
      <c r="C660" s="7" t="s">
        <v>95</v>
      </c>
    </row>
    <row r="661">
      <c r="C661" s="7" t="s">
        <v>95</v>
      </c>
    </row>
    <row r="662">
      <c r="C662" s="7" t="s">
        <v>95</v>
      </c>
    </row>
    <row r="663">
      <c r="C663" s="7" t="s">
        <v>95</v>
      </c>
    </row>
    <row r="664">
      <c r="C664" s="7" t="s">
        <v>95</v>
      </c>
    </row>
    <row r="665">
      <c r="C665" s="7" t="s">
        <v>95</v>
      </c>
    </row>
    <row r="666">
      <c r="C666" s="7" t="s">
        <v>95</v>
      </c>
    </row>
    <row r="667">
      <c r="C667" s="7" t="s">
        <v>95</v>
      </c>
    </row>
    <row r="668">
      <c r="C668" s="7" t="s">
        <v>95</v>
      </c>
    </row>
    <row r="669">
      <c r="C669" s="7" t="s">
        <v>95</v>
      </c>
    </row>
    <row r="670">
      <c r="C670" s="7" t="s">
        <v>95</v>
      </c>
    </row>
    <row r="671">
      <c r="C671" s="7" t="s">
        <v>95</v>
      </c>
    </row>
    <row r="672">
      <c r="C672" s="7" t="s">
        <v>95</v>
      </c>
    </row>
    <row r="673">
      <c r="C673" s="7" t="s">
        <v>95</v>
      </c>
    </row>
    <row r="674">
      <c r="C674" s="7" t="s">
        <v>95</v>
      </c>
    </row>
    <row r="675">
      <c r="C675" s="7" t="s">
        <v>95</v>
      </c>
    </row>
    <row r="676">
      <c r="C676" s="7" t="s">
        <v>95</v>
      </c>
    </row>
    <row r="677">
      <c r="C677" s="7" t="s">
        <v>95</v>
      </c>
    </row>
    <row r="678">
      <c r="C678" s="7" t="s">
        <v>95</v>
      </c>
    </row>
    <row r="679">
      <c r="C679" s="7" t="s">
        <v>95</v>
      </c>
    </row>
    <row r="680">
      <c r="C680" s="7" t="s">
        <v>95</v>
      </c>
    </row>
    <row r="681">
      <c r="C681" s="7" t="s">
        <v>95</v>
      </c>
    </row>
    <row r="682">
      <c r="C682" s="7" t="s">
        <v>95</v>
      </c>
    </row>
    <row r="683">
      <c r="C683" s="7" t="s">
        <v>95</v>
      </c>
    </row>
    <row r="684">
      <c r="C684" s="7" t="s">
        <v>95</v>
      </c>
    </row>
    <row r="685">
      <c r="C685" s="7" t="s">
        <v>95</v>
      </c>
    </row>
    <row r="686">
      <c r="C686" s="7" t="s">
        <v>95</v>
      </c>
    </row>
    <row r="687">
      <c r="C687" s="7" t="s">
        <v>95</v>
      </c>
    </row>
    <row r="688">
      <c r="C688" s="7" t="s">
        <v>95</v>
      </c>
    </row>
    <row r="689">
      <c r="C689" s="7" t="s">
        <v>95</v>
      </c>
    </row>
    <row r="690">
      <c r="C690" s="7" t="s">
        <v>95</v>
      </c>
    </row>
    <row r="691">
      <c r="C691" s="7" t="s">
        <v>95</v>
      </c>
    </row>
    <row r="692">
      <c r="C692" s="7" t="s">
        <v>95</v>
      </c>
    </row>
    <row r="693">
      <c r="C693" s="7" t="s">
        <v>95</v>
      </c>
    </row>
    <row r="694">
      <c r="C694" s="7" t="s">
        <v>95</v>
      </c>
    </row>
    <row r="695">
      <c r="C695" s="7" t="s">
        <v>95</v>
      </c>
    </row>
    <row r="696">
      <c r="C696" s="7" t="s">
        <v>95</v>
      </c>
    </row>
    <row r="697">
      <c r="C697" s="7" t="s">
        <v>95</v>
      </c>
    </row>
    <row r="698">
      <c r="C698" s="7" t="s">
        <v>95</v>
      </c>
    </row>
    <row r="699">
      <c r="C699" s="7" t="s">
        <v>95</v>
      </c>
    </row>
    <row r="700">
      <c r="C700" s="7" t="s">
        <v>95</v>
      </c>
    </row>
    <row r="701">
      <c r="C701" s="7" t="s">
        <v>95</v>
      </c>
    </row>
    <row r="702">
      <c r="C702" s="7" t="s">
        <v>95</v>
      </c>
    </row>
    <row r="703">
      <c r="C703" s="7" t="s">
        <v>95</v>
      </c>
    </row>
    <row r="704">
      <c r="C704" s="7" t="s">
        <v>95</v>
      </c>
    </row>
    <row r="705">
      <c r="C705" s="7" t="s">
        <v>95</v>
      </c>
    </row>
    <row r="706">
      <c r="C706" s="7" t="s">
        <v>95</v>
      </c>
    </row>
    <row r="707">
      <c r="C707" s="7" t="s">
        <v>95</v>
      </c>
    </row>
    <row r="708">
      <c r="C708" s="7" t="s">
        <v>95</v>
      </c>
    </row>
    <row r="709">
      <c r="C709" s="7" t="s">
        <v>95</v>
      </c>
    </row>
    <row r="710">
      <c r="C710" s="7" t="s">
        <v>95</v>
      </c>
    </row>
    <row r="711">
      <c r="C711" s="7" t="s">
        <v>95</v>
      </c>
    </row>
    <row r="712">
      <c r="C712" s="7" t="s">
        <v>95</v>
      </c>
    </row>
    <row r="713">
      <c r="C713" s="7" t="s">
        <v>95</v>
      </c>
    </row>
    <row r="714">
      <c r="C714" s="7" t="s">
        <v>95</v>
      </c>
    </row>
    <row r="715">
      <c r="C715" s="7" t="s">
        <v>95</v>
      </c>
    </row>
    <row r="716">
      <c r="C716" s="7" t="s">
        <v>95</v>
      </c>
    </row>
    <row r="717">
      <c r="C717" s="7" t="s">
        <v>95</v>
      </c>
    </row>
    <row r="718">
      <c r="C718" s="7" t="s">
        <v>95</v>
      </c>
    </row>
    <row r="719">
      <c r="C719" s="7" t="s">
        <v>95</v>
      </c>
    </row>
    <row r="720">
      <c r="C720" s="7" t="s">
        <v>95</v>
      </c>
    </row>
    <row r="721">
      <c r="C721" s="7" t="s">
        <v>95</v>
      </c>
    </row>
    <row r="722">
      <c r="C722" s="7" t="s">
        <v>95</v>
      </c>
    </row>
    <row r="723">
      <c r="C723" s="7" t="s">
        <v>95</v>
      </c>
    </row>
    <row r="724">
      <c r="C724" s="7" t="s">
        <v>95</v>
      </c>
    </row>
    <row r="725">
      <c r="C725" s="7" t="s">
        <v>95</v>
      </c>
    </row>
    <row r="726">
      <c r="C726" s="7" t="s">
        <v>95</v>
      </c>
    </row>
    <row r="727">
      <c r="C727" s="7" t="s">
        <v>95</v>
      </c>
    </row>
    <row r="728">
      <c r="C728" s="7" t="s">
        <v>95</v>
      </c>
    </row>
    <row r="729">
      <c r="C729" s="7" t="s">
        <v>95</v>
      </c>
    </row>
    <row r="730">
      <c r="C730" s="7" t="s">
        <v>95</v>
      </c>
    </row>
    <row r="731">
      <c r="C731" s="7" t="s">
        <v>95</v>
      </c>
    </row>
    <row r="732">
      <c r="C732" s="7" t="s">
        <v>95</v>
      </c>
    </row>
    <row r="733">
      <c r="C733" s="7" t="s">
        <v>95</v>
      </c>
    </row>
    <row r="734">
      <c r="C734" s="7" t="s">
        <v>95</v>
      </c>
    </row>
    <row r="735">
      <c r="C735" s="7" t="s">
        <v>95</v>
      </c>
    </row>
    <row r="736">
      <c r="C736" s="7" t="s">
        <v>95</v>
      </c>
    </row>
    <row r="737">
      <c r="C737" s="7" t="s">
        <v>95</v>
      </c>
    </row>
    <row r="738">
      <c r="C738" s="7" t="s">
        <v>95</v>
      </c>
    </row>
    <row r="739">
      <c r="C739" s="7" t="s">
        <v>95</v>
      </c>
    </row>
    <row r="740">
      <c r="C740" s="7" t="s">
        <v>95</v>
      </c>
    </row>
    <row r="741">
      <c r="C741" s="7" t="s">
        <v>95</v>
      </c>
    </row>
    <row r="742">
      <c r="C742" s="7" t="s">
        <v>95</v>
      </c>
    </row>
    <row r="743">
      <c r="C743" s="7" t="s">
        <v>95</v>
      </c>
    </row>
    <row r="744">
      <c r="C744" s="7" t="s">
        <v>95</v>
      </c>
    </row>
    <row r="745">
      <c r="C745" s="7" t="s">
        <v>95</v>
      </c>
    </row>
    <row r="746">
      <c r="C746" s="7" t="s">
        <v>95</v>
      </c>
    </row>
    <row r="747">
      <c r="C747" s="7" t="s">
        <v>95</v>
      </c>
    </row>
    <row r="748">
      <c r="C748" s="7" t="s">
        <v>95</v>
      </c>
    </row>
    <row r="749">
      <c r="C749" s="7" t="s">
        <v>95</v>
      </c>
    </row>
    <row r="750">
      <c r="C750" s="7" t="s">
        <v>95</v>
      </c>
    </row>
    <row r="751">
      <c r="C751" s="7" t="s">
        <v>95</v>
      </c>
    </row>
    <row r="752">
      <c r="C752" s="7" t="s">
        <v>95</v>
      </c>
    </row>
    <row r="753">
      <c r="C753" s="7" t="s">
        <v>95</v>
      </c>
    </row>
    <row r="754">
      <c r="C754" s="7" t="s">
        <v>95</v>
      </c>
    </row>
    <row r="755">
      <c r="C755" s="7" t="s">
        <v>95</v>
      </c>
    </row>
    <row r="756">
      <c r="C756" s="7" t="s">
        <v>95</v>
      </c>
    </row>
    <row r="757">
      <c r="C757" s="7" t="s">
        <v>95</v>
      </c>
    </row>
    <row r="758">
      <c r="C758" s="7" t="s">
        <v>95</v>
      </c>
    </row>
    <row r="759">
      <c r="C759" s="7" t="s">
        <v>95</v>
      </c>
    </row>
    <row r="760">
      <c r="C760" s="7" t="s">
        <v>95</v>
      </c>
    </row>
    <row r="761">
      <c r="C761" s="7" t="s">
        <v>95</v>
      </c>
    </row>
    <row r="762">
      <c r="C762" s="7" t="s">
        <v>95</v>
      </c>
    </row>
    <row r="763">
      <c r="C763" s="7" t="s">
        <v>95</v>
      </c>
    </row>
    <row r="764">
      <c r="C764" s="7" t="s">
        <v>95</v>
      </c>
    </row>
    <row r="765">
      <c r="C765" s="7" t="s">
        <v>95</v>
      </c>
    </row>
    <row r="766">
      <c r="C766" s="7" t="s">
        <v>95</v>
      </c>
    </row>
    <row r="767">
      <c r="C767" s="7" t="s">
        <v>95</v>
      </c>
    </row>
    <row r="768">
      <c r="C768" s="7" t="s">
        <v>95</v>
      </c>
    </row>
    <row r="769">
      <c r="C769" s="7" t="s">
        <v>95</v>
      </c>
    </row>
    <row r="770">
      <c r="C770" s="7" t="s">
        <v>95</v>
      </c>
    </row>
    <row r="771">
      <c r="C771" s="7" t="s">
        <v>95</v>
      </c>
    </row>
    <row r="772">
      <c r="C772" s="7" t="s">
        <v>95</v>
      </c>
    </row>
    <row r="773">
      <c r="C773" s="7" t="s">
        <v>95</v>
      </c>
    </row>
    <row r="774">
      <c r="C774" s="7" t="s">
        <v>95</v>
      </c>
    </row>
    <row r="775">
      <c r="C775" s="7" t="s">
        <v>95</v>
      </c>
    </row>
    <row r="776">
      <c r="C776" s="7" t="s">
        <v>95</v>
      </c>
    </row>
    <row r="777">
      <c r="C777" s="7" t="s">
        <v>95</v>
      </c>
    </row>
    <row r="778">
      <c r="C778" s="7" t="s">
        <v>95</v>
      </c>
    </row>
    <row r="779">
      <c r="C779" s="7" t="s">
        <v>95</v>
      </c>
    </row>
    <row r="780">
      <c r="C780" s="7" t="s">
        <v>95</v>
      </c>
    </row>
    <row r="781">
      <c r="C781" s="7" t="s">
        <v>95</v>
      </c>
    </row>
    <row r="782">
      <c r="C782" s="7" t="s">
        <v>95</v>
      </c>
    </row>
    <row r="783">
      <c r="C783" s="7" t="s">
        <v>95</v>
      </c>
    </row>
    <row r="784">
      <c r="C784" s="7" t="s">
        <v>95</v>
      </c>
    </row>
    <row r="785">
      <c r="C785" s="7" t="s">
        <v>95</v>
      </c>
    </row>
    <row r="786">
      <c r="C786" s="7" t="s">
        <v>95</v>
      </c>
    </row>
    <row r="787">
      <c r="C787" s="7" t="s">
        <v>95</v>
      </c>
    </row>
    <row r="788">
      <c r="C788" s="7" t="s">
        <v>95</v>
      </c>
    </row>
    <row r="789">
      <c r="C789" s="7" t="s">
        <v>95</v>
      </c>
    </row>
    <row r="790">
      <c r="C790" s="7" t="s">
        <v>95</v>
      </c>
    </row>
    <row r="791">
      <c r="C791" s="7" t="s">
        <v>95</v>
      </c>
    </row>
    <row r="792">
      <c r="C792" s="7" t="s">
        <v>95</v>
      </c>
    </row>
    <row r="793">
      <c r="C793" s="7" t="s">
        <v>95</v>
      </c>
    </row>
    <row r="794">
      <c r="C794" s="7" t="s">
        <v>95</v>
      </c>
    </row>
    <row r="795">
      <c r="C795" s="7" t="s">
        <v>95</v>
      </c>
    </row>
    <row r="796">
      <c r="C796" s="7" t="s">
        <v>95</v>
      </c>
    </row>
    <row r="797">
      <c r="C797" s="7" t="s">
        <v>95</v>
      </c>
    </row>
    <row r="798">
      <c r="C798" s="7" t="s">
        <v>95</v>
      </c>
    </row>
    <row r="799">
      <c r="C799" s="7" t="s">
        <v>95</v>
      </c>
    </row>
    <row r="800">
      <c r="C800" s="7" t="s">
        <v>95</v>
      </c>
    </row>
    <row r="801">
      <c r="C801" s="7" t="s">
        <v>95</v>
      </c>
    </row>
    <row r="802">
      <c r="C802" s="7" t="s">
        <v>95</v>
      </c>
    </row>
    <row r="803">
      <c r="C803" s="7" t="s">
        <v>95</v>
      </c>
    </row>
    <row r="804">
      <c r="C804" s="7" t="s">
        <v>95</v>
      </c>
    </row>
    <row r="805">
      <c r="C805" s="7" t="s">
        <v>95</v>
      </c>
    </row>
    <row r="806">
      <c r="C806" s="7" t="s">
        <v>95</v>
      </c>
    </row>
    <row r="807">
      <c r="C807" s="7" t="s">
        <v>95</v>
      </c>
    </row>
    <row r="808">
      <c r="C808" s="7" t="s">
        <v>95</v>
      </c>
    </row>
    <row r="809">
      <c r="C809" s="7" t="s">
        <v>95</v>
      </c>
    </row>
    <row r="810">
      <c r="C810" s="7" t="s">
        <v>95</v>
      </c>
    </row>
    <row r="811">
      <c r="C811" s="7" t="s">
        <v>95</v>
      </c>
    </row>
    <row r="812">
      <c r="C812" s="7" t="s">
        <v>95</v>
      </c>
    </row>
    <row r="813">
      <c r="C813" s="7" t="s">
        <v>95</v>
      </c>
    </row>
    <row r="814">
      <c r="C814" s="7" t="s">
        <v>95</v>
      </c>
    </row>
    <row r="815">
      <c r="C815" s="7" t="s">
        <v>95</v>
      </c>
    </row>
    <row r="816">
      <c r="C816" s="7" t="s">
        <v>95</v>
      </c>
    </row>
    <row r="817">
      <c r="C817" s="7" t="s">
        <v>95</v>
      </c>
    </row>
    <row r="818">
      <c r="C818" s="7" t="s">
        <v>95</v>
      </c>
    </row>
    <row r="819">
      <c r="C819" s="7" t="s">
        <v>95</v>
      </c>
    </row>
    <row r="820">
      <c r="C820" s="7" t="s">
        <v>95</v>
      </c>
    </row>
    <row r="821">
      <c r="C821" s="7" t="s">
        <v>95</v>
      </c>
    </row>
    <row r="822">
      <c r="C822" s="7" t="s">
        <v>95</v>
      </c>
    </row>
    <row r="823">
      <c r="C823" s="7" t="s">
        <v>95</v>
      </c>
    </row>
    <row r="824">
      <c r="C824" s="7" t="s">
        <v>95</v>
      </c>
    </row>
    <row r="825">
      <c r="C825" s="7" t="s">
        <v>95</v>
      </c>
    </row>
    <row r="826">
      <c r="C826" s="7" t="s">
        <v>95</v>
      </c>
    </row>
    <row r="827">
      <c r="C827" s="7" t="s">
        <v>95</v>
      </c>
    </row>
    <row r="828">
      <c r="C828" s="7" t="s">
        <v>95</v>
      </c>
    </row>
    <row r="829">
      <c r="C829" s="7" t="s">
        <v>95</v>
      </c>
    </row>
    <row r="830">
      <c r="C830" s="7" t="s">
        <v>95</v>
      </c>
    </row>
    <row r="831">
      <c r="C831" s="7" t="s">
        <v>95</v>
      </c>
    </row>
    <row r="832">
      <c r="C832" s="7" t="s">
        <v>95</v>
      </c>
    </row>
    <row r="833">
      <c r="C833" s="7" t="s">
        <v>95</v>
      </c>
    </row>
    <row r="834">
      <c r="C834" s="7" t="s">
        <v>95</v>
      </c>
    </row>
    <row r="835">
      <c r="C835" s="7" t="s">
        <v>95</v>
      </c>
    </row>
    <row r="836">
      <c r="C836" s="7" t="s">
        <v>95</v>
      </c>
    </row>
    <row r="837">
      <c r="C837" s="7" t="s">
        <v>95</v>
      </c>
    </row>
    <row r="838">
      <c r="C838" s="7" t="s">
        <v>95</v>
      </c>
    </row>
    <row r="839">
      <c r="C839" s="7" t="s">
        <v>95</v>
      </c>
    </row>
    <row r="840">
      <c r="C840" s="7" t="s">
        <v>95</v>
      </c>
    </row>
    <row r="841">
      <c r="C841" s="7" t="s">
        <v>95</v>
      </c>
    </row>
    <row r="842">
      <c r="C842" s="7" t="s">
        <v>95</v>
      </c>
    </row>
    <row r="843">
      <c r="C843" s="7" t="s">
        <v>95</v>
      </c>
    </row>
    <row r="844">
      <c r="C844" s="7" t="s">
        <v>95</v>
      </c>
    </row>
    <row r="845">
      <c r="C845" s="7" t="s">
        <v>95</v>
      </c>
    </row>
    <row r="846">
      <c r="C846" s="7" t="s">
        <v>95</v>
      </c>
    </row>
    <row r="847">
      <c r="C847" s="7" t="s">
        <v>95</v>
      </c>
    </row>
    <row r="848">
      <c r="C848" s="7" t="s">
        <v>95</v>
      </c>
    </row>
    <row r="849">
      <c r="C849" s="7" t="s">
        <v>95</v>
      </c>
    </row>
    <row r="850">
      <c r="C850" s="7" t="s">
        <v>95</v>
      </c>
    </row>
    <row r="851">
      <c r="C851" s="7" t="s">
        <v>95</v>
      </c>
    </row>
    <row r="852">
      <c r="C852" s="7" t="s">
        <v>95</v>
      </c>
    </row>
    <row r="853">
      <c r="C853" s="7" t="s">
        <v>95</v>
      </c>
    </row>
    <row r="854">
      <c r="C854" s="7" t="s">
        <v>95</v>
      </c>
    </row>
    <row r="855">
      <c r="C855" s="7" t="s">
        <v>95</v>
      </c>
    </row>
    <row r="856">
      <c r="C856" s="7" t="s">
        <v>95</v>
      </c>
    </row>
    <row r="857">
      <c r="C857" s="7" t="s">
        <v>95</v>
      </c>
    </row>
    <row r="858">
      <c r="C858" s="7" t="s">
        <v>95</v>
      </c>
    </row>
    <row r="859">
      <c r="C859" s="7" t="s">
        <v>95</v>
      </c>
    </row>
    <row r="860">
      <c r="C860" s="7" t="s">
        <v>95</v>
      </c>
    </row>
    <row r="861">
      <c r="C861" s="7" t="s">
        <v>95</v>
      </c>
    </row>
    <row r="862">
      <c r="C862" s="7" t="s">
        <v>95</v>
      </c>
    </row>
    <row r="863">
      <c r="C863" s="7" t="s">
        <v>95</v>
      </c>
    </row>
    <row r="864">
      <c r="C864" s="7" t="s">
        <v>95</v>
      </c>
    </row>
    <row r="865">
      <c r="C865" s="7" t="s">
        <v>95</v>
      </c>
    </row>
    <row r="866">
      <c r="C866" s="7" t="s">
        <v>95</v>
      </c>
    </row>
    <row r="867">
      <c r="C867" s="7" t="s">
        <v>95</v>
      </c>
    </row>
    <row r="868">
      <c r="C868" s="7" t="s">
        <v>95</v>
      </c>
    </row>
    <row r="869">
      <c r="C869" s="7" t="s">
        <v>95</v>
      </c>
    </row>
    <row r="870">
      <c r="C870" s="7" t="s">
        <v>95</v>
      </c>
    </row>
    <row r="871">
      <c r="C871" s="7" t="s">
        <v>95</v>
      </c>
    </row>
    <row r="872">
      <c r="C872" s="7" t="s">
        <v>95</v>
      </c>
    </row>
    <row r="873">
      <c r="C873" s="7" t="s">
        <v>95</v>
      </c>
    </row>
    <row r="874">
      <c r="C874" s="7" t="s">
        <v>95</v>
      </c>
    </row>
    <row r="875">
      <c r="C875" s="7" t="s">
        <v>95</v>
      </c>
    </row>
    <row r="876">
      <c r="C876" s="7" t="s">
        <v>95</v>
      </c>
    </row>
    <row r="877">
      <c r="C877" s="7" t="s">
        <v>95</v>
      </c>
    </row>
    <row r="878">
      <c r="C878" s="7" t="s">
        <v>95</v>
      </c>
    </row>
    <row r="879">
      <c r="C879" s="7" t="s">
        <v>95</v>
      </c>
    </row>
    <row r="880">
      <c r="C880" s="7" t="s">
        <v>95</v>
      </c>
    </row>
    <row r="881">
      <c r="C881" s="7" t="s">
        <v>95</v>
      </c>
    </row>
    <row r="882">
      <c r="C882" s="7" t="s">
        <v>95</v>
      </c>
    </row>
    <row r="883">
      <c r="C883" s="7" t="s">
        <v>95</v>
      </c>
    </row>
    <row r="884">
      <c r="C884" s="7" t="s">
        <v>95</v>
      </c>
    </row>
    <row r="885">
      <c r="C885" s="7" t="s">
        <v>95</v>
      </c>
    </row>
    <row r="886">
      <c r="C886" s="7" t="s">
        <v>95</v>
      </c>
    </row>
    <row r="887">
      <c r="C887" s="7" t="s">
        <v>95</v>
      </c>
    </row>
    <row r="888">
      <c r="C888" s="7" t="s">
        <v>95</v>
      </c>
    </row>
    <row r="889">
      <c r="C889" s="7" t="s">
        <v>95</v>
      </c>
    </row>
    <row r="890">
      <c r="C890" s="7" t="s">
        <v>95</v>
      </c>
    </row>
    <row r="891">
      <c r="C891" s="7" t="s">
        <v>95</v>
      </c>
    </row>
    <row r="892">
      <c r="C892" s="7" t="s">
        <v>95</v>
      </c>
    </row>
    <row r="893">
      <c r="C893" s="7" t="s">
        <v>95</v>
      </c>
    </row>
    <row r="894">
      <c r="C894" s="7" t="s">
        <v>95</v>
      </c>
    </row>
    <row r="895">
      <c r="C895" s="7" t="s">
        <v>95</v>
      </c>
    </row>
    <row r="896">
      <c r="C896" s="7" t="s">
        <v>95</v>
      </c>
    </row>
    <row r="897">
      <c r="C897" s="7" t="s">
        <v>95</v>
      </c>
    </row>
    <row r="898">
      <c r="C898" s="7" t="s">
        <v>95</v>
      </c>
    </row>
    <row r="899">
      <c r="C899" s="7" t="s">
        <v>95</v>
      </c>
    </row>
    <row r="900">
      <c r="C900" s="7" t="s">
        <v>95</v>
      </c>
    </row>
    <row r="901">
      <c r="C901" s="7" t="s">
        <v>95</v>
      </c>
    </row>
    <row r="902">
      <c r="C902" s="7" t="s">
        <v>95</v>
      </c>
    </row>
    <row r="903">
      <c r="C903" s="7" t="s">
        <v>95</v>
      </c>
    </row>
    <row r="904">
      <c r="C904" s="7" t="s">
        <v>95</v>
      </c>
    </row>
    <row r="905">
      <c r="C905" s="7" t="s">
        <v>95</v>
      </c>
    </row>
    <row r="906">
      <c r="C906" s="7" t="s">
        <v>95</v>
      </c>
    </row>
    <row r="907">
      <c r="C907" s="7" t="s">
        <v>95</v>
      </c>
    </row>
    <row r="908">
      <c r="C908" s="7" t="s">
        <v>95</v>
      </c>
    </row>
    <row r="909">
      <c r="C909" s="7" t="s">
        <v>95</v>
      </c>
    </row>
    <row r="910">
      <c r="C910" s="7" t="s">
        <v>95</v>
      </c>
    </row>
    <row r="911">
      <c r="C911" s="7" t="s">
        <v>95</v>
      </c>
    </row>
    <row r="912">
      <c r="C912" s="7" t="s">
        <v>95</v>
      </c>
    </row>
    <row r="913">
      <c r="C913" s="7" t="s">
        <v>95</v>
      </c>
    </row>
    <row r="914">
      <c r="C914" s="7" t="s">
        <v>95</v>
      </c>
    </row>
    <row r="915">
      <c r="C915" s="7" t="s">
        <v>95</v>
      </c>
    </row>
    <row r="916">
      <c r="C916" s="7" t="s">
        <v>95</v>
      </c>
    </row>
    <row r="917">
      <c r="C917" s="7" t="s">
        <v>95</v>
      </c>
    </row>
    <row r="918">
      <c r="C918" s="7" t="s">
        <v>95</v>
      </c>
    </row>
    <row r="919">
      <c r="C919" s="7" t="s">
        <v>95</v>
      </c>
    </row>
    <row r="920">
      <c r="C920" s="7" t="s">
        <v>95</v>
      </c>
    </row>
    <row r="921">
      <c r="C921" s="7" t="s">
        <v>95</v>
      </c>
    </row>
    <row r="922">
      <c r="C922" s="7" t="s">
        <v>95</v>
      </c>
    </row>
    <row r="923">
      <c r="C923" s="7" t="s">
        <v>95</v>
      </c>
    </row>
    <row r="924">
      <c r="C924" s="7" t="s">
        <v>95</v>
      </c>
    </row>
    <row r="925">
      <c r="C925" s="7" t="s">
        <v>95</v>
      </c>
    </row>
    <row r="926">
      <c r="C926" s="7" t="s">
        <v>95</v>
      </c>
    </row>
    <row r="927">
      <c r="C927" s="7" t="s">
        <v>95</v>
      </c>
    </row>
    <row r="928">
      <c r="C928" s="7" t="s">
        <v>95</v>
      </c>
    </row>
    <row r="929">
      <c r="C929" s="7" t="s">
        <v>95</v>
      </c>
    </row>
    <row r="930">
      <c r="C930" s="7" t="s">
        <v>95</v>
      </c>
    </row>
    <row r="931">
      <c r="C931" s="7" t="s">
        <v>95</v>
      </c>
    </row>
    <row r="932">
      <c r="C932" s="7" t="s">
        <v>95</v>
      </c>
    </row>
    <row r="933">
      <c r="C933" s="7" t="s">
        <v>95</v>
      </c>
    </row>
    <row r="934">
      <c r="C934" s="7" t="s">
        <v>95</v>
      </c>
    </row>
    <row r="935">
      <c r="C935" s="7" t="s">
        <v>95</v>
      </c>
    </row>
    <row r="936">
      <c r="C936" s="7" t="s">
        <v>95</v>
      </c>
    </row>
    <row r="937">
      <c r="C937" s="7" t="s">
        <v>95</v>
      </c>
    </row>
    <row r="938">
      <c r="C938" s="7" t="s">
        <v>95</v>
      </c>
    </row>
    <row r="939">
      <c r="C939" s="7" t="s">
        <v>95</v>
      </c>
    </row>
    <row r="940">
      <c r="C940" s="7" t="s">
        <v>95</v>
      </c>
    </row>
    <row r="941">
      <c r="C941" s="7" t="s">
        <v>95</v>
      </c>
    </row>
    <row r="942">
      <c r="C942" s="7" t="s">
        <v>95</v>
      </c>
    </row>
    <row r="943">
      <c r="C943" s="7" t="s">
        <v>95</v>
      </c>
    </row>
    <row r="944">
      <c r="C944" s="7" t="s">
        <v>95</v>
      </c>
    </row>
    <row r="945">
      <c r="C945" s="7" t="s">
        <v>95</v>
      </c>
    </row>
    <row r="946">
      <c r="C946" s="7" t="s">
        <v>95</v>
      </c>
    </row>
    <row r="947">
      <c r="C947" s="7" t="s">
        <v>95</v>
      </c>
    </row>
    <row r="948">
      <c r="C948" s="7" t="s">
        <v>95</v>
      </c>
    </row>
    <row r="949">
      <c r="C949" s="7" t="s">
        <v>95</v>
      </c>
    </row>
    <row r="950">
      <c r="C950" s="7" t="s">
        <v>95</v>
      </c>
    </row>
    <row r="951">
      <c r="C951" s="7" t="s">
        <v>95</v>
      </c>
    </row>
    <row r="952">
      <c r="C952" s="7" t="s">
        <v>95</v>
      </c>
    </row>
    <row r="953">
      <c r="C953" s="7" t="s">
        <v>95</v>
      </c>
    </row>
    <row r="954">
      <c r="C954" s="7" t="s">
        <v>95</v>
      </c>
    </row>
    <row r="955">
      <c r="C955" s="7" t="s">
        <v>95</v>
      </c>
    </row>
    <row r="956">
      <c r="C956" s="7" t="s">
        <v>95</v>
      </c>
    </row>
    <row r="957">
      <c r="C957" s="7" t="s">
        <v>95</v>
      </c>
    </row>
    <row r="958">
      <c r="C958" s="7" t="s">
        <v>95</v>
      </c>
    </row>
    <row r="959">
      <c r="C959" s="7" t="s">
        <v>95</v>
      </c>
    </row>
    <row r="960">
      <c r="C960" s="7" t="s">
        <v>95</v>
      </c>
    </row>
    <row r="961">
      <c r="C961" s="7" t="s">
        <v>95</v>
      </c>
    </row>
    <row r="962">
      <c r="C962" s="7" t="s">
        <v>95</v>
      </c>
    </row>
    <row r="963">
      <c r="C963" s="7" t="s">
        <v>95</v>
      </c>
    </row>
    <row r="964">
      <c r="C964" s="7" t="s">
        <v>95</v>
      </c>
    </row>
    <row r="965">
      <c r="C965" s="7" t="s">
        <v>95</v>
      </c>
    </row>
    <row r="966">
      <c r="C966" s="7" t="s">
        <v>95</v>
      </c>
    </row>
    <row r="967">
      <c r="C967" s="7" t="s">
        <v>95</v>
      </c>
    </row>
    <row r="968">
      <c r="C968" s="7" t="s">
        <v>95</v>
      </c>
    </row>
    <row r="969">
      <c r="C969" s="7" t="s">
        <v>95</v>
      </c>
    </row>
    <row r="970">
      <c r="C970" s="7" t="s">
        <v>95</v>
      </c>
    </row>
    <row r="971">
      <c r="C971" s="7" t="s">
        <v>95</v>
      </c>
    </row>
    <row r="972">
      <c r="C972" s="7" t="s">
        <v>95</v>
      </c>
    </row>
    <row r="973">
      <c r="C973" s="7" t="s">
        <v>95</v>
      </c>
    </row>
    <row r="974">
      <c r="C974" s="7" t="s">
        <v>95</v>
      </c>
    </row>
    <row r="975">
      <c r="C975" s="7" t="s">
        <v>95</v>
      </c>
    </row>
    <row r="976">
      <c r="C976" s="7" t="s">
        <v>95</v>
      </c>
    </row>
    <row r="977">
      <c r="C977" s="7" t="s">
        <v>95</v>
      </c>
    </row>
    <row r="978">
      <c r="C978" s="7" t="s">
        <v>95</v>
      </c>
    </row>
    <row r="979">
      <c r="C979" s="7" t="s">
        <v>95</v>
      </c>
    </row>
    <row r="980">
      <c r="C980" s="7" t="s">
        <v>95</v>
      </c>
    </row>
    <row r="981">
      <c r="C981" s="7" t="s">
        <v>95</v>
      </c>
    </row>
    <row r="982">
      <c r="C982" s="7" t="s">
        <v>95</v>
      </c>
    </row>
    <row r="983">
      <c r="C983" s="7" t="s">
        <v>95</v>
      </c>
    </row>
    <row r="984">
      <c r="C984" s="7" t="s">
        <v>95</v>
      </c>
    </row>
    <row r="985">
      <c r="C985" s="7" t="s">
        <v>95</v>
      </c>
    </row>
    <row r="986">
      <c r="C986" s="7" t="s">
        <v>95</v>
      </c>
    </row>
    <row r="987">
      <c r="C987" s="7" t="s">
        <v>95</v>
      </c>
    </row>
    <row r="988">
      <c r="C988" s="7" t="s">
        <v>95</v>
      </c>
    </row>
    <row r="989">
      <c r="C989" s="7" t="s">
        <v>95</v>
      </c>
    </row>
    <row r="990">
      <c r="C990" s="7" t="s">
        <v>95</v>
      </c>
    </row>
    <row r="991">
      <c r="C991" s="7" t="s">
        <v>95</v>
      </c>
    </row>
    <row r="992">
      <c r="C992" s="7" t="s">
        <v>95</v>
      </c>
    </row>
    <row r="993">
      <c r="C993" s="7" t="s">
        <v>95</v>
      </c>
    </row>
    <row r="994">
      <c r="C994" s="7" t="s">
        <v>95</v>
      </c>
    </row>
    <row r="995">
      <c r="C995" s="7" t="s">
        <v>95</v>
      </c>
    </row>
    <row r="996">
      <c r="C996" s="7" t="s">
        <v>95</v>
      </c>
    </row>
    <row r="997">
      <c r="C997" s="7" t="s">
        <v>95</v>
      </c>
    </row>
    <row r="998">
      <c r="C998" s="7" t="s">
        <v>95</v>
      </c>
    </row>
    <row r="999">
      <c r="C999" s="7" t="s">
        <v>95</v>
      </c>
    </row>
    <row r="1000">
      <c r="C1000" s="7" t="s">
        <v>95</v>
      </c>
    </row>
  </sheetData>
  <autoFilter ref="$A$1:$C$26"/>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7.75"/>
    <col customWidth="1" min="2" max="2" width="35.0"/>
    <col customWidth="1" min="3" max="3" width="18.63"/>
    <col customWidth="1" min="4" max="4" width="8.13"/>
    <col customWidth="1" min="5" max="5" width="8.88"/>
    <col customWidth="1" min="6" max="6" width="10.63"/>
    <col customWidth="1" min="7" max="7" width="10.25"/>
    <col customWidth="1" min="8" max="8" width="8.38"/>
  </cols>
  <sheetData>
    <row r="1">
      <c r="A1" s="165" t="s">
        <v>90</v>
      </c>
      <c r="B1" s="165" t="s">
        <v>0</v>
      </c>
      <c r="C1" s="165" t="s">
        <v>2</v>
      </c>
      <c r="D1" s="165" t="s">
        <v>81</v>
      </c>
      <c r="E1" s="165" t="s">
        <v>89</v>
      </c>
      <c r="F1" s="165" t="s">
        <v>97</v>
      </c>
      <c r="G1" s="165" t="s">
        <v>98</v>
      </c>
      <c r="H1" s="165" t="s">
        <v>61</v>
      </c>
      <c r="I1" s="192"/>
      <c r="J1" s="192"/>
      <c r="K1" s="192"/>
      <c r="L1" s="192"/>
      <c r="M1" s="192"/>
      <c r="N1" s="192"/>
      <c r="O1" s="192"/>
      <c r="P1" s="192"/>
      <c r="Q1" s="192"/>
      <c r="R1" s="192"/>
      <c r="S1" s="192"/>
      <c r="T1" s="192"/>
      <c r="U1" s="192"/>
      <c r="V1" s="192"/>
      <c r="W1" s="192"/>
      <c r="X1" s="192"/>
      <c r="Y1" s="192"/>
      <c r="Z1" s="192"/>
    </row>
    <row r="2">
      <c r="A2" s="5" t="str">
        <f>IFERROR(__xludf.DUMMYFUNCTION("QUERY(R.H!A:U,""select A,B,C,Q,R,S,T,U where O='LULUS'"", 0)"),"A250008")</f>
        <v>A250008</v>
      </c>
      <c r="B2" s="5" t="str">
        <f>IFERROR(__xludf.DUMMYFUNCTION("""COMPUTED_VALUE"""),"Daffa Taamir Alfarizi")</f>
        <v>Daffa Taamir Alfarizi</v>
      </c>
      <c r="C2" s="5" t="str">
        <f>IFERROR(__xludf.DUMMYFUNCTION("""COMPUTED_VALUE"""),"MTs Putra")</f>
        <v>MTs Putra</v>
      </c>
      <c r="D2" s="168" t="str">
        <f>IFERROR(__xludf.DUMMYFUNCTION("""COMPUTED_VALUE"""),"A")</f>
        <v>A</v>
      </c>
      <c r="E2" s="168" t="str">
        <f>IFERROR(__xludf.DUMMYFUNCTION("""COMPUTED_VALUE"""),"A")</f>
        <v>A</v>
      </c>
      <c r="F2" s="168" t="str">
        <f>IFERROR(__xludf.DUMMYFUNCTION("""COMPUTED_VALUE"""),"B")</f>
        <v>B</v>
      </c>
      <c r="G2" s="168" t="str">
        <f>IFERROR(__xludf.DUMMYFUNCTION("""COMPUTED_VALUE"""),"A")</f>
        <v>A</v>
      </c>
      <c r="H2" s="168" t="str">
        <f>IFERROR(__xludf.DUMMYFUNCTION("""COMPUTED_VALUE"""),"A")</f>
        <v>A</v>
      </c>
    </row>
    <row r="3">
      <c r="A3" s="5" t="str">
        <f>IFERROR(__xludf.DUMMYFUNCTION("""COMPUTED_VALUE"""),"D250009")</f>
        <v>D250009</v>
      </c>
      <c r="B3" s="5" t="str">
        <f>IFERROR(__xludf.DUMMYFUNCTION("""COMPUTED_VALUE"""),"keyza qaireen")</f>
        <v>keyza qaireen</v>
      </c>
      <c r="C3" s="193" t="str">
        <f>IFERROR(__xludf.DUMMYFUNCTION("""COMPUTED_VALUE"""),"MTs Putri")</f>
        <v>MTs Putri</v>
      </c>
      <c r="D3" s="168" t="str">
        <f>IFERROR(__xludf.DUMMYFUNCTION("""COMPUTED_VALUE"""),"A")</f>
        <v>A</v>
      </c>
      <c r="E3" s="168" t="str">
        <f>IFERROR(__xludf.DUMMYFUNCTION("""COMPUTED_VALUE"""),"B")</f>
        <v>B</v>
      </c>
      <c r="F3" s="168" t="str">
        <f>IFERROR(__xludf.DUMMYFUNCTION("""COMPUTED_VALUE"""),"A")</f>
        <v>A</v>
      </c>
      <c r="G3" s="168" t="str">
        <f>IFERROR(__xludf.DUMMYFUNCTION("""COMPUTED_VALUE"""),"A")</f>
        <v>A</v>
      </c>
      <c r="H3" s="168" t="str">
        <f>IFERROR(__xludf.DUMMYFUNCTION("""COMPUTED_VALUE"""),"A")</f>
        <v>A</v>
      </c>
    </row>
    <row r="4">
      <c r="A4" s="5" t="str">
        <f>IFERROR(__xludf.DUMMYFUNCTION("""COMPUTED_VALUE"""),"D250007")</f>
        <v>D250007</v>
      </c>
      <c r="B4" s="5" t="str">
        <f>IFERROR(__xludf.DUMMYFUNCTION("""COMPUTED_VALUE"""),"Siti Azizah")</f>
        <v>Siti Azizah</v>
      </c>
      <c r="C4" s="193" t="str">
        <f>IFERROR(__xludf.DUMMYFUNCTION("""COMPUTED_VALUE"""),"MTs Putri")</f>
        <v>MTs Putri</v>
      </c>
      <c r="D4" s="168" t="str">
        <f>IFERROR(__xludf.DUMMYFUNCTION("""COMPUTED_VALUE"""),"A")</f>
        <v>A</v>
      </c>
      <c r="E4" s="168" t="str">
        <f>IFERROR(__xludf.DUMMYFUNCTION("""COMPUTED_VALUE"""),"B")</f>
        <v>B</v>
      </c>
      <c r="F4" s="168" t="str">
        <f>IFERROR(__xludf.DUMMYFUNCTION("""COMPUTED_VALUE"""),"A")</f>
        <v>A</v>
      </c>
      <c r="G4" s="168" t="str">
        <f>IFERROR(__xludf.DUMMYFUNCTION("""COMPUTED_VALUE"""),"A")</f>
        <v>A</v>
      </c>
      <c r="H4" s="168" t="str">
        <f>IFERROR(__xludf.DUMMYFUNCTION("""COMPUTED_VALUE"""),"A")</f>
        <v>A</v>
      </c>
    </row>
    <row r="5">
      <c r="A5" s="5" t="str">
        <f>IFERROR(__xludf.DUMMYFUNCTION("""COMPUTED_VALUE"""),"D250006")</f>
        <v>D250006</v>
      </c>
      <c r="B5" s="5" t="str">
        <f>IFERROR(__xludf.DUMMYFUNCTION("""COMPUTED_VALUE"""),"Aina Syahmina Givani")</f>
        <v>Aina Syahmina Givani</v>
      </c>
      <c r="C5" s="193" t="str">
        <f>IFERROR(__xludf.DUMMYFUNCTION("""COMPUTED_VALUE"""),"MTs Putri")</f>
        <v>MTs Putri</v>
      </c>
      <c r="D5" s="168" t="str">
        <f>IFERROR(__xludf.DUMMYFUNCTION("""COMPUTED_VALUE"""),"A")</f>
        <v>A</v>
      </c>
      <c r="E5" s="168" t="str">
        <f>IFERROR(__xludf.DUMMYFUNCTION("""COMPUTED_VALUE"""),"A")</f>
        <v>A</v>
      </c>
      <c r="F5" s="168" t="str">
        <f>IFERROR(__xludf.DUMMYFUNCTION("""COMPUTED_VALUE"""),"A")</f>
        <v>A</v>
      </c>
      <c r="G5" s="168" t="str">
        <f>IFERROR(__xludf.DUMMYFUNCTION("""COMPUTED_VALUE"""),"A")</f>
        <v>A</v>
      </c>
      <c r="H5" s="168" t="str">
        <f>IFERROR(__xludf.DUMMYFUNCTION("""COMPUTED_VALUE"""),"A")</f>
        <v>A</v>
      </c>
    </row>
    <row r="6">
      <c r="A6" s="5" t="str">
        <f>IFERROR(__xludf.DUMMYFUNCTION("""COMPUTED_VALUE"""),"D250005")</f>
        <v>D250005</v>
      </c>
      <c r="B6" s="5" t="str">
        <f>IFERROR(__xludf.DUMMYFUNCTION("""COMPUTED_VALUE"""),"Aisyah")</f>
        <v>Aisyah</v>
      </c>
      <c r="C6" s="193" t="str">
        <f>IFERROR(__xludf.DUMMYFUNCTION("""COMPUTED_VALUE"""),"MTs Putri")</f>
        <v>MTs Putri</v>
      </c>
      <c r="D6" s="168" t="str">
        <f>IFERROR(__xludf.DUMMYFUNCTION("""COMPUTED_VALUE"""),"A")</f>
        <v>A</v>
      </c>
      <c r="E6" s="168" t="str">
        <f>IFERROR(__xludf.DUMMYFUNCTION("""COMPUTED_VALUE"""),"A")</f>
        <v>A</v>
      </c>
      <c r="F6" s="168" t="str">
        <f>IFERROR(__xludf.DUMMYFUNCTION("""COMPUTED_VALUE"""),"A")</f>
        <v>A</v>
      </c>
      <c r="G6" s="168" t="str">
        <f>IFERROR(__xludf.DUMMYFUNCTION("""COMPUTED_VALUE"""),"A")</f>
        <v>A</v>
      </c>
      <c r="H6" s="168" t="str">
        <f>IFERROR(__xludf.DUMMYFUNCTION("""COMPUTED_VALUE"""),"A")</f>
        <v>A</v>
      </c>
    </row>
    <row r="7">
      <c r="A7" s="5" t="str">
        <f>IFERROR(__xludf.DUMMYFUNCTION("""COMPUTED_VALUE"""),"B250009")</f>
        <v>B250009</v>
      </c>
      <c r="B7" s="5" t="str">
        <f>IFERROR(__xludf.DUMMYFUNCTION("""COMPUTED_VALUE"""),"Azka Ulinnuha")</f>
        <v>Azka Ulinnuha</v>
      </c>
      <c r="C7" s="5" t="str">
        <f>IFERROR(__xludf.DUMMYFUNCTION("""COMPUTED_VALUE"""),"IL Putra")</f>
        <v>IL Putra</v>
      </c>
      <c r="D7" s="168" t="str">
        <f>IFERROR(__xludf.DUMMYFUNCTION("""COMPUTED_VALUE"""),"B")</f>
        <v>B</v>
      </c>
      <c r="E7" s="168" t="str">
        <f>IFERROR(__xludf.DUMMYFUNCTION("""COMPUTED_VALUE"""),"C")</f>
        <v>C</v>
      </c>
      <c r="F7" s="168" t="str">
        <f>IFERROR(__xludf.DUMMYFUNCTION("""COMPUTED_VALUE"""),"A")</f>
        <v>A</v>
      </c>
      <c r="G7" s="168" t="str">
        <f>IFERROR(__xludf.DUMMYFUNCTION("""COMPUTED_VALUE"""),"A")</f>
        <v>A</v>
      </c>
      <c r="H7" s="168" t="str">
        <f>IFERROR(__xludf.DUMMYFUNCTION("""COMPUTED_VALUE"""),"A")</f>
        <v>A</v>
      </c>
    </row>
    <row r="8">
      <c r="A8" s="5" t="str">
        <f>IFERROR(__xludf.DUMMYFUNCTION("""COMPUTED_VALUE"""),"D250015")</f>
        <v>D250015</v>
      </c>
      <c r="B8" s="5" t="str">
        <f>IFERROR(__xludf.DUMMYFUNCTION("""COMPUTED_VALUE"""),"Sarah Afifa")</f>
        <v>Sarah Afifa</v>
      </c>
      <c r="C8" s="5" t="str">
        <f>IFERROR(__xludf.DUMMYFUNCTION("""COMPUTED_VALUE"""),"MTs Putri")</f>
        <v>MTs Putri</v>
      </c>
      <c r="D8" s="168" t="str">
        <f>IFERROR(__xludf.DUMMYFUNCTION("""COMPUTED_VALUE"""),"A")</f>
        <v>A</v>
      </c>
      <c r="E8" s="168" t="str">
        <f>IFERROR(__xludf.DUMMYFUNCTION("""COMPUTED_VALUE"""),"A")</f>
        <v>A</v>
      </c>
      <c r="F8" s="168" t="str">
        <f>IFERROR(__xludf.DUMMYFUNCTION("""COMPUTED_VALUE"""),"A")</f>
        <v>A</v>
      </c>
      <c r="G8" s="168" t="str">
        <f>IFERROR(__xludf.DUMMYFUNCTION("""COMPUTED_VALUE"""),"A")</f>
        <v>A</v>
      </c>
      <c r="H8" s="168" t="str">
        <f>IFERROR(__xludf.DUMMYFUNCTION("""COMPUTED_VALUE"""),"A")</f>
        <v>A</v>
      </c>
    </row>
    <row r="9">
      <c r="A9" s="5" t="str">
        <f>IFERROR(__xludf.DUMMYFUNCTION("""COMPUTED_VALUE"""),"A250025")</f>
        <v>A250025</v>
      </c>
      <c r="B9" s="5" t="str">
        <f>IFERROR(__xludf.DUMMYFUNCTION("""COMPUTED_VALUE"""),"ABU REIHAN AL FAJRI")</f>
        <v>ABU REIHAN AL FAJRI</v>
      </c>
      <c r="C9" s="5" t="str">
        <f>IFERROR(__xludf.DUMMYFUNCTION("""COMPUTED_VALUE"""),"MTs Putra")</f>
        <v>MTs Putra</v>
      </c>
      <c r="D9" s="168" t="str">
        <f>IFERROR(__xludf.DUMMYFUNCTION("""COMPUTED_VALUE"""),"A")</f>
        <v>A</v>
      </c>
      <c r="E9" s="168" t="str">
        <f>IFERROR(__xludf.DUMMYFUNCTION("""COMPUTED_VALUE"""),"A")</f>
        <v>A</v>
      </c>
      <c r="F9" s="168" t="str">
        <f>IFERROR(__xludf.DUMMYFUNCTION("""COMPUTED_VALUE"""),"A")</f>
        <v>A</v>
      </c>
      <c r="G9" s="168" t="str">
        <f>IFERROR(__xludf.DUMMYFUNCTION("""COMPUTED_VALUE"""),"A")</f>
        <v>A</v>
      </c>
      <c r="H9" s="168" t="str">
        <f>IFERROR(__xludf.DUMMYFUNCTION("""COMPUTED_VALUE"""),"A")</f>
        <v>A</v>
      </c>
    </row>
    <row r="10">
      <c r="A10" s="5" t="str">
        <f>IFERROR(__xludf.DUMMYFUNCTION("""COMPUTED_VALUE"""),"D250003")</f>
        <v>D250003</v>
      </c>
      <c r="B10" s="5" t="str">
        <f>IFERROR(__xludf.DUMMYFUNCTION("""COMPUTED_VALUE"""),"Adibah saefulloh")</f>
        <v>Adibah saefulloh</v>
      </c>
      <c r="C10" s="5" t="str">
        <f>IFERROR(__xludf.DUMMYFUNCTION("""COMPUTED_VALUE"""),"MTs Putri")</f>
        <v>MTs Putri</v>
      </c>
      <c r="D10" s="168" t="str">
        <f>IFERROR(__xludf.DUMMYFUNCTION("""COMPUTED_VALUE"""),"A")</f>
        <v>A</v>
      </c>
      <c r="E10" s="168" t="str">
        <f>IFERROR(__xludf.DUMMYFUNCTION("""COMPUTED_VALUE"""),"A")</f>
        <v>A</v>
      </c>
      <c r="F10" s="168" t="str">
        <f>IFERROR(__xludf.DUMMYFUNCTION("""COMPUTED_VALUE"""),"A")</f>
        <v>A</v>
      </c>
      <c r="G10" s="168" t="str">
        <f>IFERROR(__xludf.DUMMYFUNCTION("""COMPUTED_VALUE"""),"A")</f>
        <v>A</v>
      </c>
      <c r="H10" s="168" t="str">
        <f>IFERROR(__xludf.DUMMYFUNCTION("""COMPUTED_VALUE"""),"A")</f>
        <v>A</v>
      </c>
    </row>
    <row r="11">
      <c r="A11" s="5" t="str">
        <f>IFERROR(__xludf.DUMMYFUNCTION("""COMPUTED_VALUE"""),"D250008")</f>
        <v>D250008</v>
      </c>
      <c r="B11" s="5" t="str">
        <f>IFERROR(__xludf.DUMMYFUNCTION("""COMPUTED_VALUE"""),"SHAKIRA NUR AISYAH")</f>
        <v>SHAKIRA NUR AISYAH</v>
      </c>
      <c r="C11" s="5" t="str">
        <f>IFERROR(__xludf.DUMMYFUNCTION("""COMPUTED_VALUE"""),"MTs Putri")</f>
        <v>MTs Putri</v>
      </c>
      <c r="D11" s="168" t="str">
        <f>IFERROR(__xludf.DUMMYFUNCTION("""COMPUTED_VALUE"""),"A")</f>
        <v>A</v>
      </c>
      <c r="E11" s="168" t="str">
        <f>IFERROR(__xludf.DUMMYFUNCTION("""COMPUTED_VALUE"""),"A")</f>
        <v>A</v>
      </c>
      <c r="F11" s="168" t="str">
        <f>IFERROR(__xludf.DUMMYFUNCTION("""COMPUTED_VALUE"""),"A")</f>
        <v>A</v>
      </c>
      <c r="G11" s="168" t="str">
        <f>IFERROR(__xludf.DUMMYFUNCTION("""COMPUTED_VALUE"""),"A")</f>
        <v>A</v>
      </c>
      <c r="H11" s="168" t="str">
        <f>IFERROR(__xludf.DUMMYFUNCTION("""COMPUTED_VALUE"""),"A")</f>
        <v>A</v>
      </c>
    </row>
    <row r="12">
      <c r="A12" s="5" t="str">
        <f>IFERROR(__xludf.DUMMYFUNCTION("""COMPUTED_VALUE"""),"A250020")</f>
        <v>A250020</v>
      </c>
      <c r="B12" s="5" t="str">
        <f>IFERROR(__xludf.DUMMYFUNCTION("""COMPUTED_VALUE"""),"Muhamad Umar Ali")</f>
        <v>Muhamad Umar Ali</v>
      </c>
      <c r="C12" s="5" t="str">
        <f>IFERROR(__xludf.DUMMYFUNCTION("""COMPUTED_VALUE"""),"MTs Putra")</f>
        <v>MTs Putra</v>
      </c>
      <c r="D12" s="168" t="str">
        <f>IFERROR(__xludf.DUMMYFUNCTION("""COMPUTED_VALUE"""),"B")</f>
        <v>B</v>
      </c>
      <c r="E12" s="168" t="str">
        <f>IFERROR(__xludf.DUMMYFUNCTION("""COMPUTED_VALUE"""),"B")</f>
        <v>B</v>
      </c>
      <c r="F12" s="168" t="str">
        <f>IFERROR(__xludf.DUMMYFUNCTION("""COMPUTED_VALUE"""),"A")</f>
        <v>A</v>
      </c>
      <c r="G12" s="168" t="str">
        <f>IFERROR(__xludf.DUMMYFUNCTION("""COMPUTED_VALUE"""),"A")</f>
        <v>A</v>
      </c>
      <c r="H12" s="168" t="str">
        <f>IFERROR(__xludf.DUMMYFUNCTION("""COMPUTED_VALUE"""),"A")</f>
        <v>A</v>
      </c>
    </row>
    <row r="13">
      <c r="A13" s="5" t="str">
        <f>IFERROR(__xludf.DUMMYFUNCTION("""COMPUTED_VALUE"""),"A250018")</f>
        <v>A250018</v>
      </c>
      <c r="B13" s="5" t="str">
        <f>IFERROR(__xludf.DUMMYFUNCTION("""COMPUTED_VALUE"""),"Muhamad Usman Ali")</f>
        <v>Muhamad Usman Ali</v>
      </c>
      <c r="C13" s="5" t="str">
        <f>IFERROR(__xludf.DUMMYFUNCTION("""COMPUTED_VALUE"""),"MTs Putra")</f>
        <v>MTs Putra</v>
      </c>
      <c r="D13" s="168" t="str">
        <f>IFERROR(__xludf.DUMMYFUNCTION("""COMPUTED_VALUE"""),"C")</f>
        <v>C</v>
      </c>
      <c r="E13" s="168" t="str">
        <f>IFERROR(__xludf.DUMMYFUNCTION("""COMPUTED_VALUE"""),"B")</f>
        <v>B</v>
      </c>
      <c r="F13" s="168" t="str">
        <f>IFERROR(__xludf.DUMMYFUNCTION("""COMPUTED_VALUE"""),"B")</f>
        <v>B</v>
      </c>
      <c r="G13" s="168" t="str">
        <f>IFERROR(__xludf.DUMMYFUNCTION("""COMPUTED_VALUE"""),"A")</f>
        <v>A</v>
      </c>
      <c r="H13" s="168" t="str">
        <f>IFERROR(__xludf.DUMMYFUNCTION("""COMPUTED_VALUE"""),"A")</f>
        <v>A</v>
      </c>
    </row>
    <row r="14">
      <c r="A14" s="5" t="str">
        <f>IFERROR(__xludf.DUMMYFUNCTION("""COMPUTED_VALUE"""),"A250016")</f>
        <v>A250016</v>
      </c>
      <c r="B14" s="5" t="str">
        <f>IFERROR(__xludf.DUMMYFUNCTION("""COMPUTED_VALUE"""),"Faeyza Izzatul Khairy")</f>
        <v>Faeyza Izzatul Khairy</v>
      </c>
      <c r="C14" s="5" t="str">
        <f>IFERROR(__xludf.DUMMYFUNCTION("""COMPUTED_VALUE"""),"MTs Putra")</f>
        <v>MTs Putra</v>
      </c>
      <c r="D14" s="168" t="str">
        <f>IFERROR(__xludf.DUMMYFUNCTION("""COMPUTED_VALUE"""),"B")</f>
        <v>B</v>
      </c>
      <c r="E14" s="168" t="str">
        <f>IFERROR(__xludf.DUMMYFUNCTION("""COMPUTED_VALUE"""),"A")</f>
        <v>A</v>
      </c>
      <c r="F14" s="168" t="str">
        <f>IFERROR(__xludf.DUMMYFUNCTION("""COMPUTED_VALUE"""),"B")</f>
        <v>B</v>
      </c>
      <c r="G14" s="168" t="str">
        <f>IFERROR(__xludf.DUMMYFUNCTION("""COMPUTED_VALUE"""),"A")</f>
        <v>A</v>
      </c>
      <c r="H14" s="168" t="str">
        <f>IFERROR(__xludf.DUMMYFUNCTION("""COMPUTED_VALUE"""),"A")</f>
        <v>A</v>
      </c>
    </row>
    <row r="15">
      <c r="A15" s="5" t="str">
        <f>IFERROR(__xludf.DUMMYFUNCTION("""COMPUTED_VALUE"""),"A250012")</f>
        <v>A250012</v>
      </c>
      <c r="B15" s="5" t="str">
        <f>IFERROR(__xludf.DUMMYFUNCTION("""COMPUTED_VALUE"""),"Haneef Abdurahman")</f>
        <v>Haneef Abdurahman</v>
      </c>
      <c r="C15" s="5" t="str">
        <f>IFERROR(__xludf.DUMMYFUNCTION("""COMPUTED_VALUE"""),"MTs Putra")</f>
        <v>MTs Putra</v>
      </c>
      <c r="D15" s="168" t="str">
        <f>IFERROR(__xludf.DUMMYFUNCTION("""COMPUTED_VALUE"""),"A")</f>
        <v>A</v>
      </c>
      <c r="E15" s="168" t="str">
        <f>IFERROR(__xludf.DUMMYFUNCTION("""COMPUTED_VALUE"""),"A")</f>
        <v>A</v>
      </c>
      <c r="F15" s="168" t="str">
        <f>IFERROR(__xludf.DUMMYFUNCTION("""COMPUTED_VALUE"""),"A")</f>
        <v>A</v>
      </c>
      <c r="G15" s="168" t="str">
        <f>IFERROR(__xludf.DUMMYFUNCTION("""COMPUTED_VALUE"""),"A")</f>
        <v>A</v>
      </c>
      <c r="H15" s="168" t="str">
        <f>IFERROR(__xludf.DUMMYFUNCTION("""COMPUTED_VALUE"""),"A")</f>
        <v>A</v>
      </c>
    </row>
    <row r="16">
      <c r="A16" s="5" t="str">
        <f>IFERROR(__xludf.DUMMYFUNCTION("""COMPUTED_VALUE"""),"A250003")</f>
        <v>A250003</v>
      </c>
      <c r="B16" s="5" t="str">
        <f>IFERROR(__xludf.DUMMYFUNCTION("""COMPUTED_VALUE"""),"PUTRA PERDANA")</f>
        <v>PUTRA PERDANA</v>
      </c>
      <c r="C16" s="5" t="str">
        <f>IFERROR(__xludf.DUMMYFUNCTION("""COMPUTED_VALUE"""),"MTs Putra")</f>
        <v>MTs Putra</v>
      </c>
      <c r="D16" s="168" t="str">
        <f>IFERROR(__xludf.DUMMYFUNCTION("""COMPUTED_VALUE"""),"C")</f>
        <v>C</v>
      </c>
      <c r="E16" s="168" t="str">
        <f>IFERROR(__xludf.DUMMYFUNCTION("""COMPUTED_VALUE"""),"B")</f>
        <v>B</v>
      </c>
      <c r="F16" s="168" t="str">
        <f>IFERROR(__xludf.DUMMYFUNCTION("""COMPUTED_VALUE"""),"A")</f>
        <v>A</v>
      </c>
      <c r="G16" s="168" t="str">
        <f>IFERROR(__xludf.DUMMYFUNCTION("""COMPUTED_VALUE"""),"B")</f>
        <v>B</v>
      </c>
      <c r="H16" s="168" t="str">
        <f>IFERROR(__xludf.DUMMYFUNCTION("""COMPUTED_VALUE"""),"A")</f>
        <v>A</v>
      </c>
    </row>
    <row r="17">
      <c r="A17" s="5" t="str">
        <f>IFERROR(__xludf.DUMMYFUNCTION("""COMPUTED_VALUE"""),"A250034")</f>
        <v>A250034</v>
      </c>
      <c r="B17" s="5" t="str">
        <f>IFERROR(__xludf.DUMMYFUNCTION("""COMPUTED_VALUE"""),"Abudzar Al Mahbub")</f>
        <v>Abudzar Al Mahbub</v>
      </c>
      <c r="C17" s="5" t="str">
        <f>IFERROR(__xludf.DUMMYFUNCTION("""COMPUTED_VALUE"""),"MTs Putra")</f>
        <v>MTs Putra</v>
      </c>
      <c r="D17" s="168" t="str">
        <f>IFERROR(__xludf.DUMMYFUNCTION("""COMPUTED_VALUE"""),"A")</f>
        <v>A</v>
      </c>
      <c r="E17" s="168" t="str">
        <f>IFERROR(__xludf.DUMMYFUNCTION("""COMPUTED_VALUE"""),"B")</f>
        <v>B</v>
      </c>
      <c r="F17" s="168" t="str">
        <f>IFERROR(__xludf.DUMMYFUNCTION("""COMPUTED_VALUE"""),"A")</f>
        <v>A</v>
      </c>
      <c r="G17" s="168" t="str">
        <f>IFERROR(__xludf.DUMMYFUNCTION("""COMPUTED_VALUE"""),"A")</f>
        <v>A</v>
      </c>
      <c r="H17" s="168" t="str">
        <f>IFERROR(__xludf.DUMMYFUNCTION("""COMPUTED_VALUE"""),"A")</f>
        <v>A</v>
      </c>
    </row>
    <row r="18">
      <c r="A18" s="5" t="str">
        <f>IFERROR(__xludf.DUMMYFUNCTION("""COMPUTED_VALUE"""),"B250010")</f>
        <v>B250010</v>
      </c>
      <c r="B18" s="5" t="str">
        <f>IFERROR(__xludf.DUMMYFUNCTION("""COMPUTED_VALUE"""),"Ksatria Hudzaifah Al Mizzi")</f>
        <v>Ksatria Hudzaifah Al Mizzi</v>
      </c>
      <c r="C18" s="5" t="str">
        <f>IFERROR(__xludf.DUMMYFUNCTION("""COMPUTED_VALUE"""),"IL Putra")</f>
        <v>IL Putra</v>
      </c>
      <c r="D18" s="168" t="str">
        <f>IFERROR(__xludf.DUMMYFUNCTION("""COMPUTED_VALUE"""),"A")</f>
        <v>A</v>
      </c>
      <c r="E18" s="168" t="str">
        <f>IFERROR(__xludf.DUMMYFUNCTION("""COMPUTED_VALUE"""),"A")</f>
        <v>A</v>
      </c>
      <c r="F18" s="168" t="str">
        <f>IFERROR(__xludf.DUMMYFUNCTION("""COMPUTED_VALUE"""),"A")</f>
        <v>A</v>
      </c>
      <c r="G18" s="168" t="str">
        <f>IFERROR(__xludf.DUMMYFUNCTION("""COMPUTED_VALUE"""),"B")</f>
        <v>B</v>
      </c>
      <c r="H18" s="168" t="str">
        <f>IFERROR(__xludf.DUMMYFUNCTION("""COMPUTED_VALUE"""),"A")</f>
        <v>A</v>
      </c>
    </row>
    <row r="19">
      <c r="A19" s="5" t="str">
        <f>IFERROR(__xludf.DUMMYFUNCTION("""COMPUTED_VALUE"""),"A250024")</f>
        <v>A250024</v>
      </c>
      <c r="B19" s="5" t="str">
        <f>IFERROR(__xludf.DUMMYFUNCTION("""COMPUTED_VALUE"""),"Shafwan Iyadh Addarimy")</f>
        <v>Shafwan Iyadh Addarimy</v>
      </c>
      <c r="C19" s="5" t="str">
        <f>IFERROR(__xludf.DUMMYFUNCTION("""COMPUTED_VALUE"""),"MTs Putra")</f>
        <v>MTs Putra</v>
      </c>
      <c r="D19" s="168" t="str">
        <f>IFERROR(__xludf.DUMMYFUNCTION("""COMPUTED_VALUE"""),"A")</f>
        <v>A</v>
      </c>
      <c r="E19" s="168" t="str">
        <f>IFERROR(__xludf.DUMMYFUNCTION("""COMPUTED_VALUE"""),"B")</f>
        <v>B</v>
      </c>
      <c r="F19" s="168" t="str">
        <f>IFERROR(__xludf.DUMMYFUNCTION("""COMPUTED_VALUE"""),"A")</f>
        <v>A</v>
      </c>
      <c r="G19" s="168" t="str">
        <f>IFERROR(__xludf.DUMMYFUNCTION("""COMPUTED_VALUE"""),"A")</f>
        <v>A</v>
      </c>
      <c r="H19" s="168" t="str">
        <f>IFERROR(__xludf.DUMMYFUNCTION("""COMPUTED_VALUE"""),"A")</f>
        <v>A</v>
      </c>
    </row>
    <row r="20">
      <c r="A20" s="5" t="str">
        <f>IFERROR(__xludf.DUMMYFUNCTION("""COMPUTED_VALUE"""),"D250024")</f>
        <v>D250024</v>
      </c>
      <c r="B20" s="5" t="str">
        <f>IFERROR(__xludf.DUMMYFUNCTION("""COMPUTED_VALUE"""),"Hana Dwi Rinjani")</f>
        <v>Hana Dwi Rinjani</v>
      </c>
      <c r="C20" s="5" t="str">
        <f>IFERROR(__xludf.DUMMYFUNCTION("""COMPUTED_VALUE"""),"MTs Putri")</f>
        <v>MTs Putri</v>
      </c>
      <c r="D20" s="168" t="str">
        <f>IFERROR(__xludf.DUMMYFUNCTION("""COMPUTED_VALUE"""),"A")</f>
        <v>A</v>
      </c>
      <c r="E20" s="168" t="str">
        <f>IFERROR(__xludf.DUMMYFUNCTION("""COMPUTED_VALUE"""),"A")</f>
        <v>A</v>
      </c>
      <c r="F20" s="168" t="str">
        <f>IFERROR(__xludf.DUMMYFUNCTION("""COMPUTED_VALUE"""),"A")</f>
        <v>A</v>
      </c>
      <c r="G20" s="168" t="str">
        <f>IFERROR(__xludf.DUMMYFUNCTION("""COMPUTED_VALUE"""),"A")</f>
        <v>A</v>
      </c>
      <c r="H20" s="168" t="str">
        <f>IFERROR(__xludf.DUMMYFUNCTION("""COMPUTED_VALUE"""),"A")</f>
        <v>A</v>
      </c>
    </row>
    <row r="21">
      <c r="A21" s="5" t="str">
        <f>IFERROR(__xludf.DUMMYFUNCTION("""COMPUTED_VALUE"""),"A250014")</f>
        <v>A250014</v>
      </c>
      <c r="B21" s="5" t="str">
        <f>IFERROR(__xludf.DUMMYFUNCTION("""COMPUTED_VALUE"""),"Muhammad Hilmy Ilyasa Rizal")</f>
        <v>Muhammad Hilmy Ilyasa Rizal</v>
      </c>
      <c r="C21" s="5" t="str">
        <f>IFERROR(__xludf.DUMMYFUNCTION("""COMPUTED_VALUE"""),"MTs Putra")</f>
        <v>MTs Putra</v>
      </c>
      <c r="D21" s="168" t="str">
        <f>IFERROR(__xludf.DUMMYFUNCTION("""COMPUTED_VALUE"""),"A")</f>
        <v>A</v>
      </c>
      <c r="E21" s="168" t="str">
        <f>IFERROR(__xludf.DUMMYFUNCTION("""COMPUTED_VALUE"""),"A")</f>
        <v>A</v>
      </c>
      <c r="F21" s="168" t="str">
        <f>IFERROR(__xludf.DUMMYFUNCTION("""COMPUTED_VALUE"""),"B")</f>
        <v>B</v>
      </c>
      <c r="G21" s="168" t="str">
        <f>IFERROR(__xludf.DUMMYFUNCTION("""COMPUTED_VALUE"""),"A")</f>
        <v>A</v>
      </c>
      <c r="H21" s="168" t="str">
        <f>IFERROR(__xludf.DUMMYFUNCTION("""COMPUTED_VALUE"""),"A")</f>
        <v>A</v>
      </c>
    </row>
    <row r="22">
      <c r="A22" s="5" t="str">
        <f>IFERROR(__xludf.DUMMYFUNCTION("""COMPUTED_VALUE"""),"A250009")</f>
        <v>A250009</v>
      </c>
      <c r="B22" s="5" t="str">
        <f>IFERROR(__xludf.DUMMYFUNCTION("""COMPUTED_VALUE"""),"Nahnurizko nabhan farghali ")</f>
        <v>Nahnurizko nabhan farghali </v>
      </c>
      <c r="C22" s="5" t="str">
        <f>IFERROR(__xludf.DUMMYFUNCTION("""COMPUTED_VALUE"""),"MTs Putra")</f>
        <v>MTs Putra</v>
      </c>
      <c r="D22" s="168" t="str">
        <f>IFERROR(__xludf.DUMMYFUNCTION("""COMPUTED_VALUE"""),"A")</f>
        <v>A</v>
      </c>
      <c r="E22" s="168" t="str">
        <f>IFERROR(__xludf.DUMMYFUNCTION("""COMPUTED_VALUE"""),"A")</f>
        <v>A</v>
      </c>
      <c r="F22" s="168" t="str">
        <f>IFERROR(__xludf.DUMMYFUNCTION("""COMPUTED_VALUE"""),"A")</f>
        <v>A</v>
      </c>
      <c r="G22" s="168" t="str">
        <f>IFERROR(__xludf.DUMMYFUNCTION("""COMPUTED_VALUE"""),"A")</f>
        <v>A</v>
      </c>
      <c r="H22" s="168" t="str">
        <f>IFERROR(__xludf.DUMMYFUNCTION("""COMPUTED_VALUE"""),"A")</f>
        <v>A</v>
      </c>
    </row>
    <row r="23">
      <c r="A23" s="5" t="str">
        <f>IFERROR(__xludf.DUMMYFUNCTION("""COMPUTED_VALUE"""),"E250001")</f>
        <v>E250001</v>
      </c>
      <c r="B23" s="5" t="str">
        <f>IFERROR(__xludf.DUMMYFUNCTION("""COMPUTED_VALUE"""),"Widya Meilani Zahra")</f>
        <v>Widya Meilani Zahra</v>
      </c>
      <c r="C23" s="5" t="str">
        <f>IFERROR(__xludf.DUMMYFUNCTION("""COMPUTED_VALUE"""),"IL Putri")</f>
        <v>IL Putri</v>
      </c>
      <c r="D23" s="168" t="str">
        <f>IFERROR(__xludf.DUMMYFUNCTION("""COMPUTED_VALUE"""),"A")</f>
        <v>A</v>
      </c>
      <c r="E23" s="168" t="str">
        <f>IFERROR(__xludf.DUMMYFUNCTION("""COMPUTED_VALUE"""),"C")</f>
        <v>C</v>
      </c>
      <c r="F23" s="168" t="str">
        <f>IFERROR(__xludf.DUMMYFUNCTION("""COMPUTED_VALUE"""),"A")</f>
        <v>A</v>
      </c>
      <c r="G23" s="168" t="str">
        <f>IFERROR(__xludf.DUMMYFUNCTION("""COMPUTED_VALUE"""),"A")</f>
        <v>A</v>
      </c>
      <c r="H23" s="168" t="str">
        <f>IFERROR(__xludf.DUMMYFUNCTION("""COMPUTED_VALUE"""),"A")</f>
        <v>A</v>
      </c>
    </row>
    <row r="24">
      <c r="A24" s="5" t="str">
        <f>IFERROR(__xludf.DUMMYFUNCTION("""COMPUTED_VALUE"""),"E250007")</f>
        <v>E250007</v>
      </c>
      <c r="B24" s="5" t="str">
        <f>IFERROR(__xludf.DUMMYFUNCTION("""COMPUTED_VALUE"""),"Nadira Salsabila apriliani ")</f>
        <v>Nadira Salsabila apriliani </v>
      </c>
      <c r="C24" s="5" t="str">
        <f>IFERROR(__xludf.DUMMYFUNCTION("""COMPUTED_VALUE"""),"IL Putri")</f>
        <v>IL Putri</v>
      </c>
      <c r="D24" s="168" t="str">
        <f>IFERROR(__xludf.DUMMYFUNCTION("""COMPUTED_VALUE"""),"A")</f>
        <v>A</v>
      </c>
      <c r="E24" s="168" t="str">
        <f>IFERROR(__xludf.DUMMYFUNCTION("""COMPUTED_VALUE"""),"C")</f>
        <v>C</v>
      </c>
      <c r="F24" s="168" t="str">
        <f>IFERROR(__xludf.DUMMYFUNCTION("""COMPUTED_VALUE"""),"A")</f>
        <v>A</v>
      </c>
      <c r="G24" s="168" t="str">
        <f>IFERROR(__xludf.DUMMYFUNCTION("""COMPUTED_VALUE"""),"A")</f>
        <v>A</v>
      </c>
      <c r="H24" s="168" t="str">
        <f>IFERROR(__xludf.DUMMYFUNCTION("""COMPUTED_VALUE"""),"A")</f>
        <v>A</v>
      </c>
    </row>
    <row r="25">
      <c r="A25" s="5" t="str">
        <f>IFERROR(__xludf.DUMMYFUNCTION("""COMPUTED_VALUE"""),"E250005")</f>
        <v>E250005</v>
      </c>
      <c r="B25" s="5" t="str">
        <f>IFERROR(__xludf.DUMMYFUNCTION("""COMPUTED_VALUE"""),"SITI HAFSHOH SHOLIHAH")</f>
        <v>SITI HAFSHOH SHOLIHAH</v>
      </c>
      <c r="C25" s="5" t="str">
        <f>IFERROR(__xludf.DUMMYFUNCTION("""COMPUTED_VALUE"""),"IL Putri")</f>
        <v>IL Putri</v>
      </c>
      <c r="D25" s="168" t="str">
        <f>IFERROR(__xludf.DUMMYFUNCTION("""COMPUTED_VALUE"""),"A")</f>
        <v>A</v>
      </c>
      <c r="E25" s="168" t="str">
        <f>IFERROR(__xludf.DUMMYFUNCTION("""COMPUTED_VALUE"""),"C")</f>
        <v>C</v>
      </c>
      <c r="F25" s="168" t="str">
        <f>IFERROR(__xludf.DUMMYFUNCTION("""COMPUTED_VALUE"""),"B")</f>
        <v>B</v>
      </c>
      <c r="G25" s="168" t="str">
        <f>IFERROR(__xludf.DUMMYFUNCTION("""COMPUTED_VALUE"""),"A")</f>
        <v>A</v>
      </c>
      <c r="H25" s="168" t="str">
        <f>IFERROR(__xludf.DUMMYFUNCTION("""COMPUTED_VALUE"""),"A")</f>
        <v>A</v>
      </c>
    </row>
    <row r="26">
      <c r="A26" s="5" t="str">
        <f>IFERROR(__xludf.DUMMYFUNCTION("""COMPUTED_VALUE"""),"A250028")</f>
        <v>A250028</v>
      </c>
      <c r="B26" s="5" t="str">
        <f>IFERROR(__xludf.DUMMYFUNCTION("""COMPUTED_VALUE"""),"Satria Panca Desmara")</f>
        <v>Satria Panca Desmara</v>
      </c>
      <c r="C26" s="5" t="str">
        <f>IFERROR(__xludf.DUMMYFUNCTION("""COMPUTED_VALUE"""),"MTs Putra")</f>
        <v>MTs Putra</v>
      </c>
      <c r="D26" s="168" t="str">
        <f>IFERROR(__xludf.DUMMYFUNCTION("""COMPUTED_VALUE"""),"B")</f>
        <v>B</v>
      </c>
      <c r="E26" s="168" t="str">
        <f>IFERROR(__xludf.DUMMYFUNCTION("""COMPUTED_VALUE"""),"A")</f>
        <v>A</v>
      </c>
      <c r="F26" s="168" t="str">
        <f>IFERROR(__xludf.DUMMYFUNCTION("""COMPUTED_VALUE"""),"A")</f>
        <v>A</v>
      </c>
      <c r="G26" s="168" t="str">
        <f>IFERROR(__xludf.DUMMYFUNCTION("""COMPUTED_VALUE"""),"B")</f>
        <v>B</v>
      </c>
      <c r="H26" s="168" t="str">
        <f>IFERROR(__xludf.DUMMYFUNCTION("""COMPUTED_VALUE"""),"A")</f>
        <v>A</v>
      </c>
    </row>
    <row r="27">
      <c r="A27" s="5" t="str">
        <f>IFERROR(__xludf.DUMMYFUNCTION("""COMPUTED_VALUE"""),"E250002")</f>
        <v>E250002</v>
      </c>
      <c r="B27" s="5" t="str">
        <f>IFERROR(__xludf.DUMMYFUNCTION("""COMPUTED_VALUE"""),"HILDA SAHLANNISA")</f>
        <v>HILDA SAHLANNISA</v>
      </c>
      <c r="C27" s="5" t="str">
        <f>IFERROR(__xludf.DUMMYFUNCTION("""COMPUTED_VALUE"""),"IL Putri")</f>
        <v>IL Putri</v>
      </c>
      <c r="D27" s="168" t="str">
        <f>IFERROR(__xludf.DUMMYFUNCTION("""COMPUTED_VALUE"""),"A")</f>
        <v>A</v>
      </c>
      <c r="E27" s="168" t="str">
        <f>IFERROR(__xludf.DUMMYFUNCTION("""COMPUTED_VALUE"""),"A")</f>
        <v>A</v>
      </c>
      <c r="F27" s="168" t="str">
        <f>IFERROR(__xludf.DUMMYFUNCTION("""COMPUTED_VALUE"""),"A")</f>
        <v>A</v>
      </c>
      <c r="G27" s="168" t="str">
        <f>IFERROR(__xludf.DUMMYFUNCTION("""COMPUTED_VALUE"""),"A")</f>
        <v>A</v>
      </c>
      <c r="H27" s="168" t="str">
        <f>IFERROR(__xludf.DUMMYFUNCTION("""COMPUTED_VALUE"""),"A")</f>
        <v>A</v>
      </c>
    </row>
    <row r="28">
      <c r="A28" s="5" t="str">
        <f>IFERROR(__xludf.DUMMYFUNCTION("""COMPUTED_VALUE"""),"A250010")</f>
        <v>A250010</v>
      </c>
      <c r="B28" s="5" t="str">
        <f>IFERROR(__xludf.DUMMYFUNCTION("""COMPUTED_VALUE"""),"Muhammad Asyam Abdullah ")</f>
        <v>Muhammad Asyam Abdullah </v>
      </c>
      <c r="C28" s="5" t="str">
        <f>IFERROR(__xludf.DUMMYFUNCTION("""COMPUTED_VALUE"""),"MTs Putra")</f>
        <v>MTs Putra</v>
      </c>
      <c r="D28" s="168" t="str">
        <f>IFERROR(__xludf.DUMMYFUNCTION("""COMPUTED_VALUE"""),"A")</f>
        <v>A</v>
      </c>
      <c r="E28" s="168" t="str">
        <f>IFERROR(__xludf.DUMMYFUNCTION("""COMPUTED_VALUE"""),"A")</f>
        <v>A</v>
      </c>
      <c r="F28" s="168" t="str">
        <f>IFERROR(__xludf.DUMMYFUNCTION("""COMPUTED_VALUE"""),"B")</f>
        <v>B</v>
      </c>
      <c r="G28" s="168" t="str">
        <f>IFERROR(__xludf.DUMMYFUNCTION("""COMPUTED_VALUE"""),"A")</f>
        <v>A</v>
      </c>
      <c r="H28" s="168" t="str">
        <f>IFERROR(__xludf.DUMMYFUNCTION("""COMPUTED_VALUE"""),"A")</f>
        <v>A</v>
      </c>
    </row>
    <row r="29">
      <c r="A29" s="5" t="str">
        <f>IFERROR(__xludf.DUMMYFUNCTION("""COMPUTED_VALUE"""),"D250002")</f>
        <v>D250002</v>
      </c>
      <c r="B29" s="5" t="str">
        <f>IFERROR(__xludf.DUMMYFUNCTION("""COMPUTED_VALUE"""),"Hanifah Qurrotul 'Ain ")</f>
        <v>Hanifah Qurrotul 'Ain </v>
      </c>
      <c r="C29" s="5" t="str">
        <f>IFERROR(__xludf.DUMMYFUNCTION("""COMPUTED_VALUE"""),"MTs Putri")</f>
        <v>MTs Putri</v>
      </c>
      <c r="D29" s="168" t="str">
        <f>IFERROR(__xludf.DUMMYFUNCTION("""COMPUTED_VALUE"""),"A")</f>
        <v>A</v>
      </c>
      <c r="E29" s="168" t="str">
        <f>IFERROR(__xludf.DUMMYFUNCTION("""COMPUTED_VALUE"""),"A")</f>
        <v>A</v>
      </c>
      <c r="F29" s="168" t="str">
        <f>IFERROR(__xludf.DUMMYFUNCTION("""COMPUTED_VALUE"""),"A")</f>
        <v>A</v>
      </c>
      <c r="G29" s="168" t="str">
        <f>IFERROR(__xludf.DUMMYFUNCTION("""COMPUTED_VALUE"""),"A")</f>
        <v>A</v>
      </c>
      <c r="H29" s="168" t="str">
        <f>IFERROR(__xludf.DUMMYFUNCTION("""COMPUTED_VALUE"""),"A")</f>
        <v>A</v>
      </c>
    </row>
    <row r="30">
      <c r="A30" s="5" t="str">
        <f>IFERROR(__xludf.DUMMYFUNCTION("""COMPUTED_VALUE"""),"A250048")</f>
        <v>A250048</v>
      </c>
      <c r="B30" s="5" t="str">
        <f>IFERROR(__xludf.DUMMYFUNCTION("""COMPUTED_VALUE"""),"MUHAMMAD HANIF ASH SHIDDIQ")</f>
        <v>MUHAMMAD HANIF ASH SHIDDIQ</v>
      </c>
      <c r="C30" s="5" t="str">
        <f>IFERROR(__xludf.DUMMYFUNCTION("""COMPUTED_VALUE"""),"MTs Putra")</f>
        <v>MTs Putra</v>
      </c>
      <c r="D30" s="168" t="str">
        <f>IFERROR(__xludf.DUMMYFUNCTION("""COMPUTED_VALUE"""),"A")</f>
        <v>A</v>
      </c>
      <c r="E30" s="168" t="str">
        <f>IFERROR(__xludf.DUMMYFUNCTION("""COMPUTED_VALUE"""),"A")</f>
        <v>A</v>
      </c>
      <c r="F30" s="168" t="str">
        <f>IFERROR(__xludf.DUMMYFUNCTION("""COMPUTED_VALUE"""),"B")</f>
        <v>B</v>
      </c>
      <c r="G30" s="168" t="str">
        <f>IFERROR(__xludf.DUMMYFUNCTION("""COMPUTED_VALUE"""),"A")</f>
        <v>A</v>
      </c>
      <c r="H30" s="168" t="str">
        <f>IFERROR(__xludf.DUMMYFUNCTION("""COMPUTED_VALUE"""),"A")</f>
        <v>A</v>
      </c>
    </row>
    <row r="31">
      <c r="A31" s="5" t="str">
        <f>IFERROR(__xludf.DUMMYFUNCTION("""COMPUTED_VALUE"""),"D250004")</f>
        <v>D250004</v>
      </c>
      <c r="B31" s="5" t="str">
        <f>IFERROR(__xludf.DUMMYFUNCTION("""COMPUTED_VALUE"""),"Janeeta Candy Hinata")</f>
        <v>Janeeta Candy Hinata</v>
      </c>
      <c r="C31" s="5" t="str">
        <f>IFERROR(__xludf.DUMMYFUNCTION("""COMPUTED_VALUE"""),"MTs Putri")</f>
        <v>MTs Putri</v>
      </c>
      <c r="D31" s="168" t="str">
        <f>IFERROR(__xludf.DUMMYFUNCTION("""COMPUTED_VALUE"""),"A")</f>
        <v>A</v>
      </c>
      <c r="E31" s="168" t="str">
        <f>IFERROR(__xludf.DUMMYFUNCTION("""COMPUTED_VALUE"""),"A")</f>
        <v>A</v>
      </c>
      <c r="F31" s="168" t="str">
        <f>IFERROR(__xludf.DUMMYFUNCTION("""COMPUTED_VALUE"""),"A")</f>
        <v>A</v>
      </c>
      <c r="G31" s="168" t="str">
        <f>IFERROR(__xludf.DUMMYFUNCTION("""COMPUTED_VALUE"""),"A")</f>
        <v>A</v>
      </c>
      <c r="H31" s="168" t="str">
        <f>IFERROR(__xludf.DUMMYFUNCTION("""COMPUTED_VALUE"""),"A")</f>
        <v>A</v>
      </c>
    </row>
    <row r="32">
      <c r="A32" s="5" t="str">
        <f>IFERROR(__xludf.DUMMYFUNCTION("""COMPUTED_VALUE"""),"D250011")</f>
        <v>D250011</v>
      </c>
      <c r="B32" s="5" t="str">
        <f>IFERROR(__xludf.DUMMYFUNCTION("""COMPUTED_VALUE"""),"Alesha az zahra saputra")</f>
        <v>Alesha az zahra saputra</v>
      </c>
      <c r="C32" s="5" t="str">
        <f>IFERROR(__xludf.DUMMYFUNCTION("""COMPUTED_VALUE"""),"MTs Putri")</f>
        <v>MTs Putri</v>
      </c>
      <c r="D32" s="168" t="str">
        <f>IFERROR(__xludf.DUMMYFUNCTION("""COMPUTED_VALUE"""),"A")</f>
        <v>A</v>
      </c>
      <c r="E32" s="168" t="str">
        <f>IFERROR(__xludf.DUMMYFUNCTION("""COMPUTED_VALUE"""),"A")</f>
        <v>A</v>
      </c>
      <c r="F32" s="168" t="str">
        <f>IFERROR(__xludf.DUMMYFUNCTION("""COMPUTED_VALUE"""),"A")</f>
        <v>A</v>
      </c>
      <c r="G32" s="168" t="str">
        <f>IFERROR(__xludf.DUMMYFUNCTION("""COMPUTED_VALUE"""),"B")</f>
        <v>B</v>
      </c>
      <c r="H32" s="168" t="str">
        <f>IFERROR(__xludf.DUMMYFUNCTION("""COMPUTED_VALUE"""),"A")</f>
        <v>A</v>
      </c>
    </row>
    <row r="33">
      <c r="A33" s="5" t="str">
        <f>IFERROR(__xludf.DUMMYFUNCTION("""COMPUTED_VALUE"""),"A250054")</f>
        <v>A250054</v>
      </c>
      <c r="B33" s="5" t="str">
        <f>IFERROR(__xludf.DUMMYFUNCTION("""COMPUTED_VALUE"""),"Muhammad Al-Fatih Fadhly")</f>
        <v>Muhammad Al-Fatih Fadhly</v>
      </c>
      <c r="C33" s="5" t="str">
        <f>IFERROR(__xludf.DUMMYFUNCTION("""COMPUTED_VALUE"""),"MTs Putra")</f>
        <v>MTs Putra</v>
      </c>
      <c r="D33" s="168" t="str">
        <f>IFERROR(__xludf.DUMMYFUNCTION("""COMPUTED_VALUE"""),"B")</f>
        <v>B</v>
      </c>
      <c r="E33" s="168" t="str">
        <f>IFERROR(__xludf.DUMMYFUNCTION("""COMPUTED_VALUE"""),"B")</f>
        <v>B</v>
      </c>
      <c r="F33" s="168" t="str">
        <f>IFERROR(__xludf.DUMMYFUNCTION("""COMPUTED_VALUE"""),"A")</f>
        <v>A</v>
      </c>
      <c r="G33" s="168" t="str">
        <f>IFERROR(__xludf.DUMMYFUNCTION("""COMPUTED_VALUE"""),"A")</f>
        <v>A</v>
      </c>
      <c r="H33" s="168" t="str">
        <f>IFERROR(__xludf.DUMMYFUNCTION("""COMPUTED_VALUE"""),"A")</f>
        <v>A</v>
      </c>
    </row>
    <row r="34">
      <c r="A34" s="5" t="str">
        <f>IFERROR(__xludf.DUMMYFUNCTION("""COMPUTED_VALUE"""),"D250019")</f>
        <v>D250019</v>
      </c>
      <c r="B34" s="5" t="str">
        <f>IFERROR(__xludf.DUMMYFUNCTION("""COMPUTED_VALUE"""),"Maryam Al-Kayyisah ")</f>
        <v>Maryam Al-Kayyisah </v>
      </c>
      <c r="C34" s="5" t="str">
        <f>IFERROR(__xludf.DUMMYFUNCTION("""COMPUTED_VALUE"""),"MTs Putri")</f>
        <v>MTs Putri</v>
      </c>
      <c r="D34" s="168" t="str">
        <f>IFERROR(__xludf.DUMMYFUNCTION("""COMPUTED_VALUE"""),"A")</f>
        <v>A</v>
      </c>
      <c r="E34" s="168" t="str">
        <f>IFERROR(__xludf.DUMMYFUNCTION("""COMPUTED_VALUE"""),"B")</f>
        <v>B</v>
      </c>
      <c r="F34" s="168" t="str">
        <f>IFERROR(__xludf.DUMMYFUNCTION("""COMPUTED_VALUE"""),"A")</f>
        <v>A</v>
      </c>
      <c r="G34" s="168" t="str">
        <f>IFERROR(__xludf.DUMMYFUNCTION("""COMPUTED_VALUE"""),"A")</f>
        <v>A</v>
      </c>
      <c r="H34" s="168" t="str">
        <f>IFERROR(__xludf.DUMMYFUNCTION("""COMPUTED_VALUE"""),"A")</f>
        <v>A</v>
      </c>
    </row>
    <row r="35">
      <c r="A35" s="5" t="str">
        <f>IFERROR(__xludf.DUMMYFUNCTION("""COMPUTED_VALUE"""),"B250021")</f>
        <v>B250021</v>
      </c>
      <c r="B35" s="5" t="str">
        <f>IFERROR(__xludf.DUMMYFUNCTION("""COMPUTED_VALUE"""),"keanu azka wibowo")</f>
        <v>keanu azka wibowo</v>
      </c>
      <c r="C35" s="5" t="str">
        <f>IFERROR(__xludf.DUMMYFUNCTION("""COMPUTED_VALUE"""),"IL Putra")</f>
        <v>IL Putra</v>
      </c>
      <c r="D35" s="168" t="str">
        <f>IFERROR(__xludf.DUMMYFUNCTION("""COMPUTED_VALUE"""),"A")</f>
        <v>A</v>
      </c>
      <c r="E35" s="168" t="str">
        <f>IFERROR(__xludf.DUMMYFUNCTION("""COMPUTED_VALUE"""),"A")</f>
        <v>A</v>
      </c>
      <c r="F35" s="168" t="str">
        <f>IFERROR(__xludf.DUMMYFUNCTION("""COMPUTED_VALUE"""),"B")</f>
        <v>B</v>
      </c>
      <c r="G35" s="168" t="str">
        <f>IFERROR(__xludf.DUMMYFUNCTION("""COMPUTED_VALUE"""),"A")</f>
        <v>A</v>
      </c>
      <c r="H35" s="168" t="str">
        <f>IFERROR(__xludf.DUMMYFUNCTION("""COMPUTED_VALUE"""),"A")</f>
        <v>A</v>
      </c>
    </row>
    <row r="36">
      <c r="A36" s="5" t="str">
        <f>IFERROR(__xludf.DUMMYFUNCTION("""COMPUTED_VALUE"""),"D250017")</f>
        <v>D250017</v>
      </c>
      <c r="B36" s="5" t="str">
        <f>IFERROR(__xludf.DUMMYFUNCTION("""COMPUTED_VALUE"""),"Qaesyara Siti Zafna Fitriyadi")</f>
        <v>Qaesyara Siti Zafna Fitriyadi</v>
      </c>
      <c r="C36" s="5" t="str">
        <f>IFERROR(__xludf.DUMMYFUNCTION("""COMPUTED_VALUE"""),"MTs Putri")</f>
        <v>MTs Putri</v>
      </c>
      <c r="D36" s="168" t="str">
        <f>IFERROR(__xludf.DUMMYFUNCTION("""COMPUTED_VALUE"""),"A")</f>
        <v>A</v>
      </c>
      <c r="E36" s="168" t="str">
        <f>IFERROR(__xludf.DUMMYFUNCTION("""COMPUTED_VALUE"""),"A")</f>
        <v>A</v>
      </c>
      <c r="F36" s="168" t="str">
        <f>IFERROR(__xludf.DUMMYFUNCTION("""COMPUTED_VALUE"""),"A")</f>
        <v>A</v>
      </c>
      <c r="G36" s="168" t="str">
        <f>IFERROR(__xludf.DUMMYFUNCTION("""COMPUTED_VALUE"""),"A")</f>
        <v>A</v>
      </c>
      <c r="H36" s="168" t="str">
        <f>IFERROR(__xludf.DUMMYFUNCTION("""COMPUTED_VALUE"""),"A")</f>
        <v>A</v>
      </c>
    </row>
    <row r="37">
      <c r="A37" s="5" t="str">
        <f>IFERROR(__xludf.DUMMYFUNCTION("""COMPUTED_VALUE"""),"A250046")</f>
        <v>A250046</v>
      </c>
      <c r="B37" s="5" t="str">
        <f>IFERROR(__xludf.DUMMYFUNCTION("""COMPUTED_VALUE"""),"Sulthan Faqih Al Hadziq")</f>
        <v>Sulthan Faqih Al Hadziq</v>
      </c>
      <c r="C37" s="5" t="str">
        <f>IFERROR(__xludf.DUMMYFUNCTION("""COMPUTED_VALUE"""),"MTs Putra")</f>
        <v>MTs Putra</v>
      </c>
      <c r="D37" s="168" t="str">
        <f>IFERROR(__xludf.DUMMYFUNCTION("""COMPUTED_VALUE"""),"A")</f>
        <v>A</v>
      </c>
      <c r="E37" s="168" t="str">
        <f>IFERROR(__xludf.DUMMYFUNCTION("""COMPUTED_VALUE"""),"A")</f>
        <v>A</v>
      </c>
      <c r="F37" s="168" t="str">
        <f>IFERROR(__xludf.DUMMYFUNCTION("""COMPUTED_VALUE"""),"A")</f>
        <v>A</v>
      </c>
      <c r="G37" s="168" t="str">
        <f>IFERROR(__xludf.DUMMYFUNCTION("""COMPUTED_VALUE"""),"A")</f>
        <v>A</v>
      </c>
      <c r="H37" s="168" t="str">
        <f>IFERROR(__xludf.DUMMYFUNCTION("""COMPUTED_VALUE"""),"A")</f>
        <v>A</v>
      </c>
    </row>
    <row r="38">
      <c r="A38" s="5" t="str">
        <f>IFERROR(__xludf.DUMMYFUNCTION("""COMPUTED_VALUE"""),"A250037")</f>
        <v>A250037</v>
      </c>
      <c r="B38" s="5" t="str">
        <f>IFERROR(__xludf.DUMMYFUNCTION("""COMPUTED_VALUE"""),"Muhammad Arkan")</f>
        <v>Muhammad Arkan</v>
      </c>
      <c r="C38" s="5" t="str">
        <f>IFERROR(__xludf.DUMMYFUNCTION("""COMPUTED_VALUE"""),"MTs Putra")</f>
        <v>MTs Putra</v>
      </c>
      <c r="D38" s="168" t="str">
        <f>IFERROR(__xludf.DUMMYFUNCTION("""COMPUTED_VALUE"""),"A")</f>
        <v>A</v>
      </c>
      <c r="E38" s="168" t="str">
        <f>IFERROR(__xludf.DUMMYFUNCTION("""COMPUTED_VALUE"""),"A")</f>
        <v>A</v>
      </c>
      <c r="F38" s="168" t="str">
        <f>IFERROR(__xludf.DUMMYFUNCTION("""COMPUTED_VALUE"""),"A")</f>
        <v>A</v>
      </c>
      <c r="G38" s="168" t="str">
        <f>IFERROR(__xludf.DUMMYFUNCTION("""COMPUTED_VALUE"""),"A")</f>
        <v>A</v>
      </c>
      <c r="H38" s="168" t="str">
        <f>IFERROR(__xludf.DUMMYFUNCTION("""COMPUTED_VALUE"""),"A")</f>
        <v>A</v>
      </c>
    </row>
    <row r="39">
      <c r="A39" s="5" t="str">
        <f>IFERROR(__xludf.DUMMYFUNCTION("""COMPUTED_VALUE"""),"D250027")</f>
        <v>D250027</v>
      </c>
      <c r="B39" s="5" t="str">
        <f>IFERROR(__xludf.DUMMYFUNCTION("""COMPUTED_VALUE"""),"Ulfia Nurfauziah ")</f>
        <v>Ulfia Nurfauziah </v>
      </c>
      <c r="C39" s="5" t="str">
        <f>IFERROR(__xludf.DUMMYFUNCTION("""COMPUTED_VALUE"""),"MTs Putri")</f>
        <v>MTs Putri</v>
      </c>
      <c r="D39" s="168" t="str">
        <f>IFERROR(__xludf.DUMMYFUNCTION("""COMPUTED_VALUE"""),"A")</f>
        <v>A</v>
      </c>
      <c r="E39" s="168" t="str">
        <f>IFERROR(__xludf.DUMMYFUNCTION("""COMPUTED_VALUE"""),"C")</f>
        <v>C</v>
      </c>
      <c r="F39" s="168" t="str">
        <f>IFERROR(__xludf.DUMMYFUNCTION("""COMPUTED_VALUE"""),"A")</f>
        <v>A</v>
      </c>
      <c r="G39" s="168" t="str">
        <f>IFERROR(__xludf.DUMMYFUNCTION("""COMPUTED_VALUE"""),"A")</f>
        <v>A</v>
      </c>
      <c r="H39" s="168" t="str">
        <f>IFERROR(__xludf.DUMMYFUNCTION("""COMPUTED_VALUE"""),"A")</f>
        <v>A</v>
      </c>
    </row>
    <row r="40">
      <c r="A40" s="5" t="str">
        <f>IFERROR(__xludf.DUMMYFUNCTION("""COMPUTED_VALUE"""),"D250010")</f>
        <v>D250010</v>
      </c>
      <c r="B40" s="5" t="str">
        <f>IFERROR(__xludf.DUMMYFUNCTION("""COMPUTED_VALUE"""),"Siti Fatimah Azzahra")</f>
        <v>Siti Fatimah Azzahra</v>
      </c>
      <c r="C40" s="5" t="str">
        <f>IFERROR(__xludf.DUMMYFUNCTION("""COMPUTED_VALUE"""),"MTs Putri")</f>
        <v>MTs Putri</v>
      </c>
      <c r="D40" s="168" t="str">
        <f>IFERROR(__xludf.DUMMYFUNCTION("""COMPUTED_VALUE"""),"A")</f>
        <v>A</v>
      </c>
      <c r="E40" s="168" t="str">
        <f>IFERROR(__xludf.DUMMYFUNCTION("""COMPUTED_VALUE"""),"A")</f>
        <v>A</v>
      </c>
      <c r="F40" s="168" t="str">
        <f>IFERROR(__xludf.DUMMYFUNCTION("""COMPUTED_VALUE"""),"A")</f>
        <v>A</v>
      </c>
      <c r="G40" s="168" t="str">
        <f>IFERROR(__xludf.DUMMYFUNCTION("""COMPUTED_VALUE"""),"A")</f>
        <v>A</v>
      </c>
      <c r="H40" s="168" t="str">
        <f>IFERROR(__xludf.DUMMYFUNCTION("""COMPUTED_VALUE"""),"A")</f>
        <v>A</v>
      </c>
    </row>
    <row r="41">
      <c r="A41" s="5" t="str">
        <f>IFERROR(__xludf.DUMMYFUNCTION("""COMPUTED_VALUE"""),"B250018")</f>
        <v>B250018</v>
      </c>
      <c r="B41" s="5" t="str">
        <f>IFERROR(__xludf.DUMMYFUNCTION("""COMPUTED_VALUE"""),"Farhan ibadurrohman ")</f>
        <v>Farhan ibadurrohman </v>
      </c>
      <c r="C41" s="5" t="str">
        <f>IFERROR(__xludf.DUMMYFUNCTION("""COMPUTED_VALUE"""),"IL Putra")</f>
        <v>IL Putra</v>
      </c>
      <c r="D41" s="168" t="str">
        <f>IFERROR(__xludf.DUMMYFUNCTION("""COMPUTED_VALUE"""),"A")</f>
        <v>A</v>
      </c>
      <c r="E41" s="168" t="str">
        <f>IFERROR(__xludf.DUMMYFUNCTION("""COMPUTED_VALUE"""),"B")</f>
        <v>B</v>
      </c>
      <c r="F41" s="168" t="str">
        <f>IFERROR(__xludf.DUMMYFUNCTION("""COMPUTED_VALUE"""),"B")</f>
        <v>B</v>
      </c>
      <c r="G41" s="168" t="str">
        <f>IFERROR(__xludf.DUMMYFUNCTION("""COMPUTED_VALUE"""),"A")</f>
        <v>A</v>
      </c>
      <c r="H41" s="168" t="str">
        <f>IFERROR(__xludf.DUMMYFUNCTION("""COMPUTED_VALUE"""),"A")</f>
        <v>A</v>
      </c>
    </row>
    <row r="42">
      <c r="A42" s="5" t="str">
        <f>IFERROR(__xludf.DUMMYFUNCTION("""COMPUTED_VALUE"""),"E250008")</f>
        <v>E250008</v>
      </c>
      <c r="B42" s="5" t="str">
        <f>IFERROR(__xludf.DUMMYFUNCTION("""COMPUTED_VALUE"""),"Siti Arafah ")</f>
        <v>Siti Arafah </v>
      </c>
      <c r="C42" s="5" t="str">
        <f>IFERROR(__xludf.DUMMYFUNCTION("""COMPUTED_VALUE"""),"IL Putri")</f>
        <v>IL Putri</v>
      </c>
      <c r="D42" s="168" t="str">
        <f>IFERROR(__xludf.DUMMYFUNCTION("""COMPUTED_VALUE"""),"A")</f>
        <v>A</v>
      </c>
      <c r="E42" s="168" t="str">
        <f>IFERROR(__xludf.DUMMYFUNCTION("""COMPUTED_VALUE"""),"C")</f>
        <v>C</v>
      </c>
      <c r="F42" s="168" t="str">
        <f>IFERROR(__xludf.DUMMYFUNCTION("""COMPUTED_VALUE"""),"B")</f>
        <v>B</v>
      </c>
      <c r="G42" s="168" t="str">
        <f>IFERROR(__xludf.DUMMYFUNCTION("""COMPUTED_VALUE"""),"A")</f>
        <v>A</v>
      </c>
      <c r="H42" s="168" t="str">
        <f>IFERROR(__xludf.DUMMYFUNCTION("""COMPUTED_VALUE"""),"A")</f>
        <v>A</v>
      </c>
    </row>
    <row r="43">
      <c r="A43" s="5" t="str">
        <f>IFERROR(__xludf.DUMMYFUNCTION("""COMPUTED_VALUE"""),"E250004")</f>
        <v>E250004</v>
      </c>
      <c r="B43" s="5" t="str">
        <f>IFERROR(__xludf.DUMMYFUNCTION("""COMPUTED_VALUE"""),"adinda humaira")</f>
        <v>adinda humaira</v>
      </c>
      <c r="C43" s="5" t="str">
        <f>IFERROR(__xludf.DUMMYFUNCTION("""COMPUTED_VALUE"""),"IL Putri")</f>
        <v>IL Putri</v>
      </c>
      <c r="D43" s="168" t="str">
        <f>IFERROR(__xludf.DUMMYFUNCTION("""COMPUTED_VALUE"""),"A")</f>
        <v>A</v>
      </c>
      <c r="E43" s="168" t="str">
        <f>IFERROR(__xludf.DUMMYFUNCTION("""COMPUTED_VALUE"""),"B")</f>
        <v>B</v>
      </c>
      <c r="F43" s="168" t="str">
        <f>IFERROR(__xludf.DUMMYFUNCTION("""COMPUTED_VALUE"""),"A")</f>
        <v>A</v>
      </c>
      <c r="G43" s="168" t="str">
        <f>IFERROR(__xludf.DUMMYFUNCTION("""COMPUTED_VALUE"""),"A")</f>
        <v>A</v>
      </c>
      <c r="H43" s="168" t="str">
        <f>IFERROR(__xludf.DUMMYFUNCTION("""COMPUTED_VALUE"""),"A")</f>
        <v>A</v>
      </c>
    </row>
    <row r="44">
      <c r="A44" s="5" t="str">
        <f>IFERROR(__xludf.DUMMYFUNCTION("""COMPUTED_VALUE"""),"B250005")</f>
        <v>B250005</v>
      </c>
      <c r="B44" s="5" t="str">
        <f>IFERROR(__xludf.DUMMYFUNCTION("""COMPUTED_VALUE"""),"Raihan Farzin ")</f>
        <v>Raihan Farzin </v>
      </c>
      <c r="C44" s="5" t="str">
        <f>IFERROR(__xludf.DUMMYFUNCTION("""COMPUTED_VALUE"""),"IL Putra")</f>
        <v>IL Putra</v>
      </c>
      <c r="D44" s="168" t="str">
        <f>IFERROR(__xludf.DUMMYFUNCTION("""COMPUTED_VALUE"""),"A")</f>
        <v>A</v>
      </c>
      <c r="E44" s="168" t="str">
        <f>IFERROR(__xludf.DUMMYFUNCTION("""COMPUTED_VALUE"""),"C")</f>
        <v>C</v>
      </c>
      <c r="F44" s="168" t="str">
        <f>IFERROR(__xludf.DUMMYFUNCTION("""COMPUTED_VALUE"""),"B")</f>
        <v>B</v>
      </c>
      <c r="G44" s="168" t="str">
        <f>IFERROR(__xludf.DUMMYFUNCTION("""COMPUTED_VALUE"""),"A")</f>
        <v>A</v>
      </c>
      <c r="H44" s="168" t="str">
        <f>IFERROR(__xludf.DUMMYFUNCTION("""COMPUTED_VALUE"""),"A")</f>
        <v>A</v>
      </c>
    </row>
    <row r="45">
      <c r="A45" s="5" t="str">
        <f>IFERROR(__xludf.DUMMYFUNCTION("""COMPUTED_VALUE"""),"A250005")</f>
        <v>A250005</v>
      </c>
      <c r="B45" s="5" t="str">
        <f>IFERROR(__xludf.DUMMYFUNCTION("""COMPUTED_VALUE"""),"Muhammad Raihan Alfawwaz")</f>
        <v>Muhammad Raihan Alfawwaz</v>
      </c>
      <c r="C45" s="5" t="str">
        <f>IFERROR(__xludf.DUMMYFUNCTION("""COMPUTED_VALUE"""),"MTs Putra")</f>
        <v>MTs Putra</v>
      </c>
      <c r="D45" s="168" t="str">
        <f>IFERROR(__xludf.DUMMYFUNCTION("""COMPUTED_VALUE"""),"A")</f>
        <v>A</v>
      </c>
      <c r="E45" s="168" t="str">
        <f>IFERROR(__xludf.DUMMYFUNCTION("""COMPUTED_VALUE"""),"A")</f>
        <v>A</v>
      </c>
      <c r="F45" s="168" t="str">
        <f>IFERROR(__xludf.DUMMYFUNCTION("""COMPUTED_VALUE"""),"A")</f>
        <v>A</v>
      </c>
      <c r="G45" s="168" t="str">
        <f>IFERROR(__xludf.DUMMYFUNCTION("""COMPUTED_VALUE"""),"A")</f>
        <v>A</v>
      </c>
      <c r="H45" s="168" t="str">
        <f>IFERROR(__xludf.DUMMYFUNCTION("""COMPUTED_VALUE"""),"A")</f>
        <v>A</v>
      </c>
    </row>
    <row r="46">
      <c r="A46" s="5" t="str">
        <f>IFERROR(__xludf.DUMMYFUNCTION("""COMPUTED_VALUE"""),"A250015")</f>
        <v>A250015</v>
      </c>
      <c r="B46" s="5" t="str">
        <f>IFERROR(__xludf.DUMMYFUNCTION("""COMPUTED_VALUE"""),"ARRAYYAN ABDUR RASHID")</f>
        <v>ARRAYYAN ABDUR RASHID</v>
      </c>
      <c r="C46" s="5" t="str">
        <f>IFERROR(__xludf.DUMMYFUNCTION("""COMPUTED_VALUE"""),"MTs Putra")</f>
        <v>MTs Putra</v>
      </c>
      <c r="D46" s="168" t="str">
        <f>IFERROR(__xludf.DUMMYFUNCTION("""COMPUTED_VALUE"""),"A")</f>
        <v>A</v>
      </c>
      <c r="E46" s="168" t="str">
        <f>IFERROR(__xludf.DUMMYFUNCTION("""COMPUTED_VALUE"""),"A")</f>
        <v>A</v>
      </c>
      <c r="F46" s="168" t="str">
        <f>IFERROR(__xludf.DUMMYFUNCTION("""COMPUTED_VALUE"""),"B")</f>
        <v>B</v>
      </c>
      <c r="G46" s="168" t="str">
        <f>IFERROR(__xludf.DUMMYFUNCTION("""COMPUTED_VALUE"""),"B")</f>
        <v>B</v>
      </c>
      <c r="H46" s="168" t="str">
        <f>IFERROR(__xludf.DUMMYFUNCTION("""COMPUTED_VALUE"""),"A")</f>
        <v>A</v>
      </c>
    </row>
    <row r="47">
      <c r="A47" s="5" t="str">
        <f>IFERROR(__xludf.DUMMYFUNCTION("""COMPUTED_VALUE"""),"B250003")</f>
        <v>B250003</v>
      </c>
      <c r="B47" s="5" t="str">
        <f>IFERROR(__xludf.DUMMYFUNCTION("""COMPUTED_VALUE"""),"Ihsan Abdul Hakim ")</f>
        <v>Ihsan Abdul Hakim </v>
      </c>
      <c r="C47" s="5" t="str">
        <f>IFERROR(__xludf.DUMMYFUNCTION("""COMPUTED_VALUE"""),"IL Putra")</f>
        <v>IL Putra</v>
      </c>
      <c r="D47" s="168" t="str">
        <f>IFERROR(__xludf.DUMMYFUNCTION("""COMPUTED_VALUE"""),"A")</f>
        <v>A</v>
      </c>
      <c r="E47" s="168" t="str">
        <f>IFERROR(__xludf.DUMMYFUNCTION("""COMPUTED_VALUE"""),"B")</f>
        <v>B</v>
      </c>
      <c r="F47" s="168" t="str">
        <f>IFERROR(__xludf.DUMMYFUNCTION("""COMPUTED_VALUE"""),"A")</f>
        <v>A</v>
      </c>
      <c r="G47" s="168" t="str">
        <f>IFERROR(__xludf.DUMMYFUNCTION("""COMPUTED_VALUE"""),"A")</f>
        <v>A</v>
      </c>
      <c r="H47" s="168" t="str">
        <f>IFERROR(__xludf.DUMMYFUNCTION("""COMPUTED_VALUE"""),"A")</f>
        <v>A</v>
      </c>
    </row>
    <row r="48">
      <c r="A48" s="5" t="str">
        <f>IFERROR(__xludf.DUMMYFUNCTION("""COMPUTED_VALUE"""),"A250058")</f>
        <v>A250058</v>
      </c>
      <c r="B48" s="5" t="str">
        <f>IFERROR(__xludf.DUMMYFUNCTION("""COMPUTED_VALUE"""),"Yahya Azka Ya'sub ")</f>
        <v>Yahya Azka Ya'sub </v>
      </c>
      <c r="C48" s="5" t="str">
        <f>IFERROR(__xludf.DUMMYFUNCTION("""COMPUTED_VALUE"""),"MTs Putra")</f>
        <v>MTs Putra</v>
      </c>
      <c r="D48" s="168" t="str">
        <f>IFERROR(__xludf.DUMMYFUNCTION("""COMPUTED_VALUE"""),"A")</f>
        <v>A</v>
      </c>
      <c r="E48" s="168" t="str">
        <f>IFERROR(__xludf.DUMMYFUNCTION("""COMPUTED_VALUE"""),"B")</f>
        <v>B</v>
      </c>
      <c r="F48" s="168" t="str">
        <f>IFERROR(__xludf.DUMMYFUNCTION("""COMPUTED_VALUE"""),"A")</f>
        <v>A</v>
      </c>
      <c r="G48" s="168" t="str">
        <f>IFERROR(__xludf.DUMMYFUNCTION("""COMPUTED_VALUE"""),"A")</f>
        <v>A</v>
      </c>
      <c r="H48" s="168" t="str">
        <f>IFERROR(__xludf.DUMMYFUNCTION("""COMPUTED_VALUE"""),"A")</f>
        <v>A</v>
      </c>
    </row>
    <row r="49">
      <c r="A49" s="5" t="str">
        <f>IFERROR(__xludf.DUMMYFUNCTION("""COMPUTED_VALUE"""),"A250019")</f>
        <v>A250019</v>
      </c>
      <c r="B49" s="5" t="str">
        <f>IFERROR(__xludf.DUMMYFUNCTION("""COMPUTED_VALUE"""),"Fatih kenzie dzulian anado")</f>
        <v>Fatih kenzie dzulian anado</v>
      </c>
      <c r="C49" s="5" t="str">
        <f>IFERROR(__xludf.DUMMYFUNCTION("""COMPUTED_VALUE"""),"MTs Putra")</f>
        <v>MTs Putra</v>
      </c>
      <c r="D49" s="168" t="str">
        <f>IFERROR(__xludf.DUMMYFUNCTION("""COMPUTED_VALUE"""),"A")</f>
        <v>A</v>
      </c>
      <c r="E49" s="168" t="str">
        <f>IFERROR(__xludf.DUMMYFUNCTION("""COMPUTED_VALUE"""),"A")</f>
        <v>A</v>
      </c>
      <c r="F49" s="168" t="str">
        <f>IFERROR(__xludf.DUMMYFUNCTION("""COMPUTED_VALUE"""),"A")</f>
        <v>A</v>
      </c>
      <c r="G49" s="168" t="str">
        <f>IFERROR(__xludf.DUMMYFUNCTION("""COMPUTED_VALUE"""),"B")</f>
        <v>B</v>
      </c>
      <c r="H49" s="168" t="str">
        <f>IFERROR(__xludf.DUMMYFUNCTION("""COMPUTED_VALUE"""),"A")</f>
        <v>A</v>
      </c>
    </row>
    <row r="50">
      <c r="A50" s="5" t="str">
        <f>IFERROR(__xludf.DUMMYFUNCTION("""COMPUTED_VALUE"""),"D250022")</f>
        <v>D250022</v>
      </c>
      <c r="B50" s="5" t="str">
        <f>IFERROR(__xludf.DUMMYFUNCTION("""COMPUTED_VALUE"""),"Hanifah azahra putri")</f>
        <v>Hanifah azahra putri</v>
      </c>
      <c r="C50" s="5" t="str">
        <f>IFERROR(__xludf.DUMMYFUNCTION("""COMPUTED_VALUE"""),"MTs Putri")</f>
        <v>MTs Putri</v>
      </c>
      <c r="D50" s="168" t="str">
        <f>IFERROR(__xludf.DUMMYFUNCTION("""COMPUTED_VALUE"""),"A")</f>
        <v>A</v>
      </c>
      <c r="E50" s="168" t="str">
        <f>IFERROR(__xludf.DUMMYFUNCTION("""COMPUTED_VALUE"""),"A")</f>
        <v>A</v>
      </c>
      <c r="F50" s="168" t="str">
        <f>IFERROR(__xludf.DUMMYFUNCTION("""COMPUTED_VALUE"""),"A")</f>
        <v>A</v>
      </c>
      <c r="G50" s="168" t="str">
        <f>IFERROR(__xludf.DUMMYFUNCTION("""COMPUTED_VALUE"""),"A")</f>
        <v>A</v>
      </c>
      <c r="H50" s="168" t="str">
        <f>IFERROR(__xludf.DUMMYFUNCTION("""COMPUTED_VALUE"""),"A")</f>
        <v>A</v>
      </c>
    </row>
    <row r="51">
      <c r="A51" s="5" t="str">
        <f>IFERROR(__xludf.DUMMYFUNCTION("""COMPUTED_VALUE"""),"D250026")</f>
        <v>D250026</v>
      </c>
      <c r="B51" s="5" t="str">
        <f>IFERROR(__xludf.DUMMYFUNCTION("""COMPUTED_VALUE"""),"Granada khansa el qibtiya")</f>
        <v>Granada khansa el qibtiya</v>
      </c>
      <c r="C51" s="5" t="str">
        <f>IFERROR(__xludf.DUMMYFUNCTION("""COMPUTED_VALUE"""),"MTs Putri")</f>
        <v>MTs Putri</v>
      </c>
      <c r="D51" s="168" t="str">
        <f>IFERROR(__xludf.DUMMYFUNCTION("""COMPUTED_VALUE"""),"A")</f>
        <v>A</v>
      </c>
      <c r="E51" s="168" t="str">
        <f>IFERROR(__xludf.DUMMYFUNCTION("""COMPUTED_VALUE"""),"A")</f>
        <v>A</v>
      </c>
      <c r="F51" s="168" t="str">
        <f>IFERROR(__xludf.DUMMYFUNCTION("""COMPUTED_VALUE"""),"A")</f>
        <v>A</v>
      </c>
      <c r="G51" s="168" t="str">
        <f>IFERROR(__xludf.DUMMYFUNCTION("""COMPUTED_VALUE"""),"A")</f>
        <v>A</v>
      </c>
      <c r="H51" s="168" t="str">
        <f>IFERROR(__xludf.DUMMYFUNCTION("""COMPUTED_VALUE"""),"A")</f>
        <v>A</v>
      </c>
    </row>
    <row r="52">
      <c r="A52" s="5" t="str">
        <f>IFERROR(__xludf.DUMMYFUNCTION("""COMPUTED_VALUE"""),"A250032")</f>
        <v>A250032</v>
      </c>
      <c r="B52" s="5" t="str">
        <f>IFERROR(__xludf.DUMMYFUNCTION("""COMPUTED_VALUE"""),"Artka hasbina azhuary")</f>
        <v>Artka hasbina azhuary</v>
      </c>
      <c r="C52" s="5" t="str">
        <f>IFERROR(__xludf.DUMMYFUNCTION("""COMPUTED_VALUE"""),"MTs Putra")</f>
        <v>MTs Putra</v>
      </c>
      <c r="D52" s="168" t="str">
        <f>IFERROR(__xludf.DUMMYFUNCTION("""COMPUTED_VALUE"""),"A")</f>
        <v>A</v>
      </c>
      <c r="E52" s="168" t="str">
        <f>IFERROR(__xludf.DUMMYFUNCTION("""COMPUTED_VALUE"""),"C")</f>
        <v>C</v>
      </c>
      <c r="F52" s="168" t="str">
        <f>IFERROR(__xludf.DUMMYFUNCTION("""COMPUTED_VALUE"""),"A")</f>
        <v>A</v>
      </c>
      <c r="G52" s="168" t="str">
        <f>IFERROR(__xludf.DUMMYFUNCTION("""COMPUTED_VALUE"""),"A")</f>
        <v>A</v>
      </c>
      <c r="H52" s="168" t="str">
        <f>IFERROR(__xludf.DUMMYFUNCTION("""COMPUTED_VALUE"""),"A")</f>
        <v>A</v>
      </c>
    </row>
    <row r="53">
      <c r="A53" s="5" t="str">
        <f>IFERROR(__xludf.DUMMYFUNCTION("""COMPUTED_VALUE"""),"A250045")</f>
        <v>A250045</v>
      </c>
      <c r="B53" s="5" t="str">
        <f>IFERROR(__xludf.DUMMYFUNCTION("""COMPUTED_VALUE"""),"Suhail Aiman")</f>
        <v>Suhail Aiman</v>
      </c>
      <c r="C53" s="5" t="str">
        <f>IFERROR(__xludf.DUMMYFUNCTION("""COMPUTED_VALUE"""),"MTs Putra")</f>
        <v>MTs Putra</v>
      </c>
      <c r="D53" s="168" t="str">
        <f>IFERROR(__xludf.DUMMYFUNCTION("""COMPUTED_VALUE"""),"A")</f>
        <v>A</v>
      </c>
      <c r="E53" s="168" t="str">
        <f>IFERROR(__xludf.DUMMYFUNCTION("""COMPUTED_VALUE"""),"A")</f>
        <v>A</v>
      </c>
      <c r="F53" s="168" t="str">
        <f>IFERROR(__xludf.DUMMYFUNCTION("""COMPUTED_VALUE"""),"A")</f>
        <v>A</v>
      </c>
      <c r="G53" s="168" t="str">
        <f>IFERROR(__xludf.DUMMYFUNCTION("""COMPUTED_VALUE"""),"A")</f>
        <v>A</v>
      </c>
      <c r="H53" s="168" t="str">
        <f>IFERROR(__xludf.DUMMYFUNCTION("""COMPUTED_VALUE"""),"A")</f>
        <v>A</v>
      </c>
    </row>
    <row r="54">
      <c r="A54" s="5" t="str">
        <f>IFERROR(__xludf.DUMMYFUNCTION("""COMPUTED_VALUE"""),"A250002")</f>
        <v>A250002</v>
      </c>
      <c r="B54" s="5" t="str">
        <f>IFERROR(__xludf.DUMMYFUNCTION("""COMPUTED_VALUE"""),"Umar fawwaz")</f>
        <v>Umar fawwaz</v>
      </c>
      <c r="C54" s="5" t="str">
        <f>IFERROR(__xludf.DUMMYFUNCTION("""COMPUTED_VALUE"""),"MTs Putra")</f>
        <v>MTs Putra</v>
      </c>
      <c r="D54" s="168" t="str">
        <f>IFERROR(__xludf.DUMMYFUNCTION("""COMPUTED_VALUE"""),"A")</f>
        <v>A</v>
      </c>
      <c r="E54" s="168" t="str">
        <f>IFERROR(__xludf.DUMMYFUNCTION("""COMPUTED_VALUE"""),"A")</f>
        <v>A</v>
      </c>
      <c r="F54" s="168" t="str">
        <f>IFERROR(__xludf.DUMMYFUNCTION("""COMPUTED_VALUE"""),"A")</f>
        <v>A</v>
      </c>
      <c r="G54" s="168" t="str">
        <f>IFERROR(__xludf.DUMMYFUNCTION("""COMPUTED_VALUE"""),"A")</f>
        <v>A</v>
      </c>
      <c r="H54" s="168" t="str">
        <f>IFERROR(__xludf.DUMMYFUNCTION("""COMPUTED_VALUE"""),"A")</f>
        <v>A</v>
      </c>
    </row>
    <row r="55">
      <c r="A55" s="5" t="str">
        <f>IFERROR(__xludf.DUMMYFUNCTION("""COMPUTED_VALUE"""),"A250031")</f>
        <v>A250031</v>
      </c>
      <c r="B55" s="5" t="str">
        <f>IFERROR(__xludf.DUMMYFUNCTION("""COMPUTED_VALUE"""),"FATAN IHYA AS-SUNNAH")</f>
        <v>FATAN IHYA AS-SUNNAH</v>
      </c>
      <c r="C55" s="5" t="str">
        <f>IFERROR(__xludf.DUMMYFUNCTION("""COMPUTED_VALUE"""),"MTs Putra")</f>
        <v>MTs Putra</v>
      </c>
      <c r="D55" s="168" t="str">
        <f>IFERROR(__xludf.DUMMYFUNCTION("""COMPUTED_VALUE"""),"A")</f>
        <v>A</v>
      </c>
      <c r="E55" s="168" t="str">
        <f>IFERROR(__xludf.DUMMYFUNCTION("""COMPUTED_VALUE"""),"C")</f>
        <v>C</v>
      </c>
      <c r="F55" s="168" t="str">
        <f>IFERROR(__xludf.DUMMYFUNCTION("""COMPUTED_VALUE"""),"A")</f>
        <v>A</v>
      </c>
      <c r="G55" s="168" t="str">
        <f>IFERROR(__xludf.DUMMYFUNCTION("""COMPUTED_VALUE"""),"A")</f>
        <v>A</v>
      </c>
      <c r="H55" s="168" t="str">
        <f>IFERROR(__xludf.DUMMYFUNCTION("""COMPUTED_VALUE"""),"A")</f>
        <v>A</v>
      </c>
    </row>
    <row r="56">
      <c r="A56" s="5" t="str">
        <f>IFERROR(__xludf.DUMMYFUNCTION("""COMPUTED_VALUE"""),"A250033")</f>
        <v>A250033</v>
      </c>
      <c r="B56" s="5" t="str">
        <f>IFERROR(__xludf.DUMMYFUNCTION("""COMPUTED_VALUE"""),"AZKA KHAIRUL ICHSAN HASUGIANA")</f>
        <v>AZKA KHAIRUL ICHSAN HASUGIANA</v>
      </c>
      <c r="C56" s="5" t="str">
        <f>IFERROR(__xludf.DUMMYFUNCTION("""COMPUTED_VALUE"""),"MTs Putra")</f>
        <v>MTs Putra</v>
      </c>
      <c r="D56" s="168" t="str">
        <f>IFERROR(__xludf.DUMMYFUNCTION("""COMPUTED_VALUE"""),"B")</f>
        <v>B</v>
      </c>
      <c r="E56" s="168" t="str">
        <f>IFERROR(__xludf.DUMMYFUNCTION("""COMPUTED_VALUE"""),"A")</f>
        <v>A</v>
      </c>
      <c r="F56" s="168" t="str">
        <f>IFERROR(__xludf.DUMMYFUNCTION("""COMPUTED_VALUE"""),"A")</f>
        <v>A</v>
      </c>
      <c r="G56" s="168" t="str">
        <f>IFERROR(__xludf.DUMMYFUNCTION("""COMPUTED_VALUE"""),"A")</f>
        <v>A</v>
      </c>
      <c r="H56" s="168" t="str">
        <f>IFERROR(__xludf.DUMMYFUNCTION("""COMPUTED_VALUE"""),"A")</f>
        <v>A</v>
      </c>
    </row>
    <row r="57">
      <c r="A57" s="5" t="str">
        <f>IFERROR(__xludf.DUMMYFUNCTION("""COMPUTED_VALUE"""),"D250001")</f>
        <v>D250001</v>
      </c>
      <c r="B57" s="5" t="str">
        <f>IFERROR(__xludf.DUMMYFUNCTION("""COMPUTED_VALUE"""),"Qisya Rahma Kamila ")</f>
        <v>Qisya Rahma Kamila </v>
      </c>
      <c r="C57" s="5" t="str">
        <f>IFERROR(__xludf.DUMMYFUNCTION("""COMPUTED_VALUE"""),"MTs Putri")</f>
        <v>MTs Putri</v>
      </c>
      <c r="D57" s="168" t="str">
        <f>IFERROR(__xludf.DUMMYFUNCTION("""COMPUTED_VALUE"""),"A")</f>
        <v>A</v>
      </c>
      <c r="E57" s="168" t="str">
        <f>IFERROR(__xludf.DUMMYFUNCTION("""COMPUTED_VALUE"""),"A")</f>
        <v>A</v>
      </c>
      <c r="F57" s="168" t="str">
        <f>IFERROR(__xludf.DUMMYFUNCTION("""COMPUTED_VALUE"""),"A")</f>
        <v>A</v>
      </c>
      <c r="G57" s="168" t="str">
        <f>IFERROR(__xludf.DUMMYFUNCTION("""COMPUTED_VALUE"""),"A")</f>
        <v>A</v>
      </c>
      <c r="H57" s="168" t="str">
        <f>IFERROR(__xludf.DUMMYFUNCTION("""COMPUTED_VALUE"""),"A")</f>
        <v>A</v>
      </c>
    </row>
    <row r="58">
      <c r="A58" s="5" t="str">
        <f>IFERROR(__xludf.DUMMYFUNCTION("""COMPUTED_VALUE"""),"A250017")</f>
        <v>A250017</v>
      </c>
      <c r="B58" s="5" t="str">
        <f>IFERROR(__xludf.DUMMYFUNCTION("""COMPUTED_VALUE"""),"Akhdan Azkiya Mahdy")</f>
        <v>Akhdan Azkiya Mahdy</v>
      </c>
      <c r="C58" s="5" t="str">
        <f>IFERROR(__xludf.DUMMYFUNCTION("""COMPUTED_VALUE"""),"MTs Putra")</f>
        <v>MTs Putra</v>
      </c>
      <c r="D58" s="168" t="str">
        <f>IFERROR(__xludf.DUMMYFUNCTION("""COMPUTED_VALUE"""),"A")</f>
        <v>A</v>
      </c>
      <c r="E58" s="168" t="str">
        <f>IFERROR(__xludf.DUMMYFUNCTION("""COMPUTED_VALUE"""),"A")</f>
        <v>A</v>
      </c>
      <c r="F58" s="168" t="str">
        <f>IFERROR(__xludf.DUMMYFUNCTION("""COMPUTED_VALUE"""),"A")</f>
        <v>A</v>
      </c>
      <c r="G58" s="168" t="str">
        <f>IFERROR(__xludf.DUMMYFUNCTION("""COMPUTED_VALUE"""),"B")</f>
        <v>B</v>
      </c>
      <c r="H58" s="168" t="str">
        <f>IFERROR(__xludf.DUMMYFUNCTION("""COMPUTED_VALUE"""),"A")</f>
        <v>A</v>
      </c>
    </row>
    <row r="59">
      <c r="A59" s="5" t="str">
        <f>IFERROR(__xludf.DUMMYFUNCTION("""COMPUTED_VALUE"""),"E250003")</f>
        <v>E250003</v>
      </c>
      <c r="B59" s="5" t="str">
        <f>IFERROR(__xludf.DUMMYFUNCTION("""COMPUTED_VALUE"""),"NISRINA QURROTA AINI ")</f>
        <v>NISRINA QURROTA AINI </v>
      </c>
      <c r="C59" s="5" t="str">
        <f>IFERROR(__xludf.DUMMYFUNCTION("""COMPUTED_VALUE"""),"IL Putri")</f>
        <v>IL Putri</v>
      </c>
      <c r="D59" s="168" t="str">
        <f>IFERROR(__xludf.DUMMYFUNCTION("""COMPUTED_VALUE"""),"A")</f>
        <v>A</v>
      </c>
      <c r="E59" s="168" t="str">
        <f>IFERROR(__xludf.DUMMYFUNCTION("""COMPUTED_VALUE"""),"C")</f>
        <v>C</v>
      </c>
      <c r="F59" s="168" t="str">
        <f>IFERROR(__xludf.DUMMYFUNCTION("""COMPUTED_VALUE"""),"A")</f>
        <v>A</v>
      </c>
      <c r="G59" s="168" t="str">
        <f>IFERROR(__xludf.DUMMYFUNCTION("""COMPUTED_VALUE"""),"A")</f>
        <v>A</v>
      </c>
      <c r="H59" s="168" t="str">
        <f>IFERROR(__xludf.DUMMYFUNCTION("""COMPUTED_VALUE"""),"A")</f>
        <v>A</v>
      </c>
    </row>
    <row r="60">
      <c r="A60" s="5" t="str">
        <f>IFERROR(__xludf.DUMMYFUNCTION("""COMPUTED_VALUE"""),"B250024")</f>
        <v>B250024</v>
      </c>
      <c r="B60" s="5" t="str">
        <f>IFERROR(__xludf.DUMMYFUNCTION("""COMPUTED_VALUE"""),"Ahadan Nazka Harits")</f>
        <v>Ahadan Nazka Harits</v>
      </c>
      <c r="C60" s="5" t="str">
        <f>IFERROR(__xludf.DUMMYFUNCTION("""COMPUTED_VALUE"""),"IL Putra")</f>
        <v>IL Putra</v>
      </c>
      <c r="D60" s="168" t="str">
        <f>IFERROR(__xludf.DUMMYFUNCTION("""COMPUTED_VALUE"""),"B")</f>
        <v>B</v>
      </c>
      <c r="E60" s="168" t="str">
        <f>IFERROR(__xludf.DUMMYFUNCTION("""COMPUTED_VALUE"""),"B")</f>
        <v>B</v>
      </c>
      <c r="F60" s="168" t="str">
        <f>IFERROR(__xludf.DUMMYFUNCTION("""COMPUTED_VALUE"""),"A")</f>
        <v>A</v>
      </c>
      <c r="G60" s="168" t="str">
        <f>IFERROR(__xludf.DUMMYFUNCTION("""COMPUTED_VALUE"""),"A")</f>
        <v>A</v>
      </c>
      <c r="H60" s="168" t="str">
        <f>IFERROR(__xludf.DUMMYFUNCTION("""COMPUTED_VALUE"""),"A")</f>
        <v>A</v>
      </c>
    </row>
    <row r="61">
      <c r="A61" s="7" t="str">
        <f>IFERROR(__xludf.DUMMYFUNCTION("""COMPUTED_VALUE"""),"B250019")</f>
        <v>B250019</v>
      </c>
      <c r="B61" s="7" t="str">
        <f>IFERROR(__xludf.DUMMYFUNCTION("""COMPUTED_VALUE"""),"Abbas Raihan")</f>
        <v>Abbas Raihan</v>
      </c>
      <c r="C61" s="7" t="str">
        <f>IFERROR(__xludf.DUMMYFUNCTION("""COMPUTED_VALUE"""),"IL Putra")</f>
        <v>IL Putra</v>
      </c>
      <c r="D61" s="50" t="str">
        <f>IFERROR(__xludf.DUMMYFUNCTION("""COMPUTED_VALUE"""),"B")</f>
        <v>B</v>
      </c>
      <c r="E61" s="50" t="str">
        <f>IFERROR(__xludf.DUMMYFUNCTION("""COMPUTED_VALUE"""),"A")</f>
        <v>A</v>
      </c>
      <c r="F61" s="50" t="str">
        <f>IFERROR(__xludf.DUMMYFUNCTION("""COMPUTED_VALUE"""),"A")</f>
        <v>A</v>
      </c>
      <c r="G61" s="50" t="str">
        <f>IFERROR(__xludf.DUMMYFUNCTION("""COMPUTED_VALUE"""),"A")</f>
        <v>A</v>
      </c>
      <c r="H61" s="50" t="str">
        <f>IFERROR(__xludf.DUMMYFUNCTION("""COMPUTED_VALUE"""),"C")</f>
        <v>C</v>
      </c>
    </row>
    <row r="62">
      <c r="A62" s="7" t="str">
        <f>IFERROR(__xludf.DUMMYFUNCTION("""COMPUTED_VALUE"""),"A250051")</f>
        <v>A250051</v>
      </c>
      <c r="B62" s="7" t="str">
        <f>IFERROR(__xludf.DUMMYFUNCTION("""COMPUTED_VALUE"""),"Khalid Muhammad Affiq")</f>
        <v>Khalid Muhammad Affiq</v>
      </c>
      <c r="C62" s="7" t="str">
        <f>IFERROR(__xludf.DUMMYFUNCTION("""COMPUTED_VALUE"""),"MTs Putra")</f>
        <v>MTs Putra</v>
      </c>
      <c r="D62" s="50" t="str">
        <f>IFERROR(__xludf.DUMMYFUNCTION("""COMPUTED_VALUE"""),"A")</f>
        <v>A</v>
      </c>
      <c r="E62" s="50" t="str">
        <f>IFERROR(__xludf.DUMMYFUNCTION("""COMPUTED_VALUE"""),"A")</f>
        <v>A</v>
      </c>
      <c r="F62" s="50" t="str">
        <f>IFERROR(__xludf.DUMMYFUNCTION("""COMPUTED_VALUE"""),"A")</f>
        <v>A</v>
      </c>
      <c r="G62" s="50" t="str">
        <f>IFERROR(__xludf.DUMMYFUNCTION("""COMPUTED_VALUE"""),"A")</f>
        <v>A</v>
      </c>
      <c r="H62" s="50" t="str">
        <f>IFERROR(__xludf.DUMMYFUNCTION("""COMPUTED_VALUE"""),"A")</f>
        <v>A</v>
      </c>
    </row>
    <row r="63">
      <c r="A63" s="7" t="str">
        <f>IFERROR(__xludf.DUMMYFUNCTION("""COMPUTED_VALUE"""),"D250013")</f>
        <v>D250013</v>
      </c>
      <c r="B63" s="7" t="str">
        <f>IFERROR(__xludf.DUMMYFUNCTION("""COMPUTED_VALUE"""),"Rizkia Aulia Az zahra ")</f>
        <v>Rizkia Aulia Az zahra </v>
      </c>
      <c r="C63" s="7" t="str">
        <f>IFERROR(__xludf.DUMMYFUNCTION("""COMPUTED_VALUE"""),"MTs Putri")</f>
        <v>MTs Putri</v>
      </c>
      <c r="D63" s="50" t="str">
        <f>IFERROR(__xludf.DUMMYFUNCTION("""COMPUTED_VALUE"""),"A")</f>
        <v>A</v>
      </c>
      <c r="E63" s="50" t="str">
        <f>IFERROR(__xludf.DUMMYFUNCTION("""COMPUTED_VALUE"""),"A")</f>
        <v>A</v>
      </c>
      <c r="F63" s="50" t="str">
        <f>IFERROR(__xludf.DUMMYFUNCTION("""COMPUTED_VALUE"""),"B")</f>
        <v>B</v>
      </c>
      <c r="G63" s="50" t="str">
        <f>IFERROR(__xludf.DUMMYFUNCTION("""COMPUTED_VALUE"""),"A")</f>
        <v>A</v>
      </c>
      <c r="H63" s="50" t="str">
        <f>IFERROR(__xludf.DUMMYFUNCTION("""COMPUTED_VALUE"""),"A")</f>
        <v>A</v>
      </c>
    </row>
    <row r="64">
      <c r="A64" s="7" t="str">
        <f>IFERROR(__xludf.DUMMYFUNCTION("""COMPUTED_VALUE"""),"B250023")</f>
        <v>B250023</v>
      </c>
      <c r="B64" s="7" t="str">
        <f>IFERROR(__xludf.DUMMYFUNCTION("""COMPUTED_VALUE"""),"Muhammad Dafa Athallah")</f>
        <v>Muhammad Dafa Athallah</v>
      </c>
      <c r="C64" s="7" t="str">
        <f>IFERROR(__xludf.DUMMYFUNCTION("""COMPUTED_VALUE"""),"IL Putra")</f>
        <v>IL Putra</v>
      </c>
      <c r="D64" s="50" t="str">
        <f>IFERROR(__xludf.DUMMYFUNCTION("""COMPUTED_VALUE"""),"A")</f>
        <v>A</v>
      </c>
      <c r="E64" s="50" t="str">
        <f>IFERROR(__xludf.DUMMYFUNCTION("""COMPUTED_VALUE"""),"A")</f>
        <v>A</v>
      </c>
      <c r="F64" s="50" t="str">
        <f>IFERROR(__xludf.DUMMYFUNCTION("""COMPUTED_VALUE"""),"A")</f>
        <v>A</v>
      </c>
      <c r="G64" s="50" t="str">
        <f>IFERROR(__xludf.DUMMYFUNCTION("""COMPUTED_VALUE"""),"A")</f>
        <v>A</v>
      </c>
      <c r="H64" s="50" t="str">
        <f>IFERROR(__xludf.DUMMYFUNCTION("""COMPUTED_VALUE"""),"A")</f>
        <v>A</v>
      </c>
    </row>
    <row r="65">
      <c r="A65" s="7" t="str">
        <f>IFERROR(__xludf.DUMMYFUNCTION("""COMPUTED_VALUE"""),"A250074")</f>
        <v>A250074</v>
      </c>
      <c r="B65" s="7" t="str">
        <f>IFERROR(__xludf.DUMMYFUNCTION("""COMPUTED_VALUE"""),"Eshan Kazim")</f>
        <v>Eshan Kazim</v>
      </c>
      <c r="C65" s="7" t="str">
        <f>IFERROR(__xludf.DUMMYFUNCTION("""COMPUTED_VALUE"""),"MTs Putra")</f>
        <v>MTs Putra</v>
      </c>
      <c r="D65" s="50" t="str">
        <f>IFERROR(__xludf.DUMMYFUNCTION("""COMPUTED_VALUE"""),"A")</f>
        <v>A</v>
      </c>
      <c r="E65" s="50" t="str">
        <f>IFERROR(__xludf.DUMMYFUNCTION("""COMPUTED_VALUE"""),"A")</f>
        <v>A</v>
      </c>
      <c r="F65" s="50" t="str">
        <f>IFERROR(__xludf.DUMMYFUNCTION("""COMPUTED_VALUE"""),"A")</f>
        <v>A</v>
      </c>
      <c r="G65" s="50" t="str">
        <f>IFERROR(__xludf.DUMMYFUNCTION("""COMPUTED_VALUE"""),"A")</f>
        <v>A</v>
      </c>
      <c r="H65" s="50" t="str">
        <f>IFERROR(__xludf.DUMMYFUNCTION("""COMPUTED_VALUE"""),"A")</f>
        <v>A</v>
      </c>
    </row>
    <row r="66">
      <c r="A66" s="7" t="str">
        <f>IFERROR(__xludf.DUMMYFUNCTION("""COMPUTED_VALUE"""),"D250021")</f>
        <v>D250021</v>
      </c>
      <c r="B66" s="7" t="str">
        <f>IFERROR(__xludf.DUMMYFUNCTION("""COMPUTED_VALUE"""),"Alika Aisyah Putri ")</f>
        <v>Alika Aisyah Putri </v>
      </c>
      <c r="C66" s="7" t="str">
        <f>IFERROR(__xludf.DUMMYFUNCTION("""COMPUTED_VALUE"""),"MTs Putri")</f>
        <v>MTs Putri</v>
      </c>
      <c r="D66" s="50" t="str">
        <f>IFERROR(__xludf.DUMMYFUNCTION("""COMPUTED_VALUE"""),"A")</f>
        <v>A</v>
      </c>
      <c r="E66" s="50" t="str">
        <f>IFERROR(__xludf.DUMMYFUNCTION("""COMPUTED_VALUE"""),"A")</f>
        <v>A</v>
      </c>
      <c r="F66" s="50" t="str">
        <f>IFERROR(__xludf.DUMMYFUNCTION("""COMPUTED_VALUE"""),"A")</f>
        <v>A</v>
      </c>
      <c r="G66" s="50" t="str">
        <f>IFERROR(__xludf.DUMMYFUNCTION("""COMPUTED_VALUE"""),"A")</f>
        <v>A</v>
      </c>
      <c r="H66" s="50" t="str">
        <f>IFERROR(__xludf.DUMMYFUNCTION("""COMPUTED_VALUE"""),"A")</f>
        <v>A</v>
      </c>
    </row>
    <row r="67">
      <c r="A67" s="7" t="str">
        <f>IFERROR(__xludf.DUMMYFUNCTION("""COMPUTED_VALUE"""),"D250018")</f>
        <v>D250018</v>
      </c>
      <c r="B67" s="7" t="str">
        <f>IFERROR(__xludf.DUMMYFUNCTION("""COMPUTED_VALUE"""),"Syahira Zahratul Islam")</f>
        <v>Syahira Zahratul Islam</v>
      </c>
      <c r="C67" s="7" t="str">
        <f>IFERROR(__xludf.DUMMYFUNCTION("""COMPUTED_VALUE"""),"MTs Putri")</f>
        <v>MTs Putri</v>
      </c>
      <c r="D67" s="50" t="str">
        <f>IFERROR(__xludf.DUMMYFUNCTION("""COMPUTED_VALUE"""),"A")</f>
        <v>A</v>
      </c>
      <c r="E67" s="50" t="str">
        <f>IFERROR(__xludf.DUMMYFUNCTION("""COMPUTED_VALUE"""),"A")</f>
        <v>A</v>
      </c>
      <c r="F67" s="50" t="str">
        <f>IFERROR(__xludf.DUMMYFUNCTION("""COMPUTED_VALUE"""),"A")</f>
        <v>A</v>
      </c>
      <c r="G67" s="50" t="str">
        <f>IFERROR(__xludf.DUMMYFUNCTION("""COMPUTED_VALUE"""),"A")</f>
        <v>A</v>
      </c>
      <c r="H67" s="50" t="str">
        <f>IFERROR(__xludf.DUMMYFUNCTION("""COMPUTED_VALUE"""),"A")</f>
        <v>A</v>
      </c>
    </row>
    <row r="68">
      <c r="A68" s="7" t="str">
        <f>IFERROR(__xludf.DUMMYFUNCTION("""COMPUTED_VALUE"""),"A250030")</f>
        <v>A250030</v>
      </c>
      <c r="B68" s="7" t="str">
        <f>IFERROR(__xludf.DUMMYFUNCTION("""COMPUTED_VALUE"""),"Ahmad Kamaludi")</f>
        <v>Ahmad Kamaludi</v>
      </c>
      <c r="C68" s="7" t="str">
        <f>IFERROR(__xludf.DUMMYFUNCTION("""COMPUTED_VALUE"""),"MTs Putra")</f>
        <v>MTs Putra</v>
      </c>
      <c r="D68" s="50" t="str">
        <f>IFERROR(__xludf.DUMMYFUNCTION("""COMPUTED_VALUE"""),"A")</f>
        <v>A</v>
      </c>
      <c r="E68" s="50" t="str">
        <f>IFERROR(__xludf.DUMMYFUNCTION("""COMPUTED_VALUE"""),"A")</f>
        <v>A</v>
      </c>
      <c r="F68" s="50" t="str">
        <f>IFERROR(__xludf.DUMMYFUNCTION("""COMPUTED_VALUE"""),"A")</f>
        <v>A</v>
      </c>
      <c r="G68" s="50" t="str">
        <f>IFERROR(__xludf.DUMMYFUNCTION("""COMPUTED_VALUE"""),"B")</f>
        <v>B</v>
      </c>
      <c r="H68" s="50" t="str">
        <f>IFERROR(__xludf.DUMMYFUNCTION("""COMPUTED_VALUE"""),"A")</f>
        <v>A</v>
      </c>
    </row>
    <row r="69">
      <c r="A69" s="7" t="str">
        <f>IFERROR(__xludf.DUMMYFUNCTION("""COMPUTED_VALUE"""),"A250077")</f>
        <v>A250077</v>
      </c>
      <c r="B69" s="7" t="str">
        <f>IFERROR(__xludf.DUMMYFUNCTION("""COMPUTED_VALUE"""),"Abdurrahman")</f>
        <v>Abdurrahman</v>
      </c>
      <c r="C69" s="7" t="str">
        <f>IFERROR(__xludf.DUMMYFUNCTION("""COMPUTED_VALUE"""),"MTs Putra")</f>
        <v>MTs Putra</v>
      </c>
      <c r="D69" s="50" t="str">
        <f>IFERROR(__xludf.DUMMYFUNCTION("""COMPUTED_VALUE"""),"A")</f>
        <v>A</v>
      </c>
      <c r="E69" s="50" t="str">
        <f>IFERROR(__xludf.DUMMYFUNCTION("""COMPUTED_VALUE"""),"A")</f>
        <v>A</v>
      </c>
      <c r="F69" s="50" t="str">
        <f>IFERROR(__xludf.DUMMYFUNCTION("""COMPUTED_VALUE"""),"A")</f>
        <v>A</v>
      </c>
      <c r="G69" s="50" t="str">
        <f>IFERROR(__xludf.DUMMYFUNCTION("""COMPUTED_VALUE"""),"A")</f>
        <v>A</v>
      </c>
      <c r="H69" s="50" t="str">
        <f>IFERROR(__xludf.DUMMYFUNCTION("""COMPUTED_VALUE"""),"A")</f>
        <v>A</v>
      </c>
    </row>
    <row r="70">
      <c r="A70" s="7" t="str">
        <f>IFERROR(__xludf.DUMMYFUNCTION("""COMPUTED_VALUE"""),"D250020")</f>
        <v>D250020</v>
      </c>
      <c r="B70" s="7" t="str">
        <f>IFERROR(__xludf.DUMMYFUNCTION("""COMPUTED_VALUE"""),"adlin ar rihaily")</f>
        <v>adlin ar rihaily</v>
      </c>
      <c r="C70" s="7" t="str">
        <f>IFERROR(__xludf.DUMMYFUNCTION("""COMPUTED_VALUE"""),"MTs Putri")</f>
        <v>MTs Putri</v>
      </c>
      <c r="D70" s="50" t="str">
        <f>IFERROR(__xludf.DUMMYFUNCTION("""COMPUTED_VALUE"""),"A")</f>
        <v>A</v>
      </c>
      <c r="E70" s="50" t="str">
        <f>IFERROR(__xludf.DUMMYFUNCTION("""COMPUTED_VALUE"""),"A")</f>
        <v>A</v>
      </c>
      <c r="F70" s="50" t="str">
        <f>IFERROR(__xludf.DUMMYFUNCTION("""COMPUTED_VALUE"""),"A")</f>
        <v>A</v>
      </c>
      <c r="G70" s="50" t="str">
        <f>IFERROR(__xludf.DUMMYFUNCTION("""COMPUTED_VALUE"""),"A")</f>
        <v>A</v>
      </c>
      <c r="H70" s="50" t="str">
        <f>IFERROR(__xludf.DUMMYFUNCTION("""COMPUTED_VALUE"""),"A")</f>
        <v>A</v>
      </c>
    </row>
    <row r="71">
      <c r="A71" s="7" t="str">
        <f>IFERROR(__xludf.DUMMYFUNCTION("""COMPUTED_VALUE"""),"F250001")</f>
        <v>F250001</v>
      </c>
      <c r="B71" s="7" t="str">
        <f>IFERROR(__xludf.DUMMYFUNCTION("""COMPUTED_VALUE"""),"Naisya Tazqia Qolbi")</f>
        <v>Naisya Tazqia Qolbi</v>
      </c>
      <c r="C71" s="7" t="str">
        <f>IFERROR(__xludf.DUMMYFUNCTION("""COMPUTED_VALUE"""),"IL Putri")</f>
        <v>IL Putri</v>
      </c>
      <c r="D71" s="50" t="str">
        <f>IFERROR(__xludf.DUMMYFUNCTION("""COMPUTED_VALUE"""),"A")</f>
        <v>A</v>
      </c>
      <c r="E71" s="50" t="str">
        <f>IFERROR(__xludf.DUMMYFUNCTION("""COMPUTED_VALUE"""),"C")</f>
        <v>C</v>
      </c>
      <c r="F71" s="50" t="str">
        <f>IFERROR(__xludf.DUMMYFUNCTION("""COMPUTED_VALUE"""),"A")</f>
        <v>A</v>
      </c>
      <c r="G71" s="50" t="str">
        <f>IFERROR(__xludf.DUMMYFUNCTION("""COMPUTED_VALUE"""),"A")</f>
        <v>A</v>
      </c>
      <c r="H71" s="50" t="str">
        <f>IFERROR(__xludf.DUMMYFUNCTION("""COMPUTED_VALUE"""),"A")</f>
        <v>A</v>
      </c>
    </row>
    <row r="72">
      <c r="A72" s="7" t="str">
        <f>IFERROR(__xludf.DUMMYFUNCTION("""COMPUTED_VALUE"""),"A250075")</f>
        <v>A250075</v>
      </c>
      <c r="B72" s="7" t="str">
        <f>IFERROR(__xludf.DUMMYFUNCTION("""COMPUTED_VALUE"""),"Muhammad Nadhif Raisyauqy")</f>
        <v>Muhammad Nadhif Raisyauqy</v>
      </c>
      <c r="C72" s="7" t="str">
        <f>IFERROR(__xludf.DUMMYFUNCTION("""COMPUTED_VALUE"""),"MTs Putra")</f>
        <v>MTs Putra</v>
      </c>
      <c r="D72" s="50" t="str">
        <f>IFERROR(__xludf.DUMMYFUNCTION("""COMPUTED_VALUE"""),"A")</f>
        <v>A</v>
      </c>
      <c r="E72" s="50" t="str">
        <f>IFERROR(__xludf.DUMMYFUNCTION("""COMPUTED_VALUE"""),"A")</f>
        <v>A</v>
      </c>
      <c r="F72" s="50" t="str">
        <f>IFERROR(__xludf.DUMMYFUNCTION("""COMPUTED_VALUE"""),"A")</f>
        <v>A</v>
      </c>
      <c r="G72" s="50" t="str">
        <f>IFERROR(__xludf.DUMMYFUNCTION("""COMPUTED_VALUE"""),"A")</f>
        <v>A</v>
      </c>
      <c r="H72" s="50" t="str">
        <f>IFERROR(__xludf.DUMMYFUNCTION("""COMPUTED_VALUE"""),"A")</f>
        <v>A</v>
      </c>
    </row>
    <row r="73">
      <c r="A73" s="7" t="str">
        <f>IFERROR(__xludf.DUMMYFUNCTION("""COMPUTED_VALUE"""),"F250002")</f>
        <v>F250002</v>
      </c>
      <c r="B73" s="7" t="str">
        <f>IFERROR(__xludf.DUMMYFUNCTION("""COMPUTED_VALUE"""),"Unaysah")</f>
        <v>Unaysah</v>
      </c>
      <c r="C73" s="7" t="str">
        <f>IFERROR(__xludf.DUMMYFUNCTION("""COMPUTED_VALUE"""),"IL Putri")</f>
        <v>IL Putri</v>
      </c>
      <c r="D73" s="50" t="str">
        <f>IFERROR(__xludf.DUMMYFUNCTION("""COMPUTED_VALUE"""),"A")</f>
        <v>A</v>
      </c>
      <c r="E73" s="50" t="str">
        <f>IFERROR(__xludf.DUMMYFUNCTION("""COMPUTED_VALUE"""),"A")</f>
        <v>A</v>
      </c>
      <c r="F73" s="50" t="str">
        <f>IFERROR(__xludf.DUMMYFUNCTION("""COMPUTED_VALUE"""),"A")</f>
        <v>A</v>
      </c>
      <c r="G73" s="50" t="str">
        <f>IFERROR(__xludf.DUMMYFUNCTION("""COMPUTED_VALUE"""),"A")</f>
        <v>A</v>
      </c>
      <c r="H73" s="50" t="str">
        <f>IFERROR(__xludf.DUMMYFUNCTION("""COMPUTED_VALUE"""),"A")</f>
        <v>A</v>
      </c>
    </row>
    <row r="74">
      <c r="A74" s="7" t="str">
        <f>IFERROR(__xludf.DUMMYFUNCTION("""COMPUTED_VALUE"""),"A250082")</f>
        <v>A250082</v>
      </c>
      <c r="B74" s="7" t="str">
        <f>IFERROR(__xludf.DUMMYFUNCTION("""COMPUTED_VALUE"""),"URWATULWUTSQO")</f>
        <v>URWATULWUTSQO</v>
      </c>
      <c r="C74" s="7" t="str">
        <f>IFERROR(__xludf.DUMMYFUNCTION("""COMPUTED_VALUE"""),"MTs Putra")</f>
        <v>MTs Putra</v>
      </c>
      <c r="D74" s="50" t="str">
        <f>IFERROR(__xludf.DUMMYFUNCTION("""COMPUTED_VALUE"""),"A")</f>
        <v>A</v>
      </c>
      <c r="E74" s="50" t="str">
        <f>IFERROR(__xludf.DUMMYFUNCTION("""COMPUTED_VALUE"""),"A")</f>
        <v>A</v>
      </c>
      <c r="F74" s="50" t="str">
        <f>IFERROR(__xludf.DUMMYFUNCTION("""COMPUTED_VALUE"""),"A")</f>
        <v>A</v>
      </c>
      <c r="G74" s="50" t="str">
        <f>IFERROR(__xludf.DUMMYFUNCTION("""COMPUTED_VALUE"""),"A")</f>
        <v>A</v>
      </c>
      <c r="H74" s="50" t="str">
        <f>IFERROR(__xludf.DUMMYFUNCTION("""COMPUTED_VALUE"""),"A")</f>
        <v>A</v>
      </c>
    </row>
    <row r="75">
      <c r="A75" s="7" t="str">
        <f>IFERROR(__xludf.DUMMYFUNCTION("""COMPUTED_VALUE"""),"B250028")</f>
        <v>B250028</v>
      </c>
      <c r="B75" s="7" t="str">
        <f>IFERROR(__xludf.DUMMYFUNCTION("""COMPUTED_VALUE"""),"Bisma adhi saputra")</f>
        <v>Bisma adhi saputra</v>
      </c>
      <c r="C75" s="7" t="str">
        <f>IFERROR(__xludf.DUMMYFUNCTION("""COMPUTED_VALUE"""),"IL Putra")</f>
        <v>IL Putra</v>
      </c>
      <c r="D75" s="50" t="str">
        <f>IFERROR(__xludf.DUMMYFUNCTION("""COMPUTED_VALUE"""),"A")</f>
        <v>A</v>
      </c>
      <c r="E75" s="50" t="str">
        <f>IFERROR(__xludf.DUMMYFUNCTION("""COMPUTED_VALUE"""),"C")</f>
        <v>C</v>
      </c>
      <c r="F75" s="50" t="str">
        <f>IFERROR(__xludf.DUMMYFUNCTION("""COMPUTED_VALUE"""),"A")</f>
        <v>A</v>
      </c>
      <c r="G75" s="50" t="str">
        <f>IFERROR(__xludf.DUMMYFUNCTION("""COMPUTED_VALUE"""),"B")</f>
        <v>B</v>
      </c>
      <c r="H75" s="50" t="str">
        <f>IFERROR(__xludf.DUMMYFUNCTION("""COMPUTED_VALUE"""),"A")</f>
        <v>A</v>
      </c>
    </row>
    <row r="76">
      <c r="A76" s="7" t="str">
        <f>IFERROR(__xludf.DUMMYFUNCTION("""COMPUTED_VALUE"""),"E250009")</f>
        <v>E250009</v>
      </c>
      <c r="B76" s="7" t="str">
        <f>IFERROR(__xludf.DUMMYFUNCTION("""COMPUTED_VALUE"""),"Najla ulfa")</f>
        <v>Najla ulfa</v>
      </c>
      <c r="C76" s="7" t="str">
        <f>IFERROR(__xludf.DUMMYFUNCTION("""COMPUTED_VALUE"""),"IL Putri")</f>
        <v>IL Putri</v>
      </c>
      <c r="D76" s="50" t="str">
        <f>IFERROR(__xludf.DUMMYFUNCTION("""COMPUTED_VALUE"""),"A")</f>
        <v>A</v>
      </c>
      <c r="E76" s="50" t="str">
        <f>IFERROR(__xludf.DUMMYFUNCTION("""COMPUTED_VALUE"""),"B")</f>
        <v>B</v>
      </c>
      <c r="F76" s="50" t="str">
        <f>IFERROR(__xludf.DUMMYFUNCTION("""COMPUTED_VALUE"""),"A")</f>
        <v>A</v>
      </c>
      <c r="G76" s="50" t="str">
        <f>IFERROR(__xludf.DUMMYFUNCTION("""COMPUTED_VALUE"""),"A")</f>
        <v>A</v>
      </c>
      <c r="H76" s="50" t="str">
        <f>IFERROR(__xludf.DUMMYFUNCTION("""COMPUTED_VALUE"""),"A")</f>
        <v>A</v>
      </c>
    </row>
    <row r="77">
      <c r="A77" s="7" t="str">
        <f>IFERROR(__xludf.DUMMYFUNCTION("""COMPUTED_VALUE"""),"A250084")</f>
        <v>A250084</v>
      </c>
      <c r="B77" s="7" t="str">
        <f>IFERROR(__xludf.DUMMYFUNCTION("""COMPUTED_VALUE"""),"Rifqi Fathurrohman")</f>
        <v>Rifqi Fathurrohman</v>
      </c>
      <c r="C77" s="7" t="str">
        <f>IFERROR(__xludf.DUMMYFUNCTION("""COMPUTED_VALUE"""),"MTs Putra")</f>
        <v>MTs Putra</v>
      </c>
      <c r="D77" s="50" t="str">
        <f>IFERROR(__xludf.DUMMYFUNCTION("""COMPUTED_VALUE"""),"A")</f>
        <v>A</v>
      </c>
      <c r="E77" s="50" t="str">
        <f>IFERROR(__xludf.DUMMYFUNCTION("""COMPUTED_VALUE"""),"A")</f>
        <v>A</v>
      </c>
      <c r="F77" s="50" t="str">
        <f>IFERROR(__xludf.DUMMYFUNCTION("""COMPUTED_VALUE"""),"A")</f>
        <v>A</v>
      </c>
      <c r="G77" s="50" t="str">
        <f>IFERROR(__xludf.DUMMYFUNCTION("""COMPUTED_VALUE"""),"A")</f>
        <v>A</v>
      </c>
      <c r="H77" s="50" t="str">
        <f>IFERROR(__xludf.DUMMYFUNCTION("""COMPUTED_VALUE"""),"A")</f>
        <v>A</v>
      </c>
    </row>
    <row r="78">
      <c r="A78" s="7" t="str">
        <f>IFERROR(__xludf.DUMMYFUNCTION("""COMPUTED_VALUE"""),"D250031")</f>
        <v>D250031</v>
      </c>
      <c r="B78" s="7" t="str">
        <f>IFERROR(__xludf.DUMMYFUNCTION("""COMPUTED_VALUE"""),"Zihan Muzainah Zein ")</f>
        <v>Zihan Muzainah Zein </v>
      </c>
      <c r="C78" s="7" t="str">
        <f>IFERROR(__xludf.DUMMYFUNCTION("""COMPUTED_VALUE"""),"MTs Putri")</f>
        <v>MTs Putri</v>
      </c>
      <c r="D78" s="50" t="str">
        <f>IFERROR(__xludf.DUMMYFUNCTION("""COMPUTED_VALUE"""),"A")</f>
        <v>A</v>
      </c>
      <c r="E78" s="50" t="str">
        <f>IFERROR(__xludf.DUMMYFUNCTION("""COMPUTED_VALUE"""),"A")</f>
        <v>A</v>
      </c>
      <c r="F78" s="50" t="str">
        <f>IFERROR(__xludf.DUMMYFUNCTION("""COMPUTED_VALUE"""),"A")</f>
        <v>A</v>
      </c>
      <c r="G78" s="50" t="str">
        <f>IFERROR(__xludf.DUMMYFUNCTION("""COMPUTED_VALUE"""),"A")</f>
        <v>A</v>
      </c>
      <c r="H78" s="50" t="str">
        <f>IFERROR(__xludf.DUMMYFUNCTION("""COMPUTED_VALUE"""),"A")</f>
        <v>A</v>
      </c>
    </row>
    <row r="79">
      <c r="A79" s="7" t="str">
        <f>IFERROR(__xludf.DUMMYFUNCTION("""COMPUTED_VALUE"""),"A250026")</f>
        <v>A250026</v>
      </c>
      <c r="B79" s="7" t="str">
        <f>IFERROR(__xludf.DUMMYFUNCTION("""COMPUTED_VALUE"""),"Faruq Ahmad Asy-Syirbuni")</f>
        <v>Faruq Ahmad Asy-Syirbuni</v>
      </c>
      <c r="C79" s="7" t="str">
        <f>IFERROR(__xludf.DUMMYFUNCTION("""COMPUTED_VALUE"""),"MTs Putra")</f>
        <v>MTs Putra</v>
      </c>
      <c r="D79" s="50" t="str">
        <f>IFERROR(__xludf.DUMMYFUNCTION("""COMPUTED_VALUE"""),"A")</f>
        <v>A</v>
      </c>
      <c r="E79" s="50" t="str">
        <f>IFERROR(__xludf.DUMMYFUNCTION("""COMPUTED_VALUE"""),"B")</f>
        <v>B</v>
      </c>
      <c r="F79" s="50" t="str">
        <f>IFERROR(__xludf.DUMMYFUNCTION("""COMPUTED_VALUE"""),"A")</f>
        <v>A</v>
      </c>
      <c r="G79" s="50" t="str">
        <f>IFERROR(__xludf.DUMMYFUNCTION("""COMPUTED_VALUE"""),"A")</f>
        <v>A</v>
      </c>
      <c r="H79" s="50" t="str">
        <f>IFERROR(__xludf.DUMMYFUNCTION("""COMPUTED_VALUE"""),"A")</f>
        <v>A</v>
      </c>
    </row>
    <row r="80">
      <c r="A80" s="7" t="str">
        <f>IFERROR(__xludf.DUMMYFUNCTION("""COMPUTED_VALUE"""),"F250003")</f>
        <v>F250003</v>
      </c>
      <c r="B80" s="7" t="str">
        <f>IFERROR(__xludf.DUMMYFUNCTION("""COMPUTED_VALUE"""),"Nidaul Husna ")</f>
        <v>Nidaul Husna </v>
      </c>
      <c r="C80" s="7" t="str">
        <f>IFERROR(__xludf.DUMMYFUNCTION("""COMPUTED_VALUE"""),"IL Putri")</f>
        <v>IL Putri</v>
      </c>
      <c r="D80" s="50" t="str">
        <f>IFERROR(__xludf.DUMMYFUNCTION("""COMPUTED_VALUE"""),"A")</f>
        <v>A</v>
      </c>
      <c r="E80" s="50" t="str">
        <f>IFERROR(__xludf.DUMMYFUNCTION("""COMPUTED_VALUE"""),"B")</f>
        <v>B</v>
      </c>
      <c r="F80" s="50" t="str">
        <f>IFERROR(__xludf.DUMMYFUNCTION("""COMPUTED_VALUE"""),"A")</f>
        <v>A</v>
      </c>
      <c r="G80" s="50" t="str">
        <f>IFERROR(__xludf.DUMMYFUNCTION("""COMPUTED_VALUE"""),"A")</f>
        <v>A</v>
      </c>
      <c r="H80" s="50" t="str">
        <f>IFERROR(__xludf.DUMMYFUNCTION("""COMPUTED_VALUE"""),"A")</f>
        <v>A</v>
      </c>
    </row>
    <row r="81">
      <c r="A81" s="7" t="str">
        <f>IFERROR(__xludf.DUMMYFUNCTION("""COMPUTED_VALUE"""),"D250032")</f>
        <v>D250032</v>
      </c>
      <c r="B81" s="7" t="str">
        <f>IFERROR(__xludf.DUMMYFUNCTION("""COMPUTED_VALUE"""),"Aisah")</f>
        <v>Aisah</v>
      </c>
      <c r="C81" s="7" t="str">
        <f>IFERROR(__xludf.DUMMYFUNCTION("""COMPUTED_VALUE"""),"MTs Putri")</f>
        <v>MTs Putri</v>
      </c>
      <c r="D81" s="50" t="str">
        <f>IFERROR(__xludf.DUMMYFUNCTION("""COMPUTED_VALUE"""),"A")</f>
        <v>A</v>
      </c>
      <c r="E81" s="50" t="str">
        <f>IFERROR(__xludf.DUMMYFUNCTION("""COMPUTED_VALUE"""),"B")</f>
        <v>B</v>
      </c>
      <c r="F81" s="50" t="str">
        <f>IFERROR(__xludf.DUMMYFUNCTION("""COMPUTED_VALUE"""),"A")</f>
        <v>A</v>
      </c>
      <c r="G81" s="50" t="str">
        <f>IFERROR(__xludf.DUMMYFUNCTION("""COMPUTED_VALUE"""),"A")</f>
        <v>A</v>
      </c>
      <c r="H81" s="50" t="str">
        <f>IFERROR(__xludf.DUMMYFUNCTION("""COMPUTED_VALUE"""),"A")</f>
        <v>A</v>
      </c>
    </row>
    <row r="82">
      <c r="A82" s="7" t="str">
        <f>IFERROR(__xludf.DUMMYFUNCTION("""COMPUTED_VALUE"""),"D250035")</f>
        <v>D250035</v>
      </c>
      <c r="B82" s="7" t="str">
        <f>IFERROR(__xludf.DUMMYFUNCTION("""COMPUTED_VALUE"""),"Naisya Ashadiya Rusli")</f>
        <v>Naisya Ashadiya Rusli</v>
      </c>
      <c r="C82" s="7" t="str">
        <f>IFERROR(__xludf.DUMMYFUNCTION("""COMPUTED_VALUE"""),"MTs Putri")</f>
        <v>MTs Putri</v>
      </c>
      <c r="D82" s="50"/>
      <c r="E82" s="50"/>
      <c r="F82" s="50"/>
      <c r="G82" s="50"/>
      <c r="H82" s="50"/>
    </row>
    <row r="83">
      <c r="A83" s="7" t="str">
        <f>IFERROR(__xludf.DUMMYFUNCTION("""COMPUTED_VALUE"""),"D250034")</f>
        <v>D250034</v>
      </c>
      <c r="B83" s="7" t="str">
        <f>IFERROR(__xludf.DUMMYFUNCTION("""COMPUTED_VALUE"""),"Aisha Salma Mutmainnah ")</f>
        <v>Aisha Salma Mutmainnah </v>
      </c>
      <c r="C83" s="7" t="str">
        <f>IFERROR(__xludf.DUMMYFUNCTION("""COMPUTED_VALUE"""),"MTs Putri")</f>
        <v>MTs Putri</v>
      </c>
      <c r="D83" s="50"/>
      <c r="E83" s="50"/>
      <c r="F83" s="50"/>
      <c r="G83" s="50"/>
      <c r="H83" s="50"/>
    </row>
    <row r="84">
      <c r="A84" s="7" t="str">
        <f>IFERROR(__xludf.DUMMYFUNCTION("""COMPUTED_VALUE"""),"D250036")</f>
        <v>D250036</v>
      </c>
      <c r="B84" s="7" t="str">
        <f>IFERROR(__xludf.DUMMYFUNCTION("""COMPUTED_VALUE"""),"Ratu rafifa putri mulyana ")</f>
        <v>Ratu rafifa putri mulyana </v>
      </c>
      <c r="C84" s="7" t="str">
        <f>IFERROR(__xludf.DUMMYFUNCTION("""COMPUTED_VALUE"""),"MTs Putri")</f>
        <v>MTs Putri</v>
      </c>
      <c r="D84" s="50"/>
      <c r="E84" s="50"/>
      <c r="F84" s="50"/>
      <c r="G84" s="50"/>
      <c r="H84" s="50"/>
    </row>
    <row r="85">
      <c r="D85" s="50"/>
      <c r="E85" s="50"/>
      <c r="F85" s="50"/>
      <c r="G85" s="50"/>
      <c r="H85" s="50"/>
    </row>
    <row r="86">
      <c r="D86" s="50"/>
      <c r="E86" s="50"/>
      <c r="F86" s="50"/>
      <c r="G86" s="50"/>
      <c r="H86" s="50"/>
    </row>
    <row r="87">
      <c r="D87" s="50"/>
      <c r="E87" s="50"/>
      <c r="F87" s="50"/>
      <c r="G87" s="50"/>
      <c r="H87" s="50"/>
    </row>
    <row r="88">
      <c r="D88" s="50"/>
      <c r="E88" s="50"/>
      <c r="F88" s="50"/>
      <c r="G88" s="50"/>
      <c r="H88" s="50"/>
    </row>
    <row r="89">
      <c r="D89" s="50"/>
      <c r="E89" s="50"/>
      <c r="F89" s="50"/>
      <c r="G89" s="50"/>
      <c r="H89" s="50"/>
    </row>
    <row r="90">
      <c r="D90" s="50"/>
      <c r="E90" s="50"/>
      <c r="F90" s="50"/>
      <c r="G90" s="50"/>
      <c r="H90" s="50"/>
    </row>
    <row r="91">
      <c r="D91" s="50"/>
      <c r="E91" s="50"/>
      <c r="F91" s="50"/>
      <c r="G91" s="50"/>
      <c r="H91" s="50"/>
    </row>
    <row r="92">
      <c r="D92" s="50"/>
      <c r="E92" s="50"/>
      <c r="F92" s="50"/>
      <c r="G92" s="50"/>
      <c r="H92" s="50"/>
    </row>
    <row r="93">
      <c r="D93" s="50"/>
      <c r="E93" s="50"/>
      <c r="F93" s="50"/>
      <c r="G93" s="50"/>
      <c r="H93" s="50"/>
    </row>
    <row r="94">
      <c r="D94" s="50"/>
      <c r="E94" s="50"/>
      <c r="F94" s="50"/>
      <c r="G94" s="50"/>
      <c r="H94" s="50"/>
    </row>
    <row r="95">
      <c r="D95" s="50"/>
      <c r="E95" s="50"/>
      <c r="F95" s="50"/>
      <c r="G95" s="50"/>
      <c r="H95" s="50"/>
    </row>
    <row r="96">
      <c r="D96" s="50"/>
      <c r="E96" s="50"/>
      <c r="F96" s="50"/>
      <c r="G96" s="50"/>
      <c r="H96" s="50"/>
    </row>
    <row r="97">
      <c r="D97" s="50"/>
      <c r="E97" s="50"/>
      <c r="F97" s="50"/>
      <c r="G97" s="50"/>
      <c r="H97" s="50"/>
    </row>
    <row r="98">
      <c r="D98" s="50"/>
      <c r="E98" s="50"/>
      <c r="F98" s="50"/>
      <c r="G98" s="50"/>
      <c r="H98" s="50"/>
    </row>
    <row r="99">
      <c r="D99" s="50"/>
      <c r="E99" s="50"/>
      <c r="F99" s="50"/>
      <c r="G99" s="50"/>
      <c r="H99" s="50"/>
    </row>
    <row r="100">
      <c r="D100" s="50"/>
      <c r="E100" s="50"/>
      <c r="F100" s="50"/>
      <c r="G100" s="50"/>
      <c r="H100" s="50"/>
    </row>
    <row r="101">
      <c r="D101" s="50"/>
      <c r="E101" s="50"/>
      <c r="F101" s="50"/>
      <c r="G101" s="50"/>
      <c r="H101" s="50"/>
    </row>
    <row r="102">
      <c r="D102" s="50"/>
      <c r="E102" s="50"/>
      <c r="F102" s="50"/>
      <c r="G102" s="50"/>
      <c r="H102" s="50"/>
    </row>
    <row r="103">
      <c r="D103" s="50"/>
      <c r="E103" s="50"/>
      <c r="F103" s="50"/>
      <c r="G103" s="50"/>
      <c r="H103" s="50"/>
    </row>
    <row r="104">
      <c r="D104" s="50"/>
      <c r="E104" s="50"/>
      <c r="F104" s="50"/>
      <c r="G104" s="50"/>
      <c r="H104" s="50"/>
    </row>
    <row r="105">
      <c r="D105" s="50"/>
      <c r="E105" s="50"/>
      <c r="F105" s="50"/>
      <c r="G105" s="50"/>
      <c r="H105" s="50"/>
    </row>
    <row r="106">
      <c r="D106" s="50"/>
      <c r="E106" s="50"/>
      <c r="F106" s="50"/>
      <c r="G106" s="50"/>
      <c r="H106" s="50"/>
    </row>
    <row r="107">
      <c r="D107" s="50"/>
      <c r="E107" s="50"/>
      <c r="F107" s="50"/>
      <c r="G107" s="50"/>
      <c r="H107" s="50"/>
    </row>
    <row r="108">
      <c r="D108" s="50"/>
      <c r="E108" s="50"/>
      <c r="F108" s="50"/>
      <c r="G108" s="50"/>
      <c r="H108" s="50"/>
    </row>
    <row r="109">
      <c r="D109" s="50"/>
      <c r="E109" s="50"/>
      <c r="F109" s="50"/>
      <c r="G109" s="50"/>
      <c r="H109" s="50"/>
    </row>
    <row r="110">
      <c r="D110" s="50"/>
      <c r="E110" s="50"/>
      <c r="F110" s="50"/>
      <c r="G110" s="50"/>
      <c r="H110" s="50"/>
    </row>
    <row r="111">
      <c r="D111" s="50"/>
      <c r="E111" s="50"/>
      <c r="F111" s="50"/>
      <c r="G111" s="50"/>
      <c r="H111" s="50"/>
    </row>
    <row r="112">
      <c r="D112" s="50"/>
      <c r="E112" s="50"/>
      <c r="F112" s="50"/>
      <c r="G112" s="50"/>
      <c r="H112" s="50"/>
    </row>
    <row r="113">
      <c r="D113" s="50"/>
      <c r="E113" s="50"/>
      <c r="F113" s="50"/>
      <c r="G113" s="50"/>
      <c r="H113" s="50"/>
    </row>
    <row r="114">
      <c r="D114" s="50"/>
      <c r="E114" s="50"/>
      <c r="F114" s="50"/>
      <c r="G114" s="50"/>
      <c r="H114" s="50"/>
    </row>
    <row r="115">
      <c r="D115" s="50"/>
      <c r="E115" s="50"/>
      <c r="F115" s="50"/>
      <c r="G115" s="50"/>
      <c r="H115" s="50"/>
    </row>
    <row r="116">
      <c r="D116" s="50"/>
      <c r="E116" s="50"/>
      <c r="F116" s="50"/>
      <c r="G116" s="50"/>
      <c r="H116" s="50"/>
    </row>
    <row r="117">
      <c r="D117" s="50"/>
      <c r="E117" s="50"/>
      <c r="F117" s="50"/>
      <c r="G117" s="50"/>
      <c r="H117" s="50"/>
    </row>
    <row r="118">
      <c r="D118" s="50"/>
      <c r="E118" s="50"/>
      <c r="F118" s="50"/>
      <c r="G118" s="50"/>
      <c r="H118" s="50"/>
    </row>
    <row r="119">
      <c r="D119" s="50"/>
      <c r="E119" s="50"/>
      <c r="F119" s="50"/>
      <c r="G119" s="50"/>
      <c r="H119" s="50"/>
    </row>
    <row r="120">
      <c r="D120" s="50"/>
      <c r="E120" s="50"/>
      <c r="F120" s="50"/>
      <c r="G120" s="50"/>
      <c r="H120" s="50"/>
    </row>
    <row r="121">
      <c r="D121" s="50"/>
      <c r="E121" s="50"/>
      <c r="F121" s="50"/>
      <c r="G121" s="50"/>
      <c r="H121" s="50"/>
    </row>
    <row r="122">
      <c r="D122" s="50"/>
      <c r="E122" s="50"/>
      <c r="F122" s="50"/>
      <c r="G122" s="50"/>
      <c r="H122" s="50"/>
    </row>
    <row r="123">
      <c r="D123" s="50"/>
      <c r="E123" s="50"/>
      <c r="F123" s="50"/>
      <c r="G123" s="50"/>
      <c r="H123" s="50"/>
    </row>
    <row r="124">
      <c r="D124" s="50"/>
      <c r="E124" s="50"/>
      <c r="F124" s="50"/>
      <c r="G124" s="50"/>
      <c r="H124" s="50"/>
    </row>
    <row r="125">
      <c r="D125" s="50"/>
      <c r="E125" s="50"/>
      <c r="F125" s="50"/>
      <c r="G125" s="50"/>
      <c r="H125" s="50"/>
    </row>
    <row r="126">
      <c r="D126" s="50"/>
      <c r="E126" s="50"/>
      <c r="F126" s="50"/>
      <c r="G126" s="50"/>
      <c r="H126" s="50"/>
    </row>
    <row r="127">
      <c r="D127" s="50"/>
      <c r="E127" s="50"/>
      <c r="F127" s="50"/>
      <c r="G127" s="50"/>
      <c r="H127" s="50"/>
    </row>
    <row r="128">
      <c r="D128" s="50"/>
      <c r="E128" s="50"/>
      <c r="F128" s="50"/>
      <c r="G128" s="50"/>
      <c r="H128" s="50"/>
    </row>
    <row r="129">
      <c r="D129" s="50"/>
      <c r="E129" s="50"/>
      <c r="F129" s="50"/>
      <c r="G129" s="50"/>
      <c r="H129" s="50"/>
    </row>
    <row r="130">
      <c r="D130" s="50"/>
      <c r="E130" s="50"/>
      <c r="F130" s="50"/>
      <c r="G130" s="50"/>
      <c r="H130" s="50"/>
    </row>
    <row r="131">
      <c r="D131" s="50"/>
      <c r="E131" s="50"/>
      <c r="F131" s="50"/>
      <c r="G131" s="50"/>
      <c r="H131" s="50"/>
    </row>
    <row r="132">
      <c r="D132" s="50"/>
      <c r="E132" s="50"/>
      <c r="F132" s="50"/>
      <c r="G132" s="50"/>
      <c r="H132" s="50"/>
    </row>
    <row r="133">
      <c r="D133" s="50"/>
      <c r="E133" s="50"/>
      <c r="F133" s="50"/>
      <c r="G133" s="50"/>
      <c r="H133" s="50"/>
    </row>
    <row r="134">
      <c r="D134" s="50"/>
      <c r="E134" s="50"/>
      <c r="F134" s="50"/>
      <c r="G134" s="50"/>
      <c r="H134" s="50"/>
    </row>
    <row r="135">
      <c r="D135" s="50"/>
      <c r="E135" s="50"/>
      <c r="F135" s="50"/>
      <c r="G135" s="50"/>
      <c r="H135" s="50"/>
    </row>
    <row r="136">
      <c r="D136" s="50"/>
      <c r="E136" s="50"/>
      <c r="F136" s="50"/>
      <c r="G136" s="50"/>
      <c r="H136" s="50"/>
    </row>
    <row r="137">
      <c r="D137" s="50"/>
      <c r="E137" s="50"/>
      <c r="F137" s="50"/>
      <c r="G137" s="50"/>
      <c r="H137" s="50"/>
    </row>
    <row r="138">
      <c r="D138" s="50"/>
      <c r="E138" s="50"/>
      <c r="F138" s="50"/>
      <c r="G138" s="50"/>
      <c r="H138" s="50"/>
    </row>
    <row r="139">
      <c r="D139" s="50"/>
      <c r="E139" s="50"/>
      <c r="F139" s="50"/>
      <c r="G139" s="50"/>
      <c r="H139" s="50"/>
    </row>
    <row r="140">
      <c r="D140" s="50"/>
      <c r="E140" s="50"/>
      <c r="F140" s="50"/>
      <c r="G140" s="50"/>
      <c r="H140" s="50"/>
    </row>
    <row r="141">
      <c r="D141" s="50"/>
      <c r="E141" s="50"/>
      <c r="F141" s="50"/>
      <c r="G141" s="50"/>
      <c r="H141" s="50"/>
    </row>
    <row r="142">
      <c r="D142" s="50"/>
      <c r="E142" s="50"/>
      <c r="F142" s="50"/>
      <c r="G142" s="50"/>
      <c r="H142" s="50"/>
    </row>
    <row r="143">
      <c r="D143" s="50"/>
      <c r="E143" s="50"/>
      <c r="F143" s="50"/>
      <c r="G143" s="50"/>
      <c r="H143" s="50"/>
    </row>
    <row r="144">
      <c r="D144" s="50"/>
      <c r="E144" s="50"/>
      <c r="F144" s="50"/>
      <c r="G144" s="50"/>
      <c r="H144" s="50"/>
    </row>
    <row r="145">
      <c r="D145" s="50"/>
      <c r="E145" s="50"/>
      <c r="F145" s="50"/>
      <c r="G145" s="50"/>
      <c r="H145" s="50"/>
    </row>
    <row r="146">
      <c r="D146" s="50"/>
      <c r="E146" s="50"/>
      <c r="F146" s="50"/>
      <c r="G146" s="50"/>
      <c r="H146" s="50"/>
    </row>
    <row r="147">
      <c r="D147" s="50"/>
      <c r="E147" s="50"/>
      <c r="F147" s="50"/>
      <c r="G147" s="50"/>
      <c r="H147" s="50"/>
    </row>
    <row r="148">
      <c r="D148" s="50"/>
      <c r="E148" s="50"/>
      <c r="F148" s="50"/>
      <c r="G148" s="50"/>
      <c r="H148" s="50"/>
    </row>
    <row r="149">
      <c r="D149" s="50"/>
      <c r="E149" s="50"/>
      <c r="F149" s="50"/>
      <c r="G149" s="50"/>
      <c r="H149" s="50"/>
    </row>
    <row r="150">
      <c r="D150" s="50"/>
      <c r="E150" s="50"/>
      <c r="F150" s="50"/>
      <c r="G150" s="50"/>
      <c r="H150" s="50"/>
    </row>
    <row r="151">
      <c r="D151" s="50"/>
      <c r="E151" s="50"/>
      <c r="F151" s="50"/>
      <c r="G151" s="50"/>
      <c r="H151" s="50"/>
    </row>
    <row r="152">
      <c r="D152" s="50"/>
      <c r="E152" s="50"/>
      <c r="F152" s="50"/>
      <c r="G152" s="50"/>
      <c r="H152" s="50"/>
    </row>
    <row r="153">
      <c r="D153" s="50"/>
      <c r="E153" s="50"/>
      <c r="F153" s="50"/>
      <c r="G153" s="50"/>
      <c r="H153" s="50"/>
    </row>
    <row r="154">
      <c r="D154" s="50"/>
      <c r="E154" s="50"/>
      <c r="F154" s="50"/>
      <c r="G154" s="50"/>
      <c r="H154" s="50"/>
    </row>
    <row r="155">
      <c r="D155" s="50"/>
      <c r="E155" s="50"/>
      <c r="F155" s="50"/>
      <c r="G155" s="50"/>
      <c r="H155" s="50"/>
    </row>
    <row r="156">
      <c r="D156" s="50"/>
      <c r="E156" s="50"/>
      <c r="F156" s="50"/>
      <c r="G156" s="50"/>
      <c r="H156" s="50"/>
    </row>
    <row r="157">
      <c r="D157" s="50"/>
      <c r="E157" s="50"/>
      <c r="F157" s="50"/>
      <c r="G157" s="50"/>
      <c r="H157" s="50"/>
    </row>
    <row r="158">
      <c r="D158" s="50"/>
      <c r="E158" s="50"/>
      <c r="F158" s="50"/>
      <c r="G158" s="50"/>
      <c r="H158" s="50"/>
    </row>
    <row r="159">
      <c r="D159" s="50"/>
      <c r="E159" s="50"/>
      <c r="F159" s="50"/>
      <c r="G159" s="50"/>
      <c r="H159" s="50"/>
    </row>
    <row r="160">
      <c r="D160" s="50"/>
      <c r="E160" s="50"/>
      <c r="F160" s="50"/>
      <c r="G160" s="50"/>
      <c r="H160" s="50"/>
    </row>
    <row r="161">
      <c r="D161" s="50"/>
      <c r="E161" s="50"/>
      <c r="F161" s="50"/>
      <c r="G161" s="50"/>
      <c r="H161" s="50"/>
    </row>
    <row r="162">
      <c r="D162" s="50"/>
      <c r="E162" s="50"/>
      <c r="F162" s="50"/>
      <c r="G162" s="50"/>
      <c r="H162" s="50"/>
    </row>
    <row r="163">
      <c r="D163" s="50"/>
      <c r="E163" s="50"/>
      <c r="F163" s="50"/>
      <c r="G163" s="50"/>
      <c r="H163" s="50"/>
    </row>
    <row r="164">
      <c r="D164" s="50"/>
      <c r="E164" s="50"/>
      <c r="F164" s="50"/>
      <c r="G164" s="50"/>
      <c r="H164" s="50"/>
    </row>
    <row r="165">
      <c r="D165" s="50"/>
      <c r="E165" s="50"/>
      <c r="F165" s="50"/>
      <c r="G165" s="50"/>
      <c r="H165" s="50"/>
    </row>
    <row r="166">
      <c r="D166" s="50"/>
      <c r="E166" s="50"/>
      <c r="F166" s="50"/>
      <c r="G166" s="50"/>
      <c r="H166" s="50"/>
    </row>
    <row r="167">
      <c r="D167" s="50"/>
      <c r="E167" s="50"/>
      <c r="F167" s="50"/>
      <c r="G167" s="50"/>
      <c r="H167" s="50"/>
    </row>
    <row r="168">
      <c r="D168" s="50"/>
      <c r="E168" s="50"/>
      <c r="F168" s="50"/>
      <c r="G168" s="50"/>
      <c r="H168" s="50"/>
    </row>
    <row r="169">
      <c r="D169" s="50"/>
      <c r="E169" s="50"/>
      <c r="F169" s="50"/>
      <c r="G169" s="50"/>
      <c r="H169" s="50"/>
    </row>
    <row r="170">
      <c r="D170" s="50"/>
      <c r="E170" s="50"/>
      <c r="F170" s="50"/>
      <c r="G170" s="50"/>
      <c r="H170" s="50"/>
    </row>
    <row r="171">
      <c r="D171" s="50"/>
      <c r="E171" s="50"/>
      <c r="F171" s="50"/>
      <c r="G171" s="50"/>
      <c r="H171" s="50"/>
    </row>
    <row r="172">
      <c r="D172" s="50"/>
      <c r="E172" s="50"/>
      <c r="F172" s="50"/>
      <c r="G172" s="50"/>
      <c r="H172" s="50"/>
    </row>
    <row r="173">
      <c r="D173" s="50"/>
      <c r="E173" s="50"/>
      <c r="F173" s="50"/>
      <c r="G173" s="50"/>
      <c r="H173" s="50"/>
    </row>
    <row r="174">
      <c r="D174" s="50"/>
      <c r="E174" s="50"/>
      <c r="F174" s="50"/>
      <c r="G174" s="50"/>
      <c r="H174" s="50"/>
    </row>
    <row r="175">
      <c r="D175" s="50"/>
      <c r="E175" s="50"/>
      <c r="F175" s="50"/>
      <c r="G175" s="50"/>
      <c r="H175" s="50"/>
    </row>
    <row r="176">
      <c r="D176" s="50"/>
      <c r="E176" s="50"/>
      <c r="F176" s="50"/>
      <c r="G176" s="50"/>
      <c r="H176" s="50"/>
    </row>
    <row r="177">
      <c r="D177" s="50"/>
      <c r="E177" s="50"/>
      <c r="F177" s="50"/>
      <c r="G177" s="50"/>
      <c r="H177" s="50"/>
    </row>
    <row r="178">
      <c r="D178" s="50"/>
      <c r="E178" s="50"/>
      <c r="F178" s="50"/>
      <c r="G178" s="50"/>
      <c r="H178" s="50"/>
    </row>
    <row r="179">
      <c r="D179" s="50"/>
      <c r="E179" s="50"/>
      <c r="F179" s="50"/>
      <c r="G179" s="50"/>
      <c r="H179" s="50"/>
    </row>
    <row r="180">
      <c r="D180" s="50"/>
      <c r="E180" s="50"/>
      <c r="F180" s="50"/>
      <c r="G180" s="50"/>
      <c r="H180" s="50"/>
    </row>
    <row r="181">
      <c r="D181" s="50"/>
      <c r="E181" s="50"/>
      <c r="F181" s="50"/>
      <c r="G181" s="50"/>
      <c r="H181" s="50"/>
    </row>
    <row r="182">
      <c r="D182" s="50"/>
      <c r="E182" s="50"/>
      <c r="F182" s="50"/>
      <c r="G182" s="50"/>
      <c r="H182" s="50"/>
    </row>
    <row r="183">
      <c r="D183" s="50"/>
      <c r="E183" s="50"/>
      <c r="F183" s="50"/>
      <c r="G183" s="50"/>
      <c r="H183" s="50"/>
    </row>
    <row r="184">
      <c r="D184" s="50"/>
      <c r="E184" s="50"/>
      <c r="F184" s="50"/>
      <c r="G184" s="50"/>
      <c r="H184" s="50"/>
    </row>
    <row r="185">
      <c r="D185" s="50"/>
      <c r="E185" s="50"/>
      <c r="F185" s="50"/>
      <c r="G185" s="50"/>
      <c r="H185" s="50"/>
    </row>
    <row r="186">
      <c r="D186" s="50"/>
      <c r="E186" s="50"/>
      <c r="F186" s="50"/>
      <c r="G186" s="50"/>
      <c r="H186" s="50"/>
    </row>
    <row r="187">
      <c r="D187" s="50"/>
      <c r="E187" s="50"/>
      <c r="F187" s="50"/>
      <c r="G187" s="50"/>
      <c r="H187" s="50"/>
    </row>
    <row r="188">
      <c r="D188" s="50"/>
      <c r="E188" s="50"/>
      <c r="F188" s="50"/>
      <c r="G188" s="50"/>
      <c r="H188" s="50"/>
    </row>
    <row r="189">
      <c r="D189" s="50"/>
      <c r="E189" s="50"/>
      <c r="F189" s="50"/>
      <c r="G189" s="50"/>
      <c r="H189" s="50"/>
    </row>
    <row r="190">
      <c r="D190" s="50"/>
      <c r="E190" s="50"/>
      <c r="F190" s="50"/>
      <c r="G190" s="50"/>
      <c r="H190" s="50"/>
    </row>
    <row r="191">
      <c r="D191" s="50"/>
      <c r="E191" s="50"/>
      <c r="F191" s="50"/>
      <c r="G191" s="50"/>
      <c r="H191" s="50"/>
    </row>
    <row r="192">
      <c r="D192" s="50"/>
      <c r="E192" s="50"/>
      <c r="F192" s="50"/>
      <c r="G192" s="50"/>
      <c r="H192" s="50"/>
    </row>
    <row r="193">
      <c r="D193" s="50"/>
      <c r="E193" s="50"/>
      <c r="F193" s="50"/>
      <c r="G193" s="50"/>
      <c r="H193" s="50"/>
    </row>
    <row r="194">
      <c r="D194" s="50"/>
      <c r="E194" s="50"/>
      <c r="F194" s="50"/>
      <c r="G194" s="50"/>
      <c r="H194" s="50"/>
    </row>
    <row r="195">
      <c r="D195" s="50"/>
      <c r="E195" s="50"/>
      <c r="F195" s="50"/>
      <c r="G195" s="50"/>
      <c r="H195" s="50"/>
    </row>
    <row r="196">
      <c r="D196" s="50"/>
      <c r="E196" s="50"/>
      <c r="F196" s="50"/>
      <c r="G196" s="50"/>
      <c r="H196" s="50"/>
    </row>
    <row r="197">
      <c r="D197" s="50"/>
      <c r="E197" s="50"/>
      <c r="F197" s="50"/>
      <c r="G197" s="50"/>
      <c r="H197" s="50"/>
    </row>
    <row r="198">
      <c r="D198" s="50"/>
      <c r="E198" s="50"/>
      <c r="F198" s="50"/>
      <c r="G198" s="50"/>
      <c r="H198" s="50"/>
    </row>
    <row r="199">
      <c r="D199" s="50"/>
      <c r="E199" s="50"/>
      <c r="F199" s="50"/>
      <c r="G199" s="50"/>
      <c r="H199" s="50"/>
    </row>
    <row r="200">
      <c r="D200" s="50"/>
      <c r="E200" s="50"/>
      <c r="F200" s="50"/>
      <c r="G200" s="50"/>
      <c r="H200" s="50"/>
    </row>
    <row r="201">
      <c r="D201" s="50"/>
      <c r="E201" s="50"/>
      <c r="F201" s="50"/>
      <c r="G201" s="50"/>
      <c r="H201" s="50"/>
    </row>
    <row r="202">
      <c r="D202" s="50"/>
      <c r="E202" s="50"/>
      <c r="F202" s="50"/>
      <c r="G202" s="50"/>
      <c r="H202" s="50"/>
    </row>
    <row r="203">
      <c r="D203" s="50"/>
      <c r="E203" s="50"/>
      <c r="F203" s="50"/>
      <c r="G203" s="50"/>
      <c r="H203" s="50"/>
    </row>
    <row r="204">
      <c r="D204" s="50"/>
      <c r="E204" s="50"/>
      <c r="F204" s="50"/>
      <c r="G204" s="50"/>
      <c r="H204" s="50"/>
    </row>
    <row r="205">
      <c r="D205" s="50"/>
      <c r="E205" s="50"/>
      <c r="F205" s="50"/>
      <c r="G205" s="50"/>
      <c r="H205" s="50"/>
    </row>
    <row r="206">
      <c r="D206" s="50"/>
      <c r="E206" s="50"/>
      <c r="F206" s="50"/>
      <c r="G206" s="50"/>
      <c r="H206" s="50"/>
    </row>
    <row r="207">
      <c r="D207" s="50"/>
      <c r="E207" s="50"/>
      <c r="F207" s="50"/>
      <c r="G207" s="50"/>
      <c r="H207" s="50"/>
    </row>
    <row r="208">
      <c r="D208" s="50"/>
      <c r="E208" s="50"/>
      <c r="F208" s="50"/>
      <c r="G208" s="50"/>
      <c r="H208" s="50"/>
    </row>
    <row r="209">
      <c r="D209" s="50"/>
      <c r="E209" s="50"/>
      <c r="F209" s="50"/>
      <c r="G209" s="50"/>
      <c r="H209" s="50"/>
    </row>
    <row r="210">
      <c r="D210" s="50"/>
      <c r="E210" s="50"/>
      <c r="F210" s="50"/>
      <c r="G210" s="50"/>
      <c r="H210" s="50"/>
    </row>
    <row r="211">
      <c r="D211" s="50"/>
      <c r="E211" s="50"/>
      <c r="F211" s="50"/>
      <c r="G211" s="50"/>
      <c r="H211" s="50"/>
    </row>
    <row r="212">
      <c r="D212" s="50"/>
      <c r="E212" s="50"/>
      <c r="F212" s="50"/>
      <c r="G212" s="50"/>
      <c r="H212" s="50"/>
    </row>
    <row r="213">
      <c r="D213" s="50"/>
      <c r="E213" s="50"/>
      <c r="F213" s="50"/>
      <c r="G213" s="50"/>
      <c r="H213" s="50"/>
    </row>
    <row r="214">
      <c r="D214" s="50"/>
      <c r="E214" s="50"/>
      <c r="F214" s="50"/>
      <c r="G214" s="50"/>
      <c r="H214" s="50"/>
    </row>
    <row r="215">
      <c r="D215" s="50"/>
      <c r="E215" s="50"/>
      <c r="F215" s="50"/>
      <c r="G215" s="50"/>
      <c r="H215" s="50"/>
    </row>
    <row r="216">
      <c r="D216" s="50"/>
      <c r="E216" s="50"/>
      <c r="F216" s="50"/>
      <c r="G216" s="50"/>
      <c r="H216" s="50"/>
    </row>
    <row r="217">
      <c r="D217" s="50"/>
      <c r="E217" s="50"/>
      <c r="F217" s="50"/>
      <c r="G217" s="50"/>
      <c r="H217" s="50"/>
    </row>
    <row r="218">
      <c r="D218" s="50"/>
      <c r="E218" s="50"/>
      <c r="F218" s="50"/>
      <c r="G218" s="50"/>
      <c r="H218" s="50"/>
    </row>
    <row r="219">
      <c r="D219" s="50"/>
      <c r="E219" s="50"/>
      <c r="F219" s="50"/>
      <c r="G219" s="50"/>
      <c r="H219" s="50"/>
    </row>
    <row r="220">
      <c r="D220" s="50"/>
      <c r="E220" s="50"/>
      <c r="F220" s="50"/>
      <c r="G220" s="50"/>
      <c r="H220" s="50"/>
    </row>
    <row r="221">
      <c r="D221" s="50"/>
      <c r="E221" s="50"/>
      <c r="F221" s="50"/>
      <c r="G221" s="50"/>
      <c r="H221" s="50"/>
    </row>
    <row r="222">
      <c r="D222" s="50"/>
      <c r="E222" s="50"/>
      <c r="F222" s="50"/>
      <c r="G222" s="50"/>
      <c r="H222" s="50"/>
    </row>
    <row r="223">
      <c r="D223" s="50"/>
      <c r="E223" s="50"/>
      <c r="F223" s="50"/>
      <c r="G223" s="50"/>
      <c r="H223" s="50"/>
    </row>
    <row r="224">
      <c r="D224" s="50"/>
      <c r="E224" s="50"/>
      <c r="F224" s="50"/>
      <c r="G224" s="50"/>
      <c r="H224" s="50"/>
    </row>
    <row r="225">
      <c r="D225" s="50"/>
      <c r="E225" s="50"/>
      <c r="F225" s="50"/>
      <c r="G225" s="50"/>
      <c r="H225" s="50"/>
    </row>
    <row r="226">
      <c r="D226" s="50"/>
      <c r="E226" s="50"/>
      <c r="F226" s="50"/>
      <c r="G226" s="50"/>
      <c r="H226" s="50"/>
    </row>
    <row r="227">
      <c r="D227" s="50"/>
      <c r="E227" s="50"/>
      <c r="F227" s="50"/>
      <c r="G227" s="50"/>
      <c r="H227" s="50"/>
    </row>
    <row r="228">
      <c r="D228" s="50"/>
      <c r="E228" s="50"/>
      <c r="F228" s="50"/>
      <c r="G228" s="50"/>
      <c r="H228" s="50"/>
    </row>
    <row r="229">
      <c r="D229" s="50"/>
      <c r="E229" s="50"/>
      <c r="F229" s="50"/>
      <c r="G229" s="50"/>
      <c r="H229" s="50"/>
    </row>
    <row r="230">
      <c r="D230" s="50"/>
      <c r="E230" s="50"/>
      <c r="F230" s="50"/>
      <c r="G230" s="50"/>
      <c r="H230" s="50"/>
    </row>
    <row r="231">
      <c r="D231" s="50"/>
      <c r="E231" s="50"/>
      <c r="F231" s="50"/>
      <c r="G231" s="50"/>
      <c r="H231" s="50"/>
    </row>
    <row r="232">
      <c r="D232" s="50"/>
      <c r="E232" s="50"/>
      <c r="F232" s="50"/>
      <c r="G232" s="50"/>
      <c r="H232" s="50"/>
    </row>
    <row r="233">
      <c r="D233" s="50"/>
      <c r="E233" s="50"/>
      <c r="F233" s="50"/>
      <c r="G233" s="50"/>
      <c r="H233" s="50"/>
    </row>
    <row r="234">
      <c r="D234" s="50"/>
      <c r="E234" s="50"/>
      <c r="F234" s="50"/>
      <c r="G234" s="50"/>
      <c r="H234" s="50"/>
    </row>
    <row r="235">
      <c r="D235" s="50"/>
      <c r="E235" s="50"/>
      <c r="F235" s="50"/>
      <c r="G235" s="50"/>
      <c r="H235" s="50"/>
    </row>
    <row r="236">
      <c r="D236" s="50"/>
      <c r="E236" s="50"/>
      <c r="F236" s="50"/>
      <c r="G236" s="50"/>
      <c r="H236" s="50"/>
    </row>
    <row r="237">
      <c r="D237" s="50"/>
      <c r="E237" s="50"/>
      <c r="F237" s="50"/>
      <c r="G237" s="50"/>
      <c r="H237" s="50"/>
    </row>
    <row r="238">
      <c r="D238" s="50"/>
      <c r="E238" s="50"/>
      <c r="F238" s="50"/>
      <c r="G238" s="50"/>
      <c r="H238" s="50"/>
    </row>
    <row r="239">
      <c r="D239" s="50"/>
      <c r="E239" s="50"/>
      <c r="F239" s="50"/>
      <c r="G239" s="50"/>
      <c r="H239" s="50"/>
    </row>
    <row r="240">
      <c r="D240" s="50"/>
      <c r="E240" s="50"/>
      <c r="F240" s="50"/>
      <c r="G240" s="50"/>
      <c r="H240" s="50"/>
    </row>
    <row r="241">
      <c r="D241" s="50"/>
      <c r="E241" s="50"/>
      <c r="F241" s="50"/>
      <c r="G241" s="50"/>
      <c r="H241" s="50"/>
    </row>
    <row r="242">
      <c r="D242" s="50"/>
      <c r="E242" s="50"/>
      <c r="F242" s="50"/>
      <c r="G242" s="50"/>
      <c r="H242" s="50"/>
    </row>
    <row r="243">
      <c r="D243" s="50"/>
      <c r="E243" s="50"/>
      <c r="F243" s="50"/>
      <c r="G243" s="50"/>
      <c r="H243" s="50"/>
    </row>
    <row r="244">
      <c r="D244" s="50"/>
      <c r="E244" s="50"/>
      <c r="F244" s="50"/>
      <c r="G244" s="50"/>
      <c r="H244" s="50"/>
    </row>
    <row r="245">
      <c r="D245" s="50"/>
      <c r="E245" s="50"/>
      <c r="F245" s="50"/>
      <c r="G245" s="50"/>
      <c r="H245" s="50"/>
    </row>
    <row r="246">
      <c r="D246" s="50"/>
      <c r="E246" s="50"/>
      <c r="F246" s="50"/>
      <c r="G246" s="50"/>
      <c r="H246" s="50"/>
    </row>
    <row r="247">
      <c r="D247" s="50"/>
      <c r="E247" s="50"/>
      <c r="F247" s="50"/>
      <c r="G247" s="50"/>
      <c r="H247" s="50"/>
    </row>
    <row r="248">
      <c r="D248" s="50"/>
      <c r="E248" s="50"/>
      <c r="F248" s="50"/>
      <c r="G248" s="50"/>
      <c r="H248" s="50"/>
    </row>
    <row r="249">
      <c r="D249" s="50"/>
      <c r="E249" s="50"/>
      <c r="F249" s="50"/>
      <c r="G249" s="50"/>
      <c r="H249" s="50"/>
    </row>
    <row r="250">
      <c r="D250" s="50"/>
      <c r="E250" s="50"/>
      <c r="F250" s="50"/>
      <c r="G250" s="50"/>
      <c r="H250" s="50"/>
    </row>
    <row r="251">
      <c r="D251" s="50"/>
      <c r="E251" s="50"/>
      <c r="F251" s="50"/>
      <c r="G251" s="50"/>
      <c r="H251" s="50"/>
    </row>
    <row r="252">
      <c r="D252" s="50"/>
      <c r="E252" s="50"/>
      <c r="F252" s="50"/>
      <c r="G252" s="50"/>
      <c r="H252" s="50"/>
    </row>
    <row r="253">
      <c r="D253" s="50"/>
      <c r="E253" s="50"/>
      <c r="F253" s="50"/>
      <c r="G253" s="50"/>
      <c r="H253" s="50"/>
    </row>
    <row r="254">
      <c r="D254" s="50"/>
      <c r="E254" s="50"/>
      <c r="F254" s="50"/>
      <c r="G254" s="50"/>
      <c r="H254" s="50"/>
    </row>
    <row r="255">
      <c r="D255" s="50"/>
      <c r="E255" s="50"/>
      <c r="F255" s="50"/>
      <c r="G255" s="50"/>
      <c r="H255" s="50"/>
    </row>
    <row r="256">
      <c r="D256" s="50"/>
      <c r="E256" s="50"/>
      <c r="F256" s="50"/>
      <c r="G256" s="50"/>
      <c r="H256" s="50"/>
    </row>
    <row r="257">
      <c r="D257" s="50"/>
      <c r="E257" s="50"/>
      <c r="F257" s="50"/>
      <c r="G257" s="50"/>
      <c r="H257" s="50"/>
    </row>
    <row r="258">
      <c r="D258" s="50"/>
      <c r="E258" s="50"/>
      <c r="F258" s="50"/>
      <c r="G258" s="50"/>
      <c r="H258" s="50"/>
    </row>
    <row r="259">
      <c r="D259" s="50"/>
      <c r="E259" s="50"/>
      <c r="F259" s="50"/>
      <c r="G259" s="50"/>
      <c r="H259" s="50"/>
    </row>
    <row r="260">
      <c r="D260" s="50"/>
      <c r="E260" s="50"/>
      <c r="F260" s="50"/>
      <c r="G260" s="50"/>
      <c r="H260" s="50"/>
    </row>
    <row r="261">
      <c r="D261" s="50"/>
      <c r="E261" s="50"/>
      <c r="F261" s="50"/>
      <c r="G261" s="50"/>
      <c r="H261" s="50"/>
    </row>
    <row r="262">
      <c r="D262" s="50"/>
      <c r="E262" s="50"/>
      <c r="F262" s="50"/>
      <c r="G262" s="50"/>
      <c r="H262" s="50"/>
    </row>
    <row r="263">
      <c r="D263" s="50"/>
      <c r="E263" s="50"/>
      <c r="F263" s="50"/>
      <c r="G263" s="50"/>
      <c r="H263" s="50"/>
    </row>
    <row r="264">
      <c r="D264" s="50"/>
      <c r="E264" s="50"/>
      <c r="F264" s="50"/>
      <c r="G264" s="50"/>
      <c r="H264" s="50"/>
    </row>
    <row r="265">
      <c r="D265" s="50"/>
      <c r="E265" s="50"/>
      <c r="F265" s="50"/>
      <c r="G265" s="50"/>
      <c r="H265" s="50"/>
    </row>
    <row r="266">
      <c r="D266" s="50"/>
      <c r="E266" s="50"/>
      <c r="F266" s="50"/>
      <c r="G266" s="50"/>
      <c r="H266" s="50"/>
    </row>
    <row r="267">
      <c r="D267" s="50"/>
      <c r="E267" s="50"/>
      <c r="F267" s="50"/>
      <c r="G267" s="50"/>
      <c r="H267" s="50"/>
    </row>
    <row r="268">
      <c r="D268" s="50"/>
      <c r="E268" s="50"/>
      <c r="F268" s="50"/>
      <c r="G268" s="50"/>
      <c r="H268" s="50"/>
    </row>
    <row r="269">
      <c r="D269" s="50"/>
      <c r="E269" s="50"/>
      <c r="F269" s="50"/>
      <c r="G269" s="50"/>
      <c r="H269" s="50"/>
    </row>
    <row r="270">
      <c r="D270" s="50"/>
      <c r="E270" s="50"/>
      <c r="F270" s="50"/>
      <c r="G270" s="50"/>
      <c r="H270" s="50"/>
    </row>
    <row r="271">
      <c r="D271" s="50"/>
      <c r="E271" s="50"/>
      <c r="F271" s="50"/>
      <c r="G271" s="50"/>
      <c r="H271" s="50"/>
    </row>
    <row r="272">
      <c r="D272" s="50"/>
      <c r="E272" s="50"/>
      <c r="F272" s="50"/>
      <c r="G272" s="50"/>
      <c r="H272" s="50"/>
    </row>
    <row r="273">
      <c r="D273" s="50"/>
      <c r="E273" s="50"/>
      <c r="F273" s="50"/>
      <c r="G273" s="50"/>
      <c r="H273" s="50"/>
    </row>
    <row r="274">
      <c r="D274" s="50"/>
      <c r="E274" s="50"/>
      <c r="F274" s="50"/>
      <c r="G274" s="50"/>
      <c r="H274" s="50"/>
    </row>
    <row r="275">
      <c r="D275" s="50"/>
      <c r="E275" s="50"/>
      <c r="F275" s="50"/>
      <c r="G275" s="50"/>
      <c r="H275" s="50"/>
    </row>
    <row r="276">
      <c r="D276" s="50"/>
      <c r="E276" s="50"/>
      <c r="F276" s="50"/>
      <c r="G276" s="50"/>
      <c r="H276" s="50"/>
    </row>
    <row r="277">
      <c r="D277" s="50"/>
      <c r="E277" s="50"/>
      <c r="F277" s="50"/>
      <c r="G277" s="50"/>
      <c r="H277" s="50"/>
    </row>
    <row r="278">
      <c r="D278" s="50"/>
      <c r="E278" s="50"/>
      <c r="F278" s="50"/>
      <c r="G278" s="50"/>
      <c r="H278" s="50"/>
    </row>
    <row r="279">
      <c r="D279" s="50"/>
      <c r="E279" s="50"/>
      <c r="F279" s="50"/>
      <c r="G279" s="50"/>
      <c r="H279" s="50"/>
    </row>
    <row r="280">
      <c r="D280" s="50"/>
      <c r="E280" s="50"/>
      <c r="F280" s="50"/>
      <c r="G280" s="50"/>
      <c r="H280" s="50"/>
    </row>
    <row r="281">
      <c r="D281" s="50"/>
      <c r="E281" s="50"/>
      <c r="F281" s="50"/>
      <c r="G281" s="50"/>
      <c r="H281" s="50"/>
    </row>
    <row r="282">
      <c r="D282" s="50"/>
      <c r="E282" s="50"/>
      <c r="F282" s="50"/>
      <c r="G282" s="50"/>
      <c r="H282" s="50"/>
    </row>
    <row r="283">
      <c r="D283" s="50"/>
      <c r="E283" s="50"/>
      <c r="F283" s="50"/>
      <c r="G283" s="50"/>
      <c r="H283" s="50"/>
    </row>
    <row r="284">
      <c r="D284" s="50"/>
      <c r="E284" s="50"/>
      <c r="F284" s="50"/>
      <c r="G284" s="50"/>
      <c r="H284" s="50"/>
    </row>
    <row r="285">
      <c r="D285" s="50"/>
      <c r="E285" s="50"/>
      <c r="F285" s="50"/>
      <c r="G285" s="50"/>
      <c r="H285" s="50"/>
    </row>
    <row r="286">
      <c r="D286" s="50"/>
      <c r="E286" s="50"/>
      <c r="F286" s="50"/>
      <c r="G286" s="50"/>
      <c r="H286" s="50"/>
    </row>
    <row r="287">
      <c r="D287" s="50"/>
      <c r="E287" s="50"/>
      <c r="F287" s="50"/>
      <c r="G287" s="50"/>
      <c r="H287" s="50"/>
    </row>
    <row r="288">
      <c r="D288" s="50"/>
      <c r="E288" s="50"/>
      <c r="F288" s="50"/>
      <c r="G288" s="50"/>
      <c r="H288" s="50"/>
    </row>
    <row r="289">
      <c r="D289" s="50"/>
      <c r="E289" s="50"/>
      <c r="F289" s="50"/>
      <c r="G289" s="50"/>
      <c r="H289" s="50"/>
    </row>
    <row r="290">
      <c r="D290" s="50"/>
      <c r="E290" s="50"/>
      <c r="F290" s="50"/>
      <c r="G290" s="50"/>
      <c r="H290" s="50"/>
    </row>
    <row r="291">
      <c r="D291" s="50"/>
      <c r="E291" s="50"/>
      <c r="F291" s="50"/>
      <c r="G291" s="50"/>
      <c r="H291" s="50"/>
    </row>
    <row r="292">
      <c r="D292" s="50"/>
      <c r="E292" s="50"/>
      <c r="F292" s="50"/>
      <c r="G292" s="50"/>
      <c r="H292" s="50"/>
    </row>
    <row r="293">
      <c r="D293" s="50"/>
      <c r="E293" s="50"/>
      <c r="F293" s="50"/>
      <c r="G293" s="50"/>
      <c r="H293" s="50"/>
    </row>
    <row r="294">
      <c r="D294" s="50"/>
      <c r="E294" s="50"/>
      <c r="F294" s="50"/>
      <c r="G294" s="50"/>
      <c r="H294" s="50"/>
    </row>
    <row r="295">
      <c r="D295" s="50"/>
      <c r="E295" s="50"/>
      <c r="F295" s="50"/>
      <c r="G295" s="50"/>
      <c r="H295" s="50"/>
    </row>
    <row r="296">
      <c r="D296" s="50"/>
      <c r="E296" s="50"/>
      <c r="F296" s="50"/>
      <c r="G296" s="50"/>
      <c r="H296" s="50"/>
    </row>
    <row r="297">
      <c r="D297" s="50"/>
      <c r="E297" s="50"/>
      <c r="F297" s="50"/>
      <c r="G297" s="50"/>
      <c r="H297" s="50"/>
    </row>
    <row r="298">
      <c r="D298" s="50"/>
      <c r="E298" s="50"/>
      <c r="F298" s="50"/>
      <c r="G298" s="50"/>
      <c r="H298" s="50"/>
    </row>
    <row r="299">
      <c r="D299" s="50"/>
      <c r="E299" s="50"/>
      <c r="F299" s="50"/>
      <c r="G299" s="50"/>
      <c r="H299" s="50"/>
    </row>
    <row r="300">
      <c r="D300" s="50"/>
      <c r="E300" s="50"/>
      <c r="F300" s="50"/>
      <c r="G300" s="50"/>
      <c r="H300" s="50"/>
    </row>
    <row r="301">
      <c r="D301" s="50"/>
      <c r="E301" s="50"/>
      <c r="F301" s="50"/>
      <c r="G301" s="50"/>
      <c r="H301" s="50"/>
    </row>
    <row r="302">
      <c r="D302" s="50"/>
      <c r="E302" s="50"/>
      <c r="F302" s="50"/>
      <c r="G302" s="50"/>
      <c r="H302" s="50"/>
    </row>
    <row r="303">
      <c r="D303" s="50"/>
      <c r="E303" s="50"/>
      <c r="F303" s="50"/>
      <c r="G303" s="50"/>
      <c r="H303" s="50"/>
    </row>
    <row r="304">
      <c r="D304" s="50"/>
      <c r="E304" s="50"/>
      <c r="F304" s="50"/>
      <c r="G304" s="50"/>
      <c r="H304" s="50"/>
    </row>
    <row r="305">
      <c r="D305" s="50"/>
      <c r="E305" s="50"/>
      <c r="F305" s="50"/>
      <c r="G305" s="50"/>
      <c r="H305" s="50"/>
    </row>
    <row r="306">
      <c r="D306" s="50"/>
      <c r="E306" s="50"/>
      <c r="F306" s="50"/>
      <c r="G306" s="50"/>
      <c r="H306" s="50"/>
    </row>
    <row r="307">
      <c r="D307" s="50"/>
      <c r="E307" s="50"/>
      <c r="F307" s="50"/>
      <c r="G307" s="50"/>
      <c r="H307" s="50"/>
    </row>
    <row r="308">
      <c r="D308" s="50"/>
      <c r="E308" s="50"/>
      <c r="F308" s="50"/>
      <c r="G308" s="50"/>
      <c r="H308" s="50"/>
    </row>
    <row r="309">
      <c r="D309" s="50"/>
      <c r="E309" s="50"/>
      <c r="F309" s="50"/>
      <c r="G309" s="50"/>
      <c r="H309" s="50"/>
    </row>
    <row r="310">
      <c r="D310" s="50"/>
      <c r="E310" s="50"/>
      <c r="F310" s="50"/>
      <c r="G310" s="50"/>
      <c r="H310" s="50"/>
    </row>
    <row r="311">
      <c r="D311" s="50"/>
      <c r="E311" s="50"/>
      <c r="F311" s="50"/>
      <c r="G311" s="50"/>
      <c r="H311" s="50"/>
    </row>
    <row r="312">
      <c r="D312" s="50"/>
      <c r="E312" s="50"/>
      <c r="F312" s="50"/>
      <c r="G312" s="50"/>
      <c r="H312" s="50"/>
    </row>
    <row r="313">
      <c r="D313" s="50"/>
      <c r="E313" s="50"/>
      <c r="F313" s="50"/>
      <c r="G313" s="50"/>
      <c r="H313" s="50"/>
    </row>
    <row r="314">
      <c r="D314" s="50"/>
      <c r="E314" s="50"/>
      <c r="F314" s="50"/>
      <c r="G314" s="50"/>
      <c r="H314" s="50"/>
    </row>
    <row r="315">
      <c r="D315" s="50"/>
      <c r="E315" s="50"/>
      <c r="F315" s="50"/>
      <c r="G315" s="50"/>
      <c r="H315" s="50"/>
    </row>
    <row r="316">
      <c r="D316" s="50"/>
      <c r="E316" s="50"/>
      <c r="F316" s="50"/>
      <c r="G316" s="50"/>
      <c r="H316" s="50"/>
    </row>
    <row r="317">
      <c r="D317" s="50"/>
      <c r="E317" s="50"/>
      <c r="F317" s="50"/>
      <c r="G317" s="50"/>
      <c r="H317" s="50"/>
    </row>
    <row r="318">
      <c r="D318" s="50"/>
      <c r="E318" s="50"/>
      <c r="F318" s="50"/>
      <c r="G318" s="50"/>
      <c r="H318" s="50"/>
    </row>
    <row r="319">
      <c r="D319" s="50"/>
      <c r="E319" s="50"/>
      <c r="F319" s="50"/>
      <c r="G319" s="50"/>
      <c r="H319" s="50"/>
    </row>
    <row r="320">
      <c r="D320" s="50"/>
      <c r="E320" s="50"/>
      <c r="F320" s="50"/>
      <c r="G320" s="50"/>
      <c r="H320" s="50"/>
    </row>
    <row r="321">
      <c r="D321" s="50"/>
      <c r="E321" s="50"/>
      <c r="F321" s="50"/>
      <c r="G321" s="50"/>
      <c r="H321" s="50"/>
    </row>
    <row r="322">
      <c r="D322" s="50"/>
      <c r="E322" s="50"/>
      <c r="F322" s="50"/>
      <c r="G322" s="50"/>
      <c r="H322" s="50"/>
    </row>
    <row r="323">
      <c r="D323" s="50"/>
      <c r="E323" s="50"/>
      <c r="F323" s="50"/>
      <c r="G323" s="50"/>
      <c r="H323" s="50"/>
    </row>
    <row r="324">
      <c r="D324" s="50"/>
      <c r="E324" s="50"/>
      <c r="F324" s="50"/>
      <c r="G324" s="50"/>
      <c r="H324" s="50"/>
    </row>
    <row r="325">
      <c r="D325" s="50"/>
      <c r="E325" s="50"/>
      <c r="F325" s="50"/>
      <c r="G325" s="50"/>
      <c r="H325" s="50"/>
    </row>
    <row r="326">
      <c r="D326" s="50"/>
      <c r="E326" s="50"/>
      <c r="F326" s="50"/>
      <c r="G326" s="50"/>
      <c r="H326" s="50"/>
    </row>
    <row r="327">
      <c r="D327" s="50"/>
      <c r="E327" s="50"/>
      <c r="F327" s="50"/>
      <c r="G327" s="50"/>
      <c r="H327" s="50"/>
    </row>
    <row r="328">
      <c r="D328" s="50"/>
      <c r="E328" s="50"/>
      <c r="F328" s="50"/>
      <c r="G328" s="50"/>
      <c r="H328" s="50"/>
    </row>
    <row r="329">
      <c r="D329" s="50"/>
      <c r="E329" s="50"/>
      <c r="F329" s="50"/>
      <c r="G329" s="50"/>
      <c r="H329" s="50"/>
    </row>
    <row r="330">
      <c r="D330" s="50"/>
      <c r="E330" s="50"/>
      <c r="F330" s="50"/>
      <c r="G330" s="50"/>
      <c r="H330" s="50"/>
    </row>
    <row r="331">
      <c r="D331" s="50"/>
      <c r="E331" s="50"/>
      <c r="F331" s="50"/>
      <c r="G331" s="50"/>
      <c r="H331" s="50"/>
    </row>
    <row r="332">
      <c r="D332" s="50"/>
      <c r="E332" s="50"/>
      <c r="F332" s="50"/>
      <c r="G332" s="50"/>
      <c r="H332" s="50"/>
    </row>
    <row r="333">
      <c r="D333" s="50"/>
      <c r="E333" s="50"/>
      <c r="F333" s="50"/>
      <c r="G333" s="50"/>
      <c r="H333" s="50"/>
    </row>
    <row r="334">
      <c r="D334" s="50"/>
      <c r="E334" s="50"/>
      <c r="F334" s="50"/>
      <c r="G334" s="50"/>
      <c r="H334" s="50"/>
    </row>
    <row r="335">
      <c r="D335" s="50"/>
      <c r="E335" s="50"/>
      <c r="F335" s="50"/>
      <c r="G335" s="50"/>
      <c r="H335" s="50"/>
    </row>
    <row r="336">
      <c r="D336" s="50"/>
      <c r="E336" s="50"/>
      <c r="F336" s="50"/>
      <c r="G336" s="50"/>
      <c r="H336" s="50"/>
    </row>
    <row r="337">
      <c r="D337" s="50"/>
      <c r="E337" s="50"/>
      <c r="F337" s="50"/>
      <c r="G337" s="50"/>
      <c r="H337" s="50"/>
    </row>
    <row r="338">
      <c r="D338" s="50"/>
      <c r="E338" s="50"/>
      <c r="F338" s="50"/>
      <c r="G338" s="50"/>
      <c r="H338" s="50"/>
    </row>
    <row r="339">
      <c r="D339" s="50"/>
      <c r="E339" s="50"/>
      <c r="F339" s="50"/>
      <c r="G339" s="50"/>
      <c r="H339" s="50"/>
    </row>
    <row r="340">
      <c r="D340" s="50"/>
      <c r="E340" s="50"/>
      <c r="F340" s="50"/>
      <c r="G340" s="50"/>
      <c r="H340" s="50"/>
    </row>
    <row r="341">
      <c r="D341" s="50"/>
      <c r="E341" s="50"/>
      <c r="F341" s="50"/>
      <c r="G341" s="50"/>
      <c r="H341" s="50"/>
    </row>
    <row r="342">
      <c r="D342" s="50"/>
      <c r="E342" s="50"/>
      <c r="F342" s="50"/>
      <c r="G342" s="50"/>
      <c r="H342" s="50"/>
    </row>
    <row r="343">
      <c r="D343" s="50"/>
      <c r="E343" s="50"/>
      <c r="F343" s="50"/>
      <c r="G343" s="50"/>
      <c r="H343" s="50"/>
    </row>
    <row r="344">
      <c r="D344" s="50"/>
      <c r="E344" s="50"/>
      <c r="F344" s="50"/>
      <c r="G344" s="50"/>
      <c r="H344" s="50"/>
    </row>
    <row r="345">
      <c r="D345" s="50"/>
      <c r="E345" s="50"/>
      <c r="F345" s="50"/>
      <c r="G345" s="50"/>
      <c r="H345" s="50"/>
    </row>
    <row r="346">
      <c r="D346" s="50"/>
      <c r="E346" s="50"/>
      <c r="F346" s="50"/>
      <c r="G346" s="50"/>
      <c r="H346" s="50"/>
    </row>
    <row r="347">
      <c r="D347" s="50"/>
      <c r="E347" s="50"/>
      <c r="F347" s="50"/>
      <c r="G347" s="50"/>
      <c r="H347" s="50"/>
    </row>
    <row r="348">
      <c r="D348" s="50"/>
      <c r="E348" s="50"/>
      <c r="F348" s="50"/>
      <c r="G348" s="50"/>
      <c r="H348" s="50"/>
    </row>
    <row r="349">
      <c r="D349" s="50"/>
      <c r="E349" s="50"/>
      <c r="F349" s="50"/>
      <c r="G349" s="50"/>
      <c r="H349" s="50"/>
    </row>
    <row r="350">
      <c r="D350" s="50"/>
      <c r="E350" s="50"/>
      <c r="F350" s="50"/>
      <c r="G350" s="50"/>
      <c r="H350" s="50"/>
    </row>
    <row r="351">
      <c r="D351" s="50"/>
      <c r="E351" s="50"/>
      <c r="F351" s="50"/>
      <c r="G351" s="50"/>
      <c r="H351" s="50"/>
    </row>
    <row r="352">
      <c r="D352" s="50"/>
      <c r="E352" s="50"/>
      <c r="F352" s="50"/>
      <c r="G352" s="50"/>
      <c r="H352" s="50"/>
    </row>
    <row r="353">
      <c r="D353" s="50"/>
      <c r="E353" s="50"/>
      <c r="F353" s="50"/>
      <c r="G353" s="50"/>
      <c r="H353" s="50"/>
    </row>
    <row r="354">
      <c r="D354" s="50"/>
      <c r="E354" s="50"/>
      <c r="F354" s="50"/>
      <c r="G354" s="50"/>
      <c r="H354" s="50"/>
    </row>
    <row r="355">
      <c r="D355" s="50"/>
      <c r="E355" s="50"/>
      <c r="F355" s="50"/>
      <c r="G355" s="50"/>
      <c r="H355" s="50"/>
    </row>
    <row r="356">
      <c r="D356" s="50"/>
      <c r="E356" s="50"/>
      <c r="F356" s="50"/>
      <c r="G356" s="50"/>
      <c r="H356" s="50"/>
    </row>
    <row r="357">
      <c r="D357" s="50"/>
      <c r="E357" s="50"/>
      <c r="F357" s="50"/>
      <c r="G357" s="50"/>
      <c r="H357" s="50"/>
    </row>
    <row r="358">
      <c r="D358" s="50"/>
      <c r="E358" s="50"/>
      <c r="F358" s="50"/>
      <c r="G358" s="50"/>
      <c r="H358" s="50"/>
    </row>
    <row r="359">
      <c r="D359" s="50"/>
      <c r="E359" s="50"/>
      <c r="F359" s="50"/>
      <c r="G359" s="50"/>
      <c r="H359" s="50"/>
    </row>
    <row r="360">
      <c r="D360" s="50"/>
      <c r="E360" s="50"/>
      <c r="F360" s="50"/>
      <c r="G360" s="50"/>
      <c r="H360" s="50"/>
    </row>
    <row r="361">
      <c r="D361" s="50"/>
      <c r="E361" s="50"/>
      <c r="F361" s="50"/>
      <c r="G361" s="50"/>
      <c r="H361" s="50"/>
    </row>
    <row r="362">
      <c r="D362" s="50"/>
      <c r="E362" s="50"/>
      <c r="F362" s="50"/>
      <c r="G362" s="50"/>
      <c r="H362" s="50"/>
    </row>
    <row r="363">
      <c r="D363" s="50"/>
      <c r="E363" s="50"/>
      <c r="F363" s="50"/>
      <c r="G363" s="50"/>
      <c r="H363" s="50"/>
    </row>
    <row r="364">
      <c r="D364" s="50"/>
      <c r="E364" s="50"/>
      <c r="F364" s="50"/>
      <c r="G364" s="50"/>
      <c r="H364" s="50"/>
    </row>
    <row r="365">
      <c r="D365" s="50"/>
      <c r="E365" s="50"/>
      <c r="F365" s="50"/>
      <c r="G365" s="50"/>
      <c r="H365" s="50"/>
    </row>
    <row r="366">
      <c r="D366" s="50"/>
      <c r="E366" s="50"/>
      <c r="F366" s="50"/>
      <c r="G366" s="50"/>
      <c r="H366" s="50"/>
    </row>
    <row r="367">
      <c r="D367" s="50"/>
      <c r="E367" s="50"/>
      <c r="F367" s="50"/>
      <c r="G367" s="50"/>
      <c r="H367" s="50"/>
    </row>
    <row r="368">
      <c r="D368" s="50"/>
      <c r="E368" s="50"/>
      <c r="F368" s="50"/>
      <c r="G368" s="50"/>
      <c r="H368" s="50"/>
    </row>
    <row r="369">
      <c r="D369" s="50"/>
      <c r="E369" s="50"/>
      <c r="F369" s="50"/>
      <c r="G369" s="50"/>
      <c r="H369" s="50"/>
    </row>
    <row r="370">
      <c r="D370" s="50"/>
      <c r="E370" s="50"/>
      <c r="F370" s="50"/>
      <c r="G370" s="50"/>
      <c r="H370" s="50"/>
    </row>
    <row r="371">
      <c r="D371" s="50"/>
      <c r="E371" s="50"/>
      <c r="F371" s="50"/>
      <c r="G371" s="50"/>
      <c r="H371" s="50"/>
    </row>
    <row r="372">
      <c r="D372" s="50"/>
      <c r="E372" s="50"/>
      <c r="F372" s="50"/>
      <c r="G372" s="50"/>
      <c r="H372" s="50"/>
    </row>
    <row r="373">
      <c r="D373" s="50"/>
      <c r="E373" s="50"/>
      <c r="F373" s="50"/>
      <c r="G373" s="50"/>
      <c r="H373" s="50"/>
    </row>
    <row r="374">
      <c r="D374" s="50"/>
      <c r="E374" s="50"/>
      <c r="F374" s="50"/>
      <c r="G374" s="50"/>
      <c r="H374" s="50"/>
    </row>
    <row r="375">
      <c r="D375" s="50"/>
      <c r="E375" s="50"/>
      <c r="F375" s="50"/>
      <c r="G375" s="50"/>
      <c r="H375" s="50"/>
    </row>
    <row r="376">
      <c r="D376" s="50"/>
      <c r="E376" s="50"/>
      <c r="F376" s="50"/>
      <c r="G376" s="50"/>
      <c r="H376" s="50"/>
    </row>
    <row r="377">
      <c r="D377" s="50"/>
      <c r="E377" s="50"/>
      <c r="F377" s="50"/>
      <c r="G377" s="50"/>
      <c r="H377" s="50"/>
    </row>
    <row r="378">
      <c r="D378" s="50"/>
      <c r="E378" s="50"/>
      <c r="F378" s="50"/>
      <c r="G378" s="50"/>
      <c r="H378" s="50"/>
    </row>
    <row r="379">
      <c r="D379" s="50"/>
      <c r="E379" s="50"/>
      <c r="F379" s="50"/>
      <c r="G379" s="50"/>
      <c r="H379" s="50"/>
    </row>
    <row r="380">
      <c r="D380" s="50"/>
      <c r="E380" s="50"/>
      <c r="F380" s="50"/>
      <c r="G380" s="50"/>
      <c r="H380" s="50"/>
    </row>
    <row r="381">
      <c r="D381" s="50"/>
      <c r="E381" s="50"/>
      <c r="F381" s="50"/>
      <c r="G381" s="50"/>
      <c r="H381" s="50"/>
    </row>
    <row r="382">
      <c r="D382" s="50"/>
      <c r="E382" s="50"/>
      <c r="F382" s="50"/>
      <c r="G382" s="50"/>
      <c r="H382" s="50"/>
    </row>
    <row r="383">
      <c r="D383" s="50"/>
      <c r="E383" s="50"/>
      <c r="F383" s="50"/>
      <c r="G383" s="50"/>
      <c r="H383" s="50"/>
    </row>
    <row r="384">
      <c r="D384" s="50"/>
      <c r="E384" s="50"/>
      <c r="F384" s="50"/>
      <c r="G384" s="50"/>
      <c r="H384" s="50"/>
    </row>
    <row r="385">
      <c r="D385" s="50"/>
      <c r="E385" s="50"/>
      <c r="F385" s="50"/>
      <c r="G385" s="50"/>
      <c r="H385" s="50"/>
    </row>
    <row r="386">
      <c r="D386" s="50"/>
      <c r="E386" s="50"/>
      <c r="F386" s="50"/>
      <c r="G386" s="50"/>
      <c r="H386" s="50"/>
    </row>
    <row r="387">
      <c r="D387" s="50"/>
      <c r="E387" s="50"/>
      <c r="F387" s="50"/>
      <c r="G387" s="50"/>
      <c r="H387" s="50"/>
    </row>
    <row r="388">
      <c r="D388" s="50"/>
      <c r="E388" s="50"/>
      <c r="F388" s="50"/>
      <c r="G388" s="50"/>
      <c r="H388" s="50"/>
    </row>
    <row r="389">
      <c r="D389" s="50"/>
      <c r="E389" s="50"/>
      <c r="F389" s="50"/>
      <c r="G389" s="50"/>
      <c r="H389" s="50"/>
    </row>
    <row r="390">
      <c r="D390" s="50"/>
      <c r="E390" s="50"/>
      <c r="F390" s="50"/>
      <c r="G390" s="50"/>
      <c r="H390" s="50"/>
    </row>
    <row r="391">
      <c r="D391" s="50"/>
      <c r="E391" s="50"/>
      <c r="F391" s="50"/>
      <c r="G391" s="50"/>
      <c r="H391" s="50"/>
    </row>
    <row r="392">
      <c r="D392" s="50"/>
      <c r="E392" s="50"/>
      <c r="F392" s="50"/>
      <c r="G392" s="50"/>
      <c r="H392" s="50"/>
    </row>
    <row r="393">
      <c r="D393" s="50"/>
      <c r="E393" s="50"/>
      <c r="F393" s="50"/>
      <c r="G393" s="50"/>
      <c r="H393" s="50"/>
    </row>
    <row r="394">
      <c r="D394" s="50"/>
      <c r="E394" s="50"/>
      <c r="F394" s="50"/>
      <c r="G394" s="50"/>
      <c r="H394" s="50"/>
    </row>
    <row r="395">
      <c r="D395" s="50"/>
      <c r="E395" s="50"/>
      <c r="F395" s="50"/>
      <c r="G395" s="50"/>
      <c r="H395" s="50"/>
    </row>
    <row r="396">
      <c r="D396" s="50"/>
      <c r="E396" s="50"/>
      <c r="F396" s="50"/>
      <c r="G396" s="50"/>
      <c r="H396" s="50"/>
    </row>
    <row r="397">
      <c r="D397" s="50"/>
      <c r="E397" s="50"/>
      <c r="F397" s="50"/>
      <c r="G397" s="50"/>
      <c r="H397" s="50"/>
    </row>
    <row r="398">
      <c r="D398" s="50"/>
      <c r="E398" s="50"/>
      <c r="F398" s="50"/>
      <c r="G398" s="50"/>
      <c r="H398" s="50"/>
    </row>
    <row r="399">
      <c r="D399" s="50"/>
      <c r="E399" s="50"/>
      <c r="F399" s="50"/>
      <c r="G399" s="50"/>
      <c r="H399" s="50"/>
    </row>
    <row r="400">
      <c r="D400" s="50"/>
      <c r="E400" s="50"/>
      <c r="F400" s="50"/>
      <c r="G400" s="50"/>
      <c r="H400" s="50"/>
    </row>
    <row r="401">
      <c r="D401" s="50"/>
      <c r="E401" s="50"/>
      <c r="F401" s="50"/>
      <c r="G401" s="50"/>
      <c r="H401" s="50"/>
    </row>
    <row r="402">
      <c r="D402" s="50"/>
      <c r="E402" s="50"/>
      <c r="F402" s="50"/>
      <c r="G402" s="50"/>
      <c r="H402" s="50"/>
    </row>
    <row r="403">
      <c r="D403" s="50"/>
      <c r="E403" s="50"/>
      <c r="F403" s="50"/>
      <c r="G403" s="50"/>
      <c r="H403" s="50"/>
    </row>
    <row r="404">
      <c r="D404" s="50"/>
      <c r="E404" s="50"/>
      <c r="F404" s="50"/>
      <c r="G404" s="50"/>
      <c r="H404" s="50"/>
    </row>
    <row r="405">
      <c r="D405" s="50"/>
      <c r="E405" s="50"/>
      <c r="F405" s="50"/>
      <c r="G405" s="50"/>
      <c r="H405" s="50"/>
    </row>
    <row r="406">
      <c r="D406" s="50"/>
      <c r="E406" s="50"/>
      <c r="F406" s="50"/>
      <c r="G406" s="50"/>
      <c r="H406" s="50"/>
    </row>
    <row r="407">
      <c r="D407" s="50"/>
      <c r="E407" s="50"/>
      <c r="F407" s="50"/>
      <c r="G407" s="50"/>
      <c r="H407" s="50"/>
    </row>
    <row r="408">
      <c r="D408" s="50"/>
      <c r="E408" s="50"/>
      <c r="F408" s="50"/>
      <c r="G408" s="50"/>
      <c r="H408" s="50"/>
    </row>
    <row r="409">
      <c r="D409" s="50"/>
      <c r="E409" s="50"/>
      <c r="F409" s="50"/>
      <c r="G409" s="50"/>
      <c r="H409" s="50"/>
    </row>
    <row r="410">
      <c r="D410" s="50"/>
      <c r="E410" s="50"/>
      <c r="F410" s="50"/>
      <c r="G410" s="50"/>
      <c r="H410" s="50"/>
    </row>
    <row r="411">
      <c r="D411" s="50"/>
      <c r="E411" s="50"/>
      <c r="F411" s="50"/>
      <c r="G411" s="50"/>
      <c r="H411" s="50"/>
    </row>
    <row r="412">
      <c r="D412" s="50"/>
      <c r="E412" s="50"/>
      <c r="F412" s="50"/>
      <c r="G412" s="50"/>
      <c r="H412" s="50"/>
    </row>
    <row r="413">
      <c r="D413" s="50"/>
      <c r="E413" s="50"/>
      <c r="F413" s="50"/>
      <c r="G413" s="50"/>
      <c r="H413" s="50"/>
    </row>
    <row r="414">
      <c r="D414" s="50"/>
      <c r="E414" s="50"/>
      <c r="F414" s="50"/>
      <c r="G414" s="50"/>
      <c r="H414" s="50"/>
    </row>
    <row r="415">
      <c r="D415" s="50"/>
      <c r="E415" s="50"/>
      <c r="F415" s="50"/>
      <c r="G415" s="50"/>
      <c r="H415" s="50"/>
    </row>
    <row r="416">
      <c r="D416" s="50"/>
      <c r="E416" s="50"/>
      <c r="F416" s="50"/>
      <c r="G416" s="50"/>
      <c r="H416" s="50"/>
    </row>
    <row r="417">
      <c r="D417" s="50"/>
      <c r="E417" s="50"/>
      <c r="F417" s="50"/>
      <c r="G417" s="50"/>
      <c r="H417" s="50"/>
    </row>
    <row r="418">
      <c r="D418" s="50"/>
      <c r="E418" s="50"/>
      <c r="F418" s="50"/>
      <c r="G418" s="50"/>
      <c r="H418" s="50"/>
    </row>
    <row r="419">
      <c r="D419" s="50"/>
      <c r="E419" s="50"/>
      <c r="F419" s="50"/>
      <c r="G419" s="50"/>
      <c r="H419" s="50"/>
    </row>
    <row r="420">
      <c r="D420" s="50"/>
      <c r="E420" s="50"/>
      <c r="F420" s="50"/>
      <c r="G420" s="50"/>
      <c r="H420" s="50"/>
    </row>
    <row r="421">
      <c r="D421" s="50"/>
      <c r="E421" s="50"/>
      <c r="F421" s="50"/>
      <c r="G421" s="50"/>
      <c r="H421" s="50"/>
    </row>
    <row r="422">
      <c r="D422" s="50"/>
      <c r="E422" s="50"/>
      <c r="F422" s="50"/>
      <c r="G422" s="50"/>
      <c r="H422" s="50"/>
    </row>
    <row r="423">
      <c r="D423" s="50"/>
      <c r="E423" s="50"/>
      <c r="F423" s="50"/>
      <c r="G423" s="50"/>
      <c r="H423" s="50"/>
    </row>
    <row r="424">
      <c r="D424" s="50"/>
      <c r="E424" s="50"/>
      <c r="F424" s="50"/>
      <c r="G424" s="50"/>
      <c r="H424" s="50"/>
    </row>
    <row r="425">
      <c r="D425" s="50"/>
      <c r="E425" s="50"/>
      <c r="F425" s="50"/>
      <c r="G425" s="50"/>
      <c r="H425" s="50"/>
    </row>
    <row r="426">
      <c r="D426" s="50"/>
      <c r="E426" s="50"/>
      <c r="F426" s="50"/>
      <c r="G426" s="50"/>
      <c r="H426" s="50"/>
    </row>
    <row r="427">
      <c r="D427" s="50"/>
      <c r="E427" s="50"/>
      <c r="F427" s="50"/>
      <c r="G427" s="50"/>
      <c r="H427" s="50"/>
    </row>
    <row r="428">
      <c r="D428" s="50"/>
      <c r="E428" s="50"/>
      <c r="F428" s="50"/>
      <c r="G428" s="50"/>
      <c r="H428" s="50"/>
    </row>
    <row r="429">
      <c r="D429" s="50"/>
      <c r="E429" s="50"/>
      <c r="F429" s="50"/>
      <c r="G429" s="50"/>
      <c r="H429" s="50"/>
    </row>
    <row r="430">
      <c r="D430" s="50"/>
      <c r="E430" s="50"/>
      <c r="F430" s="50"/>
      <c r="G430" s="50"/>
      <c r="H430" s="50"/>
    </row>
    <row r="431">
      <c r="D431" s="50"/>
      <c r="E431" s="50"/>
      <c r="F431" s="50"/>
      <c r="G431" s="50"/>
      <c r="H431" s="50"/>
    </row>
    <row r="432">
      <c r="D432" s="50"/>
      <c r="E432" s="50"/>
      <c r="F432" s="50"/>
      <c r="G432" s="50"/>
      <c r="H432" s="50"/>
    </row>
    <row r="433">
      <c r="D433" s="50"/>
      <c r="E433" s="50"/>
      <c r="F433" s="50"/>
      <c r="G433" s="50"/>
      <c r="H433" s="50"/>
    </row>
    <row r="434">
      <c r="D434" s="50"/>
      <c r="E434" s="50"/>
      <c r="F434" s="50"/>
      <c r="G434" s="50"/>
      <c r="H434" s="50"/>
    </row>
    <row r="435">
      <c r="D435" s="50"/>
      <c r="E435" s="50"/>
      <c r="F435" s="50"/>
      <c r="G435" s="50"/>
      <c r="H435" s="50"/>
    </row>
    <row r="436">
      <c r="D436" s="50"/>
      <c r="E436" s="50"/>
      <c r="F436" s="50"/>
      <c r="G436" s="50"/>
      <c r="H436" s="50"/>
    </row>
    <row r="437">
      <c r="D437" s="50"/>
      <c r="E437" s="50"/>
      <c r="F437" s="50"/>
      <c r="G437" s="50"/>
      <c r="H437" s="50"/>
    </row>
    <row r="438">
      <c r="D438" s="50"/>
      <c r="E438" s="50"/>
      <c r="F438" s="50"/>
      <c r="G438" s="50"/>
      <c r="H438" s="50"/>
    </row>
    <row r="439">
      <c r="D439" s="50"/>
      <c r="E439" s="50"/>
      <c r="F439" s="50"/>
      <c r="G439" s="50"/>
      <c r="H439" s="50"/>
    </row>
    <row r="440">
      <c r="D440" s="50"/>
      <c r="E440" s="50"/>
      <c r="F440" s="50"/>
      <c r="G440" s="50"/>
      <c r="H440" s="50"/>
    </row>
    <row r="441">
      <c r="D441" s="50"/>
      <c r="E441" s="50"/>
      <c r="F441" s="50"/>
      <c r="G441" s="50"/>
      <c r="H441" s="50"/>
    </row>
    <row r="442">
      <c r="D442" s="50"/>
      <c r="E442" s="50"/>
      <c r="F442" s="50"/>
      <c r="G442" s="50"/>
      <c r="H442" s="50"/>
    </row>
    <row r="443">
      <c r="D443" s="50"/>
      <c r="E443" s="50"/>
      <c r="F443" s="50"/>
      <c r="G443" s="50"/>
      <c r="H443" s="50"/>
    </row>
    <row r="444">
      <c r="D444" s="50"/>
      <c r="E444" s="50"/>
      <c r="F444" s="50"/>
      <c r="G444" s="50"/>
      <c r="H444" s="50"/>
    </row>
    <row r="445">
      <c r="D445" s="50"/>
      <c r="E445" s="50"/>
      <c r="F445" s="50"/>
      <c r="G445" s="50"/>
      <c r="H445" s="50"/>
    </row>
    <row r="446">
      <c r="D446" s="50"/>
      <c r="E446" s="50"/>
      <c r="F446" s="50"/>
      <c r="G446" s="50"/>
      <c r="H446" s="50"/>
    </row>
    <row r="447">
      <c r="D447" s="50"/>
      <c r="E447" s="50"/>
      <c r="F447" s="50"/>
      <c r="G447" s="50"/>
      <c r="H447" s="50"/>
    </row>
    <row r="448">
      <c r="D448" s="50"/>
      <c r="E448" s="50"/>
      <c r="F448" s="50"/>
      <c r="G448" s="50"/>
      <c r="H448" s="50"/>
    </row>
    <row r="449">
      <c r="D449" s="50"/>
      <c r="E449" s="50"/>
      <c r="F449" s="50"/>
      <c r="G449" s="50"/>
      <c r="H449" s="50"/>
    </row>
    <row r="450">
      <c r="D450" s="50"/>
      <c r="E450" s="50"/>
      <c r="F450" s="50"/>
      <c r="G450" s="50"/>
      <c r="H450" s="50"/>
    </row>
    <row r="451">
      <c r="D451" s="50"/>
      <c r="E451" s="50"/>
      <c r="F451" s="50"/>
      <c r="G451" s="50"/>
      <c r="H451" s="50"/>
    </row>
    <row r="452">
      <c r="D452" s="50"/>
      <c r="E452" s="50"/>
      <c r="F452" s="50"/>
      <c r="G452" s="50"/>
      <c r="H452" s="50"/>
    </row>
    <row r="453">
      <c r="D453" s="50"/>
      <c r="E453" s="50"/>
      <c r="F453" s="50"/>
      <c r="G453" s="50"/>
      <c r="H453" s="50"/>
    </row>
    <row r="454">
      <c r="D454" s="50"/>
      <c r="E454" s="50"/>
      <c r="F454" s="50"/>
      <c r="G454" s="50"/>
      <c r="H454" s="50"/>
    </row>
    <row r="455">
      <c r="D455" s="50"/>
      <c r="E455" s="50"/>
      <c r="F455" s="50"/>
      <c r="G455" s="50"/>
      <c r="H455" s="50"/>
    </row>
    <row r="456">
      <c r="D456" s="50"/>
      <c r="E456" s="50"/>
      <c r="F456" s="50"/>
      <c r="G456" s="50"/>
      <c r="H456" s="50"/>
    </row>
    <row r="457">
      <c r="D457" s="50"/>
      <c r="E457" s="50"/>
      <c r="F457" s="50"/>
      <c r="G457" s="50"/>
      <c r="H457" s="50"/>
    </row>
    <row r="458">
      <c r="D458" s="50"/>
      <c r="E458" s="50"/>
      <c r="F458" s="50"/>
      <c r="G458" s="50"/>
      <c r="H458" s="50"/>
    </row>
    <row r="459">
      <c r="D459" s="50"/>
      <c r="E459" s="50"/>
      <c r="F459" s="50"/>
      <c r="G459" s="50"/>
      <c r="H459" s="50"/>
    </row>
    <row r="460">
      <c r="D460" s="50"/>
      <c r="E460" s="50"/>
      <c r="F460" s="50"/>
      <c r="G460" s="50"/>
      <c r="H460" s="50"/>
    </row>
    <row r="461">
      <c r="D461" s="50"/>
      <c r="E461" s="50"/>
      <c r="F461" s="50"/>
      <c r="G461" s="50"/>
      <c r="H461" s="50"/>
    </row>
    <row r="462">
      <c r="D462" s="50"/>
      <c r="E462" s="50"/>
      <c r="F462" s="50"/>
      <c r="G462" s="50"/>
      <c r="H462" s="50"/>
    </row>
    <row r="463">
      <c r="D463" s="50"/>
      <c r="E463" s="50"/>
      <c r="F463" s="50"/>
      <c r="G463" s="50"/>
      <c r="H463" s="50"/>
    </row>
    <row r="464">
      <c r="D464" s="50"/>
      <c r="E464" s="50"/>
      <c r="F464" s="50"/>
      <c r="G464" s="50"/>
      <c r="H464" s="50"/>
    </row>
    <row r="465">
      <c r="D465" s="50"/>
      <c r="E465" s="50"/>
      <c r="F465" s="50"/>
      <c r="G465" s="50"/>
      <c r="H465" s="50"/>
    </row>
    <row r="466">
      <c r="D466" s="50"/>
      <c r="E466" s="50"/>
      <c r="F466" s="50"/>
      <c r="G466" s="50"/>
      <c r="H466" s="50"/>
    </row>
    <row r="467">
      <c r="D467" s="50"/>
      <c r="E467" s="50"/>
      <c r="F467" s="50"/>
      <c r="G467" s="50"/>
      <c r="H467" s="50"/>
    </row>
    <row r="468">
      <c r="D468" s="50"/>
      <c r="E468" s="50"/>
      <c r="F468" s="50"/>
      <c r="G468" s="50"/>
      <c r="H468" s="50"/>
    </row>
    <row r="469">
      <c r="D469" s="50"/>
      <c r="E469" s="50"/>
      <c r="F469" s="50"/>
      <c r="G469" s="50"/>
      <c r="H469" s="50"/>
    </row>
    <row r="470">
      <c r="D470" s="50"/>
      <c r="E470" s="50"/>
      <c r="F470" s="50"/>
      <c r="G470" s="50"/>
      <c r="H470" s="50"/>
    </row>
    <row r="471">
      <c r="D471" s="50"/>
      <c r="E471" s="50"/>
      <c r="F471" s="50"/>
      <c r="G471" s="50"/>
      <c r="H471" s="50"/>
    </row>
    <row r="472">
      <c r="D472" s="50"/>
      <c r="E472" s="50"/>
      <c r="F472" s="50"/>
      <c r="G472" s="50"/>
      <c r="H472" s="50"/>
    </row>
    <row r="473">
      <c r="D473" s="50"/>
      <c r="E473" s="50"/>
      <c r="F473" s="50"/>
      <c r="G473" s="50"/>
      <c r="H473" s="50"/>
    </row>
    <row r="474">
      <c r="D474" s="50"/>
      <c r="E474" s="50"/>
      <c r="F474" s="50"/>
      <c r="G474" s="50"/>
      <c r="H474" s="50"/>
    </row>
    <row r="475">
      <c r="D475" s="50"/>
      <c r="E475" s="50"/>
      <c r="F475" s="50"/>
      <c r="G475" s="50"/>
      <c r="H475" s="50"/>
    </row>
    <row r="476">
      <c r="D476" s="50"/>
      <c r="E476" s="50"/>
      <c r="F476" s="50"/>
      <c r="G476" s="50"/>
      <c r="H476" s="50"/>
    </row>
    <row r="477">
      <c r="D477" s="50"/>
      <c r="E477" s="50"/>
      <c r="F477" s="50"/>
      <c r="G477" s="50"/>
      <c r="H477" s="50"/>
    </row>
    <row r="478">
      <c r="D478" s="50"/>
      <c r="E478" s="50"/>
      <c r="F478" s="50"/>
      <c r="G478" s="50"/>
      <c r="H478" s="50"/>
    </row>
    <row r="479">
      <c r="D479" s="50"/>
      <c r="E479" s="50"/>
      <c r="F479" s="50"/>
      <c r="G479" s="50"/>
      <c r="H479" s="50"/>
    </row>
    <row r="480">
      <c r="D480" s="50"/>
      <c r="E480" s="50"/>
      <c r="F480" s="50"/>
      <c r="G480" s="50"/>
      <c r="H480" s="50"/>
    </row>
    <row r="481">
      <c r="D481" s="50"/>
      <c r="E481" s="50"/>
      <c r="F481" s="50"/>
      <c r="G481" s="50"/>
      <c r="H481" s="50"/>
    </row>
    <row r="482">
      <c r="D482" s="50"/>
      <c r="E482" s="50"/>
      <c r="F482" s="50"/>
      <c r="G482" s="50"/>
      <c r="H482" s="50"/>
    </row>
    <row r="483">
      <c r="D483" s="50"/>
      <c r="E483" s="50"/>
      <c r="F483" s="50"/>
      <c r="G483" s="50"/>
      <c r="H483" s="50"/>
    </row>
    <row r="484">
      <c r="D484" s="50"/>
      <c r="E484" s="50"/>
      <c r="F484" s="50"/>
      <c r="G484" s="50"/>
      <c r="H484" s="50"/>
    </row>
    <row r="485">
      <c r="D485" s="50"/>
      <c r="E485" s="50"/>
      <c r="F485" s="50"/>
      <c r="G485" s="50"/>
      <c r="H485" s="50"/>
    </row>
    <row r="486">
      <c r="D486" s="50"/>
      <c r="E486" s="50"/>
      <c r="F486" s="50"/>
      <c r="G486" s="50"/>
      <c r="H486" s="50"/>
    </row>
    <row r="487">
      <c r="D487" s="50"/>
      <c r="E487" s="50"/>
      <c r="F487" s="50"/>
      <c r="G487" s="50"/>
      <c r="H487" s="50"/>
    </row>
    <row r="488">
      <c r="D488" s="50"/>
      <c r="E488" s="50"/>
      <c r="F488" s="50"/>
      <c r="G488" s="50"/>
      <c r="H488" s="50"/>
    </row>
    <row r="489">
      <c r="D489" s="50"/>
      <c r="E489" s="50"/>
      <c r="F489" s="50"/>
      <c r="G489" s="50"/>
      <c r="H489" s="50"/>
    </row>
    <row r="490">
      <c r="D490" s="50"/>
      <c r="E490" s="50"/>
      <c r="F490" s="50"/>
      <c r="G490" s="50"/>
      <c r="H490" s="50"/>
    </row>
    <row r="491">
      <c r="D491" s="50"/>
      <c r="E491" s="50"/>
      <c r="F491" s="50"/>
      <c r="G491" s="50"/>
      <c r="H491" s="50"/>
    </row>
    <row r="492">
      <c r="D492" s="50"/>
      <c r="E492" s="50"/>
      <c r="F492" s="50"/>
      <c r="G492" s="50"/>
      <c r="H492" s="50"/>
    </row>
    <row r="493">
      <c r="D493" s="50"/>
      <c r="E493" s="50"/>
      <c r="F493" s="50"/>
      <c r="G493" s="50"/>
      <c r="H493" s="50"/>
    </row>
    <row r="494">
      <c r="D494" s="50"/>
      <c r="E494" s="50"/>
      <c r="F494" s="50"/>
      <c r="G494" s="50"/>
      <c r="H494" s="50"/>
    </row>
    <row r="495">
      <c r="D495" s="50"/>
      <c r="E495" s="50"/>
      <c r="F495" s="50"/>
      <c r="G495" s="50"/>
      <c r="H495" s="50"/>
    </row>
    <row r="496">
      <c r="D496" s="50"/>
      <c r="E496" s="50"/>
      <c r="F496" s="50"/>
      <c r="G496" s="50"/>
      <c r="H496" s="50"/>
    </row>
    <row r="497">
      <c r="D497" s="50"/>
      <c r="E497" s="50"/>
      <c r="F497" s="50"/>
      <c r="G497" s="50"/>
      <c r="H497" s="50"/>
    </row>
    <row r="498">
      <c r="D498" s="50"/>
      <c r="E498" s="50"/>
      <c r="F498" s="50"/>
      <c r="G498" s="50"/>
      <c r="H498" s="50"/>
    </row>
    <row r="499">
      <c r="D499" s="50"/>
      <c r="E499" s="50"/>
      <c r="F499" s="50"/>
      <c r="G499" s="50"/>
      <c r="H499" s="50"/>
    </row>
    <row r="500">
      <c r="D500" s="50"/>
      <c r="E500" s="50"/>
      <c r="F500" s="50"/>
      <c r="G500" s="50"/>
      <c r="H500" s="50"/>
    </row>
    <row r="501">
      <c r="D501" s="50"/>
      <c r="E501" s="50"/>
      <c r="F501" s="50"/>
      <c r="G501" s="50"/>
      <c r="H501" s="50"/>
    </row>
    <row r="502">
      <c r="D502" s="50"/>
      <c r="E502" s="50"/>
      <c r="F502" s="50"/>
      <c r="G502" s="50"/>
      <c r="H502" s="50"/>
    </row>
    <row r="503">
      <c r="D503" s="50"/>
      <c r="E503" s="50"/>
      <c r="F503" s="50"/>
      <c r="G503" s="50"/>
      <c r="H503" s="50"/>
    </row>
    <row r="504">
      <c r="D504" s="50"/>
      <c r="E504" s="50"/>
      <c r="F504" s="50"/>
      <c r="G504" s="50"/>
      <c r="H504" s="50"/>
    </row>
    <row r="505">
      <c r="D505" s="50"/>
      <c r="E505" s="50"/>
      <c r="F505" s="50"/>
      <c r="G505" s="50"/>
      <c r="H505" s="50"/>
    </row>
    <row r="506">
      <c r="D506" s="50"/>
      <c r="E506" s="50"/>
      <c r="F506" s="50"/>
      <c r="G506" s="50"/>
      <c r="H506" s="50"/>
    </row>
    <row r="507">
      <c r="D507" s="50"/>
      <c r="E507" s="50"/>
      <c r="F507" s="50"/>
      <c r="G507" s="50"/>
      <c r="H507" s="50"/>
    </row>
    <row r="508">
      <c r="D508" s="50"/>
      <c r="E508" s="50"/>
      <c r="F508" s="50"/>
      <c r="G508" s="50"/>
      <c r="H508" s="50"/>
    </row>
    <row r="509">
      <c r="D509" s="50"/>
      <c r="E509" s="50"/>
      <c r="F509" s="50"/>
      <c r="G509" s="50"/>
      <c r="H509" s="50"/>
    </row>
    <row r="510">
      <c r="D510" s="50"/>
      <c r="E510" s="50"/>
      <c r="F510" s="50"/>
      <c r="G510" s="50"/>
      <c r="H510" s="50"/>
    </row>
    <row r="511">
      <c r="D511" s="50"/>
      <c r="E511" s="50"/>
      <c r="F511" s="50"/>
      <c r="G511" s="50"/>
      <c r="H511" s="50"/>
    </row>
    <row r="512">
      <c r="D512" s="50"/>
      <c r="E512" s="50"/>
      <c r="F512" s="50"/>
      <c r="G512" s="50"/>
      <c r="H512" s="50"/>
    </row>
    <row r="513">
      <c r="D513" s="50"/>
      <c r="E513" s="50"/>
      <c r="F513" s="50"/>
      <c r="G513" s="50"/>
      <c r="H513" s="50"/>
    </row>
    <row r="514">
      <c r="D514" s="50"/>
      <c r="E514" s="50"/>
      <c r="F514" s="50"/>
      <c r="G514" s="50"/>
      <c r="H514" s="50"/>
    </row>
    <row r="515">
      <c r="D515" s="50"/>
      <c r="E515" s="50"/>
      <c r="F515" s="50"/>
      <c r="G515" s="50"/>
      <c r="H515" s="50"/>
    </row>
    <row r="516">
      <c r="D516" s="50"/>
      <c r="E516" s="50"/>
      <c r="F516" s="50"/>
      <c r="G516" s="50"/>
      <c r="H516" s="50"/>
    </row>
    <row r="517">
      <c r="D517" s="50"/>
      <c r="E517" s="50"/>
      <c r="F517" s="50"/>
      <c r="G517" s="50"/>
      <c r="H517" s="50"/>
    </row>
    <row r="518">
      <c r="D518" s="50"/>
      <c r="E518" s="50"/>
      <c r="F518" s="50"/>
      <c r="G518" s="50"/>
      <c r="H518" s="50"/>
    </row>
    <row r="519">
      <c r="D519" s="50"/>
      <c r="E519" s="50"/>
      <c r="F519" s="50"/>
      <c r="G519" s="50"/>
      <c r="H519" s="50"/>
    </row>
    <row r="520">
      <c r="D520" s="50"/>
      <c r="E520" s="50"/>
      <c r="F520" s="50"/>
      <c r="G520" s="50"/>
      <c r="H520" s="50"/>
    </row>
    <row r="521">
      <c r="D521" s="50"/>
      <c r="E521" s="50"/>
      <c r="F521" s="50"/>
      <c r="G521" s="50"/>
      <c r="H521" s="50"/>
    </row>
    <row r="522">
      <c r="D522" s="50"/>
      <c r="E522" s="50"/>
      <c r="F522" s="50"/>
      <c r="G522" s="50"/>
      <c r="H522" s="50"/>
    </row>
    <row r="523">
      <c r="D523" s="50"/>
      <c r="E523" s="50"/>
      <c r="F523" s="50"/>
      <c r="G523" s="50"/>
      <c r="H523" s="50"/>
    </row>
    <row r="524">
      <c r="D524" s="50"/>
      <c r="E524" s="50"/>
      <c r="F524" s="50"/>
      <c r="G524" s="50"/>
      <c r="H524" s="50"/>
    </row>
    <row r="525">
      <c r="D525" s="50"/>
      <c r="E525" s="50"/>
      <c r="F525" s="50"/>
      <c r="G525" s="50"/>
      <c r="H525" s="50"/>
    </row>
    <row r="526">
      <c r="D526" s="50"/>
      <c r="E526" s="50"/>
      <c r="F526" s="50"/>
      <c r="G526" s="50"/>
      <c r="H526" s="50"/>
    </row>
    <row r="527">
      <c r="D527" s="50"/>
      <c r="E527" s="50"/>
      <c r="F527" s="50"/>
      <c r="G527" s="50"/>
      <c r="H527" s="50"/>
    </row>
    <row r="528">
      <c r="D528" s="50"/>
      <c r="E528" s="50"/>
      <c r="F528" s="50"/>
      <c r="G528" s="50"/>
      <c r="H528" s="50"/>
    </row>
    <row r="529">
      <c r="D529" s="50"/>
      <c r="E529" s="50"/>
      <c r="F529" s="50"/>
      <c r="G529" s="50"/>
      <c r="H529" s="50"/>
    </row>
    <row r="530">
      <c r="D530" s="50"/>
      <c r="E530" s="50"/>
      <c r="F530" s="50"/>
      <c r="G530" s="50"/>
      <c r="H530" s="50"/>
    </row>
    <row r="531">
      <c r="D531" s="50"/>
      <c r="E531" s="50"/>
      <c r="F531" s="50"/>
      <c r="G531" s="50"/>
      <c r="H531" s="50"/>
    </row>
    <row r="532">
      <c r="D532" s="50"/>
      <c r="E532" s="50"/>
      <c r="F532" s="50"/>
      <c r="G532" s="50"/>
      <c r="H532" s="50"/>
    </row>
    <row r="533">
      <c r="D533" s="50"/>
      <c r="E533" s="50"/>
      <c r="F533" s="50"/>
      <c r="G533" s="50"/>
      <c r="H533" s="50"/>
    </row>
    <row r="534">
      <c r="D534" s="50"/>
      <c r="E534" s="50"/>
      <c r="F534" s="50"/>
      <c r="G534" s="50"/>
      <c r="H534" s="50"/>
    </row>
    <row r="535">
      <c r="D535" s="50"/>
      <c r="E535" s="50"/>
      <c r="F535" s="50"/>
      <c r="G535" s="50"/>
      <c r="H535" s="50"/>
    </row>
    <row r="536">
      <c r="D536" s="50"/>
      <c r="E536" s="50"/>
      <c r="F536" s="50"/>
      <c r="G536" s="50"/>
      <c r="H536" s="50"/>
    </row>
    <row r="537">
      <c r="D537" s="50"/>
      <c r="E537" s="50"/>
      <c r="F537" s="50"/>
      <c r="G537" s="50"/>
      <c r="H537" s="50"/>
    </row>
    <row r="538">
      <c r="D538" s="50"/>
      <c r="E538" s="50"/>
      <c r="F538" s="50"/>
      <c r="G538" s="50"/>
      <c r="H538" s="50"/>
    </row>
    <row r="539">
      <c r="D539" s="50"/>
      <c r="E539" s="50"/>
      <c r="F539" s="50"/>
      <c r="G539" s="50"/>
      <c r="H539" s="50"/>
    </row>
    <row r="540">
      <c r="D540" s="50"/>
      <c r="E540" s="50"/>
      <c r="F540" s="50"/>
      <c r="G540" s="50"/>
      <c r="H540" s="50"/>
    </row>
    <row r="541">
      <c r="D541" s="50"/>
      <c r="E541" s="50"/>
      <c r="F541" s="50"/>
      <c r="G541" s="50"/>
      <c r="H541" s="50"/>
    </row>
    <row r="542">
      <c r="D542" s="50"/>
      <c r="E542" s="50"/>
      <c r="F542" s="50"/>
      <c r="G542" s="50"/>
      <c r="H542" s="50"/>
    </row>
    <row r="543">
      <c r="D543" s="50"/>
      <c r="E543" s="50"/>
      <c r="F543" s="50"/>
      <c r="G543" s="50"/>
      <c r="H543" s="50"/>
    </row>
    <row r="544">
      <c r="D544" s="50"/>
      <c r="E544" s="50"/>
      <c r="F544" s="50"/>
      <c r="G544" s="50"/>
      <c r="H544" s="50"/>
    </row>
    <row r="545">
      <c r="D545" s="50"/>
      <c r="E545" s="50"/>
      <c r="F545" s="50"/>
      <c r="G545" s="50"/>
      <c r="H545" s="50"/>
    </row>
    <row r="546">
      <c r="D546" s="50"/>
      <c r="E546" s="50"/>
      <c r="F546" s="50"/>
      <c r="G546" s="50"/>
      <c r="H546" s="50"/>
    </row>
    <row r="547">
      <c r="D547" s="50"/>
      <c r="E547" s="50"/>
      <c r="F547" s="50"/>
      <c r="G547" s="50"/>
      <c r="H547" s="50"/>
    </row>
    <row r="548">
      <c r="D548" s="50"/>
      <c r="E548" s="50"/>
      <c r="F548" s="50"/>
      <c r="G548" s="50"/>
      <c r="H548" s="50"/>
    </row>
    <row r="549">
      <c r="D549" s="50"/>
      <c r="E549" s="50"/>
      <c r="F549" s="50"/>
      <c r="G549" s="50"/>
      <c r="H549" s="50"/>
    </row>
    <row r="550">
      <c r="D550" s="50"/>
      <c r="E550" s="50"/>
      <c r="F550" s="50"/>
      <c r="G550" s="50"/>
      <c r="H550" s="50"/>
    </row>
    <row r="551">
      <c r="D551" s="50"/>
      <c r="E551" s="50"/>
      <c r="F551" s="50"/>
      <c r="G551" s="50"/>
      <c r="H551" s="50"/>
    </row>
    <row r="552">
      <c r="D552" s="50"/>
      <c r="E552" s="50"/>
      <c r="F552" s="50"/>
      <c r="G552" s="50"/>
      <c r="H552" s="50"/>
    </row>
    <row r="553">
      <c r="D553" s="50"/>
      <c r="E553" s="50"/>
      <c r="F553" s="50"/>
      <c r="G553" s="50"/>
      <c r="H553" s="50"/>
    </row>
    <row r="554">
      <c r="D554" s="50"/>
      <c r="E554" s="50"/>
      <c r="F554" s="50"/>
      <c r="G554" s="50"/>
      <c r="H554" s="50"/>
    </row>
    <row r="555">
      <c r="D555" s="50"/>
      <c r="E555" s="50"/>
      <c r="F555" s="50"/>
      <c r="G555" s="50"/>
      <c r="H555" s="50"/>
    </row>
    <row r="556">
      <c r="D556" s="50"/>
      <c r="E556" s="50"/>
      <c r="F556" s="50"/>
      <c r="G556" s="50"/>
      <c r="H556" s="50"/>
    </row>
    <row r="557">
      <c r="D557" s="50"/>
      <c r="E557" s="50"/>
      <c r="F557" s="50"/>
      <c r="G557" s="50"/>
      <c r="H557" s="50"/>
    </row>
    <row r="558">
      <c r="D558" s="50"/>
      <c r="E558" s="50"/>
      <c r="F558" s="50"/>
      <c r="G558" s="50"/>
      <c r="H558" s="50"/>
    </row>
    <row r="559">
      <c r="D559" s="50"/>
      <c r="E559" s="50"/>
      <c r="F559" s="50"/>
      <c r="G559" s="50"/>
      <c r="H559" s="50"/>
    </row>
    <row r="560">
      <c r="D560" s="50"/>
      <c r="E560" s="50"/>
      <c r="F560" s="50"/>
      <c r="G560" s="50"/>
      <c r="H560" s="50"/>
    </row>
    <row r="561">
      <c r="D561" s="50"/>
      <c r="E561" s="50"/>
      <c r="F561" s="50"/>
      <c r="G561" s="50"/>
      <c r="H561" s="50"/>
    </row>
    <row r="562">
      <c r="D562" s="50"/>
      <c r="E562" s="50"/>
      <c r="F562" s="50"/>
      <c r="G562" s="50"/>
      <c r="H562" s="50"/>
    </row>
    <row r="563">
      <c r="D563" s="50"/>
      <c r="E563" s="50"/>
      <c r="F563" s="50"/>
      <c r="G563" s="50"/>
      <c r="H563" s="50"/>
    </row>
    <row r="564">
      <c r="D564" s="50"/>
      <c r="E564" s="50"/>
      <c r="F564" s="50"/>
      <c r="G564" s="50"/>
      <c r="H564" s="50"/>
    </row>
    <row r="565">
      <c r="D565" s="50"/>
      <c r="E565" s="50"/>
      <c r="F565" s="50"/>
      <c r="G565" s="50"/>
      <c r="H565" s="50"/>
    </row>
    <row r="566">
      <c r="D566" s="50"/>
      <c r="E566" s="50"/>
      <c r="F566" s="50"/>
      <c r="G566" s="50"/>
      <c r="H566" s="50"/>
    </row>
    <row r="567">
      <c r="D567" s="50"/>
      <c r="E567" s="50"/>
      <c r="F567" s="50"/>
      <c r="G567" s="50"/>
      <c r="H567" s="50"/>
    </row>
    <row r="568">
      <c r="D568" s="50"/>
      <c r="E568" s="50"/>
      <c r="F568" s="50"/>
      <c r="G568" s="50"/>
      <c r="H568" s="50"/>
    </row>
    <row r="569">
      <c r="D569" s="50"/>
      <c r="E569" s="50"/>
      <c r="F569" s="50"/>
      <c r="G569" s="50"/>
      <c r="H569" s="50"/>
    </row>
    <row r="570">
      <c r="D570" s="50"/>
      <c r="E570" s="50"/>
      <c r="F570" s="50"/>
      <c r="G570" s="50"/>
      <c r="H570" s="50"/>
    </row>
    <row r="571">
      <c r="D571" s="50"/>
      <c r="E571" s="50"/>
      <c r="F571" s="50"/>
      <c r="G571" s="50"/>
      <c r="H571" s="50"/>
    </row>
    <row r="572">
      <c r="D572" s="50"/>
      <c r="E572" s="50"/>
      <c r="F572" s="50"/>
      <c r="G572" s="50"/>
      <c r="H572" s="50"/>
    </row>
    <row r="573">
      <c r="D573" s="50"/>
      <c r="E573" s="50"/>
      <c r="F573" s="50"/>
      <c r="G573" s="50"/>
      <c r="H573" s="50"/>
    </row>
    <row r="574">
      <c r="D574" s="50"/>
      <c r="E574" s="50"/>
      <c r="F574" s="50"/>
      <c r="G574" s="50"/>
      <c r="H574" s="50"/>
    </row>
    <row r="575">
      <c r="D575" s="50"/>
      <c r="E575" s="50"/>
      <c r="F575" s="50"/>
      <c r="G575" s="50"/>
      <c r="H575" s="50"/>
    </row>
    <row r="576">
      <c r="D576" s="50"/>
      <c r="E576" s="50"/>
      <c r="F576" s="50"/>
      <c r="G576" s="50"/>
      <c r="H576" s="50"/>
    </row>
    <row r="577">
      <c r="D577" s="50"/>
      <c r="E577" s="50"/>
      <c r="F577" s="50"/>
      <c r="G577" s="50"/>
      <c r="H577" s="50"/>
    </row>
    <row r="578">
      <c r="D578" s="50"/>
      <c r="E578" s="50"/>
      <c r="F578" s="50"/>
      <c r="G578" s="50"/>
      <c r="H578" s="50"/>
    </row>
    <row r="579">
      <c r="D579" s="50"/>
      <c r="E579" s="50"/>
      <c r="F579" s="50"/>
      <c r="G579" s="50"/>
      <c r="H579" s="50"/>
    </row>
    <row r="580">
      <c r="D580" s="50"/>
      <c r="E580" s="50"/>
      <c r="F580" s="50"/>
      <c r="G580" s="50"/>
      <c r="H580" s="50"/>
    </row>
    <row r="581">
      <c r="D581" s="50"/>
      <c r="E581" s="50"/>
      <c r="F581" s="50"/>
      <c r="G581" s="50"/>
      <c r="H581" s="50"/>
    </row>
    <row r="582">
      <c r="D582" s="50"/>
      <c r="E582" s="50"/>
      <c r="F582" s="50"/>
      <c r="G582" s="50"/>
      <c r="H582" s="50"/>
    </row>
    <row r="583">
      <c r="D583" s="50"/>
      <c r="E583" s="50"/>
      <c r="F583" s="50"/>
      <c r="G583" s="50"/>
      <c r="H583" s="50"/>
    </row>
    <row r="584">
      <c r="D584" s="50"/>
      <c r="E584" s="50"/>
      <c r="F584" s="50"/>
      <c r="G584" s="50"/>
      <c r="H584" s="50"/>
    </row>
    <row r="585">
      <c r="D585" s="50"/>
      <c r="E585" s="50"/>
      <c r="F585" s="50"/>
      <c r="G585" s="50"/>
      <c r="H585" s="50"/>
    </row>
    <row r="586">
      <c r="D586" s="50"/>
      <c r="E586" s="50"/>
      <c r="F586" s="50"/>
      <c r="G586" s="50"/>
      <c r="H586" s="50"/>
    </row>
    <row r="587">
      <c r="D587" s="50"/>
      <c r="E587" s="50"/>
      <c r="F587" s="50"/>
      <c r="G587" s="50"/>
      <c r="H587" s="50"/>
    </row>
    <row r="588">
      <c r="D588" s="50"/>
      <c r="E588" s="50"/>
      <c r="F588" s="50"/>
      <c r="G588" s="50"/>
      <c r="H588" s="50"/>
    </row>
    <row r="589">
      <c r="D589" s="50"/>
      <c r="E589" s="50"/>
      <c r="F589" s="50"/>
      <c r="G589" s="50"/>
      <c r="H589" s="50"/>
    </row>
    <row r="590">
      <c r="D590" s="50"/>
      <c r="E590" s="50"/>
      <c r="F590" s="50"/>
      <c r="G590" s="50"/>
      <c r="H590" s="50"/>
    </row>
    <row r="591">
      <c r="D591" s="50"/>
      <c r="E591" s="50"/>
      <c r="F591" s="50"/>
      <c r="G591" s="50"/>
      <c r="H591" s="50"/>
    </row>
    <row r="592">
      <c r="D592" s="50"/>
      <c r="E592" s="50"/>
      <c r="F592" s="50"/>
      <c r="G592" s="50"/>
      <c r="H592" s="50"/>
    </row>
    <row r="593">
      <c r="D593" s="50"/>
      <c r="E593" s="50"/>
      <c r="F593" s="50"/>
      <c r="G593" s="50"/>
      <c r="H593" s="50"/>
    </row>
    <row r="594">
      <c r="D594" s="50"/>
      <c r="E594" s="50"/>
      <c r="F594" s="50"/>
      <c r="G594" s="50"/>
      <c r="H594" s="50"/>
    </row>
    <row r="595">
      <c r="D595" s="50"/>
      <c r="E595" s="50"/>
      <c r="F595" s="50"/>
      <c r="G595" s="50"/>
      <c r="H595" s="50"/>
    </row>
    <row r="596">
      <c r="D596" s="50"/>
      <c r="E596" s="50"/>
      <c r="F596" s="50"/>
      <c r="G596" s="50"/>
      <c r="H596" s="50"/>
    </row>
    <row r="597">
      <c r="D597" s="50"/>
      <c r="E597" s="50"/>
      <c r="F597" s="50"/>
      <c r="G597" s="50"/>
      <c r="H597" s="50"/>
    </row>
    <row r="598">
      <c r="D598" s="50"/>
      <c r="E598" s="50"/>
      <c r="F598" s="50"/>
      <c r="G598" s="50"/>
      <c r="H598" s="50"/>
    </row>
    <row r="599">
      <c r="D599" s="50"/>
      <c r="E599" s="50"/>
      <c r="F599" s="50"/>
      <c r="G599" s="50"/>
      <c r="H599" s="50"/>
    </row>
    <row r="600">
      <c r="D600" s="50"/>
      <c r="E600" s="50"/>
      <c r="F600" s="50"/>
      <c r="G600" s="50"/>
      <c r="H600" s="50"/>
    </row>
    <row r="601">
      <c r="D601" s="50"/>
      <c r="E601" s="50"/>
      <c r="F601" s="50"/>
      <c r="G601" s="50"/>
      <c r="H601" s="50"/>
    </row>
    <row r="602">
      <c r="D602" s="50"/>
      <c r="E602" s="50"/>
      <c r="F602" s="50"/>
      <c r="G602" s="50"/>
      <c r="H602" s="50"/>
    </row>
    <row r="603">
      <c r="D603" s="50"/>
      <c r="E603" s="50"/>
      <c r="F603" s="50"/>
      <c r="G603" s="50"/>
      <c r="H603" s="50"/>
    </row>
    <row r="604">
      <c r="D604" s="50"/>
      <c r="E604" s="50"/>
      <c r="F604" s="50"/>
      <c r="G604" s="50"/>
      <c r="H604" s="50"/>
    </row>
    <row r="605">
      <c r="D605" s="50"/>
      <c r="E605" s="50"/>
      <c r="F605" s="50"/>
      <c r="G605" s="50"/>
      <c r="H605" s="50"/>
    </row>
    <row r="606">
      <c r="D606" s="50"/>
      <c r="E606" s="50"/>
      <c r="F606" s="50"/>
      <c r="G606" s="50"/>
      <c r="H606" s="50"/>
    </row>
    <row r="607">
      <c r="D607" s="50"/>
      <c r="E607" s="50"/>
      <c r="F607" s="50"/>
      <c r="G607" s="50"/>
      <c r="H607" s="50"/>
    </row>
    <row r="608">
      <c r="D608" s="50"/>
      <c r="E608" s="50"/>
      <c r="F608" s="50"/>
      <c r="G608" s="50"/>
      <c r="H608" s="50"/>
    </row>
    <row r="609">
      <c r="D609" s="50"/>
      <c r="E609" s="50"/>
      <c r="F609" s="50"/>
      <c r="G609" s="50"/>
      <c r="H609" s="50"/>
    </row>
    <row r="610">
      <c r="D610" s="50"/>
      <c r="E610" s="50"/>
      <c r="F610" s="50"/>
      <c r="G610" s="50"/>
      <c r="H610" s="50"/>
    </row>
    <row r="611">
      <c r="D611" s="50"/>
      <c r="E611" s="50"/>
      <c r="F611" s="50"/>
      <c r="G611" s="50"/>
      <c r="H611" s="50"/>
    </row>
    <row r="612">
      <c r="D612" s="50"/>
      <c r="E612" s="50"/>
      <c r="F612" s="50"/>
      <c r="G612" s="50"/>
      <c r="H612" s="50"/>
    </row>
    <row r="613">
      <c r="D613" s="50"/>
      <c r="E613" s="50"/>
      <c r="F613" s="50"/>
      <c r="G613" s="50"/>
      <c r="H613" s="50"/>
    </row>
    <row r="614">
      <c r="D614" s="50"/>
      <c r="E614" s="50"/>
      <c r="F614" s="50"/>
      <c r="G614" s="50"/>
      <c r="H614" s="50"/>
    </row>
    <row r="615">
      <c r="D615" s="50"/>
      <c r="E615" s="50"/>
      <c r="F615" s="50"/>
      <c r="G615" s="50"/>
      <c r="H615" s="50"/>
    </row>
    <row r="616">
      <c r="D616" s="50"/>
      <c r="E616" s="50"/>
      <c r="F616" s="50"/>
      <c r="G616" s="50"/>
      <c r="H616" s="50"/>
    </row>
    <row r="617">
      <c r="D617" s="50"/>
      <c r="E617" s="50"/>
      <c r="F617" s="50"/>
      <c r="G617" s="50"/>
      <c r="H617" s="50"/>
    </row>
    <row r="618">
      <c r="D618" s="50"/>
      <c r="E618" s="50"/>
      <c r="F618" s="50"/>
      <c r="G618" s="50"/>
      <c r="H618" s="50"/>
    </row>
    <row r="619">
      <c r="D619" s="50"/>
      <c r="E619" s="50"/>
      <c r="F619" s="50"/>
      <c r="G619" s="50"/>
      <c r="H619" s="50"/>
    </row>
    <row r="620">
      <c r="D620" s="50"/>
      <c r="E620" s="50"/>
      <c r="F620" s="50"/>
      <c r="G620" s="50"/>
      <c r="H620" s="50"/>
    </row>
    <row r="621">
      <c r="D621" s="50"/>
      <c r="E621" s="50"/>
      <c r="F621" s="50"/>
      <c r="G621" s="50"/>
      <c r="H621" s="50"/>
    </row>
    <row r="622">
      <c r="D622" s="50"/>
      <c r="E622" s="50"/>
      <c r="F622" s="50"/>
      <c r="G622" s="50"/>
      <c r="H622" s="50"/>
    </row>
    <row r="623">
      <c r="D623" s="50"/>
      <c r="E623" s="50"/>
      <c r="F623" s="50"/>
      <c r="G623" s="50"/>
      <c r="H623" s="50"/>
    </row>
    <row r="624">
      <c r="D624" s="50"/>
      <c r="E624" s="50"/>
      <c r="F624" s="50"/>
      <c r="G624" s="50"/>
      <c r="H624" s="50"/>
    </row>
    <row r="625">
      <c r="D625" s="50"/>
      <c r="E625" s="50"/>
      <c r="F625" s="50"/>
      <c r="G625" s="50"/>
      <c r="H625" s="50"/>
    </row>
    <row r="626">
      <c r="D626" s="50"/>
      <c r="E626" s="50"/>
      <c r="F626" s="50"/>
      <c r="G626" s="50"/>
      <c r="H626" s="50"/>
    </row>
    <row r="627">
      <c r="D627" s="50"/>
      <c r="E627" s="50"/>
      <c r="F627" s="50"/>
      <c r="G627" s="50"/>
      <c r="H627" s="50"/>
    </row>
    <row r="628">
      <c r="D628" s="50"/>
      <c r="E628" s="50"/>
      <c r="F628" s="50"/>
      <c r="G628" s="50"/>
      <c r="H628" s="50"/>
    </row>
    <row r="629">
      <c r="D629" s="50"/>
      <c r="E629" s="50"/>
      <c r="F629" s="50"/>
      <c r="G629" s="50"/>
      <c r="H629" s="50"/>
    </row>
    <row r="630">
      <c r="D630" s="50"/>
      <c r="E630" s="50"/>
      <c r="F630" s="50"/>
      <c r="G630" s="50"/>
      <c r="H630" s="50"/>
    </row>
    <row r="631">
      <c r="D631" s="50"/>
      <c r="E631" s="50"/>
      <c r="F631" s="50"/>
      <c r="G631" s="50"/>
      <c r="H631" s="50"/>
    </row>
    <row r="632">
      <c r="D632" s="50"/>
      <c r="E632" s="50"/>
      <c r="F632" s="50"/>
      <c r="G632" s="50"/>
      <c r="H632" s="50"/>
    </row>
    <row r="633">
      <c r="D633" s="50"/>
      <c r="E633" s="50"/>
      <c r="F633" s="50"/>
      <c r="G633" s="50"/>
      <c r="H633" s="50"/>
    </row>
    <row r="634">
      <c r="D634" s="50"/>
      <c r="E634" s="50"/>
      <c r="F634" s="50"/>
      <c r="G634" s="50"/>
      <c r="H634" s="50"/>
    </row>
    <row r="635">
      <c r="D635" s="50"/>
      <c r="E635" s="50"/>
      <c r="F635" s="50"/>
      <c r="G635" s="50"/>
      <c r="H635" s="50"/>
    </row>
    <row r="636">
      <c r="D636" s="50"/>
      <c r="E636" s="50"/>
      <c r="F636" s="50"/>
      <c r="G636" s="50"/>
      <c r="H636" s="50"/>
    </row>
    <row r="637">
      <c r="D637" s="50"/>
      <c r="E637" s="50"/>
      <c r="F637" s="50"/>
      <c r="G637" s="50"/>
      <c r="H637" s="50"/>
    </row>
    <row r="638">
      <c r="D638" s="50"/>
      <c r="E638" s="50"/>
      <c r="F638" s="50"/>
      <c r="G638" s="50"/>
      <c r="H638" s="50"/>
    </row>
    <row r="639">
      <c r="D639" s="50"/>
      <c r="E639" s="50"/>
      <c r="F639" s="50"/>
      <c r="G639" s="50"/>
      <c r="H639" s="50"/>
    </row>
    <row r="640">
      <c r="D640" s="50"/>
      <c r="E640" s="50"/>
      <c r="F640" s="50"/>
      <c r="G640" s="50"/>
      <c r="H640" s="50"/>
    </row>
    <row r="641">
      <c r="D641" s="50"/>
      <c r="E641" s="50"/>
      <c r="F641" s="50"/>
      <c r="G641" s="50"/>
      <c r="H641" s="50"/>
    </row>
    <row r="642">
      <c r="D642" s="50"/>
      <c r="E642" s="50"/>
      <c r="F642" s="50"/>
      <c r="G642" s="50"/>
      <c r="H642" s="50"/>
    </row>
    <row r="643">
      <c r="D643" s="50"/>
      <c r="E643" s="50"/>
      <c r="F643" s="50"/>
      <c r="G643" s="50"/>
      <c r="H643" s="50"/>
    </row>
    <row r="644">
      <c r="D644" s="50"/>
      <c r="E644" s="50"/>
      <c r="F644" s="50"/>
      <c r="G644" s="50"/>
      <c r="H644" s="50"/>
    </row>
    <row r="645">
      <c r="D645" s="50"/>
      <c r="E645" s="50"/>
      <c r="F645" s="50"/>
      <c r="G645" s="50"/>
      <c r="H645" s="50"/>
    </row>
    <row r="646">
      <c r="D646" s="50"/>
      <c r="E646" s="50"/>
      <c r="F646" s="50"/>
      <c r="G646" s="50"/>
      <c r="H646" s="50"/>
    </row>
    <row r="647">
      <c r="D647" s="50"/>
      <c r="E647" s="50"/>
      <c r="F647" s="50"/>
      <c r="G647" s="50"/>
      <c r="H647" s="50"/>
    </row>
    <row r="648">
      <c r="D648" s="50"/>
      <c r="E648" s="50"/>
      <c r="F648" s="50"/>
      <c r="G648" s="50"/>
      <c r="H648" s="50"/>
    </row>
    <row r="649">
      <c r="D649" s="50"/>
      <c r="E649" s="50"/>
      <c r="F649" s="50"/>
      <c r="G649" s="50"/>
      <c r="H649" s="50"/>
    </row>
    <row r="650">
      <c r="D650" s="50"/>
      <c r="E650" s="50"/>
      <c r="F650" s="50"/>
      <c r="G650" s="50"/>
      <c r="H650" s="50"/>
    </row>
    <row r="651">
      <c r="D651" s="50"/>
      <c r="E651" s="50"/>
      <c r="F651" s="50"/>
      <c r="G651" s="50"/>
      <c r="H651" s="50"/>
    </row>
    <row r="652">
      <c r="D652" s="50"/>
      <c r="E652" s="50"/>
      <c r="F652" s="50"/>
      <c r="G652" s="50"/>
      <c r="H652" s="50"/>
    </row>
    <row r="653">
      <c r="D653" s="50"/>
      <c r="E653" s="50"/>
      <c r="F653" s="50"/>
      <c r="G653" s="50"/>
      <c r="H653" s="50"/>
    </row>
    <row r="654">
      <c r="D654" s="50"/>
      <c r="E654" s="50"/>
      <c r="F654" s="50"/>
      <c r="G654" s="50"/>
      <c r="H654" s="50"/>
    </row>
    <row r="655">
      <c r="D655" s="50"/>
      <c r="E655" s="50"/>
      <c r="F655" s="50"/>
      <c r="G655" s="50"/>
      <c r="H655" s="50"/>
    </row>
    <row r="656">
      <c r="D656" s="50"/>
      <c r="E656" s="50"/>
      <c r="F656" s="50"/>
      <c r="G656" s="50"/>
      <c r="H656" s="50"/>
    </row>
    <row r="657">
      <c r="D657" s="50"/>
      <c r="E657" s="50"/>
      <c r="F657" s="50"/>
      <c r="G657" s="50"/>
      <c r="H657" s="50"/>
    </row>
    <row r="658">
      <c r="D658" s="50"/>
      <c r="E658" s="50"/>
      <c r="F658" s="50"/>
      <c r="G658" s="50"/>
      <c r="H658" s="50"/>
    </row>
    <row r="659">
      <c r="D659" s="50"/>
      <c r="E659" s="50"/>
      <c r="F659" s="50"/>
      <c r="G659" s="50"/>
      <c r="H659" s="50"/>
    </row>
    <row r="660">
      <c r="D660" s="50"/>
      <c r="E660" s="50"/>
      <c r="F660" s="50"/>
      <c r="G660" s="50"/>
      <c r="H660" s="50"/>
    </row>
    <row r="661">
      <c r="D661" s="50"/>
      <c r="E661" s="50"/>
      <c r="F661" s="50"/>
      <c r="G661" s="50"/>
      <c r="H661" s="50"/>
    </row>
    <row r="662">
      <c r="D662" s="50"/>
      <c r="E662" s="50"/>
      <c r="F662" s="50"/>
      <c r="G662" s="50"/>
      <c r="H662" s="50"/>
    </row>
    <row r="663">
      <c r="D663" s="50"/>
      <c r="E663" s="50"/>
      <c r="F663" s="50"/>
      <c r="G663" s="50"/>
      <c r="H663" s="50"/>
    </row>
    <row r="664">
      <c r="D664" s="50"/>
      <c r="E664" s="50"/>
      <c r="F664" s="50"/>
      <c r="G664" s="50"/>
      <c r="H664" s="50"/>
    </row>
    <row r="665">
      <c r="D665" s="50"/>
      <c r="E665" s="50"/>
      <c r="F665" s="50"/>
      <c r="G665" s="50"/>
      <c r="H665" s="50"/>
    </row>
    <row r="666">
      <c r="D666" s="50"/>
      <c r="E666" s="50"/>
      <c r="F666" s="50"/>
      <c r="G666" s="50"/>
      <c r="H666" s="50"/>
    </row>
    <row r="667">
      <c r="D667" s="50"/>
      <c r="E667" s="50"/>
      <c r="F667" s="50"/>
      <c r="G667" s="50"/>
      <c r="H667" s="50"/>
    </row>
    <row r="668">
      <c r="D668" s="50"/>
      <c r="E668" s="50"/>
      <c r="F668" s="50"/>
      <c r="G668" s="50"/>
      <c r="H668" s="50"/>
    </row>
    <row r="669">
      <c r="D669" s="50"/>
      <c r="E669" s="50"/>
      <c r="F669" s="50"/>
      <c r="G669" s="50"/>
      <c r="H669" s="50"/>
    </row>
    <row r="670">
      <c r="D670" s="50"/>
      <c r="E670" s="50"/>
      <c r="F670" s="50"/>
      <c r="G670" s="50"/>
      <c r="H670" s="50"/>
    </row>
    <row r="671">
      <c r="D671" s="50"/>
      <c r="E671" s="50"/>
      <c r="F671" s="50"/>
      <c r="G671" s="50"/>
      <c r="H671" s="50"/>
    </row>
    <row r="672">
      <c r="D672" s="50"/>
      <c r="E672" s="50"/>
      <c r="F672" s="50"/>
      <c r="G672" s="50"/>
      <c r="H672" s="50"/>
    </row>
    <row r="673">
      <c r="D673" s="50"/>
      <c r="E673" s="50"/>
      <c r="F673" s="50"/>
      <c r="G673" s="50"/>
      <c r="H673" s="50"/>
    </row>
    <row r="674">
      <c r="D674" s="50"/>
      <c r="E674" s="50"/>
      <c r="F674" s="50"/>
      <c r="G674" s="50"/>
      <c r="H674" s="50"/>
    </row>
    <row r="675">
      <c r="D675" s="50"/>
      <c r="E675" s="50"/>
      <c r="F675" s="50"/>
      <c r="G675" s="50"/>
      <c r="H675" s="50"/>
    </row>
    <row r="676">
      <c r="D676" s="50"/>
      <c r="E676" s="50"/>
      <c r="F676" s="50"/>
      <c r="G676" s="50"/>
      <c r="H676" s="50"/>
    </row>
    <row r="677">
      <c r="D677" s="50"/>
      <c r="E677" s="50"/>
      <c r="F677" s="50"/>
      <c r="G677" s="50"/>
      <c r="H677" s="50"/>
    </row>
    <row r="678">
      <c r="D678" s="50"/>
      <c r="E678" s="50"/>
      <c r="F678" s="50"/>
      <c r="G678" s="50"/>
      <c r="H678" s="50"/>
    </row>
    <row r="679">
      <c r="D679" s="50"/>
      <c r="E679" s="50"/>
      <c r="F679" s="50"/>
      <c r="G679" s="50"/>
      <c r="H679" s="50"/>
    </row>
    <row r="680">
      <c r="D680" s="50"/>
      <c r="E680" s="50"/>
      <c r="F680" s="50"/>
      <c r="G680" s="50"/>
      <c r="H680" s="50"/>
    </row>
    <row r="681">
      <c r="D681" s="50"/>
      <c r="E681" s="50"/>
      <c r="F681" s="50"/>
      <c r="G681" s="50"/>
      <c r="H681" s="50"/>
    </row>
    <row r="682">
      <c r="D682" s="50"/>
      <c r="E682" s="50"/>
      <c r="F682" s="50"/>
      <c r="G682" s="50"/>
      <c r="H682" s="50"/>
    </row>
    <row r="683">
      <c r="D683" s="50"/>
      <c r="E683" s="50"/>
      <c r="F683" s="50"/>
      <c r="G683" s="50"/>
      <c r="H683" s="50"/>
    </row>
    <row r="684">
      <c r="D684" s="50"/>
      <c r="E684" s="50"/>
      <c r="F684" s="50"/>
      <c r="G684" s="50"/>
      <c r="H684" s="50"/>
    </row>
    <row r="685">
      <c r="D685" s="50"/>
      <c r="E685" s="50"/>
      <c r="F685" s="50"/>
      <c r="G685" s="50"/>
      <c r="H685" s="50"/>
    </row>
    <row r="686">
      <c r="D686" s="50"/>
      <c r="E686" s="50"/>
      <c r="F686" s="50"/>
      <c r="G686" s="50"/>
      <c r="H686" s="50"/>
    </row>
    <row r="687">
      <c r="D687" s="50"/>
      <c r="E687" s="50"/>
      <c r="F687" s="50"/>
      <c r="G687" s="50"/>
      <c r="H687" s="50"/>
    </row>
    <row r="688">
      <c r="D688" s="50"/>
      <c r="E688" s="50"/>
      <c r="F688" s="50"/>
      <c r="G688" s="50"/>
      <c r="H688" s="50"/>
    </row>
    <row r="689">
      <c r="D689" s="50"/>
      <c r="E689" s="50"/>
      <c r="F689" s="50"/>
      <c r="G689" s="50"/>
      <c r="H689" s="50"/>
    </row>
    <row r="690">
      <c r="D690" s="50"/>
      <c r="E690" s="50"/>
      <c r="F690" s="50"/>
      <c r="G690" s="50"/>
      <c r="H690" s="50"/>
    </row>
    <row r="691">
      <c r="D691" s="50"/>
      <c r="E691" s="50"/>
      <c r="F691" s="50"/>
      <c r="G691" s="50"/>
      <c r="H691" s="50"/>
    </row>
    <row r="692">
      <c r="D692" s="50"/>
      <c r="E692" s="50"/>
      <c r="F692" s="50"/>
      <c r="G692" s="50"/>
      <c r="H692" s="50"/>
    </row>
    <row r="693">
      <c r="D693" s="50"/>
      <c r="E693" s="50"/>
      <c r="F693" s="50"/>
      <c r="G693" s="50"/>
      <c r="H693" s="50"/>
    </row>
    <row r="694">
      <c r="D694" s="50"/>
      <c r="E694" s="50"/>
      <c r="F694" s="50"/>
      <c r="G694" s="50"/>
      <c r="H694" s="50"/>
    </row>
    <row r="695">
      <c r="D695" s="50"/>
      <c r="E695" s="50"/>
      <c r="F695" s="50"/>
      <c r="G695" s="50"/>
      <c r="H695" s="50"/>
    </row>
    <row r="696">
      <c r="D696" s="50"/>
      <c r="E696" s="50"/>
      <c r="F696" s="50"/>
      <c r="G696" s="50"/>
      <c r="H696" s="50"/>
    </row>
    <row r="697">
      <c r="D697" s="50"/>
      <c r="E697" s="50"/>
      <c r="F697" s="50"/>
      <c r="G697" s="50"/>
      <c r="H697" s="50"/>
    </row>
    <row r="698">
      <c r="D698" s="50"/>
      <c r="E698" s="50"/>
      <c r="F698" s="50"/>
      <c r="G698" s="50"/>
      <c r="H698" s="50"/>
    </row>
    <row r="699">
      <c r="D699" s="50"/>
      <c r="E699" s="50"/>
      <c r="F699" s="50"/>
      <c r="G699" s="50"/>
      <c r="H699" s="50"/>
    </row>
    <row r="700">
      <c r="D700" s="50"/>
      <c r="E700" s="50"/>
      <c r="F700" s="50"/>
      <c r="G700" s="50"/>
      <c r="H700" s="50"/>
    </row>
    <row r="701">
      <c r="D701" s="50"/>
      <c r="E701" s="50"/>
      <c r="F701" s="50"/>
      <c r="G701" s="50"/>
      <c r="H701" s="50"/>
    </row>
    <row r="702">
      <c r="D702" s="50"/>
      <c r="E702" s="50"/>
      <c r="F702" s="50"/>
      <c r="G702" s="50"/>
      <c r="H702" s="50"/>
    </row>
    <row r="703">
      <c r="D703" s="50"/>
      <c r="E703" s="50"/>
      <c r="F703" s="50"/>
      <c r="G703" s="50"/>
      <c r="H703" s="50"/>
    </row>
    <row r="704">
      <c r="D704" s="50"/>
      <c r="E704" s="50"/>
      <c r="F704" s="50"/>
      <c r="G704" s="50"/>
      <c r="H704" s="50"/>
    </row>
    <row r="705">
      <c r="D705" s="50"/>
      <c r="E705" s="50"/>
      <c r="F705" s="50"/>
      <c r="G705" s="50"/>
      <c r="H705" s="50"/>
    </row>
    <row r="706">
      <c r="D706" s="50"/>
      <c r="E706" s="50"/>
      <c r="F706" s="50"/>
      <c r="G706" s="50"/>
      <c r="H706" s="50"/>
    </row>
    <row r="707">
      <c r="D707" s="50"/>
      <c r="E707" s="50"/>
      <c r="F707" s="50"/>
      <c r="G707" s="50"/>
      <c r="H707" s="50"/>
    </row>
    <row r="708">
      <c r="D708" s="50"/>
      <c r="E708" s="50"/>
      <c r="F708" s="50"/>
      <c r="G708" s="50"/>
      <c r="H708" s="50"/>
    </row>
    <row r="709">
      <c r="D709" s="50"/>
      <c r="E709" s="50"/>
      <c r="F709" s="50"/>
      <c r="G709" s="50"/>
      <c r="H709" s="50"/>
    </row>
    <row r="710">
      <c r="D710" s="50"/>
      <c r="E710" s="50"/>
      <c r="F710" s="50"/>
      <c r="G710" s="50"/>
      <c r="H710" s="50"/>
    </row>
    <row r="711">
      <c r="D711" s="50"/>
      <c r="E711" s="50"/>
      <c r="F711" s="50"/>
      <c r="G711" s="50"/>
      <c r="H711" s="50"/>
    </row>
    <row r="712">
      <c r="D712" s="50"/>
      <c r="E712" s="50"/>
      <c r="F712" s="50"/>
      <c r="G712" s="50"/>
      <c r="H712" s="50"/>
    </row>
    <row r="713">
      <c r="D713" s="50"/>
      <c r="E713" s="50"/>
      <c r="F713" s="50"/>
      <c r="G713" s="50"/>
      <c r="H713" s="50"/>
    </row>
    <row r="714">
      <c r="D714" s="50"/>
      <c r="E714" s="50"/>
      <c r="F714" s="50"/>
      <c r="G714" s="50"/>
      <c r="H714" s="50"/>
    </row>
    <row r="715">
      <c r="D715" s="50"/>
      <c r="E715" s="50"/>
      <c r="F715" s="50"/>
      <c r="G715" s="50"/>
      <c r="H715" s="50"/>
    </row>
    <row r="716">
      <c r="D716" s="50"/>
      <c r="E716" s="50"/>
      <c r="F716" s="50"/>
      <c r="G716" s="50"/>
      <c r="H716" s="50"/>
    </row>
    <row r="717">
      <c r="D717" s="50"/>
      <c r="E717" s="50"/>
      <c r="F717" s="50"/>
      <c r="G717" s="50"/>
      <c r="H717" s="50"/>
    </row>
    <row r="718">
      <c r="D718" s="50"/>
      <c r="E718" s="50"/>
      <c r="F718" s="50"/>
      <c r="G718" s="50"/>
      <c r="H718" s="50"/>
    </row>
    <row r="719">
      <c r="D719" s="50"/>
      <c r="E719" s="50"/>
      <c r="F719" s="50"/>
      <c r="G719" s="50"/>
      <c r="H719" s="50"/>
    </row>
    <row r="720">
      <c r="D720" s="50"/>
      <c r="E720" s="50"/>
      <c r="F720" s="50"/>
      <c r="G720" s="50"/>
      <c r="H720" s="50"/>
    </row>
    <row r="721">
      <c r="D721" s="50"/>
      <c r="E721" s="50"/>
      <c r="F721" s="50"/>
      <c r="G721" s="50"/>
      <c r="H721" s="50"/>
    </row>
    <row r="722">
      <c r="D722" s="50"/>
      <c r="E722" s="50"/>
      <c r="F722" s="50"/>
      <c r="G722" s="50"/>
      <c r="H722" s="50"/>
    </row>
    <row r="723">
      <c r="D723" s="50"/>
      <c r="E723" s="50"/>
      <c r="F723" s="50"/>
      <c r="G723" s="50"/>
      <c r="H723" s="50"/>
    </row>
    <row r="724">
      <c r="D724" s="50"/>
      <c r="E724" s="50"/>
      <c r="F724" s="50"/>
      <c r="G724" s="50"/>
      <c r="H724" s="50"/>
    </row>
    <row r="725">
      <c r="D725" s="50"/>
      <c r="E725" s="50"/>
      <c r="F725" s="50"/>
      <c r="G725" s="50"/>
      <c r="H725" s="50"/>
    </row>
    <row r="726">
      <c r="D726" s="50"/>
      <c r="E726" s="50"/>
      <c r="F726" s="50"/>
      <c r="G726" s="50"/>
      <c r="H726" s="50"/>
    </row>
    <row r="727">
      <c r="D727" s="50"/>
      <c r="E727" s="50"/>
      <c r="F727" s="50"/>
      <c r="G727" s="50"/>
      <c r="H727" s="50"/>
    </row>
    <row r="728">
      <c r="D728" s="50"/>
      <c r="E728" s="50"/>
      <c r="F728" s="50"/>
      <c r="G728" s="50"/>
      <c r="H728" s="50"/>
    </row>
    <row r="729">
      <c r="D729" s="50"/>
      <c r="E729" s="50"/>
      <c r="F729" s="50"/>
      <c r="G729" s="50"/>
      <c r="H729" s="50"/>
    </row>
    <row r="730">
      <c r="D730" s="50"/>
      <c r="E730" s="50"/>
      <c r="F730" s="50"/>
      <c r="G730" s="50"/>
      <c r="H730" s="50"/>
    </row>
    <row r="731">
      <c r="D731" s="50"/>
      <c r="E731" s="50"/>
      <c r="F731" s="50"/>
      <c r="G731" s="50"/>
      <c r="H731" s="50"/>
    </row>
    <row r="732">
      <c r="D732" s="50"/>
      <c r="E732" s="50"/>
      <c r="F732" s="50"/>
      <c r="G732" s="50"/>
      <c r="H732" s="50"/>
    </row>
    <row r="733">
      <c r="D733" s="50"/>
      <c r="E733" s="50"/>
      <c r="F733" s="50"/>
      <c r="G733" s="50"/>
      <c r="H733" s="50"/>
    </row>
    <row r="734">
      <c r="D734" s="50"/>
      <c r="E734" s="50"/>
      <c r="F734" s="50"/>
      <c r="G734" s="50"/>
      <c r="H734" s="50"/>
    </row>
    <row r="735">
      <c r="D735" s="50"/>
      <c r="E735" s="50"/>
      <c r="F735" s="50"/>
      <c r="G735" s="50"/>
      <c r="H735" s="50"/>
    </row>
    <row r="736">
      <c r="D736" s="50"/>
      <c r="E736" s="50"/>
      <c r="F736" s="50"/>
      <c r="G736" s="50"/>
      <c r="H736" s="50"/>
    </row>
    <row r="737">
      <c r="D737" s="50"/>
      <c r="E737" s="50"/>
      <c r="F737" s="50"/>
      <c r="G737" s="50"/>
      <c r="H737" s="50"/>
    </row>
    <row r="738">
      <c r="D738" s="50"/>
      <c r="E738" s="50"/>
      <c r="F738" s="50"/>
      <c r="G738" s="50"/>
      <c r="H738" s="50"/>
    </row>
    <row r="739">
      <c r="D739" s="50"/>
      <c r="E739" s="50"/>
      <c r="F739" s="50"/>
      <c r="G739" s="50"/>
      <c r="H739" s="50"/>
    </row>
    <row r="740">
      <c r="D740" s="50"/>
      <c r="E740" s="50"/>
      <c r="F740" s="50"/>
      <c r="G740" s="50"/>
      <c r="H740" s="50"/>
    </row>
    <row r="741">
      <c r="D741" s="50"/>
      <c r="E741" s="50"/>
      <c r="F741" s="50"/>
      <c r="G741" s="50"/>
      <c r="H741" s="50"/>
    </row>
    <row r="742">
      <c r="D742" s="50"/>
      <c r="E742" s="50"/>
      <c r="F742" s="50"/>
      <c r="G742" s="50"/>
      <c r="H742" s="50"/>
    </row>
    <row r="743">
      <c r="D743" s="50"/>
      <c r="E743" s="50"/>
      <c r="F743" s="50"/>
      <c r="G743" s="50"/>
      <c r="H743" s="50"/>
    </row>
    <row r="744">
      <c r="D744" s="50"/>
      <c r="E744" s="50"/>
      <c r="F744" s="50"/>
      <c r="G744" s="50"/>
      <c r="H744" s="50"/>
    </row>
    <row r="745">
      <c r="D745" s="50"/>
      <c r="E745" s="50"/>
      <c r="F745" s="50"/>
      <c r="G745" s="50"/>
      <c r="H745" s="50"/>
    </row>
    <row r="746">
      <c r="D746" s="50"/>
      <c r="E746" s="50"/>
      <c r="F746" s="50"/>
      <c r="G746" s="50"/>
      <c r="H746" s="50"/>
    </row>
    <row r="747">
      <c r="D747" s="50"/>
      <c r="E747" s="50"/>
      <c r="F747" s="50"/>
      <c r="G747" s="50"/>
      <c r="H747" s="50"/>
    </row>
    <row r="748">
      <c r="D748" s="50"/>
      <c r="E748" s="50"/>
      <c r="F748" s="50"/>
      <c r="G748" s="50"/>
      <c r="H748" s="50"/>
    </row>
    <row r="749">
      <c r="D749" s="50"/>
      <c r="E749" s="50"/>
      <c r="F749" s="50"/>
      <c r="G749" s="50"/>
      <c r="H749" s="50"/>
    </row>
    <row r="750">
      <c r="D750" s="50"/>
      <c r="E750" s="50"/>
      <c r="F750" s="50"/>
      <c r="G750" s="50"/>
      <c r="H750" s="50"/>
    </row>
    <row r="751">
      <c r="D751" s="50"/>
      <c r="E751" s="50"/>
      <c r="F751" s="50"/>
      <c r="G751" s="50"/>
      <c r="H751" s="50"/>
    </row>
    <row r="752">
      <c r="D752" s="50"/>
      <c r="E752" s="50"/>
      <c r="F752" s="50"/>
      <c r="G752" s="50"/>
      <c r="H752" s="50"/>
    </row>
    <row r="753">
      <c r="D753" s="50"/>
      <c r="E753" s="50"/>
      <c r="F753" s="50"/>
      <c r="G753" s="50"/>
      <c r="H753" s="50"/>
    </row>
    <row r="754">
      <c r="D754" s="50"/>
      <c r="E754" s="50"/>
      <c r="F754" s="50"/>
      <c r="G754" s="50"/>
      <c r="H754" s="50"/>
    </row>
    <row r="755">
      <c r="D755" s="50"/>
      <c r="E755" s="50"/>
      <c r="F755" s="50"/>
      <c r="G755" s="50"/>
      <c r="H755" s="50"/>
    </row>
    <row r="756">
      <c r="D756" s="50"/>
      <c r="E756" s="50"/>
      <c r="F756" s="50"/>
      <c r="G756" s="50"/>
      <c r="H756" s="50"/>
    </row>
    <row r="757">
      <c r="D757" s="50"/>
      <c r="E757" s="50"/>
      <c r="F757" s="50"/>
      <c r="G757" s="50"/>
      <c r="H757" s="50"/>
    </row>
    <row r="758">
      <c r="D758" s="50"/>
      <c r="E758" s="50"/>
      <c r="F758" s="50"/>
      <c r="G758" s="50"/>
      <c r="H758" s="50"/>
    </row>
    <row r="759">
      <c r="D759" s="50"/>
      <c r="E759" s="50"/>
      <c r="F759" s="50"/>
      <c r="G759" s="50"/>
      <c r="H759" s="50"/>
    </row>
    <row r="760">
      <c r="D760" s="50"/>
      <c r="E760" s="50"/>
      <c r="F760" s="50"/>
      <c r="G760" s="50"/>
      <c r="H760" s="50"/>
    </row>
    <row r="761">
      <c r="D761" s="50"/>
      <c r="E761" s="50"/>
      <c r="F761" s="50"/>
      <c r="G761" s="50"/>
      <c r="H761" s="50"/>
    </row>
    <row r="762">
      <c r="D762" s="50"/>
      <c r="E762" s="50"/>
      <c r="F762" s="50"/>
      <c r="G762" s="50"/>
      <c r="H762" s="50"/>
    </row>
    <row r="763">
      <c r="D763" s="50"/>
      <c r="E763" s="50"/>
      <c r="F763" s="50"/>
      <c r="G763" s="50"/>
      <c r="H763" s="50"/>
    </row>
    <row r="764">
      <c r="D764" s="50"/>
      <c r="E764" s="50"/>
      <c r="F764" s="50"/>
      <c r="G764" s="50"/>
      <c r="H764" s="50"/>
    </row>
    <row r="765">
      <c r="D765" s="50"/>
      <c r="E765" s="50"/>
      <c r="F765" s="50"/>
      <c r="G765" s="50"/>
      <c r="H765" s="50"/>
    </row>
    <row r="766">
      <c r="D766" s="50"/>
      <c r="E766" s="50"/>
      <c r="F766" s="50"/>
      <c r="G766" s="50"/>
      <c r="H766" s="50"/>
    </row>
    <row r="767">
      <c r="D767" s="50"/>
      <c r="E767" s="50"/>
      <c r="F767" s="50"/>
      <c r="G767" s="50"/>
      <c r="H767" s="50"/>
    </row>
    <row r="768">
      <c r="D768" s="50"/>
      <c r="E768" s="50"/>
      <c r="F768" s="50"/>
      <c r="G768" s="50"/>
      <c r="H768" s="50"/>
    </row>
    <row r="769">
      <c r="D769" s="50"/>
      <c r="E769" s="50"/>
      <c r="F769" s="50"/>
      <c r="G769" s="50"/>
      <c r="H769" s="50"/>
    </row>
    <row r="770">
      <c r="D770" s="50"/>
      <c r="E770" s="50"/>
      <c r="F770" s="50"/>
      <c r="G770" s="50"/>
      <c r="H770" s="50"/>
    </row>
    <row r="771">
      <c r="D771" s="50"/>
      <c r="E771" s="50"/>
      <c r="F771" s="50"/>
      <c r="G771" s="50"/>
      <c r="H771" s="50"/>
    </row>
    <row r="772">
      <c r="D772" s="50"/>
      <c r="E772" s="50"/>
      <c r="F772" s="50"/>
      <c r="G772" s="50"/>
      <c r="H772" s="50"/>
    </row>
    <row r="773">
      <c r="D773" s="50"/>
      <c r="E773" s="50"/>
      <c r="F773" s="50"/>
      <c r="G773" s="50"/>
      <c r="H773" s="50"/>
    </row>
    <row r="774">
      <c r="D774" s="50"/>
      <c r="E774" s="50"/>
      <c r="F774" s="50"/>
      <c r="G774" s="50"/>
      <c r="H774" s="50"/>
    </row>
    <row r="775">
      <c r="D775" s="50"/>
      <c r="E775" s="50"/>
      <c r="F775" s="50"/>
      <c r="G775" s="50"/>
      <c r="H775" s="50"/>
    </row>
    <row r="776">
      <c r="D776" s="50"/>
      <c r="E776" s="50"/>
      <c r="F776" s="50"/>
      <c r="G776" s="50"/>
      <c r="H776" s="50"/>
    </row>
    <row r="777">
      <c r="D777" s="50"/>
      <c r="E777" s="50"/>
      <c r="F777" s="50"/>
      <c r="G777" s="50"/>
      <c r="H777" s="50"/>
    </row>
    <row r="778">
      <c r="D778" s="50"/>
      <c r="E778" s="50"/>
      <c r="F778" s="50"/>
      <c r="G778" s="50"/>
      <c r="H778" s="50"/>
    </row>
    <row r="779">
      <c r="D779" s="50"/>
      <c r="E779" s="50"/>
      <c r="F779" s="50"/>
      <c r="G779" s="50"/>
      <c r="H779" s="50"/>
    </row>
    <row r="780">
      <c r="D780" s="50"/>
      <c r="E780" s="50"/>
      <c r="F780" s="50"/>
      <c r="G780" s="50"/>
      <c r="H780" s="50"/>
    </row>
    <row r="781">
      <c r="D781" s="50"/>
      <c r="E781" s="50"/>
      <c r="F781" s="50"/>
      <c r="G781" s="50"/>
      <c r="H781" s="50"/>
    </row>
    <row r="782">
      <c r="D782" s="50"/>
      <c r="E782" s="50"/>
      <c r="F782" s="50"/>
      <c r="G782" s="50"/>
      <c r="H782" s="50"/>
    </row>
    <row r="783">
      <c r="D783" s="50"/>
      <c r="E783" s="50"/>
      <c r="F783" s="50"/>
      <c r="G783" s="50"/>
      <c r="H783" s="50"/>
    </row>
    <row r="784">
      <c r="D784" s="50"/>
      <c r="E784" s="50"/>
      <c r="F784" s="50"/>
      <c r="G784" s="50"/>
      <c r="H784" s="50"/>
    </row>
    <row r="785">
      <c r="D785" s="50"/>
      <c r="E785" s="50"/>
      <c r="F785" s="50"/>
      <c r="G785" s="50"/>
      <c r="H785" s="50"/>
    </row>
    <row r="786">
      <c r="D786" s="50"/>
      <c r="E786" s="50"/>
      <c r="F786" s="50"/>
      <c r="G786" s="50"/>
      <c r="H786" s="50"/>
    </row>
    <row r="787">
      <c r="D787" s="50"/>
      <c r="E787" s="50"/>
      <c r="F787" s="50"/>
      <c r="G787" s="50"/>
      <c r="H787" s="50"/>
    </row>
    <row r="788">
      <c r="D788" s="50"/>
      <c r="E788" s="50"/>
      <c r="F788" s="50"/>
      <c r="G788" s="50"/>
      <c r="H788" s="50"/>
    </row>
    <row r="789">
      <c r="D789" s="50"/>
      <c r="E789" s="50"/>
      <c r="F789" s="50"/>
      <c r="G789" s="50"/>
      <c r="H789" s="50"/>
    </row>
    <row r="790">
      <c r="D790" s="50"/>
      <c r="E790" s="50"/>
      <c r="F790" s="50"/>
      <c r="G790" s="50"/>
      <c r="H790" s="50"/>
    </row>
    <row r="791">
      <c r="D791" s="50"/>
      <c r="E791" s="50"/>
      <c r="F791" s="50"/>
      <c r="G791" s="50"/>
      <c r="H791" s="50"/>
    </row>
    <row r="792">
      <c r="D792" s="50"/>
      <c r="E792" s="50"/>
      <c r="F792" s="50"/>
      <c r="G792" s="50"/>
      <c r="H792" s="50"/>
    </row>
    <row r="793">
      <c r="D793" s="50"/>
      <c r="E793" s="50"/>
      <c r="F793" s="50"/>
      <c r="G793" s="50"/>
      <c r="H793" s="50"/>
    </row>
    <row r="794">
      <c r="D794" s="50"/>
      <c r="E794" s="50"/>
      <c r="F794" s="50"/>
      <c r="G794" s="50"/>
      <c r="H794" s="50"/>
    </row>
    <row r="795">
      <c r="D795" s="50"/>
      <c r="E795" s="50"/>
      <c r="F795" s="50"/>
      <c r="G795" s="50"/>
      <c r="H795" s="50"/>
    </row>
    <row r="796">
      <c r="D796" s="50"/>
      <c r="E796" s="50"/>
      <c r="F796" s="50"/>
      <c r="G796" s="50"/>
      <c r="H796" s="50"/>
    </row>
    <row r="797">
      <c r="D797" s="50"/>
      <c r="E797" s="50"/>
      <c r="F797" s="50"/>
      <c r="G797" s="50"/>
      <c r="H797" s="50"/>
    </row>
    <row r="798">
      <c r="D798" s="50"/>
      <c r="E798" s="50"/>
      <c r="F798" s="50"/>
      <c r="G798" s="50"/>
      <c r="H798" s="50"/>
    </row>
    <row r="799">
      <c r="D799" s="50"/>
      <c r="E799" s="50"/>
      <c r="F799" s="50"/>
      <c r="G799" s="50"/>
      <c r="H799" s="50"/>
    </row>
    <row r="800">
      <c r="D800" s="50"/>
      <c r="E800" s="50"/>
      <c r="F800" s="50"/>
      <c r="G800" s="50"/>
      <c r="H800" s="50"/>
    </row>
    <row r="801">
      <c r="D801" s="50"/>
      <c r="E801" s="50"/>
      <c r="F801" s="50"/>
      <c r="G801" s="50"/>
      <c r="H801" s="50"/>
    </row>
    <row r="802">
      <c r="D802" s="50"/>
      <c r="E802" s="50"/>
      <c r="F802" s="50"/>
      <c r="G802" s="50"/>
      <c r="H802" s="50"/>
    </row>
    <row r="803">
      <c r="D803" s="50"/>
      <c r="E803" s="50"/>
      <c r="F803" s="50"/>
      <c r="G803" s="50"/>
      <c r="H803" s="50"/>
    </row>
    <row r="804">
      <c r="D804" s="50"/>
      <c r="E804" s="50"/>
      <c r="F804" s="50"/>
      <c r="G804" s="50"/>
      <c r="H804" s="50"/>
    </row>
    <row r="805">
      <c r="D805" s="50"/>
      <c r="E805" s="50"/>
      <c r="F805" s="50"/>
      <c r="G805" s="50"/>
      <c r="H805" s="50"/>
    </row>
    <row r="806">
      <c r="D806" s="50"/>
      <c r="E806" s="50"/>
      <c r="F806" s="50"/>
      <c r="G806" s="50"/>
      <c r="H806" s="50"/>
    </row>
    <row r="807">
      <c r="D807" s="50"/>
      <c r="E807" s="50"/>
      <c r="F807" s="50"/>
      <c r="G807" s="50"/>
      <c r="H807" s="50"/>
    </row>
    <row r="808">
      <c r="D808" s="50"/>
      <c r="E808" s="50"/>
      <c r="F808" s="50"/>
      <c r="G808" s="50"/>
      <c r="H808" s="50"/>
    </row>
    <row r="809">
      <c r="D809" s="50"/>
      <c r="E809" s="50"/>
      <c r="F809" s="50"/>
      <c r="G809" s="50"/>
      <c r="H809" s="50"/>
    </row>
    <row r="810">
      <c r="D810" s="50"/>
      <c r="E810" s="50"/>
      <c r="F810" s="50"/>
      <c r="G810" s="50"/>
      <c r="H810" s="50"/>
    </row>
    <row r="811">
      <c r="D811" s="50"/>
      <c r="E811" s="50"/>
      <c r="F811" s="50"/>
      <c r="G811" s="50"/>
      <c r="H811" s="50"/>
    </row>
    <row r="812">
      <c r="D812" s="50"/>
      <c r="E812" s="50"/>
      <c r="F812" s="50"/>
      <c r="G812" s="50"/>
      <c r="H812" s="50"/>
    </row>
    <row r="813">
      <c r="D813" s="50"/>
      <c r="E813" s="50"/>
      <c r="F813" s="50"/>
      <c r="G813" s="50"/>
      <c r="H813" s="50"/>
    </row>
    <row r="814">
      <c r="D814" s="50"/>
      <c r="E814" s="50"/>
      <c r="F814" s="50"/>
      <c r="G814" s="50"/>
      <c r="H814" s="50"/>
    </row>
    <row r="815">
      <c r="D815" s="50"/>
      <c r="E815" s="50"/>
      <c r="F815" s="50"/>
      <c r="G815" s="50"/>
      <c r="H815" s="50"/>
    </row>
    <row r="816">
      <c r="D816" s="50"/>
      <c r="E816" s="50"/>
      <c r="F816" s="50"/>
      <c r="G816" s="50"/>
      <c r="H816" s="50"/>
    </row>
    <row r="817">
      <c r="D817" s="50"/>
      <c r="E817" s="50"/>
      <c r="F817" s="50"/>
      <c r="G817" s="50"/>
      <c r="H817" s="50"/>
    </row>
    <row r="818">
      <c r="D818" s="50"/>
      <c r="E818" s="50"/>
      <c r="F818" s="50"/>
      <c r="G818" s="50"/>
      <c r="H818" s="50"/>
    </row>
    <row r="819">
      <c r="D819" s="50"/>
      <c r="E819" s="50"/>
      <c r="F819" s="50"/>
      <c r="G819" s="50"/>
      <c r="H819" s="50"/>
    </row>
    <row r="820">
      <c r="D820" s="50"/>
      <c r="E820" s="50"/>
      <c r="F820" s="50"/>
      <c r="G820" s="50"/>
      <c r="H820" s="50"/>
    </row>
    <row r="821">
      <c r="D821" s="50"/>
      <c r="E821" s="50"/>
      <c r="F821" s="50"/>
      <c r="G821" s="50"/>
      <c r="H821" s="50"/>
    </row>
    <row r="822">
      <c r="D822" s="50"/>
      <c r="E822" s="50"/>
      <c r="F822" s="50"/>
      <c r="G822" s="50"/>
      <c r="H822" s="50"/>
    </row>
    <row r="823">
      <c r="D823" s="50"/>
      <c r="E823" s="50"/>
      <c r="F823" s="50"/>
      <c r="G823" s="50"/>
      <c r="H823" s="50"/>
    </row>
    <row r="824">
      <c r="D824" s="50"/>
      <c r="E824" s="50"/>
      <c r="F824" s="50"/>
      <c r="G824" s="50"/>
      <c r="H824" s="50"/>
    </row>
    <row r="825">
      <c r="D825" s="50"/>
      <c r="E825" s="50"/>
      <c r="F825" s="50"/>
      <c r="G825" s="50"/>
      <c r="H825" s="50"/>
    </row>
    <row r="826">
      <c r="D826" s="50"/>
      <c r="E826" s="50"/>
      <c r="F826" s="50"/>
      <c r="G826" s="50"/>
      <c r="H826" s="50"/>
    </row>
    <row r="827">
      <c r="D827" s="50"/>
      <c r="E827" s="50"/>
      <c r="F827" s="50"/>
      <c r="G827" s="50"/>
      <c r="H827" s="50"/>
    </row>
    <row r="828">
      <c r="D828" s="50"/>
      <c r="E828" s="50"/>
      <c r="F828" s="50"/>
      <c r="G828" s="50"/>
      <c r="H828" s="50"/>
    </row>
    <row r="829">
      <c r="D829" s="50"/>
      <c r="E829" s="50"/>
      <c r="F829" s="50"/>
      <c r="G829" s="50"/>
      <c r="H829" s="50"/>
    </row>
    <row r="830">
      <c r="D830" s="50"/>
      <c r="E830" s="50"/>
      <c r="F830" s="50"/>
      <c r="G830" s="50"/>
      <c r="H830" s="50"/>
    </row>
    <row r="831">
      <c r="D831" s="50"/>
      <c r="E831" s="50"/>
      <c r="F831" s="50"/>
      <c r="G831" s="50"/>
      <c r="H831" s="50"/>
    </row>
    <row r="832">
      <c r="D832" s="50"/>
      <c r="E832" s="50"/>
      <c r="F832" s="50"/>
      <c r="G832" s="50"/>
      <c r="H832" s="50"/>
    </row>
    <row r="833">
      <c r="D833" s="50"/>
      <c r="E833" s="50"/>
      <c r="F833" s="50"/>
      <c r="G833" s="50"/>
      <c r="H833" s="50"/>
    </row>
    <row r="834">
      <c r="D834" s="50"/>
      <c r="E834" s="50"/>
      <c r="F834" s="50"/>
      <c r="G834" s="50"/>
      <c r="H834" s="50"/>
    </row>
    <row r="835">
      <c r="D835" s="50"/>
      <c r="E835" s="50"/>
      <c r="F835" s="50"/>
      <c r="G835" s="50"/>
      <c r="H835" s="50"/>
    </row>
    <row r="836">
      <c r="D836" s="50"/>
      <c r="E836" s="50"/>
      <c r="F836" s="50"/>
      <c r="G836" s="50"/>
      <c r="H836" s="50"/>
    </row>
    <row r="837">
      <c r="D837" s="50"/>
      <c r="E837" s="50"/>
      <c r="F837" s="50"/>
      <c r="G837" s="50"/>
      <c r="H837" s="50"/>
    </row>
    <row r="838">
      <c r="D838" s="50"/>
      <c r="E838" s="50"/>
      <c r="F838" s="50"/>
      <c r="G838" s="50"/>
      <c r="H838" s="50"/>
    </row>
    <row r="839">
      <c r="D839" s="50"/>
      <c r="E839" s="50"/>
      <c r="F839" s="50"/>
      <c r="G839" s="50"/>
      <c r="H839" s="50"/>
    </row>
    <row r="840">
      <c r="D840" s="50"/>
      <c r="E840" s="50"/>
      <c r="F840" s="50"/>
      <c r="G840" s="50"/>
      <c r="H840" s="50"/>
    </row>
    <row r="841">
      <c r="D841" s="50"/>
      <c r="E841" s="50"/>
      <c r="F841" s="50"/>
      <c r="G841" s="50"/>
      <c r="H841" s="50"/>
    </row>
    <row r="842">
      <c r="D842" s="50"/>
      <c r="E842" s="50"/>
      <c r="F842" s="50"/>
      <c r="G842" s="50"/>
      <c r="H842" s="50"/>
    </row>
    <row r="843">
      <c r="D843" s="50"/>
      <c r="E843" s="50"/>
      <c r="F843" s="50"/>
      <c r="G843" s="50"/>
      <c r="H843" s="50"/>
    </row>
    <row r="844">
      <c r="D844" s="50"/>
      <c r="E844" s="50"/>
      <c r="F844" s="50"/>
      <c r="G844" s="50"/>
      <c r="H844" s="50"/>
    </row>
    <row r="845">
      <c r="D845" s="50"/>
      <c r="E845" s="50"/>
      <c r="F845" s="50"/>
      <c r="G845" s="50"/>
      <c r="H845" s="50"/>
    </row>
    <row r="846">
      <c r="D846" s="50"/>
      <c r="E846" s="50"/>
      <c r="F846" s="50"/>
      <c r="G846" s="50"/>
      <c r="H846" s="50"/>
    </row>
    <row r="847">
      <c r="D847" s="50"/>
      <c r="E847" s="50"/>
      <c r="F847" s="50"/>
      <c r="G847" s="50"/>
      <c r="H847" s="50"/>
    </row>
    <row r="848">
      <c r="D848" s="50"/>
      <c r="E848" s="50"/>
      <c r="F848" s="50"/>
      <c r="G848" s="50"/>
      <c r="H848" s="50"/>
    </row>
    <row r="849">
      <c r="D849" s="50"/>
      <c r="E849" s="50"/>
      <c r="F849" s="50"/>
      <c r="G849" s="50"/>
      <c r="H849" s="50"/>
    </row>
    <row r="850">
      <c r="D850" s="50"/>
      <c r="E850" s="50"/>
      <c r="F850" s="50"/>
      <c r="G850" s="50"/>
      <c r="H850" s="50"/>
    </row>
    <row r="851">
      <c r="D851" s="50"/>
      <c r="E851" s="50"/>
      <c r="F851" s="50"/>
      <c r="G851" s="50"/>
      <c r="H851" s="50"/>
    </row>
    <row r="852">
      <c r="D852" s="50"/>
      <c r="E852" s="50"/>
      <c r="F852" s="50"/>
      <c r="G852" s="50"/>
      <c r="H852" s="50"/>
    </row>
    <row r="853">
      <c r="D853" s="50"/>
      <c r="E853" s="50"/>
      <c r="F853" s="50"/>
      <c r="G853" s="50"/>
      <c r="H853" s="50"/>
    </row>
    <row r="854">
      <c r="D854" s="50"/>
      <c r="E854" s="50"/>
      <c r="F854" s="50"/>
      <c r="G854" s="50"/>
      <c r="H854" s="50"/>
    </row>
    <row r="855">
      <c r="D855" s="50"/>
      <c r="E855" s="50"/>
      <c r="F855" s="50"/>
      <c r="G855" s="50"/>
      <c r="H855" s="50"/>
    </row>
    <row r="856">
      <c r="D856" s="50"/>
      <c r="E856" s="50"/>
      <c r="F856" s="50"/>
      <c r="G856" s="50"/>
      <c r="H856" s="50"/>
    </row>
    <row r="857">
      <c r="D857" s="50"/>
      <c r="E857" s="50"/>
      <c r="F857" s="50"/>
      <c r="G857" s="50"/>
      <c r="H857" s="50"/>
    </row>
    <row r="858">
      <c r="D858" s="50"/>
      <c r="E858" s="50"/>
      <c r="F858" s="50"/>
      <c r="G858" s="50"/>
      <c r="H858" s="50"/>
    </row>
    <row r="859">
      <c r="D859" s="50"/>
      <c r="E859" s="50"/>
      <c r="F859" s="50"/>
      <c r="G859" s="50"/>
      <c r="H859" s="50"/>
    </row>
    <row r="860">
      <c r="D860" s="50"/>
      <c r="E860" s="50"/>
      <c r="F860" s="50"/>
      <c r="G860" s="50"/>
      <c r="H860" s="50"/>
    </row>
    <row r="861">
      <c r="D861" s="50"/>
      <c r="E861" s="50"/>
      <c r="F861" s="50"/>
      <c r="G861" s="50"/>
      <c r="H861" s="50"/>
    </row>
    <row r="862">
      <c r="D862" s="50"/>
      <c r="E862" s="50"/>
      <c r="F862" s="50"/>
      <c r="G862" s="50"/>
      <c r="H862" s="50"/>
    </row>
    <row r="863">
      <c r="D863" s="50"/>
      <c r="E863" s="50"/>
      <c r="F863" s="50"/>
      <c r="G863" s="50"/>
      <c r="H863" s="50"/>
    </row>
    <row r="864">
      <c r="D864" s="50"/>
      <c r="E864" s="50"/>
      <c r="F864" s="50"/>
      <c r="G864" s="50"/>
      <c r="H864" s="50"/>
    </row>
    <row r="865">
      <c r="D865" s="50"/>
      <c r="E865" s="50"/>
      <c r="F865" s="50"/>
      <c r="G865" s="50"/>
      <c r="H865" s="50"/>
    </row>
    <row r="866">
      <c r="D866" s="50"/>
      <c r="E866" s="50"/>
      <c r="F866" s="50"/>
      <c r="G866" s="50"/>
      <c r="H866" s="50"/>
    </row>
    <row r="867">
      <c r="D867" s="50"/>
      <c r="E867" s="50"/>
      <c r="F867" s="50"/>
      <c r="G867" s="50"/>
      <c r="H867" s="50"/>
    </row>
    <row r="868">
      <c r="D868" s="50"/>
      <c r="E868" s="50"/>
      <c r="F868" s="50"/>
      <c r="G868" s="50"/>
      <c r="H868" s="50"/>
    </row>
    <row r="869">
      <c r="D869" s="50"/>
      <c r="E869" s="50"/>
      <c r="F869" s="50"/>
      <c r="G869" s="50"/>
      <c r="H869" s="50"/>
    </row>
    <row r="870">
      <c r="D870" s="50"/>
      <c r="E870" s="50"/>
      <c r="F870" s="50"/>
      <c r="G870" s="50"/>
      <c r="H870" s="50"/>
    </row>
    <row r="871">
      <c r="D871" s="50"/>
      <c r="E871" s="50"/>
      <c r="F871" s="50"/>
      <c r="G871" s="50"/>
      <c r="H871" s="50"/>
    </row>
    <row r="872">
      <c r="D872" s="50"/>
      <c r="E872" s="50"/>
      <c r="F872" s="50"/>
      <c r="G872" s="50"/>
      <c r="H872" s="50"/>
    </row>
    <row r="873">
      <c r="D873" s="50"/>
      <c r="E873" s="50"/>
      <c r="F873" s="50"/>
      <c r="G873" s="50"/>
      <c r="H873" s="50"/>
    </row>
    <row r="874">
      <c r="D874" s="50"/>
      <c r="E874" s="50"/>
      <c r="F874" s="50"/>
      <c r="G874" s="50"/>
      <c r="H874" s="50"/>
    </row>
    <row r="875">
      <c r="D875" s="50"/>
      <c r="E875" s="50"/>
      <c r="F875" s="50"/>
      <c r="G875" s="50"/>
      <c r="H875" s="50"/>
    </row>
    <row r="876">
      <c r="D876" s="50"/>
      <c r="E876" s="50"/>
      <c r="F876" s="50"/>
      <c r="G876" s="50"/>
      <c r="H876" s="50"/>
    </row>
    <row r="877">
      <c r="D877" s="50"/>
      <c r="E877" s="50"/>
      <c r="F877" s="50"/>
      <c r="G877" s="50"/>
      <c r="H877" s="50"/>
    </row>
    <row r="878">
      <c r="D878" s="50"/>
      <c r="E878" s="50"/>
      <c r="F878" s="50"/>
      <c r="G878" s="50"/>
      <c r="H878" s="50"/>
    </row>
    <row r="879">
      <c r="D879" s="50"/>
      <c r="E879" s="50"/>
      <c r="F879" s="50"/>
      <c r="G879" s="50"/>
      <c r="H879" s="50"/>
    </row>
    <row r="880">
      <c r="D880" s="50"/>
      <c r="E880" s="50"/>
      <c r="F880" s="50"/>
      <c r="G880" s="50"/>
      <c r="H880" s="50"/>
    </row>
    <row r="881">
      <c r="D881" s="50"/>
      <c r="E881" s="50"/>
      <c r="F881" s="50"/>
      <c r="G881" s="50"/>
      <c r="H881" s="50"/>
    </row>
    <row r="882">
      <c r="D882" s="50"/>
      <c r="E882" s="50"/>
      <c r="F882" s="50"/>
      <c r="G882" s="50"/>
      <c r="H882" s="50"/>
    </row>
    <row r="883">
      <c r="D883" s="50"/>
      <c r="E883" s="50"/>
      <c r="F883" s="50"/>
      <c r="G883" s="50"/>
      <c r="H883" s="50"/>
    </row>
    <row r="884">
      <c r="D884" s="50"/>
      <c r="E884" s="50"/>
      <c r="F884" s="50"/>
      <c r="G884" s="50"/>
      <c r="H884" s="50"/>
    </row>
    <row r="885">
      <c r="D885" s="50"/>
      <c r="E885" s="50"/>
      <c r="F885" s="50"/>
      <c r="G885" s="50"/>
      <c r="H885" s="50"/>
    </row>
    <row r="886">
      <c r="D886" s="50"/>
      <c r="E886" s="50"/>
      <c r="F886" s="50"/>
      <c r="G886" s="50"/>
      <c r="H886" s="50"/>
    </row>
    <row r="887">
      <c r="D887" s="50"/>
      <c r="E887" s="50"/>
      <c r="F887" s="50"/>
      <c r="G887" s="50"/>
      <c r="H887" s="50"/>
    </row>
    <row r="888">
      <c r="D888" s="50"/>
      <c r="E888" s="50"/>
      <c r="F888" s="50"/>
      <c r="G888" s="50"/>
      <c r="H888" s="50"/>
    </row>
    <row r="889">
      <c r="D889" s="50"/>
      <c r="E889" s="50"/>
      <c r="F889" s="50"/>
      <c r="G889" s="50"/>
      <c r="H889" s="50"/>
    </row>
    <row r="890">
      <c r="D890" s="50"/>
      <c r="E890" s="50"/>
      <c r="F890" s="50"/>
      <c r="G890" s="50"/>
      <c r="H890" s="50"/>
    </row>
    <row r="891">
      <c r="D891" s="50"/>
      <c r="E891" s="50"/>
      <c r="F891" s="50"/>
      <c r="G891" s="50"/>
      <c r="H891" s="50"/>
    </row>
    <row r="892">
      <c r="D892" s="50"/>
      <c r="E892" s="50"/>
      <c r="F892" s="50"/>
      <c r="G892" s="50"/>
      <c r="H892" s="50"/>
    </row>
    <row r="893">
      <c r="D893" s="50"/>
      <c r="E893" s="50"/>
      <c r="F893" s="50"/>
      <c r="G893" s="50"/>
      <c r="H893" s="50"/>
    </row>
    <row r="894">
      <c r="D894" s="50"/>
      <c r="E894" s="50"/>
      <c r="F894" s="50"/>
      <c r="G894" s="50"/>
      <c r="H894" s="50"/>
    </row>
    <row r="895">
      <c r="D895" s="50"/>
      <c r="E895" s="50"/>
      <c r="F895" s="50"/>
      <c r="G895" s="50"/>
      <c r="H895" s="50"/>
    </row>
    <row r="896">
      <c r="D896" s="50"/>
      <c r="E896" s="50"/>
      <c r="F896" s="50"/>
      <c r="G896" s="50"/>
      <c r="H896" s="50"/>
    </row>
    <row r="897">
      <c r="D897" s="50"/>
      <c r="E897" s="50"/>
      <c r="F897" s="50"/>
      <c r="G897" s="50"/>
      <c r="H897" s="50"/>
    </row>
    <row r="898">
      <c r="D898" s="50"/>
      <c r="E898" s="50"/>
      <c r="F898" s="50"/>
      <c r="G898" s="50"/>
      <c r="H898" s="50"/>
    </row>
    <row r="899">
      <c r="D899" s="50"/>
      <c r="E899" s="50"/>
      <c r="F899" s="50"/>
      <c r="G899" s="50"/>
      <c r="H899" s="50"/>
    </row>
    <row r="900">
      <c r="D900" s="50"/>
      <c r="E900" s="50"/>
      <c r="F900" s="50"/>
      <c r="G900" s="50"/>
      <c r="H900" s="50"/>
    </row>
    <row r="901">
      <c r="D901" s="50"/>
      <c r="E901" s="50"/>
      <c r="F901" s="50"/>
      <c r="G901" s="50"/>
      <c r="H901" s="50"/>
    </row>
    <row r="902">
      <c r="D902" s="50"/>
      <c r="E902" s="50"/>
      <c r="F902" s="50"/>
      <c r="G902" s="50"/>
      <c r="H902" s="50"/>
    </row>
    <row r="903">
      <c r="D903" s="50"/>
      <c r="E903" s="50"/>
      <c r="F903" s="50"/>
      <c r="G903" s="50"/>
      <c r="H903" s="50"/>
    </row>
    <row r="904">
      <c r="D904" s="50"/>
      <c r="E904" s="50"/>
      <c r="F904" s="50"/>
      <c r="G904" s="50"/>
      <c r="H904" s="50"/>
    </row>
    <row r="905">
      <c r="D905" s="50"/>
      <c r="E905" s="50"/>
      <c r="F905" s="50"/>
      <c r="G905" s="50"/>
      <c r="H905" s="50"/>
    </row>
    <row r="906">
      <c r="D906" s="50"/>
      <c r="E906" s="50"/>
      <c r="F906" s="50"/>
      <c r="G906" s="50"/>
      <c r="H906" s="50"/>
    </row>
    <row r="907">
      <c r="D907" s="50"/>
      <c r="E907" s="50"/>
      <c r="F907" s="50"/>
      <c r="G907" s="50"/>
      <c r="H907" s="50"/>
    </row>
    <row r="908">
      <c r="D908" s="50"/>
      <c r="E908" s="50"/>
      <c r="F908" s="50"/>
      <c r="G908" s="50"/>
      <c r="H908" s="50"/>
    </row>
    <row r="909">
      <c r="D909" s="50"/>
      <c r="E909" s="50"/>
      <c r="F909" s="50"/>
      <c r="G909" s="50"/>
      <c r="H909" s="50"/>
    </row>
    <row r="910">
      <c r="D910" s="50"/>
      <c r="E910" s="50"/>
      <c r="F910" s="50"/>
      <c r="G910" s="50"/>
      <c r="H910" s="50"/>
    </row>
    <row r="911">
      <c r="D911" s="50"/>
      <c r="E911" s="50"/>
      <c r="F911" s="50"/>
      <c r="G911" s="50"/>
      <c r="H911" s="50"/>
    </row>
    <row r="912">
      <c r="D912" s="50"/>
      <c r="E912" s="50"/>
      <c r="F912" s="50"/>
      <c r="G912" s="50"/>
      <c r="H912" s="50"/>
    </row>
    <row r="913">
      <c r="D913" s="50"/>
      <c r="E913" s="50"/>
      <c r="F913" s="50"/>
      <c r="G913" s="50"/>
      <c r="H913" s="50"/>
    </row>
    <row r="914">
      <c r="D914" s="50"/>
      <c r="E914" s="50"/>
      <c r="F914" s="50"/>
      <c r="G914" s="50"/>
      <c r="H914" s="50"/>
    </row>
    <row r="915">
      <c r="D915" s="50"/>
      <c r="E915" s="50"/>
      <c r="F915" s="50"/>
      <c r="G915" s="50"/>
      <c r="H915" s="50"/>
    </row>
    <row r="916">
      <c r="D916" s="50"/>
      <c r="E916" s="50"/>
      <c r="F916" s="50"/>
      <c r="G916" s="50"/>
      <c r="H916" s="50"/>
    </row>
    <row r="917">
      <c r="D917" s="50"/>
      <c r="E917" s="50"/>
      <c r="F917" s="50"/>
      <c r="G917" s="50"/>
      <c r="H917" s="50"/>
    </row>
    <row r="918">
      <c r="D918" s="50"/>
      <c r="E918" s="50"/>
      <c r="F918" s="50"/>
      <c r="G918" s="50"/>
      <c r="H918" s="50"/>
    </row>
    <row r="919">
      <c r="D919" s="50"/>
      <c r="E919" s="50"/>
      <c r="F919" s="50"/>
      <c r="G919" s="50"/>
      <c r="H919" s="50"/>
    </row>
    <row r="920">
      <c r="D920" s="50"/>
      <c r="E920" s="50"/>
      <c r="F920" s="50"/>
      <c r="G920" s="50"/>
      <c r="H920" s="50"/>
    </row>
    <row r="921">
      <c r="D921" s="50"/>
      <c r="E921" s="50"/>
      <c r="F921" s="50"/>
      <c r="G921" s="50"/>
      <c r="H921" s="50"/>
    </row>
    <row r="922">
      <c r="D922" s="50"/>
      <c r="E922" s="50"/>
      <c r="F922" s="50"/>
      <c r="G922" s="50"/>
      <c r="H922" s="50"/>
    </row>
    <row r="923">
      <c r="D923" s="50"/>
      <c r="E923" s="50"/>
      <c r="F923" s="50"/>
      <c r="G923" s="50"/>
      <c r="H923" s="50"/>
    </row>
    <row r="924">
      <c r="D924" s="50"/>
      <c r="E924" s="50"/>
      <c r="F924" s="50"/>
      <c r="G924" s="50"/>
      <c r="H924" s="50"/>
    </row>
    <row r="925">
      <c r="D925" s="50"/>
      <c r="E925" s="50"/>
      <c r="F925" s="50"/>
      <c r="G925" s="50"/>
      <c r="H925" s="50"/>
    </row>
    <row r="926">
      <c r="D926" s="50"/>
      <c r="E926" s="50"/>
      <c r="F926" s="50"/>
      <c r="G926" s="50"/>
      <c r="H926" s="50"/>
    </row>
    <row r="927">
      <c r="D927" s="50"/>
      <c r="E927" s="50"/>
      <c r="F927" s="50"/>
      <c r="G927" s="50"/>
      <c r="H927" s="50"/>
    </row>
    <row r="928">
      <c r="D928" s="50"/>
      <c r="E928" s="50"/>
      <c r="F928" s="50"/>
      <c r="G928" s="50"/>
      <c r="H928" s="50"/>
    </row>
    <row r="929">
      <c r="D929" s="50"/>
      <c r="E929" s="50"/>
      <c r="F929" s="50"/>
      <c r="G929" s="50"/>
      <c r="H929" s="50"/>
    </row>
    <row r="930">
      <c r="D930" s="50"/>
      <c r="E930" s="50"/>
      <c r="F930" s="50"/>
      <c r="G930" s="50"/>
      <c r="H930" s="50"/>
    </row>
    <row r="931">
      <c r="D931" s="50"/>
      <c r="E931" s="50"/>
      <c r="F931" s="50"/>
      <c r="G931" s="50"/>
      <c r="H931" s="50"/>
    </row>
    <row r="932">
      <c r="D932" s="50"/>
      <c r="E932" s="50"/>
      <c r="F932" s="50"/>
      <c r="G932" s="50"/>
      <c r="H932" s="50"/>
    </row>
    <row r="933">
      <c r="D933" s="50"/>
      <c r="E933" s="50"/>
      <c r="F933" s="50"/>
      <c r="G933" s="50"/>
      <c r="H933" s="50"/>
    </row>
    <row r="934">
      <c r="D934" s="50"/>
      <c r="E934" s="50"/>
      <c r="F934" s="50"/>
      <c r="G934" s="50"/>
      <c r="H934" s="50"/>
    </row>
    <row r="935">
      <c r="D935" s="50"/>
      <c r="E935" s="50"/>
      <c r="F935" s="50"/>
      <c r="G935" s="50"/>
      <c r="H935" s="50"/>
    </row>
    <row r="936">
      <c r="D936" s="50"/>
      <c r="E936" s="50"/>
      <c r="F936" s="50"/>
      <c r="G936" s="50"/>
      <c r="H936" s="50"/>
    </row>
    <row r="937">
      <c r="D937" s="50"/>
      <c r="E937" s="50"/>
      <c r="F937" s="50"/>
      <c r="G937" s="50"/>
      <c r="H937" s="50"/>
    </row>
    <row r="938">
      <c r="D938" s="50"/>
      <c r="E938" s="50"/>
      <c r="F938" s="50"/>
      <c r="G938" s="50"/>
      <c r="H938" s="50"/>
    </row>
    <row r="939">
      <c r="D939" s="50"/>
      <c r="E939" s="50"/>
      <c r="F939" s="50"/>
      <c r="G939" s="50"/>
      <c r="H939" s="50"/>
    </row>
    <row r="940">
      <c r="D940" s="50"/>
      <c r="E940" s="50"/>
      <c r="F940" s="50"/>
      <c r="G940" s="50"/>
      <c r="H940" s="50"/>
    </row>
    <row r="941">
      <c r="D941" s="50"/>
      <c r="E941" s="50"/>
      <c r="F941" s="50"/>
      <c r="G941" s="50"/>
      <c r="H941" s="50"/>
    </row>
    <row r="942">
      <c r="D942" s="50"/>
      <c r="E942" s="50"/>
      <c r="F942" s="50"/>
      <c r="G942" s="50"/>
      <c r="H942" s="50"/>
    </row>
    <row r="943">
      <c r="D943" s="50"/>
      <c r="E943" s="50"/>
      <c r="F943" s="50"/>
      <c r="G943" s="50"/>
      <c r="H943" s="50"/>
    </row>
    <row r="944">
      <c r="D944" s="50"/>
      <c r="E944" s="50"/>
      <c r="F944" s="50"/>
      <c r="G944" s="50"/>
      <c r="H944" s="50"/>
    </row>
    <row r="945">
      <c r="D945" s="50"/>
      <c r="E945" s="50"/>
      <c r="F945" s="50"/>
      <c r="G945" s="50"/>
      <c r="H945" s="50"/>
    </row>
    <row r="946">
      <c r="D946" s="50"/>
      <c r="E946" s="50"/>
      <c r="F946" s="50"/>
      <c r="G946" s="50"/>
      <c r="H946" s="50"/>
    </row>
    <row r="947">
      <c r="D947" s="50"/>
      <c r="E947" s="50"/>
      <c r="F947" s="50"/>
      <c r="G947" s="50"/>
      <c r="H947" s="50"/>
    </row>
    <row r="948">
      <c r="D948" s="50"/>
      <c r="E948" s="50"/>
      <c r="F948" s="50"/>
      <c r="G948" s="50"/>
      <c r="H948" s="50"/>
    </row>
    <row r="949">
      <c r="D949" s="50"/>
      <c r="E949" s="50"/>
      <c r="F949" s="50"/>
      <c r="G949" s="50"/>
      <c r="H949" s="50"/>
    </row>
    <row r="950">
      <c r="D950" s="50"/>
      <c r="E950" s="50"/>
      <c r="F950" s="50"/>
      <c r="G950" s="50"/>
      <c r="H950" s="50"/>
    </row>
    <row r="951">
      <c r="D951" s="50"/>
      <c r="E951" s="50"/>
      <c r="F951" s="50"/>
      <c r="G951" s="50"/>
      <c r="H951" s="50"/>
    </row>
    <row r="952">
      <c r="D952" s="50"/>
      <c r="E952" s="50"/>
      <c r="F952" s="50"/>
      <c r="G952" s="50"/>
      <c r="H952" s="50"/>
    </row>
    <row r="953">
      <c r="D953" s="50"/>
      <c r="E953" s="50"/>
      <c r="F953" s="50"/>
      <c r="G953" s="50"/>
      <c r="H953" s="50"/>
    </row>
    <row r="954">
      <c r="D954" s="50"/>
      <c r="E954" s="50"/>
      <c r="F954" s="50"/>
      <c r="G954" s="50"/>
      <c r="H954" s="50"/>
    </row>
    <row r="955">
      <c r="D955" s="50"/>
      <c r="E955" s="50"/>
      <c r="F955" s="50"/>
      <c r="G955" s="50"/>
      <c r="H955" s="50"/>
    </row>
    <row r="956">
      <c r="D956" s="50"/>
      <c r="E956" s="50"/>
      <c r="F956" s="50"/>
      <c r="G956" s="50"/>
      <c r="H956" s="50"/>
    </row>
    <row r="957">
      <c r="D957" s="50"/>
      <c r="E957" s="50"/>
      <c r="F957" s="50"/>
      <c r="G957" s="50"/>
      <c r="H957" s="50"/>
    </row>
    <row r="958">
      <c r="D958" s="50"/>
      <c r="E958" s="50"/>
      <c r="F958" s="50"/>
      <c r="G958" s="50"/>
      <c r="H958" s="50"/>
    </row>
    <row r="959">
      <c r="D959" s="50"/>
      <c r="E959" s="50"/>
      <c r="F959" s="50"/>
      <c r="G959" s="50"/>
      <c r="H959" s="50"/>
    </row>
    <row r="960">
      <c r="D960" s="50"/>
      <c r="E960" s="50"/>
      <c r="F960" s="50"/>
      <c r="G960" s="50"/>
      <c r="H960" s="50"/>
    </row>
    <row r="961">
      <c r="D961" s="50"/>
      <c r="E961" s="50"/>
      <c r="F961" s="50"/>
      <c r="G961" s="50"/>
      <c r="H961" s="50"/>
    </row>
    <row r="962">
      <c r="D962" s="50"/>
      <c r="E962" s="50"/>
      <c r="F962" s="50"/>
      <c r="G962" s="50"/>
      <c r="H962" s="50"/>
    </row>
    <row r="963">
      <c r="D963" s="50"/>
      <c r="E963" s="50"/>
      <c r="F963" s="50"/>
      <c r="G963" s="50"/>
      <c r="H963" s="50"/>
    </row>
    <row r="964">
      <c r="D964" s="50"/>
      <c r="E964" s="50"/>
      <c r="F964" s="50"/>
      <c r="G964" s="50"/>
      <c r="H964" s="50"/>
    </row>
    <row r="965">
      <c r="D965" s="50"/>
      <c r="E965" s="50"/>
      <c r="F965" s="50"/>
      <c r="G965" s="50"/>
      <c r="H965" s="50"/>
    </row>
    <row r="966">
      <c r="D966" s="50"/>
      <c r="E966" s="50"/>
      <c r="F966" s="50"/>
      <c r="G966" s="50"/>
      <c r="H966" s="50"/>
    </row>
    <row r="967">
      <c r="D967" s="50"/>
      <c r="E967" s="50"/>
      <c r="F967" s="50"/>
      <c r="G967" s="50"/>
      <c r="H967" s="50"/>
    </row>
    <row r="968">
      <c r="D968" s="50"/>
      <c r="E968" s="50"/>
      <c r="F968" s="50"/>
      <c r="G968" s="50"/>
      <c r="H968" s="50"/>
    </row>
    <row r="969">
      <c r="D969" s="50"/>
      <c r="E969" s="50"/>
      <c r="F969" s="50"/>
      <c r="G969" s="50"/>
      <c r="H969" s="50"/>
    </row>
    <row r="970">
      <c r="D970" s="50"/>
      <c r="E970" s="50"/>
      <c r="F970" s="50"/>
      <c r="G970" s="50"/>
      <c r="H970" s="50"/>
    </row>
    <row r="971">
      <c r="D971" s="50"/>
      <c r="E971" s="50"/>
      <c r="F971" s="50"/>
      <c r="G971" s="50"/>
      <c r="H971" s="50"/>
    </row>
    <row r="972">
      <c r="D972" s="50"/>
      <c r="E972" s="50"/>
      <c r="F972" s="50"/>
      <c r="G972" s="50"/>
      <c r="H972" s="50"/>
    </row>
    <row r="973">
      <c r="D973" s="50"/>
      <c r="E973" s="50"/>
      <c r="F973" s="50"/>
      <c r="G973" s="50"/>
      <c r="H973" s="50"/>
    </row>
    <row r="974">
      <c r="D974" s="50"/>
      <c r="E974" s="50"/>
      <c r="F974" s="50"/>
      <c r="G974" s="50"/>
      <c r="H974" s="50"/>
    </row>
    <row r="975">
      <c r="D975" s="50"/>
      <c r="E975" s="50"/>
      <c r="F975" s="50"/>
      <c r="G975" s="50"/>
      <c r="H975" s="50"/>
    </row>
    <row r="976">
      <c r="D976" s="50"/>
      <c r="E976" s="50"/>
      <c r="F976" s="50"/>
      <c r="G976" s="50"/>
      <c r="H976" s="50"/>
    </row>
    <row r="977">
      <c r="D977" s="50"/>
      <c r="E977" s="50"/>
      <c r="F977" s="50"/>
      <c r="G977" s="50"/>
      <c r="H977" s="50"/>
    </row>
    <row r="978">
      <c r="D978" s="50"/>
      <c r="E978" s="50"/>
      <c r="F978" s="50"/>
      <c r="G978" s="50"/>
      <c r="H978" s="50"/>
    </row>
    <row r="979">
      <c r="D979" s="50"/>
      <c r="E979" s="50"/>
      <c r="F979" s="50"/>
      <c r="G979" s="50"/>
      <c r="H979" s="50"/>
    </row>
    <row r="980">
      <c r="D980" s="50"/>
      <c r="E980" s="50"/>
      <c r="F980" s="50"/>
      <c r="G980" s="50"/>
      <c r="H980" s="50"/>
    </row>
    <row r="981">
      <c r="D981" s="50"/>
      <c r="E981" s="50"/>
      <c r="F981" s="50"/>
      <c r="G981" s="50"/>
      <c r="H981" s="50"/>
    </row>
    <row r="982">
      <c r="D982" s="50"/>
      <c r="E982" s="50"/>
      <c r="F982" s="50"/>
      <c r="G982" s="50"/>
      <c r="H982" s="50"/>
    </row>
    <row r="983">
      <c r="D983" s="50"/>
      <c r="E983" s="50"/>
      <c r="F983" s="50"/>
      <c r="G983" s="50"/>
      <c r="H983" s="50"/>
    </row>
    <row r="984">
      <c r="D984" s="50"/>
      <c r="E984" s="50"/>
      <c r="F984" s="50"/>
      <c r="G984" s="50"/>
      <c r="H984" s="50"/>
    </row>
    <row r="985">
      <c r="D985" s="50"/>
      <c r="E985" s="50"/>
      <c r="F985" s="50"/>
      <c r="G985" s="50"/>
      <c r="H985" s="50"/>
    </row>
    <row r="986">
      <c r="D986" s="50"/>
      <c r="E986" s="50"/>
      <c r="F986" s="50"/>
      <c r="G986" s="50"/>
      <c r="H986" s="50"/>
    </row>
    <row r="987">
      <c r="D987" s="50"/>
      <c r="E987" s="50"/>
      <c r="F987" s="50"/>
      <c r="G987" s="50"/>
      <c r="H987" s="50"/>
    </row>
    <row r="988">
      <c r="D988" s="50"/>
      <c r="E988" s="50"/>
      <c r="F988" s="50"/>
      <c r="G988" s="50"/>
      <c r="H988" s="50"/>
    </row>
    <row r="989">
      <c r="D989" s="50"/>
      <c r="E989" s="50"/>
      <c r="F989" s="50"/>
      <c r="G989" s="50"/>
      <c r="H989" s="50"/>
    </row>
    <row r="990">
      <c r="D990" s="50"/>
      <c r="E990" s="50"/>
      <c r="F990" s="50"/>
      <c r="G990" s="50"/>
      <c r="H990" s="50"/>
    </row>
    <row r="991">
      <c r="D991" s="50"/>
      <c r="E991" s="50"/>
      <c r="F991" s="50"/>
      <c r="G991" s="50"/>
      <c r="H991" s="50"/>
    </row>
    <row r="992">
      <c r="D992" s="50"/>
      <c r="E992" s="50"/>
      <c r="F992" s="50"/>
      <c r="G992" s="50"/>
      <c r="H992" s="50"/>
    </row>
    <row r="993">
      <c r="D993" s="50"/>
      <c r="E993" s="50"/>
      <c r="F993" s="50"/>
      <c r="G993" s="50"/>
      <c r="H993" s="50"/>
    </row>
    <row r="994">
      <c r="D994" s="50"/>
      <c r="E994" s="50"/>
      <c r="F994" s="50"/>
      <c r="G994" s="50"/>
      <c r="H994" s="50"/>
    </row>
    <row r="995">
      <c r="D995" s="50"/>
      <c r="E995" s="50"/>
      <c r="F995" s="50"/>
      <c r="G995" s="50"/>
      <c r="H995" s="50"/>
    </row>
    <row r="996">
      <c r="D996" s="50"/>
      <c r="E996" s="50"/>
      <c r="F996" s="50"/>
      <c r="G996" s="50"/>
      <c r="H996" s="50"/>
    </row>
    <row r="997">
      <c r="D997" s="50"/>
      <c r="E997" s="50"/>
      <c r="F997" s="50"/>
      <c r="G997" s="50"/>
      <c r="H997" s="50"/>
    </row>
    <row r="998">
      <c r="D998" s="50"/>
      <c r="E998" s="50"/>
      <c r="F998" s="50"/>
      <c r="G998" s="50"/>
      <c r="H998" s="50"/>
    </row>
    <row r="999">
      <c r="D999" s="50"/>
      <c r="E999" s="50"/>
      <c r="F999" s="50"/>
      <c r="G999" s="50"/>
      <c r="H999" s="50"/>
    </row>
    <row r="1000">
      <c r="D1000" s="50"/>
      <c r="E1000" s="50"/>
      <c r="F1000" s="50"/>
      <c r="G1000" s="50"/>
      <c r="H1000" s="50"/>
    </row>
    <row r="1001">
      <c r="D1001" s="50"/>
      <c r="E1001" s="50"/>
      <c r="F1001" s="50"/>
      <c r="G1001" s="50"/>
      <c r="H1001" s="50"/>
    </row>
  </sheetData>
  <autoFilter ref="$A$1:$H$56"/>
  <conditionalFormatting sqref="D1:H1001">
    <cfRule type="cellIs" dxfId="11" priority="1" operator="equal">
      <formula>"C"</formula>
    </cfRule>
  </conditionalFormatting>
  <conditionalFormatting sqref="D1:H1001">
    <cfRule type="cellIs" dxfId="12" priority="2" operator="equal">
      <formula>"B"</formula>
    </cfRule>
  </conditionalFormatting>
  <conditionalFormatting sqref="D1:H1001">
    <cfRule type="cellIs" dxfId="10" priority="3" operator="equal">
      <formula>"A"</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30.13"/>
    <col customWidth="1" min="3" max="3" width="8.5"/>
    <col customWidth="1" min="4" max="8" width="13.38"/>
  </cols>
  <sheetData>
    <row r="1">
      <c r="A1" s="165" t="str">
        <f>IFERROR(__xludf.DUMMYFUNCTION("QUERY(DTrma!A:H, ""select A,B,C,D,E,F,G,H where C='MTs Putra'"", 1)"),"NP")</f>
        <v>NP</v>
      </c>
      <c r="B1" s="165" t="str">
        <f>IFERROR(__xludf.DUMMYFUNCTION("""COMPUTED_VALUE"""),"Nama")</f>
        <v>Nama</v>
      </c>
      <c r="C1" s="165" t="str">
        <f>IFERROR(__xludf.DUMMYFUNCTION("""COMPUTED_VALUE"""),"Jenjang")</f>
        <v>Jenjang</v>
      </c>
      <c r="D1" s="165" t="str">
        <f>IFERROR(__xludf.DUMMYFUNCTION("""COMPUTED_VALUE"""),"Al-Quran")</f>
        <v>Al-Quran</v>
      </c>
      <c r="E1" s="165" t="str">
        <f>IFERROR(__xludf.DUMMYFUNCTION("""COMPUTED_VALUE"""),"Akademik")</f>
        <v>Akademik</v>
      </c>
      <c r="F1" s="165" t="str">
        <f>IFERROR(__xludf.DUMMYFUNCTION("""COMPUTED_VALUE"""),"Kepribadian")</f>
        <v>Kepribadian</v>
      </c>
      <c r="G1" s="165" t="str">
        <f>IFERROR(__xludf.DUMMYFUNCTION("""COMPUTED_VALUE"""),"Kesesuaian")</f>
        <v>Kesesuaian</v>
      </c>
      <c r="H1" s="165" t="str">
        <f>IFERROR(__xludf.DUMMYFUNCTION("""COMPUTED_VALUE"""),"Kesiapan")</f>
        <v>Kesiapan</v>
      </c>
      <c r="I1" s="192"/>
      <c r="J1" s="192"/>
      <c r="K1" s="192"/>
      <c r="L1" s="192"/>
      <c r="M1" s="192"/>
      <c r="N1" s="192"/>
      <c r="O1" s="192"/>
      <c r="P1" s="192"/>
      <c r="Q1" s="192"/>
      <c r="R1" s="192"/>
      <c r="S1" s="192"/>
      <c r="T1" s="192"/>
      <c r="U1" s="192"/>
      <c r="V1" s="192"/>
      <c r="W1" s="192"/>
      <c r="X1" s="192"/>
      <c r="Y1" s="192"/>
    </row>
    <row r="2">
      <c r="A2" s="194" t="str">
        <f>IFERROR(__xludf.DUMMYFUNCTION("""COMPUTED_VALUE"""),"A250008")</f>
        <v>A250008</v>
      </c>
      <c r="B2" s="195" t="str">
        <f>IFERROR(__xludf.DUMMYFUNCTION("""COMPUTED_VALUE"""),"Daffa Taamir Alfarizi")</f>
        <v>Daffa Taamir Alfarizi</v>
      </c>
      <c r="C2" s="195" t="str">
        <f>IFERROR(__xludf.DUMMYFUNCTION("""COMPUTED_VALUE"""),"MTs Putra")</f>
        <v>MTs Putra</v>
      </c>
      <c r="D2" s="168" t="str">
        <f>IFERROR(__xludf.DUMMYFUNCTION("""COMPUTED_VALUE"""),"A")</f>
        <v>A</v>
      </c>
      <c r="E2" s="168" t="str">
        <f>IFERROR(__xludf.DUMMYFUNCTION("""COMPUTED_VALUE"""),"A")</f>
        <v>A</v>
      </c>
      <c r="F2" s="168" t="str">
        <f>IFERROR(__xludf.DUMMYFUNCTION("""COMPUTED_VALUE"""),"B")</f>
        <v>B</v>
      </c>
      <c r="G2" s="168" t="str">
        <f>IFERROR(__xludf.DUMMYFUNCTION("""COMPUTED_VALUE"""),"A")</f>
        <v>A</v>
      </c>
      <c r="H2" s="168" t="str">
        <f>IFERROR(__xludf.DUMMYFUNCTION("""COMPUTED_VALUE"""),"A")</f>
        <v>A</v>
      </c>
    </row>
    <row r="3">
      <c r="A3" s="194" t="str">
        <f>IFERROR(__xludf.DUMMYFUNCTION("""COMPUTED_VALUE"""),"A250025")</f>
        <v>A250025</v>
      </c>
      <c r="B3" s="195" t="str">
        <f>IFERROR(__xludf.DUMMYFUNCTION("""COMPUTED_VALUE"""),"ABU REIHAN AL FAJRI")</f>
        <v>ABU REIHAN AL FAJRI</v>
      </c>
      <c r="C3" s="195" t="str">
        <f>IFERROR(__xludf.DUMMYFUNCTION("""COMPUTED_VALUE"""),"MTs Putra")</f>
        <v>MTs Putra</v>
      </c>
      <c r="D3" s="168" t="str">
        <f>IFERROR(__xludf.DUMMYFUNCTION("""COMPUTED_VALUE"""),"A")</f>
        <v>A</v>
      </c>
      <c r="E3" s="168" t="str">
        <f>IFERROR(__xludf.DUMMYFUNCTION("""COMPUTED_VALUE"""),"A")</f>
        <v>A</v>
      </c>
      <c r="F3" s="168" t="str">
        <f>IFERROR(__xludf.DUMMYFUNCTION("""COMPUTED_VALUE"""),"A")</f>
        <v>A</v>
      </c>
      <c r="G3" s="168" t="str">
        <f>IFERROR(__xludf.DUMMYFUNCTION("""COMPUTED_VALUE"""),"A")</f>
        <v>A</v>
      </c>
      <c r="H3" s="168" t="str">
        <f>IFERROR(__xludf.DUMMYFUNCTION("""COMPUTED_VALUE"""),"A")</f>
        <v>A</v>
      </c>
    </row>
    <row r="4">
      <c r="A4" s="5" t="str">
        <f>IFERROR(__xludf.DUMMYFUNCTION("""COMPUTED_VALUE"""),"A250020")</f>
        <v>A250020</v>
      </c>
      <c r="B4" s="5" t="str">
        <f>IFERROR(__xludf.DUMMYFUNCTION("""COMPUTED_VALUE"""),"Muhamad Umar Ali")</f>
        <v>Muhamad Umar Ali</v>
      </c>
      <c r="C4" s="5" t="str">
        <f>IFERROR(__xludf.DUMMYFUNCTION("""COMPUTED_VALUE"""),"MTs Putra")</f>
        <v>MTs Putra</v>
      </c>
      <c r="D4" s="168" t="str">
        <f>IFERROR(__xludf.DUMMYFUNCTION("""COMPUTED_VALUE"""),"B")</f>
        <v>B</v>
      </c>
      <c r="E4" s="168" t="str">
        <f>IFERROR(__xludf.DUMMYFUNCTION("""COMPUTED_VALUE"""),"B")</f>
        <v>B</v>
      </c>
      <c r="F4" s="168" t="str">
        <f>IFERROR(__xludf.DUMMYFUNCTION("""COMPUTED_VALUE"""),"A")</f>
        <v>A</v>
      </c>
      <c r="G4" s="168" t="str">
        <f>IFERROR(__xludf.DUMMYFUNCTION("""COMPUTED_VALUE"""),"A")</f>
        <v>A</v>
      </c>
      <c r="H4" s="168" t="str">
        <f>IFERROR(__xludf.DUMMYFUNCTION("""COMPUTED_VALUE"""),"A")</f>
        <v>A</v>
      </c>
    </row>
    <row r="5">
      <c r="A5" s="5" t="str">
        <f>IFERROR(__xludf.DUMMYFUNCTION("""COMPUTED_VALUE"""),"A250018")</f>
        <v>A250018</v>
      </c>
      <c r="B5" s="5" t="str">
        <f>IFERROR(__xludf.DUMMYFUNCTION("""COMPUTED_VALUE"""),"Muhamad Usman Ali")</f>
        <v>Muhamad Usman Ali</v>
      </c>
      <c r="C5" s="5" t="str">
        <f>IFERROR(__xludf.DUMMYFUNCTION("""COMPUTED_VALUE"""),"MTs Putra")</f>
        <v>MTs Putra</v>
      </c>
      <c r="D5" s="168" t="str">
        <f>IFERROR(__xludf.DUMMYFUNCTION("""COMPUTED_VALUE"""),"C")</f>
        <v>C</v>
      </c>
      <c r="E5" s="168" t="str">
        <f>IFERROR(__xludf.DUMMYFUNCTION("""COMPUTED_VALUE"""),"B")</f>
        <v>B</v>
      </c>
      <c r="F5" s="168" t="str">
        <f>IFERROR(__xludf.DUMMYFUNCTION("""COMPUTED_VALUE"""),"B")</f>
        <v>B</v>
      </c>
      <c r="G5" s="168" t="str">
        <f>IFERROR(__xludf.DUMMYFUNCTION("""COMPUTED_VALUE"""),"A")</f>
        <v>A</v>
      </c>
      <c r="H5" s="168" t="str">
        <f>IFERROR(__xludf.DUMMYFUNCTION("""COMPUTED_VALUE"""),"A")</f>
        <v>A</v>
      </c>
    </row>
    <row r="6">
      <c r="A6" s="5" t="str">
        <f>IFERROR(__xludf.DUMMYFUNCTION("""COMPUTED_VALUE"""),"A250016")</f>
        <v>A250016</v>
      </c>
      <c r="B6" s="5" t="str">
        <f>IFERROR(__xludf.DUMMYFUNCTION("""COMPUTED_VALUE"""),"Faeyza Izzatul Khairy")</f>
        <v>Faeyza Izzatul Khairy</v>
      </c>
      <c r="C6" s="5" t="str">
        <f>IFERROR(__xludf.DUMMYFUNCTION("""COMPUTED_VALUE"""),"MTs Putra")</f>
        <v>MTs Putra</v>
      </c>
      <c r="D6" s="168" t="str">
        <f>IFERROR(__xludf.DUMMYFUNCTION("""COMPUTED_VALUE"""),"B")</f>
        <v>B</v>
      </c>
      <c r="E6" s="168" t="str">
        <f>IFERROR(__xludf.DUMMYFUNCTION("""COMPUTED_VALUE"""),"A")</f>
        <v>A</v>
      </c>
      <c r="F6" s="168" t="str">
        <f>IFERROR(__xludf.DUMMYFUNCTION("""COMPUTED_VALUE"""),"B")</f>
        <v>B</v>
      </c>
      <c r="G6" s="168" t="str">
        <f>IFERROR(__xludf.DUMMYFUNCTION("""COMPUTED_VALUE"""),"A")</f>
        <v>A</v>
      </c>
      <c r="H6" s="168" t="str">
        <f>IFERROR(__xludf.DUMMYFUNCTION("""COMPUTED_VALUE"""),"A")</f>
        <v>A</v>
      </c>
    </row>
    <row r="7">
      <c r="A7" s="5" t="str">
        <f>IFERROR(__xludf.DUMMYFUNCTION("""COMPUTED_VALUE"""),"A250012")</f>
        <v>A250012</v>
      </c>
      <c r="B7" s="5" t="str">
        <f>IFERROR(__xludf.DUMMYFUNCTION("""COMPUTED_VALUE"""),"Haneef Abdurahman")</f>
        <v>Haneef Abdurahman</v>
      </c>
      <c r="C7" s="5" t="str">
        <f>IFERROR(__xludf.DUMMYFUNCTION("""COMPUTED_VALUE"""),"MTs Putra")</f>
        <v>MTs Putra</v>
      </c>
      <c r="D7" s="168" t="str">
        <f>IFERROR(__xludf.DUMMYFUNCTION("""COMPUTED_VALUE"""),"A")</f>
        <v>A</v>
      </c>
      <c r="E7" s="168" t="str">
        <f>IFERROR(__xludf.DUMMYFUNCTION("""COMPUTED_VALUE"""),"A")</f>
        <v>A</v>
      </c>
      <c r="F7" s="168" t="str">
        <f>IFERROR(__xludf.DUMMYFUNCTION("""COMPUTED_VALUE"""),"A")</f>
        <v>A</v>
      </c>
      <c r="G7" s="168" t="str">
        <f>IFERROR(__xludf.DUMMYFUNCTION("""COMPUTED_VALUE"""),"A")</f>
        <v>A</v>
      </c>
      <c r="H7" s="168" t="str">
        <f>IFERROR(__xludf.DUMMYFUNCTION("""COMPUTED_VALUE"""),"A")</f>
        <v>A</v>
      </c>
    </row>
    <row r="8">
      <c r="A8" s="5" t="str">
        <f>IFERROR(__xludf.DUMMYFUNCTION("""COMPUTED_VALUE"""),"A250003")</f>
        <v>A250003</v>
      </c>
      <c r="B8" s="5" t="str">
        <f>IFERROR(__xludf.DUMMYFUNCTION("""COMPUTED_VALUE"""),"PUTRA PERDANA")</f>
        <v>PUTRA PERDANA</v>
      </c>
      <c r="C8" s="5" t="str">
        <f>IFERROR(__xludf.DUMMYFUNCTION("""COMPUTED_VALUE"""),"MTs Putra")</f>
        <v>MTs Putra</v>
      </c>
      <c r="D8" s="168" t="str">
        <f>IFERROR(__xludf.DUMMYFUNCTION("""COMPUTED_VALUE"""),"C")</f>
        <v>C</v>
      </c>
      <c r="E8" s="168" t="str">
        <f>IFERROR(__xludf.DUMMYFUNCTION("""COMPUTED_VALUE"""),"B")</f>
        <v>B</v>
      </c>
      <c r="F8" s="168" t="str">
        <f>IFERROR(__xludf.DUMMYFUNCTION("""COMPUTED_VALUE"""),"A")</f>
        <v>A</v>
      </c>
      <c r="G8" s="168" t="str">
        <f>IFERROR(__xludf.DUMMYFUNCTION("""COMPUTED_VALUE"""),"B")</f>
        <v>B</v>
      </c>
      <c r="H8" s="168" t="str">
        <f>IFERROR(__xludf.DUMMYFUNCTION("""COMPUTED_VALUE"""),"A")</f>
        <v>A</v>
      </c>
    </row>
    <row r="9">
      <c r="A9" s="5" t="str">
        <f>IFERROR(__xludf.DUMMYFUNCTION("""COMPUTED_VALUE"""),"A250034")</f>
        <v>A250034</v>
      </c>
      <c r="B9" s="5" t="str">
        <f>IFERROR(__xludf.DUMMYFUNCTION("""COMPUTED_VALUE"""),"Abudzar Al Mahbub")</f>
        <v>Abudzar Al Mahbub</v>
      </c>
      <c r="C9" s="5" t="str">
        <f>IFERROR(__xludf.DUMMYFUNCTION("""COMPUTED_VALUE"""),"MTs Putra")</f>
        <v>MTs Putra</v>
      </c>
      <c r="D9" s="168" t="str">
        <f>IFERROR(__xludf.DUMMYFUNCTION("""COMPUTED_VALUE"""),"A")</f>
        <v>A</v>
      </c>
      <c r="E9" s="168" t="str">
        <f>IFERROR(__xludf.DUMMYFUNCTION("""COMPUTED_VALUE"""),"B")</f>
        <v>B</v>
      </c>
      <c r="F9" s="168" t="str">
        <f>IFERROR(__xludf.DUMMYFUNCTION("""COMPUTED_VALUE"""),"A")</f>
        <v>A</v>
      </c>
      <c r="G9" s="168" t="str">
        <f>IFERROR(__xludf.DUMMYFUNCTION("""COMPUTED_VALUE"""),"A")</f>
        <v>A</v>
      </c>
      <c r="H9" s="168" t="str">
        <f>IFERROR(__xludf.DUMMYFUNCTION("""COMPUTED_VALUE"""),"A")</f>
        <v>A</v>
      </c>
    </row>
    <row r="10">
      <c r="A10" s="5" t="str">
        <f>IFERROR(__xludf.DUMMYFUNCTION("""COMPUTED_VALUE"""),"A250024")</f>
        <v>A250024</v>
      </c>
      <c r="B10" s="5" t="str">
        <f>IFERROR(__xludf.DUMMYFUNCTION("""COMPUTED_VALUE"""),"Shafwan Iyadh Addarimy")</f>
        <v>Shafwan Iyadh Addarimy</v>
      </c>
      <c r="C10" s="5" t="str">
        <f>IFERROR(__xludf.DUMMYFUNCTION("""COMPUTED_VALUE"""),"MTs Putra")</f>
        <v>MTs Putra</v>
      </c>
      <c r="D10" s="168" t="str">
        <f>IFERROR(__xludf.DUMMYFUNCTION("""COMPUTED_VALUE"""),"A")</f>
        <v>A</v>
      </c>
      <c r="E10" s="168" t="str">
        <f>IFERROR(__xludf.DUMMYFUNCTION("""COMPUTED_VALUE"""),"B")</f>
        <v>B</v>
      </c>
      <c r="F10" s="168" t="str">
        <f>IFERROR(__xludf.DUMMYFUNCTION("""COMPUTED_VALUE"""),"A")</f>
        <v>A</v>
      </c>
      <c r="G10" s="168" t="str">
        <f>IFERROR(__xludf.DUMMYFUNCTION("""COMPUTED_VALUE"""),"A")</f>
        <v>A</v>
      </c>
      <c r="H10" s="168" t="str">
        <f>IFERROR(__xludf.DUMMYFUNCTION("""COMPUTED_VALUE"""),"A")</f>
        <v>A</v>
      </c>
    </row>
    <row r="11">
      <c r="A11" s="5" t="str">
        <f>IFERROR(__xludf.DUMMYFUNCTION("""COMPUTED_VALUE"""),"A250014")</f>
        <v>A250014</v>
      </c>
      <c r="B11" s="5" t="str">
        <f>IFERROR(__xludf.DUMMYFUNCTION("""COMPUTED_VALUE"""),"Muhammad Hilmy Ilyasa Rizal")</f>
        <v>Muhammad Hilmy Ilyasa Rizal</v>
      </c>
      <c r="C11" s="5" t="str">
        <f>IFERROR(__xludf.DUMMYFUNCTION("""COMPUTED_VALUE"""),"MTs Putra")</f>
        <v>MTs Putra</v>
      </c>
      <c r="D11" s="168" t="str">
        <f>IFERROR(__xludf.DUMMYFUNCTION("""COMPUTED_VALUE"""),"A")</f>
        <v>A</v>
      </c>
      <c r="E11" s="168" t="str">
        <f>IFERROR(__xludf.DUMMYFUNCTION("""COMPUTED_VALUE"""),"A")</f>
        <v>A</v>
      </c>
      <c r="F11" s="168" t="str">
        <f>IFERROR(__xludf.DUMMYFUNCTION("""COMPUTED_VALUE"""),"B")</f>
        <v>B</v>
      </c>
      <c r="G11" s="168" t="str">
        <f>IFERROR(__xludf.DUMMYFUNCTION("""COMPUTED_VALUE"""),"A")</f>
        <v>A</v>
      </c>
      <c r="H11" s="168" t="str">
        <f>IFERROR(__xludf.DUMMYFUNCTION("""COMPUTED_VALUE"""),"A")</f>
        <v>A</v>
      </c>
    </row>
    <row r="12">
      <c r="A12" s="5" t="str">
        <f>IFERROR(__xludf.DUMMYFUNCTION("""COMPUTED_VALUE"""),"A250009")</f>
        <v>A250009</v>
      </c>
      <c r="B12" s="5" t="str">
        <f>IFERROR(__xludf.DUMMYFUNCTION("""COMPUTED_VALUE"""),"Nahnurizko nabhan farghali ")</f>
        <v>Nahnurizko nabhan farghali </v>
      </c>
      <c r="C12" s="5" t="str">
        <f>IFERROR(__xludf.DUMMYFUNCTION("""COMPUTED_VALUE"""),"MTs Putra")</f>
        <v>MTs Putra</v>
      </c>
      <c r="D12" s="168" t="str">
        <f>IFERROR(__xludf.DUMMYFUNCTION("""COMPUTED_VALUE"""),"A")</f>
        <v>A</v>
      </c>
      <c r="E12" s="168" t="str">
        <f>IFERROR(__xludf.DUMMYFUNCTION("""COMPUTED_VALUE"""),"A")</f>
        <v>A</v>
      </c>
      <c r="F12" s="168" t="str">
        <f>IFERROR(__xludf.DUMMYFUNCTION("""COMPUTED_VALUE"""),"A")</f>
        <v>A</v>
      </c>
      <c r="G12" s="168" t="str">
        <f>IFERROR(__xludf.DUMMYFUNCTION("""COMPUTED_VALUE"""),"A")</f>
        <v>A</v>
      </c>
      <c r="H12" s="168" t="str">
        <f>IFERROR(__xludf.DUMMYFUNCTION("""COMPUTED_VALUE"""),"A")</f>
        <v>A</v>
      </c>
    </row>
    <row r="13">
      <c r="A13" s="5" t="str">
        <f>IFERROR(__xludf.DUMMYFUNCTION("""COMPUTED_VALUE"""),"A250028")</f>
        <v>A250028</v>
      </c>
      <c r="B13" s="5" t="str">
        <f>IFERROR(__xludf.DUMMYFUNCTION("""COMPUTED_VALUE"""),"Satria Panca Desmara")</f>
        <v>Satria Panca Desmara</v>
      </c>
      <c r="C13" s="5" t="str">
        <f>IFERROR(__xludf.DUMMYFUNCTION("""COMPUTED_VALUE"""),"MTs Putra")</f>
        <v>MTs Putra</v>
      </c>
      <c r="D13" s="168" t="str">
        <f>IFERROR(__xludf.DUMMYFUNCTION("""COMPUTED_VALUE"""),"B")</f>
        <v>B</v>
      </c>
      <c r="E13" s="168" t="str">
        <f>IFERROR(__xludf.DUMMYFUNCTION("""COMPUTED_VALUE"""),"A")</f>
        <v>A</v>
      </c>
      <c r="F13" s="168" t="str">
        <f>IFERROR(__xludf.DUMMYFUNCTION("""COMPUTED_VALUE"""),"A")</f>
        <v>A</v>
      </c>
      <c r="G13" s="168" t="str">
        <f>IFERROR(__xludf.DUMMYFUNCTION("""COMPUTED_VALUE"""),"B")</f>
        <v>B</v>
      </c>
      <c r="H13" s="168" t="str">
        <f>IFERROR(__xludf.DUMMYFUNCTION("""COMPUTED_VALUE"""),"A")</f>
        <v>A</v>
      </c>
    </row>
    <row r="14">
      <c r="A14" s="5" t="str">
        <f>IFERROR(__xludf.DUMMYFUNCTION("""COMPUTED_VALUE"""),"A250010")</f>
        <v>A250010</v>
      </c>
      <c r="B14" s="5" t="str">
        <f>IFERROR(__xludf.DUMMYFUNCTION("""COMPUTED_VALUE"""),"Muhammad Asyam Abdullah ")</f>
        <v>Muhammad Asyam Abdullah </v>
      </c>
      <c r="C14" s="5" t="str">
        <f>IFERROR(__xludf.DUMMYFUNCTION("""COMPUTED_VALUE"""),"MTs Putra")</f>
        <v>MTs Putra</v>
      </c>
      <c r="D14" s="168" t="str">
        <f>IFERROR(__xludf.DUMMYFUNCTION("""COMPUTED_VALUE"""),"A")</f>
        <v>A</v>
      </c>
      <c r="E14" s="168" t="str">
        <f>IFERROR(__xludf.DUMMYFUNCTION("""COMPUTED_VALUE"""),"A")</f>
        <v>A</v>
      </c>
      <c r="F14" s="168" t="str">
        <f>IFERROR(__xludf.DUMMYFUNCTION("""COMPUTED_VALUE"""),"B")</f>
        <v>B</v>
      </c>
      <c r="G14" s="168" t="str">
        <f>IFERROR(__xludf.DUMMYFUNCTION("""COMPUTED_VALUE"""),"A")</f>
        <v>A</v>
      </c>
      <c r="H14" s="168" t="str">
        <f>IFERROR(__xludf.DUMMYFUNCTION("""COMPUTED_VALUE"""),"A")</f>
        <v>A</v>
      </c>
    </row>
    <row r="15">
      <c r="A15" s="5" t="str">
        <f>IFERROR(__xludf.DUMMYFUNCTION("""COMPUTED_VALUE"""),"A250048")</f>
        <v>A250048</v>
      </c>
      <c r="B15" s="5" t="str">
        <f>IFERROR(__xludf.DUMMYFUNCTION("""COMPUTED_VALUE"""),"MUHAMMAD HANIF ASH SHIDDIQ")</f>
        <v>MUHAMMAD HANIF ASH SHIDDIQ</v>
      </c>
      <c r="C15" s="5" t="str">
        <f>IFERROR(__xludf.DUMMYFUNCTION("""COMPUTED_VALUE"""),"MTs Putra")</f>
        <v>MTs Putra</v>
      </c>
      <c r="D15" s="168" t="str">
        <f>IFERROR(__xludf.DUMMYFUNCTION("""COMPUTED_VALUE"""),"A")</f>
        <v>A</v>
      </c>
      <c r="E15" s="168" t="str">
        <f>IFERROR(__xludf.DUMMYFUNCTION("""COMPUTED_VALUE"""),"A")</f>
        <v>A</v>
      </c>
      <c r="F15" s="168" t="str">
        <f>IFERROR(__xludf.DUMMYFUNCTION("""COMPUTED_VALUE"""),"B")</f>
        <v>B</v>
      </c>
      <c r="G15" s="168" t="str">
        <f>IFERROR(__xludf.DUMMYFUNCTION("""COMPUTED_VALUE"""),"A")</f>
        <v>A</v>
      </c>
      <c r="H15" s="168" t="str">
        <f>IFERROR(__xludf.DUMMYFUNCTION("""COMPUTED_VALUE"""),"A")</f>
        <v>A</v>
      </c>
    </row>
    <row r="16">
      <c r="A16" s="5" t="str">
        <f>IFERROR(__xludf.DUMMYFUNCTION("""COMPUTED_VALUE"""),"A250054")</f>
        <v>A250054</v>
      </c>
      <c r="B16" s="5" t="str">
        <f>IFERROR(__xludf.DUMMYFUNCTION("""COMPUTED_VALUE"""),"Muhammad Al-Fatih Fadhly")</f>
        <v>Muhammad Al-Fatih Fadhly</v>
      </c>
      <c r="C16" s="5" t="str">
        <f>IFERROR(__xludf.DUMMYFUNCTION("""COMPUTED_VALUE"""),"MTs Putra")</f>
        <v>MTs Putra</v>
      </c>
      <c r="D16" s="168" t="str">
        <f>IFERROR(__xludf.DUMMYFUNCTION("""COMPUTED_VALUE"""),"B")</f>
        <v>B</v>
      </c>
      <c r="E16" s="168" t="str">
        <f>IFERROR(__xludf.DUMMYFUNCTION("""COMPUTED_VALUE"""),"B")</f>
        <v>B</v>
      </c>
      <c r="F16" s="168" t="str">
        <f>IFERROR(__xludf.DUMMYFUNCTION("""COMPUTED_VALUE"""),"A")</f>
        <v>A</v>
      </c>
      <c r="G16" s="168" t="str">
        <f>IFERROR(__xludf.DUMMYFUNCTION("""COMPUTED_VALUE"""),"A")</f>
        <v>A</v>
      </c>
      <c r="H16" s="168" t="str">
        <f>IFERROR(__xludf.DUMMYFUNCTION("""COMPUTED_VALUE"""),"A")</f>
        <v>A</v>
      </c>
    </row>
    <row r="17">
      <c r="A17" s="5" t="str">
        <f>IFERROR(__xludf.DUMMYFUNCTION("""COMPUTED_VALUE"""),"A250046")</f>
        <v>A250046</v>
      </c>
      <c r="B17" s="5" t="str">
        <f>IFERROR(__xludf.DUMMYFUNCTION("""COMPUTED_VALUE"""),"Sulthan Faqih Al Hadziq")</f>
        <v>Sulthan Faqih Al Hadziq</v>
      </c>
      <c r="C17" s="5" t="str">
        <f>IFERROR(__xludf.DUMMYFUNCTION("""COMPUTED_VALUE"""),"MTs Putra")</f>
        <v>MTs Putra</v>
      </c>
      <c r="D17" s="168" t="str">
        <f>IFERROR(__xludf.DUMMYFUNCTION("""COMPUTED_VALUE"""),"A")</f>
        <v>A</v>
      </c>
      <c r="E17" s="168" t="str">
        <f>IFERROR(__xludf.DUMMYFUNCTION("""COMPUTED_VALUE"""),"A")</f>
        <v>A</v>
      </c>
      <c r="F17" s="168" t="str">
        <f>IFERROR(__xludf.DUMMYFUNCTION("""COMPUTED_VALUE"""),"A")</f>
        <v>A</v>
      </c>
      <c r="G17" s="168" t="str">
        <f>IFERROR(__xludf.DUMMYFUNCTION("""COMPUTED_VALUE"""),"A")</f>
        <v>A</v>
      </c>
      <c r="H17" s="168" t="str">
        <f>IFERROR(__xludf.DUMMYFUNCTION("""COMPUTED_VALUE"""),"A")</f>
        <v>A</v>
      </c>
    </row>
    <row r="18">
      <c r="A18" s="5" t="str">
        <f>IFERROR(__xludf.DUMMYFUNCTION("""COMPUTED_VALUE"""),"A250037")</f>
        <v>A250037</v>
      </c>
      <c r="B18" s="5" t="str">
        <f>IFERROR(__xludf.DUMMYFUNCTION("""COMPUTED_VALUE"""),"Muhammad Arkan")</f>
        <v>Muhammad Arkan</v>
      </c>
      <c r="C18" s="5" t="str">
        <f>IFERROR(__xludf.DUMMYFUNCTION("""COMPUTED_VALUE"""),"MTs Putra")</f>
        <v>MTs Putra</v>
      </c>
      <c r="D18" s="168" t="str">
        <f>IFERROR(__xludf.DUMMYFUNCTION("""COMPUTED_VALUE"""),"A")</f>
        <v>A</v>
      </c>
      <c r="E18" s="168" t="str">
        <f>IFERROR(__xludf.DUMMYFUNCTION("""COMPUTED_VALUE"""),"A")</f>
        <v>A</v>
      </c>
      <c r="F18" s="168" t="str">
        <f>IFERROR(__xludf.DUMMYFUNCTION("""COMPUTED_VALUE"""),"A")</f>
        <v>A</v>
      </c>
      <c r="G18" s="168" t="str">
        <f>IFERROR(__xludf.DUMMYFUNCTION("""COMPUTED_VALUE"""),"A")</f>
        <v>A</v>
      </c>
      <c r="H18" s="168" t="str">
        <f>IFERROR(__xludf.DUMMYFUNCTION("""COMPUTED_VALUE"""),"A")</f>
        <v>A</v>
      </c>
    </row>
    <row r="19">
      <c r="A19" s="5" t="str">
        <f>IFERROR(__xludf.DUMMYFUNCTION("""COMPUTED_VALUE"""),"A250005")</f>
        <v>A250005</v>
      </c>
      <c r="B19" s="5" t="str">
        <f>IFERROR(__xludf.DUMMYFUNCTION("""COMPUTED_VALUE"""),"Muhammad Raihan Alfawwaz")</f>
        <v>Muhammad Raihan Alfawwaz</v>
      </c>
      <c r="C19" s="5" t="str">
        <f>IFERROR(__xludf.DUMMYFUNCTION("""COMPUTED_VALUE"""),"MTs Putra")</f>
        <v>MTs Putra</v>
      </c>
      <c r="D19" s="168" t="str">
        <f>IFERROR(__xludf.DUMMYFUNCTION("""COMPUTED_VALUE"""),"A")</f>
        <v>A</v>
      </c>
      <c r="E19" s="168" t="str">
        <f>IFERROR(__xludf.DUMMYFUNCTION("""COMPUTED_VALUE"""),"A")</f>
        <v>A</v>
      </c>
      <c r="F19" s="168" t="str">
        <f>IFERROR(__xludf.DUMMYFUNCTION("""COMPUTED_VALUE"""),"A")</f>
        <v>A</v>
      </c>
      <c r="G19" s="168" t="str">
        <f>IFERROR(__xludf.DUMMYFUNCTION("""COMPUTED_VALUE"""),"A")</f>
        <v>A</v>
      </c>
      <c r="H19" s="168" t="str">
        <f>IFERROR(__xludf.DUMMYFUNCTION("""COMPUTED_VALUE"""),"A")</f>
        <v>A</v>
      </c>
    </row>
    <row r="20">
      <c r="A20" s="5" t="str">
        <f>IFERROR(__xludf.DUMMYFUNCTION("""COMPUTED_VALUE"""),"A250015")</f>
        <v>A250015</v>
      </c>
      <c r="B20" s="5" t="str">
        <f>IFERROR(__xludf.DUMMYFUNCTION("""COMPUTED_VALUE"""),"ARRAYYAN ABDUR RASHID")</f>
        <v>ARRAYYAN ABDUR RASHID</v>
      </c>
      <c r="C20" s="5" t="str">
        <f>IFERROR(__xludf.DUMMYFUNCTION("""COMPUTED_VALUE"""),"MTs Putra")</f>
        <v>MTs Putra</v>
      </c>
      <c r="D20" s="168" t="str">
        <f>IFERROR(__xludf.DUMMYFUNCTION("""COMPUTED_VALUE"""),"A")</f>
        <v>A</v>
      </c>
      <c r="E20" s="168" t="str">
        <f>IFERROR(__xludf.DUMMYFUNCTION("""COMPUTED_VALUE"""),"A")</f>
        <v>A</v>
      </c>
      <c r="F20" s="168" t="str">
        <f>IFERROR(__xludf.DUMMYFUNCTION("""COMPUTED_VALUE"""),"B")</f>
        <v>B</v>
      </c>
      <c r="G20" s="168" t="str">
        <f>IFERROR(__xludf.DUMMYFUNCTION("""COMPUTED_VALUE"""),"B")</f>
        <v>B</v>
      </c>
      <c r="H20" s="168" t="str">
        <f>IFERROR(__xludf.DUMMYFUNCTION("""COMPUTED_VALUE"""),"A")</f>
        <v>A</v>
      </c>
    </row>
    <row r="21">
      <c r="A21" s="5" t="str">
        <f>IFERROR(__xludf.DUMMYFUNCTION("""COMPUTED_VALUE"""),"A250058")</f>
        <v>A250058</v>
      </c>
      <c r="B21" s="5" t="str">
        <f>IFERROR(__xludf.DUMMYFUNCTION("""COMPUTED_VALUE"""),"Yahya Azka Ya'sub ")</f>
        <v>Yahya Azka Ya'sub </v>
      </c>
      <c r="C21" s="5" t="str">
        <f>IFERROR(__xludf.DUMMYFUNCTION("""COMPUTED_VALUE"""),"MTs Putra")</f>
        <v>MTs Putra</v>
      </c>
      <c r="D21" s="168" t="str">
        <f>IFERROR(__xludf.DUMMYFUNCTION("""COMPUTED_VALUE"""),"A")</f>
        <v>A</v>
      </c>
      <c r="E21" s="168" t="str">
        <f>IFERROR(__xludf.DUMMYFUNCTION("""COMPUTED_VALUE"""),"B")</f>
        <v>B</v>
      </c>
      <c r="F21" s="168" t="str">
        <f>IFERROR(__xludf.DUMMYFUNCTION("""COMPUTED_VALUE"""),"A")</f>
        <v>A</v>
      </c>
      <c r="G21" s="168" t="str">
        <f>IFERROR(__xludf.DUMMYFUNCTION("""COMPUTED_VALUE"""),"A")</f>
        <v>A</v>
      </c>
      <c r="H21" s="168" t="str">
        <f>IFERROR(__xludf.DUMMYFUNCTION("""COMPUTED_VALUE"""),"A")</f>
        <v>A</v>
      </c>
    </row>
    <row r="22">
      <c r="A22" s="5" t="str">
        <f>IFERROR(__xludf.DUMMYFUNCTION("""COMPUTED_VALUE"""),"A250019")</f>
        <v>A250019</v>
      </c>
      <c r="B22" s="5" t="str">
        <f>IFERROR(__xludf.DUMMYFUNCTION("""COMPUTED_VALUE"""),"Fatih kenzie dzulian anado")</f>
        <v>Fatih kenzie dzulian anado</v>
      </c>
      <c r="C22" s="5" t="str">
        <f>IFERROR(__xludf.DUMMYFUNCTION("""COMPUTED_VALUE"""),"MTs Putra")</f>
        <v>MTs Putra</v>
      </c>
      <c r="D22" s="168" t="str">
        <f>IFERROR(__xludf.DUMMYFUNCTION("""COMPUTED_VALUE"""),"A")</f>
        <v>A</v>
      </c>
      <c r="E22" s="168" t="str">
        <f>IFERROR(__xludf.DUMMYFUNCTION("""COMPUTED_VALUE"""),"A")</f>
        <v>A</v>
      </c>
      <c r="F22" s="168" t="str">
        <f>IFERROR(__xludf.DUMMYFUNCTION("""COMPUTED_VALUE"""),"A")</f>
        <v>A</v>
      </c>
      <c r="G22" s="168" t="str">
        <f>IFERROR(__xludf.DUMMYFUNCTION("""COMPUTED_VALUE"""),"B")</f>
        <v>B</v>
      </c>
      <c r="H22" s="168" t="str">
        <f>IFERROR(__xludf.DUMMYFUNCTION("""COMPUTED_VALUE"""),"A")</f>
        <v>A</v>
      </c>
    </row>
    <row r="23">
      <c r="A23" s="5" t="str">
        <f>IFERROR(__xludf.DUMMYFUNCTION("""COMPUTED_VALUE"""),"A250032")</f>
        <v>A250032</v>
      </c>
      <c r="B23" s="5" t="str">
        <f>IFERROR(__xludf.DUMMYFUNCTION("""COMPUTED_VALUE"""),"Artka hasbina azhuary")</f>
        <v>Artka hasbina azhuary</v>
      </c>
      <c r="C23" s="5" t="str">
        <f>IFERROR(__xludf.DUMMYFUNCTION("""COMPUTED_VALUE"""),"MTs Putra")</f>
        <v>MTs Putra</v>
      </c>
      <c r="D23" s="168" t="str">
        <f>IFERROR(__xludf.DUMMYFUNCTION("""COMPUTED_VALUE"""),"A")</f>
        <v>A</v>
      </c>
      <c r="E23" s="168" t="str">
        <f>IFERROR(__xludf.DUMMYFUNCTION("""COMPUTED_VALUE"""),"C")</f>
        <v>C</v>
      </c>
      <c r="F23" s="168" t="str">
        <f>IFERROR(__xludf.DUMMYFUNCTION("""COMPUTED_VALUE"""),"A")</f>
        <v>A</v>
      </c>
      <c r="G23" s="168" t="str">
        <f>IFERROR(__xludf.DUMMYFUNCTION("""COMPUTED_VALUE"""),"A")</f>
        <v>A</v>
      </c>
      <c r="H23" s="168" t="str">
        <f>IFERROR(__xludf.DUMMYFUNCTION("""COMPUTED_VALUE"""),"A")</f>
        <v>A</v>
      </c>
    </row>
    <row r="24">
      <c r="A24" s="5" t="str">
        <f>IFERROR(__xludf.DUMMYFUNCTION("""COMPUTED_VALUE"""),"A250045")</f>
        <v>A250045</v>
      </c>
      <c r="B24" s="5" t="str">
        <f>IFERROR(__xludf.DUMMYFUNCTION("""COMPUTED_VALUE"""),"Suhail Aiman")</f>
        <v>Suhail Aiman</v>
      </c>
      <c r="C24" s="5" t="str">
        <f>IFERROR(__xludf.DUMMYFUNCTION("""COMPUTED_VALUE"""),"MTs Putra")</f>
        <v>MTs Putra</v>
      </c>
      <c r="D24" s="168" t="str">
        <f>IFERROR(__xludf.DUMMYFUNCTION("""COMPUTED_VALUE"""),"A")</f>
        <v>A</v>
      </c>
      <c r="E24" s="168" t="str">
        <f>IFERROR(__xludf.DUMMYFUNCTION("""COMPUTED_VALUE"""),"A")</f>
        <v>A</v>
      </c>
      <c r="F24" s="168" t="str">
        <f>IFERROR(__xludf.DUMMYFUNCTION("""COMPUTED_VALUE"""),"A")</f>
        <v>A</v>
      </c>
      <c r="G24" s="168" t="str">
        <f>IFERROR(__xludf.DUMMYFUNCTION("""COMPUTED_VALUE"""),"A")</f>
        <v>A</v>
      </c>
      <c r="H24" s="168" t="str">
        <f>IFERROR(__xludf.DUMMYFUNCTION("""COMPUTED_VALUE"""),"A")</f>
        <v>A</v>
      </c>
    </row>
    <row r="25">
      <c r="A25" s="5" t="str">
        <f>IFERROR(__xludf.DUMMYFUNCTION("""COMPUTED_VALUE"""),"A250002")</f>
        <v>A250002</v>
      </c>
      <c r="B25" s="5" t="str">
        <f>IFERROR(__xludf.DUMMYFUNCTION("""COMPUTED_VALUE"""),"Umar fawwaz")</f>
        <v>Umar fawwaz</v>
      </c>
      <c r="C25" s="5" t="str">
        <f>IFERROR(__xludf.DUMMYFUNCTION("""COMPUTED_VALUE"""),"MTs Putra")</f>
        <v>MTs Putra</v>
      </c>
      <c r="D25" s="168" t="str">
        <f>IFERROR(__xludf.DUMMYFUNCTION("""COMPUTED_VALUE"""),"A")</f>
        <v>A</v>
      </c>
      <c r="E25" s="168" t="str">
        <f>IFERROR(__xludf.DUMMYFUNCTION("""COMPUTED_VALUE"""),"A")</f>
        <v>A</v>
      </c>
      <c r="F25" s="168" t="str">
        <f>IFERROR(__xludf.DUMMYFUNCTION("""COMPUTED_VALUE"""),"A")</f>
        <v>A</v>
      </c>
      <c r="G25" s="168" t="str">
        <f>IFERROR(__xludf.DUMMYFUNCTION("""COMPUTED_VALUE"""),"A")</f>
        <v>A</v>
      </c>
      <c r="H25" s="168" t="str">
        <f>IFERROR(__xludf.DUMMYFUNCTION("""COMPUTED_VALUE"""),"A")</f>
        <v>A</v>
      </c>
    </row>
    <row r="26">
      <c r="A26" s="7" t="str">
        <f>IFERROR(__xludf.DUMMYFUNCTION("""COMPUTED_VALUE"""),"A250031")</f>
        <v>A250031</v>
      </c>
      <c r="B26" s="7" t="str">
        <f>IFERROR(__xludf.DUMMYFUNCTION("""COMPUTED_VALUE"""),"FATAN IHYA AS-SUNNAH")</f>
        <v>FATAN IHYA AS-SUNNAH</v>
      </c>
      <c r="C26" s="7" t="str">
        <f>IFERROR(__xludf.DUMMYFUNCTION("""COMPUTED_VALUE"""),"MTs Putra")</f>
        <v>MTs Putra</v>
      </c>
      <c r="D26" s="50" t="str">
        <f>IFERROR(__xludf.DUMMYFUNCTION("""COMPUTED_VALUE"""),"A")</f>
        <v>A</v>
      </c>
      <c r="E26" s="50" t="str">
        <f>IFERROR(__xludf.DUMMYFUNCTION("""COMPUTED_VALUE"""),"C")</f>
        <v>C</v>
      </c>
      <c r="F26" s="50" t="str">
        <f>IFERROR(__xludf.DUMMYFUNCTION("""COMPUTED_VALUE"""),"A")</f>
        <v>A</v>
      </c>
      <c r="G26" s="50" t="str">
        <f>IFERROR(__xludf.DUMMYFUNCTION("""COMPUTED_VALUE"""),"A")</f>
        <v>A</v>
      </c>
      <c r="H26" s="50" t="str">
        <f>IFERROR(__xludf.DUMMYFUNCTION("""COMPUTED_VALUE"""),"A")</f>
        <v>A</v>
      </c>
    </row>
    <row r="27">
      <c r="A27" s="7" t="str">
        <f>IFERROR(__xludf.DUMMYFUNCTION("""COMPUTED_VALUE"""),"A250033")</f>
        <v>A250033</v>
      </c>
      <c r="B27" s="7" t="str">
        <f>IFERROR(__xludf.DUMMYFUNCTION("""COMPUTED_VALUE"""),"AZKA KHAIRUL ICHSAN HASUGIANA")</f>
        <v>AZKA KHAIRUL ICHSAN HASUGIANA</v>
      </c>
      <c r="C27" s="7" t="str">
        <f>IFERROR(__xludf.DUMMYFUNCTION("""COMPUTED_VALUE"""),"MTs Putra")</f>
        <v>MTs Putra</v>
      </c>
      <c r="D27" s="50" t="str">
        <f>IFERROR(__xludf.DUMMYFUNCTION("""COMPUTED_VALUE"""),"B")</f>
        <v>B</v>
      </c>
      <c r="E27" s="50" t="str">
        <f>IFERROR(__xludf.DUMMYFUNCTION("""COMPUTED_VALUE"""),"A")</f>
        <v>A</v>
      </c>
      <c r="F27" s="50" t="str">
        <f>IFERROR(__xludf.DUMMYFUNCTION("""COMPUTED_VALUE"""),"A")</f>
        <v>A</v>
      </c>
      <c r="G27" s="50" t="str">
        <f>IFERROR(__xludf.DUMMYFUNCTION("""COMPUTED_VALUE"""),"A")</f>
        <v>A</v>
      </c>
      <c r="H27" s="50" t="str">
        <f>IFERROR(__xludf.DUMMYFUNCTION("""COMPUTED_VALUE"""),"A")</f>
        <v>A</v>
      </c>
    </row>
    <row r="28">
      <c r="A28" s="7" t="str">
        <f>IFERROR(__xludf.DUMMYFUNCTION("""COMPUTED_VALUE"""),"A250017")</f>
        <v>A250017</v>
      </c>
      <c r="B28" s="7" t="str">
        <f>IFERROR(__xludf.DUMMYFUNCTION("""COMPUTED_VALUE"""),"Akhdan Azkiya Mahdy")</f>
        <v>Akhdan Azkiya Mahdy</v>
      </c>
      <c r="C28" s="7" t="str">
        <f>IFERROR(__xludf.DUMMYFUNCTION("""COMPUTED_VALUE"""),"MTs Putra")</f>
        <v>MTs Putra</v>
      </c>
      <c r="D28" s="50" t="str">
        <f>IFERROR(__xludf.DUMMYFUNCTION("""COMPUTED_VALUE"""),"A")</f>
        <v>A</v>
      </c>
      <c r="E28" s="50" t="str">
        <f>IFERROR(__xludf.DUMMYFUNCTION("""COMPUTED_VALUE"""),"A")</f>
        <v>A</v>
      </c>
      <c r="F28" s="50" t="str">
        <f>IFERROR(__xludf.DUMMYFUNCTION("""COMPUTED_VALUE"""),"A")</f>
        <v>A</v>
      </c>
      <c r="G28" s="50" t="str">
        <f>IFERROR(__xludf.DUMMYFUNCTION("""COMPUTED_VALUE"""),"B")</f>
        <v>B</v>
      </c>
      <c r="H28" s="50" t="str">
        <f>IFERROR(__xludf.DUMMYFUNCTION("""COMPUTED_VALUE"""),"A")</f>
        <v>A</v>
      </c>
    </row>
    <row r="29">
      <c r="A29" s="7" t="str">
        <f>IFERROR(__xludf.DUMMYFUNCTION("""COMPUTED_VALUE"""),"A250051")</f>
        <v>A250051</v>
      </c>
      <c r="B29" s="7" t="str">
        <f>IFERROR(__xludf.DUMMYFUNCTION("""COMPUTED_VALUE"""),"Khalid Muhammad Affiq")</f>
        <v>Khalid Muhammad Affiq</v>
      </c>
      <c r="C29" s="7" t="str">
        <f>IFERROR(__xludf.DUMMYFUNCTION("""COMPUTED_VALUE"""),"MTs Putra")</f>
        <v>MTs Putra</v>
      </c>
      <c r="D29" s="50" t="str">
        <f>IFERROR(__xludf.DUMMYFUNCTION("""COMPUTED_VALUE"""),"A")</f>
        <v>A</v>
      </c>
      <c r="E29" s="50" t="str">
        <f>IFERROR(__xludf.DUMMYFUNCTION("""COMPUTED_VALUE"""),"A")</f>
        <v>A</v>
      </c>
      <c r="F29" s="50" t="str">
        <f>IFERROR(__xludf.DUMMYFUNCTION("""COMPUTED_VALUE"""),"A")</f>
        <v>A</v>
      </c>
      <c r="G29" s="50" t="str">
        <f>IFERROR(__xludf.DUMMYFUNCTION("""COMPUTED_VALUE"""),"A")</f>
        <v>A</v>
      </c>
      <c r="H29" s="50" t="str">
        <f>IFERROR(__xludf.DUMMYFUNCTION("""COMPUTED_VALUE"""),"A")</f>
        <v>A</v>
      </c>
    </row>
    <row r="30">
      <c r="A30" s="7" t="str">
        <f>IFERROR(__xludf.DUMMYFUNCTION("""COMPUTED_VALUE"""),"A250074")</f>
        <v>A250074</v>
      </c>
      <c r="B30" s="7" t="str">
        <f>IFERROR(__xludf.DUMMYFUNCTION("""COMPUTED_VALUE"""),"Eshan Kazim")</f>
        <v>Eshan Kazim</v>
      </c>
      <c r="C30" s="7" t="str">
        <f>IFERROR(__xludf.DUMMYFUNCTION("""COMPUTED_VALUE"""),"MTs Putra")</f>
        <v>MTs Putra</v>
      </c>
      <c r="D30" s="50" t="str">
        <f>IFERROR(__xludf.DUMMYFUNCTION("""COMPUTED_VALUE"""),"A")</f>
        <v>A</v>
      </c>
      <c r="E30" s="50" t="str">
        <f>IFERROR(__xludf.DUMMYFUNCTION("""COMPUTED_VALUE"""),"A")</f>
        <v>A</v>
      </c>
      <c r="F30" s="50" t="str">
        <f>IFERROR(__xludf.DUMMYFUNCTION("""COMPUTED_VALUE"""),"A")</f>
        <v>A</v>
      </c>
      <c r="G30" s="50" t="str">
        <f>IFERROR(__xludf.DUMMYFUNCTION("""COMPUTED_VALUE"""),"A")</f>
        <v>A</v>
      </c>
      <c r="H30" s="50" t="str">
        <f>IFERROR(__xludf.DUMMYFUNCTION("""COMPUTED_VALUE"""),"A")</f>
        <v>A</v>
      </c>
    </row>
    <row r="31">
      <c r="A31" s="7" t="str">
        <f>IFERROR(__xludf.DUMMYFUNCTION("""COMPUTED_VALUE"""),"A250030")</f>
        <v>A250030</v>
      </c>
      <c r="B31" s="7" t="str">
        <f>IFERROR(__xludf.DUMMYFUNCTION("""COMPUTED_VALUE"""),"Ahmad Kamaludi")</f>
        <v>Ahmad Kamaludi</v>
      </c>
      <c r="C31" s="7" t="str">
        <f>IFERROR(__xludf.DUMMYFUNCTION("""COMPUTED_VALUE"""),"MTs Putra")</f>
        <v>MTs Putra</v>
      </c>
      <c r="D31" s="50" t="str">
        <f>IFERROR(__xludf.DUMMYFUNCTION("""COMPUTED_VALUE"""),"A")</f>
        <v>A</v>
      </c>
      <c r="E31" s="50" t="str">
        <f>IFERROR(__xludf.DUMMYFUNCTION("""COMPUTED_VALUE"""),"A")</f>
        <v>A</v>
      </c>
      <c r="F31" s="50" t="str">
        <f>IFERROR(__xludf.DUMMYFUNCTION("""COMPUTED_VALUE"""),"A")</f>
        <v>A</v>
      </c>
      <c r="G31" s="50" t="str">
        <f>IFERROR(__xludf.DUMMYFUNCTION("""COMPUTED_VALUE"""),"B")</f>
        <v>B</v>
      </c>
      <c r="H31" s="50" t="str">
        <f>IFERROR(__xludf.DUMMYFUNCTION("""COMPUTED_VALUE"""),"A")</f>
        <v>A</v>
      </c>
    </row>
    <row r="32">
      <c r="A32" s="7" t="str">
        <f>IFERROR(__xludf.DUMMYFUNCTION("""COMPUTED_VALUE"""),"A250077")</f>
        <v>A250077</v>
      </c>
      <c r="B32" s="7" t="str">
        <f>IFERROR(__xludf.DUMMYFUNCTION("""COMPUTED_VALUE"""),"Abdurrahman")</f>
        <v>Abdurrahman</v>
      </c>
      <c r="C32" s="7" t="str">
        <f>IFERROR(__xludf.DUMMYFUNCTION("""COMPUTED_VALUE"""),"MTs Putra")</f>
        <v>MTs Putra</v>
      </c>
      <c r="D32" s="50" t="str">
        <f>IFERROR(__xludf.DUMMYFUNCTION("""COMPUTED_VALUE"""),"A")</f>
        <v>A</v>
      </c>
      <c r="E32" s="50" t="str">
        <f>IFERROR(__xludf.DUMMYFUNCTION("""COMPUTED_VALUE"""),"A")</f>
        <v>A</v>
      </c>
      <c r="F32" s="50" t="str">
        <f>IFERROR(__xludf.DUMMYFUNCTION("""COMPUTED_VALUE"""),"A")</f>
        <v>A</v>
      </c>
      <c r="G32" s="50" t="str">
        <f>IFERROR(__xludf.DUMMYFUNCTION("""COMPUTED_VALUE"""),"A")</f>
        <v>A</v>
      </c>
      <c r="H32" s="50" t="str">
        <f>IFERROR(__xludf.DUMMYFUNCTION("""COMPUTED_VALUE"""),"A")</f>
        <v>A</v>
      </c>
    </row>
    <row r="33">
      <c r="A33" s="7" t="str">
        <f>IFERROR(__xludf.DUMMYFUNCTION("""COMPUTED_VALUE"""),"A250075")</f>
        <v>A250075</v>
      </c>
      <c r="B33" s="7" t="str">
        <f>IFERROR(__xludf.DUMMYFUNCTION("""COMPUTED_VALUE"""),"Muhammad Nadhif Raisyauqy")</f>
        <v>Muhammad Nadhif Raisyauqy</v>
      </c>
      <c r="C33" s="7" t="str">
        <f>IFERROR(__xludf.DUMMYFUNCTION("""COMPUTED_VALUE"""),"MTs Putra")</f>
        <v>MTs Putra</v>
      </c>
      <c r="D33" s="50" t="str">
        <f>IFERROR(__xludf.DUMMYFUNCTION("""COMPUTED_VALUE"""),"A")</f>
        <v>A</v>
      </c>
      <c r="E33" s="50" t="str">
        <f>IFERROR(__xludf.DUMMYFUNCTION("""COMPUTED_VALUE"""),"A")</f>
        <v>A</v>
      </c>
      <c r="F33" s="50" t="str">
        <f>IFERROR(__xludf.DUMMYFUNCTION("""COMPUTED_VALUE"""),"A")</f>
        <v>A</v>
      </c>
      <c r="G33" s="50" t="str">
        <f>IFERROR(__xludf.DUMMYFUNCTION("""COMPUTED_VALUE"""),"A")</f>
        <v>A</v>
      </c>
      <c r="H33" s="50" t="str">
        <f>IFERROR(__xludf.DUMMYFUNCTION("""COMPUTED_VALUE"""),"A")</f>
        <v>A</v>
      </c>
    </row>
    <row r="34">
      <c r="A34" s="7" t="str">
        <f>IFERROR(__xludf.DUMMYFUNCTION("""COMPUTED_VALUE"""),"A250082")</f>
        <v>A250082</v>
      </c>
      <c r="B34" s="7" t="str">
        <f>IFERROR(__xludf.DUMMYFUNCTION("""COMPUTED_VALUE"""),"URWATULWUTSQO")</f>
        <v>URWATULWUTSQO</v>
      </c>
      <c r="C34" s="7" t="str">
        <f>IFERROR(__xludf.DUMMYFUNCTION("""COMPUTED_VALUE"""),"MTs Putra")</f>
        <v>MTs Putra</v>
      </c>
      <c r="D34" s="50" t="str">
        <f>IFERROR(__xludf.DUMMYFUNCTION("""COMPUTED_VALUE"""),"A")</f>
        <v>A</v>
      </c>
      <c r="E34" s="50" t="str">
        <f>IFERROR(__xludf.DUMMYFUNCTION("""COMPUTED_VALUE"""),"A")</f>
        <v>A</v>
      </c>
      <c r="F34" s="50" t="str">
        <f>IFERROR(__xludf.DUMMYFUNCTION("""COMPUTED_VALUE"""),"A")</f>
        <v>A</v>
      </c>
      <c r="G34" s="50" t="str">
        <f>IFERROR(__xludf.DUMMYFUNCTION("""COMPUTED_VALUE"""),"A")</f>
        <v>A</v>
      </c>
      <c r="H34" s="50" t="str">
        <f>IFERROR(__xludf.DUMMYFUNCTION("""COMPUTED_VALUE"""),"A")</f>
        <v>A</v>
      </c>
    </row>
    <row r="35">
      <c r="A35" s="7" t="str">
        <f>IFERROR(__xludf.DUMMYFUNCTION("""COMPUTED_VALUE"""),"A250084")</f>
        <v>A250084</v>
      </c>
      <c r="B35" s="7" t="str">
        <f>IFERROR(__xludf.DUMMYFUNCTION("""COMPUTED_VALUE"""),"Rifqi Fathurrohman")</f>
        <v>Rifqi Fathurrohman</v>
      </c>
      <c r="C35" s="7" t="str">
        <f>IFERROR(__xludf.DUMMYFUNCTION("""COMPUTED_VALUE"""),"MTs Putra")</f>
        <v>MTs Putra</v>
      </c>
      <c r="D35" s="50" t="str">
        <f>IFERROR(__xludf.DUMMYFUNCTION("""COMPUTED_VALUE"""),"A")</f>
        <v>A</v>
      </c>
      <c r="E35" s="50" t="str">
        <f>IFERROR(__xludf.DUMMYFUNCTION("""COMPUTED_VALUE"""),"A")</f>
        <v>A</v>
      </c>
      <c r="F35" s="50" t="str">
        <f>IFERROR(__xludf.DUMMYFUNCTION("""COMPUTED_VALUE"""),"A")</f>
        <v>A</v>
      </c>
      <c r="G35" s="50" t="str">
        <f>IFERROR(__xludf.DUMMYFUNCTION("""COMPUTED_VALUE"""),"A")</f>
        <v>A</v>
      </c>
      <c r="H35" s="50" t="str">
        <f>IFERROR(__xludf.DUMMYFUNCTION("""COMPUTED_VALUE"""),"A")</f>
        <v>A</v>
      </c>
    </row>
    <row r="36">
      <c r="A36" s="7" t="str">
        <f>IFERROR(__xludf.DUMMYFUNCTION("""COMPUTED_VALUE"""),"A250026")</f>
        <v>A250026</v>
      </c>
      <c r="B36" s="7" t="str">
        <f>IFERROR(__xludf.DUMMYFUNCTION("""COMPUTED_VALUE"""),"Faruq Ahmad Asy-Syirbuni")</f>
        <v>Faruq Ahmad Asy-Syirbuni</v>
      </c>
      <c r="C36" s="7" t="str">
        <f>IFERROR(__xludf.DUMMYFUNCTION("""COMPUTED_VALUE"""),"MTs Putra")</f>
        <v>MTs Putra</v>
      </c>
      <c r="D36" s="50" t="str">
        <f>IFERROR(__xludf.DUMMYFUNCTION("""COMPUTED_VALUE"""),"A")</f>
        <v>A</v>
      </c>
      <c r="E36" s="50" t="str">
        <f>IFERROR(__xludf.DUMMYFUNCTION("""COMPUTED_VALUE"""),"B")</f>
        <v>B</v>
      </c>
      <c r="F36" s="50" t="str">
        <f>IFERROR(__xludf.DUMMYFUNCTION("""COMPUTED_VALUE"""),"A")</f>
        <v>A</v>
      </c>
      <c r="G36" s="50" t="str">
        <f>IFERROR(__xludf.DUMMYFUNCTION("""COMPUTED_VALUE"""),"A")</f>
        <v>A</v>
      </c>
      <c r="H36" s="50" t="str">
        <f>IFERROR(__xludf.DUMMYFUNCTION("""COMPUTED_VALUE"""),"A")</f>
        <v>A</v>
      </c>
    </row>
    <row r="37">
      <c r="D37" s="50"/>
      <c r="E37" s="50"/>
      <c r="F37" s="50"/>
      <c r="G37" s="50"/>
      <c r="H37" s="50"/>
    </row>
    <row r="38">
      <c r="D38" s="50"/>
      <c r="E38" s="50"/>
      <c r="F38" s="50"/>
      <c r="G38" s="50"/>
      <c r="H38" s="50"/>
    </row>
    <row r="39">
      <c r="D39" s="50"/>
      <c r="E39" s="50"/>
      <c r="F39" s="50"/>
      <c r="G39" s="50"/>
      <c r="H39" s="50"/>
    </row>
    <row r="40">
      <c r="D40" s="50"/>
      <c r="E40" s="50"/>
      <c r="F40" s="50"/>
      <c r="G40" s="50"/>
      <c r="H40" s="50"/>
    </row>
    <row r="41">
      <c r="D41" s="50"/>
      <c r="E41" s="50"/>
      <c r="F41" s="50"/>
      <c r="G41" s="50"/>
      <c r="H41" s="50"/>
    </row>
    <row r="42">
      <c r="D42" s="50"/>
      <c r="E42" s="50"/>
      <c r="F42" s="50"/>
      <c r="G42" s="50"/>
      <c r="H42" s="50"/>
    </row>
    <row r="43">
      <c r="D43" s="50"/>
      <c r="E43" s="50"/>
      <c r="F43" s="50"/>
      <c r="G43" s="50"/>
      <c r="H43" s="50"/>
    </row>
    <row r="44">
      <c r="D44" s="50"/>
      <c r="E44" s="50"/>
      <c r="F44" s="50"/>
      <c r="G44" s="50"/>
      <c r="H44" s="50"/>
    </row>
    <row r="45">
      <c r="D45" s="50"/>
      <c r="E45" s="50"/>
      <c r="F45" s="50"/>
      <c r="G45" s="50"/>
      <c r="H45" s="50"/>
    </row>
    <row r="46">
      <c r="D46" s="50"/>
      <c r="E46" s="50"/>
      <c r="F46" s="50"/>
      <c r="G46" s="50"/>
      <c r="H46" s="50"/>
    </row>
    <row r="47">
      <c r="D47" s="50"/>
      <c r="E47" s="50"/>
      <c r="F47" s="50"/>
      <c r="G47" s="50"/>
      <c r="H47" s="50"/>
    </row>
    <row r="48">
      <c r="D48" s="50"/>
      <c r="E48" s="50"/>
      <c r="F48" s="50"/>
      <c r="G48" s="50"/>
      <c r="H48" s="50"/>
    </row>
    <row r="49">
      <c r="D49" s="50"/>
      <c r="E49" s="50"/>
      <c r="F49" s="50"/>
      <c r="G49" s="50"/>
      <c r="H49" s="50"/>
    </row>
    <row r="50">
      <c r="D50" s="50"/>
      <c r="E50" s="50"/>
      <c r="F50" s="50"/>
      <c r="G50" s="50"/>
      <c r="H50" s="50"/>
    </row>
    <row r="51">
      <c r="D51" s="50"/>
      <c r="E51" s="50"/>
      <c r="F51" s="50"/>
      <c r="G51" s="50"/>
      <c r="H51" s="50"/>
    </row>
    <row r="52">
      <c r="D52" s="50"/>
      <c r="E52" s="50"/>
      <c r="F52" s="50"/>
      <c r="G52" s="50"/>
      <c r="H52" s="50"/>
    </row>
    <row r="53">
      <c r="D53" s="50"/>
      <c r="E53" s="50"/>
      <c r="F53" s="50"/>
      <c r="G53" s="50"/>
      <c r="H53" s="50"/>
    </row>
    <row r="54">
      <c r="D54" s="50"/>
      <c r="E54" s="50"/>
      <c r="F54" s="50"/>
      <c r="G54" s="50"/>
      <c r="H54" s="50"/>
    </row>
    <row r="55">
      <c r="D55" s="50"/>
      <c r="E55" s="50"/>
      <c r="F55" s="50"/>
      <c r="G55" s="50"/>
      <c r="H55" s="50"/>
    </row>
    <row r="56">
      <c r="D56" s="50"/>
      <c r="E56" s="50"/>
      <c r="F56" s="50"/>
      <c r="G56" s="50"/>
      <c r="H56" s="50"/>
    </row>
    <row r="57">
      <c r="D57" s="50"/>
      <c r="E57" s="50"/>
      <c r="F57" s="50"/>
      <c r="G57" s="50"/>
      <c r="H57" s="50"/>
    </row>
    <row r="58">
      <c r="D58" s="50"/>
      <c r="E58" s="50"/>
      <c r="F58" s="50"/>
      <c r="G58" s="50"/>
      <c r="H58" s="50"/>
    </row>
    <row r="59">
      <c r="D59" s="50"/>
      <c r="E59" s="50"/>
      <c r="F59" s="50"/>
      <c r="G59" s="50"/>
      <c r="H59" s="50"/>
    </row>
    <row r="60">
      <c r="D60" s="50"/>
      <c r="E60" s="50"/>
      <c r="F60" s="50"/>
      <c r="G60" s="50"/>
      <c r="H60" s="50"/>
    </row>
    <row r="61">
      <c r="D61" s="50"/>
      <c r="E61" s="50"/>
      <c r="F61" s="50"/>
      <c r="G61" s="50"/>
      <c r="H61" s="50"/>
    </row>
    <row r="62">
      <c r="D62" s="50"/>
      <c r="E62" s="50"/>
      <c r="F62" s="50"/>
      <c r="G62" s="50"/>
      <c r="H62" s="50"/>
    </row>
    <row r="63">
      <c r="D63" s="50"/>
      <c r="E63" s="50"/>
      <c r="F63" s="50"/>
      <c r="G63" s="50"/>
      <c r="H63" s="50"/>
    </row>
    <row r="64">
      <c r="D64" s="50"/>
      <c r="E64" s="50"/>
      <c r="F64" s="50"/>
      <c r="G64" s="50"/>
      <c r="H64" s="50"/>
    </row>
    <row r="65">
      <c r="D65" s="50"/>
      <c r="E65" s="50"/>
      <c r="F65" s="50"/>
      <c r="G65" s="50"/>
      <c r="H65" s="50"/>
    </row>
    <row r="66">
      <c r="D66" s="50"/>
      <c r="E66" s="50"/>
      <c r="F66" s="50"/>
      <c r="G66" s="50"/>
      <c r="H66" s="50"/>
    </row>
    <row r="67">
      <c r="D67" s="50"/>
      <c r="E67" s="50"/>
      <c r="F67" s="50"/>
      <c r="G67" s="50"/>
      <c r="H67" s="50"/>
    </row>
    <row r="68">
      <c r="D68" s="50"/>
      <c r="E68" s="50"/>
      <c r="F68" s="50"/>
      <c r="G68" s="50"/>
      <c r="H68" s="50"/>
    </row>
    <row r="69">
      <c r="D69" s="50"/>
      <c r="E69" s="50"/>
      <c r="F69" s="50"/>
      <c r="G69" s="50"/>
      <c r="H69" s="50"/>
    </row>
    <row r="70">
      <c r="D70" s="50"/>
      <c r="E70" s="50"/>
      <c r="F70" s="50"/>
      <c r="G70" s="50"/>
      <c r="H70" s="50"/>
    </row>
    <row r="71">
      <c r="D71" s="50"/>
      <c r="E71" s="50"/>
      <c r="F71" s="50"/>
      <c r="G71" s="50"/>
      <c r="H71" s="50"/>
    </row>
    <row r="72">
      <c r="D72" s="50"/>
      <c r="E72" s="50"/>
      <c r="F72" s="50"/>
      <c r="G72" s="50"/>
      <c r="H72" s="50"/>
    </row>
    <row r="73">
      <c r="D73" s="50"/>
      <c r="E73" s="50"/>
      <c r="F73" s="50"/>
      <c r="G73" s="50"/>
      <c r="H73" s="50"/>
    </row>
    <row r="74">
      <c r="D74" s="50"/>
      <c r="E74" s="50"/>
      <c r="F74" s="50"/>
      <c r="G74" s="50"/>
      <c r="H74" s="50"/>
    </row>
    <row r="75">
      <c r="D75" s="50"/>
      <c r="E75" s="50"/>
      <c r="F75" s="50"/>
      <c r="G75" s="50"/>
      <c r="H75" s="50"/>
    </row>
    <row r="76">
      <c r="D76" s="50"/>
      <c r="E76" s="50"/>
      <c r="F76" s="50"/>
      <c r="G76" s="50"/>
      <c r="H76" s="50"/>
    </row>
    <row r="77">
      <c r="D77" s="50"/>
      <c r="E77" s="50"/>
      <c r="F77" s="50"/>
      <c r="G77" s="50"/>
      <c r="H77" s="50"/>
    </row>
    <row r="78">
      <c r="D78" s="50"/>
      <c r="E78" s="50"/>
      <c r="F78" s="50"/>
      <c r="G78" s="50"/>
      <c r="H78" s="50"/>
    </row>
    <row r="79">
      <c r="D79" s="50"/>
      <c r="E79" s="50"/>
      <c r="F79" s="50"/>
      <c r="G79" s="50"/>
      <c r="H79" s="50"/>
    </row>
    <row r="80">
      <c r="D80" s="50"/>
      <c r="E80" s="50"/>
      <c r="F80" s="50"/>
      <c r="G80" s="50"/>
      <c r="H80" s="50"/>
    </row>
    <row r="81">
      <c r="D81" s="50"/>
      <c r="E81" s="50"/>
      <c r="F81" s="50"/>
      <c r="G81" s="50"/>
      <c r="H81" s="50"/>
    </row>
    <row r="82">
      <c r="D82" s="50"/>
      <c r="E82" s="50"/>
      <c r="F82" s="50"/>
      <c r="G82" s="50"/>
      <c r="H82" s="50"/>
    </row>
    <row r="83">
      <c r="D83" s="50"/>
      <c r="E83" s="50"/>
      <c r="F83" s="50"/>
      <c r="G83" s="50"/>
      <c r="H83" s="50"/>
    </row>
    <row r="84">
      <c r="D84" s="50"/>
      <c r="E84" s="50"/>
      <c r="F84" s="50"/>
      <c r="G84" s="50"/>
      <c r="H84" s="50"/>
    </row>
    <row r="85">
      <c r="D85" s="50"/>
      <c r="E85" s="50"/>
      <c r="F85" s="50"/>
      <c r="G85" s="50"/>
      <c r="H85" s="50"/>
    </row>
    <row r="86">
      <c r="D86" s="50"/>
      <c r="E86" s="50"/>
      <c r="F86" s="50"/>
      <c r="G86" s="50"/>
      <c r="H86" s="50"/>
    </row>
    <row r="87">
      <c r="D87" s="50"/>
      <c r="E87" s="50"/>
      <c r="F87" s="50"/>
      <c r="G87" s="50"/>
      <c r="H87" s="50"/>
    </row>
    <row r="88">
      <c r="D88" s="50"/>
      <c r="E88" s="50"/>
      <c r="F88" s="50"/>
      <c r="G88" s="50"/>
      <c r="H88" s="50"/>
    </row>
    <row r="89">
      <c r="D89" s="50"/>
      <c r="E89" s="50"/>
      <c r="F89" s="50"/>
      <c r="G89" s="50"/>
      <c r="H89" s="50"/>
    </row>
    <row r="90">
      <c r="D90" s="50"/>
      <c r="E90" s="50"/>
      <c r="F90" s="50"/>
      <c r="G90" s="50"/>
      <c r="H90" s="50"/>
    </row>
    <row r="91">
      <c r="D91" s="50"/>
      <c r="E91" s="50"/>
      <c r="F91" s="50"/>
      <c r="G91" s="50"/>
      <c r="H91" s="50"/>
    </row>
    <row r="92">
      <c r="D92" s="50"/>
      <c r="E92" s="50"/>
      <c r="F92" s="50"/>
      <c r="G92" s="50"/>
      <c r="H92" s="50"/>
    </row>
    <row r="93">
      <c r="D93" s="50"/>
      <c r="E93" s="50"/>
      <c r="F93" s="50"/>
      <c r="G93" s="50"/>
      <c r="H93" s="50"/>
    </row>
    <row r="94">
      <c r="D94" s="50"/>
      <c r="E94" s="50"/>
      <c r="F94" s="50"/>
      <c r="G94" s="50"/>
      <c r="H94" s="50"/>
    </row>
    <row r="95">
      <c r="D95" s="50"/>
      <c r="E95" s="50"/>
      <c r="F95" s="50"/>
      <c r="G95" s="50"/>
      <c r="H95" s="50"/>
    </row>
    <row r="96">
      <c r="D96" s="50"/>
      <c r="E96" s="50"/>
      <c r="F96" s="50"/>
      <c r="G96" s="50"/>
      <c r="H96" s="50"/>
    </row>
    <row r="97">
      <c r="D97" s="50"/>
      <c r="E97" s="50"/>
      <c r="F97" s="50"/>
      <c r="G97" s="50"/>
      <c r="H97" s="50"/>
    </row>
    <row r="98">
      <c r="D98" s="50"/>
      <c r="E98" s="50"/>
      <c r="F98" s="50"/>
      <c r="G98" s="50"/>
      <c r="H98" s="50"/>
    </row>
    <row r="99">
      <c r="D99" s="50"/>
      <c r="E99" s="50"/>
      <c r="F99" s="50"/>
      <c r="G99" s="50"/>
      <c r="H99" s="50"/>
    </row>
    <row r="100">
      <c r="D100" s="50"/>
      <c r="E100" s="50"/>
      <c r="F100" s="50"/>
      <c r="G100" s="50"/>
      <c r="H100" s="50"/>
    </row>
    <row r="101">
      <c r="D101" s="50"/>
      <c r="E101" s="50"/>
      <c r="F101" s="50"/>
      <c r="G101" s="50"/>
      <c r="H101" s="50"/>
    </row>
    <row r="102">
      <c r="D102" s="50"/>
      <c r="E102" s="50"/>
      <c r="F102" s="50"/>
      <c r="G102" s="50"/>
      <c r="H102" s="50"/>
    </row>
    <row r="103">
      <c r="D103" s="50"/>
      <c r="E103" s="50"/>
      <c r="F103" s="50"/>
      <c r="G103" s="50"/>
      <c r="H103" s="50"/>
    </row>
    <row r="104">
      <c r="D104" s="50"/>
      <c r="E104" s="50"/>
      <c r="F104" s="50"/>
      <c r="G104" s="50"/>
      <c r="H104" s="50"/>
    </row>
    <row r="105">
      <c r="D105" s="50"/>
      <c r="E105" s="50"/>
      <c r="F105" s="50"/>
      <c r="G105" s="50"/>
      <c r="H105" s="50"/>
    </row>
    <row r="106">
      <c r="D106" s="50"/>
      <c r="E106" s="50"/>
      <c r="F106" s="50"/>
      <c r="G106" s="50"/>
      <c r="H106" s="50"/>
    </row>
    <row r="107">
      <c r="D107" s="50"/>
      <c r="E107" s="50"/>
      <c r="F107" s="50"/>
      <c r="G107" s="50"/>
      <c r="H107" s="50"/>
    </row>
    <row r="108">
      <c r="D108" s="50"/>
      <c r="E108" s="50"/>
      <c r="F108" s="50"/>
      <c r="G108" s="50"/>
      <c r="H108" s="50"/>
    </row>
    <row r="109">
      <c r="D109" s="50"/>
      <c r="E109" s="50"/>
      <c r="F109" s="50"/>
      <c r="G109" s="50"/>
      <c r="H109" s="50"/>
    </row>
    <row r="110">
      <c r="D110" s="50"/>
      <c r="E110" s="50"/>
      <c r="F110" s="50"/>
      <c r="G110" s="50"/>
      <c r="H110" s="50"/>
    </row>
    <row r="111">
      <c r="D111" s="50"/>
      <c r="E111" s="50"/>
      <c r="F111" s="50"/>
      <c r="G111" s="50"/>
      <c r="H111" s="50"/>
    </row>
    <row r="112">
      <c r="D112" s="50"/>
      <c r="E112" s="50"/>
      <c r="F112" s="50"/>
      <c r="G112" s="50"/>
      <c r="H112" s="50"/>
    </row>
    <row r="113">
      <c r="D113" s="50"/>
      <c r="E113" s="50"/>
      <c r="F113" s="50"/>
      <c r="G113" s="50"/>
      <c r="H113" s="50"/>
    </row>
    <row r="114">
      <c r="D114" s="50"/>
      <c r="E114" s="50"/>
      <c r="F114" s="50"/>
      <c r="G114" s="50"/>
      <c r="H114" s="50"/>
    </row>
    <row r="115">
      <c r="D115" s="50"/>
      <c r="E115" s="50"/>
      <c r="F115" s="50"/>
      <c r="G115" s="50"/>
      <c r="H115" s="50"/>
    </row>
    <row r="116">
      <c r="D116" s="50"/>
      <c r="E116" s="50"/>
      <c r="F116" s="50"/>
      <c r="G116" s="50"/>
      <c r="H116" s="50"/>
    </row>
    <row r="117">
      <c r="D117" s="50"/>
      <c r="E117" s="50"/>
      <c r="F117" s="50"/>
      <c r="G117" s="50"/>
      <c r="H117" s="50"/>
    </row>
    <row r="118">
      <c r="D118" s="50"/>
      <c r="E118" s="50"/>
      <c r="F118" s="50"/>
      <c r="G118" s="50"/>
      <c r="H118" s="50"/>
    </row>
    <row r="119">
      <c r="D119" s="50"/>
      <c r="E119" s="50"/>
      <c r="F119" s="50"/>
      <c r="G119" s="50"/>
      <c r="H119" s="50"/>
    </row>
    <row r="120">
      <c r="D120" s="50"/>
      <c r="E120" s="50"/>
      <c r="F120" s="50"/>
      <c r="G120" s="50"/>
      <c r="H120" s="50"/>
    </row>
    <row r="121">
      <c r="D121" s="50"/>
      <c r="E121" s="50"/>
      <c r="F121" s="50"/>
      <c r="G121" s="50"/>
      <c r="H121" s="50"/>
    </row>
    <row r="122">
      <c r="D122" s="50"/>
      <c r="E122" s="50"/>
      <c r="F122" s="50"/>
      <c r="G122" s="50"/>
      <c r="H122" s="50"/>
    </row>
    <row r="123">
      <c r="D123" s="50"/>
      <c r="E123" s="50"/>
      <c r="F123" s="50"/>
      <c r="G123" s="50"/>
      <c r="H123" s="50"/>
    </row>
    <row r="124">
      <c r="D124" s="50"/>
      <c r="E124" s="50"/>
      <c r="F124" s="50"/>
      <c r="G124" s="50"/>
      <c r="H124" s="50"/>
    </row>
    <row r="125">
      <c r="D125" s="50"/>
      <c r="E125" s="50"/>
      <c r="F125" s="50"/>
      <c r="G125" s="50"/>
      <c r="H125" s="50"/>
    </row>
    <row r="126">
      <c r="D126" s="50"/>
      <c r="E126" s="50"/>
      <c r="F126" s="50"/>
      <c r="G126" s="50"/>
      <c r="H126" s="50"/>
    </row>
    <row r="127">
      <c r="D127" s="50"/>
      <c r="E127" s="50"/>
      <c r="F127" s="50"/>
      <c r="G127" s="50"/>
      <c r="H127" s="50"/>
    </row>
    <row r="128">
      <c r="D128" s="50"/>
      <c r="E128" s="50"/>
      <c r="F128" s="50"/>
      <c r="G128" s="50"/>
      <c r="H128" s="50"/>
    </row>
    <row r="129">
      <c r="D129" s="50"/>
      <c r="E129" s="50"/>
      <c r="F129" s="50"/>
      <c r="G129" s="50"/>
      <c r="H129" s="50"/>
    </row>
    <row r="130">
      <c r="D130" s="50"/>
      <c r="E130" s="50"/>
      <c r="F130" s="50"/>
      <c r="G130" s="50"/>
      <c r="H130" s="50"/>
    </row>
    <row r="131">
      <c r="D131" s="50"/>
      <c r="E131" s="50"/>
      <c r="F131" s="50"/>
      <c r="G131" s="50"/>
      <c r="H131" s="50"/>
    </row>
    <row r="132">
      <c r="D132" s="50"/>
      <c r="E132" s="50"/>
      <c r="F132" s="50"/>
      <c r="G132" s="50"/>
      <c r="H132" s="50"/>
    </row>
    <row r="133">
      <c r="D133" s="50"/>
      <c r="E133" s="50"/>
      <c r="F133" s="50"/>
      <c r="G133" s="50"/>
      <c r="H133" s="50"/>
    </row>
    <row r="134">
      <c r="D134" s="50"/>
      <c r="E134" s="50"/>
      <c r="F134" s="50"/>
      <c r="G134" s="50"/>
      <c r="H134" s="50"/>
    </row>
    <row r="135">
      <c r="D135" s="50"/>
      <c r="E135" s="50"/>
      <c r="F135" s="50"/>
      <c r="G135" s="50"/>
      <c r="H135" s="50"/>
    </row>
    <row r="136">
      <c r="D136" s="50"/>
      <c r="E136" s="50"/>
      <c r="F136" s="50"/>
      <c r="G136" s="50"/>
      <c r="H136" s="50"/>
    </row>
    <row r="137">
      <c r="D137" s="50"/>
      <c r="E137" s="50"/>
      <c r="F137" s="50"/>
      <c r="G137" s="50"/>
      <c r="H137" s="50"/>
    </row>
    <row r="138">
      <c r="D138" s="50"/>
      <c r="E138" s="50"/>
      <c r="F138" s="50"/>
      <c r="G138" s="50"/>
      <c r="H138" s="50"/>
    </row>
    <row r="139">
      <c r="D139" s="50"/>
      <c r="E139" s="50"/>
      <c r="F139" s="50"/>
      <c r="G139" s="50"/>
      <c r="H139" s="50"/>
    </row>
    <row r="140">
      <c r="D140" s="50"/>
      <c r="E140" s="50"/>
      <c r="F140" s="50"/>
      <c r="G140" s="50"/>
      <c r="H140" s="50"/>
    </row>
    <row r="141">
      <c r="D141" s="50"/>
      <c r="E141" s="50"/>
      <c r="F141" s="50"/>
      <c r="G141" s="50"/>
      <c r="H141" s="50"/>
    </row>
    <row r="142">
      <c r="D142" s="50"/>
      <c r="E142" s="50"/>
      <c r="F142" s="50"/>
      <c r="G142" s="50"/>
      <c r="H142" s="50"/>
    </row>
    <row r="143">
      <c r="D143" s="50"/>
      <c r="E143" s="50"/>
      <c r="F143" s="50"/>
      <c r="G143" s="50"/>
      <c r="H143" s="50"/>
    </row>
    <row r="144">
      <c r="D144" s="50"/>
      <c r="E144" s="50"/>
      <c r="F144" s="50"/>
      <c r="G144" s="50"/>
      <c r="H144" s="50"/>
    </row>
    <row r="145">
      <c r="D145" s="50"/>
      <c r="E145" s="50"/>
      <c r="F145" s="50"/>
      <c r="G145" s="50"/>
      <c r="H145" s="50"/>
    </row>
    <row r="146">
      <c r="D146" s="50"/>
      <c r="E146" s="50"/>
      <c r="F146" s="50"/>
      <c r="G146" s="50"/>
      <c r="H146" s="50"/>
    </row>
    <row r="147">
      <c r="D147" s="50"/>
      <c r="E147" s="50"/>
      <c r="F147" s="50"/>
      <c r="G147" s="50"/>
      <c r="H147" s="50"/>
    </row>
    <row r="148">
      <c r="D148" s="50"/>
      <c r="E148" s="50"/>
      <c r="F148" s="50"/>
      <c r="G148" s="50"/>
      <c r="H148" s="50"/>
    </row>
    <row r="149">
      <c r="D149" s="50"/>
      <c r="E149" s="50"/>
      <c r="F149" s="50"/>
      <c r="G149" s="50"/>
      <c r="H149" s="50"/>
    </row>
    <row r="150">
      <c r="D150" s="50"/>
      <c r="E150" s="50"/>
      <c r="F150" s="50"/>
      <c r="G150" s="50"/>
      <c r="H150" s="50"/>
    </row>
    <row r="151">
      <c r="D151" s="50"/>
      <c r="E151" s="50"/>
      <c r="F151" s="50"/>
      <c r="G151" s="50"/>
      <c r="H151" s="50"/>
    </row>
    <row r="152">
      <c r="D152" s="50"/>
      <c r="E152" s="50"/>
      <c r="F152" s="50"/>
      <c r="G152" s="50"/>
      <c r="H152" s="50"/>
    </row>
    <row r="153">
      <c r="D153" s="50"/>
      <c r="E153" s="50"/>
      <c r="F153" s="50"/>
      <c r="G153" s="50"/>
      <c r="H153" s="50"/>
    </row>
    <row r="154">
      <c r="D154" s="50"/>
      <c r="E154" s="50"/>
      <c r="F154" s="50"/>
      <c r="G154" s="50"/>
      <c r="H154" s="50"/>
    </row>
    <row r="155">
      <c r="D155" s="50"/>
      <c r="E155" s="50"/>
      <c r="F155" s="50"/>
      <c r="G155" s="50"/>
      <c r="H155" s="50"/>
    </row>
    <row r="156">
      <c r="D156" s="50"/>
      <c r="E156" s="50"/>
      <c r="F156" s="50"/>
      <c r="G156" s="50"/>
      <c r="H156" s="50"/>
    </row>
    <row r="157">
      <c r="D157" s="50"/>
      <c r="E157" s="50"/>
      <c r="F157" s="50"/>
      <c r="G157" s="50"/>
      <c r="H157" s="50"/>
    </row>
    <row r="158">
      <c r="D158" s="50"/>
      <c r="E158" s="50"/>
      <c r="F158" s="50"/>
      <c r="G158" s="50"/>
      <c r="H158" s="50"/>
    </row>
    <row r="159">
      <c r="D159" s="50"/>
      <c r="E159" s="50"/>
      <c r="F159" s="50"/>
      <c r="G159" s="50"/>
      <c r="H159" s="50"/>
    </row>
    <row r="160">
      <c r="D160" s="50"/>
      <c r="E160" s="50"/>
      <c r="F160" s="50"/>
      <c r="G160" s="50"/>
      <c r="H160" s="50"/>
    </row>
    <row r="161">
      <c r="D161" s="50"/>
      <c r="E161" s="50"/>
      <c r="F161" s="50"/>
      <c r="G161" s="50"/>
      <c r="H161" s="50"/>
    </row>
    <row r="162">
      <c r="D162" s="50"/>
      <c r="E162" s="50"/>
      <c r="F162" s="50"/>
      <c r="G162" s="50"/>
      <c r="H162" s="50"/>
    </row>
    <row r="163">
      <c r="D163" s="50"/>
      <c r="E163" s="50"/>
      <c r="F163" s="50"/>
      <c r="G163" s="50"/>
      <c r="H163" s="50"/>
    </row>
    <row r="164">
      <c r="D164" s="50"/>
      <c r="E164" s="50"/>
      <c r="F164" s="50"/>
      <c r="G164" s="50"/>
      <c r="H164" s="50"/>
    </row>
    <row r="165">
      <c r="D165" s="50"/>
      <c r="E165" s="50"/>
      <c r="F165" s="50"/>
      <c r="G165" s="50"/>
      <c r="H165" s="50"/>
    </row>
    <row r="166">
      <c r="D166" s="50"/>
      <c r="E166" s="50"/>
      <c r="F166" s="50"/>
      <c r="G166" s="50"/>
      <c r="H166" s="50"/>
    </row>
    <row r="167">
      <c r="D167" s="50"/>
      <c r="E167" s="50"/>
      <c r="F167" s="50"/>
      <c r="G167" s="50"/>
      <c r="H167" s="50"/>
    </row>
    <row r="168">
      <c r="D168" s="50"/>
      <c r="E168" s="50"/>
      <c r="F168" s="50"/>
      <c r="G168" s="50"/>
      <c r="H168" s="50"/>
    </row>
    <row r="169">
      <c r="D169" s="50"/>
      <c r="E169" s="50"/>
      <c r="F169" s="50"/>
      <c r="G169" s="50"/>
      <c r="H169" s="50"/>
    </row>
    <row r="170">
      <c r="D170" s="50"/>
      <c r="E170" s="50"/>
      <c r="F170" s="50"/>
      <c r="G170" s="50"/>
      <c r="H170" s="50"/>
    </row>
    <row r="171">
      <c r="D171" s="50"/>
      <c r="E171" s="50"/>
      <c r="F171" s="50"/>
      <c r="G171" s="50"/>
      <c r="H171" s="50"/>
    </row>
    <row r="172">
      <c r="D172" s="50"/>
      <c r="E172" s="50"/>
      <c r="F172" s="50"/>
      <c r="G172" s="50"/>
      <c r="H172" s="50"/>
    </row>
    <row r="173">
      <c r="D173" s="50"/>
      <c r="E173" s="50"/>
      <c r="F173" s="50"/>
      <c r="G173" s="50"/>
      <c r="H173" s="50"/>
    </row>
    <row r="174">
      <c r="D174" s="50"/>
      <c r="E174" s="50"/>
      <c r="F174" s="50"/>
      <c r="G174" s="50"/>
      <c r="H174" s="50"/>
    </row>
    <row r="175">
      <c r="D175" s="50"/>
      <c r="E175" s="50"/>
      <c r="F175" s="50"/>
      <c r="G175" s="50"/>
      <c r="H175" s="50"/>
    </row>
    <row r="176">
      <c r="D176" s="50"/>
      <c r="E176" s="50"/>
      <c r="F176" s="50"/>
      <c r="G176" s="50"/>
      <c r="H176" s="50"/>
    </row>
    <row r="177">
      <c r="D177" s="50"/>
      <c r="E177" s="50"/>
      <c r="F177" s="50"/>
      <c r="G177" s="50"/>
      <c r="H177" s="50"/>
    </row>
    <row r="178">
      <c r="D178" s="50"/>
      <c r="E178" s="50"/>
      <c r="F178" s="50"/>
      <c r="G178" s="50"/>
      <c r="H178" s="50"/>
    </row>
    <row r="179">
      <c r="D179" s="50"/>
      <c r="E179" s="50"/>
      <c r="F179" s="50"/>
      <c r="G179" s="50"/>
      <c r="H179" s="50"/>
    </row>
    <row r="180">
      <c r="D180" s="50"/>
      <c r="E180" s="50"/>
      <c r="F180" s="50"/>
      <c r="G180" s="50"/>
      <c r="H180" s="50"/>
    </row>
    <row r="181">
      <c r="D181" s="50"/>
      <c r="E181" s="50"/>
      <c r="F181" s="50"/>
      <c r="G181" s="50"/>
      <c r="H181" s="50"/>
    </row>
    <row r="182">
      <c r="D182" s="50"/>
      <c r="E182" s="50"/>
      <c r="F182" s="50"/>
      <c r="G182" s="50"/>
      <c r="H182" s="50"/>
    </row>
    <row r="183">
      <c r="D183" s="50"/>
      <c r="E183" s="50"/>
      <c r="F183" s="50"/>
      <c r="G183" s="50"/>
      <c r="H183" s="50"/>
    </row>
    <row r="184">
      <c r="D184" s="50"/>
      <c r="E184" s="50"/>
      <c r="F184" s="50"/>
      <c r="G184" s="50"/>
      <c r="H184" s="50"/>
    </row>
    <row r="185">
      <c r="D185" s="50"/>
      <c r="E185" s="50"/>
      <c r="F185" s="50"/>
      <c r="G185" s="50"/>
      <c r="H185" s="50"/>
    </row>
    <row r="186">
      <c r="D186" s="50"/>
      <c r="E186" s="50"/>
      <c r="F186" s="50"/>
      <c r="G186" s="50"/>
      <c r="H186" s="50"/>
    </row>
    <row r="187">
      <c r="D187" s="50"/>
      <c r="E187" s="50"/>
      <c r="F187" s="50"/>
      <c r="G187" s="50"/>
      <c r="H187" s="50"/>
    </row>
    <row r="188">
      <c r="D188" s="50"/>
      <c r="E188" s="50"/>
      <c r="F188" s="50"/>
      <c r="G188" s="50"/>
      <c r="H188" s="50"/>
    </row>
    <row r="189">
      <c r="D189" s="50"/>
      <c r="E189" s="50"/>
      <c r="F189" s="50"/>
      <c r="G189" s="50"/>
      <c r="H189" s="50"/>
    </row>
    <row r="190">
      <c r="D190" s="50"/>
      <c r="E190" s="50"/>
      <c r="F190" s="50"/>
      <c r="G190" s="50"/>
      <c r="H190" s="50"/>
    </row>
    <row r="191">
      <c r="D191" s="50"/>
      <c r="E191" s="50"/>
      <c r="F191" s="50"/>
      <c r="G191" s="50"/>
      <c r="H191" s="50"/>
    </row>
    <row r="192">
      <c r="D192" s="50"/>
      <c r="E192" s="50"/>
      <c r="F192" s="50"/>
      <c r="G192" s="50"/>
      <c r="H192" s="50"/>
    </row>
    <row r="193">
      <c r="D193" s="50"/>
      <c r="E193" s="50"/>
      <c r="F193" s="50"/>
      <c r="G193" s="50"/>
      <c r="H193" s="50"/>
    </row>
    <row r="194">
      <c r="D194" s="50"/>
      <c r="E194" s="50"/>
      <c r="F194" s="50"/>
      <c r="G194" s="50"/>
      <c r="H194" s="50"/>
    </row>
    <row r="195">
      <c r="D195" s="50"/>
      <c r="E195" s="50"/>
      <c r="F195" s="50"/>
      <c r="G195" s="50"/>
      <c r="H195" s="50"/>
    </row>
    <row r="196">
      <c r="D196" s="50"/>
      <c r="E196" s="50"/>
      <c r="F196" s="50"/>
      <c r="G196" s="50"/>
      <c r="H196" s="50"/>
    </row>
    <row r="197">
      <c r="D197" s="50"/>
      <c r="E197" s="50"/>
      <c r="F197" s="50"/>
      <c r="G197" s="50"/>
      <c r="H197" s="50"/>
    </row>
    <row r="198">
      <c r="D198" s="50"/>
      <c r="E198" s="50"/>
      <c r="F198" s="50"/>
      <c r="G198" s="50"/>
      <c r="H198" s="50"/>
    </row>
    <row r="199">
      <c r="D199" s="50"/>
      <c r="E199" s="50"/>
      <c r="F199" s="50"/>
      <c r="G199" s="50"/>
      <c r="H199" s="50"/>
    </row>
    <row r="200">
      <c r="D200" s="50"/>
      <c r="E200" s="50"/>
      <c r="F200" s="50"/>
      <c r="G200" s="50"/>
      <c r="H200" s="50"/>
    </row>
    <row r="201">
      <c r="D201" s="50"/>
      <c r="E201" s="50"/>
      <c r="F201" s="50"/>
      <c r="G201" s="50"/>
      <c r="H201" s="50"/>
    </row>
    <row r="202">
      <c r="D202" s="50"/>
      <c r="E202" s="50"/>
      <c r="F202" s="50"/>
      <c r="G202" s="50"/>
      <c r="H202" s="50"/>
    </row>
    <row r="203">
      <c r="D203" s="50"/>
      <c r="E203" s="50"/>
      <c r="F203" s="50"/>
      <c r="G203" s="50"/>
      <c r="H203" s="50"/>
    </row>
    <row r="204">
      <c r="D204" s="50"/>
      <c r="E204" s="50"/>
      <c r="F204" s="50"/>
      <c r="G204" s="50"/>
      <c r="H204" s="50"/>
    </row>
    <row r="205">
      <c r="D205" s="50"/>
      <c r="E205" s="50"/>
      <c r="F205" s="50"/>
      <c r="G205" s="50"/>
      <c r="H205" s="50"/>
    </row>
    <row r="206">
      <c r="D206" s="50"/>
      <c r="E206" s="50"/>
      <c r="F206" s="50"/>
      <c r="G206" s="50"/>
      <c r="H206" s="50"/>
    </row>
    <row r="207">
      <c r="D207" s="50"/>
      <c r="E207" s="50"/>
      <c r="F207" s="50"/>
      <c r="G207" s="50"/>
      <c r="H207" s="50"/>
    </row>
    <row r="208">
      <c r="D208" s="50"/>
      <c r="E208" s="50"/>
      <c r="F208" s="50"/>
      <c r="G208" s="50"/>
      <c r="H208" s="50"/>
    </row>
    <row r="209">
      <c r="D209" s="50"/>
      <c r="E209" s="50"/>
      <c r="F209" s="50"/>
      <c r="G209" s="50"/>
      <c r="H209" s="50"/>
    </row>
    <row r="210">
      <c r="D210" s="50"/>
      <c r="E210" s="50"/>
      <c r="F210" s="50"/>
      <c r="G210" s="50"/>
      <c r="H210" s="50"/>
    </row>
    <row r="211">
      <c r="D211" s="50"/>
      <c r="E211" s="50"/>
      <c r="F211" s="50"/>
      <c r="G211" s="50"/>
      <c r="H211" s="50"/>
    </row>
    <row r="212">
      <c r="D212" s="50"/>
      <c r="E212" s="50"/>
      <c r="F212" s="50"/>
      <c r="G212" s="50"/>
      <c r="H212" s="50"/>
    </row>
    <row r="213">
      <c r="D213" s="50"/>
      <c r="E213" s="50"/>
      <c r="F213" s="50"/>
      <c r="G213" s="50"/>
      <c r="H213" s="50"/>
    </row>
    <row r="214">
      <c r="D214" s="50"/>
      <c r="E214" s="50"/>
      <c r="F214" s="50"/>
      <c r="G214" s="50"/>
      <c r="H214" s="50"/>
    </row>
    <row r="215">
      <c r="D215" s="50"/>
      <c r="E215" s="50"/>
      <c r="F215" s="50"/>
      <c r="G215" s="50"/>
      <c r="H215" s="50"/>
    </row>
    <row r="216">
      <c r="D216" s="50"/>
      <c r="E216" s="50"/>
      <c r="F216" s="50"/>
      <c r="G216" s="50"/>
      <c r="H216" s="50"/>
    </row>
    <row r="217">
      <c r="D217" s="50"/>
      <c r="E217" s="50"/>
      <c r="F217" s="50"/>
      <c r="G217" s="50"/>
      <c r="H217" s="50"/>
    </row>
    <row r="218">
      <c r="D218" s="50"/>
      <c r="E218" s="50"/>
      <c r="F218" s="50"/>
      <c r="G218" s="50"/>
      <c r="H218" s="50"/>
    </row>
    <row r="219">
      <c r="D219" s="50"/>
      <c r="E219" s="50"/>
      <c r="F219" s="50"/>
      <c r="G219" s="50"/>
      <c r="H219" s="50"/>
    </row>
    <row r="220">
      <c r="D220" s="50"/>
      <c r="E220" s="50"/>
      <c r="F220" s="50"/>
      <c r="G220" s="50"/>
      <c r="H220" s="50"/>
    </row>
    <row r="221">
      <c r="D221" s="50"/>
      <c r="E221" s="50"/>
      <c r="F221" s="50"/>
      <c r="G221" s="50"/>
      <c r="H221" s="50"/>
    </row>
    <row r="222">
      <c r="D222" s="50"/>
      <c r="E222" s="50"/>
      <c r="F222" s="50"/>
      <c r="G222" s="50"/>
      <c r="H222" s="50"/>
    </row>
    <row r="223">
      <c r="D223" s="50"/>
      <c r="E223" s="50"/>
      <c r="F223" s="50"/>
      <c r="G223" s="50"/>
      <c r="H223" s="50"/>
    </row>
    <row r="224">
      <c r="D224" s="50"/>
      <c r="E224" s="50"/>
      <c r="F224" s="50"/>
      <c r="G224" s="50"/>
      <c r="H224" s="50"/>
    </row>
    <row r="225">
      <c r="D225" s="50"/>
      <c r="E225" s="50"/>
      <c r="F225" s="50"/>
      <c r="G225" s="50"/>
      <c r="H225" s="50"/>
    </row>
    <row r="226">
      <c r="D226" s="50"/>
      <c r="E226" s="50"/>
      <c r="F226" s="50"/>
      <c r="G226" s="50"/>
      <c r="H226" s="50"/>
    </row>
    <row r="227">
      <c r="D227" s="50"/>
      <c r="E227" s="50"/>
      <c r="F227" s="50"/>
      <c r="G227" s="50"/>
      <c r="H227" s="50"/>
    </row>
    <row r="228">
      <c r="D228" s="50"/>
      <c r="E228" s="50"/>
      <c r="F228" s="50"/>
      <c r="G228" s="50"/>
      <c r="H228" s="50"/>
    </row>
    <row r="229">
      <c r="D229" s="50"/>
      <c r="E229" s="50"/>
      <c r="F229" s="50"/>
      <c r="G229" s="50"/>
      <c r="H229" s="50"/>
    </row>
    <row r="230">
      <c r="D230" s="50"/>
      <c r="E230" s="50"/>
      <c r="F230" s="50"/>
      <c r="G230" s="50"/>
      <c r="H230" s="50"/>
    </row>
    <row r="231">
      <c r="D231" s="50"/>
      <c r="E231" s="50"/>
      <c r="F231" s="50"/>
      <c r="G231" s="50"/>
      <c r="H231" s="50"/>
    </row>
    <row r="232">
      <c r="D232" s="50"/>
      <c r="E232" s="50"/>
      <c r="F232" s="50"/>
      <c r="G232" s="50"/>
      <c r="H232" s="50"/>
    </row>
    <row r="233">
      <c r="D233" s="50"/>
      <c r="E233" s="50"/>
      <c r="F233" s="50"/>
      <c r="G233" s="50"/>
      <c r="H233" s="50"/>
    </row>
    <row r="234">
      <c r="D234" s="50"/>
      <c r="E234" s="50"/>
      <c r="F234" s="50"/>
      <c r="G234" s="50"/>
      <c r="H234" s="50"/>
    </row>
    <row r="235">
      <c r="D235" s="50"/>
      <c r="E235" s="50"/>
      <c r="F235" s="50"/>
      <c r="G235" s="50"/>
      <c r="H235" s="50"/>
    </row>
    <row r="236">
      <c r="D236" s="50"/>
      <c r="E236" s="50"/>
      <c r="F236" s="50"/>
      <c r="G236" s="50"/>
      <c r="H236" s="50"/>
    </row>
    <row r="237">
      <c r="D237" s="50"/>
      <c r="E237" s="50"/>
      <c r="F237" s="50"/>
      <c r="G237" s="50"/>
      <c r="H237" s="50"/>
    </row>
    <row r="238">
      <c r="D238" s="50"/>
      <c r="E238" s="50"/>
      <c r="F238" s="50"/>
      <c r="G238" s="50"/>
      <c r="H238" s="50"/>
    </row>
    <row r="239">
      <c r="D239" s="50"/>
      <c r="E239" s="50"/>
      <c r="F239" s="50"/>
      <c r="G239" s="50"/>
      <c r="H239" s="50"/>
    </row>
    <row r="240">
      <c r="D240" s="50"/>
      <c r="E240" s="50"/>
      <c r="F240" s="50"/>
      <c r="G240" s="50"/>
      <c r="H240" s="50"/>
    </row>
    <row r="241">
      <c r="D241" s="50"/>
      <c r="E241" s="50"/>
      <c r="F241" s="50"/>
      <c r="G241" s="50"/>
      <c r="H241" s="50"/>
    </row>
    <row r="242">
      <c r="D242" s="50"/>
      <c r="E242" s="50"/>
      <c r="F242" s="50"/>
      <c r="G242" s="50"/>
      <c r="H242" s="50"/>
    </row>
    <row r="243">
      <c r="D243" s="50"/>
      <c r="E243" s="50"/>
      <c r="F243" s="50"/>
      <c r="G243" s="50"/>
      <c r="H243" s="50"/>
    </row>
    <row r="244">
      <c r="D244" s="50"/>
      <c r="E244" s="50"/>
      <c r="F244" s="50"/>
      <c r="G244" s="50"/>
      <c r="H244" s="50"/>
    </row>
    <row r="245">
      <c r="D245" s="50"/>
      <c r="E245" s="50"/>
      <c r="F245" s="50"/>
      <c r="G245" s="50"/>
      <c r="H245" s="50"/>
    </row>
    <row r="246">
      <c r="D246" s="50"/>
      <c r="E246" s="50"/>
      <c r="F246" s="50"/>
      <c r="G246" s="50"/>
      <c r="H246" s="50"/>
    </row>
    <row r="247">
      <c r="D247" s="50"/>
      <c r="E247" s="50"/>
      <c r="F247" s="50"/>
      <c r="G247" s="50"/>
      <c r="H247" s="50"/>
    </row>
    <row r="248">
      <c r="D248" s="50"/>
      <c r="E248" s="50"/>
      <c r="F248" s="50"/>
      <c r="G248" s="50"/>
      <c r="H248" s="50"/>
    </row>
    <row r="249">
      <c r="D249" s="50"/>
      <c r="E249" s="50"/>
      <c r="F249" s="50"/>
      <c r="G249" s="50"/>
      <c r="H249" s="50"/>
    </row>
    <row r="250">
      <c r="D250" s="50"/>
      <c r="E250" s="50"/>
      <c r="F250" s="50"/>
      <c r="G250" s="50"/>
      <c r="H250" s="50"/>
    </row>
    <row r="251">
      <c r="D251" s="50"/>
      <c r="E251" s="50"/>
      <c r="F251" s="50"/>
      <c r="G251" s="50"/>
      <c r="H251" s="50"/>
    </row>
    <row r="252">
      <c r="D252" s="50"/>
      <c r="E252" s="50"/>
      <c r="F252" s="50"/>
      <c r="G252" s="50"/>
      <c r="H252" s="50"/>
    </row>
    <row r="253">
      <c r="D253" s="50"/>
      <c r="E253" s="50"/>
      <c r="F253" s="50"/>
      <c r="G253" s="50"/>
      <c r="H253" s="50"/>
    </row>
    <row r="254">
      <c r="D254" s="50"/>
      <c r="E254" s="50"/>
      <c r="F254" s="50"/>
      <c r="G254" s="50"/>
      <c r="H254" s="50"/>
    </row>
    <row r="255">
      <c r="D255" s="50"/>
      <c r="E255" s="50"/>
      <c r="F255" s="50"/>
      <c r="G255" s="50"/>
      <c r="H255" s="50"/>
    </row>
    <row r="256">
      <c r="D256" s="50"/>
      <c r="E256" s="50"/>
      <c r="F256" s="50"/>
      <c r="G256" s="50"/>
      <c r="H256" s="50"/>
    </row>
    <row r="257">
      <c r="D257" s="50"/>
      <c r="E257" s="50"/>
      <c r="F257" s="50"/>
      <c r="G257" s="50"/>
      <c r="H257" s="50"/>
    </row>
    <row r="258">
      <c r="D258" s="50"/>
      <c r="E258" s="50"/>
      <c r="F258" s="50"/>
      <c r="G258" s="50"/>
      <c r="H258" s="50"/>
    </row>
    <row r="259">
      <c r="D259" s="50"/>
      <c r="E259" s="50"/>
      <c r="F259" s="50"/>
      <c r="G259" s="50"/>
      <c r="H259" s="50"/>
    </row>
    <row r="260">
      <c r="D260" s="50"/>
      <c r="E260" s="50"/>
      <c r="F260" s="50"/>
      <c r="G260" s="50"/>
      <c r="H260" s="50"/>
    </row>
    <row r="261">
      <c r="D261" s="50"/>
      <c r="E261" s="50"/>
      <c r="F261" s="50"/>
      <c r="G261" s="50"/>
      <c r="H261" s="50"/>
    </row>
    <row r="262">
      <c r="D262" s="50"/>
      <c r="E262" s="50"/>
      <c r="F262" s="50"/>
      <c r="G262" s="50"/>
      <c r="H262" s="50"/>
    </row>
    <row r="263">
      <c r="D263" s="50"/>
      <c r="E263" s="50"/>
      <c r="F263" s="50"/>
      <c r="G263" s="50"/>
      <c r="H263" s="50"/>
    </row>
    <row r="264">
      <c r="D264" s="50"/>
      <c r="E264" s="50"/>
      <c r="F264" s="50"/>
      <c r="G264" s="50"/>
      <c r="H264" s="50"/>
    </row>
    <row r="265">
      <c r="D265" s="50"/>
      <c r="E265" s="50"/>
      <c r="F265" s="50"/>
      <c r="G265" s="50"/>
      <c r="H265" s="50"/>
    </row>
    <row r="266">
      <c r="D266" s="50"/>
      <c r="E266" s="50"/>
      <c r="F266" s="50"/>
      <c r="G266" s="50"/>
      <c r="H266" s="50"/>
    </row>
    <row r="267">
      <c r="D267" s="50"/>
      <c r="E267" s="50"/>
      <c r="F267" s="50"/>
      <c r="G267" s="50"/>
      <c r="H267" s="50"/>
    </row>
    <row r="268">
      <c r="D268" s="50"/>
      <c r="E268" s="50"/>
      <c r="F268" s="50"/>
      <c r="G268" s="50"/>
      <c r="H268" s="50"/>
    </row>
    <row r="269">
      <c r="D269" s="50"/>
      <c r="E269" s="50"/>
      <c r="F269" s="50"/>
      <c r="G269" s="50"/>
      <c r="H269" s="50"/>
    </row>
    <row r="270">
      <c r="D270" s="50"/>
      <c r="E270" s="50"/>
      <c r="F270" s="50"/>
      <c r="G270" s="50"/>
      <c r="H270" s="50"/>
    </row>
    <row r="271">
      <c r="D271" s="50"/>
      <c r="E271" s="50"/>
      <c r="F271" s="50"/>
      <c r="G271" s="50"/>
      <c r="H271" s="50"/>
    </row>
    <row r="272">
      <c r="D272" s="50"/>
      <c r="E272" s="50"/>
      <c r="F272" s="50"/>
      <c r="G272" s="50"/>
      <c r="H272" s="50"/>
    </row>
    <row r="273">
      <c r="D273" s="50"/>
      <c r="E273" s="50"/>
      <c r="F273" s="50"/>
      <c r="G273" s="50"/>
      <c r="H273" s="50"/>
    </row>
    <row r="274">
      <c r="D274" s="50"/>
      <c r="E274" s="50"/>
      <c r="F274" s="50"/>
      <c r="G274" s="50"/>
      <c r="H274" s="50"/>
    </row>
    <row r="275">
      <c r="D275" s="50"/>
      <c r="E275" s="50"/>
      <c r="F275" s="50"/>
      <c r="G275" s="50"/>
      <c r="H275" s="50"/>
    </row>
    <row r="276">
      <c r="D276" s="50"/>
      <c r="E276" s="50"/>
      <c r="F276" s="50"/>
      <c r="G276" s="50"/>
      <c r="H276" s="50"/>
    </row>
    <row r="277">
      <c r="D277" s="50"/>
      <c r="E277" s="50"/>
      <c r="F277" s="50"/>
      <c r="G277" s="50"/>
      <c r="H277" s="50"/>
    </row>
    <row r="278">
      <c r="D278" s="50"/>
      <c r="E278" s="50"/>
      <c r="F278" s="50"/>
      <c r="G278" s="50"/>
      <c r="H278" s="50"/>
    </row>
    <row r="279">
      <c r="D279" s="50"/>
      <c r="E279" s="50"/>
      <c r="F279" s="50"/>
      <c r="G279" s="50"/>
      <c r="H279" s="50"/>
    </row>
    <row r="280">
      <c r="D280" s="50"/>
      <c r="E280" s="50"/>
      <c r="F280" s="50"/>
      <c r="G280" s="50"/>
      <c r="H280" s="50"/>
    </row>
    <row r="281">
      <c r="D281" s="50"/>
      <c r="E281" s="50"/>
      <c r="F281" s="50"/>
      <c r="G281" s="50"/>
      <c r="H281" s="50"/>
    </row>
    <row r="282">
      <c r="D282" s="50"/>
      <c r="E282" s="50"/>
      <c r="F282" s="50"/>
      <c r="G282" s="50"/>
      <c r="H282" s="50"/>
    </row>
    <row r="283">
      <c r="D283" s="50"/>
      <c r="E283" s="50"/>
      <c r="F283" s="50"/>
      <c r="G283" s="50"/>
      <c r="H283" s="50"/>
    </row>
    <row r="284">
      <c r="D284" s="50"/>
      <c r="E284" s="50"/>
      <c r="F284" s="50"/>
      <c r="G284" s="50"/>
      <c r="H284" s="50"/>
    </row>
    <row r="285">
      <c r="D285" s="50"/>
      <c r="E285" s="50"/>
      <c r="F285" s="50"/>
      <c r="G285" s="50"/>
      <c r="H285" s="50"/>
    </row>
    <row r="286">
      <c r="D286" s="50"/>
      <c r="E286" s="50"/>
      <c r="F286" s="50"/>
      <c r="G286" s="50"/>
      <c r="H286" s="50"/>
    </row>
    <row r="287">
      <c r="D287" s="50"/>
      <c r="E287" s="50"/>
      <c r="F287" s="50"/>
      <c r="G287" s="50"/>
      <c r="H287" s="50"/>
    </row>
    <row r="288">
      <c r="D288" s="50"/>
      <c r="E288" s="50"/>
      <c r="F288" s="50"/>
      <c r="G288" s="50"/>
      <c r="H288" s="50"/>
    </row>
    <row r="289">
      <c r="D289" s="50"/>
      <c r="E289" s="50"/>
      <c r="F289" s="50"/>
      <c r="G289" s="50"/>
      <c r="H289" s="50"/>
    </row>
    <row r="290">
      <c r="D290" s="50"/>
      <c r="E290" s="50"/>
      <c r="F290" s="50"/>
      <c r="G290" s="50"/>
      <c r="H290" s="50"/>
    </row>
    <row r="291">
      <c r="D291" s="50"/>
      <c r="E291" s="50"/>
      <c r="F291" s="50"/>
      <c r="G291" s="50"/>
      <c r="H291" s="50"/>
    </row>
    <row r="292">
      <c r="D292" s="50"/>
      <c r="E292" s="50"/>
      <c r="F292" s="50"/>
      <c r="G292" s="50"/>
      <c r="H292" s="50"/>
    </row>
    <row r="293">
      <c r="D293" s="50"/>
      <c r="E293" s="50"/>
      <c r="F293" s="50"/>
      <c r="G293" s="50"/>
      <c r="H293" s="50"/>
    </row>
    <row r="294">
      <c r="D294" s="50"/>
      <c r="E294" s="50"/>
      <c r="F294" s="50"/>
      <c r="G294" s="50"/>
      <c r="H294" s="50"/>
    </row>
    <row r="295">
      <c r="D295" s="50"/>
      <c r="E295" s="50"/>
      <c r="F295" s="50"/>
      <c r="G295" s="50"/>
      <c r="H295" s="50"/>
    </row>
    <row r="296">
      <c r="D296" s="50"/>
      <c r="E296" s="50"/>
      <c r="F296" s="50"/>
      <c r="G296" s="50"/>
      <c r="H296" s="50"/>
    </row>
    <row r="297">
      <c r="D297" s="50"/>
      <c r="E297" s="50"/>
      <c r="F297" s="50"/>
      <c r="G297" s="50"/>
      <c r="H297" s="50"/>
    </row>
    <row r="298">
      <c r="D298" s="50"/>
      <c r="E298" s="50"/>
      <c r="F298" s="50"/>
      <c r="G298" s="50"/>
      <c r="H298" s="50"/>
    </row>
    <row r="299">
      <c r="D299" s="50"/>
      <c r="E299" s="50"/>
      <c r="F299" s="50"/>
      <c r="G299" s="50"/>
      <c r="H299" s="50"/>
    </row>
    <row r="300">
      <c r="D300" s="50"/>
      <c r="E300" s="50"/>
      <c r="F300" s="50"/>
      <c r="G300" s="50"/>
      <c r="H300" s="50"/>
    </row>
    <row r="301">
      <c r="D301" s="50"/>
      <c r="E301" s="50"/>
      <c r="F301" s="50"/>
      <c r="G301" s="50"/>
      <c r="H301" s="50"/>
    </row>
    <row r="302">
      <c r="D302" s="50"/>
      <c r="E302" s="50"/>
      <c r="F302" s="50"/>
      <c r="G302" s="50"/>
      <c r="H302" s="50"/>
    </row>
    <row r="303">
      <c r="D303" s="50"/>
      <c r="E303" s="50"/>
      <c r="F303" s="50"/>
      <c r="G303" s="50"/>
      <c r="H303" s="50"/>
    </row>
    <row r="304">
      <c r="D304" s="50"/>
      <c r="E304" s="50"/>
      <c r="F304" s="50"/>
      <c r="G304" s="50"/>
      <c r="H304" s="50"/>
    </row>
    <row r="305">
      <c r="D305" s="50"/>
      <c r="E305" s="50"/>
      <c r="F305" s="50"/>
      <c r="G305" s="50"/>
      <c r="H305" s="50"/>
    </row>
    <row r="306">
      <c r="D306" s="50"/>
      <c r="E306" s="50"/>
      <c r="F306" s="50"/>
      <c r="G306" s="50"/>
      <c r="H306" s="50"/>
    </row>
    <row r="307">
      <c r="D307" s="50"/>
      <c r="E307" s="50"/>
      <c r="F307" s="50"/>
      <c r="G307" s="50"/>
      <c r="H307" s="50"/>
    </row>
    <row r="308">
      <c r="D308" s="50"/>
      <c r="E308" s="50"/>
      <c r="F308" s="50"/>
      <c r="G308" s="50"/>
      <c r="H308" s="50"/>
    </row>
    <row r="309">
      <c r="D309" s="50"/>
      <c r="E309" s="50"/>
      <c r="F309" s="50"/>
      <c r="G309" s="50"/>
      <c r="H309" s="50"/>
    </row>
    <row r="310">
      <c r="D310" s="50"/>
      <c r="E310" s="50"/>
      <c r="F310" s="50"/>
      <c r="G310" s="50"/>
      <c r="H310" s="50"/>
    </row>
    <row r="311">
      <c r="D311" s="50"/>
      <c r="E311" s="50"/>
      <c r="F311" s="50"/>
      <c r="G311" s="50"/>
      <c r="H311" s="50"/>
    </row>
    <row r="312">
      <c r="D312" s="50"/>
      <c r="E312" s="50"/>
      <c r="F312" s="50"/>
      <c r="G312" s="50"/>
      <c r="H312" s="50"/>
    </row>
    <row r="313">
      <c r="D313" s="50"/>
      <c r="E313" s="50"/>
      <c r="F313" s="50"/>
      <c r="G313" s="50"/>
      <c r="H313" s="50"/>
    </row>
    <row r="314">
      <c r="D314" s="50"/>
      <c r="E314" s="50"/>
      <c r="F314" s="50"/>
      <c r="G314" s="50"/>
      <c r="H314" s="50"/>
    </row>
    <row r="315">
      <c r="D315" s="50"/>
      <c r="E315" s="50"/>
      <c r="F315" s="50"/>
      <c r="G315" s="50"/>
      <c r="H315" s="50"/>
    </row>
    <row r="316">
      <c r="D316" s="50"/>
      <c r="E316" s="50"/>
      <c r="F316" s="50"/>
      <c r="G316" s="50"/>
      <c r="H316" s="50"/>
    </row>
    <row r="317">
      <c r="D317" s="50"/>
      <c r="E317" s="50"/>
      <c r="F317" s="50"/>
      <c r="G317" s="50"/>
      <c r="H317" s="50"/>
    </row>
    <row r="318">
      <c r="D318" s="50"/>
      <c r="E318" s="50"/>
      <c r="F318" s="50"/>
      <c r="G318" s="50"/>
      <c r="H318" s="50"/>
    </row>
    <row r="319">
      <c r="D319" s="50"/>
      <c r="E319" s="50"/>
      <c r="F319" s="50"/>
      <c r="G319" s="50"/>
      <c r="H319" s="50"/>
    </row>
    <row r="320">
      <c r="D320" s="50"/>
      <c r="E320" s="50"/>
      <c r="F320" s="50"/>
      <c r="G320" s="50"/>
      <c r="H320" s="50"/>
    </row>
    <row r="321">
      <c r="D321" s="50"/>
      <c r="E321" s="50"/>
      <c r="F321" s="50"/>
      <c r="G321" s="50"/>
      <c r="H321" s="50"/>
    </row>
    <row r="322">
      <c r="D322" s="50"/>
      <c r="E322" s="50"/>
      <c r="F322" s="50"/>
      <c r="G322" s="50"/>
      <c r="H322" s="50"/>
    </row>
    <row r="323">
      <c r="D323" s="50"/>
      <c r="E323" s="50"/>
      <c r="F323" s="50"/>
      <c r="G323" s="50"/>
      <c r="H323" s="50"/>
    </row>
    <row r="324">
      <c r="D324" s="50"/>
      <c r="E324" s="50"/>
      <c r="F324" s="50"/>
      <c r="G324" s="50"/>
      <c r="H324" s="50"/>
    </row>
    <row r="325">
      <c r="D325" s="50"/>
      <c r="E325" s="50"/>
      <c r="F325" s="50"/>
      <c r="G325" s="50"/>
      <c r="H325" s="50"/>
    </row>
    <row r="326">
      <c r="D326" s="50"/>
      <c r="E326" s="50"/>
      <c r="F326" s="50"/>
      <c r="G326" s="50"/>
      <c r="H326" s="50"/>
    </row>
    <row r="327">
      <c r="D327" s="50"/>
      <c r="E327" s="50"/>
      <c r="F327" s="50"/>
      <c r="G327" s="50"/>
      <c r="H327" s="50"/>
    </row>
    <row r="328">
      <c r="D328" s="50"/>
      <c r="E328" s="50"/>
      <c r="F328" s="50"/>
      <c r="G328" s="50"/>
      <c r="H328" s="50"/>
    </row>
    <row r="329">
      <c r="D329" s="50"/>
      <c r="E329" s="50"/>
      <c r="F329" s="50"/>
      <c r="G329" s="50"/>
      <c r="H329" s="50"/>
    </row>
    <row r="330">
      <c r="D330" s="50"/>
      <c r="E330" s="50"/>
      <c r="F330" s="50"/>
      <c r="G330" s="50"/>
      <c r="H330" s="50"/>
    </row>
    <row r="331">
      <c r="D331" s="50"/>
      <c r="E331" s="50"/>
      <c r="F331" s="50"/>
      <c r="G331" s="50"/>
      <c r="H331" s="50"/>
    </row>
    <row r="332">
      <c r="D332" s="50"/>
      <c r="E332" s="50"/>
      <c r="F332" s="50"/>
      <c r="G332" s="50"/>
      <c r="H332" s="50"/>
    </row>
    <row r="333">
      <c r="D333" s="50"/>
      <c r="E333" s="50"/>
      <c r="F333" s="50"/>
      <c r="G333" s="50"/>
      <c r="H333" s="50"/>
    </row>
    <row r="334">
      <c r="D334" s="50"/>
      <c r="E334" s="50"/>
      <c r="F334" s="50"/>
      <c r="G334" s="50"/>
      <c r="H334" s="50"/>
    </row>
    <row r="335">
      <c r="D335" s="50"/>
      <c r="E335" s="50"/>
      <c r="F335" s="50"/>
      <c r="G335" s="50"/>
      <c r="H335" s="50"/>
    </row>
    <row r="336">
      <c r="D336" s="50"/>
      <c r="E336" s="50"/>
      <c r="F336" s="50"/>
      <c r="G336" s="50"/>
      <c r="H336" s="50"/>
    </row>
    <row r="337">
      <c r="D337" s="50"/>
      <c r="E337" s="50"/>
      <c r="F337" s="50"/>
      <c r="G337" s="50"/>
      <c r="H337" s="50"/>
    </row>
    <row r="338">
      <c r="D338" s="50"/>
      <c r="E338" s="50"/>
      <c r="F338" s="50"/>
      <c r="G338" s="50"/>
      <c r="H338" s="50"/>
    </row>
    <row r="339">
      <c r="D339" s="50"/>
      <c r="E339" s="50"/>
      <c r="F339" s="50"/>
      <c r="G339" s="50"/>
      <c r="H339" s="50"/>
    </row>
    <row r="340">
      <c r="D340" s="50"/>
      <c r="E340" s="50"/>
      <c r="F340" s="50"/>
      <c r="G340" s="50"/>
      <c r="H340" s="50"/>
    </row>
    <row r="341">
      <c r="D341" s="50"/>
      <c r="E341" s="50"/>
      <c r="F341" s="50"/>
      <c r="G341" s="50"/>
      <c r="H341" s="50"/>
    </row>
    <row r="342">
      <c r="D342" s="50"/>
      <c r="E342" s="50"/>
      <c r="F342" s="50"/>
      <c r="G342" s="50"/>
      <c r="H342" s="50"/>
    </row>
    <row r="343">
      <c r="D343" s="50"/>
      <c r="E343" s="50"/>
      <c r="F343" s="50"/>
      <c r="G343" s="50"/>
      <c r="H343" s="50"/>
    </row>
    <row r="344">
      <c r="D344" s="50"/>
      <c r="E344" s="50"/>
      <c r="F344" s="50"/>
      <c r="G344" s="50"/>
      <c r="H344" s="50"/>
    </row>
    <row r="345">
      <c r="D345" s="50"/>
      <c r="E345" s="50"/>
      <c r="F345" s="50"/>
      <c r="G345" s="50"/>
      <c r="H345" s="50"/>
    </row>
    <row r="346">
      <c r="D346" s="50"/>
      <c r="E346" s="50"/>
      <c r="F346" s="50"/>
      <c r="G346" s="50"/>
      <c r="H346" s="50"/>
    </row>
    <row r="347">
      <c r="D347" s="50"/>
      <c r="E347" s="50"/>
      <c r="F347" s="50"/>
      <c r="G347" s="50"/>
      <c r="H347" s="50"/>
    </row>
    <row r="348">
      <c r="D348" s="50"/>
      <c r="E348" s="50"/>
      <c r="F348" s="50"/>
      <c r="G348" s="50"/>
      <c r="H348" s="50"/>
    </row>
    <row r="349">
      <c r="D349" s="50"/>
      <c r="E349" s="50"/>
      <c r="F349" s="50"/>
      <c r="G349" s="50"/>
      <c r="H349" s="50"/>
    </row>
    <row r="350">
      <c r="D350" s="50"/>
      <c r="E350" s="50"/>
      <c r="F350" s="50"/>
      <c r="G350" s="50"/>
      <c r="H350" s="50"/>
    </row>
    <row r="351">
      <c r="D351" s="50"/>
      <c r="E351" s="50"/>
      <c r="F351" s="50"/>
      <c r="G351" s="50"/>
      <c r="H351" s="50"/>
    </row>
    <row r="352">
      <c r="D352" s="50"/>
      <c r="E352" s="50"/>
      <c r="F352" s="50"/>
      <c r="G352" s="50"/>
      <c r="H352" s="50"/>
    </row>
    <row r="353">
      <c r="D353" s="50"/>
      <c r="E353" s="50"/>
      <c r="F353" s="50"/>
      <c r="G353" s="50"/>
      <c r="H353" s="50"/>
    </row>
    <row r="354">
      <c r="D354" s="50"/>
      <c r="E354" s="50"/>
      <c r="F354" s="50"/>
      <c r="G354" s="50"/>
      <c r="H354" s="50"/>
    </row>
    <row r="355">
      <c r="D355" s="50"/>
      <c r="E355" s="50"/>
      <c r="F355" s="50"/>
      <c r="G355" s="50"/>
      <c r="H355" s="50"/>
    </row>
    <row r="356">
      <c r="D356" s="50"/>
      <c r="E356" s="50"/>
      <c r="F356" s="50"/>
      <c r="G356" s="50"/>
      <c r="H356" s="50"/>
    </row>
    <row r="357">
      <c r="D357" s="50"/>
      <c r="E357" s="50"/>
      <c r="F357" s="50"/>
      <c r="G357" s="50"/>
      <c r="H357" s="50"/>
    </row>
    <row r="358">
      <c r="D358" s="50"/>
      <c r="E358" s="50"/>
      <c r="F358" s="50"/>
      <c r="G358" s="50"/>
      <c r="H358" s="50"/>
    </row>
    <row r="359">
      <c r="D359" s="50"/>
      <c r="E359" s="50"/>
      <c r="F359" s="50"/>
      <c r="G359" s="50"/>
      <c r="H359" s="50"/>
    </row>
    <row r="360">
      <c r="D360" s="50"/>
      <c r="E360" s="50"/>
      <c r="F360" s="50"/>
      <c r="G360" s="50"/>
      <c r="H360" s="50"/>
    </row>
    <row r="361">
      <c r="D361" s="50"/>
      <c r="E361" s="50"/>
      <c r="F361" s="50"/>
      <c r="G361" s="50"/>
      <c r="H361" s="50"/>
    </row>
    <row r="362">
      <c r="D362" s="50"/>
      <c r="E362" s="50"/>
      <c r="F362" s="50"/>
      <c r="G362" s="50"/>
      <c r="H362" s="50"/>
    </row>
    <row r="363">
      <c r="D363" s="50"/>
      <c r="E363" s="50"/>
      <c r="F363" s="50"/>
      <c r="G363" s="50"/>
      <c r="H363" s="50"/>
    </row>
    <row r="364">
      <c r="D364" s="50"/>
      <c r="E364" s="50"/>
      <c r="F364" s="50"/>
      <c r="G364" s="50"/>
      <c r="H364" s="50"/>
    </row>
    <row r="365">
      <c r="D365" s="50"/>
      <c r="E365" s="50"/>
      <c r="F365" s="50"/>
      <c r="G365" s="50"/>
      <c r="H365" s="50"/>
    </row>
    <row r="366">
      <c r="D366" s="50"/>
      <c r="E366" s="50"/>
      <c r="F366" s="50"/>
      <c r="G366" s="50"/>
      <c r="H366" s="50"/>
    </row>
    <row r="367">
      <c r="D367" s="50"/>
      <c r="E367" s="50"/>
      <c r="F367" s="50"/>
      <c r="G367" s="50"/>
      <c r="H367" s="50"/>
    </row>
    <row r="368">
      <c r="D368" s="50"/>
      <c r="E368" s="50"/>
      <c r="F368" s="50"/>
      <c r="G368" s="50"/>
      <c r="H368" s="50"/>
    </row>
    <row r="369">
      <c r="D369" s="50"/>
      <c r="E369" s="50"/>
      <c r="F369" s="50"/>
      <c r="G369" s="50"/>
      <c r="H369" s="50"/>
    </row>
    <row r="370">
      <c r="D370" s="50"/>
      <c r="E370" s="50"/>
      <c r="F370" s="50"/>
      <c r="G370" s="50"/>
      <c r="H370" s="50"/>
    </row>
    <row r="371">
      <c r="D371" s="50"/>
      <c r="E371" s="50"/>
      <c r="F371" s="50"/>
      <c r="G371" s="50"/>
      <c r="H371" s="50"/>
    </row>
    <row r="372">
      <c r="D372" s="50"/>
      <c r="E372" s="50"/>
      <c r="F372" s="50"/>
      <c r="G372" s="50"/>
      <c r="H372" s="50"/>
    </row>
    <row r="373">
      <c r="D373" s="50"/>
      <c r="E373" s="50"/>
      <c r="F373" s="50"/>
      <c r="G373" s="50"/>
      <c r="H373" s="50"/>
    </row>
    <row r="374">
      <c r="D374" s="50"/>
      <c r="E374" s="50"/>
      <c r="F374" s="50"/>
      <c r="G374" s="50"/>
      <c r="H374" s="50"/>
    </row>
    <row r="375">
      <c r="D375" s="50"/>
      <c r="E375" s="50"/>
      <c r="F375" s="50"/>
      <c r="G375" s="50"/>
      <c r="H375" s="50"/>
    </row>
    <row r="376">
      <c r="D376" s="50"/>
      <c r="E376" s="50"/>
      <c r="F376" s="50"/>
      <c r="G376" s="50"/>
      <c r="H376" s="50"/>
    </row>
    <row r="377">
      <c r="D377" s="50"/>
      <c r="E377" s="50"/>
      <c r="F377" s="50"/>
      <c r="G377" s="50"/>
      <c r="H377" s="50"/>
    </row>
    <row r="378">
      <c r="D378" s="50"/>
      <c r="E378" s="50"/>
      <c r="F378" s="50"/>
      <c r="G378" s="50"/>
      <c r="H378" s="50"/>
    </row>
    <row r="379">
      <c r="D379" s="50"/>
      <c r="E379" s="50"/>
      <c r="F379" s="50"/>
      <c r="G379" s="50"/>
      <c r="H379" s="50"/>
    </row>
    <row r="380">
      <c r="D380" s="50"/>
      <c r="E380" s="50"/>
      <c r="F380" s="50"/>
      <c r="G380" s="50"/>
      <c r="H380" s="50"/>
    </row>
    <row r="381">
      <c r="D381" s="50"/>
      <c r="E381" s="50"/>
      <c r="F381" s="50"/>
      <c r="G381" s="50"/>
      <c r="H381" s="50"/>
    </row>
    <row r="382">
      <c r="D382" s="50"/>
      <c r="E382" s="50"/>
      <c r="F382" s="50"/>
      <c r="G382" s="50"/>
      <c r="H382" s="50"/>
    </row>
    <row r="383">
      <c r="D383" s="50"/>
      <c r="E383" s="50"/>
      <c r="F383" s="50"/>
      <c r="G383" s="50"/>
      <c r="H383" s="50"/>
    </row>
    <row r="384">
      <c r="D384" s="50"/>
      <c r="E384" s="50"/>
      <c r="F384" s="50"/>
      <c r="G384" s="50"/>
      <c r="H384" s="50"/>
    </row>
    <row r="385">
      <c r="D385" s="50"/>
      <c r="E385" s="50"/>
      <c r="F385" s="50"/>
      <c r="G385" s="50"/>
      <c r="H385" s="50"/>
    </row>
    <row r="386">
      <c r="D386" s="50"/>
      <c r="E386" s="50"/>
      <c r="F386" s="50"/>
      <c r="G386" s="50"/>
      <c r="H386" s="50"/>
    </row>
    <row r="387">
      <c r="D387" s="50"/>
      <c r="E387" s="50"/>
      <c r="F387" s="50"/>
      <c r="G387" s="50"/>
      <c r="H387" s="50"/>
    </row>
    <row r="388">
      <c r="D388" s="50"/>
      <c r="E388" s="50"/>
      <c r="F388" s="50"/>
      <c r="G388" s="50"/>
      <c r="H388" s="50"/>
    </row>
    <row r="389">
      <c r="D389" s="50"/>
      <c r="E389" s="50"/>
      <c r="F389" s="50"/>
      <c r="G389" s="50"/>
      <c r="H389" s="50"/>
    </row>
    <row r="390">
      <c r="D390" s="50"/>
      <c r="E390" s="50"/>
      <c r="F390" s="50"/>
      <c r="G390" s="50"/>
      <c r="H390" s="50"/>
    </row>
    <row r="391">
      <c r="D391" s="50"/>
      <c r="E391" s="50"/>
      <c r="F391" s="50"/>
      <c r="G391" s="50"/>
      <c r="H391" s="50"/>
    </row>
    <row r="392">
      <c r="D392" s="50"/>
      <c r="E392" s="50"/>
      <c r="F392" s="50"/>
      <c r="G392" s="50"/>
      <c r="H392" s="50"/>
    </row>
    <row r="393">
      <c r="D393" s="50"/>
      <c r="E393" s="50"/>
      <c r="F393" s="50"/>
      <c r="G393" s="50"/>
      <c r="H393" s="50"/>
    </row>
    <row r="394">
      <c r="D394" s="50"/>
      <c r="E394" s="50"/>
      <c r="F394" s="50"/>
      <c r="G394" s="50"/>
      <c r="H394" s="50"/>
    </row>
    <row r="395">
      <c r="D395" s="50"/>
      <c r="E395" s="50"/>
      <c r="F395" s="50"/>
      <c r="G395" s="50"/>
      <c r="H395" s="50"/>
    </row>
    <row r="396">
      <c r="D396" s="50"/>
      <c r="E396" s="50"/>
      <c r="F396" s="50"/>
      <c r="G396" s="50"/>
      <c r="H396" s="50"/>
    </row>
    <row r="397">
      <c r="D397" s="50"/>
      <c r="E397" s="50"/>
      <c r="F397" s="50"/>
      <c r="G397" s="50"/>
      <c r="H397" s="50"/>
    </row>
    <row r="398">
      <c r="D398" s="50"/>
      <c r="E398" s="50"/>
      <c r="F398" s="50"/>
      <c r="G398" s="50"/>
      <c r="H398" s="50"/>
    </row>
    <row r="399">
      <c r="D399" s="50"/>
      <c r="E399" s="50"/>
      <c r="F399" s="50"/>
      <c r="G399" s="50"/>
      <c r="H399" s="50"/>
    </row>
    <row r="400">
      <c r="D400" s="50"/>
      <c r="E400" s="50"/>
      <c r="F400" s="50"/>
      <c r="G400" s="50"/>
      <c r="H400" s="50"/>
    </row>
    <row r="401">
      <c r="D401" s="50"/>
      <c r="E401" s="50"/>
      <c r="F401" s="50"/>
      <c r="G401" s="50"/>
      <c r="H401" s="50"/>
    </row>
    <row r="402">
      <c r="D402" s="50"/>
      <c r="E402" s="50"/>
      <c r="F402" s="50"/>
      <c r="G402" s="50"/>
      <c r="H402" s="50"/>
    </row>
    <row r="403">
      <c r="D403" s="50"/>
      <c r="E403" s="50"/>
      <c r="F403" s="50"/>
      <c r="G403" s="50"/>
      <c r="H403" s="50"/>
    </row>
    <row r="404">
      <c r="D404" s="50"/>
      <c r="E404" s="50"/>
      <c r="F404" s="50"/>
      <c r="G404" s="50"/>
      <c r="H404" s="50"/>
    </row>
    <row r="405">
      <c r="D405" s="50"/>
      <c r="E405" s="50"/>
      <c r="F405" s="50"/>
      <c r="G405" s="50"/>
      <c r="H405" s="50"/>
    </row>
    <row r="406">
      <c r="D406" s="50"/>
      <c r="E406" s="50"/>
      <c r="F406" s="50"/>
      <c r="G406" s="50"/>
      <c r="H406" s="50"/>
    </row>
    <row r="407">
      <c r="D407" s="50"/>
      <c r="E407" s="50"/>
      <c r="F407" s="50"/>
      <c r="G407" s="50"/>
      <c r="H407" s="50"/>
    </row>
    <row r="408">
      <c r="D408" s="50"/>
      <c r="E408" s="50"/>
      <c r="F408" s="50"/>
      <c r="G408" s="50"/>
      <c r="H408" s="50"/>
    </row>
    <row r="409">
      <c r="D409" s="50"/>
      <c r="E409" s="50"/>
      <c r="F409" s="50"/>
      <c r="G409" s="50"/>
      <c r="H409" s="50"/>
    </row>
    <row r="410">
      <c r="D410" s="50"/>
      <c r="E410" s="50"/>
      <c r="F410" s="50"/>
      <c r="G410" s="50"/>
      <c r="H410" s="50"/>
    </row>
    <row r="411">
      <c r="D411" s="50"/>
      <c r="E411" s="50"/>
      <c r="F411" s="50"/>
      <c r="G411" s="50"/>
      <c r="H411" s="50"/>
    </row>
    <row r="412">
      <c r="D412" s="50"/>
      <c r="E412" s="50"/>
      <c r="F412" s="50"/>
      <c r="G412" s="50"/>
      <c r="H412" s="50"/>
    </row>
    <row r="413">
      <c r="D413" s="50"/>
      <c r="E413" s="50"/>
      <c r="F413" s="50"/>
      <c r="G413" s="50"/>
      <c r="H413" s="50"/>
    </row>
    <row r="414">
      <c r="D414" s="50"/>
      <c r="E414" s="50"/>
      <c r="F414" s="50"/>
      <c r="G414" s="50"/>
      <c r="H414" s="50"/>
    </row>
    <row r="415">
      <c r="D415" s="50"/>
      <c r="E415" s="50"/>
      <c r="F415" s="50"/>
      <c r="G415" s="50"/>
      <c r="H415" s="50"/>
    </row>
    <row r="416">
      <c r="D416" s="50"/>
      <c r="E416" s="50"/>
      <c r="F416" s="50"/>
      <c r="G416" s="50"/>
      <c r="H416" s="50"/>
    </row>
    <row r="417">
      <c r="D417" s="50"/>
      <c r="E417" s="50"/>
      <c r="F417" s="50"/>
      <c r="G417" s="50"/>
      <c r="H417" s="50"/>
    </row>
    <row r="418">
      <c r="D418" s="50"/>
      <c r="E418" s="50"/>
      <c r="F418" s="50"/>
      <c r="G418" s="50"/>
      <c r="H418" s="50"/>
    </row>
    <row r="419">
      <c r="D419" s="50"/>
      <c r="E419" s="50"/>
      <c r="F419" s="50"/>
      <c r="G419" s="50"/>
      <c r="H419" s="50"/>
    </row>
    <row r="420">
      <c r="D420" s="50"/>
      <c r="E420" s="50"/>
      <c r="F420" s="50"/>
      <c r="G420" s="50"/>
      <c r="H420" s="50"/>
    </row>
    <row r="421">
      <c r="D421" s="50"/>
      <c r="E421" s="50"/>
      <c r="F421" s="50"/>
      <c r="G421" s="50"/>
      <c r="H421" s="50"/>
    </row>
    <row r="422">
      <c r="D422" s="50"/>
      <c r="E422" s="50"/>
      <c r="F422" s="50"/>
      <c r="G422" s="50"/>
      <c r="H422" s="50"/>
    </row>
    <row r="423">
      <c r="D423" s="50"/>
      <c r="E423" s="50"/>
      <c r="F423" s="50"/>
      <c r="G423" s="50"/>
      <c r="H423" s="50"/>
    </row>
    <row r="424">
      <c r="D424" s="50"/>
      <c r="E424" s="50"/>
      <c r="F424" s="50"/>
      <c r="G424" s="50"/>
      <c r="H424" s="50"/>
    </row>
    <row r="425">
      <c r="D425" s="50"/>
      <c r="E425" s="50"/>
      <c r="F425" s="50"/>
      <c r="G425" s="50"/>
      <c r="H425" s="50"/>
    </row>
    <row r="426">
      <c r="D426" s="50"/>
      <c r="E426" s="50"/>
      <c r="F426" s="50"/>
      <c r="G426" s="50"/>
      <c r="H426" s="50"/>
    </row>
    <row r="427">
      <c r="D427" s="50"/>
      <c r="E427" s="50"/>
      <c r="F427" s="50"/>
      <c r="G427" s="50"/>
      <c r="H427" s="50"/>
    </row>
    <row r="428">
      <c r="D428" s="50"/>
      <c r="E428" s="50"/>
      <c r="F428" s="50"/>
      <c r="G428" s="50"/>
      <c r="H428" s="50"/>
    </row>
    <row r="429">
      <c r="D429" s="50"/>
      <c r="E429" s="50"/>
      <c r="F429" s="50"/>
      <c r="G429" s="50"/>
      <c r="H429" s="50"/>
    </row>
    <row r="430">
      <c r="D430" s="50"/>
      <c r="E430" s="50"/>
      <c r="F430" s="50"/>
      <c r="G430" s="50"/>
      <c r="H430" s="50"/>
    </row>
    <row r="431">
      <c r="D431" s="50"/>
      <c r="E431" s="50"/>
      <c r="F431" s="50"/>
      <c r="G431" s="50"/>
      <c r="H431" s="50"/>
    </row>
    <row r="432">
      <c r="D432" s="50"/>
      <c r="E432" s="50"/>
      <c r="F432" s="50"/>
      <c r="G432" s="50"/>
      <c r="H432" s="50"/>
    </row>
    <row r="433">
      <c r="D433" s="50"/>
      <c r="E433" s="50"/>
      <c r="F433" s="50"/>
      <c r="G433" s="50"/>
      <c r="H433" s="50"/>
    </row>
    <row r="434">
      <c r="D434" s="50"/>
      <c r="E434" s="50"/>
      <c r="F434" s="50"/>
      <c r="G434" s="50"/>
      <c r="H434" s="50"/>
    </row>
    <row r="435">
      <c r="D435" s="50"/>
      <c r="E435" s="50"/>
      <c r="F435" s="50"/>
      <c r="G435" s="50"/>
      <c r="H435" s="50"/>
    </row>
    <row r="436">
      <c r="D436" s="50"/>
      <c r="E436" s="50"/>
      <c r="F436" s="50"/>
      <c r="G436" s="50"/>
      <c r="H436" s="50"/>
    </row>
    <row r="437">
      <c r="D437" s="50"/>
      <c r="E437" s="50"/>
      <c r="F437" s="50"/>
      <c r="G437" s="50"/>
      <c r="H437" s="50"/>
    </row>
    <row r="438">
      <c r="D438" s="50"/>
      <c r="E438" s="50"/>
      <c r="F438" s="50"/>
      <c r="G438" s="50"/>
      <c r="H438" s="50"/>
    </row>
    <row r="439">
      <c r="D439" s="50"/>
      <c r="E439" s="50"/>
      <c r="F439" s="50"/>
      <c r="G439" s="50"/>
      <c r="H439" s="50"/>
    </row>
    <row r="440">
      <c r="D440" s="50"/>
      <c r="E440" s="50"/>
      <c r="F440" s="50"/>
      <c r="G440" s="50"/>
      <c r="H440" s="50"/>
    </row>
    <row r="441">
      <c r="D441" s="50"/>
      <c r="E441" s="50"/>
      <c r="F441" s="50"/>
      <c r="G441" s="50"/>
      <c r="H441" s="50"/>
    </row>
    <row r="442">
      <c r="D442" s="50"/>
      <c r="E442" s="50"/>
      <c r="F442" s="50"/>
      <c r="G442" s="50"/>
      <c r="H442" s="50"/>
    </row>
    <row r="443">
      <c r="D443" s="50"/>
      <c r="E443" s="50"/>
      <c r="F443" s="50"/>
      <c r="G443" s="50"/>
      <c r="H443" s="50"/>
    </row>
    <row r="444">
      <c r="D444" s="50"/>
      <c r="E444" s="50"/>
      <c r="F444" s="50"/>
      <c r="G444" s="50"/>
      <c r="H444" s="50"/>
    </row>
    <row r="445">
      <c r="D445" s="50"/>
      <c r="E445" s="50"/>
      <c r="F445" s="50"/>
      <c r="G445" s="50"/>
      <c r="H445" s="50"/>
    </row>
    <row r="446">
      <c r="D446" s="50"/>
      <c r="E446" s="50"/>
      <c r="F446" s="50"/>
      <c r="G446" s="50"/>
      <c r="H446" s="50"/>
    </row>
    <row r="447">
      <c r="D447" s="50"/>
      <c r="E447" s="50"/>
      <c r="F447" s="50"/>
      <c r="G447" s="50"/>
      <c r="H447" s="50"/>
    </row>
    <row r="448">
      <c r="D448" s="50"/>
      <c r="E448" s="50"/>
      <c r="F448" s="50"/>
      <c r="G448" s="50"/>
      <c r="H448" s="50"/>
    </row>
    <row r="449">
      <c r="D449" s="50"/>
      <c r="E449" s="50"/>
      <c r="F449" s="50"/>
      <c r="G449" s="50"/>
      <c r="H449" s="50"/>
    </row>
    <row r="450">
      <c r="D450" s="50"/>
      <c r="E450" s="50"/>
      <c r="F450" s="50"/>
      <c r="G450" s="50"/>
      <c r="H450" s="50"/>
    </row>
    <row r="451">
      <c r="D451" s="50"/>
      <c r="E451" s="50"/>
      <c r="F451" s="50"/>
      <c r="G451" s="50"/>
      <c r="H451" s="50"/>
    </row>
    <row r="452">
      <c r="D452" s="50"/>
      <c r="E452" s="50"/>
      <c r="F452" s="50"/>
      <c r="G452" s="50"/>
      <c r="H452" s="50"/>
    </row>
    <row r="453">
      <c r="D453" s="50"/>
      <c r="E453" s="50"/>
      <c r="F453" s="50"/>
      <c r="G453" s="50"/>
      <c r="H453" s="50"/>
    </row>
    <row r="454">
      <c r="D454" s="50"/>
      <c r="E454" s="50"/>
      <c r="F454" s="50"/>
      <c r="G454" s="50"/>
      <c r="H454" s="50"/>
    </row>
    <row r="455">
      <c r="D455" s="50"/>
      <c r="E455" s="50"/>
      <c r="F455" s="50"/>
      <c r="G455" s="50"/>
      <c r="H455" s="50"/>
    </row>
    <row r="456">
      <c r="D456" s="50"/>
      <c r="E456" s="50"/>
      <c r="F456" s="50"/>
      <c r="G456" s="50"/>
      <c r="H456" s="50"/>
    </row>
    <row r="457">
      <c r="D457" s="50"/>
      <c r="E457" s="50"/>
      <c r="F457" s="50"/>
      <c r="G457" s="50"/>
      <c r="H457" s="50"/>
    </row>
    <row r="458">
      <c r="D458" s="50"/>
      <c r="E458" s="50"/>
      <c r="F458" s="50"/>
      <c r="G458" s="50"/>
      <c r="H458" s="50"/>
    </row>
    <row r="459">
      <c r="D459" s="50"/>
      <c r="E459" s="50"/>
      <c r="F459" s="50"/>
      <c r="G459" s="50"/>
      <c r="H459" s="50"/>
    </row>
    <row r="460">
      <c r="D460" s="50"/>
      <c r="E460" s="50"/>
      <c r="F460" s="50"/>
      <c r="G460" s="50"/>
      <c r="H460" s="50"/>
    </row>
    <row r="461">
      <c r="D461" s="50"/>
      <c r="E461" s="50"/>
      <c r="F461" s="50"/>
      <c r="G461" s="50"/>
      <c r="H461" s="50"/>
    </row>
    <row r="462">
      <c r="D462" s="50"/>
      <c r="E462" s="50"/>
      <c r="F462" s="50"/>
      <c r="G462" s="50"/>
      <c r="H462" s="50"/>
    </row>
    <row r="463">
      <c r="D463" s="50"/>
      <c r="E463" s="50"/>
      <c r="F463" s="50"/>
      <c r="G463" s="50"/>
      <c r="H463" s="50"/>
    </row>
    <row r="464">
      <c r="D464" s="50"/>
      <c r="E464" s="50"/>
      <c r="F464" s="50"/>
      <c r="G464" s="50"/>
      <c r="H464" s="50"/>
    </row>
    <row r="465">
      <c r="D465" s="50"/>
      <c r="E465" s="50"/>
      <c r="F465" s="50"/>
      <c r="G465" s="50"/>
      <c r="H465" s="50"/>
    </row>
    <row r="466">
      <c r="D466" s="50"/>
      <c r="E466" s="50"/>
      <c r="F466" s="50"/>
      <c r="G466" s="50"/>
      <c r="H466" s="50"/>
    </row>
    <row r="467">
      <c r="D467" s="50"/>
      <c r="E467" s="50"/>
      <c r="F467" s="50"/>
      <c r="G467" s="50"/>
      <c r="H467" s="50"/>
    </row>
    <row r="468">
      <c r="D468" s="50"/>
      <c r="E468" s="50"/>
      <c r="F468" s="50"/>
      <c r="G468" s="50"/>
      <c r="H468" s="50"/>
    </row>
    <row r="469">
      <c r="D469" s="50"/>
      <c r="E469" s="50"/>
      <c r="F469" s="50"/>
      <c r="G469" s="50"/>
      <c r="H469" s="50"/>
    </row>
    <row r="470">
      <c r="D470" s="50"/>
      <c r="E470" s="50"/>
      <c r="F470" s="50"/>
      <c r="G470" s="50"/>
      <c r="H470" s="50"/>
    </row>
    <row r="471">
      <c r="D471" s="50"/>
      <c r="E471" s="50"/>
      <c r="F471" s="50"/>
      <c r="G471" s="50"/>
      <c r="H471" s="50"/>
    </row>
    <row r="472">
      <c r="D472" s="50"/>
      <c r="E472" s="50"/>
      <c r="F472" s="50"/>
      <c r="G472" s="50"/>
      <c r="H472" s="50"/>
    </row>
    <row r="473">
      <c r="D473" s="50"/>
      <c r="E473" s="50"/>
      <c r="F473" s="50"/>
      <c r="G473" s="50"/>
      <c r="H473" s="50"/>
    </row>
    <row r="474">
      <c r="D474" s="50"/>
      <c r="E474" s="50"/>
      <c r="F474" s="50"/>
      <c r="G474" s="50"/>
      <c r="H474" s="50"/>
    </row>
    <row r="475">
      <c r="D475" s="50"/>
      <c r="E475" s="50"/>
      <c r="F475" s="50"/>
      <c r="G475" s="50"/>
      <c r="H475" s="50"/>
    </row>
    <row r="476">
      <c r="D476" s="50"/>
      <c r="E476" s="50"/>
      <c r="F476" s="50"/>
      <c r="G476" s="50"/>
      <c r="H476" s="50"/>
    </row>
    <row r="477">
      <c r="D477" s="50"/>
      <c r="E477" s="50"/>
      <c r="F477" s="50"/>
      <c r="G477" s="50"/>
      <c r="H477" s="50"/>
    </row>
    <row r="478">
      <c r="D478" s="50"/>
      <c r="E478" s="50"/>
      <c r="F478" s="50"/>
      <c r="G478" s="50"/>
      <c r="H478" s="50"/>
    </row>
    <row r="479">
      <c r="D479" s="50"/>
      <c r="E479" s="50"/>
      <c r="F479" s="50"/>
      <c r="G479" s="50"/>
      <c r="H479" s="50"/>
    </row>
    <row r="480">
      <c r="D480" s="50"/>
      <c r="E480" s="50"/>
      <c r="F480" s="50"/>
      <c r="G480" s="50"/>
      <c r="H480" s="50"/>
    </row>
    <row r="481">
      <c r="D481" s="50"/>
      <c r="E481" s="50"/>
      <c r="F481" s="50"/>
      <c r="G481" s="50"/>
      <c r="H481" s="50"/>
    </row>
    <row r="482">
      <c r="D482" s="50"/>
      <c r="E482" s="50"/>
      <c r="F482" s="50"/>
      <c r="G482" s="50"/>
      <c r="H482" s="50"/>
    </row>
    <row r="483">
      <c r="D483" s="50"/>
      <c r="E483" s="50"/>
      <c r="F483" s="50"/>
      <c r="G483" s="50"/>
      <c r="H483" s="50"/>
    </row>
    <row r="484">
      <c r="D484" s="50"/>
      <c r="E484" s="50"/>
      <c r="F484" s="50"/>
      <c r="G484" s="50"/>
      <c r="H484" s="50"/>
    </row>
    <row r="485">
      <c r="D485" s="50"/>
      <c r="E485" s="50"/>
      <c r="F485" s="50"/>
      <c r="G485" s="50"/>
      <c r="H485" s="50"/>
    </row>
    <row r="486">
      <c r="D486" s="50"/>
      <c r="E486" s="50"/>
      <c r="F486" s="50"/>
      <c r="G486" s="50"/>
      <c r="H486" s="50"/>
    </row>
    <row r="487">
      <c r="D487" s="50"/>
      <c r="E487" s="50"/>
      <c r="F487" s="50"/>
      <c r="G487" s="50"/>
      <c r="H487" s="50"/>
    </row>
    <row r="488">
      <c r="D488" s="50"/>
      <c r="E488" s="50"/>
      <c r="F488" s="50"/>
      <c r="G488" s="50"/>
      <c r="H488" s="50"/>
    </row>
    <row r="489">
      <c r="D489" s="50"/>
      <c r="E489" s="50"/>
      <c r="F489" s="50"/>
      <c r="G489" s="50"/>
      <c r="H489" s="50"/>
    </row>
    <row r="490">
      <c r="D490" s="50"/>
      <c r="E490" s="50"/>
      <c r="F490" s="50"/>
      <c r="G490" s="50"/>
      <c r="H490" s="50"/>
    </row>
    <row r="491">
      <c r="D491" s="50"/>
      <c r="E491" s="50"/>
      <c r="F491" s="50"/>
      <c r="G491" s="50"/>
      <c r="H491" s="50"/>
    </row>
    <row r="492">
      <c r="D492" s="50"/>
      <c r="E492" s="50"/>
      <c r="F492" s="50"/>
      <c r="G492" s="50"/>
      <c r="H492" s="50"/>
    </row>
    <row r="493">
      <c r="D493" s="50"/>
      <c r="E493" s="50"/>
      <c r="F493" s="50"/>
      <c r="G493" s="50"/>
      <c r="H493" s="50"/>
    </row>
    <row r="494">
      <c r="D494" s="50"/>
      <c r="E494" s="50"/>
      <c r="F494" s="50"/>
      <c r="G494" s="50"/>
      <c r="H494" s="50"/>
    </row>
    <row r="495">
      <c r="D495" s="50"/>
      <c r="E495" s="50"/>
      <c r="F495" s="50"/>
      <c r="G495" s="50"/>
      <c r="H495" s="50"/>
    </row>
    <row r="496">
      <c r="D496" s="50"/>
      <c r="E496" s="50"/>
      <c r="F496" s="50"/>
      <c r="G496" s="50"/>
      <c r="H496" s="50"/>
    </row>
    <row r="497">
      <c r="D497" s="50"/>
      <c r="E497" s="50"/>
      <c r="F497" s="50"/>
      <c r="G497" s="50"/>
      <c r="H497" s="50"/>
    </row>
    <row r="498">
      <c r="D498" s="50"/>
      <c r="E498" s="50"/>
      <c r="F498" s="50"/>
      <c r="G498" s="50"/>
      <c r="H498" s="50"/>
    </row>
    <row r="499">
      <c r="D499" s="50"/>
      <c r="E499" s="50"/>
      <c r="F499" s="50"/>
      <c r="G499" s="50"/>
      <c r="H499" s="50"/>
    </row>
    <row r="500">
      <c r="D500" s="50"/>
      <c r="E500" s="50"/>
      <c r="F500" s="50"/>
      <c r="G500" s="50"/>
      <c r="H500" s="50"/>
    </row>
    <row r="501">
      <c r="D501" s="50"/>
      <c r="E501" s="50"/>
      <c r="F501" s="50"/>
      <c r="G501" s="50"/>
      <c r="H501" s="50"/>
    </row>
    <row r="502">
      <c r="D502" s="50"/>
      <c r="E502" s="50"/>
      <c r="F502" s="50"/>
      <c r="G502" s="50"/>
      <c r="H502" s="50"/>
    </row>
    <row r="503">
      <c r="D503" s="50"/>
      <c r="E503" s="50"/>
      <c r="F503" s="50"/>
      <c r="G503" s="50"/>
      <c r="H503" s="50"/>
    </row>
    <row r="504">
      <c r="D504" s="50"/>
      <c r="E504" s="50"/>
      <c r="F504" s="50"/>
      <c r="G504" s="50"/>
      <c r="H504" s="50"/>
    </row>
    <row r="505">
      <c r="D505" s="50"/>
      <c r="E505" s="50"/>
      <c r="F505" s="50"/>
      <c r="G505" s="50"/>
      <c r="H505" s="50"/>
    </row>
    <row r="506">
      <c r="D506" s="50"/>
      <c r="E506" s="50"/>
      <c r="F506" s="50"/>
      <c r="G506" s="50"/>
      <c r="H506" s="50"/>
    </row>
    <row r="507">
      <c r="D507" s="50"/>
      <c r="E507" s="50"/>
      <c r="F507" s="50"/>
      <c r="G507" s="50"/>
      <c r="H507" s="50"/>
    </row>
    <row r="508">
      <c r="D508" s="50"/>
      <c r="E508" s="50"/>
      <c r="F508" s="50"/>
      <c r="G508" s="50"/>
      <c r="H508" s="50"/>
    </row>
    <row r="509">
      <c r="D509" s="50"/>
      <c r="E509" s="50"/>
      <c r="F509" s="50"/>
      <c r="G509" s="50"/>
      <c r="H509" s="50"/>
    </row>
    <row r="510">
      <c r="D510" s="50"/>
      <c r="E510" s="50"/>
      <c r="F510" s="50"/>
      <c r="G510" s="50"/>
      <c r="H510" s="50"/>
    </row>
    <row r="511">
      <c r="D511" s="50"/>
      <c r="E511" s="50"/>
      <c r="F511" s="50"/>
      <c r="G511" s="50"/>
      <c r="H511" s="50"/>
    </row>
    <row r="512">
      <c r="D512" s="50"/>
      <c r="E512" s="50"/>
      <c r="F512" s="50"/>
      <c r="G512" s="50"/>
      <c r="H512" s="50"/>
    </row>
    <row r="513">
      <c r="D513" s="50"/>
      <c r="E513" s="50"/>
      <c r="F513" s="50"/>
      <c r="G513" s="50"/>
      <c r="H513" s="50"/>
    </row>
    <row r="514">
      <c r="D514" s="50"/>
      <c r="E514" s="50"/>
      <c r="F514" s="50"/>
      <c r="G514" s="50"/>
      <c r="H514" s="50"/>
    </row>
    <row r="515">
      <c r="D515" s="50"/>
      <c r="E515" s="50"/>
      <c r="F515" s="50"/>
      <c r="G515" s="50"/>
      <c r="H515" s="50"/>
    </row>
    <row r="516">
      <c r="D516" s="50"/>
      <c r="E516" s="50"/>
      <c r="F516" s="50"/>
      <c r="G516" s="50"/>
      <c r="H516" s="50"/>
    </row>
    <row r="517">
      <c r="D517" s="50"/>
      <c r="E517" s="50"/>
      <c r="F517" s="50"/>
      <c r="G517" s="50"/>
      <c r="H517" s="50"/>
    </row>
    <row r="518">
      <c r="D518" s="50"/>
      <c r="E518" s="50"/>
      <c r="F518" s="50"/>
      <c r="G518" s="50"/>
      <c r="H518" s="50"/>
    </row>
    <row r="519">
      <c r="D519" s="50"/>
      <c r="E519" s="50"/>
      <c r="F519" s="50"/>
      <c r="G519" s="50"/>
      <c r="H519" s="50"/>
    </row>
    <row r="520">
      <c r="D520" s="50"/>
      <c r="E520" s="50"/>
      <c r="F520" s="50"/>
      <c r="G520" s="50"/>
      <c r="H520" s="50"/>
    </row>
    <row r="521">
      <c r="D521" s="50"/>
      <c r="E521" s="50"/>
      <c r="F521" s="50"/>
      <c r="G521" s="50"/>
      <c r="H521" s="50"/>
    </row>
    <row r="522">
      <c r="D522" s="50"/>
      <c r="E522" s="50"/>
      <c r="F522" s="50"/>
      <c r="G522" s="50"/>
      <c r="H522" s="50"/>
    </row>
    <row r="523">
      <c r="D523" s="50"/>
      <c r="E523" s="50"/>
      <c r="F523" s="50"/>
      <c r="G523" s="50"/>
      <c r="H523" s="50"/>
    </row>
    <row r="524">
      <c r="D524" s="50"/>
      <c r="E524" s="50"/>
      <c r="F524" s="50"/>
      <c r="G524" s="50"/>
      <c r="H524" s="50"/>
    </row>
    <row r="525">
      <c r="D525" s="50"/>
      <c r="E525" s="50"/>
      <c r="F525" s="50"/>
      <c r="G525" s="50"/>
      <c r="H525" s="50"/>
    </row>
    <row r="526">
      <c r="D526" s="50"/>
      <c r="E526" s="50"/>
      <c r="F526" s="50"/>
      <c r="G526" s="50"/>
      <c r="H526" s="50"/>
    </row>
    <row r="527">
      <c r="D527" s="50"/>
      <c r="E527" s="50"/>
      <c r="F527" s="50"/>
      <c r="G527" s="50"/>
      <c r="H527" s="50"/>
    </row>
    <row r="528">
      <c r="D528" s="50"/>
      <c r="E528" s="50"/>
      <c r="F528" s="50"/>
      <c r="G528" s="50"/>
      <c r="H528" s="50"/>
    </row>
    <row r="529">
      <c r="D529" s="50"/>
      <c r="E529" s="50"/>
      <c r="F529" s="50"/>
      <c r="G529" s="50"/>
      <c r="H529" s="50"/>
    </row>
    <row r="530">
      <c r="D530" s="50"/>
      <c r="E530" s="50"/>
      <c r="F530" s="50"/>
      <c r="G530" s="50"/>
      <c r="H530" s="50"/>
    </row>
    <row r="531">
      <c r="D531" s="50"/>
      <c r="E531" s="50"/>
      <c r="F531" s="50"/>
      <c r="G531" s="50"/>
      <c r="H531" s="50"/>
    </row>
    <row r="532">
      <c r="D532" s="50"/>
      <c r="E532" s="50"/>
      <c r="F532" s="50"/>
      <c r="G532" s="50"/>
      <c r="H532" s="50"/>
    </row>
    <row r="533">
      <c r="D533" s="50"/>
      <c r="E533" s="50"/>
      <c r="F533" s="50"/>
      <c r="G533" s="50"/>
      <c r="H533" s="50"/>
    </row>
    <row r="534">
      <c r="D534" s="50"/>
      <c r="E534" s="50"/>
      <c r="F534" s="50"/>
      <c r="G534" s="50"/>
      <c r="H534" s="50"/>
    </row>
    <row r="535">
      <c r="D535" s="50"/>
      <c r="E535" s="50"/>
      <c r="F535" s="50"/>
      <c r="G535" s="50"/>
      <c r="H535" s="50"/>
    </row>
    <row r="536">
      <c r="D536" s="50"/>
      <c r="E536" s="50"/>
      <c r="F536" s="50"/>
      <c r="G536" s="50"/>
      <c r="H536" s="50"/>
    </row>
    <row r="537">
      <c r="D537" s="50"/>
      <c r="E537" s="50"/>
      <c r="F537" s="50"/>
      <c r="G537" s="50"/>
      <c r="H537" s="50"/>
    </row>
    <row r="538">
      <c r="D538" s="50"/>
      <c r="E538" s="50"/>
      <c r="F538" s="50"/>
      <c r="G538" s="50"/>
      <c r="H538" s="50"/>
    </row>
    <row r="539">
      <c r="D539" s="50"/>
      <c r="E539" s="50"/>
      <c r="F539" s="50"/>
      <c r="G539" s="50"/>
      <c r="H539" s="50"/>
    </row>
    <row r="540">
      <c r="D540" s="50"/>
      <c r="E540" s="50"/>
      <c r="F540" s="50"/>
      <c r="G540" s="50"/>
      <c r="H540" s="50"/>
    </row>
    <row r="541">
      <c r="D541" s="50"/>
      <c r="E541" s="50"/>
      <c r="F541" s="50"/>
      <c r="G541" s="50"/>
      <c r="H541" s="50"/>
    </row>
    <row r="542">
      <c r="D542" s="50"/>
      <c r="E542" s="50"/>
      <c r="F542" s="50"/>
      <c r="G542" s="50"/>
      <c r="H542" s="50"/>
    </row>
    <row r="543">
      <c r="D543" s="50"/>
      <c r="E543" s="50"/>
      <c r="F543" s="50"/>
      <c r="G543" s="50"/>
      <c r="H543" s="50"/>
    </row>
    <row r="544">
      <c r="D544" s="50"/>
      <c r="E544" s="50"/>
      <c r="F544" s="50"/>
      <c r="G544" s="50"/>
      <c r="H544" s="50"/>
    </row>
    <row r="545">
      <c r="D545" s="50"/>
      <c r="E545" s="50"/>
      <c r="F545" s="50"/>
      <c r="G545" s="50"/>
      <c r="H545" s="50"/>
    </row>
    <row r="546">
      <c r="D546" s="50"/>
      <c r="E546" s="50"/>
      <c r="F546" s="50"/>
      <c r="G546" s="50"/>
      <c r="H546" s="50"/>
    </row>
    <row r="547">
      <c r="D547" s="50"/>
      <c r="E547" s="50"/>
      <c r="F547" s="50"/>
      <c r="G547" s="50"/>
      <c r="H547" s="50"/>
    </row>
    <row r="548">
      <c r="D548" s="50"/>
      <c r="E548" s="50"/>
      <c r="F548" s="50"/>
      <c r="G548" s="50"/>
      <c r="H548" s="50"/>
    </row>
    <row r="549">
      <c r="D549" s="50"/>
      <c r="E549" s="50"/>
      <c r="F549" s="50"/>
      <c r="G549" s="50"/>
      <c r="H549" s="50"/>
    </row>
    <row r="550">
      <c r="D550" s="50"/>
      <c r="E550" s="50"/>
      <c r="F550" s="50"/>
      <c r="G550" s="50"/>
      <c r="H550" s="50"/>
    </row>
    <row r="551">
      <c r="D551" s="50"/>
      <c r="E551" s="50"/>
      <c r="F551" s="50"/>
      <c r="G551" s="50"/>
      <c r="H551" s="50"/>
    </row>
    <row r="552">
      <c r="D552" s="50"/>
      <c r="E552" s="50"/>
      <c r="F552" s="50"/>
      <c r="G552" s="50"/>
      <c r="H552" s="50"/>
    </row>
    <row r="553">
      <c r="D553" s="50"/>
      <c r="E553" s="50"/>
      <c r="F553" s="50"/>
      <c r="G553" s="50"/>
      <c r="H553" s="50"/>
    </row>
    <row r="554">
      <c r="D554" s="50"/>
      <c r="E554" s="50"/>
      <c r="F554" s="50"/>
      <c r="G554" s="50"/>
      <c r="H554" s="50"/>
    </row>
    <row r="555">
      <c r="D555" s="50"/>
      <c r="E555" s="50"/>
      <c r="F555" s="50"/>
      <c r="G555" s="50"/>
      <c r="H555" s="50"/>
    </row>
    <row r="556">
      <c r="D556" s="50"/>
      <c r="E556" s="50"/>
      <c r="F556" s="50"/>
      <c r="G556" s="50"/>
      <c r="H556" s="50"/>
    </row>
    <row r="557">
      <c r="D557" s="50"/>
      <c r="E557" s="50"/>
      <c r="F557" s="50"/>
      <c r="G557" s="50"/>
      <c r="H557" s="50"/>
    </row>
    <row r="558">
      <c r="D558" s="50"/>
      <c r="E558" s="50"/>
      <c r="F558" s="50"/>
      <c r="G558" s="50"/>
      <c r="H558" s="50"/>
    </row>
    <row r="559">
      <c r="D559" s="50"/>
      <c r="E559" s="50"/>
      <c r="F559" s="50"/>
      <c r="G559" s="50"/>
      <c r="H559" s="50"/>
    </row>
    <row r="560">
      <c r="D560" s="50"/>
      <c r="E560" s="50"/>
      <c r="F560" s="50"/>
      <c r="G560" s="50"/>
      <c r="H560" s="50"/>
    </row>
    <row r="561">
      <c r="D561" s="50"/>
      <c r="E561" s="50"/>
      <c r="F561" s="50"/>
      <c r="G561" s="50"/>
      <c r="H561" s="50"/>
    </row>
    <row r="562">
      <c r="D562" s="50"/>
      <c r="E562" s="50"/>
      <c r="F562" s="50"/>
      <c r="G562" s="50"/>
      <c r="H562" s="50"/>
    </row>
    <row r="563">
      <c r="D563" s="50"/>
      <c r="E563" s="50"/>
      <c r="F563" s="50"/>
      <c r="G563" s="50"/>
      <c r="H563" s="50"/>
    </row>
    <row r="564">
      <c r="D564" s="50"/>
      <c r="E564" s="50"/>
      <c r="F564" s="50"/>
      <c r="G564" s="50"/>
      <c r="H564" s="50"/>
    </row>
    <row r="565">
      <c r="D565" s="50"/>
      <c r="E565" s="50"/>
      <c r="F565" s="50"/>
      <c r="G565" s="50"/>
      <c r="H565" s="50"/>
    </row>
    <row r="566">
      <c r="D566" s="50"/>
      <c r="E566" s="50"/>
      <c r="F566" s="50"/>
      <c r="G566" s="50"/>
      <c r="H566" s="50"/>
    </row>
    <row r="567">
      <c r="D567" s="50"/>
      <c r="E567" s="50"/>
      <c r="F567" s="50"/>
      <c r="G567" s="50"/>
      <c r="H567" s="50"/>
    </row>
    <row r="568">
      <c r="D568" s="50"/>
      <c r="E568" s="50"/>
      <c r="F568" s="50"/>
      <c r="G568" s="50"/>
      <c r="H568" s="50"/>
    </row>
    <row r="569">
      <c r="D569" s="50"/>
      <c r="E569" s="50"/>
      <c r="F569" s="50"/>
      <c r="G569" s="50"/>
      <c r="H569" s="50"/>
    </row>
    <row r="570">
      <c r="D570" s="50"/>
      <c r="E570" s="50"/>
      <c r="F570" s="50"/>
      <c r="G570" s="50"/>
      <c r="H570" s="50"/>
    </row>
    <row r="571">
      <c r="D571" s="50"/>
      <c r="E571" s="50"/>
      <c r="F571" s="50"/>
      <c r="G571" s="50"/>
      <c r="H571" s="50"/>
    </row>
    <row r="572">
      <c r="D572" s="50"/>
      <c r="E572" s="50"/>
      <c r="F572" s="50"/>
      <c r="G572" s="50"/>
      <c r="H572" s="50"/>
    </row>
    <row r="573">
      <c r="D573" s="50"/>
      <c r="E573" s="50"/>
      <c r="F573" s="50"/>
      <c r="G573" s="50"/>
      <c r="H573" s="50"/>
    </row>
    <row r="574">
      <c r="D574" s="50"/>
      <c r="E574" s="50"/>
      <c r="F574" s="50"/>
      <c r="G574" s="50"/>
      <c r="H574" s="50"/>
    </row>
    <row r="575">
      <c r="D575" s="50"/>
      <c r="E575" s="50"/>
      <c r="F575" s="50"/>
      <c r="G575" s="50"/>
      <c r="H575" s="50"/>
    </row>
    <row r="576">
      <c r="D576" s="50"/>
      <c r="E576" s="50"/>
      <c r="F576" s="50"/>
      <c r="G576" s="50"/>
      <c r="H576" s="50"/>
    </row>
    <row r="577">
      <c r="D577" s="50"/>
      <c r="E577" s="50"/>
      <c r="F577" s="50"/>
      <c r="G577" s="50"/>
      <c r="H577" s="50"/>
    </row>
    <row r="578">
      <c r="D578" s="50"/>
      <c r="E578" s="50"/>
      <c r="F578" s="50"/>
      <c r="G578" s="50"/>
      <c r="H578" s="50"/>
    </row>
    <row r="579">
      <c r="D579" s="50"/>
      <c r="E579" s="50"/>
      <c r="F579" s="50"/>
      <c r="G579" s="50"/>
      <c r="H579" s="50"/>
    </row>
    <row r="580">
      <c r="D580" s="50"/>
      <c r="E580" s="50"/>
      <c r="F580" s="50"/>
      <c r="G580" s="50"/>
      <c r="H580" s="50"/>
    </row>
    <row r="581">
      <c r="D581" s="50"/>
      <c r="E581" s="50"/>
      <c r="F581" s="50"/>
      <c r="G581" s="50"/>
      <c r="H581" s="50"/>
    </row>
    <row r="582">
      <c r="D582" s="50"/>
      <c r="E582" s="50"/>
      <c r="F582" s="50"/>
      <c r="G582" s="50"/>
      <c r="H582" s="50"/>
    </row>
    <row r="583">
      <c r="D583" s="50"/>
      <c r="E583" s="50"/>
      <c r="F583" s="50"/>
      <c r="G583" s="50"/>
      <c r="H583" s="50"/>
    </row>
    <row r="584">
      <c r="D584" s="50"/>
      <c r="E584" s="50"/>
      <c r="F584" s="50"/>
      <c r="G584" s="50"/>
      <c r="H584" s="50"/>
    </row>
    <row r="585">
      <c r="D585" s="50"/>
      <c r="E585" s="50"/>
      <c r="F585" s="50"/>
      <c r="G585" s="50"/>
      <c r="H585" s="50"/>
    </row>
    <row r="586">
      <c r="D586" s="50"/>
      <c r="E586" s="50"/>
      <c r="F586" s="50"/>
      <c r="G586" s="50"/>
      <c r="H586" s="50"/>
    </row>
    <row r="587">
      <c r="D587" s="50"/>
      <c r="E587" s="50"/>
      <c r="F587" s="50"/>
      <c r="G587" s="50"/>
      <c r="H587" s="50"/>
    </row>
    <row r="588">
      <c r="D588" s="50"/>
      <c r="E588" s="50"/>
      <c r="F588" s="50"/>
      <c r="G588" s="50"/>
      <c r="H588" s="50"/>
    </row>
    <row r="589">
      <c r="D589" s="50"/>
      <c r="E589" s="50"/>
      <c r="F589" s="50"/>
      <c r="G589" s="50"/>
      <c r="H589" s="50"/>
    </row>
    <row r="590">
      <c r="D590" s="50"/>
      <c r="E590" s="50"/>
      <c r="F590" s="50"/>
      <c r="G590" s="50"/>
      <c r="H590" s="50"/>
    </row>
    <row r="591">
      <c r="D591" s="50"/>
      <c r="E591" s="50"/>
      <c r="F591" s="50"/>
      <c r="G591" s="50"/>
      <c r="H591" s="50"/>
    </row>
    <row r="592">
      <c r="D592" s="50"/>
      <c r="E592" s="50"/>
      <c r="F592" s="50"/>
      <c r="G592" s="50"/>
      <c r="H592" s="50"/>
    </row>
    <row r="593">
      <c r="D593" s="50"/>
      <c r="E593" s="50"/>
      <c r="F593" s="50"/>
      <c r="G593" s="50"/>
      <c r="H593" s="50"/>
    </row>
    <row r="594">
      <c r="D594" s="50"/>
      <c r="E594" s="50"/>
      <c r="F594" s="50"/>
      <c r="G594" s="50"/>
      <c r="H594" s="50"/>
    </row>
    <row r="595">
      <c r="D595" s="50"/>
      <c r="E595" s="50"/>
      <c r="F595" s="50"/>
      <c r="G595" s="50"/>
      <c r="H595" s="50"/>
    </row>
    <row r="596">
      <c r="D596" s="50"/>
      <c r="E596" s="50"/>
      <c r="F596" s="50"/>
      <c r="G596" s="50"/>
      <c r="H596" s="50"/>
    </row>
    <row r="597">
      <c r="D597" s="50"/>
      <c r="E597" s="50"/>
      <c r="F597" s="50"/>
      <c r="G597" s="50"/>
      <c r="H597" s="50"/>
    </row>
    <row r="598">
      <c r="D598" s="50"/>
      <c r="E598" s="50"/>
      <c r="F598" s="50"/>
      <c r="G598" s="50"/>
      <c r="H598" s="50"/>
    </row>
    <row r="599">
      <c r="D599" s="50"/>
      <c r="E599" s="50"/>
      <c r="F599" s="50"/>
      <c r="G599" s="50"/>
      <c r="H599" s="50"/>
    </row>
    <row r="600">
      <c r="D600" s="50"/>
      <c r="E600" s="50"/>
      <c r="F600" s="50"/>
      <c r="G600" s="50"/>
      <c r="H600" s="50"/>
    </row>
    <row r="601">
      <c r="D601" s="50"/>
      <c r="E601" s="50"/>
      <c r="F601" s="50"/>
      <c r="G601" s="50"/>
      <c r="H601" s="50"/>
    </row>
    <row r="602">
      <c r="D602" s="50"/>
      <c r="E602" s="50"/>
      <c r="F602" s="50"/>
      <c r="G602" s="50"/>
      <c r="H602" s="50"/>
    </row>
    <row r="603">
      <c r="D603" s="50"/>
      <c r="E603" s="50"/>
      <c r="F603" s="50"/>
      <c r="G603" s="50"/>
      <c r="H603" s="50"/>
    </row>
    <row r="604">
      <c r="D604" s="50"/>
      <c r="E604" s="50"/>
      <c r="F604" s="50"/>
      <c r="G604" s="50"/>
      <c r="H604" s="50"/>
    </row>
    <row r="605">
      <c r="D605" s="50"/>
      <c r="E605" s="50"/>
      <c r="F605" s="50"/>
      <c r="G605" s="50"/>
      <c r="H605" s="50"/>
    </row>
    <row r="606">
      <c r="D606" s="50"/>
      <c r="E606" s="50"/>
      <c r="F606" s="50"/>
      <c r="G606" s="50"/>
      <c r="H606" s="50"/>
    </row>
    <row r="607">
      <c r="D607" s="50"/>
      <c r="E607" s="50"/>
      <c r="F607" s="50"/>
      <c r="G607" s="50"/>
      <c r="H607" s="50"/>
    </row>
    <row r="608">
      <c r="D608" s="50"/>
      <c r="E608" s="50"/>
      <c r="F608" s="50"/>
      <c r="G608" s="50"/>
      <c r="H608" s="50"/>
    </row>
    <row r="609">
      <c r="D609" s="50"/>
      <c r="E609" s="50"/>
      <c r="F609" s="50"/>
      <c r="G609" s="50"/>
      <c r="H609" s="50"/>
    </row>
    <row r="610">
      <c r="D610" s="50"/>
      <c r="E610" s="50"/>
      <c r="F610" s="50"/>
      <c r="G610" s="50"/>
      <c r="H610" s="50"/>
    </row>
    <row r="611">
      <c r="D611" s="50"/>
      <c r="E611" s="50"/>
      <c r="F611" s="50"/>
      <c r="G611" s="50"/>
      <c r="H611" s="50"/>
    </row>
    <row r="612">
      <c r="D612" s="50"/>
      <c r="E612" s="50"/>
      <c r="F612" s="50"/>
      <c r="G612" s="50"/>
      <c r="H612" s="50"/>
    </row>
    <row r="613">
      <c r="D613" s="50"/>
      <c r="E613" s="50"/>
      <c r="F613" s="50"/>
      <c r="G613" s="50"/>
      <c r="H613" s="50"/>
    </row>
    <row r="614">
      <c r="D614" s="50"/>
      <c r="E614" s="50"/>
      <c r="F614" s="50"/>
      <c r="G614" s="50"/>
      <c r="H614" s="50"/>
    </row>
    <row r="615">
      <c r="D615" s="50"/>
      <c r="E615" s="50"/>
      <c r="F615" s="50"/>
      <c r="G615" s="50"/>
      <c r="H615" s="50"/>
    </row>
    <row r="616">
      <c r="D616" s="50"/>
      <c r="E616" s="50"/>
      <c r="F616" s="50"/>
      <c r="G616" s="50"/>
      <c r="H616" s="50"/>
    </row>
    <row r="617">
      <c r="D617" s="50"/>
      <c r="E617" s="50"/>
      <c r="F617" s="50"/>
      <c r="G617" s="50"/>
      <c r="H617" s="50"/>
    </row>
    <row r="618">
      <c r="D618" s="50"/>
      <c r="E618" s="50"/>
      <c r="F618" s="50"/>
      <c r="G618" s="50"/>
      <c r="H618" s="50"/>
    </row>
    <row r="619">
      <c r="D619" s="50"/>
      <c r="E619" s="50"/>
      <c r="F619" s="50"/>
      <c r="G619" s="50"/>
      <c r="H619" s="50"/>
    </row>
    <row r="620">
      <c r="D620" s="50"/>
      <c r="E620" s="50"/>
      <c r="F620" s="50"/>
      <c r="G620" s="50"/>
      <c r="H620" s="50"/>
    </row>
    <row r="621">
      <c r="D621" s="50"/>
      <c r="E621" s="50"/>
      <c r="F621" s="50"/>
      <c r="G621" s="50"/>
      <c r="H621" s="50"/>
    </row>
    <row r="622">
      <c r="D622" s="50"/>
      <c r="E622" s="50"/>
      <c r="F622" s="50"/>
      <c r="G622" s="50"/>
      <c r="H622" s="50"/>
    </row>
    <row r="623">
      <c r="D623" s="50"/>
      <c r="E623" s="50"/>
      <c r="F623" s="50"/>
      <c r="G623" s="50"/>
      <c r="H623" s="50"/>
    </row>
    <row r="624">
      <c r="D624" s="50"/>
      <c r="E624" s="50"/>
      <c r="F624" s="50"/>
      <c r="G624" s="50"/>
      <c r="H624" s="50"/>
    </row>
    <row r="625">
      <c r="D625" s="50"/>
      <c r="E625" s="50"/>
      <c r="F625" s="50"/>
      <c r="G625" s="50"/>
      <c r="H625" s="50"/>
    </row>
    <row r="626">
      <c r="D626" s="50"/>
      <c r="E626" s="50"/>
      <c r="F626" s="50"/>
      <c r="G626" s="50"/>
      <c r="H626" s="50"/>
    </row>
    <row r="627">
      <c r="D627" s="50"/>
      <c r="E627" s="50"/>
      <c r="F627" s="50"/>
      <c r="G627" s="50"/>
      <c r="H627" s="50"/>
    </row>
    <row r="628">
      <c r="D628" s="50"/>
      <c r="E628" s="50"/>
      <c r="F628" s="50"/>
      <c r="G628" s="50"/>
      <c r="H628" s="50"/>
    </row>
    <row r="629">
      <c r="D629" s="50"/>
      <c r="E629" s="50"/>
      <c r="F629" s="50"/>
      <c r="G629" s="50"/>
      <c r="H629" s="50"/>
    </row>
    <row r="630">
      <c r="D630" s="50"/>
      <c r="E630" s="50"/>
      <c r="F630" s="50"/>
      <c r="G630" s="50"/>
      <c r="H630" s="50"/>
    </row>
    <row r="631">
      <c r="D631" s="50"/>
      <c r="E631" s="50"/>
      <c r="F631" s="50"/>
      <c r="G631" s="50"/>
      <c r="H631" s="50"/>
    </row>
    <row r="632">
      <c r="D632" s="50"/>
      <c r="E632" s="50"/>
      <c r="F632" s="50"/>
      <c r="G632" s="50"/>
      <c r="H632" s="50"/>
    </row>
    <row r="633">
      <c r="D633" s="50"/>
      <c r="E633" s="50"/>
      <c r="F633" s="50"/>
      <c r="G633" s="50"/>
      <c r="H633" s="50"/>
    </row>
    <row r="634">
      <c r="D634" s="50"/>
      <c r="E634" s="50"/>
      <c r="F634" s="50"/>
      <c r="G634" s="50"/>
      <c r="H634" s="50"/>
    </row>
    <row r="635">
      <c r="D635" s="50"/>
      <c r="E635" s="50"/>
      <c r="F635" s="50"/>
      <c r="G635" s="50"/>
      <c r="H635" s="50"/>
    </row>
    <row r="636">
      <c r="D636" s="50"/>
      <c r="E636" s="50"/>
      <c r="F636" s="50"/>
      <c r="G636" s="50"/>
      <c r="H636" s="50"/>
    </row>
    <row r="637">
      <c r="D637" s="50"/>
      <c r="E637" s="50"/>
      <c r="F637" s="50"/>
      <c r="G637" s="50"/>
      <c r="H637" s="50"/>
    </row>
    <row r="638">
      <c r="D638" s="50"/>
      <c r="E638" s="50"/>
      <c r="F638" s="50"/>
      <c r="G638" s="50"/>
      <c r="H638" s="50"/>
    </row>
    <row r="639">
      <c r="D639" s="50"/>
      <c r="E639" s="50"/>
      <c r="F639" s="50"/>
      <c r="G639" s="50"/>
      <c r="H639" s="50"/>
    </row>
    <row r="640">
      <c r="D640" s="50"/>
      <c r="E640" s="50"/>
      <c r="F640" s="50"/>
      <c r="G640" s="50"/>
      <c r="H640" s="50"/>
    </row>
    <row r="641">
      <c r="D641" s="50"/>
      <c r="E641" s="50"/>
      <c r="F641" s="50"/>
      <c r="G641" s="50"/>
      <c r="H641" s="50"/>
    </row>
    <row r="642">
      <c r="D642" s="50"/>
      <c r="E642" s="50"/>
      <c r="F642" s="50"/>
      <c r="G642" s="50"/>
      <c r="H642" s="50"/>
    </row>
    <row r="643">
      <c r="D643" s="50"/>
      <c r="E643" s="50"/>
      <c r="F643" s="50"/>
      <c r="G643" s="50"/>
      <c r="H643" s="50"/>
    </row>
    <row r="644">
      <c r="D644" s="50"/>
      <c r="E644" s="50"/>
      <c r="F644" s="50"/>
      <c r="G644" s="50"/>
      <c r="H644" s="50"/>
    </row>
    <row r="645">
      <c r="D645" s="50"/>
      <c r="E645" s="50"/>
      <c r="F645" s="50"/>
      <c r="G645" s="50"/>
      <c r="H645" s="50"/>
    </row>
    <row r="646">
      <c r="D646" s="50"/>
      <c r="E646" s="50"/>
      <c r="F646" s="50"/>
      <c r="G646" s="50"/>
      <c r="H646" s="50"/>
    </row>
    <row r="647">
      <c r="D647" s="50"/>
      <c r="E647" s="50"/>
      <c r="F647" s="50"/>
      <c r="G647" s="50"/>
      <c r="H647" s="50"/>
    </row>
    <row r="648">
      <c r="D648" s="50"/>
      <c r="E648" s="50"/>
      <c r="F648" s="50"/>
      <c r="G648" s="50"/>
      <c r="H648" s="50"/>
    </row>
    <row r="649">
      <c r="D649" s="50"/>
      <c r="E649" s="50"/>
      <c r="F649" s="50"/>
      <c r="G649" s="50"/>
      <c r="H649" s="50"/>
    </row>
    <row r="650">
      <c r="D650" s="50"/>
      <c r="E650" s="50"/>
      <c r="F650" s="50"/>
      <c r="G650" s="50"/>
      <c r="H650" s="50"/>
    </row>
    <row r="651">
      <c r="D651" s="50"/>
      <c r="E651" s="50"/>
      <c r="F651" s="50"/>
      <c r="G651" s="50"/>
      <c r="H651" s="50"/>
    </row>
    <row r="652">
      <c r="D652" s="50"/>
      <c r="E652" s="50"/>
      <c r="F652" s="50"/>
      <c r="G652" s="50"/>
      <c r="H652" s="50"/>
    </row>
    <row r="653">
      <c r="D653" s="50"/>
      <c r="E653" s="50"/>
      <c r="F653" s="50"/>
      <c r="G653" s="50"/>
      <c r="H653" s="50"/>
    </row>
    <row r="654">
      <c r="D654" s="50"/>
      <c r="E654" s="50"/>
      <c r="F654" s="50"/>
      <c r="G654" s="50"/>
      <c r="H654" s="50"/>
    </row>
    <row r="655">
      <c r="D655" s="50"/>
      <c r="E655" s="50"/>
      <c r="F655" s="50"/>
      <c r="G655" s="50"/>
      <c r="H655" s="50"/>
    </row>
    <row r="656">
      <c r="D656" s="50"/>
      <c r="E656" s="50"/>
      <c r="F656" s="50"/>
      <c r="G656" s="50"/>
      <c r="H656" s="50"/>
    </row>
    <row r="657">
      <c r="D657" s="50"/>
      <c r="E657" s="50"/>
      <c r="F657" s="50"/>
      <c r="G657" s="50"/>
      <c r="H657" s="50"/>
    </row>
    <row r="658">
      <c r="D658" s="50"/>
      <c r="E658" s="50"/>
      <c r="F658" s="50"/>
      <c r="G658" s="50"/>
      <c r="H658" s="50"/>
    </row>
    <row r="659">
      <c r="D659" s="50"/>
      <c r="E659" s="50"/>
      <c r="F659" s="50"/>
      <c r="G659" s="50"/>
      <c r="H659" s="50"/>
    </row>
    <row r="660">
      <c r="D660" s="50"/>
      <c r="E660" s="50"/>
      <c r="F660" s="50"/>
      <c r="G660" s="50"/>
      <c r="H660" s="50"/>
    </row>
    <row r="661">
      <c r="D661" s="50"/>
      <c r="E661" s="50"/>
      <c r="F661" s="50"/>
      <c r="G661" s="50"/>
      <c r="H661" s="50"/>
    </row>
    <row r="662">
      <c r="D662" s="50"/>
      <c r="E662" s="50"/>
      <c r="F662" s="50"/>
      <c r="G662" s="50"/>
      <c r="H662" s="50"/>
    </row>
    <row r="663">
      <c r="D663" s="50"/>
      <c r="E663" s="50"/>
      <c r="F663" s="50"/>
      <c r="G663" s="50"/>
      <c r="H663" s="50"/>
    </row>
    <row r="664">
      <c r="D664" s="50"/>
      <c r="E664" s="50"/>
      <c r="F664" s="50"/>
      <c r="G664" s="50"/>
      <c r="H664" s="50"/>
    </row>
    <row r="665">
      <c r="D665" s="50"/>
      <c r="E665" s="50"/>
      <c r="F665" s="50"/>
      <c r="G665" s="50"/>
      <c r="H665" s="50"/>
    </row>
    <row r="666">
      <c r="D666" s="50"/>
      <c r="E666" s="50"/>
      <c r="F666" s="50"/>
      <c r="G666" s="50"/>
      <c r="H666" s="50"/>
    </row>
    <row r="667">
      <c r="D667" s="50"/>
      <c r="E667" s="50"/>
      <c r="F667" s="50"/>
      <c r="G667" s="50"/>
      <c r="H667" s="50"/>
    </row>
    <row r="668">
      <c r="D668" s="50"/>
      <c r="E668" s="50"/>
      <c r="F668" s="50"/>
      <c r="G668" s="50"/>
      <c r="H668" s="50"/>
    </row>
    <row r="669">
      <c r="D669" s="50"/>
      <c r="E669" s="50"/>
      <c r="F669" s="50"/>
      <c r="G669" s="50"/>
      <c r="H669" s="50"/>
    </row>
    <row r="670">
      <c r="D670" s="50"/>
      <c r="E670" s="50"/>
      <c r="F670" s="50"/>
      <c r="G670" s="50"/>
      <c r="H670" s="50"/>
    </row>
    <row r="671">
      <c r="D671" s="50"/>
      <c r="E671" s="50"/>
      <c r="F671" s="50"/>
      <c r="G671" s="50"/>
      <c r="H671" s="50"/>
    </row>
    <row r="672">
      <c r="D672" s="50"/>
      <c r="E672" s="50"/>
      <c r="F672" s="50"/>
      <c r="G672" s="50"/>
      <c r="H672" s="50"/>
    </row>
    <row r="673">
      <c r="D673" s="50"/>
      <c r="E673" s="50"/>
      <c r="F673" s="50"/>
      <c r="G673" s="50"/>
      <c r="H673" s="50"/>
    </row>
    <row r="674">
      <c r="D674" s="50"/>
      <c r="E674" s="50"/>
      <c r="F674" s="50"/>
      <c r="G674" s="50"/>
      <c r="H674" s="50"/>
    </row>
    <row r="675">
      <c r="D675" s="50"/>
      <c r="E675" s="50"/>
      <c r="F675" s="50"/>
      <c r="G675" s="50"/>
      <c r="H675" s="50"/>
    </row>
    <row r="676">
      <c r="D676" s="50"/>
      <c r="E676" s="50"/>
      <c r="F676" s="50"/>
      <c r="G676" s="50"/>
      <c r="H676" s="50"/>
    </row>
    <row r="677">
      <c r="D677" s="50"/>
      <c r="E677" s="50"/>
      <c r="F677" s="50"/>
      <c r="G677" s="50"/>
      <c r="H677" s="50"/>
    </row>
    <row r="678">
      <c r="D678" s="50"/>
      <c r="E678" s="50"/>
      <c r="F678" s="50"/>
      <c r="G678" s="50"/>
      <c r="H678" s="50"/>
    </row>
    <row r="679">
      <c r="D679" s="50"/>
      <c r="E679" s="50"/>
      <c r="F679" s="50"/>
      <c r="G679" s="50"/>
      <c r="H679" s="50"/>
    </row>
    <row r="680">
      <c r="D680" s="50"/>
      <c r="E680" s="50"/>
      <c r="F680" s="50"/>
      <c r="G680" s="50"/>
      <c r="H680" s="50"/>
    </row>
    <row r="681">
      <c r="D681" s="50"/>
      <c r="E681" s="50"/>
      <c r="F681" s="50"/>
      <c r="G681" s="50"/>
      <c r="H681" s="50"/>
    </row>
    <row r="682">
      <c r="D682" s="50"/>
      <c r="E682" s="50"/>
      <c r="F682" s="50"/>
      <c r="G682" s="50"/>
      <c r="H682" s="50"/>
    </row>
    <row r="683">
      <c r="D683" s="50"/>
      <c r="E683" s="50"/>
      <c r="F683" s="50"/>
      <c r="G683" s="50"/>
      <c r="H683" s="50"/>
    </row>
    <row r="684">
      <c r="D684" s="50"/>
      <c r="E684" s="50"/>
      <c r="F684" s="50"/>
      <c r="G684" s="50"/>
      <c r="H684" s="50"/>
    </row>
    <row r="685">
      <c r="D685" s="50"/>
      <c r="E685" s="50"/>
      <c r="F685" s="50"/>
      <c r="G685" s="50"/>
      <c r="H685" s="50"/>
    </row>
    <row r="686">
      <c r="D686" s="50"/>
      <c r="E686" s="50"/>
      <c r="F686" s="50"/>
      <c r="G686" s="50"/>
      <c r="H686" s="50"/>
    </row>
    <row r="687">
      <c r="D687" s="50"/>
      <c r="E687" s="50"/>
      <c r="F687" s="50"/>
      <c r="G687" s="50"/>
      <c r="H687" s="50"/>
    </row>
    <row r="688">
      <c r="D688" s="50"/>
      <c r="E688" s="50"/>
      <c r="F688" s="50"/>
      <c r="G688" s="50"/>
      <c r="H688" s="50"/>
    </row>
    <row r="689">
      <c r="D689" s="50"/>
      <c r="E689" s="50"/>
      <c r="F689" s="50"/>
      <c r="G689" s="50"/>
      <c r="H689" s="50"/>
    </row>
    <row r="690">
      <c r="D690" s="50"/>
      <c r="E690" s="50"/>
      <c r="F690" s="50"/>
      <c r="G690" s="50"/>
      <c r="H690" s="50"/>
    </row>
    <row r="691">
      <c r="D691" s="50"/>
      <c r="E691" s="50"/>
      <c r="F691" s="50"/>
      <c r="G691" s="50"/>
      <c r="H691" s="50"/>
    </row>
    <row r="692">
      <c r="D692" s="50"/>
      <c r="E692" s="50"/>
      <c r="F692" s="50"/>
      <c r="G692" s="50"/>
      <c r="H692" s="50"/>
    </row>
    <row r="693">
      <c r="D693" s="50"/>
      <c r="E693" s="50"/>
      <c r="F693" s="50"/>
      <c r="G693" s="50"/>
      <c r="H693" s="50"/>
    </row>
    <row r="694">
      <c r="D694" s="50"/>
      <c r="E694" s="50"/>
      <c r="F694" s="50"/>
      <c r="G694" s="50"/>
      <c r="H694" s="50"/>
    </row>
    <row r="695">
      <c r="D695" s="50"/>
      <c r="E695" s="50"/>
      <c r="F695" s="50"/>
      <c r="G695" s="50"/>
      <c r="H695" s="50"/>
    </row>
    <row r="696">
      <c r="D696" s="50"/>
      <c r="E696" s="50"/>
      <c r="F696" s="50"/>
      <c r="G696" s="50"/>
      <c r="H696" s="50"/>
    </row>
    <row r="697">
      <c r="D697" s="50"/>
      <c r="E697" s="50"/>
      <c r="F697" s="50"/>
      <c r="G697" s="50"/>
      <c r="H697" s="50"/>
    </row>
    <row r="698">
      <c r="D698" s="50"/>
      <c r="E698" s="50"/>
      <c r="F698" s="50"/>
      <c r="G698" s="50"/>
      <c r="H698" s="50"/>
    </row>
    <row r="699">
      <c r="D699" s="50"/>
      <c r="E699" s="50"/>
      <c r="F699" s="50"/>
      <c r="G699" s="50"/>
      <c r="H699" s="50"/>
    </row>
    <row r="700">
      <c r="D700" s="50"/>
      <c r="E700" s="50"/>
      <c r="F700" s="50"/>
      <c r="G700" s="50"/>
      <c r="H700" s="50"/>
    </row>
    <row r="701">
      <c r="D701" s="50"/>
      <c r="E701" s="50"/>
      <c r="F701" s="50"/>
      <c r="G701" s="50"/>
      <c r="H701" s="50"/>
    </row>
    <row r="702">
      <c r="D702" s="50"/>
      <c r="E702" s="50"/>
      <c r="F702" s="50"/>
      <c r="G702" s="50"/>
      <c r="H702" s="50"/>
    </row>
    <row r="703">
      <c r="D703" s="50"/>
      <c r="E703" s="50"/>
      <c r="F703" s="50"/>
      <c r="G703" s="50"/>
      <c r="H703" s="50"/>
    </row>
    <row r="704">
      <c r="D704" s="50"/>
      <c r="E704" s="50"/>
      <c r="F704" s="50"/>
      <c r="G704" s="50"/>
      <c r="H704" s="50"/>
    </row>
    <row r="705">
      <c r="D705" s="50"/>
      <c r="E705" s="50"/>
      <c r="F705" s="50"/>
      <c r="G705" s="50"/>
      <c r="H705" s="50"/>
    </row>
    <row r="706">
      <c r="D706" s="50"/>
      <c r="E706" s="50"/>
      <c r="F706" s="50"/>
      <c r="G706" s="50"/>
      <c r="H706" s="50"/>
    </row>
    <row r="707">
      <c r="D707" s="50"/>
      <c r="E707" s="50"/>
      <c r="F707" s="50"/>
      <c r="G707" s="50"/>
      <c r="H707" s="50"/>
    </row>
    <row r="708">
      <c r="D708" s="50"/>
      <c r="E708" s="50"/>
      <c r="F708" s="50"/>
      <c r="G708" s="50"/>
      <c r="H708" s="50"/>
    </row>
    <row r="709">
      <c r="D709" s="50"/>
      <c r="E709" s="50"/>
      <c r="F709" s="50"/>
      <c r="G709" s="50"/>
      <c r="H709" s="50"/>
    </row>
    <row r="710">
      <c r="D710" s="50"/>
      <c r="E710" s="50"/>
      <c r="F710" s="50"/>
      <c r="G710" s="50"/>
      <c r="H710" s="50"/>
    </row>
    <row r="711">
      <c r="D711" s="50"/>
      <c r="E711" s="50"/>
      <c r="F711" s="50"/>
      <c r="G711" s="50"/>
      <c r="H711" s="50"/>
    </row>
    <row r="712">
      <c r="D712" s="50"/>
      <c r="E712" s="50"/>
      <c r="F712" s="50"/>
      <c r="G712" s="50"/>
      <c r="H712" s="50"/>
    </row>
    <row r="713">
      <c r="D713" s="50"/>
      <c r="E713" s="50"/>
      <c r="F713" s="50"/>
      <c r="G713" s="50"/>
      <c r="H713" s="50"/>
    </row>
    <row r="714">
      <c r="D714" s="50"/>
      <c r="E714" s="50"/>
      <c r="F714" s="50"/>
      <c r="G714" s="50"/>
      <c r="H714" s="50"/>
    </row>
    <row r="715">
      <c r="D715" s="50"/>
      <c r="E715" s="50"/>
      <c r="F715" s="50"/>
      <c r="G715" s="50"/>
      <c r="H715" s="50"/>
    </row>
    <row r="716">
      <c r="D716" s="50"/>
      <c r="E716" s="50"/>
      <c r="F716" s="50"/>
      <c r="G716" s="50"/>
      <c r="H716" s="50"/>
    </row>
    <row r="717">
      <c r="D717" s="50"/>
      <c r="E717" s="50"/>
      <c r="F717" s="50"/>
      <c r="G717" s="50"/>
      <c r="H717" s="50"/>
    </row>
    <row r="718">
      <c r="D718" s="50"/>
      <c r="E718" s="50"/>
      <c r="F718" s="50"/>
      <c r="G718" s="50"/>
      <c r="H718" s="50"/>
    </row>
    <row r="719">
      <c r="D719" s="50"/>
      <c r="E719" s="50"/>
      <c r="F719" s="50"/>
      <c r="G719" s="50"/>
      <c r="H719" s="50"/>
    </row>
    <row r="720">
      <c r="D720" s="50"/>
      <c r="E720" s="50"/>
      <c r="F720" s="50"/>
      <c r="G720" s="50"/>
      <c r="H720" s="50"/>
    </row>
    <row r="721">
      <c r="D721" s="50"/>
      <c r="E721" s="50"/>
      <c r="F721" s="50"/>
      <c r="G721" s="50"/>
      <c r="H721" s="50"/>
    </row>
    <row r="722">
      <c r="D722" s="50"/>
      <c r="E722" s="50"/>
      <c r="F722" s="50"/>
      <c r="G722" s="50"/>
      <c r="H722" s="50"/>
    </row>
    <row r="723">
      <c r="D723" s="50"/>
      <c r="E723" s="50"/>
      <c r="F723" s="50"/>
      <c r="G723" s="50"/>
      <c r="H723" s="50"/>
    </row>
    <row r="724">
      <c r="D724" s="50"/>
      <c r="E724" s="50"/>
      <c r="F724" s="50"/>
      <c r="G724" s="50"/>
      <c r="H724" s="50"/>
    </row>
    <row r="725">
      <c r="D725" s="50"/>
      <c r="E725" s="50"/>
      <c r="F725" s="50"/>
      <c r="G725" s="50"/>
      <c r="H725" s="50"/>
    </row>
    <row r="726">
      <c r="D726" s="50"/>
      <c r="E726" s="50"/>
      <c r="F726" s="50"/>
      <c r="G726" s="50"/>
      <c r="H726" s="50"/>
    </row>
    <row r="727">
      <c r="D727" s="50"/>
      <c r="E727" s="50"/>
      <c r="F727" s="50"/>
      <c r="G727" s="50"/>
      <c r="H727" s="50"/>
    </row>
    <row r="728">
      <c r="D728" s="50"/>
      <c r="E728" s="50"/>
      <c r="F728" s="50"/>
      <c r="G728" s="50"/>
      <c r="H728" s="50"/>
    </row>
    <row r="729">
      <c r="D729" s="50"/>
      <c r="E729" s="50"/>
      <c r="F729" s="50"/>
      <c r="G729" s="50"/>
      <c r="H729" s="50"/>
    </row>
    <row r="730">
      <c r="D730" s="50"/>
      <c r="E730" s="50"/>
      <c r="F730" s="50"/>
      <c r="G730" s="50"/>
      <c r="H730" s="50"/>
    </row>
    <row r="731">
      <c r="D731" s="50"/>
      <c r="E731" s="50"/>
      <c r="F731" s="50"/>
      <c r="G731" s="50"/>
      <c r="H731" s="50"/>
    </row>
    <row r="732">
      <c r="D732" s="50"/>
      <c r="E732" s="50"/>
      <c r="F732" s="50"/>
      <c r="G732" s="50"/>
      <c r="H732" s="50"/>
    </row>
    <row r="733">
      <c r="D733" s="50"/>
      <c r="E733" s="50"/>
      <c r="F733" s="50"/>
      <c r="G733" s="50"/>
      <c r="H733" s="50"/>
    </row>
    <row r="734">
      <c r="D734" s="50"/>
      <c r="E734" s="50"/>
      <c r="F734" s="50"/>
      <c r="G734" s="50"/>
      <c r="H734" s="50"/>
    </row>
    <row r="735">
      <c r="D735" s="50"/>
      <c r="E735" s="50"/>
      <c r="F735" s="50"/>
      <c r="G735" s="50"/>
      <c r="H735" s="50"/>
    </row>
    <row r="736">
      <c r="D736" s="50"/>
      <c r="E736" s="50"/>
      <c r="F736" s="50"/>
      <c r="G736" s="50"/>
      <c r="H736" s="50"/>
    </row>
    <row r="737">
      <c r="D737" s="50"/>
      <c r="E737" s="50"/>
      <c r="F737" s="50"/>
      <c r="G737" s="50"/>
      <c r="H737" s="50"/>
    </row>
    <row r="738">
      <c r="D738" s="50"/>
      <c r="E738" s="50"/>
      <c r="F738" s="50"/>
      <c r="G738" s="50"/>
      <c r="H738" s="50"/>
    </row>
    <row r="739">
      <c r="D739" s="50"/>
      <c r="E739" s="50"/>
      <c r="F739" s="50"/>
      <c r="G739" s="50"/>
      <c r="H739" s="50"/>
    </row>
    <row r="740">
      <c r="D740" s="50"/>
      <c r="E740" s="50"/>
      <c r="F740" s="50"/>
      <c r="G740" s="50"/>
      <c r="H740" s="50"/>
    </row>
    <row r="741">
      <c r="D741" s="50"/>
      <c r="E741" s="50"/>
      <c r="F741" s="50"/>
      <c r="G741" s="50"/>
      <c r="H741" s="50"/>
    </row>
    <row r="742">
      <c r="D742" s="50"/>
      <c r="E742" s="50"/>
      <c r="F742" s="50"/>
      <c r="G742" s="50"/>
      <c r="H742" s="50"/>
    </row>
    <row r="743">
      <c r="D743" s="50"/>
      <c r="E743" s="50"/>
      <c r="F743" s="50"/>
      <c r="G743" s="50"/>
      <c r="H743" s="50"/>
    </row>
    <row r="744">
      <c r="D744" s="50"/>
      <c r="E744" s="50"/>
      <c r="F744" s="50"/>
      <c r="G744" s="50"/>
      <c r="H744" s="50"/>
    </row>
    <row r="745">
      <c r="D745" s="50"/>
      <c r="E745" s="50"/>
      <c r="F745" s="50"/>
      <c r="G745" s="50"/>
      <c r="H745" s="50"/>
    </row>
    <row r="746">
      <c r="D746" s="50"/>
      <c r="E746" s="50"/>
      <c r="F746" s="50"/>
      <c r="G746" s="50"/>
      <c r="H746" s="50"/>
    </row>
    <row r="747">
      <c r="D747" s="50"/>
      <c r="E747" s="50"/>
      <c r="F747" s="50"/>
      <c r="G747" s="50"/>
      <c r="H747" s="50"/>
    </row>
    <row r="748">
      <c r="D748" s="50"/>
      <c r="E748" s="50"/>
      <c r="F748" s="50"/>
      <c r="G748" s="50"/>
      <c r="H748" s="50"/>
    </row>
    <row r="749">
      <c r="D749" s="50"/>
      <c r="E749" s="50"/>
      <c r="F749" s="50"/>
      <c r="G749" s="50"/>
      <c r="H749" s="50"/>
    </row>
    <row r="750">
      <c r="D750" s="50"/>
      <c r="E750" s="50"/>
      <c r="F750" s="50"/>
      <c r="G750" s="50"/>
      <c r="H750" s="50"/>
    </row>
    <row r="751">
      <c r="D751" s="50"/>
      <c r="E751" s="50"/>
      <c r="F751" s="50"/>
      <c r="G751" s="50"/>
      <c r="H751" s="50"/>
    </row>
    <row r="752">
      <c r="D752" s="50"/>
      <c r="E752" s="50"/>
      <c r="F752" s="50"/>
      <c r="G752" s="50"/>
      <c r="H752" s="50"/>
    </row>
    <row r="753">
      <c r="D753" s="50"/>
      <c r="E753" s="50"/>
      <c r="F753" s="50"/>
      <c r="G753" s="50"/>
      <c r="H753" s="50"/>
    </row>
    <row r="754">
      <c r="D754" s="50"/>
      <c r="E754" s="50"/>
      <c r="F754" s="50"/>
      <c r="G754" s="50"/>
      <c r="H754" s="50"/>
    </row>
    <row r="755">
      <c r="D755" s="50"/>
      <c r="E755" s="50"/>
      <c r="F755" s="50"/>
      <c r="G755" s="50"/>
      <c r="H755" s="50"/>
    </row>
    <row r="756">
      <c r="D756" s="50"/>
      <c r="E756" s="50"/>
      <c r="F756" s="50"/>
      <c r="G756" s="50"/>
      <c r="H756" s="50"/>
    </row>
    <row r="757">
      <c r="D757" s="50"/>
      <c r="E757" s="50"/>
      <c r="F757" s="50"/>
      <c r="G757" s="50"/>
      <c r="H757" s="50"/>
    </row>
    <row r="758">
      <c r="D758" s="50"/>
      <c r="E758" s="50"/>
      <c r="F758" s="50"/>
      <c r="G758" s="50"/>
      <c r="H758" s="50"/>
    </row>
    <row r="759">
      <c r="D759" s="50"/>
      <c r="E759" s="50"/>
      <c r="F759" s="50"/>
      <c r="G759" s="50"/>
      <c r="H759" s="50"/>
    </row>
    <row r="760">
      <c r="D760" s="50"/>
      <c r="E760" s="50"/>
      <c r="F760" s="50"/>
      <c r="G760" s="50"/>
      <c r="H760" s="50"/>
    </row>
    <row r="761">
      <c r="D761" s="50"/>
      <c r="E761" s="50"/>
      <c r="F761" s="50"/>
      <c r="G761" s="50"/>
      <c r="H761" s="50"/>
    </row>
    <row r="762">
      <c r="D762" s="50"/>
      <c r="E762" s="50"/>
      <c r="F762" s="50"/>
      <c r="G762" s="50"/>
      <c r="H762" s="50"/>
    </row>
    <row r="763">
      <c r="D763" s="50"/>
      <c r="E763" s="50"/>
      <c r="F763" s="50"/>
      <c r="G763" s="50"/>
      <c r="H763" s="50"/>
    </row>
    <row r="764">
      <c r="D764" s="50"/>
      <c r="E764" s="50"/>
      <c r="F764" s="50"/>
      <c r="G764" s="50"/>
      <c r="H764" s="50"/>
    </row>
    <row r="765">
      <c r="D765" s="50"/>
      <c r="E765" s="50"/>
      <c r="F765" s="50"/>
      <c r="G765" s="50"/>
      <c r="H765" s="50"/>
    </row>
    <row r="766">
      <c r="D766" s="50"/>
      <c r="E766" s="50"/>
      <c r="F766" s="50"/>
      <c r="G766" s="50"/>
      <c r="H766" s="50"/>
    </row>
    <row r="767">
      <c r="D767" s="50"/>
      <c r="E767" s="50"/>
      <c r="F767" s="50"/>
      <c r="G767" s="50"/>
      <c r="H767" s="50"/>
    </row>
    <row r="768">
      <c r="D768" s="50"/>
      <c r="E768" s="50"/>
      <c r="F768" s="50"/>
      <c r="G768" s="50"/>
      <c r="H768" s="50"/>
    </row>
    <row r="769">
      <c r="D769" s="50"/>
      <c r="E769" s="50"/>
      <c r="F769" s="50"/>
      <c r="G769" s="50"/>
      <c r="H769" s="50"/>
    </row>
    <row r="770">
      <c r="D770" s="50"/>
      <c r="E770" s="50"/>
      <c r="F770" s="50"/>
      <c r="G770" s="50"/>
      <c r="H770" s="50"/>
    </row>
    <row r="771">
      <c r="D771" s="50"/>
      <c r="E771" s="50"/>
      <c r="F771" s="50"/>
      <c r="G771" s="50"/>
      <c r="H771" s="50"/>
    </row>
    <row r="772">
      <c r="D772" s="50"/>
      <c r="E772" s="50"/>
      <c r="F772" s="50"/>
      <c r="G772" s="50"/>
      <c r="H772" s="50"/>
    </row>
    <row r="773">
      <c r="D773" s="50"/>
      <c r="E773" s="50"/>
      <c r="F773" s="50"/>
      <c r="G773" s="50"/>
      <c r="H773" s="50"/>
    </row>
    <row r="774">
      <c r="D774" s="50"/>
      <c r="E774" s="50"/>
      <c r="F774" s="50"/>
      <c r="G774" s="50"/>
      <c r="H774" s="50"/>
    </row>
    <row r="775">
      <c r="D775" s="50"/>
      <c r="E775" s="50"/>
      <c r="F775" s="50"/>
      <c r="G775" s="50"/>
      <c r="H775" s="50"/>
    </row>
    <row r="776">
      <c r="D776" s="50"/>
      <c r="E776" s="50"/>
      <c r="F776" s="50"/>
      <c r="G776" s="50"/>
      <c r="H776" s="50"/>
    </row>
    <row r="777">
      <c r="D777" s="50"/>
      <c r="E777" s="50"/>
      <c r="F777" s="50"/>
      <c r="G777" s="50"/>
      <c r="H777" s="50"/>
    </row>
    <row r="778">
      <c r="D778" s="50"/>
      <c r="E778" s="50"/>
      <c r="F778" s="50"/>
      <c r="G778" s="50"/>
      <c r="H778" s="50"/>
    </row>
    <row r="779">
      <c r="D779" s="50"/>
      <c r="E779" s="50"/>
      <c r="F779" s="50"/>
      <c r="G779" s="50"/>
      <c r="H779" s="50"/>
    </row>
    <row r="780">
      <c r="D780" s="50"/>
      <c r="E780" s="50"/>
      <c r="F780" s="50"/>
      <c r="G780" s="50"/>
      <c r="H780" s="50"/>
    </row>
    <row r="781">
      <c r="D781" s="50"/>
      <c r="E781" s="50"/>
      <c r="F781" s="50"/>
      <c r="G781" s="50"/>
      <c r="H781" s="50"/>
    </row>
    <row r="782">
      <c r="D782" s="50"/>
      <c r="E782" s="50"/>
      <c r="F782" s="50"/>
      <c r="G782" s="50"/>
      <c r="H782" s="50"/>
    </row>
    <row r="783">
      <c r="D783" s="50"/>
      <c r="E783" s="50"/>
      <c r="F783" s="50"/>
      <c r="G783" s="50"/>
      <c r="H783" s="50"/>
    </row>
    <row r="784">
      <c r="D784" s="50"/>
      <c r="E784" s="50"/>
      <c r="F784" s="50"/>
      <c r="G784" s="50"/>
      <c r="H784" s="50"/>
    </row>
    <row r="785">
      <c r="D785" s="50"/>
      <c r="E785" s="50"/>
      <c r="F785" s="50"/>
      <c r="G785" s="50"/>
      <c r="H785" s="50"/>
    </row>
    <row r="786">
      <c r="D786" s="50"/>
      <c r="E786" s="50"/>
      <c r="F786" s="50"/>
      <c r="G786" s="50"/>
      <c r="H786" s="50"/>
    </row>
    <row r="787">
      <c r="D787" s="50"/>
      <c r="E787" s="50"/>
      <c r="F787" s="50"/>
      <c r="G787" s="50"/>
      <c r="H787" s="50"/>
    </row>
    <row r="788">
      <c r="D788" s="50"/>
      <c r="E788" s="50"/>
      <c r="F788" s="50"/>
      <c r="G788" s="50"/>
      <c r="H788" s="50"/>
    </row>
    <row r="789">
      <c r="D789" s="50"/>
      <c r="E789" s="50"/>
      <c r="F789" s="50"/>
      <c r="G789" s="50"/>
      <c r="H789" s="50"/>
    </row>
    <row r="790">
      <c r="D790" s="50"/>
      <c r="E790" s="50"/>
      <c r="F790" s="50"/>
      <c r="G790" s="50"/>
      <c r="H790" s="50"/>
    </row>
    <row r="791">
      <c r="D791" s="50"/>
      <c r="E791" s="50"/>
      <c r="F791" s="50"/>
      <c r="G791" s="50"/>
      <c r="H791" s="50"/>
    </row>
    <row r="792">
      <c r="D792" s="50"/>
      <c r="E792" s="50"/>
      <c r="F792" s="50"/>
      <c r="G792" s="50"/>
      <c r="H792" s="50"/>
    </row>
    <row r="793">
      <c r="D793" s="50"/>
      <c r="E793" s="50"/>
      <c r="F793" s="50"/>
      <c r="G793" s="50"/>
      <c r="H793" s="50"/>
    </row>
    <row r="794">
      <c r="D794" s="50"/>
      <c r="E794" s="50"/>
      <c r="F794" s="50"/>
      <c r="G794" s="50"/>
      <c r="H794" s="50"/>
    </row>
    <row r="795">
      <c r="D795" s="50"/>
      <c r="E795" s="50"/>
      <c r="F795" s="50"/>
      <c r="G795" s="50"/>
      <c r="H795" s="50"/>
    </row>
    <row r="796">
      <c r="D796" s="50"/>
      <c r="E796" s="50"/>
      <c r="F796" s="50"/>
      <c r="G796" s="50"/>
      <c r="H796" s="50"/>
    </row>
    <row r="797">
      <c r="D797" s="50"/>
      <c r="E797" s="50"/>
      <c r="F797" s="50"/>
      <c r="G797" s="50"/>
      <c r="H797" s="50"/>
    </row>
    <row r="798">
      <c r="D798" s="50"/>
      <c r="E798" s="50"/>
      <c r="F798" s="50"/>
      <c r="G798" s="50"/>
      <c r="H798" s="50"/>
    </row>
    <row r="799">
      <c r="D799" s="50"/>
      <c r="E799" s="50"/>
      <c r="F799" s="50"/>
      <c r="G799" s="50"/>
      <c r="H799" s="50"/>
    </row>
    <row r="800">
      <c r="D800" s="50"/>
      <c r="E800" s="50"/>
      <c r="F800" s="50"/>
      <c r="G800" s="50"/>
      <c r="H800" s="50"/>
    </row>
    <row r="801">
      <c r="D801" s="50"/>
      <c r="E801" s="50"/>
      <c r="F801" s="50"/>
      <c r="G801" s="50"/>
      <c r="H801" s="50"/>
    </row>
    <row r="802">
      <c r="D802" s="50"/>
      <c r="E802" s="50"/>
      <c r="F802" s="50"/>
      <c r="G802" s="50"/>
      <c r="H802" s="50"/>
    </row>
    <row r="803">
      <c r="D803" s="50"/>
      <c r="E803" s="50"/>
      <c r="F803" s="50"/>
      <c r="G803" s="50"/>
      <c r="H803" s="50"/>
    </row>
    <row r="804">
      <c r="D804" s="50"/>
      <c r="E804" s="50"/>
      <c r="F804" s="50"/>
      <c r="G804" s="50"/>
      <c r="H804" s="50"/>
    </row>
    <row r="805">
      <c r="D805" s="50"/>
      <c r="E805" s="50"/>
      <c r="F805" s="50"/>
      <c r="G805" s="50"/>
      <c r="H805" s="50"/>
    </row>
    <row r="806">
      <c r="D806" s="50"/>
      <c r="E806" s="50"/>
      <c r="F806" s="50"/>
      <c r="G806" s="50"/>
      <c r="H806" s="50"/>
    </row>
    <row r="807">
      <c r="D807" s="50"/>
      <c r="E807" s="50"/>
      <c r="F807" s="50"/>
      <c r="G807" s="50"/>
      <c r="H807" s="50"/>
    </row>
    <row r="808">
      <c r="D808" s="50"/>
      <c r="E808" s="50"/>
      <c r="F808" s="50"/>
      <c r="G808" s="50"/>
      <c r="H808" s="50"/>
    </row>
    <row r="809">
      <c r="D809" s="50"/>
      <c r="E809" s="50"/>
      <c r="F809" s="50"/>
      <c r="G809" s="50"/>
      <c r="H809" s="50"/>
    </row>
    <row r="810">
      <c r="D810" s="50"/>
      <c r="E810" s="50"/>
      <c r="F810" s="50"/>
      <c r="G810" s="50"/>
      <c r="H810" s="50"/>
    </row>
    <row r="811">
      <c r="D811" s="50"/>
      <c r="E811" s="50"/>
      <c r="F811" s="50"/>
      <c r="G811" s="50"/>
      <c r="H811" s="50"/>
    </row>
    <row r="812">
      <c r="D812" s="50"/>
      <c r="E812" s="50"/>
      <c r="F812" s="50"/>
      <c r="G812" s="50"/>
      <c r="H812" s="50"/>
    </row>
    <row r="813">
      <c r="D813" s="50"/>
      <c r="E813" s="50"/>
      <c r="F813" s="50"/>
      <c r="G813" s="50"/>
      <c r="H813" s="50"/>
    </row>
    <row r="814">
      <c r="D814" s="50"/>
      <c r="E814" s="50"/>
      <c r="F814" s="50"/>
      <c r="G814" s="50"/>
      <c r="H814" s="50"/>
    </row>
    <row r="815">
      <c r="D815" s="50"/>
      <c r="E815" s="50"/>
      <c r="F815" s="50"/>
      <c r="G815" s="50"/>
      <c r="H815" s="50"/>
    </row>
    <row r="816">
      <c r="D816" s="50"/>
      <c r="E816" s="50"/>
      <c r="F816" s="50"/>
      <c r="G816" s="50"/>
      <c r="H816" s="50"/>
    </row>
    <row r="817">
      <c r="D817" s="50"/>
      <c r="E817" s="50"/>
      <c r="F817" s="50"/>
      <c r="G817" s="50"/>
      <c r="H817" s="50"/>
    </row>
    <row r="818">
      <c r="D818" s="50"/>
      <c r="E818" s="50"/>
      <c r="F818" s="50"/>
      <c r="G818" s="50"/>
      <c r="H818" s="50"/>
    </row>
    <row r="819">
      <c r="D819" s="50"/>
      <c r="E819" s="50"/>
      <c r="F819" s="50"/>
      <c r="G819" s="50"/>
      <c r="H819" s="50"/>
    </row>
    <row r="820">
      <c r="D820" s="50"/>
      <c r="E820" s="50"/>
      <c r="F820" s="50"/>
      <c r="G820" s="50"/>
      <c r="H820" s="50"/>
    </row>
    <row r="821">
      <c r="D821" s="50"/>
      <c r="E821" s="50"/>
      <c r="F821" s="50"/>
      <c r="G821" s="50"/>
      <c r="H821" s="50"/>
    </row>
    <row r="822">
      <c r="D822" s="50"/>
      <c r="E822" s="50"/>
      <c r="F822" s="50"/>
      <c r="G822" s="50"/>
      <c r="H822" s="50"/>
    </row>
    <row r="823">
      <c r="D823" s="50"/>
      <c r="E823" s="50"/>
      <c r="F823" s="50"/>
      <c r="G823" s="50"/>
      <c r="H823" s="50"/>
    </row>
    <row r="824">
      <c r="D824" s="50"/>
      <c r="E824" s="50"/>
      <c r="F824" s="50"/>
      <c r="G824" s="50"/>
      <c r="H824" s="50"/>
    </row>
    <row r="825">
      <c r="D825" s="50"/>
      <c r="E825" s="50"/>
      <c r="F825" s="50"/>
      <c r="G825" s="50"/>
      <c r="H825" s="50"/>
    </row>
    <row r="826">
      <c r="D826" s="50"/>
      <c r="E826" s="50"/>
      <c r="F826" s="50"/>
      <c r="G826" s="50"/>
      <c r="H826" s="50"/>
    </row>
    <row r="827">
      <c r="D827" s="50"/>
      <c r="E827" s="50"/>
      <c r="F827" s="50"/>
      <c r="G827" s="50"/>
      <c r="H827" s="50"/>
    </row>
    <row r="828">
      <c r="D828" s="50"/>
      <c r="E828" s="50"/>
      <c r="F828" s="50"/>
      <c r="G828" s="50"/>
      <c r="H828" s="50"/>
    </row>
    <row r="829">
      <c r="D829" s="50"/>
      <c r="E829" s="50"/>
      <c r="F829" s="50"/>
      <c r="G829" s="50"/>
      <c r="H829" s="50"/>
    </row>
    <row r="830">
      <c r="D830" s="50"/>
      <c r="E830" s="50"/>
      <c r="F830" s="50"/>
      <c r="G830" s="50"/>
      <c r="H830" s="50"/>
    </row>
    <row r="831">
      <c r="D831" s="50"/>
      <c r="E831" s="50"/>
      <c r="F831" s="50"/>
      <c r="G831" s="50"/>
      <c r="H831" s="50"/>
    </row>
    <row r="832">
      <c r="D832" s="50"/>
      <c r="E832" s="50"/>
      <c r="F832" s="50"/>
      <c r="G832" s="50"/>
      <c r="H832" s="50"/>
    </row>
    <row r="833">
      <c r="D833" s="50"/>
      <c r="E833" s="50"/>
      <c r="F833" s="50"/>
      <c r="G833" s="50"/>
      <c r="H833" s="50"/>
    </row>
    <row r="834">
      <c r="D834" s="50"/>
      <c r="E834" s="50"/>
      <c r="F834" s="50"/>
      <c r="G834" s="50"/>
      <c r="H834" s="50"/>
    </row>
    <row r="835">
      <c r="D835" s="50"/>
      <c r="E835" s="50"/>
      <c r="F835" s="50"/>
      <c r="G835" s="50"/>
      <c r="H835" s="50"/>
    </row>
    <row r="836">
      <c r="D836" s="50"/>
      <c r="E836" s="50"/>
      <c r="F836" s="50"/>
      <c r="G836" s="50"/>
      <c r="H836" s="50"/>
    </row>
    <row r="837">
      <c r="D837" s="50"/>
      <c r="E837" s="50"/>
      <c r="F837" s="50"/>
      <c r="G837" s="50"/>
      <c r="H837" s="50"/>
    </row>
    <row r="838">
      <c r="D838" s="50"/>
      <c r="E838" s="50"/>
      <c r="F838" s="50"/>
      <c r="G838" s="50"/>
      <c r="H838" s="50"/>
    </row>
    <row r="839">
      <c r="D839" s="50"/>
      <c r="E839" s="50"/>
      <c r="F839" s="50"/>
      <c r="G839" s="50"/>
      <c r="H839" s="50"/>
    </row>
    <row r="840">
      <c r="D840" s="50"/>
      <c r="E840" s="50"/>
      <c r="F840" s="50"/>
      <c r="G840" s="50"/>
      <c r="H840" s="50"/>
    </row>
    <row r="841">
      <c r="D841" s="50"/>
      <c r="E841" s="50"/>
      <c r="F841" s="50"/>
      <c r="G841" s="50"/>
      <c r="H841" s="50"/>
    </row>
    <row r="842">
      <c r="D842" s="50"/>
      <c r="E842" s="50"/>
      <c r="F842" s="50"/>
      <c r="G842" s="50"/>
      <c r="H842" s="50"/>
    </row>
    <row r="843">
      <c r="D843" s="50"/>
      <c r="E843" s="50"/>
      <c r="F843" s="50"/>
      <c r="G843" s="50"/>
      <c r="H843" s="50"/>
    </row>
    <row r="844">
      <c r="D844" s="50"/>
      <c r="E844" s="50"/>
      <c r="F844" s="50"/>
      <c r="G844" s="50"/>
      <c r="H844" s="50"/>
    </row>
    <row r="845">
      <c r="D845" s="50"/>
      <c r="E845" s="50"/>
      <c r="F845" s="50"/>
      <c r="G845" s="50"/>
      <c r="H845" s="50"/>
    </row>
    <row r="846">
      <c r="D846" s="50"/>
      <c r="E846" s="50"/>
      <c r="F846" s="50"/>
      <c r="G846" s="50"/>
      <c r="H846" s="50"/>
    </row>
    <row r="847">
      <c r="D847" s="50"/>
      <c r="E847" s="50"/>
      <c r="F847" s="50"/>
      <c r="G847" s="50"/>
      <c r="H847" s="50"/>
    </row>
    <row r="848">
      <c r="D848" s="50"/>
      <c r="E848" s="50"/>
      <c r="F848" s="50"/>
      <c r="G848" s="50"/>
      <c r="H848" s="50"/>
    </row>
    <row r="849">
      <c r="D849" s="50"/>
      <c r="E849" s="50"/>
      <c r="F849" s="50"/>
      <c r="G849" s="50"/>
      <c r="H849" s="50"/>
    </row>
    <row r="850">
      <c r="D850" s="50"/>
      <c r="E850" s="50"/>
      <c r="F850" s="50"/>
      <c r="G850" s="50"/>
      <c r="H850" s="50"/>
    </row>
    <row r="851">
      <c r="D851" s="50"/>
      <c r="E851" s="50"/>
      <c r="F851" s="50"/>
      <c r="G851" s="50"/>
      <c r="H851" s="50"/>
    </row>
    <row r="852">
      <c r="D852" s="50"/>
      <c r="E852" s="50"/>
      <c r="F852" s="50"/>
      <c r="G852" s="50"/>
      <c r="H852" s="50"/>
    </row>
    <row r="853">
      <c r="D853" s="50"/>
      <c r="E853" s="50"/>
      <c r="F853" s="50"/>
      <c r="G853" s="50"/>
      <c r="H853" s="50"/>
    </row>
    <row r="854">
      <c r="D854" s="50"/>
      <c r="E854" s="50"/>
      <c r="F854" s="50"/>
      <c r="G854" s="50"/>
      <c r="H854" s="50"/>
    </row>
    <row r="855">
      <c r="D855" s="50"/>
      <c r="E855" s="50"/>
      <c r="F855" s="50"/>
      <c r="G855" s="50"/>
      <c r="H855" s="50"/>
    </row>
    <row r="856">
      <c r="D856" s="50"/>
      <c r="E856" s="50"/>
      <c r="F856" s="50"/>
      <c r="G856" s="50"/>
      <c r="H856" s="50"/>
    </row>
    <row r="857">
      <c r="D857" s="50"/>
      <c r="E857" s="50"/>
      <c r="F857" s="50"/>
      <c r="G857" s="50"/>
      <c r="H857" s="50"/>
    </row>
    <row r="858">
      <c r="D858" s="50"/>
      <c r="E858" s="50"/>
      <c r="F858" s="50"/>
      <c r="G858" s="50"/>
      <c r="H858" s="50"/>
    </row>
    <row r="859">
      <c r="D859" s="50"/>
      <c r="E859" s="50"/>
      <c r="F859" s="50"/>
      <c r="G859" s="50"/>
      <c r="H859" s="50"/>
    </row>
    <row r="860">
      <c r="D860" s="50"/>
      <c r="E860" s="50"/>
      <c r="F860" s="50"/>
      <c r="G860" s="50"/>
      <c r="H860" s="50"/>
    </row>
    <row r="861">
      <c r="D861" s="50"/>
      <c r="E861" s="50"/>
      <c r="F861" s="50"/>
      <c r="G861" s="50"/>
      <c r="H861" s="50"/>
    </row>
    <row r="862">
      <c r="D862" s="50"/>
      <c r="E862" s="50"/>
      <c r="F862" s="50"/>
      <c r="G862" s="50"/>
      <c r="H862" s="50"/>
    </row>
    <row r="863">
      <c r="D863" s="50"/>
      <c r="E863" s="50"/>
      <c r="F863" s="50"/>
      <c r="G863" s="50"/>
      <c r="H863" s="50"/>
    </row>
    <row r="864">
      <c r="D864" s="50"/>
      <c r="E864" s="50"/>
      <c r="F864" s="50"/>
      <c r="G864" s="50"/>
      <c r="H864" s="50"/>
    </row>
    <row r="865">
      <c r="D865" s="50"/>
      <c r="E865" s="50"/>
      <c r="F865" s="50"/>
      <c r="G865" s="50"/>
      <c r="H865" s="50"/>
    </row>
    <row r="866">
      <c r="D866" s="50"/>
      <c r="E866" s="50"/>
      <c r="F866" s="50"/>
      <c r="G866" s="50"/>
      <c r="H866" s="50"/>
    </row>
    <row r="867">
      <c r="D867" s="50"/>
      <c r="E867" s="50"/>
      <c r="F867" s="50"/>
      <c r="G867" s="50"/>
      <c r="H867" s="50"/>
    </row>
    <row r="868">
      <c r="D868" s="50"/>
      <c r="E868" s="50"/>
      <c r="F868" s="50"/>
      <c r="G868" s="50"/>
      <c r="H868" s="50"/>
    </row>
    <row r="869">
      <c r="D869" s="50"/>
      <c r="E869" s="50"/>
      <c r="F869" s="50"/>
      <c r="G869" s="50"/>
      <c r="H869" s="50"/>
    </row>
    <row r="870">
      <c r="D870" s="50"/>
      <c r="E870" s="50"/>
      <c r="F870" s="50"/>
      <c r="G870" s="50"/>
      <c r="H870" s="50"/>
    </row>
    <row r="871">
      <c r="D871" s="50"/>
      <c r="E871" s="50"/>
      <c r="F871" s="50"/>
      <c r="G871" s="50"/>
      <c r="H871" s="50"/>
    </row>
    <row r="872">
      <c r="D872" s="50"/>
      <c r="E872" s="50"/>
      <c r="F872" s="50"/>
      <c r="G872" s="50"/>
      <c r="H872" s="50"/>
    </row>
    <row r="873">
      <c r="D873" s="50"/>
      <c r="E873" s="50"/>
      <c r="F873" s="50"/>
      <c r="G873" s="50"/>
      <c r="H873" s="50"/>
    </row>
    <row r="874">
      <c r="D874" s="50"/>
      <c r="E874" s="50"/>
      <c r="F874" s="50"/>
      <c r="G874" s="50"/>
      <c r="H874" s="50"/>
    </row>
    <row r="875">
      <c r="D875" s="50"/>
      <c r="E875" s="50"/>
      <c r="F875" s="50"/>
      <c r="G875" s="50"/>
      <c r="H875" s="50"/>
    </row>
    <row r="876">
      <c r="D876" s="50"/>
      <c r="E876" s="50"/>
      <c r="F876" s="50"/>
      <c r="G876" s="50"/>
      <c r="H876" s="50"/>
    </row>
    <row r="877">
      <c r="D877" s="50"/>
      <c r="E877" s="50"/>
      <c r="F877" s="50"/>
      <c r="G877" s="50"/>
      <c r="H877" s="50"/>
    </row>
    <row r="878">
      <c r="D878" s="50"/>
      <c r="E878" s="50"/>
      <c r="F878" s="50"/>
      <c r="G878" s="50"/>
      <c r="H878" s="50"/>
    </row>
    <row r="879">
      <c r="D879" s="50"/>
      <c r="E879" s="50"/>
      <c r="F879" s="50"/>
      <c r="G879" s="50"/>
      <c r="H879" s="50"/>
    </row>
    <row r="880">
      <c r="D880" s="50"/>
      <c r="E880" s="50"/>
      <c r="F880" s="50"/>
      <c r="G880" s="50"/>
      <c r="H880" s="50"/>
    </row>
    <row r="881">
      <c r="D881" s="50"/>
      <c r="E881" s="50"/>
      <c r="F881" s="50"/>
      <c r="G881" s="50"/>
      <c r="H881" s="50"/>
    </row>
    <row r="882">
      <c r="D882" s="50"/>
      <c r="E882" s="50"/>
      <c r="F882" s="50"/>
      <c r="G882" s="50"/>
      <c r="H882" s="50"/>
    </row>
    <row r="883">
      <c r="D883" s="50"/>
      <c r="E883" s="50"/>
      <c r="F883" s="50"/>
      <c r="G883" s="50"/>
      <c r="H883" s="50"/>
    </row>
    <row r="884">
      <c r="D884" s="50"/>
      <c r="E884" s="50"/>
      <c r="F884" s="50"/>
      <c r="G884" s="50"/>
      <c r="H884" s="50"/>
    </row>
    <row r="885">
      <c r="D885" s="50"/>
      <c r="E885" s="50"/>
      <c r="F885" s="50"/>
      <c r="G885" s="50"/>
      <c r="H885" s="50"/>
    </row>
    <row r="886">
      <c r="D886" s="50"/>
      <c r="E886" s="50"/>
      <c r="F886" s="50"/>
      <c r="G886" s="50"/>
      <c r="H886" s="50"/>
    </row>
    <row r="887">
      <c r="D887" s="50"/>
      <c r="E887" s="50"/>
      <c r="F887" s="50"/>
      <c r="G887" s="50"/>
      <c r="H887" s="50"/>
    </row>
    <row r="888">
      <c r="D888" s="50"/>
      <c r="E888" s="50"/>
      <c r="F888" s="50"/>
      <c r="G888" s="50"/>
      <c r="H888" s="50"/>
    </row>
    <row r="889">
      <c r="D889" s="50"/>
      <c r="E889" s="50"/>
      <c r="F889" s="50"/>
      <c r="G889" s="50"/>
      <c r="H889" s="50"/>
    </row>
    <row r="890">
      <c r="D890" s="50"/>
      <c r="E890" s="50"/>
      <c r="F890" s="50"/>
      <c r="G890" s="50"/>
      <c r="H890" s="50"/>
    </row>
    <row r="891">
      <c r="D891" s="50"/>
      <c r="E891" s="50"/>
      <c r="F891" s="50"/>
      <c r="G891" s="50"/>
      <c r="H891" s="50"/>
    </row>
    <row r="892">
      <c r="D892" s="50"/>
      <c r="E892" s="50"/>
      <c r="F892" s="50"/>
      <c r="G892" s="50"/>
      <c r="H892" s="50"/>
    </row>
    <row r="893">
      <c r="D893" s="50"/>
      <c r="E893" s="50"/>
      <c r="F893" s="50"/>
      <c r="G893" s="50"/>
      <c r="H893" s="50"/>
    </row>
    <row r="894">
      <c r="D894" s="50"/>
      <c r="E894" s="50"/>
      <c r="F894" s="50"/>
      <c r="G894" s="50"/>
      <c r="H894" s="50"/>
    </row>
    <row r="895">
      <c r="D895" s="50"/>
      <c r="E895" s="50"/>
      <c r="F895" s="50"/>
      <c r="G895" s="50"/>
      <c r="H895" s="50"/>
    </row>
    <row r="896">
      <c r="D896" s="50"/>
      <c r="E896" s="50"/>
      <c r="F896" s="50"/>
      <c r="G896" s="50"/>
      <c r="H896" s="50"/>
    </row>
    <row r="897">
      <c r="D897" s="50"/>
      <c r="E897" s="50"/>
      <c r="F897" s="50"/>
      <c r="G897" s="50"/>
      <c r="H897" s="50"/>
    </row>
    <row r="898">
      <c r="D898" s="50"/>
      <c r="E898" s="50"/>
      <c r="F898" s="50"/>
      <c r="G898" s="50"/>
      <c r="H898" s="50"/>
    </row>
    <row r="899">
      <c r="D899" s="50"/>
      <c r="E899" s="50"/>
      <c r="F899" s="50"/>
      <c r="G899" s="50"/>
      <c r="H899" s="50"/>
    </row>
    <row r="900">
      <c r="D900" s="50"/>
      <c r="E900" s="50"/>
      <c r="F900" s="50"/>
      <c r="G900" s="50"/>
      <c r="H900" s="50"/>
    </row>
    <row r="901">
      <c r="D901" s="50"/>
      <c r="E901" s="50"/>
      <c r="F901" s="50"/>
      <c r="G901" s="50"/>
      <c r="H901" s="50"/>
    </row>
    <row r="902">
      <c r="D902" s="50"/>
      <c r="E902" s="50"/>
      <c r="F902" s="50"/>
      <c r="G902" s="50"/>
      <c r="H902" s="50"/>
    </row>
    <row r="903">
      <c r="D903" s="50"/>
      <c r="E903" s="50"/>
      <c r="F903" s="50"/>
      <c r="G903" s="50"/>
      <c r="H903" s="50"/>
    </row>
    <row r="904">
      <c r="D904" s="50"/>
      <c r="E904" s="50"/>
      <c r="F904" s="50"/>
      <c r="G904" s="50"/>
      <c r="H904" s="50"/>
    </row>
    <row r="905">
      <c r="D905" s="50"/>
      <c r="E905" s="50"/>
      <c r="F905" s="50"/>
      <c r="G905" s="50"/>
      <c r="H905" s="50"/>
    </row>
    <row r="906">
      <c r="D906" s="50"/>
      <c r="E906" s="50"/>
      <c r="F906" s="50"/>
      <c r="G906" s="50"/>
      <c r="H906" s="50"/>
    </row>
    <row r="907">
      <c r="D907" s="50"/>
      <c r="E907" s="50"/>
      <c r="F907" s="50"/>
      <c r="G907" s="50"/>
      <c r="H907" s="50"/>
    </row>
    <row r="908">
      <c r="D908" s="50"/>
      <c r="E908" s="50"/>
      <c r="F908" s="50"/>
      <c r="G908" s="50"/>
      <c r="H908" s="50"/>
    </row>
    <row r="909">
      <c r="D909" s="50"/>
      <c r="E909" s="50"/>
      <c r="F909" s="50"/>
      <c r="G909" s="50"/>
      <c r="H909" s="50"/>
    </row>
    <row r="910">
      <c r="D910" s="50"/>
      <c r="E910" s="50"/>
      <c r="F910" s="50"/>
      <c r="G910" s="50"/>
      <c r="H910" s="50"/>
    </row>
    <row r="911">
      <c r="D911" s="50"/>
      <c r="E911" s="50"/>
      <c r="F911" s="50"/>
      <c r="G911" s="50"/>
      <c r="H911" s="50"/>
    </row>
    <row r="912">
      <c r="D912" s="50"/>
      <c r="E912" s="50"/>
      <c r="F912" s="50"/>
      <c r="G912" s="50"/>
      <c r="H912" s="50"/>
    </row>
    <row r="913">
      <c r="D913" s="50"/>
      <c r="E913" s="50"/>
      <c r="F913" s="50"/>
      <c r="G913" s="50"/>
      <c r="H913" s="50"/>
    </row>
    <row r="914">
      <c r="D914" s="50"/>
      <c r="E914" s="50"/>
      <c r="F914" s="50"/>
      <c r="G914" s="50"/>
      <c r="H914" s="50"/>
    </row>
    <row r="915">
      <c r="D915" s="50"/>
      <c r="E915" s="50"/>
      <c r="F915" s="50"/>
      <c r="G915" s="50"/>
      <c r="H915" s="50"/>
    </row>
    <row r="916">
      <c r="D916" s="50"/>
      <c r="E916" s="50"/>
      <c r="F916" s="50"/>
      <c r="G916" s="50"/>
      <c r="H916" s="50"/>
    </row>
    <row r="917">
      <c r="D917" s="50"/>
      <c r="E917" s="50"/>
      <c r="F917" s="50"/>
      <c r="G917" s="50"/>
      <c r="H917" s="50"/>
    </row>
    <row r="918">
      <c r="D918" s="50"/>
      <c r="E918" s="50"/>
      <c r="F918" s="50"/>
      <c r="G918" s="50"/>
      <c r="H918" s="50"/>
    </row>
    <row r="919">
      <c r="D919" s="50"/>
      <c r="E919" s="50"/>
      <c r="F919" s="50"/>
      <c r="G919" s="50"/>
      <c r="H919" s="50"/>
    </row>
    <row r="920">
      <c r="D920" s="50"/>
      <c r="E920" s="50"/>
      <c r="F920" s="50"/>
      <c r="G920" s="50"/>
      <c r="H920" s="50"/>
    </row>
    <row r="921">
      <c r="D921" s="50"/>
      <c r="E921" s="50"/>
      <c r="F921" s="50"/>
      <c r="G921" s="50"/>
      <c r="H921" s="50"/>
    </row>
    <row r="922">
      <c r="D922" s="50"/>
      <c r="E922" s="50"/>
      <c r="F922" s="50"/>
      <c r="G922" s="50"/>
      <c r="H922" s="50"/>
    </row>
    <row r="923">
      <c r="D923" s="50"/>
      <c r="E923" s="50"/>
      <c r="F923" s="50"/>
      <c r="G923" s="50"/>
      <c r="H923" s="50"/>
    </row>
    <row r="924">
      <c r="D924" s="50"/>
      <c r="E924" s="50"/>
      <c r="F924" s="50"/>
      <c r="G924" s="50"/>
      <c r="H924" s="50"/>
    </row>
    <row r="925">
      <c r="D925" s="50"/>
      <c r="E925" s="50"/>
      <c r="F925" s="50"/>
      <c r="G925" s="50"/>
      <c r="H925" s="50"/>
    </row>
    <row r="926">
      <c r="D926" s="50"/>
      <c r="E926" s="50"/>
      <c r="F926" s="50"/>
      <c r="G926" s="50"/>
      <c r="H926" s="50"/>
    </row>
    <row r="927">
      <c r="D927" s="50"/>
      <c r="E927" s="50"/>
      <c r="F927" s="50"/>
      <c r="G927" s="50"/>
      <c r="H927" s="50"/>
    </row>
    <row r="928">
      <c r="D928" s="50"/>
      <c r="E928" s="50"/>
      <c r="F928" s="50"/>
      <c r="G928" s="50"/>
      <c r="H928" s="50"/>
    </row>
    <row r="929">
      <c r="D929" s="50"/>
      <c r="E929" s="50"/>
      <c r="F929" s="50"/>
      <c r="G929" s="50"/>
      <c r="H929" s="50"/>
    </row>
    <row r="930">
      <c r="D930" s="50"/>
      <c r="E930" s="50"/>
      <c r="F930" s="50"/>
      <c r="G930" s="50"/>
      <c r="H930" s="50"/>
    </row>
    <row r="931">
      <c r="D931" s="50"/>
      <c r="E931" s="50"/>
      <c r="F931" s="50"/>
      <c r="G931" s="50"/>
      <c r="H931" s="50"/>
    </row>
    <row r="932">
      <c r="D932" s="50"/>
      <c r="E932" s="50"/>
      <c r="F932" s="50"/>
      <c r="G932" s="50"/>
      <c r="H932" s="50"/>
    </row>
    <row r="933">
      <c r="D933" s="50"/>
      <c r="E933" s="50"/>
      <c r="F933" s="50"/>
      <c r="G933" s="50"/>
      <c r="H933" s="50"/>
    </row>
    <row r="934">
      <c r="D934" s="50"/>
      <c r="E934" s="50"/>
      <c r="F934" s="50"/>
      <c r="G934" s="50"/>
      <c r="H934" s="50"/>
    </row>
    <row r="935">
      <c r="D935" s="50"/>
      <c r="E935" s="50"/>
      <c r="F935" s="50"/>
      <c r="G935" s="50"/>
      <c r="H935" s="50"/>
    </row>
    <row r="936">
      <c r="D936" s="50"/>
      <c r="E936" s="50"/>
      <c r="F936" s="50"/>
      <c r="G936" s="50"/>
      <c r="H936" s="50"/>
    </row>
    <row r="937">
      <c r="D937" s="50"/>
      <c r="E937" s="50"/>
      <c r="F937" s="50"/>
      <c r="G937" s="50"/>
      <c r="H937" s="50"/>
    </row>
    <row r="938">
      <c r="D938" s="50"/>
      <c r="E938" s="50"/>
      <c r="F938" s="50"/>
      <c r="G938" s="50"/>
      <c r="H938" s="50"/>
    </row>
    <row r="939">
      <c r="D939" s="50"/>
      <c r="E939" s="50"/>
      <c r="F939" s="50"/>
      <c r="G939" s="50"/>
      <c r="H939" s="50"/>
    </row>
    <row r="940">
      <c r="D940" s="50"/>
      <c r="E940" s="50"/>
      <c r="F940" s="50"/>
      <c r="G940" s="50"/>
      <c r="H940" s="50"/>
    </row>
    <row r="941">
      <c r="D941" s="50"/>
      <c r="E941" s="50"/>
      <c r="F941" s="50"/>
      <c r="G941" s="50"/>
      <c r="H941" s="50"/>
    </row>
    <row r="942">
      <c r="D942" s="50"/>
      <c r="E942" s="50"/>
      <c r="F942" s="50"/>
      <c r="G942" s="50"/>
      <c r="H942" s="50"/>
    </row>
    <row r="943">
      <c r="D943" s="50"/>
      <c r="E943" s="50"/>
      <c r="F943" s="50"/>
      <c r="G943" s="50"/>
      <c r="H943" s="50"/>
    </row>
    <row r="944">
      <c r="D944" s="50"/>
      <c r="E944" s="50"/>
      <c r="F944" s="50"/>
      <c r="G944" s="50"/>
      <c r="H944" s="50"/>
    </row>
    <row r="945">
      <c r="D945" s="50"/>
      <c r="E945" s="50"/>
      <c r="F945" s="50"/>
      <c r="G945" s="50"/>
      <c r="H945" s="50"/>
    </row>
    <row r="946">
      <c r="D946" s="50"/>
      <c r="E946" s="50"/>
      <c r="F946" s="50"/>
      <c r="G946" s="50"/>
      <c r="H946" s="50"/>
    </row>
    <row r="947">
      <c r="D947" s="50"/>
      <c r="E947" s="50"/>
      <c r="F947" s="50"/>
      <c r="G947" s="50"/>
      <c r="H947" s="50"/>
    </row>
    <row r="948">
      <c r="D948" s="50"/>
      <c r="E948" s="50"/>
      <c r="F948" s="50"/>
      <c r="G948" s="50"/>
      <c r="H948" s="50"/>
    </row>
    <row r="949">
      <c r="D949" s="50"/>
      <c r="E949" s="50"/>
      <c r="F949" s="50"/>
      <c r="G949" s="50"/>
      <c r="H949" s="50"/>
    </row>
    <row r="950">
      <c r="D950" s="50"/>
      <c r="E950" s="50"/>
      <c r="F950" s="50"/>
      <c r="G950" s="50"/>
      <c r="H950" s="50"/>
    </row>
    <row r="951">
      <c r="D951" s="50"/>
      <c r="E951" s="50"/>
      <c r="F951" s="50"/>
      <c r="G951" s="50"/>
      <c r="H951" s="50"/>
    </row>
    <row r="952">
      <c r="D952" s="50"/>
      <c r="E952" s="50"/>
      <c r="F952" s="50"/>
      <c r="G952" s="50"/>
      <c r="H952" s="50"/>
    </row>
    <row r="953">
      <c r="D953" s="50"/>
      <c r="E953" s="50"/>
      <c r="F953" s="50"/>
      <c r="G953" s="50"/>
      <c r="H953" s="50"/>
    </row>
    <row r="954">
      <c r="D954" s="50"/>
      <c r="E954" s="50"/>
      <c r="F954" s="50"/>
      <c r="G954" s="50"/>
      <c r="H954" s="50"/>
    </row>
    <row r="955">
      <c r="D955" s="50"/>
      <c r="E955" s="50"/>
      <c r="F955" s="50"/>
      <c r="G955" s="50"/>
      <c r="H955" s="50"/>
    </row>
    <row r="956">
      <c r="D956" s="50"/>
      <c r="E956" s="50"/>
      <c r="F956" s="50"/>
      <c r="G956" s="50"/>
      <c r="H956" s="50"/>
    </row>
    <row r="957">
      <c r="D957" s="50"/>
      <c r="E957" s="50"/>
      <c r="F957" s="50"/>
      <c r="G957" s="50"/>
      <c r="H957" s="50"/>
    </row>
    <row r="958">
      <c r="D958" s="50"/>
      <c r="E958" s="50"/>
      <c r="F958" s="50"/>
      <c r="G958" s="50"/>
      <c r="H958" s="50"/>
    </row>
    <row r="959">
      <c r="D959" s="50"/>
      <c r="E959" s="50"/>
      <c r="F959" s="50"/>
      <c r="G959" s="50"/>
      <c r="H959" s="50"/>
    </row>
    <row r="960">
      <c r="D960" s="50"/>
      <c r="E960" s="50"/>
      <c r="F960" s="50"/>
      <c r="G960" s="50"/>
      <c r="H960" s="50"/>
    </row>
    <row r="961">
      <c r="D961" s="50"/>
      <c r="E961" s="50"/>
      <c r="F961" s="50"/>
      <c r="G961" s="50"/>
      <c r="H961" s="50"/>
    </row>
    <row r="962">
      <c r="D962" s="50"/>
      <c r="E962" s="50"/>
      <c r="F962" s="50"/>
      <c r="G962" s="50"/>
      <c r="H962" s="50"/>
    </row>
    <row r="963">
      <c r="D963" s="50"/>
      <c r="E963" s="50"/>
      <c r="F963" s="50"/>
      <c r="G963" s="50"/>
      <c r="H963" s="50"/>
    </row>
    <row r="964">
      <c r="D964" s="50"/>
      <c r="E964" s="50"/>
      <c r="F964" s="50"/>
      <c r="G964" s="50"/>
      <c r="H964" s="50"/>
    </row>
    <row r="965">
      <c r="D965" s="50"/>
      <c r="E965" s="50"/>
      <c r="F965" s="50"/>
      <c r="G965" s="50"/>
      <c r="H965" s="50"/>
    </row>
    <row r="966">
      <c r="D966" s="50"/>
      <c r="E966" s="50"/>
      <c r="F966" s="50"/>
      <c r="G966" s="50"/>
      <c r="H966" s="50"/>
    </row>
    <row r="967">
      <c r="D967" s="50"/>
      <c r="E967" s="50"/>
      <c r="F967" s="50"/>
      <c r="G967" s="50"/>
      <c r="H967" s="50"/>
    </row>
    <row r="968">
      <c r="D968" s="50"/>
      <c r="E968" s="50"/>
      <c r="F968" s="50"/>
      <c r="G968" s="50"/>
      <c r="H968" s="50"/>
    </row>
    <row r="969">
      <c r="D969" s="50"/>
      <c r="E969" s="50"/>
      <c r="F969" s="50"/>
      <c r="G969" s="50"/>
      <c r="H969" s="50"/>
    </row>
    <row r="970">
      <c r="D970" s="50"/>
      <c r="E970" s="50"/>
      <c r="F970" s="50"/>
      <c r="G970" s="50"/>
      <c r="H970" s="50"/>
    </row>
    <row r="971">
      <c r="D971" s="50"/>
      <c r="E971" s="50"/>
      <c r="F971" s="50"/>
      <c r="G971" s="50"/>
      <c r="H971" s="50"/>
    </row>
    <row r="972">
      <c r="D972" s="50"/>
      <c r="E972" s="50"/>
      <c r="F972" s="50"/>
      <c r="G972" s="50"/>
      <c r="H972" s="50"/>
    </row>
    <row r="973">
      <c r="D973" s="50"/>
      <c r="E973" s="50"/>
      <c r="F973" s="50"/>
      <c r="G973" s="50"/>
      <c r="H973" s="50"/>
    </row>
    <row r="974">
      <c r="D974" s="50"/>
      <c r="E974" s="50"/>
      <c r="F974" s="50"/>
      <c r="G974" s="50"/>
      <c r="H974" s="50"/>
    </row>
    <row r="975">
      <c r="D975" s="50"/>
      <c r="E975" s="50"/>
      <c r="F975" s="50"/>
      <c r="G975" s="50"/>
      <c r="H975" s="50"/>
    </row>
    <row r="976">
      <c r="D976" s="50"/>
      <c r="E976" s="50"/>
      <c r="F976" s="50"/>
      <c r="G976" s="50"/>
      <c r="H976" s="50"/>
    </row>
    <row r="977">
      <c r="D977" s="50"/>
      <c r="E977" s="50"/>
      <c r="F977" s="50"/>
      <c r="G977" s="50"/>
      <c r="H977" s="50"/>
    </row>
    <row r="978">
      <c r="D978" s="50"/>
      <c r="E978" s="50"/>
      <c r="F978" s="50"/>
      <c r="G978" s="50"/>
      <c r="H978" s="50"/>
    </row>
    <row r="979">
      <c r="D979" s="50"/>
      <c r="E979" s="50"/>
      <c r="F979" s="50"/>
      <c r="G979" s="50"/>
      <c r="H979" s="50"/>
    </row>
    <row r="980">
      <c r="D980" s="50"/>
      <c r="E980" s="50"/>
      <c r="F980" s="50"/>
      <c r="G980" s="50"/>
      <c r="H980" s="50"/>
    </row>
    <row r="981">
      <c r="D981" s="50"/>
      <c r="E981" s="50"/>
      <c r="F981" s="50"/>
      <c r="G981" s="50"/>
      <c r="H981" s="50"/>
    </row>
    <row r="982">
      <c r="D982" s="50"/>
      <c r="E982" s="50"/>
      <c r="F982" s="50"/>
      <c r="G982" s="50"/>
      <c r="H982" s="50"/>
    </row>
    <row r="983">
      <c r="D983" s="50"/>
      <c r="E983" s="50"/>
      <c r="F983" s="50"/>
      <c r="G983" s="50"/>
      <c r="H983" s="50"/>
    </row>
    <row r="984">
      <c r="D984" s="50"/>
      <c r="E984" s="50"/>
      <c r="F984" s="50"/>
      <c r="G984" s="50"/>
      <c r="H984" s="50"/>
    </row>
    <row r="985">
      <c r="D985" s="50"/>
      <c r="E985" s="50"/>
      <c r="F985" s="50"/>
      <c r="G985" s="50"/>
      <c r="H985" s="50"/>
    </row>
    <row r="986">
      <c r="D986" s="50"/>
      <c r="E986" s="50"/>
      <c r="F986" s="50"/>
      <c r="G986" s="50"/>
      <c r="H986" s="50"/>
    </row>
    <row r="987">
      <c r="D987" s="50"/>
      <c r="E987" s="50"/>
      <c r="F987" s="50"/>
      <c r="G987" s="50"/>
      <c r="H987" s="50"/>
    </row>
    <row r="988">
      <c r="D988" s="50"/>
      <c r="E988" s="50"/>
      <c r="F988" s="50"/>
      <c r="G988" s="50"/>
      <c r="H988" s="50"/>
    </row>
    <row r="989">
      <c r="D989" s="50"/>
      <c r="E989" s="50"/>
      <c r="F989" s="50"/>
      <c r="G989" s="50"/>
      <c r="H989" s="50"/>
    </row>
    <row r="990">
      <c r="D990" s="50"/>
      <c r="E990" s="50"/>
      <c r="F990" s="50"/>
      <c r="G990" s="50"/>
      <c r="H990" s="50"/>
    </row>
    <row r="991">
      <c r="D991" s="50"/>
      <c r="E991" s="50"/>
      <c r="F991" s="50"/>
      <c r="G991" s="50"/>
      <c r="H991" s="50"/>
    </row>
    <row r="992">
      <c r="D992" s="50"/>
      <c r="E992" s="50"/>
      <c r="F992" s="50"/>
      <c r="G992" s="50"/>
      <c r="H992" s="50"/>
    </row>
    <row r="993">
      <c r="D993" s="50"/>
      <c r="E993" s="50"/>
      <c r="F993" s="50"/>
      <c r="G993" s="50"/>
      <c r="H993" s="50"/>
    </row>
    <row r="994">
      <c r="D994" s="50"/>
      <c r="E994" s="50"/>
      <c r="F994" s="50"/>
      <c r="G994" s="50"/>
      <c r="H994" s="50"/>
    </row>
    <row r="995">
      <c r="D995" s="50"/>
      <c r="E995" s="50"/>
      <c r="F995" s="50"/>
      <c r="G995" s="50"/>
      <c r="H995" s="50"/>
    </row>
    <row r="996">
      <c r="D996" s="50"/>
      <c r="E996" s="50"/>
      <c r="F996" s="50"/>
      <c r="G996" s="50"/>
      <c r="H996" s="50"/>
    </row>
    <row r="997">
      <c r="D997" s="50"/>
      <c r="E997" s="50"/>
      <c r="F997" s="50"/>
      <c r="G997" s="50"/>
      <c r="H997" s="50"/>
    </row>
    <row r="998">
      <c r="D998" s="50"/>
      <c r="E998" s="50"/>
      <c r="F998" s="50"/>
      <c r="G998" s="50"/>
      <c r="H998" s="50"/>
    </row>
    <row r="999">
      <c r="D999" s="50"/>
      <c r="E999" s="50"/>
      <c r="F999" s="50"/>
      <c r="G999" s="50"/>
      <c r="H999" s="50"/>
    </row>
    <row r="1000">
      <c r="D1000" s="50"/>
      <c r="E1000" s="50"/>
      <c r="F1000" s="50"/>
      <c r="G1000" s="50"/>
      <c r="H1000" s="50"/>
    </row>
  </sheetData>
  <conditionalFormatting sqref="D1:H1000">
    <cfRule type="cellIs" dxfId="13" priority="1" operator="equal">
      <formula>"C"</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24.0"/>
    <col customWidth="1" min="3" max="3" width="8.0"/>
    <col customWidth="1" min="4" max="4" width="8.13"/>
    <col customWidth="1" min="5" max="5" width="8.88"/>
    <col customWidth="1" min="6" max="6" width="10.63"/>
    <col customWidth="1" min="7" max="7" width="10.25"/>
    <col customWidth="1" min="8" max="8" width="8.38"/>
  </cols>
  <sheetData>
    <row r="1">
      <c r="A1" s="165" t="str">
        <f>IFERROR(__xludf.DUMMYFUNCTION("QUERY(DTrma!A:H, ""select A,B,C,D,E,F,G,H where C='MTs Putri'"", 1)"),"NP")</f>
        <v>NP</v>
      </c>
      <c r="B1" s="165" t="str">
        <f>IFERROR(__xludf.DUMMYFUNCTION("""COMPUTED_VALUE"""),"Nama")</f>
        <v>Nama</v>
      </c>
      <c r="C1" s="165" t="str">
        <f>IFERROR(__xludf.DUMMYFUNCTION("""COMPUTED_VALUE"""),"Jenjang")</f>
        <v>Jenjang</v>
      </c>
      <c r="D1" s="165" t="str">
        <f>IFERROR(__xludf.DUMMYFUNCTION("""COMPUTED_VALUE"""),"Al-Quran")</f>
        <v>Al-Quran</v>
      </c>
      <c r="E1" s="165" t="str">
        <f>IFERROR(__xludf.DUMMYFUNCTION("""COMPUTED_VALUE"""),"Akademik")</f>
        <v>Akademik</v>
      </c>
      <c r="F1" s="165" t="str">
        <f>IFERROR(__xludf.DUMMYFUNCTION("""COMPUTED_VALUE"""),"Kepribadian")</f>
        <v>Kepribadian</v>
      </c>
      <c r="G1" s="165" t="str">
        <f>IFERROR(__xludf.DUMMYFUNCTION("""COMPUTED_VALUE"""),"Kesesuaian")</f>
        <v>Kesesuaian</v>
      </c>
      <c r="H1" s="165" t="str">
        <f>IFERROR(__xludf.DUMMYFUNCTION("""COMPUTED_VALUE"""),"Kesiapan")</f>
        <v>Kesiapan</v>
      </c>
      <c r="I1" s="192"/>
      <c r="J1" s="192"/>
      <c r="K1" s="192"/>
      <c r="L1" s="192"/>
      <c r="M1" s="192"/>
      <c r="N1" s="192"/>
      <c r="O1" s="192"/>
      <c r="P1" s="192"/>
      <c r="Q1" s="192"/>
      <c r="R1" s="192"/>
      <c r="S1" s="192"/>
      <c r="T1" s="192"/>
      <c r="U1" s="192"/>
      <c r="V1" s="192"/>
      <c r="W1" s="192"/>
      <c r="X1" s="192"/>
      <c r="Y1" s="192"/>
    </row>
    <row r="2">
      <c r="A2" s="5" t="str">
        <f>IFERROR(__xludf.DUMMYFUNCTION("""COMPUTED_VALUE"""),"D250009")</f>
        <v>D250009</v>
      </c>
      <c r="B2" s="5" t="str">
        <f>IFERROR(__xludf.DUMMYFUNCTION("""COMPUTED_VALUE"""),"keyza qaireen")</f>
        <v>keyza qaireen</v>
      </c>
      <c r="C2" s="5" t="str">
        <f>IFERROR(__xludf.DUMMYFUNCTION("""COMPUTED_VALUE"""),"MTs Putri")</f>
        <v>MTs Putri</v>
      </c>
      <c r="D2" s="168" t="str">
        <f>IFERROR(__xludf.DUMMYFUNCTION("""COMPUTED_VALUE"""),"A")</f>
        <v>A</v>
      </c>
      <c r="E2" s="168" t="str">
        <f>IFERROR(__xludf.DUMMYFUNCTION("""COMPUTED_VALUE"""),"B")</f>
        <v>B</v>
      </c>
      <c r="F2" s="168" t="str">
        <f>IFERROR(__xludf.DUMMYFUNCTION("""COMPUTED_VALUE"""),"A")</f>
        <v>A</v>
      </c>
      <c r="G2" s="168" t="str">
        <f>IFERROR(__xludf.DUMMYFUNCTION("""COMPUTED_VALUE"""),"A")</f>
        <v>A</v>
      </c>
      <c r="H2" s="168" t="str">
        <f>IFERROR(__xludf.DUMMYFUNCTION("""COMPUTED_VALUE"""),"A")</f>
        <v>A</v>
      </c>
    </row>
    <row r="3">
      <c r="A3" s="5" t="str">
        <f>IFERROR(__xludf.DUMMYFUNCTION("""COMPUTED_VALUE"""),"D250007")</f>
        <v>D250007</v>
      </c>
      <c r="B3" s="5" t="str">
        <f>IFERROR(__xludf.DUMMYFUNCTION("""COMPUTED_VALUE"""),"Siti Azizah")</f>
        <v>Siti Azizah</v>
      </c>
      <c r="C3" s="5" t="str">
        <f>IFERROR(__xludf.DUMMYFUNCTION("""COMPUTED_VALUE"""),"MTs Putri")</f>
        <v>MTs Putri</v>
      </c>
      <c r="D3" s="168" t="str">
        <f>IFERROR(__xludf.DUMMYFUNCTION("""COMPUTED_VALUE"""),"A")</f>
        <v>A</v>
      </c>
      <c r="E3" s="168" t="str">
        <f>IFERROR(__xludf.DUMMYFUNCTION("""COMPUTED_VALUE"""),"B")</f>
        <v>B</v>
      </c>
      <c r="F3" s="168" t="str">
        <f>IFERROR(__xludf.DUMMYFUNCTION("""COMPUTED_VALUE"""),"A")</f>
        <v>A</v>
      </c>
      <c r="G3" s="168" t="str">
        <f>IFERROR(__xludf.DUMMYFUNCTION("""COMPUTED_VALUE"""),"A")</f>
        <v>A</v>
      </c>
      <c r="H3" s="168" t="str">
        <f>IFERROR(__xludf.DUMMYFUNCTION("""COMPUTED_VALUE"""),"A")</f>
        <v>A</v>
      </c>
    </row>
    <row r="4">
      <c r="A4" s="5" t="str">
        <f>IFERROR(__xludf.DUMMYFUNCTION("""COMPUTED_VALUE"""),"D250006")</f>
        <v>D250006</v>
      </c>
      <c r="B4" s="5" t="str">
        <f>IFERROR(__xludf.DUMMYFUNCTION("""COMPUTED_VALUE"""),"Aina Syahmina Givani")</f>
        <v>Aina Syahmina Givani</v>
      </c>
      <c r="C4" s="5" t="str">
        <f>IFERROR(__xludf.DUMMYFUNCTION("""COMPUTED_VALUE"""),"MTs Putri")</f>
        <v>MTs Putri</v>
      </c>
      <c r="D4" s="168" t="str">
        <f>IFERROR(__xludf.DUMMYFUNCTION("""COMPUTED_VALUE"""),"A")</f>
        <v>A</v>
      </c>
      <c r="E4" s="168" t="str">
        <f>IFERROR(__xludf.DUMMYFUNCTION("""COMPUTED_VALUE"""),"A")</f>
        <v>A</v>
      </c>
      <c r="F4" s="168" t="str">
        <f>IFERROR(__xludf.DUMMYFUNCTION("""COMPUTED_VALUE"""),"A")</f>
        <v>A</v>
      </c>
      <c r="G4" s="168" t="str">
        <f>IFERROR(__xludf.DUMMYFUNCTION("""COMPUTED_VALUE"""),"A")</f>
        <v>A</v>
      </c>
      <c r="H4" s="168" t="str">
        <f>IFERROR(__xludf.DUMMYFUNCTION("""COMPUTED_VALUE"""),"A")</f>
        <v>A</v>
      </c>
    </row>
    <row r="5">
      <c r="A5" s="5" t="str">
        <f>IFERROR(__xludf.DUMMYFUNCTION("""COMPUTED_VALUE"""),"D250005")</f>
        <v>D250005</v>
      </c>
      <c r="B5" s="5" t="str">
        <f>IFERROR(__xludf.DUMMYFUNCTION("""COMPUTED_VALUE"""),"Aisyah")</f>
        <v>Aisyah</v>
      </c>
      <c r="C5" s="5" t="str">
        <f>IFERROR(__xludf.DUMMYFUNCTION("""COMPUTED_VALUE"""),"MTs Putri")</f>
        <v>MTs Putri</v>
      </c>
      <c r="D5" s="168" t="str">
        <f>IFERROR(__xludf.DUMMYFUNCTION("""COMPUTED_VALUE"""),"A")</f>
        <v>A</v>
      </c>
      <c r="E5" s="168" t="str">
        <f>IFERROR(__xludf.DUMMYFUNCTION("""COMPUTED_VALUE"""),"A")</f>
        <v>A</v>
      </c>
      <c r="F5" s="168" t="str">
        <f>IFERROR(__xludf.DUMMYFUNCTION("""COMPUTED_VALUE"""),"A")</f>
        <v>A</v>
      </c>
      <c r="G5" s="168" t="str">
        <f>IFERROR(__xludf.DUMMYFUNCTION("""COMPUTED_VALUE"""),"A")</f>
        <v>A</v>
      </c>
      <c r="H5" s="168" t="str">
        <f>IFERROR(__xludf.DUMMYFUNCTION("""COMPUTED_VALUE"""),"A")</f>
        <v>A</v>
      </c>
    </row>
    <row r="6">
      <c r="A6" s="5" t="str">
        <f>IFERROR(__xludf.DUMMYFUNCTION("""COMPUTED_VALUE"""),"D250015")</f>
        <v>D250015</v>
      </c>
      <c r="B6" s="5" t="str">
        <f>IFERROR(__xludf.DUMMYFUNCTION("""COMPUTED_VALUE"""),"Sarah Afifa")</f>
        <v>Sarah Afifa</v>
      </c>
      <c r="C6" s="5" t="str">
        <f>IFERROR(__xludf.DUMMYFUNCTION("""COMPUTED_VALUE"""),"MTs Putri")</f>
        <v>MTs Putri</v>
      </c>
      <c r="D6" s="168" t="str">
        <f>IFERROR(__xludf.DUMMYFUNCTION("""COMPUTED_VALUE"""),"A")</f>
        <v>A</v>
      </c>
      <c r="E6" s="168" t="str">
        <f>IFERROR(__xludf.DUMMYFUNCTION("""COMPUTED_VALUE"""),"A")</f>
        <v>A</v>
      </c>
      <c r="F6" s="168" t="str">
        <f>IFERROR(__xludf.DUMMYFUNCTION("""COMPUTED_VALUE"""),"A")</f>
        <v>A</v>
      </c>
      <c r="G6" s="168" t="str">
        <f>IFERROR(__xludf.DUMMYFUNCTION("""COMPUTED_VALUE"""),"A")</f>
        <v>A</v>
      </c>
      <c r="H6" s="168" t="str">
        <f>IFERROR(__xludf.DUMMYFUNCTION("""COMPUTED_VALUE"""),"A")</f>
        <v>A</v>
      </c>
    </row>
    <row r="7">
      <c r="A7" s="5" t="str">
        <f>IFERROR(__xludf.DUMMYFUNCTION("""COMPUTED_VALUE"""),"D250003")</f>
        <v>D250003</v>
      </c>
      <c r="B7" s="5" t="str">
        <f>IFERROR(__xludf.DUMMYFUNCTION("""COMPUTED_VALUE"""),"Adibah saefulloh")</f>
        <v>Adibah saefulloh</v>
      </c>
      <c r="C7" s="5" t="str">
        <f>IFERROR(__xludf.DUMMYFUNCTION("""COMPUTED_VALUE"""),"MTs Putri")</f>
        <v>MTs Putri</v>
      </c>
      <c r="D7" s="168" t="str">
        <f>IFERROR(__xludf.DUMMYFUNCTION("""COMPUTED_VALUE"""),"A")</f>
        <v>A</v>
      </c>
      <c r="E7" s="168" t="str">
        <f>IFERROR(__xludf.DUMMYFUNCTION("""COMPUTED_VALUE"""),"A")</f>
        <v>A</v>
      </c>
      <c r="F7" s="168" t="str">
        <f>IFERROR(__xludf.DUMMYFUNCTION("""COMPUTED_VALUE"""),"A")</f>
        <v>A</v>
      </c>
      <c r="G7" s="168" t="str">
        <f>IFERROR(__xludf.DUMMYFUNCTION("""COMPUTED_VALUE"""),"A")</f>
        <v>A</v>
      </c>
      <c r="H7" s="168" t="str">
        <f>IFERROR(__xludf.DUMMYFUNCTION("""COMPUTED_VALUE"""),"A")</f>
        <v>A</v>
      </c>
    </row>
    <row r="8">
      <c r="A8" s="5" t="str">
        <f>IFERROR(__xludf.DUMMYFUNCTION("""COMPUTED_VALUE"""),"D250008")</f>
        <v>D250008</v>
      </c>
      <c r="B8" s="5" t="str">
        <f>IFERROR(__xludf.DUMMYFUNCTION("""COMPUTED_VALUE"""),"SHAKIRA NUR AISYAH")</f>
        <v>SHAKIRA NUR AISYAH</v>
      </c>
      <c r="C8" s="5" t="str">
        <f>IFERROR(__xludf.DUMMYFUNCTION("""COMPUTED_VALUE"""),"MTs Putri")</f>
        <v>MTs Putri</v>
      </c>
      <c r="D8" s="168" t="str">
        <f>IFERROR(__xludf.DUMMYFUNCTION("""COMPUTED_VALUE"""),"A")</f>
        <v>A</v>
      </c>
      <c r="E8" s="168" t="str">
        <f>IFERROR(__xludf.DUMMYFUNCTION("""COMPUTED_VALUE"""),"A")</f>
        <v>A</v>
      </c>
      <c r="F8" s="168" t="str">
        <f>IFERROR(__xludf.DUMMYFUNCTION("""COMPUTED_VALUE"""),"A")</f>
        <v>A</v>
      </c>
      <c r="G8" s="168" t="str">
        <f>IFERROR(__xludf.DUMMYFUNCTION("""COMPUTED_VALUE"""),"A")</f>
        <v>A</v>
      </c>
      <c r="H8" s="168" t="str">
        <f>IFERROR(__xludf.DUMMYFUNCTION("""COMPUTED_VALUE"""),"A")</f>
        <v>A</v>
      </c>
    </row>
    <row r="9">
      <c r="A9" s="5" t="str">
        <f>IFERROR(__xludf.DUMMYFUNCTION("""COMPUTED_VALUE"""),"D250024")</f>
        <v>D250024</v>
      </c>
      <c r="B9" s="5" t="str">
        <f>IFERROR(__xludf.DUMMYFUNCTION("""COMPUTED_VALUE"""),"Hana Dwi Rinjani")</f>
        <v>Hana Dwi Rinjani</v>
      </c>
      <c r="C9" s="5" t="str">
        <f>IFERROR(__xludf.DUMMYFUNCTION("""COMPUTED_VALUE"""),"MTs Putri")</f>
        <v>MTs Putri</v>
      </c>
      <c r="D9" s="168" t="str">
        <f>IFERROR(__xludf.DUMMYFUNCTION("""COMPUTED_VALUE"""),"A")</f>
        <v>A</v>
      </c>
      <c r="E9" s="168" t="str">
        <f>IFERROR(__xludf.DUMMYFUNCTION("""COMPUTED_VALUE"""),"A")</f>
        <v>A</v>
      </c>
      <c r="F9" s="168" t="str">
        <f>IFERROR(__xludf.DUMMYFUNCTION("""COMPUTED_VALUE"""),"A")</f>
        <v>A</v>
      </c>
      <c r="G9" s="168" t="str">
        <f>IFERROR(__xludf.DUMMYFUNCTION("""COMPUTED_VALUE"""),"A")</f>
        <v>A</v>
      </c>
      <c r="H9" s="168" t="str">
        <f>IFERROR(__xludf.DUMMYFUNCTION("""COMPUTED_VALUE"""),"A")</f>
        <v>A</v>
      </c>
    </row>
    <row r="10">
      <c r="A10" s="5" t="str">
        <f>IFERROR(__xludf.DUMMYFUNCTION("""COMPUTED_VALUE"""),"D250002")</f>
        <v>D250002</v>
      </c>
      <c r="B10" s="5" t="str">
        <f>IFERROR(__xludf.DUMMYFUNCTION("""COMPUTED_VALUE"""),"Hanifah Qurrotul 'Ain ")</f>
        <v>Hanifah Qurrotul 'Ain </v>
      </c>
      <c r="C10" s="5" t="str">
        <f>IFERROR(__xludf.DUMMYFUNCTION("""COMPUTED_VALUE"""),"MTs Putri")</f>
        <v>MTs Putri</v>
      </c>
      <c r="D10" s="168" t="str">
        <f>IFERROR(__xludf.DUMMYFUNCTION("""COMPUTED_VALUE"""),"A")</f>
        <v>A</v>
      </c>
      <c r="E10" s="168" t="str">
        <f>IFERROR(__xludf.DUMMYFUNCTION("""COMPUTED_VALUE"""),"A")</f>
        <v>A</v>
      </c>
      <c r="F10" s="168" t="str">
        <f>IFERROR(__xludf.DUMMYFUNCTION("""COMPUTED_VALUE"""),"A")</f>
        <v>A</v>
      </c>
      <c r="G10" s="168" t="str">
        <f>IFERROR(__xludf.DUMMYFUNCTION("""COMPUTED_VALUE"""),"A")</f>
        <v>A</v>
      </c>
      <c r="H10" s="168" t="str">
        <f>IFERROR(__xludf.DUMMYFUNCTION("""COMPUTED_VALUE"""),"A")</f>
        <v>A</v>
      </c>
    </row>
    <row r="11">
      <c r="A11" s="5" t="str">
        <f>IFERROR(__xludf.DUMMYFUNCTION("""COMPUTED_VALUE"""),"D250004")</f>
        <v>D250004</v>
      </c>
      <c r="B11" s="5" t="str">
        <f>IFERROR(__xludf.DUMMYFUNCTION("""COMPUTED_VALUE"""),"Janeeta Candy Hinata")</f>
        <v>Janeeta Candy Hinata</v>
      </c>
      <c r="C11" s="5" t="str">
        <f>IFERROR(__xludf.DUMMYFUNCTION("""COMPUTED_VALUE"""),"MTs Putri")</f>
        <v>MTs Putri</v>
      </c>
      <c r="D11" s="168" t="str">
        <f>IFERROR(__xludf.DUMMYFUNCTION("""COMPUTED_VALUE"""),"A")</f>
        <v>A</v>
      </c>
      <c r="E11" s="168" t="str">
        <f>IFERROR(__xludf.DUMMYFUNCTION("""COMPUTED_VALUE"""),"A")</f>
        <v>A</v>
      </c>
      <c r="F11" s="168" t="str">
        <f>IFERROR(__xludf.DUMMYFUNCTION("""COMPUTED_VALUE"""),"A")</f>
        <v>A</v>
      </c>
      <c r="G11" s="168" t="str">
        <f>IFERROR(__xludf.DUMMYFUNCTION("""COMPUTED_VALUE"""),"A")</f>
        <v>A</v>
      </c>
      <c r="H11" s="168" t="str">
        <f>IFERROR(__xludf.DUMMYFUNCTION("""COMPUTED_VALUE"""),"A")</f>
        <v>A</v>
      </c>
    </row>
    <row r="12">
      <c r="A12" s="5" t="str">
        <f>IFERROR(__xludf.DUMMYFUNCTION("""COMPUTED_VALUE"""),"D250011")</f>
        <v>D250011</v>
      </c>
      <c r="B12" s="5" t="str">
        <f>IFERROR(__xludf.DUMMYFUNCTION("""COMPUTED_VALUE"""),"Alesha az zahra saputra")</f>
        <v>Alesha az zahra saputra</v>
      </c>
      <c r="C12" s="5" t="str">
        <f>IFERROR(__xludf.DUMMYFUNCTION("""COMPUTED_VALUE"""),"MTs Putri")</f>
        <v>MTs Putri</v>
      </c>
      <c r="D12" s="168" t="str">
        <f>IFERROR(__xludf.DUMMYFUNCTION("""COMPUTED_VALUE"""),"A")</f>
        <v>A</v>
      </c>
      <c r="E12" s="168" t="str">
        <f>IFERROR(__xludf.DUMMYFUNCTION("""COMPUTED_VALUE"""),"A")</f>
        <v>A</v>
      </c>
      <c r="F12" s="168" t="str">
        <f>IFERROR(__xludf.DUMMYFUNCTION("""COMPUTED_VALUE"""),"A")</f>
        <v>A</v>
      </c>
      <c r="G12" s="168" t="str">
        <f>IFERROR(__xludf.DUMMYFUNCTION("""COMPUTED_VALUE"""),"B")</f>
        <v>B</v>
      </c>
      <c r="H12" s="168" t="str">
        <f>IFERROR(__xludf.DUMMYFUNCTION("""COMPUTED_VALUE"""),"A")</f>
        <v>A</v>
      </c>
    </row>
    <row r="13">
      <c r="A13" s="5" t="str">
        <f>IFERROR(__xludf.DUMMYFUNCTION("""COMPUTED_VALUE"""),"D250019")</f>
        <v>D250019</v>
      </c>
      <c r="B13" s="5" t="str">
        <f>IFERROR(__xludf.DUMMYFUNCTION("""COMPUTED_VALUE"""),"Maryam Al-Kayyisah ")</f>
        <v>Maryam Al-Kayyisah </v>
      </c>
      <c r="C13" s="5" t="str">
        <f>IFERROR(__xludf.DUMMYFUNCTION("""COMPUTED_VALUE"""),"MTs Putri")</f>
        <v>MTs Putri</v>
      </c>
      <c r="D13" s="168" t="str">
        <f>IFERROR(__xludf.DUMMYFUNCTION("""COMPUTED_VALUE"""),"A")</f>
        <v>A</v>
      </c>
      <c r="E13" s="168" t="str">
        <f>IFERROR(__xludf.DUMMYFUNCTION("""COMPUTED_VALUE"""),"B")</f>
        <v>B</v>
      </c>
      <c r="F13" s="168" t="str">
        <f>IFERROR(__xludf.DUMMYFUNCTION("""COMPUTED_VALUE"""),"A")</f>
        <v>A</v>
      </c>
      <c r="G13" s="168" t="str">
        <f>IFERROR(__xludf.DUMMYFUNCTION("""COMPUTED_VALUE"""),"A")</f>
        <v>A</v>
      </c>
      <c r="H13" s="168" t="str">
        <f>IFERROR(__xludf.DUMMYFUNCTION("""COMPUTED_VALUE"""),"A")</f>
        <v>A</v>
      </c>
    </row>
    <row r="14">
      <c r="A14" s="5" t="str">
        <f>IFERROR(__xludf.DUMMYFUNCTION("""COMPUTED_VALUE"""),"D250017")</f>
        <v>D250017</v>
      </c>
      <c r="B14" s="5" t="str">
        <f>IFERROR(__xludf.DUMMYFUNCTION("""COMPUTED_VALUE"""),"Qaesyara Siti Zafna Fitriyadi")</f>
        <v>Qaesyara Siti Zafna Fitriyadi</v>
      </c>
      <c r="C14" s="5" t="str">
        <f>IFERROR(__xludf.DUMMYFUNCTION("""COMPUTED_VALUE"""),"MTs Putri")</f>
        <v>MTs Putri</v>
      </c>
      <c r="D14" s="168" t="str">
        <f>IFERROR(__xludf.DUMMYFUNCTION("""COMPUTED_VALUE"""),"A")</f>
        <v>A</v>
      </c>
      <c r="E14" s="168" t="str">
        <f>IFERROR(__xludf.DUMMYFUNCTION("""COMPUTED_VALUE"""),"A")</f>
        <v>A</v>
      </c>
      <c r="F14" s="168" t="str">
        <f>IFERROR(__xludf.DUMMYFUNCTION("""COMPUTED_VALUE"""),"A")</f>
        <v>A</v>
      </c>
      <c r="G14" s="168" t="str">
        <f>IFERROR(__xludf.DUMMYFUNCTION("""COMPUTED_VALUE"""),"A")</f>
        <v>A</v>
      </c>
      <c r="H14" s="168" t="str">
        <f>IFERROR(__xludf.DUMMYFUNCTION("""COMPUTED_VALUE"""),"A")</f>
        <v>A</v>
      </c>
    </row>
    <row r="15">
      <c r="A15" s="5" t="str">
        <f>IFERROR(__xludf.DUMMYFUNCTION("""COMPUTED_VALUE"""),"D250027")</f>
        <v>D250027</v>
      </c>
      <c r="B15" s="5" t="str">
        <f>IFERROR(__xludf.DUMMYFUNCTION("""COMPUTED_VALUE"""),"Ulfia Nurfauziah ")</f>
        <v>Ulfia Nurfauziah </v>
      </c>
      <c r="C15" s="5" t="str">
        <f>IFERROR(__xludf.DUMMYFUNCTION("""COMPUTED_VALUE"""),"MTs Putri")</f>
        <v>MTs Putri</v>
      </c>
      <c r="D15" s="168" t="str">
        <f>IFERROR(__xludf.DUMMYFUNCTION("""COMPUTED_VALUE"""),"A")</f>
        <v>A</v>
      </c>
      <c r="E15" s="168" t="str">
        <f>IFERROR(__xludf.DUMMYFUNCTION("""COMPUTED_VALUE"""),"C")</f>
        <v>C</v>
      </c>
      <c r="F15" s="168" t="str">
        <f>IFERROR(__xludf.DUMMYFUNCTION("""COMPUTED_VALUE"""),"A")</f>
        <v>A</v>
      </c>
      <c r="G15" s="168" t="str">
        <f>IFERROR(__xludf.DUMMYFUNCTION("""COMPUTED_VALUE"""),"A")</f>
        <v>A</v>
      </c>
      <c r="H15" s="168" t="str">
        <f>IFERROR(__xludf.DUMMYFUNCTION("""COMPUTED_VALUE"""),"A")</f>
        <v>A</v>
      </c>
    </row>
    <row r="16">
      <c r="A16" s="5" t="str">
        <f>IFERROR(__xludf.DUMMYFUNCTION("""COMPUTED_VALUE"""),"D250010")</f>
        <v>D250010</v>
      </c>
      <c r="B16" s="5" t="str">
        <f>IFERROR(__xludf.DUMMYFUNCTION("""COMPUTED_VALUE"""),"Siti Fatimah Azzahra")</f>
        <v>Siti Fatimah Azzahra</v>
      </c>
      <c r="C16" s="5" t="str">
        <f>IFERROR(__xludf.DUMMYFUNCTION("""COMPUTED_VALUE"""),"MTs Putri")</f>
        <v>MTs Putri</v>
      </c>
      <c r="D16" s="168" t="str">
        <f>IFERROR(__xludf.DUMMYFUNCTION("""COMPUTED_VALUE"""),"A")</f>
        <v>A</v>
      </c>
      <c r="E16" s="168" t="str">
        <f>IFERROR(__xludf.DUMMYFUNCTION("""COMPUTED_VALUE"""),"A")</f>
        <v>A</v>
      </c>
      <c r="F16" s="168" t="str">
        <f>IFERROR(__xludf.DUMMYFUNCTION("""COMPUTED_VALUE"""),"A")</f>
        <v>A</v>
      </c>
      <c r="G16" s="168" t="str">
        <f>IFERROR(__xludf.DUMMYFUNCTION("""COMPUTED_VALUE"""),"A")</f>
        <v>A</v>
      </c>
      <c r="H16" s="168" t="str">
        <f>IFERROR(__xludf.DUMMYFUNCTION("""COMPUTED_VALUE"""),"A")</f>
        <v>A</v>
      </c>
    </row>
    <row r="17">
      <c r="A17" s="5" t="str">
        <f>IFERROR(__xludf.DUMMYFUNCTION("""COMPUTED_VALUE"""),"D250022")</f>
        <v>D250022</v>
      </c>
      <c r="B17" s="5" t="str">
        <f>IFERROR(__xludf.DUMMYFUNCTION("""COMPUTED_VALUE"""),"Hanifah azahra putri")</f>
        <v>Hanifah azahra putri</v>
      </c>
      <c r="C17" s="5" t="str">
        <f>IFERROR(__xludf.DUMMYFUNCTION("""COMPUTED_VALUE"""),"MTs Putri")</f>
        <v>MTs Putri</v>
      </c>
      <c r="D17" s="168" t="str">
        <f>IFERROR(__xludf.DUMMYFUNCTION("""COMPUTED_VALUE"""),"A")</f>
        <v>A</v>
      </c>
      <c r="E17" s="168" t="str">
        <f>IFERROR(__xludf.DUMMYFUNCTION("""COMPUTED_VALUE"""),"A")</f>
        <v>A</v>
      </c>
      <c r="F17" s="168" t="str">
        <f>IFERROR(__xludf.DUMMYFUNCTION("""COMPUTED_VALUE"""),"A")</f>
        <v>A</v>
      </c>
      <c r="G17" s="168" t="str">
        <f>IFERROR(__xludf.DUMMYFUNCTION("""COMPUTED_VALUE"""),"A")</f>
        <v>A</v>
      </c>
      <c r="H17" s="168" t="str">
        <f>IFERROR(__xludf.DUMMYFUNCTION("""COMPUTED_VALUE"""),"A")</f>
        <v>A</v>
      </c>
    </row>
    <row r="18">
      <c r="A18" s="5" t="str">
        <f>IFERROR(__xludf.DUMMYFUNCTION("""COMPUTED_VALUE"""),"D250026")</f>
        <v>D250026</v>
      </c>
      <c r="B18" s="5" t="str">
        <f>IFERROR(__xludf.DUMMYFUNCTION("""COMPUTED_VALUE"""),"Granada khansa el qibtiya")</f>
        <v>Granada khansa el qibtiya</v>
      </c>
      <c r="C18" s="5" t="str">
        <f>IFERROR(__xludf.DUMMYFUNCTION("""COMPUTED_VALUE"""),"MTs Putri")</f>
        <v>MTs Putri</v>
      </c>
      <c r="D18" s="168" t="str">
        <f>IFERROR(__xludf.DUMMYFUNCTION("""COMPUTED_VALUE"""),"A")</f>
        <v>A</v>
      </c>
      <c r="E18" s="168" t="str">
        <f>IFERROR(__xludf.DUMMYFUNCTION("""COMPUTED_VALUE"""),"A")</f>
        <v>A</v>
      </c>
      <c r="F18" s="168" t="str">
        <f>IFERROR(__xludf.DUMMYFUNCTION("""COMPUTED_VALUE"""),"A")</f>
        <v>A</v>
      </c>
      <c r="G18" s="168" t="str">
        <f>IFERROR(__xludf.DUMMYFUNCTION("""COMPUTED_VALUE"""),"A")</f>
        <v>A</v>
      </c>
      <c r="H18" s="168" t="str">
        <f>IFERROR(__xludf.DUMMYFUNCTION("""COMPUTED_VALUE"""),"A")</f>
        <v>A</v>
      </c>
    </row>
    <row r="19">
      <c r="A19" s="5" t="str">
        <f>IFERROR(__xludf.DUMMYFUNCTION("""COMPUTED_VALUE"""),"D250001")</f>
        <v>D250001</v>
      </c>
      <c r="B19" s="5" t="str">
        <f>IFERROR(__xludf.DUMMYFUNCTION("""COMPUTED_VALUE"""),"Qisya Rahma Kamila ")</f>
        <v>Qisya Rahma Kamila </v>
      </c>
      <c r="C19" s="5" t="str">
        <f>IFERROR(__xludf.DUMMYFUNCTION("""COMPUTED_VALUE"""),"MTs Putri")</f>
        <v>MTs Putri</v>
      </c>
      <c r="D19" s="168" t="str">
        <f>IFERROR(__xludf.DUMMYFUNCTION("""COMPUTED_VALUE"""),"A")</f>
        <v>A</v>
      </c>
      <c r="E19" s="168" t="str">
        <f>IFERROR(__xludf.DUMMYFUNCTION("""COMPUTED_VALUE"""),"A")</f>
        <v>A</v>
      </c>
      <c r="F19" s="168" t="str">
        <f>IFERROR(__xludf.DUMMYFUNCTION("""COMPUTED_VALUE"""),"A")</f>
        <v>A</v>
      </c>
      <c r="G19" s="168" t="str">
        <f>IFERROR(__xludf.DUMMYFUNCTION("""COMPUTED_VALUE"""),"A")</f>
        <v>A</v>
      </c>
      <c r="H19" s="168" t="str">
        <f>IFERROR(__xludf.DUMMYFUNCTION("""COMPUTED_VALUE"""),"A")</f>
        <v>A</v>
      </c>
    </row>
    <row r="20">
      <c r="A20" s="5" t="str">
        <f>IFERROR(__xludf.DUMMYFUNCTION("""COMPUTED_VALUE"""),"D250013")</f>
        <v>D250013</v>
      </c>
      <c r="B20" s="5" t="str">
        <f>IFERROR(__xludf.DUMMYFUNCTION("""COMPUTED_VALUE"""),"Rizkia Aulia Az zahra ")</f>
        <v>Rizkia Aulia Az zahra </v>
      </c>
      <c r="C20" s="5" t="str">
        <f>IFERROR(__xludf.DUMMYFUNCTION("""COMPUTED_VALUE"""),"MTs Putri")</f>
        <v>MTs Putri</v>
      </c>
      <c r="D20" s="168" t="str">
        <f>IFERROR(__xludf.DUMMYFUNCTION("""COMPUTED_VALUE"""),"A")</f>
        <v>A</v>
      </c>
      <c r="E20" s="168" t="str">
        <f>IFERROR(__xludf.DUMMYFUNCTION("""COMPUTED_VALUE"""),"A")</f>
        <v>A</v>
      </c>
      <c r="F20" s="168" t="str">
        <f>IFERROR(__xludf.DUMMYFUNCTION("""COMPUTED_VALUE"""),"B")</f>
        <v>B</v>
      </c>
      <c r="G20" s="168" t="str">
        <f>IFERROR(__xludf.DUMMYFUNCTION("""COMPUTED_VALUE"""),"A")</f>
        <v>A</v>
      </c>
      <c r="H20" s="168" t="str">
        <f>IFERROR(__xludf.DUMMYFUNCTION("""COMPUTED_VALUE"""),"A")</f>
        <v>A</v>
      </c>
    </row>
    <row r="21">
      <c r="A21" s="5" t="str">
        <f>IFERROR(__xludf.DUMMYFUNCTION("""COMPUTED_VALUE"""),"D250021")</f>
        <v>D250021</v>
      </c>
      <c r="B21" s="5" t="str">
        <f>IFERROR(__xludf.DUMMYFUNCTION("""COMPUTED_VALUE"""),"Alika Aisyah Putri ")</f>
        <v>Alika Aisyah Putri </v>
      </c>
      <c r="C21" s="5" t="str">
        <f>IFERROR(__xludf.DUMMYFUNCTION("""COMPUTED_VALUE"""),"MTs Putri")</f>
        <v>MTs Putri</v>
      </c>
      <c r="D21" s="168" t="str">
        <f>IFERROR(__xludf.DUMMYFUNCTION("""COMPUTED_VALUE"""),"A")</f>
        <v>A</v>
      </c>
      <c r="E21" s="168" t="str">
        <f>IFERROR(__xludf.DUMMYFUNCTION("""COMPUTED_VALUE"""),"A")</f>
        <v>A</v>
      </c>
      <c r="F21" s="168" t="str">
        <f>IFERROR(__xludf.DUMMYFUNCTION("""COMPUTED_VALUE"""),"A")</f>
        <v>A</v>
      </c>
      <c r="G21" s="168" t="str">
        <f>IFERROR(__xludf.DUMMYFUNCTION("""COMPUTED_VALUE"""),"A")</f>
        <v>A</v>
      </c>
      <c r="H21" s="168" t="str">
        <f>IFERROR(__xludf.DUMMYFUNCTION("""COMPUTED_VALUE"""),"A")</f>
        <v>A</v>
      </c>
    </row>
    <row r="22">
      <c r="A22" s="5" t="str">
        <f>IFERROR(__xludf.DUMMYFUNCTION("""COMPUTED_VALUE"""),"D250018")</f>
        <v>D250018</v>
      </c>
      <c r="B22" s="5" t="str">
        <f>IFERROR(__xludf.DUMMYFUNCTION("""COMPUTED_VALUE"""),"Syahira Zahratul Islam")</f>
        <v>Syahira Zahratul Islam</v>
      </c>
      <c r="C22" s="5" t="str">
        <f>IFERROR(__xludf.DUMMYFUNCTION("""COMPUTED_VALUE"""),"MTs Putri")</f>
        <v>MTs Putri</v>
      </c>
      <c r="D22" s="168" t="str">
        <f>IFERROR(__xludf.DUMMYFUNCTION("""COMPUTED_VALUE"""),"A")</f>
        <v>A</v>
      </c>
      <c r="E22" s="168" t="str">
        <f>IFERROR(__xludf.DUMMYFUNCTION("""COMPUTED_VALUE"""),"A")</f>
        <v>A</v>
      </c>
      <c r="F22" s="168" t="str">
        <f>IFERROR(__xludf.DUMMYFUNCTION("""COMPUTED_VALUE"""),"A")</f>
        <v>A</v>
      </c>
      <c r="G22" s="168" t="str">
        <f>IFERROR(__xludf.DUMMYFUNCTION("""COMPUTED_VALUE"""),"A")</f>
        <v>A</v>
      </c>
      <c r="H22" s="168" t="str">
        <f>IFERROR(__xludf.DUMMYFUNCTION("""COMPUTED_VALUE"""),"A")</f>
        <v>A</v>
      </c>
    </row>
    <row r="23">
      <c r="A23" s="5" t="str">
        <f>IFERROR(__xludf.DUMMYFUNCTION("""COMPUTED_VALUE"""),"D250020")</f>
        <v>D250020</v>
      </c>
      <c r="B23" s="5" t="str">
        <f>IFERROR(__xludf.DUMMYFUNCTION("""COMPUTED_VALUE"""),"adlin ar rihaily")</f>
        <v>adlin ar rihaily</v>
      </c>
      <c r="C23" s="5" t="str">
        <f>IFERROR(__xludf.DUMMYFUNCTION("""COMPUTED_VALUE"""),"MTs Putri")</f>
        <v>MTs Putri</v>
      </c>
      <c r="D23" s="168" t="str">
        <f>IFERROR(__xludf.DUMMYFUNCTION("""COMPUTED_VALUE"""),"A")</f>
        <v>A</v>
      </c>
      <c r="E23" s="168" t="str">
        <f>IFERROR(__xludf.DUMMYFUNCTION("""COMPUTED_VALUE"""),"A")</f>
        <v>A</v>
      </c>
      <c r="F23" s="168" t="str">
        <f>IFERROR(__xludf.DUMMYFUNCTION("""COMPUTED_VALUE"""),"A")</f>
        <v>A</v>
      </c>
      <c r="G23" s="168" t="str">
        <f>IFERROR(__xludf.DUMMYFUNCTION("""COMPUTED_VALUE"""),"A")</f>
        <v>A</v>
      </c>
      <c r="H23" s="168" t="str">
        <f>IFERROR(__xludf.DUMMYFUNCTION("""COMPUTED_VALUE"""),"A")</f>
        <v>A</v>
      </c>
    </row>
    <row r="24">
      <c r="A24" s="5" t="str">
        <f>IFERROR(__xludf.DUMMYFUNCTION("""COMPUTED_VALUE"""),"D250031")</f>
        <v>D250031</v>
      </c>
      <c r="B24" s="5" t="str">
        <f>IFERROR(__xludf.DUMMYFUNCTION("""COMPUTED_VALUE"""),"Zihan Muzainah Zein ")</f>
        <v>Zihan Muzainah Zein </v>
      </c>
      <c r="C24" s="5" t="str">
        <f>IFERROR(__xludf.DUMMYFUNCTION("""COMPUTED_VALUE"""),"MTs Putri")</f>
        <v>MTs Putri</v>
      </c>
      <c r="D24" s="168" t="str">
        <f>IFERROR(__xludf.DUMMYFUNCTION("""COMPUTED_VALUE"""),"A")</f>
        <v>A</v>
      </c>
      <c r="E24" s="168" t="str">
        <f>IFERROR(__xludf.DUMMYFUNCTION("""COMPUTED_VALUE"""),"A")</f>
        <v>A</v>
      </c>
      <c r="F24" s="168" t="str">
        <f>IFERROR(__xludf.DUMMYFUNCTION("""COMPUTED_VALUE"""),"A")</f>
        <v>A</v>
      </c>
      <c r="G24" s="168" t="str">
        <f>IFERROR(__xludf.DUMMYFUNCTION("""COMPUTED_VALUE"""),"A")</f>
        <v>A</v>
      </c>
      <c r="H24" s="168" t="str">
        <f>IFERROR(__xludf.DUMMYFUNCTION("""COMPUTED_VALUE"""),"A")</f>
        <v>A</v>
      </c>
    </row>
    <row r="25">
      <c r="A25" s="5" t="str">
        <f>IFERROR(__xludf.DUMMYFUNCTION("""COMPUTED_VALUE"""),"D250032")</f>
        <v>D250032</v>
      </c>
      <c r="B25" s="5" t="str">
        <f>IFERROR(__xludf.DUMMYFUNCTION("""COMPUTED_VALUE"""),"Aisah")</f>
        <v>Aisah</v>
      </c>
      <c r="C25" s="5" t="str">
        <f>IFERROR(__xludf.DUMMYFUNCTION("""COMPUTED_VALUE"""),"MTs Putri")</f>
        <v>MTs Putri</v>
      </c>
      <c r="D25" s="168" t="str">
        <f>IFERROR(__xludf.DUMMYFUNCTION("""COMPUTED_VALUE"""),"A")</f>
        <v>A</v>
      </c>
      <c r="E25" s="168" t="str">
        <f>IFERROR(__xludf.DUMMYFUNCTION("""COMPUTED_VALUE"""),"B")</f>
        <v>B</v>
      </c>
      <c r="F25" s="168" t="str">
        <f>IFERROR(__xludf.DUMMYFUNCTION("""COMPUTED_VALUE"""),"A")</f>
        <v>A</v>
      </c>
      <c r="G25" s="168" t="str">
        <f>IFERROR(__xludf.DUMMYFUNCTION("""COMPUTED_VALUE"""),"A")</f>
        <v>A</v>
      </c>
      <c r="H25" s="168" t="str">
        <f>IFERROR(__xludf.DUMMYFUNCTION("""COMPUTED_VALUE"""),"A")</f>
        <v>A</v>
      </c>
    </row>
    <row r="26">
      <c r="A26" s="7" t="str">
        <f>IFERROR(__xludf.DUMMYFUNCTION("""COMPUTED_VALUE"""),"D250035")</f>
        <v>D250035</v>
      </c>
      <c r="B26" s="7" t="str">
        <f>IFERROR(__xludf.DUMMYFUNCTION("""COMPUTED_VALUE"""),"Naisya Ashadiya Rusli")</f>
        <v>Naisya Ashadiya Rusli</v>
      </c>
      <c r="C26" s="7" t="str">
        <f>IFERROR(__xludf.DUMMYFUNCTION("""COMPUTED_VALUE"""),"MTs Putri")</f>
        <v>MTs Putri</v>
      </c>
      <c r="D26" s="50"/>
      <c r="E26" s="50"/>
      <c r="F26" s="50"/>
      <c r="G26" s="50"/>
      <c r="H26" s="50"/>
    </row>
    <row r="27">
      <c r="A27" s="7" t="str">
        <f>IFERROR(__xludf.DUMMYFUNCTION("""COMPUTED_VALUE"""),"D250034")</f>
        <v>D250034</v>
      </c>
      <c r="B27" s="7" t="str">
        <f>IFERROR(__xludf.DUMMYFUNCTION("""COMPUTED_VALUE"""),"Aisha Salma Mutmainnah ")</f>
        <v>Aisha Salma Mutmainnah </v>
      </c>
      <c r="C27" s="7" t="str">
        <f>IFERROR(__xludf.DUMMYFUNCTION("""COMPUTED_VALUE"""),"MTs Putri")</f>
        <v>MTs Putri</v>
      </c>
      <c r="D27" s="50"/>
      <c r="E27" s="50"/>
      <c r="F27" s="50"/>
      <c r="G27" s="50"/>
      <c r="H27" s="50"/>
    </row>
    <row r="28">
      <c r="A28" s="7" t="str">
        <f>IFERROR(__xludf.DUMMYFUNCTION("""COMPUTED_VALUE"""),"D250036")</f>
        <v>D250036</v>
      </c>
      <c r="B28" s="7" t="str">
        <f>IFERROR(__xludf.DUMMYFUNCTION("""COMPUTED_VALUE"""),"Ratu rafifa putri mulyana ")</f>
        <v>Ratu rafifa putri mulyana </v>
      </c>
      <c r="C28" s="7" t="str">
        <f>IFERROR(__xludf.DUMMYFUNCTION("""COMPUTED_VALUE"""),"MTs Putri")</f>
        <v>MTs Putri</v>
      </c>
      <c r="D28" s="50"/>
      <c r="E28" s="50"/>
      <c r="F28" s="50"/>
      <c r="G28" s="50"/>
      <c r="H28" s="50"/>
    </row>
    <row r="29">
      <c r="D29" s="50"/>
      <c r="E29" s="50"/>
      <c r="F29" s="50"/>
      <c r="G29" s="50"/>
      <c r="H29" s="50"/>
    </row>
    <row r="30">
      <c r="D30" s="50"/>
      <c r="E30" s="50"/>
      <c r="F30" s="50"/>
      <c r="G30" s="50"/>
      <c r="H30" s="50"/>
    </row>
    <row r="31">
      <c r="D31" s="50"/>
      <c r="E31" s="50"/>
      <c r="F31" s="50"/>
      <c r="G31" s="50"/>
      <c r="H31" s="50"/>
    </row>
    <row r="32">
      <c r="D32" s="50"/>
      <c r="E32" s="50"/>
      <c r="F32" s="50"/>
      <c r="G32" s="50"/>
      <c r="H32" s="50"/>
    </row>
    <row r="33">
      <c r="D33" s="50"/>
      <c r="E33" s="50"/>
      <c r="F33" s="50"/>
      <c r="G33" s="50"/>
      <c r="H33" s="50"/>
    </row>
    <row r="34">
      <c r="D34" s="50"/>
      <c r="E34" s="50"/>
      <c r="F34" s="50"/>
      <c r="G34" s="50"/>
      <c r="H34" s="50"/>
    </row>
    <row r="35">
      <c r="D35" s="50"/>
      <c r="E35" s="50"/>
      <c r="F35" s="50"/>
      <c r="G35" s="50"/>
      <c r="H35" s="50"/>
    </row>
    <row r="36">
      <c r="D36" s="50"/>
      <c r="E36" s="50"/>
      <c r="F36" s="50"/>
      <c r="G36" s="50"/>
      <c r="H36" s="50"/>
    </row>
    <row r="37">
      <c r="D37" s="50"/>
      <c r="E37" s="50"/>
      <c r="F37" s="50"/>
      <c r="G37" s="50"/>
      <c r="H37" s="50"/>
    </row>
    <row r="38">
      <c r="D38" s="50"/>
      <c r="E38" s="50"/>
      <c r="F38" s="50"/>
      <c r="G38" s="50"/>
      <c r="H38" s="50"/>
    </row>
    <row r="39">
      <c r="D39" s="50"/>
      <c r="E39" s="50"/>
      <c r="F39" s="50"/>
      <c r="G39" s="50"/>
      <c r="H39" s="50"/>
    </row>
    <row r="40">
      <c r="D40" s="50"/>
      <c r="E40" s="50"/>
      <c r="F40" s="50"/>
      <c r="G40" s="50"/>
      <c r="H40" s="50"/>
    </row>
    <row r="41">
      <c r="D41" s="50"/>
      <c r="E41" s="50"/>
      <c r="F41" s="50"/>
      <c r="G41" s="50"/>
      <c r="H41" s="50"/>
    </row>
    <row r="42">
      <c r="D42" s="50"/>
      <c r="E42" s="50"/>
      <c r="F42" s="50"/>
      <c r="G42" s="50"/>
      <c r="H42" s="50"/>
    </row>
    <row r="43">
      <c r="D43" s="50"/>
      <c r="E43" s="50"/>
      <c r="F43" s="50"/>
      <c r="G43" s="50"/>
      <c r="H43" s="50"/>
    </row>
    <row r="44">
      <c r="D44" s="50"/>
      <c r="E44" s="50"/>
      <c r="F44" s="50"/>
      <c r="G44" s="50"/>
      <c r="H44" s="50"/>
    </row>
    <row r="45">
      <c r="D45" s="50"/>
      <c r="E45" s="50"/>
      <c r="F45" s="50"/>
      <c r="G45" s="50"/>
      <c r="H45" s="50"/>
    </row>
    <row r="46">
      <c r="D46" s="50"/>
      <c r="E46" s="50"/>
      <c r="F46" s="50"/>
      <c r="G46" s="50"/>
      <c r="H46" s="50"/>
    </row>
    <row r="47">
      <c r="D47" s="50"/>
      <c r="E47" s="50"/>
      <c r="F47" s="50"/>
      <c r="G47" s="50"/>
      <c r="H47" s="50"/>
    </row>
    <row r="48">
      <c r="D48" s="50"/>
      <c r="E48" s="50"/>
      <c r="F48" s="50"/>
      <c r="G48" s="50"/>
      <c r="H48" s="50"/>
    </row>
    <row r="49">
      <c r="D49" s="50"/>
      <c r="E49" s="50"/>
      <c r="F49" s="50"/>
      <c r="G49" s="50"/>
      <c r="H49" s="50"/>
    </row>
    <row r="50">
      <c r="D50" s="50"/>
      <c r="E50" s="50"/>
      <c r="F50" s="50"/>
      <c r="G50" s="50"/>
      <c r="H50" s="50"/>
    </row>
    <row r="51">
      <c r="D51" s="50"/>
      <c r="E51" s="50"/>
      <c r="F51" s="50"/>
      <c r="G51" s="50"/>
      <c r="H51" s="50"/>
    </row>
    <row r="52">
      <c r="D52" s="50"/>
      <c r="E52" s="50"/>
      <c r="F52" s="50"/>
      <c r="G52" s="50"/>
      <c r="H52" s="50"/>
    </row>
    <row r="53">
      <c r="D53" s="50"/>
      <c r="E53" s="50"/>
      <c r="F53" s="50"/>
      <c r="G53" s="50"/>
      <c r="H53" s="50"/>
    </row>
    <row r="54">
      <c r="D54" s="50"/>
      <c r="E54" s="50"/>
      <c r="F54" s="50"/>
      <c r="G54" s="50"/>
      <c r="H54" s="50"/>
    </row>
    <row r="55">
      <c r="D55" s="50"/>
      <c r="E55" s="50"/>
      <c r="F55" s="50"/>
      <c r="G55" s="50"/>
      <c r="H55" s="50"/>
    </row>
    <row r="56">
      <c r="D56" s="50"/>
      <c r="E56" s="50"/>
      <c r="F56" s="50"/>
      <c r="G56" s="50"/>
      <c r="H56" s="50"/>
    </row>
    <row r="57">
      <c r="D57" s="50"/>
      <c r="E57" s="50"/>
      <c r="F57" s="50"/>
      <c r="G57" s="50"/>
      <c r="H57" s="50"/>
    </row>
    <row r="58">
      <c r="D58" s="50"/>
      <c r="E58" s="50"/>
      <c r="F58" s="50"/>
      <c r="G58" s="50"/>
      <c r="H58" s="50"/>
    </row>
    <row r="59">
      <c r="D59" s="50"/>
      <c r="E59" s="50"/>
      <c r="F59" s="50"/>
      <c r="G59" s="50"/>
      <c r="H59" s="50"/>
    </row>
    <row r="60">
      <c r="D60" s="50"/>
      <c r="E60" s="50"/>
      <c r="F60" s="50"/>
      <c r="G60" s="50"/>
      <c r="H60" s="50"/>
    </row>
    <row r="61">
      <c r="D61" s="50"/>
      <c r="E61" s="50"/>
      <c r="F61" s="50"/>
      <c r="G61" s="50"/>
      <c r="H61" s="50"/>
    </row>
    <row r="62">
      <c r="D62" s="50"/>
      <c r="E62" s="50"/>
      <c r="F62" s="50"/>
      <c r="G62" s="50"/>
      <c r="H62" s="50"/>
    </row>
    <row r="63">
      <c r="D63" s="50"/>
      <c r="E63" s="50"/>
      <c r="F63" s="50"/>
      <c r="G63" s="50"/>
      <c r="H63" s="50"/>
    </row>
    <row r="64">
      <c r="D64" s="50"/>
      <c r="E64" s="50"/>
      <c r="F64" s="50"/>
      <c r="G64" s="50"/>
      <c r="H64" s="50"/>
    </row>
    <row r="65">
      <c r="D65" s="50"/>
      <c r="E65" s="50"/>
      <c r="F65" s="50"/>
      <c r="G65" s="50"/>
      <c r="H65" s="50"/>
    </row>
    <row r="66">
      <c r="D66" s="50"/>
      <c r="E66" s="50"/>
      <c r="F66" s="50"/>
      <c r="G66" s="50"/>
      <c r="H66" s="50"/>
    </row>
    <row r="67">
      <c r="D67" s="50"/>
      <c r="E67" s="50"/>
      <c r="F67" s="50"/>
      <c r="G67" s="50"/>
      <c r="H67" s="50"/>
    </row>
    <row r="68">
      <c r="D68" s="50"/>
      <c r="E68" s="50"/>
      <c r="F68" s="50"/>
      <c r="G68" s="50"/>
      <c r="H68" s="50"/>
    </row>
    <row r="69">
      <c r="D69" s="50"/>
      <c r="E69" s="50"/>
      <c r="F69" s="50"/>
      <c r="G69" s="50"/>
      <c r="H69" s="50"/>
    </row>
    <row r="70">
      <c r="D70" s="50"/>
      <c r="E70" s="50"/>
      <c r="F70" s="50"/>
      <c r="G70" s="50"/>
      <c r="H70" s="50"/>
    </row>
    <row r="71">
      <c r="D71" s="50"/>
      <c r="E71" s="50"/>
      <c r="F71" s="50"/>
      <c r="G71" s="50"/>
      <c r="H71" s="50"/>
    </row>
    <row r="72">
      <c r="D72" s="50"/>
      <c r="E72" s="50"/>
      <c r="F72" s="50"/>
      <c r="G72" s="50"/>
      <c r="H72" s="50"/>
    </row>
    <row r="73">
      <c r="D73" s="50"/>
      <c r="E73" s="50"/>
      <c r="F73" s="50"/>
      <c r="G73" s="50"/>
      <c r="H73" s="50"/>
    </row>
    <row r="74">
      <c r="D74" s="50"/>
      <c r="E74" s="50"/>
      <c r="F74" s="50"/>
      <c r="G74" s="50"/>
      <c r="H74" s="50"/>
    </row>
    <row r="75">
      <c r="D75" s="50"/>
      <c r="E75" s="50"/>
      <c r="F75" s="50"/>
      <c r="G75" s="50"/>
      <c r="H75" s="50"/>
    </row>
    <row r="76">
      <c r="D76" s="50"/>
      <c r="E76" s="50"/>
      <c r="F76" s="50"/>
      <c r="G76" s="50"/>
      <c r="H76" s="50"/>
    </row>
    <row r="77">
      <c r="D77" s="50"/>
      <c r="E77" s="50"/>
      <c r="F77" s="50"/>
      <c r="G77" s="50"/>
      <c r="H77" s="50"/>
    </row>
    <row r="78">
      <c r="D78" s="50"/>
      <c r="E78" s="50"/>
      <c r="F78" s="50"/>
      <c r="G78" s="50"/>
      <c r="H78" s="50"/>
    </row>
    <row r="79">
      <c r="D79" s="50"/>
      <c r="E79" s="50"/>
      <c r="F79" s="50"/>
      <c r="G79" s="50"/>
      <c r="H79" s="50"/>
    </row>
    <row r="80">
      <c r="D80" s="50"/>
      <c r="E80" s="50"/>
      <c r="F80" s="50"/>
      <c r="G80" s="50"/>
      <c r="H80" s="50"/>
    </row>
    <row r="81">
      <c r="D81" s="50"/>
      <c r="E81" s="50"/>
      <c r="F81" s="50"/>
      <c r="G81" s="50"/>
      <c r="H81" s="50"/>
    </row>
    <row r="82">
      <c r="D82" s="50"/>
      <c r="E82" s="50"/>
      <c r="F82" s="50"/>
      <c r="G82" s="50"/>
      <c r="H82" s="50"/>
    </row>
    <row r="83">
      <c r="D83" s="50"/>
      <c r="E83" s="50"/>
      <c r="F83" s="50"/>
      <c r="G83" s="50"/>
      <c r="H83" s="50"/>
    </row>
    <row r="84">
      <c r="D84" s="50"/>
      <c r="E84" s="50"/>
      <c r="F84" s="50"/>
      <c r="G84" s="50"/>
      <c r="H84" s="50"/>
    </row>
    <row r="85">
      <c r="D85" s="50"/>
      <c r="E85" s="50"/>
      <c r="F85" s="50"/>
      <c r="G85" s="50"/>
      <c r="H85" s="50"/>
    </row>
    <row r="86">
      <c r="D86" s="50"/>
      <c r="E86" s="50"/>
      <c r="F86" s="50"/>
      <c r="G86" s="50"/>
      <c r="H86" s="50"/>
    </row>
    <row r="87">
      <c r="D87" s="50"/>
      <c r="E87" s="50"/>
      <c r="F87" s="50"/>
      <c r="G87" s="50"/>
      <c r="H87" s="50"/>
    </row>
    <row r="88">
      <c r="D88" s="50"/>
      <c r="E88" s="50"/>
      <c r="F88" s="50"/>
      <c r="G88" s="50"/>
      <c r="H88" s="50"/>
    </row>
    <row r="89">
      <c r="D89" s="50"/>
      <c r="E89" s="50"/>
      <c r="F89" s="50"/>
      <c r="G89" s="50"/>
      <c r="H89" s="50"/>
    </row>
    <row r="90">
      <c r="D90" s="50"/>
      <c r="E90" s="50"/>
      <c r="F90" s="50"/>
      <c r="G90" s="50"/>
      <c r="H90" s="50"/>
    </row>
    <row r="91">
      <c r="D91" s="50"/>
      <c r="E91" s="50"/>
      <c r="F91" s="50"/>
      <c r="G91" s="50"/>
      <c r="H91" s="50"/>
    </row>
    <row r="92">
      <c r="D92" s="50"/>
      <c r="E92" s="50"/>
      <c r="F92" s="50"/>
      <c r="G92" s="50"/>
      <c r="H92" s="50"/>
    </row>
    <row r="93">
      <c r="D93" s="50"/>
      <c r="E93" s="50"/>
      <c r="F93" s="50"/>
      <c r="G93" s="50"/>
      <c r="H93" s="50"/>
    </row>
    <row r="94">
      <c r="D94" s="50"/>
      <c r="E94" s="50"/>
      <c r="F94" s="50"/>
      <c r="G94" s="50"/>
      <c r="H94" s="50"/>
    </row>
    <row r="95">
      <c r="D95" s="50"/>
      <c r="E95" s="50"/>
      <c r="F95" s="50"/>
      <c r="G95" s="50"/>
      <c r="H95" s="50"/>
    </row>
    <row r="96">
      <c r="D96" s="50"/>
      <c r="E96" s="50"/>
      <c r="F96" s="50"/>
      <c r="G96" s="50"/>
      <c r="H96" s="50"/>
    </row>
    <row r="97">
      <c r="D97" s="50"/>
      <c r="E97" s="50"/>
      <c r="F97" s="50"/>
      <c r="G97" s="50"/>
      <c r="H97" s="50"/>
    </row>
    <row r="98">
      <c r="D98" s="50"/>
      <c r="E98" s="50"/>
      <c r="F98" s="50"/>
      <c r="G98" s="50"/>
      <c r="H98" s="50"/>
    </row>
    <row r="99">
      <c r="D99" s="50"/>
      <c r="E99" s="50"/>
      <c r="F99" s="50"/>
      <c r="G99" s="50"/>
      <c r="H99" s="50"/>
    </row>
    <row r="100">
      <c r="D100" s="50"/>
      <c r="E100" s="50"/>
      <c r="F100" s="50"/>
      <c r="G100" s="50"/>
      <c r="H100" s="50"/>
    </row>
    <row r="101">
      <c r="D101" s="50"/>
      <c r="E101" s="50"/>
      <c r="F101" s="50"/>
      <c r="G101" s="50"/>
      <c r="H101" s="50"/>
    </row>
    <row r="102">
      <c r="D102" s="50"/>
      <c r="E102" s="50"/>
      <c r="F102" s="50"/>
      <c r="G102" s="50"/>
      <c r="H102" s="50"/>
    </row>
    <row r="103">
      <c r="D103" s="50"/>
      <c r="E103" s="50"/>
      <c r="F103" s="50"/>
      <c r="G103" s="50"/>
      <c r="H103" s="50"/>
    </row>
    <row r="104">
      <c r="D104" s="50"/>
      <c r="E104" s="50"/>
      <c r="F104" s="50"/>
      <c r="G104" s="50"/>
      <c r="H104" s="50"/>
    </row>
    <row r="105">
      <c r="D105" s="50"/>
      <c r="E105" s="50"/>
      <c r="F105" s="50"/>
      <c r="G105" s="50"/>
      <c r="H105" s="50"/>
    </row>
    <row r="106">
      <c r="D106" s="50"/>
      <c r="E106" s="50"/>
      <c r="F106" s="50"/>
      <c r="G106" s="50"/>
      <c r="H106" s="50"/>
    </row>
    <row r="107">
      <c r="D107" s="50"/>
      <c r="E107" s="50"/>
      <c r="F107" s="50"/>
      <c r="G107" s="50"/>
      <c r="H107" s="50"/>
    </row>
    <row r="108">
      <c r="D108" s="50"/>
      <c r="E108" s="50"/>
      <c r="F108" s="50"/>
      <c r="G108" s="50"/>
      <c r="H108" s="50"/>
    </row>
    <row r="109">
      <c r="D109" s="50"/>
      <c r="E109" s="50"/>
      <c r="F109" s="50"/>
      <c r="G109" s="50"/>
      <c r="H109" s="50"/>
    </row>
    <row r="110">
      <c r="D110" s="50"/>
      <c r="E110" s="50"/>
      <c r="F110" s="50"/>
      <c r="G110" s="50"/>
      <c r="H110" s="50"/>
    </row>
    <row r="111">
      <c r="D111" s="50"/>
      <c r="E111" s="50"/>
      <c r="F111" s="50"/>
      <c r="G111" s="50"/>
      <c r="H111" s="50"/>
    </row>
    <row r="112">
      <c r="D112" s="50"/>
      <c r="E112" s="50"/>
      <c r="F112" s="50"/>
      <c r="G112" s="50"/>
      <c r="H112" s="50"/>
    </row>
    <row r="113">
      <c r="D113" s="50"/>
      <c r="E113" s="50"/>
      <c r="F113" s="50"/>
      <c r="G113" s="50"/>
      <c r="H113" s="50"/>
    </row>
    <row r="114">
      <c r="D114" s="50"/>
      <c r="E114" s="50"/>
      <c r="F114" s="50"/>
      <c r="G114" s="50"/>
      <c r="H114" s="50"/>
    </row>
    <row r="115">
      <c r="D115" s="50"/>
      <c r="E115" s="50"/>
      <c r="F115" s="50"/>
      <c r="G115" s="50"/>
      <c r="H115" s="50"/>
    </row>
    <row r="116">
      <c r="D116" s="50"/>
      <c r="E116" s="50"/>
      <c r="F116" s="50"/>
      <c r="G116" s="50"/>
      <c r="H116" s="50"/>
    </row>
    <row r="117">
      <c r="D117" s="50"/>
      <c r="E117" s="50"/>
      <c r="F117" s="50"/>
      <c r="G117" s="50"/>
      <c r="H117" s="50"/>
    </row>
    <row r="118">
      <c r="D118" s="50"/>
      <c r="E118" s="50"/>
      <c r="F118" s="50"/>
      <c r="G118" s="50"/>
      <c r="H118" s="50"/>
    </row>
    <row r="119">
      <c r="D119" s="50"/>
      <c r="E119" s="50"/>
      <c r="F119" s="50"/>
      <c r="G119" s="50"/>
      <c r="H119" s="50"/>
    </row>
    <row r="120">
      <c r="D120" s="50"/>
      <c r="E120" s="50"/>
      <c r="F120" s="50"/>
      <c r="G120" s="50"/>
      <c r="H120" s="50"/>
    </row>
    <row r="121">
      <c r="D121" s="50"/>
      <c r="E121" s="50"/>
      <c r="F121" s="50"/>
      <c r="G121" s="50"/>
      <c r="H121" s="50"/>
    </row>
    <row r="122">
      <c r="D122" s="50"/>
      <c r="E122" s="50"/>
      <c r="F122" s="50"/>
      <c r="G122" s="50"/>
      <c r="H122" s="50"/>
    </row>
    <row r="123">
      <c r="D123" s="50"/>
      <c r="E123" s="50"/>
      <c r="F123" s="50"/>
      <c r="G123" s="50"/>
      <c r="H123" s="50"/>
    </row>
    <row r="124">
      <c r="D124" s="50"/>
      <c r="E124" s="50"/>
      <c r="F124" s="50"/>
      <c r="G124" s="50"/>
      <c r="H124" s="50"/>
    </row>
    <row r="125">
      <c r="D125" s="50"/>
      <c r="E125" s="50"/>
      <c r="F125" s="50"/>
      <c r="G125" s="50"/>
      <c r="H125" s="50"/>
    </row>
    <row r="126">
      <c r="D126" s="50"/>
      <c r="E126" s="50"/>
      <c r="F126" s="50"/>
      <c r="G126" s="50"/>
      <c r="H126" s="50"/>
    </row>
    <row r="127">
      <c r="D127" s="50"/>
      <c r="E127" s="50"/>
      <c r="F127" s="50"/>
      <c r="G127" s="50"/>
      <c r="H127" s="50"/>
    </row>
    <row r="128">
      <c r="D128" s="50"/>
      <c r="E128" s="50"/>
      <c r="F128" s="50"/>
      <c r="G128" s="50"/>
      <c r="H128" s="50"/>
    </row>
    <row r="129">
      <c r="D129" s="50"/>
      <c r="E129" s="50"/>
      <c r="F129" s="50"/>
      <c r="G129" s="50"/>
      <c r="H129" s="50"/>
    </row>
    <row r="130">
      <c r="D130" s="50"/>
      <c r="E130" s="50"/>
      <c r="F130" s="50"/>
      <c r="G130" s="50"/>
      <c r="H130" s="50"/>
    </row>
    <row r="131">
      <c r="D131" s="50"/>
      <c r="E131" s="50"/>
      <c r="F131" s="50"/>
      <c r="G131" s="50"/>
      <c r="H131" s="50"/>
    </row>
    <row r="132">
      <c r="D132" s="50"/>
      <c r="E132" s="50"/>
      <c r="F132" s="50"/>
      <c r="G132" s="50"/>
      <c r="H132" s="50"/>
    </row>
    <row r="133">
      <c r="D133" s="50"/>
      <c r="E133" s="50"/>
      <c r="F133" s="50"/>
      <c r="G133" s="50"/>
      <c r="H133" s="50"/>
    </row>
    <row r="134">
      <c r="D134" s="50"/>
      <c r="E134" s="50"/>
      <c r="F134" s="50"/>
      <c r="G134" s="50"/>
      <c r="H134" s="50"/>
    </row>
    <row r="135">
      <c r="D135" s="50"/>
      <c r="E135" s="50"/>
      <c r="F135" s="50"/>
      <c r="G135" s="50"/>
      <c r="H135" s="50"/>
    </row>
    <row r="136">
      <c r="D136" s="50"/>
      <c r="E136" s="50"/>
      <c r="F136" s="50"/>
      <c r="G136" s="50"/>
      <c r="H136" s="50"/>
    </row>
    <row r="137">
      <c r="D137" s="50"/>
      <c r="E137" s="50"/>
      <c r="F137" s="50"/>
      <c r="G137" s="50"/>
      <c r="H137" s="50"/>
    </row>
    <row r="138">
      <c r="D138" s="50"/>
      <c r="E138" s="50"/>
      <c r="F138" s="50"/>
      <c r="G138" s="50"/>
      <c r="H138" s="50"/>
    </row>
    <row r="139">
      <c r="D139" s="50"/>
      <c r="E139" s="50"/>
      <c r="F139" s="50"/>
      <c r="G139" s="50"/>
      <c r="H139" s="50"/>
    </row>
    <row r="140">
      <c r="D140" s="50"/>
      <c r="E140" s="50"/>
      <c r="F140" s="50"/>
      <c r="G140" s="50"/>
      <c r="H140" s="50"/>
    </row>
    <row r="141">
      <c r="D141" s="50"/>
      <c r="E141" s="50"/>
      <c r="F141" s="50"/>
      <c r="G141" s="50"/>
      <c r="H141" s="50"/>
    </row>
    <row r="142">
      <c r="D142" s="50"/>
      <c r="E142" s="50"/>
      <c r="F142" s="50"/>
      <c r="G142" s="50"/>
      <c r="H142" s="50"/>
    </row>
    <row r="143">
      <c r="D143" s="50"/>
      <c r="E143" s="50"/>
      <c r="F143" s="50"/>
      <c r="G143" s="50"/>
      <c r="H143" s="50"/>
    </row>
    <row r="144">
      <c r="D144" s="50"/>
      <c r="E144" s="50"/>
      <c r="F144" s="50"/>
      <c r="G144" s="50"/>
      <c r="H144" s="50"/>
    </row>
    <row r="145">
      <c r="D145" s="50"/>
      <c r="E145" s="50"/>
      <c r="F145" s="50"/>
      <c r="G145" s="50"/>
      <c r="H145" s="50"/>
    </row>
    <row r="146">
      <c r="D146" s="50"/>
      <c r="E146" s="50"/>
      <c r="F146" s="50"/>
      <c r="G146" s="50"/>
      <c r="H146" s="50"/>
    </row>
    <row r="147">
      <c r="D147" s="50"/>
      <c r="E147" s="50"/>
      <c r="F147" s="50"/>
      <c r="G147" s="50"/>
      <c r="H147" s="50"/>
    </row>
    <row r="148">
      <c r="D148" s="50"/>
      <c r="E148" s="50"/>
      <c r="F148" s="50"/>
      <c r="G148" s="50"/>
      <c r="H148" s="50"/>
    </row>
    <row r="149">
      <c r="D149" s="50"/>
      <c r="E149" s="50"/>
      <c r="F149" s="50"/>
      <c r="G149" s="50"/>
      <c r="H149" s="50"/>
    </row>
    <row r="150">
      <c r="D150" s="50"/>
      <c r="E150" s="50"/>
      <c r="F150" s="50"/>
      <c r="G150" s="50"/>
      <c r="H150" s="50"/>
    </row>
    <row r="151">
      <c r="D151" s="50"/>
      <c r="E151" s="50"/>
      <c r="F151" s="50"/>
      <c r="G151" s="50"/>
      <c r="H151" s="50"/>
    </row>
    <row r="152">
      <c r="D152" s="50"/>
      <c r="E152" s="50"/>
      <c r="F152" s="50"/>
      <c r="G152" s="50"/>
      <c r="H152" s="50"/>
    </row>
    <row r="153">
      <c r="D153" s="50"/>
      <c r="E153" s="50"/>
      <c r="F153" s="50"/>
      <c r="G153" s="50"/>
      <c r="H153" s="50"/>
    </row>
    <row r="154">
      <c r="D154" s="50"/>
      <c r="E154" s="50"/>
      <c r="F154" s="50"/>
      <c r="G154" s="50"/>
      <c r="H154" s="50"/>
    </row>
    <row r="155">
      <c r="D155" s="50"/>
      <c r="E155" s="50"/>
      <c r="F155" s="50"/>
      <c r="G155" s="50"/>
      <c r="H155" s="50"/>
    </row>
    <row r="156">
      <c r="D156" s="50"/>
      <c r="E156" s="50"/>
      <c r="F156" s="50"/>
      <c r="G156" s="50"/>
      <c r="H156" s="50"/>
    </row>
    <row r="157">
      <c r="D157" s="50"/>
      <c r="E157" s="50"/>
      <c r="F157" s="50"/>
      <c r="G157" s="50"/>
      <c r="H157" s="50"/>
    </row>
    <row r="158">
      <c r="D158" s="50"/>
      <c r="E158" s="50"/>
      <c r="F158" s="50"/>
      <c r="G158" s="50"/>
      <c r="H158" s="50"/>
    </row>
    <row r="159">
      <c r="D159" s="50"/>
      <c r="E159" s="50"/>
      <c r="F159" s="50"/>
      <c r="G159" s="50"/>
      <c r="H159" s="50"/>
    </row>
    <row r="160">
      <c r="D160" s="50"/>
      <c r="E160" s="50"/>
      <c r="F160" s="50"/>
      <c r="G160" s="50"/>
      <c r="H160" s="50"/>
    </row>
    <row r="161">
      <c r="D161" s="50"/>
      <c r="E161" s="50"/>
      <c r="F161" s="50"/>
      <c r="G161" s="50"/>
      <c r="H161" s="50"/>
    </row>
    <row r="162">
      <c r="D162" s="50"/>
      <c r="E162" s="50"/>
      <c r="F162" s="50"/>
      <c r="G162" s="50"/>
      <c r="H162" s="50"/>
    </row>
    <row r="163">
      <c r="D163" s="50"/>
      <c r="E163" s="50"/>
      <c r="F163" s="50"/>
      <c r="G163" s="50"/>
      <c r="H163" s="50"/>
    </row>
    <row r="164">
      <c r="D164" s="50"/>
      <c r="E164" s="50"/>
      <c r="F164" s="50"/>
      <c r="G164" s="50"/>
      <c r="H164" s="50"/>
    </row>
    <row r="165">
      <c r="D165" s="50"/>
      <c r="E165" s="50"/>
      <c r="F165" s="50"/>
      <c r="G165" s="50"/>
      <c r="H165" s="50"/>
    </row>
    <row r="166">
      <c r="D166" s="50"/>
      <c r="E166" s="50"/>
      <c r="F166" s="50"/>
      <c r="G166" s="50"/>
      <c r="H166" s="50"/>
    </row>
    <row r="167">
      <c r="D167" s="50"/>
      <c r="E167" s="50"/>
      <c r="F167" s="50"/>
      <c r="G167" s="50"/>
      <c r="H167" s="50"/>
    </row>
    <row r="168">
      <c r="D168" s="50"/>
      <c r="E168" s="50"/>
      <c r="F168" s="50"/>
      <c r="G168" s="50"/>
      <c r="H168" s="50"/>
    </row>
    <row r="169">
      <c r="D169" s="50"/>
      <c r="E169" s="50"/>
      <c r="F169" s="50"/>
      <c r="G169" s="50"/>
      <c r="H169" s="50"/>
    </row>
    <row r="170">
      <c r="D170" s="50"/>
      <c r="E170" s="50"/>
      <c r="F170" s="50"/>
      <c r="G170" s="50"/>
      <c r="H170" s="50"/>
    </row>
    <row r="171">
      <c r="D171" s="50"/>
      <c r="E171" s="50"/>
      <c r="F171" s="50"/>
      <c r="G171" s="50"/>
      <c r="H171" s="50"/>
    </row>
    <row r="172">
      <c r="D172" s="50"/>
      <c r="E172" s="50"/>
      <c r="F172" s="50"/>
      <c r="G172" s="50"/>
      <c r="H172" s="50"/>
    </row>
    <row r="173">
      <c r="D173" s="50"/>
      <c r="E173" s="50"/>
      <c r="F173" s="50"/>
      <c r="G173" s="50"/>
      <c r="H173" s="50"/>
    </row>
    <row r="174">
      <c r="D174" s="50"/>
      <c r="E174" s="50"/>
      <c r="F174" s="50"/>
      <c r="G174" s="50"/>
      <c r="H174" s="50"/>
    </row>
    <row r="175">
      <c r="D175" s="50"/>
      <c r="E175" s="50"/>
      <c r="F175" s="50"/>
      <c r="G175" s="50"/>
      <c r="H175" s="50"/>
    </row>
    <row r="176">
      <c r="D176" s="50"/>
      <c r="E176" s="50"/>
      <c r="F176" s="50"/>
      <c r="G176" s="50"/>
      <c r="H176" s="50"/>
    </row>
    <row r="177">
      <c r="D177" s="50"/>
      <c r="E177" s="50"/>
      <c r="F177" s="50"/>
      <c r="G177" s="50"/>
      <c r="H177" s="50"/>
    </row>
    <row r="178">
      <c r="D178" s="50"/>
      <c r="E178" s="50"/>
      <c r="F178" s="50"/>
      <c r="G178" s="50"/>
      <c r="H178" s="50"/>
    </row>
    <row r="179">
      <c r="D179" s="50"/>
      <c r="E179" s="50"/>
      <c r="F179" s="50"/>
      <c r="G179" s="50"/>
      <c r="H179" s="50"/>
    </row>
    <row r="180">
      <c r="D180" s="50"/>
      <c r="E180" s="50"/>
      <c r="F180" s="50"/>
      <c r="G180" s="50"/>
      <c r="H180" s="50"/>
    </row>
    <row r="181">
      <c r="D181" s="50"/>
      <c r="E181" s="50"/>
      <c r="F181" s="50"/>
      <c r="G181" s="50"/>
      <c r="H181" s="50"/>
    </row>
    <row r="182">
      <c r="D182" s="50"/>
      <c r="E182" s="50"/>
      <c r="F182" s="50"/>
      <c r="G182" s="50"/>
      <c r="H182" s="50"/>
    </row>
    <row r="183">
      <c r="D183" s="50"/>
      <c r="E183" s="50"/>
      <c r="F183" s="50"/>
      <c r="G183" s="50"/>
      <c r="H183" s="50"/>
    </row>
    <row r="184">
      <c r="D184" s="50"/>
      <c r="E184" s="50"/>
      <c r="F184" s="50"/>
      <c r="G184" s="50"/>
      <c r="H184" s="50"/>
    </row>
    <row r="185">
      <c r="D185" s="50"/>
      <c r="E185" s="50"/>
      <c r="F185" s="50"/>
      <c r="G185" s="50"/>
      <c r="H185" s="50"/>
    </row>
    <row r="186">
      <c r="D186" s="50"/>
      <c r="E186" s="50"/>
      <c r="F186" s="50"/>
      <c r="G186" s="50"/>
      <c r="H186" s="50"/>
    </row>
    <row r="187">
      <c r="D187" s="50"/>
      <c r="E187" s="50"/>
      <c r="F187" s="50"/>
      <c r="G187" s="50"/>
      <c r="H187" s="50"/>
    </row>
    <row r="188">
      <c r="D188" s="50"/>
      <c r="E188" s="50"/>
      <c r="F188" s="50"/>
      <c r="G188" s="50"/>
      <c r="H188" s="50"/>
    </row>
    <row r="189">
      <c r="D189" s="50"/>
      <c r="E189" s="50"/>
      <c r="F189" s="50"/>
      <c r="G189" s="50"/>
      <c r="H189" s="50"/>
    </row>
    <row r="190">
      <c r="D190" s="50"/>
      <c r="E190" s="50"/>
      <c r="F190" s="50"/>
      <c r="G190" s="50"/>
      <c r="H190" s="50"/>
    </row>
    <row r="191">
      <c r="D191" s="50"/>
      <c r="E191" s="50"/>
      <c r="F191" s="50"/>
      <c r="G191" s="50"/>
      <c r="H191" s="50"/>
    </row>
    <row r="192">
      <c r="D192" s="50"/>
      <c r="E192" s="50"/>
      <c r="F192" s="50"/>
      <c r="G192" s="50"/>
      <c r="H192" s="50"/>
    </row>
    <row r="193">
      <c r="D193" s="50"/>
      <c r="E193" s="50"/>
      <c r="F193" s="50"/>
      <c r="G193" s="50"/>
      <c r="H193" s="50"/>
    </row>
    <row r="194">
      <c r="D194" s="50"/>
      <c r="E194" s="50"/>
      <c r="F194" s="50"/>
      <c r="G194" s="50"/>
      <c r="H194" s="50"/>
    </row>
    <row r="195">
      <c r="D195" s="50"/>
      <c r="E195" s="50"/>
      <c r="F195" s="50"/>
      <c r="G195" s="50"/>
      <c r="H195" s="50"/>
    </row>
    <row r="196">
      <c r="D196" s="50"/>
      <c r="E196" s="50"/>
      <c r="F196" s="50"/>
      <c r="G196" s="50"/>
      <c r="H196" s="50"/>
    </row>
    <row r="197">
      <c r="D197" s="50"/>
      <c r="E197" s="50"/>
      <c r="F197" s="50"/>
      <c r="G197" s="50"/>
      <c r="H197" s="50"/>
    </row>
    <row r="198">
      <c r="D198" s="50"/>
      <c r="E198" s="50"/>
      <c r="F198" s="50"/>
      <c r="G198" s="50"/>
      <c r="H198" s="50"/>
    </row>
    <row r="199">
      <c r="D199" s="50"/>
      <c r="E199" s="50"/>
      <c r="F199" s="50"/>
      <c r="G199" s="50"/>
      <c r="H199" s="50"/>
    </row>
    <row r="200">
      <c r="D200" s="50"/>
      <c r="E200" s="50"/>
      <c r="F200" s="50"/>
      <c r="G200" s="50"/>
      <c r="H200" s="50"/>
    </row>
    <row r="201">
      <c r="D201" s="50"/>
      <c r="E201" s="50"/>
      <c r="F201" s="50"/>
      <c r="G201" s="50"/>
      <c r="H201" s="50"/>
    </row>
    <row r="202">
      <c r="D202" s="50"/>
      <c r="E202" s="50"/>
      <c r="F202" s="50"/>
      <c r="G202" s="50"/>
      <c r="H202" s="50"/>
    </row>
    <row r="203">
      <c r="D203" s="50"/>
      <c r="E203" s="50"/>
      <c r="F203" s="50"/>
      <c r="G203" s="50"/>
      <c r="H203" s="50"/>
    </row>
    <row r="204">
      <c r="D204" s="50"/>
      <c r="E204" s="50"/>
      <c r="F204" s="50"/>
      <c r="G204" s="50"/>
      <c r="H204" s="50"/>
    </row>
    <row r="205">
      <c r="D205" s="50"/>
      <c r="E205" s="50"/>
      <c r="F205" s="50"/>
      <c r="G205" s="50"/>
      <c r="H205" s="50"/>
    </row>
    <row r="206">
      <c r="D206" s="50"/>
      <c r="E206" s="50"/>
      <c r="F206" s="50"/>
      <c r="G206" s="50"/>
      <c r="H206" s="50"/>
    </row>
    <row r="207">
      <c r="D207" s="50"/>
      <c r="E207" s="50"/>
      <c r="F207" s="50"/>
      <c r="G207" s="50"/>
      <c r="H207" s="50"/>
    </row>
    <row r="208">
      <c r="D208" s="50"/>
      <c r="E208" s="50"/>
      <c r="F208" s="50"/>
      <c r="G208" s="50"/>
      <c r="H208" s="50"/>
    </row>
    <row r="209">
      <c r="D209" s="50"/>
      <c r="E209" s="50"/>
      <c r="F209" s="50"/>
      <c r="G209" s="50"/>
      <c r="H209" s="50"/>
    </row>
    <row r="210">
      <c r="D210" s="50"/>
      <c r="E210" s="50"/>
      <c r="F210" s="50"/>
      <c r="G210" s="50"/>
      <c r="H210" s="50"/>
    </row>
    <row r="211">
      <c r="D211" s="50"/>
      <c r="E211" s="50"/>
      <c r="F211" s="50"/>
      <c r="G211" s="50"/>
      <c r="H211" s="50"/>
    </row>
    <row r="212">
      <c r="D212" s="50"/>
      <c r="E212" s="50"/>
      <c r="F212" s="50"/>
      <c r="G212" s="50"/>
      <c r="H212" s="50"/>
    </row>
    <row r="213">
      <c r="D213" s="50"/>
      <c r="E213" s="50"/>
      <c r="F213" s="50"/>
      <c r="G213" s="50"/>
      <c r="H213" s="50"/>
    </row>
    <row r="214">
      <c r="D214" s="50"/>
      <c r="E214" s="50"/>
      <c r="F214" s="50"/>
      <c r="G214" s="50"/>
      <c r="H214" s="50"/>
    </row>
    <row r="215">
      <c r="D215" s="50"/>
      <c r="E215" s="50"/>
      <c r="F215" s="50"/>
      <c r="G215" s="50"/>
      <c r="H215" s="50"/>
    </row>
    <row r="216">
      <c r="D216" s="50"/>
      <c r="E216" s="50"/>
      <c r="F216" s="50"/>
      <c r="G216" s="50"/>
      <c r="H216" s="50"/>
    </row>
    <row r="217">
      <c r="D217" s="50"/>
      <c r="E217" s="50"/>
      <c r="F217" s="50"/>
      <c r="G217" s="50"/>
      <c r="H217" s="50"/>
    </row>
    <row r="218">
      <c r="D218" s="50"/>
      <c r="E218" s="50"/>
      <c r="F218" s="50"/>
      <c r="G218" s="50"/>
      <c r="H218" s="50"/>
    </row>
    <row r="219">
      <c r="D219" s="50"/>
      <c r="E219" s="50"/>
      <c r="F219" s="50"/>
      <c r="G219" s="50"/>
      <c r="H219" s="50"/>
    </row>
    <row r="220">
      <c r="D220" s="50"/>
      <c r="E220" s="50"/>
      <c r="F220" s="50"/>
      <c r="G220" s="50"/>
      <c r="H220" s="50"/>
    </row>
    <row r="221">
      <c r="D221" s="50"/>
      <c r="E221" s="50"/>
      <c r="F221" s="50"/>
      <c r="G221" s="50"/>
      <c r="H221" s="50"/>
    </row>
    <row r="222">
      <c r="D222" s="50"/>
      <c r="E222" s="50"/>
      <c r="F222" s="50"/>
      <c r="G222" s="50"/>
      <c r="H222" s="50"/>
    </row>
    <row r="223">
      <c r="D223" s="50"/>
      <c r="E223" s="50"/>
      <c r="F223" s="50"/>
      <c r="G223" s="50"/>
      <c r="H223" s="50"/>
    </row>
    <row r="224">
      <c r="D224" s="50"/>
      <c r="E224" s="50"/>
      <c r="F224" s="50"/>
      <c r="G224" s="50"/>
      <c r="H224" s="50"/>
    </row>
    <row r="225">
      <c r="D225" s="50"/>
      <c r="E225" s="50"/>
      <c r="F225" s="50"/>
      <c r="G225" s="50"/>
      <c r="H225" s="50"/>
    </row>
    <row r="226">
      <c r="D226" s="50"/>
      <c r="E226" s="50"/>
      <c r="F226" s="50"/>
      <c r="G226" s="50"/>
      <c r="H226" s="50"/>
    </row>
    <row r="227">
      <c r="D227" s="50"/>
      <c r="E227" s="50"/>
      <c r="F227" s="50"/>
      <c r="G227" s="50"/>
      <c r="H227" s="50"/>
    </row>
    <row r="228">
      <c r="D228" s="50"/>
      <c r="E228" s="50"/>
      <c r="F228" s="50"/>
      <c r="G228" s="50"/>
      <c r="H228" s="50"/>
    </row>
    <row r="229">
      <c r="D229" s="50"/>
      <c r="E229" s="50"/>
      <c r="F229" s="50"/>
      <c r="G229" s="50"/>
      <c r="H229" s="50"/>
    </row>
    <row r="230">
      <c r="D230" s="50"/>
      <c r="E230" s="50"/>
      <c r="F230" s="50"/>
      <c r="G230" s="50"/>
      <c r="H230" s="50"/>
    </row>
    <row r="231">
      <c r="D231" s="50"/>
      <c r="E231" s="50"/>
      <c r="F231" s="50"/>
      <c r="G231" s="50"/>
      <c r="H231" s="50"/>
    </row>
    <row r="232">
      <c r="D232" s="50"/>
      <c r="E232" s="50"/>
      <c r="F232" s="50"/>
      <c r="G232" s="50"/>
      <c r="H232" s="50"/>
    </row>
    <row r="233">
      <c r="D233" s="50"/>
      <c r="E233" s="50"/>
      <c r="F233" s="50"/>
      <c r="G233" s="50"/>
      <c r="H233" s="50"/>
    </row>
    <row r="234">
      <c r="D234" s="50"/>
      <c r="E234" s="50"/>
      <c r="F234" s="50"/>
      <c r="G234" s="50"/>
      <c r="H234" s="50"/>
    </row>
    <row r="235">
      <c r="D235" s="50"/>
      <c r="E235" s="50"/>
      <c r="F235" s="50"/>
      <c r="G235" s="50"/>
      <c r="H235" s="50"/>
    </row>
    <row r="236">
      <c r="D236" s="50"/>
      <c r="E236" s="50"/>
      <c r="F236" s="50"/>
      <c r="G236" s="50"/>
      <c r="H236" s="50"/>
    </row>
    <row r="237">
      <c r="D237" s="50"/>
      <c r="E237" s="50"/>
      <c r="F237" s="50"/>
      <c r="G237" s="50"/>
      <c r="H237" s="50"/>
    </row>
    <row r="238">
      <c r="D238" s="50"/>
      <c r="E238" s="50"/>
      <c r="F238" s="50"/>
      <c r="G238" s="50"/>
      <c r="H238" s="50"/>
    </row>
    <row r="239">
      <c r="D239" s="50"/>
      <c r="E239" s="50"/>
      <c r="F239" s="50"/>
      <c r="G239" s="50"/>
      <c r="H239" s="50"/>
    </row>
    <row r="240">
      <c r="D240" s="50"/>
      <c r="E240" s="50"/>
      <c r="F240" s="50"/>
      <c r="G240" s="50"/>
      <c r="H240" s="50"/>
    </row>
    <row r="241">
      <c r="D241" s="50"/>
      <c r="E241" s="50"/>
      <c r="F241" s="50"/>
      <c r="G241" s="50"/>
      <c r="H241" s="50"/>
    </row>
    <row r="242">
      <c r="D242" s="50"/>
      <c r="E242" s="50"/>
      <c r="F242" s="50"/>
      <c r="G242" s="50"/>
      <c r="H242" s="50"/>
    </row>
    <row r="243">
      <c r="D243" s="50"/>
      <c r="E243" s="50"/>
      <c r="F243" s="50"/>
      <c r="G243" s="50"/>
      <c r="H243" s="50"/>
    </row>
    <row r="244">
      <c r="D244" s="50"/>
      <c r="E244" s="50"/>
      <c r="F244" s="50"/>
      <c r="G244" s="50"/>
      <c r="H244" s="50"/>
    </row>
    <row r="245">
      <c r="D245" s="50"/>
      <c r="E245" s="50"/>
      <c r="F245" s="50"/>
      <c r="G245" s="50"/>
      <c r="H245" s="50"/>
    </row>
    <row r="246">
      <c r="D246" s="50"/>
      <c r="E246" s="50"/>
      <c r="F246" s="50"/>
      <c r="G246" s="50"/>
      <c r="H246" s="50"/>
    </row>
    <row r="247">
      <c r="D247" s="50"/>
      <c r="E247" s="50"/>
      <c r="F247" s="50"/>
      <c r="G247" s="50"/>
      <c r="H247" s="50"/>
    </row>
    <row r="248">
      <c r="D248" s="50"/>
      <c r="E248" s="50"/>
      <c r="F248" s="50"/>
      <c r="G248" s="50"/>
      <c r="H248" s="50"/>
    </row>
    <row r="249">
      <c r="D249" s="50"/>
      <c r="E249" s="50"/>
      <c r="F249" s="50"/>
      <c r="G249" s="50"/>
      <c r="H249" s="50"/>
    </row>
    <row r="250">
      <c r="D250" s="50"/>
      <c r="E250" s="50"/>
      <c r="F250" s="50"/>
      <c r="G250" s="50"/>
      <c r="H250" s="50"/>
    </row>
    <row r="251">
      <c r="D251" s="50"/>
      <c r="E251" s="50"/>
      <c r="F251" s="50"/>
      <c r="G251" s="50"/>
      <c r="H251" s="50"/>
    </row>
    <row r="252">
      <c r="D252" s="50"/>
      <c r="E252" s="50"/>
      <c r="F252" s="50"/>
      <c r="G252" s="50"/>
      <c r="H252" s="50"/>
    </row>
    <row r="253">
      <c r="D253" s="50"/>
      <c r="E253" s="50"/>
      <c r="F253" s="50"/>
      <c r="G253" s="50"/>
      <c r="H253" s="50"/>
    </row>
    <row r="254">
      <c r="D254" s="50"/>
      <c r="E254" s="50"/>
      <c r="F254" s="50"/>
      <c r="G254" s="50"/>
      <c r="H254" s="50"/>
    </row>
    <row r="255">
      <c r="D255" s="50"/>
      <c r="E255" s="50"/>
      <c r="F255" s="50"/>
      <c r="G255" s="50"/>
      <c r="H255" s="50"/>
    </row>
    <row r="256">
      <c r="D256" s="50"/>
      <c r="E256" s="50"/>
      <c r="F256" s="50"/>
      <c r="G256" s="50"/>
      <c r="H256" s="50"/>
    </row>
    <row r="257">
      <c r="D257" s="50"/>
      <c r="E257" s="50"/>
      <c r="F257" s="50"/>
      <c r="G257" s="50"/>
      <c r="H257" s="50"/>
    </row>
    <row r="258">
      <c r="D258" s="50"/>
      <c r="E258" s="50"/>
      <c r="F258" s="50"/>
      <c r="G258" s="50"/>
      <c r="H258" s="50"/>
    </row>
    <row r="259">
      <c r="D259" s="50"/>
      <c r="E259" s="50"/>
      <c r="F259" s="50"/>
      <c r="G259" s="50"/>
      <c r="H259" s="50"/>
    </row>
    <row r="260">
      <c r="D260" s="50"/>
      <c r="E260" s="50"/>
      <c r="F260" s="50"/>
      <c r="G260" s="50"/>
      <c r="H260" s="50"/>
    </row>
    <row r="261">
      <c r="D261" s="50"/>
      <c r="E261" s="50"/>
      <c r="F261" s="50"/>
      <c r="G261" s="50"/>
      <c r="H261" s="50"/>
    </row>
    <row r="262">
      <c r="D262" s="50"/>
      <c r="E262" s="50"/>
      <c r="F262" s="50"/>
      <c r="G262" s="50"/>
      <c r="H262" s="50"/>
    </row>
    <row r="263">
      <c r="D263" s="50"/>
      <c r="E263" s="50"/>
      <c r="F263" s="50"/>
      <c r="G263" s="50"/>
      <c r="H263" s="50"/>
    </row>
    <row r="264">
      <c r="D264" s="50"/>
      <c r="E264" s="50"/>
      <c r="F264" s="50"/>
      <c r="G264" s="50"/>
      <c r="H264" s="50"/>
    </row>
    <row r="265">
      <c r="D265" s="50"/>
      <c r="E265" s="50"/>
      <c r="F265" s="50"/>
      <c r="G265" s="50"/>
      <c r="H265" s="50"/>
    </row>
    <row r="266">
      <c r="D266" s="50"/>
      <c r="E266" s="50"/>
      <c r="F266" s="50"/>
      <c r="G266" s="50"/>
      <c r="H266" s="50"/>
    </row>
    <row r="267">
      <c r="D267" s="50"/>
      <c r="E267" s="50"/>
      <c r="F267" s="50"/>
      <c r="G267" s="50"/>
      <c r="H267" s="50"/>
    </row>
    <row r="268">
      <c r="D268" s="50"/>
      <c r="E268" s="50"/>
      <c r="F268" s="50"/>
      <c r="G268" s="50"/>
      <c r="H268" s="50"/>
    </row>
    <row r="269">
      <c r="D269" s="50"/>
      <c r="E269" s="50"/>
      <c r="F269" s="50"/>
      <c r="G269" s="50"/>
      <c r="H269" s="50"/>
    </row>
    <row r="270">
      <c r="D270" s="50"/>
      <c r="E270" s="50"/>
      <c r="F270" s="50"/>
      <c r="G270" s="50"/>
      <c r="H270" s="50"/>
    </row>
    <row r="271">
      <c r="D271" s="50"/>
      <c r="E271" s="50"/>
      <c r="F271" s="50"/>
      <c r="G271" s="50"/>
      <c r="H271" s="50"/>
    </row>
    <row r="272">
      <c r="D272" s="50"/>
      <c r="E272" s="50"/>
      <c r="F272" s="50"/>
      <c r="G272" s="50"/>
      <c r="H272" s="50"/>
    </row>
    <row r="273">
      <c r="D273" s="50"/>
      <c r="E273" s="50"/>
      <c r="F273" s="50"/>
      <c r="G273" s="50"/>
      <c r="H273" s="50"/>
    </row>
    <row r="274">
      <c r="D274" s="50"/>
      <c r="E274" s="50"/>
      <c r="F274" s="50"/>
      <c r="G274" s="50"/>
      <c r="H274" s="50"/>
    </row>
    <row r="275">
      <c r="D275" s="50"/>
      <c r="E275" s="50"/>
      <c r="F275" s="50"/>
      <c r="G275" s="50"/>
      <c r="H275" s="50"/>
    </row>
    <row r="276">
      <c r="D276" s="50"/>
      <c r="E276" s="50"/>
      <c r="F276" s="50"/>
      <c r="G276" s="50"/>
      <c r="H276" s="50"/>
    </row>
    <row r="277">
      <c r="D277" s="50"/>
      <c r="E277" s="50"/>
      <c r="F277" s="50"/>
      <c r="G277" s="50"/>
      <c r="H277" s="50"/>
    </row>
    <row r="278">
      <c r="D278" s="50"/>
      <c r="E278" s="50"/>
      <c r="F278" s="50"/>
      <c r="G278" s="50"/>
      <c r="H278" s="50"/>
    </row>
    <row r="279">
      <c r="D279" s="50"/>
      <c r="E279" s="50"/>
      <c r="F279" s="50"/>
      <c r="G279" s="50"/>
      <c r="H279" s="50"/>
    </row>
    <row r="280">
      <c r="D280" s="50"/>
      <c r="E280" s="50"/>
      <c r="F280" s="50"/>
      <c r="G280" s="50"/>
      <c r="H280" s="50"/>
    </row>
    <row r="281">
      <c r="D281" s="50"/>
      <c r="E281" s="50"/>
      <c r="F281" s="50"/>
      <c r="G281" s="50"/>
      <c r="H281" s="50"/>
    </row>
    <row r="282">
      <c r="D282" s="50"/>
      <c r="E282" s="50"/>
      <c r="F282" s="50"/>
      <c r="G282" s="50"/>
      <c r="H282" s="50"/>
    </row>
    <row r="283">
      <c r="D283" s="50"/>
      <c r="E283" s="50"/>
      <c r="F283" s="50"/>
      <c r="G283" s="50"/>
      <c r="H283" s="50"/>
    </row>
    <row r="284">
      <c r="D284" s="50"/>
      <c r="E284" s="50"/>
      <c r="F284" s="50"/>
      <c r="G284" s="50"/>
      <c r="H284" s="50"/>
    </row>
    <row r="285">
      <c r="D285" s="50"/>
      <c r="E285" s="50"/>
      <c r="F285" s="50"/>
      <c r="G285" s="50"/>
      <c r="H285" s="50"/>
    </row>
    <row r="286">
      <c r="D286" s="50"/>
      <c r="E286" s="50"/>
      <c r="F286" s="50"/>
      <c r="G286" s="50"/>
      <c r="H286" s="50"/>
    </row>
    <row r="287">
      <c r="D287" s="50"/>
      <c r="E287" s="50"/>
      <c r="F287" s="50"/>
      <c r="G287" s="50"/>
      <c r="H287" s="50"/>
    </row>
    <row r="288">
      <c r="D288" s="50"/>
      <c r="E288" s="50"/>
      <c r="F288" s="50"/>
      <c r="G288" s="50"/>
      <c r="H288" s="50"/>
    </row>
    <row r="289">
      <c r="D289" s="50"/>
      <c r="E289" s="50"/>
      <c r="F289" s="50"/>
      <c r="G289" s="50"/>
      <c r="H289" s="50"/>
    </row>
    <row r="290">
      <c r="D290" s="50"/>
      <c r="E290" s="50"/>
      <c r="F290" s="50"/>
      <c r="G290" s="50"/>
      <c r="H290" s="50"/>
    </row>
    <row r="291">
      <c r="D291" s="50"/>
      <c r="E291" s="50"/>
      <c r="F291" s="50"/>
      <c r="G291" s="50"/>
      <c r="H291" s="50"/>
    </row>
    <row r="292">
      <c r="D292" s="50"/>
      <c r="E292" s="50"/>
      <c r="F292" s="50"/>
      <c r="G292" s="50"/>
      <c r="H292" s="50"/>
    </row>
    <row r="293">
      <c r="D293" s="50"/>
      <c r="E293" s="50"/>
      <c r="F293" s="50"/>
      <c r="G293" s="50"/>
      <c r="H293" s="50"/>
    </row>
    <row r="294">
      <c r="D294" s="50"/>
      <c r="E294" s="50"/>
      <c r="F294" s="50"/>
      <c r="G294" s="50"/>
      <c r="H294" s="50"/>
    </row>
    <row r="295">
      <c r="D295" s="50"/>
      <c r="E295" s="50"/>
      <c r="F295" s="50"/>
      <c r="G295" s="50"/>
      <c r="H295" s="50"/>
    </row>
    <row r="296">
      <c r="D296" s="50"/>
      <c r="E296" s="50"/>
      <c r="F296" s="50"/>
      <c r="G296" s="50"/>
      <c r="H296" s="50"/>
    </row>
    <row r="297">
      <c r="D297" s="50"/>
      <c r="E297" s="50"/>
      <c r="F297" s="50"/>
      <c r="G297" s="50"/>
      <c r="H297" s="50"/>
    </row>
    <row r="298">
      <c r="D298" s="50"/>
      <c r="E298" s="50"/>
      <c r="F298" s="50"/>
      <c r="G298" s="50"/>
      <c r="H298" s="50"/>
    </row>
    <row r="299">
      <c r="D299" s="50"/>
      <c r="E299" s="50"/>
      <c r="F299" s="50"/>
      <c r="G299" s="50"/>
      <c r="H299" s="50"/>
    </row>
    <row r="300">
      <c r="D300" s="50"/>
      <c r="E300" s="50"/>
      <c r="F300" s="50"/>
      <c r="G300" s="50"/>
      <c r="H300" s="50"/>
    </row>
    <row r="301">
      <c r="D301" s="50"/>
      <c r="E301" s="50"/>
      <c r="F301" s="50"/>
      <c r="G301" s="50"/>
      <c r="H301" s="50"/>
    </row>
    <row r="302">
      <c r="D302" s="50"/>
      <c r="E302" s="50"/>
      <c r="F302" s="50"/>
      <c r="G302" s="50"/>
      <c r="H302" s="50"/>
    </row>
    <row r="303">
      <c r="D303" s="50"/>
      <c r="E303" s="50"/>
      <c r="F303" s="50"/>
      <c r="G303" s="50"/>
      <c r="H303" s="50"/>
    </row>
    <row r="304">
      <c r="D304" s="50"/>
      <c r="E304" s="50"/>
      <c r="F304" s="50"/>
      <c r="G304" s="50"/>
      <c r="H304" s="50"/>
    </row>
    <row r="305">
      <c r="D305" s="50"/>
      <c r="E305" s="50"/>
      <c r="F305" s="50"/>
      <c r="G305" s="50"/>
      <c r="H305" s="50"/>
    </row>
    <row r="306">
      <c r="D306" s="50"/>
      <c r="E306" s="50"/>
      <c r="F306" s="50"/>
      <c r="G306" s="50"/>
      <c r="H306" s="50"/>
    </row>
    <row r="307">
      <c r="D307" s="50"/>
      <c r="E307" s="50"/>
      <c r="F307" s="50"/>
      <c r="G307" s="50"/>
      <c r="H307" s="50"/>
    </row>
    <row r="308">
      <c r="D308" s="50"/>
      <c r="E308" s="50"/>
      <c r="F308" s="50"/>
      <c r="G308" s="50"/>
      <c r="H308" s="50"/>
    </row>
    <row r="309">
      <c r="D309" s="50"/>
      <c r="E309" s="50"/>
      <c r="F309" s="50"/>
      <c r="G309" s="50"/>
      <c r="H309" s="50"/>
    </row>
    <row r="310">
      <c r="D310" s="50"/>
      <c r="E310" s="50"/>
      <c r="F310" s="50"/>
      <c r="G310" s="50"/>
      <c r="H310" s="50"/>
    </row>
    <row r="311">
      <c r="D311" s="50"/>
      <c r="E311" s="50"/>
      <c r="F311" s="50"/>
      <c r="G311" s="50"/>
      <c r="H311" s="50"/>
    </row>
    <row r="312">
      <c r="D312" s="50"/>
      <c r="E312" s="50"/>
      <c r="F312" s="50"/>
      <c r="G312" s="50"/>
      <c r="H312" s="50"/>
    </row>
    <row r="313">
      <c r="D313" s="50"/>
      <c r="E313" s="50"/>
      <c r="F313" s="50"/>
      <c r="G313" s="50"/>
      <c r="H313" s="50"/>
    </row>
    <row r="314">
      <c r="D314" s="50"/>
      <c r="E314" s="50"/>
      <c r="F314" s="50"/>
      <c r="G314" s="50"/>
      <c r="H314" s="50"/>
    </row>
    <row r="315">
      <c r="D315" s="50"/>
      <c r="E315" s="50"/>
      <c r="F315" s="50"/>
      <c r="G315" s="50"/>
      <c r="H315" s="50"/>
    </row>
    <row r="316">
      <c r="D316" s="50"/>
      <c r="E316" s="50"/>
      <c r="F316" s="50"/>
      <c r="G316" s="50"/>
      <c r="H316" s="50"/>
    </row>
    <row r="317">
      <c r="D317" s="50"/>
      <c r="E317" s="50"/>
      <c r="F317" s="50"/>
      <c r="G317" s="50"/>
      <c r="H317" s="50"/>
    </row>
    <row r="318">
      <c r="D318" s="50"/>
      <c r="E318" s="50"/>
      <c r="F318" s="50"/>
      <c r="G318" s="50"/>
      <c r="H318" s="50"/>
    </row>
    <row r="319">
      <c r="D319" s="50"/>
      <c r="E319" s="50"/>
      <c r="F319" s="50"/>
      <c r="G319" s="50"/>
      <c r="H319" s="50"/>
    </row>
    <row r="320">
      <c r="D320" s="50"/>
      <c r="E320" s="50"/>
      <c r="F320" s="50"/>
      <c r="G320" s="50"/>
      <c r="H320" s="50"/>
    </row>
    <row r="321">
      <c r="D321" s="50"/>
      <c r="E321" s="50"/>
      <c r="F321" s="50"/>
      <c r="G321" s="50"/>
      <c r="H321" s="50"/>
    </row>
    <row r="322">
      <c r="D322" s="50"/>
      <c r="E322" s="50"/>
      <c r="F322" s="50"/>
      <c r="G322" s="50"/>
      <c r="H322" s="50"/>
    </row>
    <row r="323">
      <c r="D323" s="50"/>
      <c r="E323" s="50"/>
      <c r="F323" s="50"/>
      <c r="G323" s="50"/>
      <c r="H323" s="50"/>
    </row>
    <row r="324">
      <c r="D324" s="50"/>
      <c r="E324" s="50"/>
      <c r="F324" s="50"/>
      <c r="G324" s="50"/>
      <c r="H324" s="50"/>
    </row>
    <row r="325">
      <c r="D325" s="50"/>
      <c r="E325" s="50"/>
      <c r="F325" s="50"/>
      <c r="G325" s="50"/>
      <c r="H325" s="50"/>
    </row>
    <row r="326">
      <c r="D326" s="50"/>
      <c r="E326" s="50"/>
      <c r="F326" s="50"/>
      <c r="G326" s="50"/>
      <c r="H326" s="50"/>
    </row>
    <row r="327">
      <c r="D327" s="50"/>
      <c r="E327" s="50"/>
      <c r="F327" s="50"/>
      <c r="G327" s="50"/>
      <c r="H327" s="50"/>
    </row>
    <row r="328">
      <c r="D328" s="50"/>
      <c r="E328" s="50"/>
      <c r="F328" s="50"/>
      <c r="G328" s="50"/>
      <c r="H328" s="50"/>
    </row>
    <row r="329">
      <c r="D329" s="50"/>
      <c r="E329" s="50"/>
      <c r="F329" s="50"/>
      <c r="G329" s="50"/>
      <c r="H329" s="50"/>
    </row>
    <row r="330">
      <c r="D330" s="50"/>
      <c r="E330" s="50"/>
      <c r="F330" s="50"/>
      <c r="G330" s="50"/>
      <c r="H330" s="50"/>
    </row>
    <row r="331">
      <c r="D331" s="50"/>
      <c r="E331" s="50"/>
      <c r="F331" s="50"/>
      <c r="G331" s="50"/>
      <c r="H331" s="50"/>
    </row>
    <row r="332">
      <c r="D332" s="50"/>
      <c r="E332" s="50"/>
      <c r="F332" s="50"/>
      <c r="G332" s="50"/>
      <c r="H332" s="50"/>
    </row>
    <row r="333">
      <c r="D333" s="50"/>
      <c r="E333" s="50"/>
      <c r="F333" s="50"/>
      <c r="G333" s="50"/>
      <c r="H333" s="50"/>
    </row>
    <row r="334">
      <c r="D334" s="50"/>
      <c r="E334" s="50"/>
      <c r="F334" s="50"/>
      <c r="G334" s="50"/>
      <c r="H334" s="50"/>
    </row>
    <row r="335">
      <c r="D335" s="50"/>
      <c r="E335" s="50"/>
      <c r="F335" s="50"/>
      <c r="G335" s="50"/>
      <c r="H335" s="50"/>
    </row>
    <row r="336">
      <c r="D336" s="50"/>
      <c r="E336" s="50"/>
      <c r="F336" s="50"/>
      <c r="G336" s="50"/>
      <c r="H336" s="50"/>
    </row>
    <row r="337">
      <c r="D337" s="50"/>
      <c r="E337" s="50"/>
      <c r="F337" s="50"/>
      <c r="G337" s="50"/>
      <c r="H337" s="50"/>
    </row>
    <row r="338">
      <c r="D338" s="50"/>
      <c r="E338" s="50"/>
      <c r="F338" s="50"/>
      <c r="G338" s="50"/>
      <c r="H338" s="50"/>
    </row>
    <row r="339">
      <c r="D339" s="50"/>
      <c r="E339" s="50"/>
      <c r="F339" s="50"/>
      <c r="G339" s="50"/>
      <c r="H339" s="50"/>
    </row>
    <row r="340">
      <c r="D340" s="50"/>
      <c r="E340" s="50"/>
      <c r="F340" s="50"/>
      <c r="G340" s="50"/>
      <c r="H340" s="50"/>
    </row>
    <row r="341">
      <c r="D341" s="50"/>
      <c r="E341" s="50"/>
      <c r="F341" s="50"/>
      <c r="G341" s="50"/>
      <c r="H341" s="50"/>
    </row>
    <row r="342">
      <c r="D342" s="50"/>
      <c r="E342" s="50"/>
      <c r="F342" s="50"/>
      <c r="G342" s="50"/>
      <c r="H342" s="50"/>
    </row>
    <row r="343">
      <c r="D343" s="50"/>
      <c r="E343" s="50"/>
      <c r="F343" s="50"/>
      <c r="G343" s="50"/>
      <c r="H343" s="50"/>
    </row>
    <row r="344">
      <c r="D344" s="50"/>
      <c r="E344" s="50"/>
      <c r="F344" s="50"/>
      <c r="G344" s="50"/>
      <c r="H344" s="50"/>
    </row>
    <row r="345">
      <c r="D345" s="50"/>
      <c r="E345" s="50"/>
      <c r="F345" s="50"/>
      <c r="G345" s="50"/>
      <c r="H345" s="50"/>
    </row>
    <row r="346">
      <c r="D346" s="50"/>
      <c r="E346" s="50"/>
      <c r="F346" s="50"/>
      <c r="G346" s="50"/>
      <c r="H346" s="50"/>
    </row>
    <row r="347">
      <c r="D347" s="50"/>
      <c r="E347" s="50"/>
      <c r="F347" s="50"/>
      <c r="G347" s="50"/>
      <c r="H347" s="50"/>
    </row>
    <row r="348">
      <c r="D348" s="50"/>
      <c r="E348" s="50"/>
      <c r="F348" s="50"/>
      <c r="G348" s="50"/>
      <c r="H348" s="50"/>
    </row>
    <row r="349">
      <c r="D349" s="50"/>
      <c r="E349" s="50"/>
      <c r="F349" s="50"/>
      <c r="G349" s="50"/>
      <c r="H349" s="50"/>
    </row>
    <row r="350">
      <c r="D350" s="50"/>
      <c r="E350" s="50"/>
      <c r="F350" s="50"/>
      <c r="G350" s="50"/>
      <c r="H350" s="50"/>
    </row>
    <row r="351">
      <c r="D351" s="50"/>
      <c r="E351" s="50"/>
      <c r="F351" s="50"/>
      <c r="G351" s="50"/>
      <c r="H351" s="50"/>
    </row>
    <row r="352">
      <c r="D352" s="50"/>
      <c r="E352" s="50"/>
      <c r="F352" s="50"/>
      <c r="G352" s="50"/>
      <c r="H352" s="50"/>
    </row>
    <row r="353">
      <c r="D353" s="50"/>
      <c r="E353" s="50"/>
      <c r="F353" s="50"/>
      <c r="G353" s="50"/>
      <c r="H353" s="50"/>
    </row>
    <row r="354">
      <c r="D354" s="50"/>
      <c r="E354" s="50"/>
      <c r="F354" s="50"/>
      <c r="G354" s="50"/>
      <c r="H354" s="50"/>
    </row>
    <row r="355">
      <c r="D355" s="50"/>
      <c r="E355" s="50"/>
      <c r="F355" s="50"/>
      <c r="G355" s="50"/>
      <c r="H355" s="50"/>
    </row>
    <row r="356">
      <c r="D356" s="50"/>
      <c r="E356" s="50"/>
      <c r="F356" s="50"/>
      <c r="G356" s="50"/>
      <c r="H356" s="50"/>
    </row>
    <row r="357">
      <c r="D357" s="50"/>
      <c r="E357" s="50"/>
      <c r="F357" s="50"/>
      <c r="G357" s="50"/>
      <c r="H357" s="50"/>
    </row>
    <row r="358">
      <c r="D358" s="50"/>
      <c r="E358" s="50"/>
      <c r="F358" s="50"/>
      <c r="G358" s="50"/>
      <c r="H358" s="50"/>
    </row>
    <row r="359">
      <c r="D359" s="50"/>
      <c r="E359" s="50"/>
      <c r="F359" s="50"/>
      <c r="G359" s="50"/>
      <c r="H359" s="50"/>
    </row>
    <row r="360">
      <c r="D360" s="50"/>
      <c r="E360" s="50"/>
      <c r="F360" s="50"/>
      <c r="G360" s="50"/>
      <c r="H360" s="50"/>
    </row>
    <row r="361">
      <c r="D361" s="50"/>
      <c r="E361" s="50"/>
      <c r="F361" s="50"/>
      <c r="G361" s="50"/>
      <c r="H361" s="50"/>
    </row>
    <row r="362">
      <c r="D362" s="50"/>
      <c r="E362" s="50"/>
      <c r="F362" s="50"/>
      <c r="G362" s="50"/>
      <c r="H362" s="50"/>
    </row>
    <row r="363">
      <c r="D363" s="50"/>
      <c r="E363" s="50"/>
      <c r="F363" s="50"/>
      <c r="G363" s="50"/>
      <c r="H363" s="50"/>
    </row>
    <row r="364">
      <c r="D364" s="50"/>
      <c r="E364" s="50"/>
      <c r="F364" s="50"/>
      <c r="G364" s="50"/>
      <c r="H364" s="50"/>
    </row>
    <row r="365">
      <c r="D365" s="50"/>
      <c r="E365" s="50"/>
      <c r="F365" s="50"/>
      <c r="G365" s="50"/>
      <c r="H365" s="50"/>
    </row>
    <row r="366">
      <c r="D366" s="50"/>
      <c r="E366" s="50"/>
      <c r="F366" s="50"/>
      <c r="G366" s="50"/>
      <c r="H366" s="50"/>
    </row>
    <row r="367">
      <c r="D367" s="50"/>
      <c r="E367" s="50"/>
      <c r="F367" s="50"/>
      <c r="G367" s="50"/>
      <c r="H367" s="50"/>
    </row>
    <row r="368">
      <c r="D368" s="50"/>
      <c r="E368" s="50"/>
      <c r="F368" s="50"/>
      <c r="G368" s="50"/>
      <c r="H368" s="50"/>
    </row>
    <row r="369">
      <c r="D369" s="50"/>
      <c r="E369" s="50"/>
      <c r="F369" s="50"/>
      <c r="G369" s="50"/>
      <c r="H369" s="50"/>
    </row>
    <row r="370">
      <c r="D370" s="50"/>
      <c r="E370" s="50"/>
      <c r="F370" s="50"/>
      <c r="G370" s="50"/>
      <c r="H370" s="50"/>
    </row>
    <row r="371">
      <c r="D371" s="50"/>
      <c r="E371" s="50"/>
      <c r="F371" s="50"/>
      <c r="G371" s="50"/>
      <c r="H371" s="50"/>
    </row>
    <row r="372">
      <c r="D372" s="50"/>
      <c r="E372" s="50"/>
      <c r="F372" s="50"/>
      <c r="G372" s="50"/>
      <c r="H372" s="50"/>
    </row>
    <row r="373">
      <c r="D373" s="50"/>
      <c r="E373" s="50"/>
      <c r="F373" s="50"/>
      <c r="G373" s="50"/>
      <c r="H373" s="50"/>
    </row>
    <row r="374">
      <c r="D374" s="50"/>
      <c r="E374" s="50"/>
      <c r="F374" s="50"/>
      <c r="G374" s="50"/>
      <c r="H374" s="50"/>
    </row>
    <row r="375">
      <c r="D375" s="50"/>
      <c r="E375" s="50"/>
      <c r="F375" s="50"/>
      <c r="G375" s="50"/>
      <c r="H375" s="50"/>
    </row>
    <row r="376">
      <c r="D376" s="50"/>
      <c r="E376" s="50"/>
      <c r="F376" s="50"/>
      <c r="G376" s="50"/>
      <c r="H376" s="50"/>
    </row>
    <row r="377">
      <c r="D377" s="50"/>
      <c r="E377" s="50"/>
      <c r="F377" s="50"/>
      <c r="G377" s="50"/>
      <c r="H377" s="50"/>
    </row>
    <row r="378">
      <c r="D378" s="50"/>
      <c r="E378" s="50"/>
      <c r="F378" s="50"/>
      <c r="G378" s="50"/>
      <c r="H378" s="50"/>
    </row>
    <row r="379">
      <c r="D379" s="50"/>
      <c r="E379" s="50"/>
      <c r="F379" s="50"/>
      <c r="G379" s="50"/>
      <c r="H379" s="50"/>
    </row>
    <row r="380">
      <c r="D380" s="50"/>
      <c r="E380" s="50"/>
      <c r="F380" s="50"/>
      <c r="G380" s="50"/>
      <c r="H380" s="50"/>
    </row>
    <row r="381">
      <c r="D381" s="50"/>
      <c r="E381" s="50"/>
      <c r="F381" s="50"/>
      <c r="G381" s="50"/>
      <c r="H381" s="50"/>
    </row>
    <row r="382">
      <c r="D382" s="50"/>
      <c r="E382" s="50"/>
      <c r="F382" s="50"/>
      <c r="G382" s="50"/>
      <c r="H382" s="50"/>
    </row>
    <row r="383">
      <c r="D383" s="50"/>
      <c r="E383" s="50"/>
      <c r="F383" s="50"/>
      <c r="G383" s="50"/>
      <c r="H383" s="50"/>
    </row>
    <row r="384">
      <c r="D384" s="50"/>
      <c r="E384" s="50"/>
      <c r="F384" s="50"/>
      <c r="G384" s="50"/>
      <c r="H384" s="50"/>
    </row>
    <row r="385">
      <c r="D385" s="50"/>
      <c r="E385" s="50"/>
      <c r="F385" s="50"/>
      <c r="G385" s="50"/>
      <c r="H385" s="50"/>
    </row>
    <row r="386">
      <c r="D386" s="50"/>
      <c r="E386" s="50"/>
      <c r="F386" s="50"/>
      <c r="G386" s="50"/>
      <c r="H386" s="50"/>
    </row>
    <row r="387">
      <c r="D387" s="50"/>
      <c r="E387" s="50"/>
      <c r="F387" s="50"/>
      <c r="G387" s="50"/>
      <c r="H387" s="50"/>
    </row>
    <row r="388">
      <c r="D388" s="50"/>
      <c r="E388" s="50"/>
      <c r="F388" s="50"/>
      <c r="G388" s="50"/>
      <c r="H388" s="50"/>
    </row>
    <row r="389">
      <c r="D389" s="50"/>
      <c r="E389" s="50"/>
      <c r="F389" s="50"/>
      <c r="G389" s="50"/>
      <c r="H389" s="50"/>
    </row>
    <row r="390">
      <c r="D390" s="50"/>
      <c r="E390" s="50"/>
      <c r="F390" s="50"/>
      <c r="G390" s="50"/>
      <c r="H390" s="50"/>
    </row>
    <row r="391">
      <c r="D391" s="50"/>
      <c r="E391" s="50"/>
      <c r="F391" s="50"/>
      <c r="G391" s="50"/>
      <c r="H391" s="50"/>
    </row>
    <row r="392">
      <c r="D392" s="50"/>
      <c r="E392" s="50"/>
      <c r="F392" s="50"/>
      <c r="G392" s="50"/>
      <c r="H392" s="50"/>
    </row>
    <row r="393">
      <c r="D393" s="50"/>
      <c r="E393" s="50"/>
      <c r="F393" s="50"/>
      <c r="G393" s="50"/>
      <c r="H393" s="50"/>
    </row>
    <row r="394">
      <c r="D394" s="50"/>
      <c r="E394" s="50"/>
      <c r="F394" s="50"/>
      <c r="G394" s="50"/>
      <c r="H394" s="50"/>
    </row>
    <row r="395">
      <c r="D395" s="50"/>
      <c r="E395" s="50"/>
      <c r="F395" s="50"/>
      <c r="G395" s="50"/>
      <c r="H395" s="50"/>
    </row>
    <row r="396">
      <c r="D396" s="50"/>
      <c r="E396" s="50"/>
      <c r="F396" s="50"/>
      <c r="G396" s="50"/>
      <c r="H396" s="50"/>
    </row>
    <row r="397">
      <c r="D397" s="50"/>
      <c r="E397" s="50"/>
      <c r="F397" s="50"/>
      <c r="G397" s="50"/>
      <c r="H397" s="50"/>
    </row>
    <row r="398">
      <c r="D398" s="50"/>
      <c r="E398" s="50"/>
      <c r="F398" s="50"/>
      <c r="G398" s="50"/>
      <c r="H398" s="50"/>
    </row>
    <row r="399">
      <c r="D399" s="50"/>
      <c r="E399" s="50"/>
      <c r="F399" s="50"/>
      <c r="G399" s="50"/>
      <c r="H399" s="50"/>
    </row>
    <row r="400">
      <c r="D400" s="50"/>
      <c r="E400" s="50"/>
      <c r="F400" s="50"/>
      <c r="G400" s="50"/>
      <c r="H400" s="50"/>
    </row>
    <row r="401">
      <c r="D401" s="50"/>
      <c r="E401" s="50"/>
      <c r="F401" s="50"/>
      <c r="G401" s="50"/>
      <c r="H401" s="50"/>
    </row>
    <row r="402">
      <c r="D402" s="50"/>
      <c r="E402" s="50"/>
      <c r="F402" s="50"/>
      <c r="G402" s="50"/>
      <c r="H402" s="50"/>
    </row>
    <row r="403">
      <c r="D403" s="50"/>
      <c r="E403" s="50"/>
      <c r="F403" s="50"/>
      <c r="G403" s="50"/>
      <c r="H403" s="50"/>
    </row>
    <row r="404">
      <c r="D404" s="50"/>
      <c r="E404" s="50"/>
      <c r="F404" s="50"/>
      <c r="G404" s="50"/>
      <c r="H404" s="50"/>
    </row>
    <row r="405">
      <c r="D405" s="50"/>
      <c r="E405" s="50"/>
      <c r="F405" s="50"/>
      <c r="G405" s="50"/>
      <c r="H405" s="50"/>
    </row>
    <row r="406">
      <c r="D406" s="50"/>
      <c r="E406" s="50"/>
      <c r="F406" s="50"/>
      <c r="G406" s="50"/>
      <c r="H406" s="50"/>
    </row>
    <row r="407">
      <c r="D407" s="50"/>
      <c r="E407" s="50"/>
      <c r="F407" s="50"/>
      <c r="G407" s="50"/>
      <c r="H407" s="50"/>
    </row>
    <row r="408">
      <c r="D408" s="50"/>
      <c r="E408" s="50"/>
      <c r="F408" s="50"/>
      <c r="G408" s="50"/>
      <c r="H408" s="50"/>
    </row>
    <row r="409">
      <c r="D409" s="50"/>
      <c r="E409" s="50"/>
      <c r="F409" s="50"/>
      <c r="G409" s="50"/>
      <c r="H409" s="50"/>
    </row>
    <row r="410">
      <c r="D410" s="50"/>
      <c r="E410" s="50"/>
      <c r="F410" s="50"/>
      <c r="G410" s="50"/>
      <c r="H410" s="50"/>
    </row>
    <row r="411">
      <c r="D411" s="50"/>
      <c r="E411" s="50"/>
      <c r="F411" s="50"/>
      <c r="G411" s="50"/>
      <c r="H411" s="50"/>
    </row>
    <row r="412">
      <c r="D412" s="50"/>
      <c r="E412" s="50"/>
      <c r="F412" s="50"/>
      <c r="G412" s="50"/>
      <c r="H412" s="50"/>
    </row>
    <row r="413">
      <c r="D413" s="50"/>
      <c r="E413" s="50"/>
      <c r="F413" s="50"/>
      <c r="G413" s="50"/>
      <c r="H413" s="50"/>
    </row>
    <row r="414">
      <c r="D414" s="50"/>
      <c r="E414" s="50"/>
      <c r="F414" s="50"/>
      <c r="G414" s="50"/>
      <c r="H414" s="50"/>
    </row>
    <row r="415">
      <c r="D415" s="50"/>
      <c r="E415" s="50"/>
      <c r="F415" s="50"/>
      <c r="G415" s="50"/>
      <c r="H415" s="50"/>
    </row>
    <row r="416">
      <c r="D416" s="50"/>
      <c r="E416" s="50"/>
      <c r="F416" s="50"/>
      <c r="G416" s="50"/>
      <c r="H416" s="50"/>
    </row>
    <row r="417">
      <c r="D417" s="50"/>
      <c r="E417" s="50"/>
      <c r="F417" s="50"/>
      <c r="G417" s="50"/>
      <c r="H417" s="50"/>
    </row>
    <row r="418">
      <c r="D418" s="50"/>
      <c r="E418" s="50"/>
      <c r="F418" s="50"/>
      <c r="G418" s="50"/>
      <c r="H418" s="50"/>
    </row>
    <row r="419">
      <c r="D419" s="50"/>
      <c r="E419" s="50"/>
      <c r="F419" s="50"/>
      <c r="G419" s="50"/>
      <c r="H419" s="50"/>
    </row>
    <row r="420">
      <c r="D420" s="50"/>
      <c r="E420" s="50"/>
      <c r="F420" s="50"/>
      <c r="G420" s="50"/>
      <c r="H420" s="50"/>
    </row>
    <row r="421">
      <c r="D421" s="50"/>
      <c r="E421" s="50"/>
      <c r="F421" s="50"/>
      <c r="G421" s="50"/>
      <c r="H421" s="50"/>
    </row>
    <row r="422">
      <c r="D422" s="50"/>
      <c r="E422" s="50"/>
      <c r="F422" s="50"/>
      <c r="G422" s="50"/>
      <c r="H422" s="50"/>
    </row>
    <row r="423">
      <c r="D423" s="50"/>
      <c r="E423" s="50"/>
      <c r="F423" s="50"/>
      <c r="G423" s="50"/>
      <c r="H423" s="50"/>
    </row>
    <row r="424">
      <c r="D424" s="50"/>
      <c r="E424" s="50"/>
      <c r="F424" s="50"/>
      <c r="G424" s="50"/>
      <c r="H424" s="50"/>
    </row>
    <row r="425">
      <c r="D425" s="50"/>
      <c r="E425" s="50"/>
      <c r="F425" s="50"/>
      <c r="G425" s="50"/>
      <c r="H425" s="50"/>
    </row>
    <row r="426">
      <c r="D426" s="50"/>
      <c r="E426" s="50"/>
      <c r="F426" s="50"/>
      <c r="G426" s="50"/>
      <c r="H426" s="50"/>
    </row>
    <row r="427">
      <c r="D427" s="50"/>
      <c r="E427" s="50"/>
      <c r="F427" s="50"/>
      <c r="G427" s="50"/>
      <c r="H427" s="50"/>
    </row>
    <row r="428">
      <c r="D428" s="50"/>
      <c r="E428" s="50"/>
      <c r="F428" s="50"/>
      <c r="G428" s="50"/>
      <c r="H428" s="50"/>
    </row>
    <row r="429">
      <c r="D429" s="50"/>
      <c r="E429" s="50"/>
      <c r="F429" s="50"/>
      <c r="G429" s="50"/>
      <c r="H429" s="50"/>
    </row>
    <row r="430">
      <c r="D430" s="50"/>
      <c r="E430" s="50"/>
      <c r="F430" s="50"/>
      <c r="G430" s="50"/>
      <c r="H430" s="50"/>
    </row>
    <row r="431">
      <c r="D431" s="50"/>
      <c r="E431" s="50"/>
      <c r="F431" s="50"/>
      <c r="G431" s="50"/>
      <c r="H431" s="50"/>
    </row>
    <row r="432">
      <c r="D432" s="50"/>
      <c r="E432" s="50"/>
      <c r="F432" s="50"/>
      <c r="G432" s="50"/>
      <c r="H432" s="50"/>
    </row>
    <row r="433">
      <c r="D433" s="50"/>
      <c r="E433" s="50"/>
      <c r="F433" s="50"/>
      <c r="G433" s="50"/>
      <c r="H433" s="50"/>
    </row>
    <row r="434">
      <c r="D434" s="50"/>
      <c r="E434" s="50"/>
      <c r="F434" s="50"/>
      <c r="G434" s="50"/>
      <c r="H434" s="50"/>
    </row>
    <row r="435">
      <c r="D435" s="50"/>
      <c r="E435" s="50"/>
      <c r="F435" s="50"/>
      <c r="G435" s="50"/>
      <c r="H435" s="50"/>
    </row>
    <row r="436">
      <c r="D436" s="50"/>
      <c r="E436" s="50"/>
      <c r="F436" s="50"/>
      <c r="G436" s="50"/>
      <c r="H436" s="50"/>
    </row>
    <row r="437">
      <c r="D437" s="50"/>
      <c r="E437" s="50"/>
      <c r="F437" s="50"/>
      <c r="G437" s="50"/>
      <c r="H437" s="50"/>
    </row>
    <row r="438">
      <c r="D438" s="50"/>
      <c r="E438" s="50"/>
      <c r="F438" s="50"/>
      <c r="G438" s="50"/>
      <c r="H438" s="50"/>
    </row>
    <row r="439">
      <c r="D439" s="50"/>
      <c r="E439" s="50"/>
      <c r="F439" s="50"/>
      <c r="G439" s="50"/>
      <c r="H439" s="50"/>
    </row>
    <row r="440">
      <c r="D440" s="50"/>
      <c r="E440" s="50"/>
      <c r="F440" s="50"/>
      <c r="G440" s="50"/>
      <c r="H440" s="50"/>
    </row>
    <row r="441">
      <c r="D441" s="50"/>
      <c r="E441" s="50"/>
      <c r="F441" s="50"/>
      <c r="G441" s="50"/>
      <c r="H441" s="50"/>
    </row>
    <row r="442">
      <c r="D442" s="50"/>
      <c r="E442" s="50"/>
      <c r="F442" s="50"/>
      <c r="G442" s="50"/>
      <c r="H442" s="50"/>
    </row>
    <row r="443">
      <c r="D443" s="50"/>
      <c r="E443" s="50"/>
      <c r="F443" s="50"/>
      <c r="G443" s="50"/>
      <c r="H443" s="50"/>
    </row>
    <row r="444">
      <c r="D444" s="50"/>
      <c r="E444" s="50"/>
      <c r="F444" s="50"/>
      <c r="G444" s="50"/>
      <c r="H444" s="50"/>
    </row>
    <row r="445">
      <c r="D445" s="50"/>
      <c r="E445" s="50"/>
      <c r="F445" s="50"/>
      <c r="G445" s="50"/>
      <c r="H445" s="50"/>
    </row>
    <row r="446">
      <c r="D446" s="50"/>
      <c r="E446" s="50"/>
      <c r="F446" s="50"/>
      <c r="G446" s="50"/>
      <c r="H446" s="50"/>
    </row>
    <row r="447">
      <c r="D447" s="50"/>
      <c r="E447" s="50"/>
      <c r="F447" s="50"/>
      <c r="G447" s="50"/>
      <c r="H447" s="50"/>
    </row>
    <row r="448">
      <c r="D448" s="50"/>
      <c r="E448" s="50"/>
      <c r="F448" s="50"/>
      <c r="G448" s="50"/>
      <c r="H448" s="50"/>
    </row>
    <row r="449">
      <c r="D449" s="50"/>
      <c r="E449" s="50"/>
      <c r="F449" s="50"/>
      <c r="G449" s="50"/>
      <c r="H449" s="50"/>
    </row>
    <row r="450">
      <c r="D450" s="50"/>
      <c r="E450" s="50"/>
      <c r="F450" s="50"/>
      <c r="G450" s="50"/>
      <c r="H450" s="50"/>
    </row>
    <row r="451">
      <c r="D451" s="50"/>
      <c r="E451" s="50"/>
      <c r="F451" s="50"/>
      <c r="G451" s="50"/>
      <c r="H451" s="50"/>
    </row>
    <row r="452">
      <c r="D452" s="50"/>
      <c r="E452" s="50"/>
      <c r="F452" s="50"/>
      <c r="G452" s="50"/>
      <c r="H452" s="50"/>
    </row>
    <row r="453">
      <c r="D453" s="50"/>
      <c r="E453" s="50"/>
      <c r="F453" s="50"/>
      <c r="G453" s="50"/>
      <c r="H453" s="50"/>
    </row>
    <row r="454">
      <c r="D454" s="50"/>
      <c r="E454" s="50"/>
      <c r="F454" s="50"/>
      <c r="G454" s="50"/>
      <c r="H454" s="50"/>
    </row>
    <row r="455">
      <c r="D455" s="50"/>
      <c r="E455" s="50"/>
      <c r="F455" s="50"/>
      <c r="G455" s="50"/>
      <c r="H455" s="50"/>
    </row>
    <row r="456">
      <c r="D456" s="50"/>
      <c r="E456" s="50"/>
      <c r="F456" s="50"/>
      <c r="G456" s="50"/>
      <c r="H456" s="50"/>
    </row>
    <row r="457">
      <c r="D457" s="50"/>
      <c r="E457" s="50"/>
      <c r="F457" s="50"/>
      <c r="G457" s="50"/>
      <c r="H457" s="50"/>
    </row>
    <row r="458">
      <c r="D458" s="50"/>
      <c r="E458" s="50"/>
      <c r="F458" s="50"/>
      <c r="G458" s="50"/>
      <c r="H458" s="50"/>
    </row>
    <row r="459">
      <c r="D459" s="50"/>
      <c r="E459" s="50"/>
      <c r="F459" s="50"/>
      <c r="G459" s="50"/>
      <c r="H459" s="50"/>
    </row>
    <row r="460">
      <c r="D460" s="50"/>
      <c r="E460" s="50"/>
      <c r="F460" s="50"/>
      <c r="G460" s="50"/>
      <c r="H460" s="50"/>
    </row>
    <row r="461">
      <c r="D461" s="50"/>
      <c r="E461" s="50"/>
      <c r="F461" s="50"/>
      <c r="G461" s="50"/>
      <c r="H461" s="50"/>
    </row>
    <row r="462">
      <c r="D462" s="50"/>
      <c r="E462" s="50"/>
      <c r="F462" s="50"/>
      <c r="G462" s="50"/>
      <c r="H462" s="50"/>
    </row>
    <row r="463">
      <c r="D463" s="50"/>
      <c r="E463" s="50"/>
      <c r="F463" s="50"/>
      <c r="G463" s="50"/>
      <c r="H463" s="50"/>
    </row>
    <row r="464">
      <c r="D464" s="50"/>
      <c r="E464" s="50"/>
      <c r="F464" s="50"/>
      <c r="G464" s="50"/>
      <c r="H464" s="50"/>
    </row>
    <row r="465">
      <c r="D465" s="50"/>
      <c r="E465" s="50"/>
      <c r="F465" s="50"/>
      <c r="G465" s="50"/>
      <c r="H465" s="50"/>
    </row>
    <row r="466">
      <c r="D466" s="50"/>
      <c r="E466" s="50"/>
      <c r="F466" s="50"/>
      <c r="G466" s="50"/>
      <c r="H466" s="50"/>
    </row>
    <row r="467">
      <c r="D467" s="50"/>
      <c r="E467" s="50"/>
      <c r="F467" s="50"/>
      <c r="G467" s="50"/>
      <c r="H467" s="50"/>
    </row>
    <row r="468">
      <c r="D468" s="50"/>
      <c r="E468" s="50"/>
      <c r="F468" s="50"/>
      <c r="G468" s="50"/>
      <c r="H468" s="50"/>
    </row>
    <row r="469">
      <c r="D469" s="50"/>
      <c r="E469" s="50"/>
      <c r="F469" s="50"/>
      <c r="G469" s="50"/>
      <c r="H469" s="50"/>
    </row>
    <row r="470">
      <c r="D470" s="50"/>
      <c r="E470" s="50"/>
      <c r="F470" s="50"/>
      <c r="G470" s="50"/>
      <c r="H470" s="50"/>
    </row>
    <row r="471">
      <c r="D471" s="50"/>
      <c r="E471" s="50"/>
      <c r="F471" s="50"/>
      <c r="G471" s="50"/>
      <c r="H471" s="50"/>
    </row>
    <row r="472">
      <c r="D472" s="50"/>
      <c r="E472" s="50"/>
      <c r="F472" s="50"/>
      <c r="G472" s="50"/>
      <c r="H472" s="50"/>
    </row>
    <row r="473">
      <c r="D473" s="50"/>
      <c r="E473" s="50"/>
      <c r="F473" s="50"/>
      <c r="G473" s="50"/>
      <c r="H473" s="50"/>
    </row>
    <row r="474">
      <c r="D474" s="50"/>
      <c r="E474" s="50"/>
      <c r="F474" s="50"/>
      <c r="G474" s="50"/>
      <c r="H474" s="50"/>
    </row>
    <row r="475">
      <c r="D475" s="50"/>
      <c r="E475" s="50"/>
      <c r="F475" s="50"/>
      <c r="G475" s="50"/>
      <c r="H475" s="50"/>
    </row>
    <row r="476">
      <c r="D476" s="50"/>
      <c r="E476" s="50"/>
      <c r="F476" s="50"/>
      <c r="G476" s="50"/>
      <c r="H476" s="50"/>
    </row>
    <row r="477">
      <c r="D477" s="50"/>
      <c r="E477" s="50"/>
      <c r="F477" s="50"/>
      <c r="G477" s="50"/>
      <c r="H477" s="50"/>
    </row>
    <row r="478">
      <c r="D478" s="50"/>
      <c r="E478" s="50"/>
      <c r="F478" s="50"/>
      <c r="G478" s="50"/>
      <c r="H478" s="50"/>
    </row>
    <row r="479">
      <c r="D479" s="50"/>
      <c r="E479" s="50"/>
      <c r="F479" s="50"/>
      <c r="G479" s="50"/>
      <c r="H479" s="50"/>
    </row>
    <row r="480">
      <c r="D480" s="50"/>
      <c r="E480" s="50"/>
      <c r="F480" s="50"/>
      <c r="G480" s="50"/>
      <c r="H480" s="50"/>
    </row>
    <row r="481">
      <c r="D481" s="50"/>
      <c r="E481" s="50"/>
      <c r="F481" s="50"/>
      <c r="G481" s="50"/>
      <c r="H481" s="50"/>
    </row>
    <row r="482">
      <c r="D482" s="50"/>
      <c r="E482" s="50"/>
      <c r="F482" s="50"/>
      <c r="G482" s="50"/>
      <c r="H482" s="50"/>
    </row>
    <row r="483">
      <c r="D483" s="50"/>
      <c r="E483" s="50"/>
      <c r="F483" s="50"/>
      <c r="G483" s="50"/>
      <c r="H483" s="50"/>
    </row>
    <row r="484">
      <c r="D484" s="50"/>
      <c r="E484" s="50"/>
      <c r="F484" s="50"/>
      <c r="G484" s="50"/>
      <c r="H484" s="50"/>
    </row>
    <row r="485">
      <c r="D485" s="50"/>
      <c r="E485" s="50"/>
      <c r="F485" s="50"/>
      <c r="G485" s="50"/>
      <c r="H485" s="50"/>
    </row>
    <row r="486">
      <c r="D486" s="50"/>
      <c r="E486" s="50"/>
      <c r="F486" s="50"/>
      <c r="G486" s="50"/>
      <c r="H486" s="50"/>
    </row>
    <row r="487">
      <c r="D487" s="50"/>
      <c r="E487" s="50"/>
      <c r="F487" s="50"/>
      <c r="G487" s="50"/>
      <c r="H487" s="50"/>
    </row>
    <row r="488">
      <c r="D488" s="50"/>
      <c r="E488" s="50"/>
      <c r="F488" s="50"/>
      <c r="G488" s="50"/>
      <c r="H488" s="50"/>
    </row>
    <row r="489">
      <c r="D489" s="50"/>
      <c r="E489" s="50"/>
      <c r="F489" s="50"/>
      <c r="G489" s="50"/>
      <c r="H489" s="50"/>
    </row>
    <row r="490">
      <c r="D490" s="50"/>
      <c r="E490" s="50"/>
      <c r="F490" s="50"/>
      <c r="G490" s="50"/>
      <c r="H490" s="50"/>
    </row>
    <row r="491">
      <c r="D491" s="50"/>
      <c r="E491" s="50"/>
      <c r="F491" s="50"/>
      <c r="G491" s="50"/>
      <c r="H491" s="50"/>
    </row>
    <row r="492">
      <c r="D492" s="50"/>
      <c r="E492" s="50"/>
      <c r="F492" s="50"/>
      <c r="G492" s="50"/>
      <c r="H492" s="50"/>
    </row>
    <row r="493">
      <c r="D493" s="50"/>
      <c r="E493" s="50"/>
      <c r="F493" s="50"/>
      <c r="G493" s="50"/>
      <c r="H493" s="50"/>
    </row>
    <row r="494">
      <c r="D494" s="50"/>
      <c r="E494" s="50"/>
      <c r="F494" s="50"/>
      <c r="G494" s="50"/>
      <c r="H494" s="50"/>
    </row>
    <row r="495">
      <c r="D495" s="50"/>
      <c r="E495" s="50"/>
      <c r="F495" s="50"/>
      <c r="G495" s="50"/>
      <c r="H495" s="50"/>
    </row>
    <row r="496">
      <c r="D496" s="50"/>
      <c r="E496" s="50"/>
      <c r="F496" s="50"/>
      <c r="G496" s="50"/>
      <c r="H496" s="50"/>
    </row>
    <row r="497">
      <c r="D497" s="50"/>
      <c r="E497" s="50"/>
      <c r="F497" s="50"/>
      <c r="G497" s="50"/>
      <c r="H497" s="50"/>
    </row>
    <row r="498">
      <c r="D498" s="50"/>
      <c r="E498" s="50"/>
      <c r="F498" s="50"/>
      <c r="G498" s="50"/>
      <c r="H498" s="50"/>
    </row>
    <row r="499">
      <c r="D499" s="50"/>
      <c r="E499" s="50"/>
      <c r="F499" s="50"/>
      <c r="G499" s="50"/>
      <c r="H499" s="50"/>
    </row>
    <row r="500">
      <c r="D500" s="50"/>
      <c r="E500" s="50"/>
      <c r="F500" s="50"/>
      <c r="G500" s="50"/>
      <c r="H500" s="50"/>
    </row>
    <row r="501">
      <c r="D501" s="50"/>
      <c r="E501" s="50"/>
      <c r="F501" s="50"/>
      <c r="G501" s="50"/>
      <c r="H501" s="50"/>
    </row>
    <row r="502">
      <c r="D502" s="50"/>
      <c r="E502" s="50"/>
      <c r="F502" s="50"/>
      <c r="G502" s="50"/>
      <c r="H502" s="50"/>
    </row>
    <row r="503">
      <c r="D503" s="50"/>
      <c r="E503" s="50"/>
      <c r="F503" s="50"/>
      <c r="G503" s="50"/>
      <c r="H503" s="50"/>
    </row>
    <row r="504">
      <c r="D504" s="50"/>
      <c r="E504" s="50"/>
      <c r="F504" s="50"/>
      <c r="G504" s="50"/>
      <c r="H504" s="50"/>
    </row>
    <row r="505">
      <c r="D505" s="50"/>
      <c r="E505" s="50"/>
      <c r="F505" s="50"/>
      <c r="G505" s="50"/>
      <c r="H505" s="50"/>
    </row>
    <row r="506">
      <c r="D506" s="50"/>
      <c r="E506" s="50"/>
      <c r="F506" s="50"/>
      <c r="G506" s="50"/>
      <c r="H506" s="50"/>
    </row>
    <row r="507">
      <c r="D507" s="50"/>
      <c r="E507" s="50"/>
      <c r="F507" s="50"/>
      <c r="G507" s="50"/>
      <c r="H507" s="50"/>
    </row>
    <row r="508">
      <c r="D508" s="50"/>
      <c r="E508" s="50"/>
      <c r="F508" s="50"/>
      <c r="G508" s="50"/>
      <c r="H508" s="50"/>
    </row>
    <row r="509">
      <c r="D509" s="50"/>
      <c r="E509" s="50"/>
      <c r="F509" s="50"/>
      <c r="G509" s="50"/>
      <c r="H509" s="50"/>
    </row>
    <row r="510">
      <c r="D510" s="50"/>
      <c r="E510" s="50"/>
      <c r="F510" s="50"/>
      <c r="G510" s="50"/>
      <c r="H510" s="50"/>
    </row>
    <row r="511">
      <c r="D511" s="50"/>
      <c r="E511" s="50"/>
      <c r="F511" s="50"/>
      <c r="G511" s="50"/>
      <c r="H511" s="50"/>
    </row>
    <row r="512">
      <c r="D512" s="50"/>
      <c r="E512" s="50"/>
      <c r="F512" s="50"/>
      <c r="G512" s="50"/>
      <c r="H512" s="50"/>
    </row>
    <row r="513">
      <c r="D513" s="50"/>
      <c r="E513" s="50"/>
      <c r="F513" s="50"/>
      <c r="G513" s="50"/>
      <c r="H513" s="50"/>
    </row>
    <row r="514">
      <c r="D514" s="50"/>
      <c r="E514" s="50"/>
      <c r="F514" s="50"/>
      <c r="G514" s="50"/>
      <c r="H514" s="50"/>
    </row>
    <row r="515">
      <c r="D515" s="50"/>
      <c r="E515" s="50"/>
      <c r="F515" s="50"/>
      <c r="G515" s="50"/>
      <c r="H515" s="50"/>
    </row>
    <row r="516">
      <c r="D516" s="50"/>
      <c r="E516" s="50"/>
      <c r="F516" s="50"/>
      <c r="G516" s="50"/>
      <c r="H516" s="50"/>
    </row>
    <row r="517">
      <c r="D517" s="50"/>
      <c r="E517" s="50"/>
      <c r="F517" s="50"/>
      <c r="G517" s="50"/>
      <c r="H517" s="50"/>
    </row>
    <row r="518">
      <c r="D518" s="50"/>
      <c r="E518" s="50"/>
      <c r="F518" s="50"/>
      <c r="G518" s="50"/>
      <c r="H518" s="50"/>
    </row>
    <row r="519">
      <c r="D519" s="50"/>
      <c r="E519" s="50"/>
      <c r="F519" s="50"/>
      <c r="G519" s="50"/>
      <c r="H519" s="50"/>
    </row>
    <row r="520">
      <c r="D520" s="50"/>
      <c r="E520" s="50"/>
      <c r="F520" s="50"/>
      <c r="G520" s="50"/>
      <c r="H520" s="50"/>
    </row>
    <row r="521">
      <c r="D521" s="50"/>
      <c r="E521" s="50"/>
      <c r="F521" s="50"/>
      <c r="G521" s="50"/>
      <c r="H521" s="50"/>
    </row>
    <row r="522">
      <c r="D522" s="50"/>
      <c r="E522" s="50"/>
      <c r="F522" s="50"/>
      <c r="G522" s="50"/>
      <c r="H522" s="50"/>
    </row>
    <row r="523">
      <c r="D523" s="50"/>
      <c r="E523" s="50"/>
      <c r="F523" s="50"/>
      <c r="G523" s="50"/>
      <c r="H523" s="50"/>
    </row>
    <row r="524">
      <c r="D524" s="50"/>
      <c r="E524" s="50"/>
      <c r="F524" s="50"/>
      <c r="G524" s="50"/>
      <c r="H524" s="50"/>
    </row>
    <row r="525">
      <c r="D525" s="50"/>
      <c r="E525" s="50"/>
      <c r="F525" s="50"/>
      <c r="G525" s="50"/>
      <c r="H525" s="50"/>
    </row>
    <row r="526">
      <c r="D526" s="50"/>
      <c r="E526" s="50"/>
      <c r="F526" s="50"/>
      <c r="G526" s="50"/>
      <c r="H526" s="50"/>
    </row>
    <row r="527">
      <c r="D527" s="50"/>
      <c r="E527" s="50"/>
      <c r="F527" s="50"/>
      <c r="G527" s="50"/>
      <c r="H527" s="50"/>
    </row>
    <row r="528">
      <c r="D528" s="50"/>
      <c r="E528" s="50"/>
      <c r="F528" s="50"/>
      <c r="G528" s="50"/>
      <c r="H528" s="50"/>
    </row>
    <row r="529">
      <c r="D529" s="50"/>
      <c r="E529" s="50"/>
      <c r="F529" s="50"/>
      <c r="G529" s="50"/>
      <c r="H529" s="50"/>
    </row>
    <row r="530">
      <c r="D530" s="50"/>
      <c r="E530" s="50"/>
      <c r="F530" s="50"/>
      <c r="G530" s="50"/>
      <c r="H530" s="50"/>
    </row>
    <row r="531">
      <c r="D531" s="50"/>
      <c r="E531" s="50"/>
      <c r="F531" s="50"/>
      <c r="G531" s="50"/>
      <c r="H531" s="50"/>
    </row>
    <row r="532">
      <c r="D532" s="50"/>
      <c r="E532" s="50"/>
      <c r="F532" s="50"/>
      <c r="G532" s="50"/>
      <c r="H532" s="50"/>
    </row>
    <row r="533">
      <c r="D533" s="50"/>
      <c r="E533" s="50"/>
      <c r="F533" s="50"/>
      <c r="G533" s="50"/>
      <c r="H533" s="50"/>
    </row>
    <row r="534">
      <c r="D534" s="50"/>
      <c r="E534" s="50"/>
      <c r="F534" s="50"/>
      <c r="G534" s="50"/>
      <c r="H534" s="50"/>
    </row>
    <row r="535">
      <c r="D535" s="50"/>
      <c r="E535" s="50"/>
      <c r="F535" s="50"/>
      <c r="G535" s="50"/>
      <c r="H535" s="50"/>
    </row>
    <row r="536">
      <c r="D536" s="50"/>
      <c r="E536" s="50"/>
      <c r="F536" s="50"/>
      <c r="G536" s="50"/>
      <c r="H536" s="50"/>
    </row>
    <row r="537">
      <c r="D537" s="50"/>
      <c r="E537" s="50"/>
      <c r="F537" s="50"/>
      <c r="G537" s="50"/>
      <c r="H537" s="50"/>
    </row>
    <row r="538">
      <c r="D538" s="50"/>
      <c r="E538" s="50"/>
      <c r="F538" s="50"/>
      <c r="G538" s="50"/>
      <c r="H538" s="50"/>
    </row>
    <row r="539">
      <c r="D539" s="50"/>
      <c r="E539" s="50"/>
      <c r="F539" s="50"/>
      <c r="G539" s="50"/>
      <c r="H539" s="50"/>
    </row>
    <row r="540">
      <c r="D540" s="50"/>
      <c r="E540" s="50"/>
      <c r="F540" s="50"/>
      <c r="G540" s="50"/>
      <c r="H540" s="50"/>
    </row>
    <row r="541">
      <c r="D541" s="50"/>
      <c r="E541" s="50"/>
      <c r="F541" s="50"/>
      <c r="G541" s="50"/>
      <c r="H541" s="50"/>
    </row>
    <row r="542">
      <c r="D542" s="50"/>
      <c r="E542" s="50"/>
      <c r="F542" s="50"/>
      <c r="G542" s="50"/>
      <c r="H542" s="50"/>
    </row>
    <row r="543">
      <c r="D543" s="50"/>
      <c r="E543" s="50"/>
      <c r="F543" s="50"/>
      <c r="G543" s="50"/>
      <c r="H543" s="50"/>
    </row>
    <row r="544">
      <c r="D544" s="50"/>
      <c r="E544" s="50"/>
      <c r="F544" s="50"/>
      <c r="G544" s="50"/>
      <c r="H544" s="50"/>
    </row>
    <row r="545">
      <c r="D545" s="50"/>
      <c r="E545" s="50"/>
      <c r="F545" s="50"/>
      <c r="G545" s="50"/>
      <c r="H545" s="50"/>
    </row>
    <row r="546">
      <c r="D546" s="50"/>
      <c r="E546" s="50"/>
      <c r="F546" s="50"/>
      <c r="G546" s="50"/>
      <c r="H546" s="50"/>
    </row>
    <row r="547">
      <c r="D547" s="50"/>
      <c r="E547" s="50"/>
      <c r="F547" s="50"/>
      <c r="G547" s="50"/>
      <c r="H547" s="50"/>
    </row>
    <row r="548">
      <c r="D548" s="50"/>
      <c r="E548" s="50"/>
      <c r="F548" s="50"/>
      <c r="G548" s="50"/>
      <c r="H548" s="50"/>
    </row>
    <row r="549">
      <c r="D549" s="50"/>
      <c r="E549" s="50"/>
      <c r="F549" s="50"/>
      <c r="G549" s="50"/>
      <c r="H549" s="50"/>
    </row>
    <row r="550">
      <c r="D550" s="50"/>
      <c r="E550" s="50"/>
      <c r="F550" s="50"/>
      <c r="G550" s="50"/>
      <c r="H550" s="50"/>
    </row>
    <row r="551">
      <c r="D551" s="50"/>
      <c r="E551" s="50"/>
      <c r="F551" s="50"/>
      <c r="G551" s="50"/>
      <c r="H551" s="50"/>
    </row>
    <row r="552">
      <c r="D552" s="50"/>
      <c r="E552" s="50"/>
      <c r="F552" s="50"/>
      <c r="G552" s="50"/>
      <c r="H552" s="50"/>
    </row>
    <row r="553">
      <c r="D553" s="50"/>
      <c r="E553" s="50"/>
      <c r="F553" s="50"/>
      <c r="G553" s="50"/>
      <c r="H553" s="50"/>
    </row>
    <row r="554">
      <c r="D554" s="50"/>
      <c r="E554" s="50"/>
      <c r="F554" s="50"/>
      <c r="G554" s="50"/>
      <c r="H554" s="50"/>
    </row>
    <row r="555">
      <c r="D555" s="50"/>
      <c r="E555" s="50"/>
      <c r="F555" s="50"/>
      <c r="G555" s="50"/>
      <c r="H555" s="50"/>
    </row>
    <row r="556">
      <c r="D556" s="50"/>
      <c r="E556" s="50"/>
      <c r="F556" s="50"/>
      <c r="G556" s="50"/>
      <c r="H556" s="50"/>
    </row>
    <row r="557">
      <c r="D557" s="50"/>
      <c r="E557" s="50"/>
      <c r="F557" s="50"/>
      <c r="G557" s="50"/>
      <c r="H557" s="50"/>
    </row>
    <row r="558">
      <c r="D558" s="50"/>
      <c r="E558" s="50"/>
      <c r="F558" s="50"/>
      <c r="G558" s="50"/>
      <c r="H558" s="50"/>
    </row>
    <row r="559">
      <c r="D559" s="50"/>
      <c r="E559" s="50"/>
      <c r="F559" s="50"/>
      <c r="G559" s="50"/>
      <c r="H559" s="50"/>
    </row>
    <row r="560">
      <c r="D560" s="50"/>
      <c r="E560" s="50"/>
      <c r="F560" s="50"/>
      <c r="G560" s="50"/>
      <c r="H560" s="50"/>
    </row>
    <row r="561">
      <c r="D561" s="50"/>
      <c r="E561" s="50"/>
      <c r="F561" s="50"/>
      <c r="G561" s="50"/>
      <c r="H561" s="50"/>
    </row>
    <row r="562">
      <c r="D562" s="50"/>
      <c r="E562" s="50"/>
      <c r="F562" s="50"/>
      <c r="G562" s="50"/>
      <c r="H562" s="50"/>
    </row>
    <row r="563">
      <c r="D563" s="50"/>
      <c r="E563" s="50"/>
      <c r="F563" s="50"/>
      <c r="G563" s="50"/>
      <c r="H563" s="50"/>
    </row>
    <row r="564">
      <c r="D564" s="50"/>
      <c r="E564" s="50"/>
      <c r="F564" s="50"/>
      <c r="G564" s="50"/>
      <c r="H564" s="50"/>
    </row>
    <row r="565">
      <c r="D565" s="50"/>
      <c r="E565" s="50"/>
      <c r="F565" s="50"/>
      <c r="G565" s="50"/>
      <c r="H565" s="50"/>
    </row>
    <row r="566">
      <c r="D566" s="50"/>
      <c r="E566" s="50"/>
      <c r="F566" s="50"/>
      <c r="G566" s="50"/>
      <c r="H566" s="50"/>
    </row>
    <row r="567">
      <c r="D567" s="50"/>
      <c r="E567" s="50"/>
      <c r="F567" s="50"/>
      <c r="G567" s="50"/>
      <c r="H567" s="50"/>
    </row>
    <row r="568">
      <c r="D568" s="50"/>
      <c r="E568" s="50"/>
      <c r="F568" s="50"/>
      <c r="G568" s="50"/>
      <c r="H568" s="50"/>
    </row>
    <row r="569">
      <c r="D569" s="50"/>
      <c r="E569" s="50"/>
      <c r="F569" s="50"/>
      <c r="G569" s="50"/>
      <c r="H569" s="50"/>
    </row>
    <row r="570">
      <c r="D570" s="50"/>
      <c r="E570" s="50"/>
      <c r="F570" s="50"/>
      <c r="G570" s="50"/>
      <c r="H570" s="50"/>
    </row>
    <row r="571">
      <c r="D571" s="50"/>
      <c r="E571" s="50"/>
      <c r="F571" s="50"/>
      <c r="G571" s="50"/>
      <c r="H571" s="50"/>
    </row>
    <row r="572">
      <c r="D572" s="50"/>
      <c r="E572" s="50"/>
      <c r="F572" s="50"/>
      <c r="G572" s="50"/>
      <c r="H572" s="50"/>
    </row>
    <row r="573">
      <c r="D573" s="50"/>
      <c r="E573" s="50"/>
      <c r="F573" s="50"/>
      <c r="G573" s="50"/>
      <c r="H573" s="50"/>
    </row>
    <row r="574">
      <c r="D574" s="50"/>
      <c r="E574" s="50"/>
      <c r="F574" s="50"/>
      <c r="G574" s="50"/>
      <c r="H574" s="50"/>
    </row>
    <row r="575">
      <c r="D575" s="50"/>
      <c r="E575" s="50"/>
      <c r="F575" s="50"/>
      <c r="G575" s="50"/>
      <c r="H575" s="50"/>
    </row>
    <row r="576">
      <c r="D576" s="50"/>
      <c r="E576" s="50"/>
      <c r="F576" s="50"/>
      <c r="G576" s="50"/>
      <c r="H576" s="50"/>
    </row>
    <row r="577">
      <c r="D577" s="50"/>
      <c r="E577" s="50"/>
      <c r="F577" s="50"/>
      <c r="G577" s="50"/>
      <c r="H577" s="50"/>
    </row>
    <row r="578">
      <c r="D578" s="50"/>
      <c r="E578" s="50"/>
      <c r="F578" s="50"/>
      <c r="G578" s="50"/>
      <c r="H578" s="50"/>
    </row>
    <row r="579">
      <c r="D579" s="50"/>
      <c r="E579" s="50"/>
      <c r="F579" s="50"/>
      <c r="G579" s="50"/>
      <c r="H579" s="50"/>
    </row>
    <row r="580">
      <c r="D580" s="50"/>
      <c r="E580" s="50"/>
      <c r="F580" s="50"/>
      <c r="G580" s="50"/>
      <c r="H580" s="50"/>
    </row>
    <row r="581">
      <c r="D581" s="50"/>
      <c r="E581" s="50"/>
      <c r="F581" s="50"/>
      <c r="G581" s="50"/>
      <c r="H581" s="50"/>
    </row>
    <row r="582">
      <c r="D582" s="50"/>
      <c r="E582" s="50"/>
      <c r="F582" s="50"/>
      <c r="G582" s="50"/>
      <c r="H582" s="50"/>
    </row>
    <row r="583">
      <c r="D583" s="50"/>
      <c r="E583" s="50"/>
      <c r="F583" s="50"/>
      <c r="G583" s="50"/>
      <c r="H583" s="50"/>
    </row>
    <row r="584">
      <c r="D584" s="50"/>
      <c r="E584" s="50"/>
      <c r="F584" s="50"/>
      <c r="G584" s="50"/>
      <c r="H584" s="50"/>
    </row>
    <row r="585">
      <c r="D585" s="50"/>
      <c r="E585" s="50"/>
      <c r="F585" s="50"/>
      <c r="G585" s="50"/>
      <c r="H585" s="50"/>
    </row>
    <row r="586">
      <c r="D586" s="50"/>
      <c r="E586" s="50"/>
      <c r="F586" s="50"/>
      <c r="G586" s="50"/>
      <c r="H586" s="50"/>
    </row>
    <row r="587">
      <c r="D587" s="50"/>
      <c r="E587" s="50"/>
      <c r="F587" s="50"/>
      <c r="G587" s="50"/>
      <c r="H587" s="50"/>
    </row>
    <row r="588">
      <c r="D588" s="50"/>
      <c r="E588" s="50"/>
      <c r="F588" s="50"/>
      <c r="G588" s="50"/>
      <c r="H588" s="50"/>
    </row>
    <row r="589">
      <c r="D589" s="50"/>
      <c r="E589" s="50"/>
      <c r="F589" s="50"/>
      <c r="G589" s="50"/>
      <c r="H589" s="50"/>
    </row>
    <row r="590">
      <c r="D590" s="50"/>
      <c r="E590" s="50"/>
      <c r="F590" s="50"/>
      <c r="G590" s="50"/>
      <c r="H590" s="50"/>
    </row>
    <row r="591">
      <c r="D591" s="50"/>
      <c r="E591" s="50"/>
      <c r="F591" s="50"/>
      <c r="G591" s="50"/>
      <c r="H591" s="50"/>
    </row>
    <row r="592">
      <c r="D592" s="50"/>
      <c r="E592" s="50"/>
      <c r="F592" s="50"/>
      <c r="G592" s="50"/>
      <c r="H592" s="50"/>
    </row>
    <row r="593">
      <c r="D593" s="50"/>
      <c r="E593" s="50"/>
      <c r="F593" s="50"/>
      <c r="G593" s="50"/>
      <c r="H593" s="50"/>
    </row>
    <row r="594">
      <c r="D594" s="50"/>
      <c r="E594" s="50"/>
      <c r="F594" s="50"/>
      <c r="G594" s="50"/>
      <c r="H594" s="50"/>
    </row>
    <row r="595">
      <c r="D595" s="50"/>
      <c r="E595" s="50"/>
      <c r="F595" s="50"/>
      <c r="G595" s="50"/>
      <c r="H595" s="50"/>
    </row>
    <row r="596">
      <c r="D596" s="50"/>
      <c r="E596" s="50"/>
      <c r="F596" s="50"/>
      <c r="G596" s="50"/>
      <c r="H596" s="50"/>
    </row>
    <row r="597">
      <c r="D597" s="50"/>
      <c r="E597" s="50"/>
      <c r="F597" s="50"/>
      <c r="G597" s="50"/>
      <c r="H597" s="50"/>
    </row>
    <row r="598">
      <c r="D598" s="50"/>
      <c r="E598" s="50"/>
      <c r="F598" s="50"/>
      <c r="G598" s="50"/>
      <c r="H598" s="50"/>
    </row>
    <row r="599">
      <c r="D599" s="50"/>
      <c r="E599" s="50"/>
      <c r="F599" s="50"/>
      <c r="G599" s="50"/>
      <c r="H599" s="50"/>
    </row>
    <row r="600">
      <c r="D600" s="50"/>
      <c r="E600" s="50"/>
      <c r="F600" s="50"/>
      <c r="G600" s="50"/>
      <c r="H600" s="50"/>
    </row>
    <row r="601">
      <c r="D601" s="50"/>
      <c r="E601" s="50"/>
      <c r="F601" s="50"/>
      <c r="G601" s="50"/>
      <c r="H601" s="50"/>
    </row>
    <row r="602">
      <c r="D602" s="50"/>
      <c r="E602" s="50"/>
      <c r="F602" s="50"/>
      <c r="G602" s="50"/>
      <c r="H602" s="50"/>
    </row>
    <row r="603">
      <c r="D603" s="50"/>
      <c r="E603" s="50"/>
      <c r="F603" s="50"/>
      <c r="G603" s="50"/>
      <c r="H603" s="50"/>
    </row>
    <row r="604">
      <c r="D604" s="50"/>
      <c r="E604" s="50"/>
      <c r="F604" s="50"/>
      <c r="G604" s="50"/>
      <c r="H604" s="50"/>
    </row>
    <row r="605">
      <c r="D605" s="50"/>
      <c r="E605" s="50"/>
      <c r="F605" s="50"/>
      <c r="G605" s="50"/>
      <c r="H605" s="50"/>
    </row>
    <row r="606">
      <c r="D606" s="50"/>
      <c r="E606" s="50"/>
      <c r="F606" s="50"/>
      <c r="G606" s="50"/>
      <c r="H606" s="50"/>
    </row>
    <row r="607">
      <c r="D607" s="50"/>
      <c r="E607" s="50"/>
      <c r="F607" s="50"/>
      <c r="G607" s="50"/>
      <c r="H607" s="50"/>
    </row>
    <row r="608">
      <c r="D608" s="50"/>
      <c r="E608" s="50"/>
      <c r="F608" s="50"/>
      <c r="G608" s="50"/>
      <c r="H608" s="50"/>
    </row>
    <row r="609">
      <c r="D609" s="50"/>
      <c r="E609" s="50"/>
      <c r="F609" s="50"/>
      <c r="G609" s="50"/>
      <c r="H609" s="50"/>
    </row>
    <row r="610">
      <c r="D610" s="50"/>
      <c r="E610" s="50"/>
      <c r="F610" s="50"/>
      <c r="G610" s="50"/>
      <c r="H610" s="50"/>
    </row>
    <row r="611">
      <c r="D611" s="50"/>
      <c r="E611" s="50"/>
      <c r="F611" s="50"/>
      <c r="G611" s="50"/>
      <c r="H611" s="50"/>
    </row>
    <row r="612">
      <c r="D612" s="50"/>
      <c r="E612" s="50"/>
      <c r="F612" s="50"/>
      <c r="G612" s="50"/>
      <c r="H612" s="50"/>
    </row>
    <row r="613">
      <c r="D613" s="50"/>
      <c r="E613" s="50"/>
      <c r="F613" s="50"/>
      <c r="G613" s="50"/>
      <c r="H613" s="50"/>
    </row>
    <row r="614">
      <c r="D614" s="50"/>
      <c r="E614" s="50"/>
      <c r="F614" s="50"/>
      <c r="G614" s="50"/>
      <c r="H614" s="50"/>
    </row>
    <row r="615">
      <c r="D615" s="50"/>
      <c r="E615" s="50"/>
      <c r="F615" s="50"/>
      <c r="G615" s="50"/>
      <c r="H615" s="50"/>
    </row>
    <row r="616">
      <c r="D616" s="50"/>
      <c r="E616" s="50"/>
      <c r="F616" s="50"/>
      <c r="G616" s="50"/>
      <c r="H616" s="50"/>
    </row>
    <row r="617">
      <c r="D617" s="50"/>
      <c r="E617" s="50"/>
      <c r="F617" s="50"/>
      <c r="G617" s="50"/>
      <c r="H617" s="50"/>
    </row>
    <row r="618">
      <c r="D618" s="50"/>
      <c r="E618" s="50"/>
      <c r="F618" s="50"/>
      <c r="G618" s="50"/>
      <c r="H618" s="50"/>
    </row>
    <row r="619">
      <c r="D619" s="50"/>
      <c r="E619" s="50"/>
      <c r="F619" s="50"/>
      <c r="G619" s="50"/>
      <c r="H619" s="50"/>
    </row>
    <row r="620">
      <c r="D620" s="50"/>
      <c r="E620" s="50"/>
      <c r="F620" s="50"/>
      <c r="G620" s="50"/>
      <c r="H620" s="50"/>
    </row>
    <row r="621">
      <c r="D621" s="50"/>
      <c r="E621" s="50"/>
      <c r="F621" s="50"/>
      <c r="G621" s="50"/>
      <c r="H621" s="50"/>
    </row>
    <row r="622">
      <c r="D622" s="50"/>
      <c r="E622" s="50"/>
      <c r="F622" s="50"/>
      <c r="G622" s="50"/>
      <c r="H622" s="50"/>
    </row>
    <row r="623">
      <c r="D623" s="50"/>
      <c r="E623" s="50"/>
      <c r="F623" s="50"/>
      <c r="G623" s="50"/>
      <c r="H623" s="50"/>
    </row>
    <row r="624">
      <c r="D624" s="50"/>
      <c r="E624" s="50"/>
      <c r="F624" s="50"/>
      <c r="G624" s="50"/>
      <c r="H624" s="50"/>
    </row>
    <row r="625">
      <c r="D625" s="50"/>
      <c r="E625" s="50"/>
      <c r="F625" s="50"/>
      <c r="G625" s="50"/>
      <c r="H625" s="50"/>
    </row>
    <row r="626">
      <c r="D626" s="50"/>
      <c r="E626" s="50"/>
      <c r="F626" s="50"/>
      <c r="G626" s="50"/>
      <c r="H626" s="50"/>
    </row>
    <row r="627">
      <c r="D627" s="50"/>
      <c r="E627" s="50"/>
      <c r="F627" s="50"/>
      <c r="G627" s="50"/>
      <c r="H627" s="50"/>
    </row>
    <row r="628">
      <c r="D628" s="50"/>
      <c r="E628" s="50"/>
      <c r="F628" s="50"/>
      <c r="G628" s="50"/>
      <c r="H628" s="50"/>
    </row>
    <row r="629">
      <c r="D629" s="50"/>
      <c r="E629" s="50"/>
      <c r="F629" s="50"/>
      <c r="G629" s="50"/>
      <c r="H629" s="50"/>
    </row>
    <row r="630">
      <c r="D630" s="50"/>
      <c r="E630" s="50"/>
      <c r="F630" s="50"/>
      <c r="G630" s="50"/>
      <c r="H630" s="50"/>
    </row>
    <row r="631">
      <c r="D631" s="50"/>
      <c r="E631" s="50"/>
      <c r="F631" s="50"/>
      <c r="G631" s="50"/>
      <c r="H631" s="50"/>
    </row>
    <row r="632">
      <c r="D632" s="50"/>
      <c r="E632" s="50"/>
      <c r="F632" s="50"/>
      <c r="G632" s="50"/>
      <c r="H632" s="50"/>
    </row>
    <row r="633">
      <c r="D633" s="50"/>
      <c r="E633" s="50"/>
      <c r="F633" s="50"/>
      <c r="G633" s="50"/>
      <c r="H633" s="50"/>
    </row>
    <row r="634">
      <c r="D634" s="50"/>
      <c r="E634" s="50"/>
      <c r="F634" s="50"/>
      <c r="G634" s="50"/>
      <c r="H634" s="50"/>
    </row>
    <row r="635">
      <c r="D635" s="50"/>
      <c r="E635" s="50"/>
      <c r="F635" s="50"/>
      <c r="G635" s="50"/>
      <c r="H635" s="50"/>
    </row>
    <row r="636">
      <c r="D636" s="50"/>
      <c r="E636" s="50"/>
      <c r="F636" s="50"/>
      <c r="G636" s="50"/>
      <c r="H636" s="50"/>
    </row>
    <row r="637">
      <c r="D637" s="50"/>
      <c r="E637" s="50"/>
      <c r="F637" s="50"/>
      <c r="G637" s="50"/>
      <c r="H637" s="50"/>
    </row>
    <row r="638">
      <c r="D638" s="50"/>
      <c r="E638" s="50"/>
      <c r="F638" s="50"/>
      <c r="G638" s="50"/>
      <c r="H638" s="50"/>
    </row>
    <row r="639">
      <c r="D639" s="50"/>
      <c r="E639" s="50"/>
      <c r="F639" s="50"/>
      <c r="G639" s="50"/>
      <c r="H639" s="50"/>
    </row>
    <row r="640">
      <c r="D640" s="50"/>
      <c r="E640" s="50"/>
      <c r="F640" s="50"/>
      <c r="G640" s="50"/>
      <c r="H640" s="50"/>
    </row>
    <row r="641">
      <c r="D641" s="50"/>
      <c r="E641" s="50"/>
      <c r="F641" s="50"/>
      <c r="G641" s="50"/>
      <c r="H641" s="50"/>
    </row>
    <row r="642">
      <c r="D642" s="50"/>
      <c r="E642" s="50"/>
      <c r="F642" s="50"/>
      <c r="G642" s="50"/>
      <c r="H642" s="50"/>
    </row>
    <row r="643">
      <c r="D643" s="50"/>
      <c r="E643" s="50"/>
      <c r="F643" s="50"/>
      <c r="G643" s="50"/>
      <c r="H643" s="50"/>
    </row>
    <row r="644">
      <c r="D644" s="50"/>
      <c r="E644" s="50"/>
      <c r="F644" s="50"/>
      <c r="G644" s="50"/>
      <c r="H644" s="50"/>
    </row>
    <row r="645">
      <c r="D645" s="50"/>
      <c r="E645" s="50"/>
      <c r="F645" s="50"/>
      <c r="G645" s="50"/>
      <c r="H645" s="50"/>
    </row>
    <row r="646">
      <c r="D646" s="50"/>
      <c r="E646" s="50"/>
      <c r="F646" s="50"/>
      <c r="G646" s="50"/>
      <c r="H646" s="50"/>
    </row>
    <row r="647">
      <c r="D647" s="50"/>
      <c r="E647" s="50"/>
      <c r="F647" s="50"/>
      <c r="G647" s="50"/>
      <c r="H647" s="50"/>
    </row>
    <row r="648">
      <c r="D648" s="50"/>
      <c r="E648" s="50"/>
      <c r="F648" s="50"/>
      <c r="G648" s="50"/>
      <c r="H648" s="50"/>
    </row>
    <row r="649">
      <c r="D649" s="50"/>
      <c r="E649" s="50"/>
      <c r="F649" s="50"/>
      <c r="G649" s="50"/>
      <c r="H649" s="50"/>
    </row>
    <row r="650">
      <c r="D650" s="50"/>
      <c r="E650" s="50"/>
      <c r="F650" s="50"/>
      <c r="G650" s="50"/>
      <c r="H650" s="50"/>
    </row>
    <row r="651">
      <c r="D651" s="50"/>
      <c r="E651" s="50"/>
      <c r="F651" s="50"/>
      <c r="G651" s="50"/>
      <c r="H651" s="50"/>
    </row>
    <row r="652">
      <c r="D652" s="50"/>
      <c r="E652" s="50"/>
      <c r="F652" s="50"/>
      <c r="G652" s="50"/>
      <c r="H652" s="50"/>
    </row>
    <row r="653">
      <c r="D653" s="50"/>
      <c r="E653" s="50"/>
      <c r="F653" s="50"/>
      <c r="G653" s="50"/>
      <c r="H653" s="50"/>
    </row>
    <row r="654">
      <c r="D654" s="50"/>
      <c r="E654" s="50"/>
      <c r="F654" s="50"/>
      <c r="G654" s="50"/>
      <c r="H654" s="50"/>
    </row>
    <row r="655">
      <c r="D655" s="50"/>
      <c r="E655" s="50"/>
      <c r="F655" s="50"/>
      <c r="G655" s="50"/>
      <c r="H655" s="50"/>
    </row>
    <row r="656">
      <c r="D656" s="50"/>
      <c r="E656" s="50"/>
      <c r="F656" s="50"/>
      <c r="G656" s="50"/>
      <c r="H656" s="50"/>
    </row>
    <row r="657">
      <c r="D657" s="50"/>
      <c r="E657" s="50"/>
      <c r="F657" s="50"/>
      <c r="G657" s="50"/>
      <c r="H657" s="50"/>
    </row>
    <row r="658">
      <c r="D658" s="50"/>
      <c r="E658" s="50"/>
      <c r="F658" s="50"/>
      <c r="G658" s="50"/>
      <c r="H658" s="50"/>
    </row>
    <row r="659">
      <c r="D659" s="50"/>
      <c r="E659" s="50"/>
      <c r="F659" s="50"/>
      <c r="G659" s="50"/>
      <c r="H659" s="50"/>
    </row>
    <row r="660">
      <c r="D660" s="50"/>
      <c r="E660" s="50"/>
      <c r="F660" s="50"/>
      <c r="G660" s="50"/>
      <c r="H660" s="50"/>
    </row>
    <row r="661">
      <c r="D661" s="50"/>
      <c r="E661" s="50"/>
      <c r="F661" s="50"/>
      <c r="G661" s="50"/>
      <c r="H661" s="50"/>
    </row>
    <row r="662">
      <c r="D662" s="50"/>
      <c r="E662" s="50"/>
      <c r="F662" s="50"/>
      <c r="G662" s="50"/>
      <c r="H662" s="50"/>
    </row>
    <row r="663">
      <c r="D663" s="50"/>
      <c r="E663" s="50"/>
      <c r="F663" s="50"/>
      <c r="G663" s="50"/>
      <c r="H663" s="50"/>
    </row>
    <row r="664">
      <c r="D664" s="50"/>
      <c r="E664" s="50"/>
      <c r="F664" s="50"/>
      <c r="G664" s="50"/>
      <c r="H664" s="50"/>
    </row>
    <row r="665">
      <c r="D665" s="50"/>
      <c r="E665" s="50"/>
      <c r="F665" s="50"/>
      <c r="G665" s="50"/>
      <c r="H665" s="50"/>
    </row>
    <row r="666">
      <c r="D666" s="50"/>
      <c r="E666" s="50"/>
      <c r="F666" s="50"/>
      <c r="G666" s="50"/>
      <c r="H666" s="50"/>
    </row>
    <row r="667">
      <c r="D667" s="50"/>
      <c r="E667" s="50"/>
      <c r="F667" s="50"/>
      <c r="G667" s="50"/>
      <c r="H667" s="50"/>
    </row>
    <row r="668">
      <c r="D668" s="50"/>
      <c r="E668" s="50"/>
      <c r="F668" s="50"/>
      <c r="G668" s="50"/>
      <c r="H668" s="50"/>
    </row>
    <row r="669">
      <c r="D669" s="50"/>
      <c r="E669" s="50"/>
      <c r="F669" s="50"/>
      <c r="G669" s="50"/>
      <c r="H669" s="50"/>
    </row>
    <row r="670">
      <c r="D670" s="50"/>
      <c r="E670" s="50"/>
      <c r="F670" s="50"/>
      <c r="G670" s="50"/>
      <c r="H670" s="50"/>
    </row>
    <row r="671">
      <c r="D671" s="50"/>
      <c r="E671" s="50"/>
      <c r="F671" s="50"/>
      <c r="G671" s="50"/>
      <c r="H671" s="50"/>
    </row>
    <row r="672">
      <c r="D672" s="50"/>
      <c r="E672" s="50"/>
      <c r="F672" s="50"/>
      <c r="G672" s="50"/>
      <c r="H672" s="50"/>
    </row>
    <row r="673">
      <c r="D673" s="50"/>
      <c r="E673" s="50"/>
      <c r="F673" s="50"/>
      <c r="G673" s="50"/>
      <c r="H673" s="50"/>
    </row>
    <row r="674">
      <c r="D674" s="50"/>
      <c r="E674" s="50"/>
      <c r="F674" s="50"/>
      <c r="G674" s="50"/>
      <c r="H674" s="50"/>
    </row>
    <row r="675">
      <c r="D675" s="50"/>
      <c r="E675" s="50"/>
      <c r="F675" s="50"/>
      <c r="G675" s="50"/>
      <c r="H675" s="50"/>
    </row>
    <row r="676">
      <c r="D676" s="50"/>
      <c r="E676" s="50"/>
      <c r="F676" s="50"/>
      <c r="G676" s="50"/>
      <c r="H676" s="50"/>
    </row>
    <row r="677">
      <c r="D677" s="50"/>
      <c r="E677" s="50"/>
      <c r="F677" s="50"/>
      <c r="G677" s="50"/>
      <c r="H677" s="50"/>
    </row>
    <row r="678">
      <c r="D678" s="50"/>
      <c r="E678" s="50"/>
      <c r="F678" s="50"/>
      <c r="G678" s="50"/>
      <c r="H678" s="50"/>
    </row>
    <row r="679">
      <c r="D679" s="50"/>
      <c r="E679" s="50"/>
      <c r="F679" s="50"/>
      <c r="G679" s="50"/>
      <c r="H679" s="50"/>
    </row>
    <row r="680">
      <c r="D680" s="50"/>
      <c r="E680" s="50"/>
      <c r="F680" s="50"/>
      <c r="G680" s="50"/>
      <c r="H680" s="50"/>
    </row>
    <row r="681">
      <c r="D681" s="50"/>
      <c r="E681" s="50"/>
      <c r="F681" s="50"/>
      <c r="G681" s="50"/>
      <c r="H681" s="50"/>
    </row>
    <row r="682">
      <c r="D682" s="50"/>
      <c r="E682" s="50"/>
      <c r="F682" s="50"/>
      <c r="G682" s="50"/>
      <c r="H682" s="50"/>
    </row>
    <row r="683">
      <c r="D683" s="50"/>
      <c r="E683" s="50"/>
      <c r="F683" s="50"/>
      <c r="G683" s="50"/>
      <c r="H683" s="50"/>
    </row>
    <row r="684">
      <c r="D684" s="50"/>
      <c r="E684" s="50"/>
      <c r="F684" s="50"/>
      <c r="G684" s="50"/>
      <c r="H684" s="50"/>
    </row>
    <row r="685">
      <c r="D685" s="50"/>
      <c r="E685" s="50"/>
      <c r="F685" s="50"/>
      <c r="G685" s="50"/>
      <c r="H685" s="50"/>
    </row>
    <row r="686">
      <c r="D686" s="50"/>
      <c r="E686" s="50"/>
      <c r="F686" s="50"/>
      <c r="G686" s="50"/>
      <c r="H686" s="50"/>
    </row>
    <row r="687">
      <c r="D687" s="50"/>
      <c r="E687" s="50"/>
      <c r="F687" s="50"/>
      <c r="G687" s="50"/>
      <c r="H687" s="50"/>
    </row>
    <row r="688">
      <c r="D688" s="50"/>
      <c r="E688" s="50"/>
      <c r="F688" s="50"/>
      <c r="G688" s="50"/>
      <c r="H688" s="50"/>
    </row>
    <row r="689">
      <c r="D689" s="50"/>
      <c r="E689" s="50"/>
      <c r="F689" s="50"/>
      <c r="G689" s="50"/>
      <c r="H689" s="50"/>
    </row>
    <row r="690">
      <c r="D690" s="50"/>
      <c r="E690" s="50"/>
      <c r="F690" s="50"/>
      <c r="G690" s="50"/>
      <c r="H690" s="50"/>
    </row>
    <row r="691">
      <c r="D691" s="50"/>
      <c r="E691" s="50"/>
      <c r="F691" s="50"/>
      <c r="G691" s="50"/>
      <c r="H691" s="50"/>
    </row>
    <row r="692">
      <c r="D692" s="50"/>
      <c r="E692" s="50"/>
      <c r="F692" s="50"/>
      <c r="G692" s="50"/>
      <c r="H692" s="50"/>
    </row>
    <row r="693">
      <c r="D693" s="50"/>
      <c r="E693" s="50"/>
      <c r="F693" s="50"/>
      <c r="G693" s="50"/>
      <c r="H693" s="50"/>
    </row>
    <row r="694">
      <c r="D694" s="50"/>
      <c r="E694" s="50"/>
      <c r="F694" s="50"/>
      <c r="G694" s="50"/>
      <c r="H694" s="50"/>
    </row>
    <row r="695">
      <c r="D695" s="50"/>
      <c r="E695" s="50"/>
      <c r="F695" s="50"/>
      <c r="G695" s="50"/>
      <c r="H695" s="50"/>
    </row>
    <row r="696">
      <c r="D696" s="50"/>
      <c r="E696" s="50"/>
      <c r="F696" s="50"/>
      <c r="G696" s="50"/>
      <c r="H696" s="50"/>
    </row>
    <row r="697">
      <c r="D697" s="50"/>
      <c r="E697" s="50"/>
      <c r="F697" s="50"/>
      <c r="G697" s="50"/>
      <c r="H697" s="50"/>
    </row>
    <row r="698">
      <c r="D698" s="50"/>
      <c r="E698" s="50"/>
      <c r="F698" s="50"/>
      <c r="G698" s="50"/>
      <c r="H698" s="50"/>
    </row>
    <row r="699">
      <c r="D699" s="50"/>
      <c r="E699" s="50"/>
      <c r="F699" s="50"/>
      <c r="G699" s="50"/>
      <c r="H699" s="50"/>
    </row>
    <row r="700">
      <c r="D700" s="50"/>
      <c r="E700" s="50"/>
      <c r="F700" s="50"/>
      <c r="G700" s="50"/>
      <c r="H700" s="50"/>
    </row>
    <row r="701">
      <c r="D701" s="50"/>
      <c r="E701" s="50"/>
      <c r="F701" s="50"/>
      <c r="G701" s="50"/>
      <c r="H701" s="50"/>
    </row>
    <row r="702">
      <c r="D702" s="50"/>
      <c r="E702" s="50"/>
      <c r="F702" s="50"/>
      <c r="G702" s="50"/>
      <c r="H702" s="50"/>
    </row>
    <row r="703">
      <c r="D703" s="50"/>
      <c r="E703" s="50"/>
      <c r="F703" s="50"/>
      <c r="G703" s="50"/>
      <c r="H703" s="50"/>
    </row>
    <row r="704">
      <c r="D704" s="50"/>
      <c r="E704" s="50"/>
      <c r="F704" s="50"/>
      <c r="G704" s="50"/>
      <c r="H704" s="50"/>
    </row>
    <row r="705">
      <c r="D705" s="50"/>
      <c r="E705" s="50"/>
      <c r="F705" s="50"/>
      <c r="G705" s="50"/>
      <c r="H705" s="50"/>
    </row>
    <row r="706">
      <c r="D706" s="50"/>
      <c r="E706" s="50"/>
      <c r="F706" s="50"/>
      <c r="G706" s="50"/>
      <c r="H706" s="50"/>
    </row>
    <row r="707">
      <c r="D707" s="50"/>
      <c r="E707" s="50"/>
      <c r="F707" s="50"/>
      <c r="G707" s="50"/>
      <c r="H707" s="50"/>
    </row>
    <row r="708">
      <c r="D708" s="50"/>
      <c r="E708" s="50"/>
      <c r="F708" s="50"/>
      <c r="G708" s="50"/>
      <c r="H708" s="50"/>
    </row>
    <row r="709">
      <c r="D709" s="50"/>
      <c r="E709" s="50"/>
      <c r="F709" s="50"/>
      <c r="G709" s="50"/>
      <c r="H709" s="50"/>
    </row>
    <row r="710">
      <c r="D710" s="50"/>
      <c r="E710" s="50"/>
      <c r="F710" s="50"/>
      <c r="G710" s="50"/>
      <c r="H710" s="50"/>
    </row>
    <row r="711">
      <c r="D711" s="50"/>
      <c r="E711" s="50"/>
      <c r="F711" s="50"/>
      <c r="G711" s="50"/>
      <c r="H711" s="50"/>
    </row>
    <row r="712">
      <c r="D712" s="50"/>
      <c r="E712" s="50"/>
      <c r="F712" s="50"/>
      <c r="G712" s="50"/>
      <c r="H712" s="50"/>
    </row>
    <row r="713">
      <c r="D713" s="50"/>
      <c r="E713" s="50"/>
      <c r="F713" s="50"/>
      <c r="G713" s="50"/>
      <c r="H713" s="50"/>
    </row>
    <row r="714">
      <c r="D714" s="50"/>
      <c r="E714" s="50"/>
      <c r="F714" s="50"/>
      <c r="G714" s="50"/>
      <c r="H714" s="50"/>
    </row>
    <row r="715">
      <c r="D715" s="50"/>
      <c r="E715" s="50"/>
      <c r="F715" s="50"/>
      <c r="G715" s="50"/>
      <c r="H715" s="50"/>
    </row>
    <row r="716">
      <c r="D716" s="50"/>
      <c r="E716" s="50"/>
      <c r="F716" s="50"/>
      <c r="G716" s="50"/>
      <c r="H716" s="50"/>
    </row>
    <row r="717">
      <c r="D717" s="50"/>
      <c r="E717" s="50"/>
      <c r="F717" s="50"/>
      <c r="G717" s="50"/>
      <c r="H717" s="50"/>
    </row>
    <row r="718">
      <c r="D718" s="50"/>
      <c r="E718" s="50"/>
      <c r="F718" s="50"/>
      <c r="G718" s="50"/>
      <c r="H718" s="50"/>
    </row>
    <row r="719">
      <c r="D719" s="50"/>
      <c r="E719" s="50"/>
      <c r="F719" s="50"/>
      <c r="G719" s="50"/>
      <c r="H719" s="50"/>
    </row>
    <row r="720">
      <c r="D720" s="50"/>
      <c r="E720" s="50"/>
      <c r="F720" s="50"/>
      <c r="G720" s="50"/>
      <c r="H720" s="50"/>
    </row>
    <row r="721">
      <c r="D721" s="50"/>
      <c r="E721" s="50"/>
      <c r="F721" s="50"/>
      <c r="G721" s="50"/>
      <c r="H721" s="50"/>
    </row>
    <row r="722">
      <c r="D722" s="50"/>
      <c r="E722" s="50"/>
      <c r="F722" s="50"/>
      <c r="G722" s="50"/>
      <c r="H722" s="50"/>
    </row>
    <row r="723">
      <c r="D723" s="50"/>
      <c r="E723" s="50"/>
      <c r="F723" s="50"/>
      <c r="G723" s="50"/>
      <c r="H723" s="50"/>
    </row>
    <row r="724">
      <c r="D724" s="50"/>
      <c r="E724" s="50"/>
      <c r="F724" s="50"/>
      <c r="G724" s="50"/>
      <c r="H724" s="50"/>
    </row>
    <row r="725">
      <c r="D725" s="50"/>
      <c r="E725" s="50"/>
      <c r="F725" s="50"/>
      <c r="G725" s="50"/>
      <c r="H725" s="50"/>
    </row>
    <row r="726">
      <c r="D726" s="50"/>
      <c r="E726" s="50"/>
      <c r="F726" s="50"/>
      <c r="G726" s="50"/>
      <c r="H726" s="50"/>
    </row>
    <row r="727">
      <c r="D727" s="50"/>
      <c r="E727" s="50"/>
      <c r="F727" s="50"/>
      <c r="G727" s="50"/>
      <c r="H727" s="50"/>
    </row>
    <row r="728">
      <c r="D728" s="50"/>
      <c r="E728" s="50"/>
      <c r="F728" s="50"/>
      <c r="G728" s="50"/>
      <c r="H728" s="50"/>
    </row>
    <row r="729">
      <c r="D729" s="50"/>
      <c r="E729" s="50"/>
      <c r="F729" s="50"/>
      <c r="G729" s="50"/>
      <c r="H729" s="50"/>
    </row>
    <row r="730">
      <c r="D730" s="50"/>
      <c r="E730" s="50"/>
      <c r="F730" s="50"/>
      <c r="G730" s="50"/>
      <c r="H730" s="50"/>
    </row>
    <row r="731">
      <c r="D731" s="50"/>
      <c r="E731" s="50"/>
      <c r="F731" s="50"/>
      <c r="G731" s="50"/>
      <c r="H731" s="50"/>
    </row>
    <row r="732">
      <c r="D732" s="50"/>
      <c r="E732" s="50"/>
      <c r="F732" s="50"/>
      <c r="G732" s="50"/>
      <c r="H732" s="50"/>
    </row>
    <row r="733">
      <c r="D733" s="50"/>
      <c r="E733" s="50"/>
      <c r="F733" s="50"/>
      <c r="G733" s="50"/>
      <c r="H733" s="50"/>
    </row>
    <row r="734">
      <c r="D734" s="50"/>
      <c r="E734" s="50"/>
      <c r="F734" s="50"/>
      <c r="G734" s="50"/>
      <c r="H734" s="50"/>
    </row>
    <row r="735">
      <c r="D735" s="50"/>
      <c r="E735" s="50"/>
      <c r="F735" s="50"/>
      <c r="G735" s="50"/>
      <c r="H735" s="50"/>
    </row>
    <row r="736">
      <c r="D736" s="50"/>
      <c r="E736" s="50"/>
      <c r="F736" s="50"/>
      <c r="G736" s="50"/>
      <c r="H736" s="50"/>
    </row>
    <row r="737">
      <c r="D737" s="50"/>
      <c r="E737" s="50"/>
      <c r="F737" s="50"/>
      <c r="G737" s="50"/>
      <c r="H737" s="50"/>
    </row>
    <row r="738">
      <c r="D738" s="50"/>
      <c r="E738" s="50"/>
      <c r="F738" s="50"/>
      <c r="G738" s="50"/>
      <c r="H738" s="50"/>
    </row>
    <row r="739">
      <c r="D739" s="50"/>
      <c r="E739" s="50"/>
      <c r="F739" s="50"/>
      <c r="G739" s="50"/>
      <c r="H739" s="50"/>
    </row>
    <row r="740">
      <c r="D740" s="50"/>
      <c r="E740" s="50"/>
      <c r="F740" s="50"/>
      <c r="G740" s="50"/>
      <c r="H740" s="50"/>
    </row>
    <row r="741">
      <c r="D741" s="50"/>
      <c r="E741" s="50"/>
      <c r="F741" s="50"/>
      <c r="G741" s="50"/>
      <c r="H741" s="50"/>
    </row>
    <row r="742">
      <c r="D742" s="50"/>
      <c r="E742" s="50"/>
      <c r="F742" s="50"/>
      <c r="G742" s="50"/>
      <c r="H742" s="50"/>
    </row>
    <row r="743">
      <c r="D743" s="50"/>
      <c r="E743" s="50"/>
      <c r="F743" s="50"/>
      <c r="G743" s="50"/>
      <c r="H743" s="50"/>
    </row>
    <row r="744">
      <c r="D744" s="50"/>
      <c r="E744" s="50"/>
      <c r="F744" s="50"/>
      <c r="G744" s="50"/>
      <c r="H744" s="50"/>
    </row>
    <row r="745">
      <c r="D745" s="50"/>
      <c r="E745" s="50"/>
      <c r="F745" s="50"/>
      <c r="G745" s="50"/>
      <c r="H745" s="50"/>
    </row>
    <row r="746">
      <c r="D746" s="50"/>
      <c r="E746" s="50"/>
      <c r="F746" s="50"/>
      <c r="G746" s="50"/>
      <c r="H746" s="50"/>
    </row>
    <row r="747">
      <c r="D747" s="50"/>
      <c r="E747" s="50"/>
      <c r="F747" s="50"/>
      <c r="G747" s="50"/>
      <c r="H747" s="50"/>
    </row>
    <row r="748">
      <c r="D748" s="50"/>
      <c r="E748" s="50"/>
      <c r="F748" s="50"/>
      <c r="G748" s="50"/>
      <c r="H748" s="50"/>
    </row>
    <row r="749">
      <c r="D749" s="50"/>
      <c r="E749" s="50"/>
      <c r="F749" s="50"/>
      <c r="G749" s="50"/>
      <c r="H749" s="50"/>
    </row>
    <row r="750">
      <c r="D750" s="50"/>
      <c r="E750" s="50"/>
      <c r="F750" s="50"/>
      <c r="G750" s="50"/>
      <c r="H750" s="50"/>
    </row>
    <row r="751">
      <c r="D751" s="50"/>
      <c r="E751" s="50"/>
      <c r="F751" s="50"/>
      <c r="G751" s="50"/>
      <c r="H751" s="50"/>
    </row>
    <row r="752">
      <c r="D752" s="50"/>
      <c r="E752" s="50"/>
      <c r="F752" s="50"/>
      <c r="G752" s="50"/>
      <c r="H752" s="50"/>
    </row>
    <row r="753">
      <c r="D753" s="50"/>
      <c r="E753" s="50"/>
      <c r="F753" s="50"/>
      <c r="G753" s="50"/>
      <c r="H753" s="50"/>
    </row>
    <row r="754">
      <c r="D754" s="50"/>
      <c r="E754" s="50"/>
      <c r="F754" s="50"/>
      <c r="G754" s="50"/>
      <c r="H754" s="50"/>
    </row>
    <row r="755">
      <c r="D755" s="50"/>
      <c r="E755" s="50"/>
      <c r="F755" s="50"/>
      <c r="G755" s="50"/>
      <c r="H755" s="50"/>
    </row>
    <row r="756">
      <c r="D756" s="50"/>
      <c r="E756" s="50"/>
      <c r="F756" s="50"/>
      <c r="G756" s="50"/>
      <c r="H756" s="50"/>
    </row>
    <row r="757">
      <c r="D757" s="50"/>
      <c r="E757" s="50"/>
      <c r="F757" s="50"/>
      <c r="G757" s="50"/>
      <c r="H757" s="50"/>
    </row>
    <row r="758">
      <c r="D758" s="50"/>
      <c r="E758" s="50"/>
      <c r="F758" s="50"/>
      <c r="G758" s="50"/>
      <c r="H758" s="50"/>
    </row>
    <row r="759">
      <c r="D759" s="50"/>
      <c r="E759" s="50"/>
      <c r="F759" s="50"/>
      <c r="G759" s="50"/>
      <c r="H759" s="50"/>
    </row>
    <row r="760">
      <c r="D760" s="50"/>
      <c r="E760" s="50"/>
      <c r="F760" s="50"/>
      <c r="G760" s="50"/>
      <c r="H760" s="50"/>
    </row>
    <row r="761">
      <c r="D761" s="50"/>
      <c r="E761" s="50"/>
      <c r="F761" s="50"/>
      <c r="G761" s="50"/>
      <c r="H761" s="50"/>
    </row>
    <row r="762">
      <c r="D762" s="50"/>
      <c r="E762" s="50"/>
      <c r="F762" s="50"/>
      <c r="G762" s="50"/>
      <c r="H762" s="50"/>
    </row>
    <row r="763">
      <c r="D763" s="50"/>
      <c r="E763" s="50"/>
      <c r="F763" s="50"/>
      <c r="G763" s="50"/>
      <c r="H763" s="50"/>
    </row>
    <row r="764">
      <c r="D764" s="50"/>
      <c r="E764" s="50"/>
      <c r="F764" s="50"/>
      <c r="G764" s="50"/>
      <c r="H764" s="50"/>
    </row>
    <row r="765">
      <c r="D765" s="50"/>
      <c r="E765" s="50"/>
      <c r="F765" s="50"/>
      <c r="G765" s="50"/>
      <c r="H765" s="50"/>
    </row>
    <row r="766">
      <c r="D766" s="50"/>
      <c r="E766" s="50"/>
      <c r="F766" s="50"/>
      <c r="G766" s="50"/>
      <c r="H766" s="50"/>
    </row>
    <row r="767">
      <c r="D767" s="50"/>
      <c r="E767" s="50"/>
      <c r="F767" s="50"/>
      <c r="G767" s="50"/>
      <c r="H767" s="50"/>
    </row>
    <row r="768">
      <c r="D768" s="50"/>
      <c r="E768" s="50"/>
      <c r="F768" s="50"/>
      <c r="G768" s="50"/>
      <c r="H768" s="50"/>
    </row>
    <row r="769">
      <c r="D769" s="50"/>
      <c r="E769" s="50"/>
      <c r="F769" s="50"/>
      <c r="G769" s="50"/>
      <c r="H769" s="50"/>
    </row>
    <row r="770">
      <c r="D770" s="50"/>
      <c r="E770" s="50"/>
      <c r="F770" s="50"/>
      <c r="G770" s="50"/>
      <c r="H770" s="50"/>
    </row>
    <row r="771">
      <c r="D771" s="50"/>
      <c r="E771" s="50"/>
      <c r="F771" s="50"/>
      <c r="G771" s="50"/>
      <c r="H771" s="50"/>
    </row>
    <row r="772">
      <c r="D772" s="50"/>
      <c r="E772" s="50"/>
      <c r="F772" s="50"/>
      <c r="G772" s="50"/>
      <c r="H772" s="50"/>
    </row>
    <row r="773">
      <c r="D773" s="50"/>
      <c r="E773" s="50"/>
      <c r="F773" s="50"/>
      <c r="G773" s="50"/>
      <c r="H773" s="50"/>
    </row>
    <row r="774">
      <c r="D774" s="50"/>
      <c r="E774" s="50"/>
      <c r="F774" s="50"/>
      <c r="G774" s="50"/>
      <c r="H774" s="50"/>
    </row>
    <row r="775">
      <c r="D775" s="50"/>
      <c r="E775" s="50"/>
      <c r="F775" s="50"/>
      <c r="G775" s="50"/>
      <c r="H775" s="50"/>
    </row>
    <row r="776">
      <c r="D776" s="50"/>
      <c r="E776" s="50"/>
      <c r="F776" s="50"/>
      <c r="G776" s="50"/>
      <c r="H776" s="50"/>
    </row>
    <row r="777">
      <c r="D777" s="50"/>
      <c r="E777" s="50"/>
      <c r="F777" s="50"/>
      <c r="G777" s="50"/>
      <c r="H777" s="50"/>
    </row>
    <row r="778">
      <c r="D778" s="50"/>
      <c r="E778" s="50"/>
      <c r="F778" s="50"/>
      <c r="G778" s="50"/>
      <c r="H778" s="50"/>
    </row>
    <row r="779">
      <c r="D779" s="50"/>
      <c r="E779" s="50"/>
      <c r="F779" s="50"/>
      <c r="G779" s="50"/>
      <c r="H779" s="50"/>
    </row>
    <row r="780">
      <c r="D780" s="50"/>
      <c r="E780" s="50"/>
      <c r="F780" s="50"/>
      <c r="G780" s="50"/>
      <c r="H780" s="50"/>
    </row>
    <row r="781">
      <c r="D781" s="50"/>
      <c r="E781" s="50"/>
      <c r="F781" s="50"/>
      <c r="G781" s="50"/>
      <c r="H781" s="50"/>
    </row>
    <row r="782">
      <c r="D782" s="50"/>
      <c r="E782" s="50"/>
      <c r="F782" s="50"/>
      <c r="G782" s="50"/>
      <c r="H782" s="50"/>
    </row>
    <row r="783">
      <c r="D783" s="50"/>
      <c r="E783" s="50"/>
      <c r="F783" s="50"/>
      <c r="G783" s="50"/>
      <c r="H783" s="50"/>
    </row>
    <row r="784">
      <c r="D784" s="50"/>
      <c r="E784" s="50"/>
      <c r="F784" s="50"/>
      <c r="G784" s="50"/>
      <c r="H784" s="50"/>
    </row>
    <row r="785">
      <c r="D785" s="50"/>
      <c r="E785" s="50"/>
      <c r="F785" s="50"/>
      <c r="G785" s="50"/>
      <c r="H785" s="50"/>
    </row>
    <row r="786">
      <c r="D786" s="50"/>
      <c r="E786" s="50"/>
      <c r="F786" s="50"/>
      <c r="G786" s="50"/>
      <c r="H786" s="50"/>
    </row>
    <row r="787">
      <c r="D787" s="50"/>
      <c r="E787" s="50"/>
      <c r="F787" s="50"/>
      <c r="G787" s="50"/>
      <c r="H787" s="50"/>
    </row>
    <row r="788">
      <c r="D788" s="50"/>
      <c r="E788" s="50"/>
      <c r="F788" s="50"/>
      <c r="G788" s="50"/>
      <c r="H788" s="50"/>
    </row>
    <row r="789">
      <c r="D789" s="50"/>
      <c r="E789" s="50"/>
      <c r="F789" s="50"/>
      <c r="G789" s="50"/>
      <c r="H789" s="50"/>
    </row>
    <row r="790">
      <c r="D790" s="50"/>
      <c r="E790" s="50"/>
      <c r="F790" s="50"/>
      <c r="G790" s="50"/>
      <c r="H790" s="50"/>
    </row>
    <row r="791">
      <c r="D791" s="50"/>
      <c r="E791" s="50"/>
      <c r="F791" s="50"/>
      <c r="G791" s="50"/>
      <c r="H791" s="50"/>
    </row>
    <row r="792">
      <c r="D792" s="50"/>
      <c r="E792" s="50"/>
      <c r="F792" s="50"/>
      <c r="G792" s="50"/>
      <c r="H792" s="50"/>
    </row>
    <row r="793">
      <c r="D793" s="50"/>
      <c r="E793" s="50"/>
      <c r="F793" s="50"/>
      <c r="G793" s="50"/>
      <c r="H793" s="50"/>
    </row>
    <row r="794">
      <c r="D794" s="50"/>
      <c r="E794" s="50"/>
      <c r="F794" s="50"/>
      <c r="G794" s="50"/>
      <c r="H794" s="50"/>
    </row>
    <row r="795">
      <c r="D795" s="50"/>
      <c r="E795" s="50"/>
      <c r="F795" s="50"/>
      <c r="G795" s="50"/>
      <c r="H795" s="50"/>
    </row>
    <row r="796">
      <c r="D796" s="50"/>
      <c r="E796" s="50"/>
      <c r="F796" s="50"/>
      <c r="G796" s="50"/>
      <c r="H796" s="50"/>
    </row>
    <row r="797">
      <c r="D797" s="50"/>
      <c r="E797" s="50"/>
      <c r="F797" s="50"/>
      <c r="G797" s="50"/>
      <c r="H797" s="50"/>
    </row>
    <row r="798">
      <c r="D798" s="50"/>
      <c r="E798" s="50"/>
      <c r="F798" s="50"/>
      <c r="G798" s="50"/>
      <c r="H798" s="50"/>
    </row>
    <row r="799">
      <c r="D799" s="50"/>
      <c r="E799" s="50"/>
      <c r="F799" s="50"/>
      <c r="G799" s="50"/>
      <c r="H799" s="50"/>
    </row>
    <row r="800">
      <c r="D800" s="50"/>
      <c r="E800" s="50"/>
      <c r="F800" s="50"/>
      <c r="G800" s="50"/>
      <c r="H800" s="50"/>
    </row>
    <row r="801">
      <c r="D801" s="50"/>
      <c r="E801" s="50"/>
      <c r="F801" s="50"/>
      <c r="G801" s="50"/>
      <c r="H801" s="50"/>
    </row>
    <row r="802">
      <c r="D802" s="50"/>
      <c r="E802" s="50"/>
      <c r="F802" s="50"/>
      <c r="G802" s="50"/>
      <c r="H802" s="50"/>
    </row>
    <row r="803">
      <c r="D803" s="50"/>
      <c r="E803" s="50"/>
      <c r="F803" s="50"/>
      <c r="G803" s="50"/>
      <c r="H803" s="50"/>
    </row>
    <row r="804">
      <c r="D804" s="50"/>
      <c r="E804" s="50"/>
      <c r="F804" s="50"/>
      <c r="G804" s="50"/>
      <c r="H804" s="50"/>
    </row>
    <row r="805">
      <c r="D805" s="50"/>
      <c r="E805" s="50"/>
      <c r="F805" s="50"/>
      <c r="G805" s="50"/>
      <c r="H805" s="50"/>
    </row>
    <row r="806">
      <c r="D806" s="50"/>
      <c r="E806" s="50"/>
      <c r="F806" s="50"/>
      <c r="G806" s="50"/>
      <c r="H806" s="50"/>
    </row>
    <row r="807">
      <c r="D807" s="50"/>
      <c r="E807" s="50"/>
      <c r="F807" s="50"/>
      <c r="G807" s="50"/>
      <c r="H807" s="50"/>
    </row>
    <row r="808">
      <c r="D808" s="50"/>
      <c r="E808" s="50"/>
      <c r="F808" s="50"/>
      <c r="G808" s="50"/>
      <c r="H808" s="50"/>
    </row>
    <row r="809">
      <c r="D809" s="50"/>
      <c r="E809" s="50"/>
      <c r="F809" s="50"/>
      <c r="G809" s="50"/>
      <c r="H809" s="50"/>
    </row>
    <row r="810">
      <c r="D810" s="50"/>
      <c r="E810" s="50"/>
      <c r="F810" s="50"/>
      <c r="G810" s="50"/>
      <c r="H810" s="50"/>
    </row>
    <row r="811">
      <c r="D811" s="50"/>
      <c r="E811" s="50"/>
      <c r="F811" s="50"/>
      <c r="G811" s="50"/>
      <c r="H811" s="50"/>
    </row>
    <row r="812">
      <c r="D812" s="50"/>
      <c r="E812" s="50"/>
      <c r="F812" s="50"/>
      <c r="G812" s="50"/>
      <c r="H812" s="50"/>
    </row>
    <row r="813">
      <c r="D813" s="50"/>
      <c r="E813" s="50"/>
      <c r="F813" s="50"/>
      <c r="G813" s="50"/>
      <c r="H813" s="50"/>
    </row>
    <row r="814">
      <c r="D814" s="50"/>
      <c r="E814" s="50"/>
      <c r="F814" s="50"/>
      <c r="G814" s="50"/>
      <c r="H814" s="50"/>
    </row>
    <row r="815">
      <c r="D815" s="50"/>
      <c r="E815" s="50"/>
      <c r="F815" s="50"/>
      <c r="G815" s="50"/>
      <c r="H815" s="50"/>
    </row>
    <row r="816">
      <c r="D816" s="50"/>
      <c r="E816" s="50"/>
      <c r="F816" s="50"/>
      <c r="G816" s="50"/>
      <c r="H816" s="50"/>
    </row>
    <row r="817">
      <c r="D817" s="50"/>
      <c r="E817" s="50"/>
      <c r="F817" s="50"/>
      <c r="G817" s="50"/>
      <c r="H817" s="50"/>
    </row>
    <row r="818">
      <c r="D818" s="50"/>
      <c r="E818" s="50"/>
      <c r="F818" s="50"/>
      <c r="G818" s="50"/>
      <c r="H818" s="50"/>
    </row>
    <row r="819">
      <c r="D819" s="50"/>
      <c r="E819" s="50"/>
      <c r="F819" s="50"/>
      <c r="G819" s="50"/>
      <c r="H819" s="50"/>
    </row>
    <row r="820">
      <c r="D820" s="50"/>
      <c r="E820" s="50"/>
      <c r="F820" s="50"/>
      <c r="G820" s="50"/>
      <c r="H820" s="50"/>
    </row>
    <row r="821">
      <c r="D821" s="50"/>
      <c r="E821" s="50"/>
      <c r="F821" s="50"/>
      <c r="G821" s="50"/>
      <c r="H821" s="50"/>
    </row>
    <row r="822">
      <c r="D822" s="50"/>
      <c r="E822" s="50"/>
      <c r="F822" s="50"/>
      <c r="G822" s="50"/>
      <c r="H822" s="50"/>
    </row>
    <row r="823">
      <c r="D823" s="50"/>
      <c r="E823" s="50"/>
      <c r="F823" s="50"/>
      <c r="G823" s="50"/>
      <c r="H823" s="50"/>
    </row>
    <row r="824">
      <c r="D824" s="50"/>
      <c r="E824" s="50"/>
      <c r="F824" s="50"/>
      <c r="G824" s="50"/>
      <c r="H824" s="50"/>
    </row>
    <row r="825">
      <c r="D825" s="50"/>
      <c r="E825" s="50"/>
      <c r="F825" s="50"/>
      <c r="G825" s="50"/>
      <c r="H825" s="50"/>
    </row>
    <row r="826">
      <c r="D826" s="50"/>
      <c r="E826" s="50"/>
      <c r="F826" s="50"/>
      <c r="G826" s="50"/>
      <c r="H826" s="50"/>
    </row>
    <row r="827">
      <c r="D827" s="50"/>
      <c r="E827" s="50"/>
      <c r="F827" s="50"/>
      <c r="G827" s="50"/>
      <c r="H827" s="50"/>
    </row>
    <row r="828">
      <c r="D828" s="50"/>
      <c r="E828" s="50"/>
      <c r="F828" s="50"/>
      <c r="G828" s="50"/>
      <c r="H828" s="50"/>
    </row>
    <row r="829">
      <c r="D829" s="50"/>
      <c r="E829" s="50"/>
      <c r="F829" s="50"/>
      <c r="G829" s="50"/>
      <c r="H829" s="50"/>
    </row>
    <row r="830">
      <c r="D830" s="50"/>
      <c r="E830" s="50"/>
      <c r="F830" s="50"/>
      <c r="G830" s="50"/>
      <c r="H830" s="50"/>
    </row>
    <row r="831">
      <c r="D831" s="50"/>
      <c r="E831" s="50"/>
      <c r="F831" s="50"/>
      <c r="G831" s="50"/>
      <c r="H831" s="50"/>
    </row>
    <row r="832">
      <c r="D832" s="50"/>
      <c r="E832" s="50"/>
      <c r="F832" s="50"/>
      <c r="G832" s="50"/>
      <c r="H832" s="50"/>
    </row>
    <row r="833">
      <c r="D833" s="50"/>
      <c r="E833" s="50"/>
      <c r="F833" s="50"/>
      <c r="G833" s="50"/>
      <c r="H833" s="50"/>
    </row>
    <row r="834">
      <c r="D834" s="50"/>
      <c r="E834" s="50"/>
      <c r="F834" s="50"/>
      <c r="G834" s="50"/>
      <c r="H834" s="50"/>
    </row>
    <row r="835">
      <c r="D835" s="50"/>
      <c r="E835" s="50"/>
      <c r="F835" s="50"/>
      <c r="G835" s="50"/>
      <c r="H835" s="50"/>
    </row>
    <row r="836">
      <c r="D836" s="50"/>
      <c r="E836" s="50"/>
      <c r="F836" s="50"/>
      <c r="G836" s="50"/>
      <c r="H836" s="50"/>
    </row>
    <row r="837">
      <c r="D837" s="50"/>
      <c r="E837" s="50"/>
      <c r="F837" s="50"/>
      <c r="G837" s="50"/>
      <c r="H837" s="50"/>
    </row>
    <row r="838">
      <c r="D838" s="50"/>
      <c r="E838" s="50"/>
      <c r="F838" s="50"/>
      <c r="G838" s="50"/>
      <c r="H838" s="50"/>
    </row>
    <row r="839">
      <c r="D839" s="50"/>
      <c r="E839" s="50"/>
      <c r="F839" s="50"/>
      <c r="G839" s="50"/>
      <c r="H839" s="50"/>
    </row>
    <row r="840">
      <c r="D840" s="50"/>
      <c r="E840" s="50"/>
      <c r="F840" s="50"/>
      <c r="G840" s="50"/>
      <c r="H840" s="50"/>
    </row>
    <row r="841">
      <c r="D841" s="50"/>
      <c r="E841" s="50"/>
      <c r="F841" s="50"/>
      <c r="G841" s="50"/>
      <c r="H841" s="50"/>
    </row>
    <row r="842">
      <c r="D842" s="50"/>
      <c r="E842" s="50"/>
      <c r="F842" s="50"/>
      <c r="G842" s="50"/>
      <c r="H842" s="50"/>
    </row>
    <row r="843">
      <c r="D843" s="50"/>
      <c r="E843" s="50"/>
      <c r="F843" s="50"/>
      <c r="G843" s="50"/>
      <c r="H843" s="50"/>
    </row>
    <row r="844">
      <c r="D844" s="50"/>
      <c r="E844" s="50"/>
      <c r="F844" s="50"/>
      <c r="G844" s="50"/>
      <c r="H844" s="50"/>
    </row>
    <row r="845">
      <c r="D845" s="50"/>
      <c r="E845" s="50"/>
      <c r="F845" s="50"/>
      <c r="G845" s="50"/>
      <c r="H845" s="50"/>
    </row>
    <row r="846">
      <c r="D846" s="50"/>
      <c r="E846" s="50"/>
      <c r="F846" s="50"/>
      <c r="G846" s="50"/>
      <c r="H846" s="50"/>
    </row>
    <row r="847">
      <c r="D847" s="50"/>
      <c r="E847" s="50"/>
      <c r="F847" s="50"/>
      <c r="G847" s="50"/>
      <c r="H847" s="50"/>
    </row>
    <row r="848">
      <c r="D848" s="50"/>
      <c r="E848" s="50"/>
      <c r="F848" s="50"/>
      <c r="G848" s="50"/>
      <c r="H848" s="50"/>
    </row>
    <row r="849">
      <c r="D849" s="50"/>
      <c r="E849" s="50"/>
      <c r="F849" s="50"/>
      <c r="G849" s="50"/>
      <c r="H849" s="50"/>
    </row>
    <row r="850">
      <c r="D850" s="50"/>
      <c r="E850" s="50"/>
      <c r="F850" s="50"/>
      <c r="G850" s="50"/>
      <c r="H850" s="50"/>
    </row>
    <row r="851">
      <c r="D851" s="50"/>
      <c r="E851" s="50"/>
      <c r="F851" s="50"/>
      <c r="G851" s="50"/>
      <c r="H851" s="50"/>
    </row>
    <row r="852">
      <c r="D852" s="50"/>
      <c r="E852" s="50"/>
      <c r="F852" s="50"/>
      <c r="G852" s="50"/>
      <c r="H852" s="50"/>
    </row>
    <row r="853">
      <c r="D853" s="50"/>
      <c r="E853" s="50"/>
      <c r="F853" s="50"/>
      <c r="G853" s="50"/>
      <c r="H853" s="50"/>
    </row>
    <row r="854">
      <c r="D854" s="50"/>
      <c r="E854" s="50"/>
      <c r="F854" s="50"/>
      <c r="G854" s="50"/>
      <c r="H854" s="50"/>
    </row>
    <row r="855">
      <c r="D855" s="50"/>
      <c r="E855" s="50"/>
      <c r="F855" s="50"/>
      <c r="G855" s="50"/>
      <c r="H855" s="50"/>
    </row>
    <row r="856">
      <c r="D856" s="50"/>
      <c r="E856" s="50"/>
      <c r="F856" s="50"/>
      <c r="G856" s="50"/>
      <c r="H856" s="50"/>
    </row>
    <row r="857">
      <c r="D857" s="50"/>
      <c r="E857" s="50"/>
      <c r="F857" s="50"/>
      <c r="G857" s="50"/>
      <c r="H857" s="50"/>
    </row>
    <row r="858">
      <c r="D858" s="50"/>
      <c r="E858" s="50"/>
      <c r="F858" s="50"/>
      <c r="G858" s="50"/>
      <c r="H858" s="50"/>
    </row>
    <row r="859">
      <c r="D859" s="50"/>
      <c r="E859" s="50"/>
      <c r="F859" s="50"/>
      <c r="G859" s="50"/>
      <c r="H859" s="50"/>
    </row>
    <row r="860">
      <c r="D860" s="50"/>
      <c r="E860" s="50"/>
      <c r="F860" s="50"/>
      <c r="G860" s="50"/>
      <c r="H860" s="50"/>
    </row>
    <row r="861">
      <c r="D861" s="50"/>
      <c r="E861" s="50"/>
      <c r="F861" s="50"/>
      <c r="G861" s="50"/>
      <c r="H861" s="50"/>
    </row>
    <row r="862">
      <c r="D862" s="50"/>
      <c r="E862" s="50"/>
      <c r="F862" s="50"/>
      <c r="G862" s="50"/>
      <c r="H862" s="50"/>
    </row>
    <row r="863">
      <c r="D863" s="50"/>
      <c r="E863" s="50"/>
      <c r="F863" s="50"/>
      <c r="G863" s="50"/>
      <c r="H863" s="50"/>
    </row>
    <row r="864">
      <c r="D864" s="50"/>
      <c r="E864" s="50"/>
      <c r="F864" s="50"/>
      <c r="G864" s="50"/>
      <c r="H864" s="50"/>
    </row>
    <row r="865">
      <c r="D865" s="50"/>
      <c r="E865" s="50"/>
      <c r="F865" s="50"/>
      <c r="G865" s="50"/>
      <c r="H865" s="50"/>
    </row>
    <row r="866">
      <c r="D866" s="50"/>
      <c r="E866" s="50"/>
      <c r="F866" s="50"/>
      <c r="G866" s="50"/>
      <c r="H866" s="50"/>
    </row>
    <row r="867">
      <c r="D867" s="50"/>
      <c r="E867" s="50"/>
      <c r="F867" s="50"/>
      <c r="G867" s="50"/>
      <c r="H867" s="50"/>
    </row>
    <row r="868">
      <c r="D868" s="50"/>
      <c r="E868" s="50"/>
      <c r="F868" s="50"/>
      <c r="G868" s="50"/>
      <c r="H868" s="50"/>
    </row>
    <row r="869">
      <c r="D869" s="50"/>
      <c r="E869" s="50"/>
      <c r="F869" s="50"/>
      <c r="G869" s="50"/>
      <c r="H869" s="50"/>
    </row>
    <row r="870">
      <c r="D870" s="50"/>
      <c r="E870" s="50"/>
      <c r="F870" s="50"/>
      <c r="G870" s="50"/>
      <c r="H870" s="50"/>
    </row>
    <row r="871">
      <c r="D871" s="50"/>
      <c r="E871" s="50"/>
      <c r="F871" s="50"/>
      <c r="G871" s="50"/>
      <c r="H871" s="50"/>
    </row>
    <row r="872">
      <c r="D872" s="50"/>
      <c r="E872" s="50"/>
      <c r="F872" s="50"/>
      <c r="G872" s="50"/>
      <c r="H872" s="50"/>
    </row>
    <row r="873">
      <c r="D873" s="50"/>
      <c r="E873" s="50"/>
      <c r="F873" s="50"/>
      <c r="G873" s="50"/>
      <c r="H873" s="50"/>
    </row>
    <row r="874">
      <c r="D874" s="50"/>
      <c r="E874" s="50"/>
      <c r="F874" s="50"/>
      <c r="G874" s="50"/>
      <c r="H874" s="50"/>
    </row>
    <row r="875">
      <c r="D875" s="50"/>
      <c r="E875" s="50"/>
      <c r="F875" s="50"/>
      <c r="G875" s="50"/>
      <c r="H875" s="50"/>
    </row>
    <row r="876">
      <c r="D876" s="50"/>
      <c r="E876" s="50"/>
      <c r="F876" s="50"/>
      <c r="G876" s="50"/>
      <c r="H876" s="50"/>
    </row>
    <row r="877">
      <c r="D877" s="50"/>
      <c r="E877" s="50"/>
      <c r="F877" s="50"/>
      <c r="G877" s="50"/>
      <c r="H877" s="50"/>
    </row>
    <row r="878">
      <c r="D878" s="50"/>
      <c r="E878" s="50"/>
      <c r="F878" s="50"/>
      <c r="G878" s="50"/>
      <c r="H878" s="50"/>
    </row>
    <row r="879">
      <c r="D879" s="50"/>
      <c r="E879" s="50"/>
      <c r="F879" s="50"/>
      <c r="G879" s="50"/>
      <c r="H879" s="50"/>
    </row>
    <row r="880">
      <c r="D880" s="50"/>
      <c r="E880" s="50"/>
      <c r="F880" s="50"/>
      <c r="G880" s="50"/>
      <c r="H880" s="50"/>
    </row>
    <row r="881">
      <c r="D881" s="50"/>
      <c r="E881" s="50"/>
      <c r="F881" s="50"/>
      <c r="G881" s="50"/>
      <c r="H881" s="50"/>
    </row>
    <row r="882">
      <c r="D882" s="50"/>
      <c r="E882" s="50"/>
      <c r="F882" s="50"/>
      <c r="G882" s="50"/>
      <c r="H882" s="50"/>
    </row>
    <row r="883">
      <c r="D883" s="50"/>
      <c r="E883" s="50"/>
      <c r="F883" s="50"/>
      <c r="G883" s="50"/>
      <c r="H883" s="50"/>
    </row>
    <row r="884">
      <c r="D884" s="50"/>
      <c r="E884" s="50"/>
      <c r="F884" s="50"/>
      <c r="G884" s="50"/>
      <c r="H884" s="50"/>
    </row>
    <row r="885">
      <c r="D885" s="50"/>
      <c r="E885" s="50"/>
      <c r="F885" s="50"/>
      <c r="G885" s="50"/>
      <c r="H885" s="50"/>
    </row>
    <row r="886">
      <c r="D886" s="50"/>
      <c r="E886" s="50"/>
      <c r="F886" s="50"/>
      <c r="G886" s="50"/>
      <c r="H886" s="50"/>
    </row>
    <row r="887">
      <c r="D887" s="50"/>
      <c r="E887" s="50"/>
      <c r="F887" s="50"/>
      <c r="G887" s="50"/>
      <c r="H887" s="50"/>
    </row>
    <row r="888">
      <c r="D888" s="50"/>
      <c r="E888" s="50"/>
      <c r="F888" s="50"/>
      <c r="G888" s="50"/>
      <c r="H888" s="50"/>
    </row>
    <row r="889">
      <c r="D889" s="50"/>
      <c r="E889" s="50"/>
      <c r="F889" s="50"/>
      <c r="G889" s="50"/>
      <c r="H889" s="50"/>
    </row>
    <row r="890">
      <c r="D890" s="50"/>
      <c r="E890" s="50"/>
      <c r="F890" s="50"/>
      <c r="G890" s="50"/>
      <c r="H890" s="50"/>
    </row>
    <row r="891">
      <c r="D891" s="50"/>
      <c r="E891" s="50"/>
      <c r="F891" s="50"/>
      <c r="G891" s="50"/>
      <c r="H891" s="50"/>
    </row>
    <row r="892">
      <c r="D892" s="50"/>
      <c r="E892" s="50"/>
      <c r="F892" s="50"/>
      <c r="G892" s="50"/>
      <c r="H892" s="50"/>
    </row>
    <row r="893">
      <c r="D893" s="50"/>
      <c r="E893" s="50"/>
      <c r="F893" s="50"/>
      <c r="G893" s="50"/>
      <c r="H893" s="50"/>
    </row>
    <row r="894">
      <c r="D894" s="50"/>
      <c r="E894" s="50"/>
      <c r="F894" s="50"/>
      <c r="G894" s="50"/>
      <c r="H894" s="50"/>
    </row>
    <row r="895">
      <c r="D895" s="50"/>
      <c r="E895" s="50"/>
      <c r="F895" s="50"/>
      <c r="G895" s="50"/>
      <c r="H895" s="50"/>
    </row>
    <row r="896">
      <c r="D896" s="50"/>
      <c r="E896" s="50"/>
      <c r="F896" s="50"/>
      <c r="G896" s="50"/>
      <c r="H896" s="50"/>
    </row>
    <row r="897">
      <c r="D897" s="50"/>
      <c r="E897" s="50"/>
      <c r="F897" s="50"/>
      <c r="G897" s="50"/>
      <c r="H897" s="50"/>
    </row>
    <row r="898">
      <c r="D898" s="50"/>
      <c r="E898" s="50"/>
      <c r="F898" s="50"/>
      <c r="G898" s="50"/>
      <c r="H898" s="50"/>
    </row>
    <row r="899">
      <c r="D899" s="50"/>
      <c r="E899" s="50"/>
      <c r="F899" s="50"/>
      <c r="G899" s="50"/>
      <c r="H899" s="50"/>
    </row>
    <row r="900">
      <c r="D900" s="50"/>
      <c r="E900" s="50"/>
      <c r="F900" s="50"/>
      <c r="G900" s="50"/>
      <c r="H900" s="50"/>
    </row>
    <row r="901">
      <c r="D901" s="50"/>
      <c r="E901" s="50"/>
      <c r="F901" s="50"/>
      <c r="G901" s="50"/>
      <c r="H901" s="50"/>
    </row>
    <row r="902">
      <c r="D902" s="50"/>
      <c r="E902" s="50"/>
      <c r="F902" s="50"/>
      <c r="G902" s="50"/>
      <c r="H902" s="50"/>
    </row>
    <row r="903">
      <c r="D903" s="50"/>
      <c r="E903" s="50"/>
      <c r="F903" s="50"/>
      <c r="G903" s="50"/>
      <c r="H903" s="50"/>
    </row>
    <row r="904">
      <c r="D904" s="50"/>
      <c r="E904" s="50"/>
      <c r="F904" s="50"/>
      <c r="G904" s="50"/>
      <c r="H904" s="50"/>
    </row>
    <row r="905">
      <c r="D905" s="50"/>
      <c r="E905" s="50"/>
      <c r="F905" s="50"/>
      <c r="G905" s="50"/>
      <c r="H905" s="50"/>
    </row>
    <row r="906">
      <c r="D906" s="50"/>
      <c r="E906" s="50"/>
      <c r="F906" s="50"/>
      <c r="G906" s="50"/>
      <c r="H906" s="50"/>
    </row>
    <row r="907">
      <c r="D907" s="50"/>
      <c r="E907" s="50"/>
      <c r="F907" s="50"/>
      <c r="G907" s="50"/>
      <c r="H907" s="50"/>
    </row>
    <row r="908">
      <c r="D908" s="50"/>
      <c r="E908" s="50"/>
      <c r="F908" s="50"/>
      <c r="G908" s="50"/>
      <c r="H908" s="50"/>
    </row>
    <row r="909">
      <c r="D909" s="50"/>
      <c r="E909" s="50"/>
      <c r="F909" s="50"/>
      <c r="G909" s="50"/>
      <c r="H909" s="50"/>
    </row>
    <row r="910">
      <c r="D910" s="50"/>
      <c r="E910" s="50"/>
      <c r="F910" s="50"/>
      <c r="G910" s="50"/>
      <c r="H910" s="50"/>
    </row>
    <row r="911">
      <c r="D911" s="50"/>
      <c r="E911" s="50"/>
      <c r="F911" s="50"/>
      <c r="G911" s="50"/>
      <c r="H911" s="50"/>
    </row>
    <row r="912">
      <c r="D912" s="50"/>
      <c r="E912" s="50"/>
      <c r="F912" s="50"/>
      <c r="G912" s="50"/>
      <c r="H912" s="50"/>
    </row>
    <row r="913">
      <c r="D913" s="50"/>
      <c r="E913" s="50"/>
      <c r="F913" s="50"/>
      <c r="G913" s="50"/>
      <c r="H913" s="50"/>
    </row>
    <row r="914">
      <c r="D914" s="50"/>
      <c r="E914" s="50"/>
      <c r="F914" s="50"/>
      <c r="G914" s="50"/>
      <c r="H914" s="50"/>
    </row>
    <row r="915">
      <c r="D915" s="50"/>
      <c r="E915" s="50"/>
      <c r="F915" s="50"/>
      <c r="G915" s="50"/>
      <c r="H915" s="50"/>
    </row>
    <row r="916">
      <c r="D916" s="50"/>
      <c r="E916" s="50"/>
      <c r="F916" s="50"/>
      <c r="G916" s="50"/>
      <c r="H916" s="50"/>
    </row>
    <row r="917">
      <c r="D917" s="50"/>
      <c r="E917" s="50"/>
      <c r="F917" s="50"/>
      <c r="G917" s="50"/>
      <c r="H917" s="50"/>
    </row>
    <row r="918">
      <c r="D918" s="50"/>
      <c r="E918" s="50"/>
      <c r="F918" s="50"/>
      <c r="G918" s="50"/>
      <c r="H918" s="50"/>
    </row>
    <row r="919">
      <c r="D919" s="50"/>
      <c r="E919" s="50"/>
      <c r="F919" s="50"/>
      <c r="G919" s="50"/>
      <c r="H919" s="50"/>
    </row>
    <row r="920">
      <c r="D920" s="50"/>
      <c r="E920" s="50"/>
      <c r="F920" s="50"/>
      <c r="G920" s="50"/>
      <c r="H920" s="50"/>
    </row>
    <row r="921">
      <c r="D921" s="50"/>
      <c r="E921" s="50"/>
      <c r="F921" s="50"/>
      <c r="G921" s="50"/>
      <c r="H921" s="50"/>
    </row>
    <row r="922">
      <c r="D922" s="50"/>
      <c r="E922" s="50"/>
      <c r="F922" s="50"/>
      <c r="G922" s="50"/>
      <c r="H922" s="50"/>
    </row>
    <row r="923">
      <c r="D923" s="50"/>
      <c r="E923" s="50"/>
      <c r="F923" s="50"/>
      <c r="G923" s="50"/>
      <c r="H923" s="50"/>
    </row>
    <row r="924">
      <c r="D924" s="50"/>
      <c r="E924" s="50"/>
      <c r="F924" s="50"/>
      <c r="G924" s="50"/>
      <c r="H924" s="50"/>
    </row>
    <row r="925">
      <c r="D925" s="50"/>
      <c r="E925" s="50"/>
      <c r="F925" s="50"/>
      <c r="G925" s="50"/>
      <c r="H925" s="50"/>
    </row>
    <row r="926">
      <c r="D926" s="50"/>
      <c r="E926" s="50"/>
      <c r="F926" s="50"/>
      <c r="G926" s="50"/>
      <c r="H926" s="50"/>
    </row>
    <row r="927">
      <c r="D927" s="50"/>
      <c r="E927" s="50"/>
      <c r="F927" s="50"/>
      <c r="G927" s="50"/>
      <c r="H927" s="50"/>
    </row>
    <row r="928">
      <c r="D928" s="50"/>
      <c r="E928" s="50"/>
      <c r="F928" s="50"/>
      <c r="G928" s="50"/>
      <c r="H928" s="50"/>
    </row>
    <row r="929">
      <c r="D929" s="50"/>
      <c r="E929" s="50"/>
      <c r="F929" s="50"/>
      <c r="G929" s="50"/>
      <c r="H929" s="50"/>
    </row>
    <row r="930">
      <c r="D930" s="50"/>
      <c r="E930" s="50"/>
      <c r="F930" s="50"/>
      <c r="G930" s="50"/>
      <c r="H930" s="50"/>
    </row>
    <row r="931">
      <c r="D931" s="50"/>
      <c r="E931" s="50"/>
      <c r="F931" s="50"/>
      <c r="G931" s="50"/>
      <c r="H931" s="50"/>
    </row>
    <row r="932">
      <c r="D932" s="50"/>
      <c r="E932" s="50"/>
      <c r="F932" s="50"/>
      <c r="G932" s="50"/>
      <c r="H932" s="50"/>
    </row>
    <row r="933">
      <c r="D933" s="50"/>
      <c r="E933" s="50"/>
      <c r="F933" s="50"/>
      <c r="G933" s="50"/>
      <c r="H933" s="50"/>
    </row>
    <row r="934">
      <c r="D934" s="50"/>
      <c r="E934" s="50"/>
      <c r="F934" s="50"/>
      <c r="G934" s="50"/>
      <c r="H934" s="50"/>
    </row>
    <row r="935">
      <c r="D935" s="50"/>
      <c r="E935" s="50"/>
      <c r="F935" s="50"/>
      <c r="G935" s="50"/>
      <c r="H935" s="50"/>
    </row>
    <row r="936">
      <c r="D936" s="50"/>
      <c r="E936" s="50"/>
      <c r="F936" s="50"/>
      <c r="G936" s="50"/>
      <c r="H936" s="50"/>
    </row>
    <row r="937">
      <c r="D937" s="50"/>
      <c r="E937" s="50"/>
      <c r="F937" s="50"/>
      <c r="G937" s="50"/>
      <c r="H937" s="50"/>
    </row>
    <row r="938">
      <c r="D938" s="50"/>
      <c r="E938" s="50"/>
      <c r="F938" s="50"/>
      <c r="G938" s="50"/>
      <c r="H938" s="50"/>
    </row>
    <row r="939">
      <c r="D939" s="50"/>
      <c r="E939" s="50"/>
      <c r="F939" s="50"/>
      <c r="G939" s="50"/>
      <c r="H939" s="50"/>
    </row>
    <row r="940">
      <c r="D940" s="50"/>
      <c r="E940" s="50"/>
      <c r="F940" s="50"/>
      <c r="G940" s="50"/>
      <c r="H940" s="50"/>
    </row>
    <row r="941">
      <c r="D941" s="50"/>
      <c r="E941" s="50"/>
      <c r="F941" s="50"/>
      <c r="G941" s="50"/>
      <c r="H941" s="50"/>
    </row>
    <row r="942">
      <c r="D942" s="50"/>
      <c r="E942" s="50"/>
      <c r="F942" s="50"/>
      <c r="G942" s="50"/>
      <c r="H942" s="50"/>
    </row>
    <row r="943">
      <c r="D943" s="50"/>
      <c r="E943" s="50"/>
      <c r="F943" s="50"/>
      <c r="G943" s="50"/>
      <c r="H943" s="50"/>
    </row>
    <row r="944">
      <c r="D944" s="50"/>
      <c r="E944" s="50"/>
      <c r="F944" s="50"/>
      <c r="G944" s="50"/>
      <c r="H944" s="50"/>
    </row>
    <row r="945">
      <c r="D945" s="50"/>
      <c r="E945" s="50"/>
      <c r="F945" s="50"/>
      <c r="G945" s="50"/>
      <c r="H945" s="50"/>
    </row>
    <row r="946">
      <c r="D946" s="50"/>
      <c r="E946" s="50"/>
      <c r="F946" s="50"/>
      <c r="G946" s="50"/>
      <c r="H946" s="50"/>
    </row>
    <row r="947">
      <c r="D947" s="50"/>
      <c r="E947" s="50"/>
      <c r="F947" s="50"/>
      <c r="G947" s="50"/>
      <c r="H947" s="50"/>
    </row>
    <row r="948">
      <c r="D948" s="50"/>
      <c r="E948" s="50"/>
      <c r="F948" s="50"/>
      <c r="G948" s="50"/>
      <c r="H948" s="50"/>
    </row>
    <row r="949">
      <c r="D949" s="50"/>
      <c r="E949" s="50"/>
      <c r="F949" s="50"/>
      <c r="G949" s="50"/>
      <c r="H949" s="50"/>
    </row>
    <row r="950">
      <c r="D950" s="50"/>
      <c r="E950" s="50"/>
      <c r="F950" s="50"/>
      <c r="G950" s="50"/>
      <c r="H950" s="50"/>
    </row>
    <row r="951">
      <c r="D951" s="50"/>
      <c r="E951" s="50"/>
      <c r="F951" s="50"/>
      <c r="G951" s="50"/>
      <c r="H951" s="50"/>
    </row>
    <row r="952">
      <c r="D952" s="50"/>
      <c r="E952" s="50"/>
      <c r="F952" s="50"/>
      <c r="G952" s="50"/>
      <c r="H952" s="50"/>
    </row>
    <row r="953">
      <c r="D953" s="50"/>
      <c r="E953" s="50"/>
      <c r="F953" s="50"/>
      <c r="G953" s="50"/>
      <c r="H953" s="50"/>
    </row>
    <row r="954">
      <c r="D954" s="50"/>
      <c r="E954" s="50"/>
      <c r="F954" s="50"/>
      <c r="G954" s="50"/>
      <c r="H954" s="50"/>
    </row>
    <row r="955">
      <c r="D955" s="50"/>
      <c r="E955" s="50"/>
      <c r="F955" s="50"/>
      <c r="G955" s="50"/>
      <c r="H955" s="50"/>
    </row>
    <row r="956">
      <c r="D956" s="50"/>
      <c r="E956" s="50"/>
      <c r="F956" s="50"/>
      <c r="G956" s="50"/>
      <c r="H956" s="50"/>
    </row>
    <row r="957">
      <c r="D957" s="50"/>
      <c r="E957" s="50"/>
      <c r="F957" s="50"/>
      <c r="G957" s="50"/>
      <c r="H957" s="50"/>
    </row>
    <row r="958">
      <c r="D958" s="50"/>
      <c r="E958" s="50"/>
      <c r="F958" s="50"/>
      <c r="G958" s="50"/>
      <c r="H958" s="50"/>
    </row>
    <row r="959">
      <c r="D959" s="50"/>
      <c r="E959" s="50"/>
      <c r="F959" s="50"/>
      <c r="G959" s="50"/>
      <c r="H959" s="50"/>
    </row>
    <row r="960">
      <c r="D960" s="50"/>
      <c r="E960" s="50"/>
      <c r="F960" s="50"/>
      <c r="G960" s="50"/>
      <c r="H960" s="50"/>
    </row>
    <row r="961">
      <c r="D961" s="50"/>
      <c r="E961" s="50"/>
      <c r="F961" s="50"/>
      <c r="G961" s="50"/>
      <c r="H961" s="50"/>
    </row>
    <row r="962">
      <c r="D962" s="50"/>
      <c r="E962" s="50"/>
      <c r="F962" s="50"/>
      <c r="G962" s="50"/>
      <c r="H962" s="50"/>
    </row>
    <row r="963">
      <c r="D963" s="50"/>
      <c r="E963" s="50"/>
      <c r="F963" s="50"/>
      <c r="G963" s="50"/>
      <c r="H963" s="50"/>
    </row>
    <row r="964">
      <c r="D964" s="50"/>
      <c r="E964" s="50"/>
      <c r="F964" s="50"/>
      <c r="G964" s="50"/>
      <c r="H964" s="50"/>
    </row>
    <row r="965">
      <c r="D965" s="50"/>
      <c r="E965" s="50"/>
      <c r="F965" s="50"/>
      <c r="G965" s="50"/>
      <c r="H965" s="50"/>
    </row>
    <row r="966">
      <c r="D966" s="50"/>
      <c r="E966" s="50"/>
      <c r="F966" s="50"/>
      <c r="G966" s="50"/>
      <c r="H966" s="50"/>
    </row>
    <row r="967">
      <c r="D967" s="50"/>
      <c r="E967" s="50"/>
      <c r="F967" s="50"/>
      <c r="G967" s="50"/>
      <c r="H967" s="50"/>
    </row>
    <row r="968">
      <c r="D968" s="50"/>
      <c r="E968" s="50"/>
      <c r="F968" s="50"/>
      <c r="G968" s="50"/>
      <c r="H968" s="50"/>
    </row>
    <row r="969">
      <c r="D969" s="50"/>
      <c r="E969" s="50"/>
      <c r="F969" s="50"/>
      <c r="G969" s="50"/>
      <c r="H969" s="50"/>
    </row>
    <row r="970">
      <c r="D970" s="50"/>
      <c r="E970" s="50"/>
      <c r="F970" s="50"/>
      <c r="G970" s="50"/>
      <c r="H970" s="50"/>
    </row>
    <row r="971">
      <c r="D971" s="50"/>
      <c r="E971" s="50"/>
      <c r="F971" s="50"/>
      <c r="G971" s="50"/>
      <c r="H971" s="50"/>
    </row>
    <row r="972">
      <c r="D972" s="50"/>
      <c r="E972" s="50"/>
      <c r="F972" s="50"/>
      <c r="G972" s="50"/>
      <c r="H972" s="50"/>
    </row>
    <row r="973">
      <c r="D973" s="50"/>
      <c r="E973" s="50"/>
      <c r="F973" s="50"/>
      <c r="G973" s="50"/>
      <c r="H973" s="50"/>
    </row>
    <row r="974">
      <c r="D974" s="50"/>
      <c r="E974" s="50"/>
      <c r="F974" s="50"/>
      <c r="G974" s="50"/>
      <c r="H974" s="50"/>
    </row>
    <row r="975">
      <c r="D975" s="50"/>
      <c r="E975" s="50"/>
      <c r="F975" s="50"/>
      <c r="G975" s="50"/>
      <c r="H975" s="50"/>
    </row>
    <row r="976">
      <c r="D976" s="50"/>
      <c r="E976" s="50"/>
      <c r="F976" s="50"/>
      <c r="G976" s="50"/>
      <c r="H976" s="50"/>
    </row>
    <row r="977">
      <c r="D977" s="50"/>
      <c r="E977" s="50"/>
      <c r="F977" s="50"/>
      <c r="G977" s="50"/>
      <c r="H977" s="50"/>
    </row>
    <row r="978">
      <c r="D978" s="50"/>
      <c r="E978" s="50"/>
      <c r="F978" s="50"/>
      <c r="G978" s="50"/>
      <c r="H978" s="50"/>
    </row>
    <row r="979">
      <c r="D979" s="50"/>
      <c r="E979" s="50"/>
      <c r="F979" s="50"/>
      <c r="G979" s="50"/>
      <c r="H979" s="50"/>
    </row>
    <row r="980">
      <c r="D980" s="50"/>
      <c r="E980" s="50"/>
      <c r="F980" s="50"/>
      <c r="G980" s="50"/>
      <c r="H980" s="50"/>
    </row>
    <row r="981">
      <c r="D981" s="50"/>
      <c r="E981" s="50"/>
      <c r="F981" s="50"/>
      <c r="G981" s="50"/>
      <c r="H981" s="50"/>
    </row>
    <row r="982">
      <c r="D982" s="50"/>
      <c r="E982" s="50"/>
      <c r="F982" s="50"/>
      <c r="G982" s="50"/>
      <c r="H982" s="50"/>
    </row>
    <row r="983">
      <c r="D983" s="50"/>
      <c r="E983" s="50"/>
      <c r="F983" s="50"/>
      <c r="G983" s="50"/>
      <c r="H983" s="50"/>
    </row>
    <row r="984">
      <c r="D984" s="50"/>
      <c r="E984" s="50"/>
      <c r="F984" s="50"/>
      <c r="G984" s="50"/>
      <c r="H984" s="50"/>
    </row>
    <row r="985">
      <c r="D985" s="50"/>
      <c r="E985" s="50"/>
      <c r="F985" s="50"/>
      <c r="G985" s="50"/>
      <c r="H985" s="50"/>
    </row>
    <row r="986">
      <c r="D986" s="50"/>
      <c r="E986" s="50"/>
      <c r="F986" s="50"/>
      <c r="G986" s="50"/>
      <c r="H986" s="50"/>
    </row>
    <row r="987">
      <c r="D987" s="50"/>
      <c r="E987" s="50"/>
      <c r="F987" s="50"/>
      <c r="G987" s="50"/>
      <c r="H987" s="50"/>
    </row>
    <row r="988">
      <c r="D988" s="50"/>
      <c r="E988" s="50"/>
      <c r="F988" s="50"/>
      <c r="G988" s="50"/>
      <c r="H988" s="50"/>
    </row>
    <row r="989">
      <c r="D989" s="50"/>
      <c r="E989" s="50"/>
      <c r="F989" s="50"/>
      <c r="G989" s="50"/>
      <c r="H989" s="50"/>
    </row>
    <row r="990">
      <c r="D990" s="50"/>
      <c r="E990" s="50"/>
      <c r="F990" s="50"/>
      <c r="G990" s="50"/>
      <c r="H990" s="50"/>
    </row>
    <row r="991">
      <c r="D991" s="50"/>
      <c r="E991" s="50"/>
      <c r="F991" s="50"/>
      <c r="G991" s="50"/>
      <c r="H991" s="50"/>
    </row>
    <row r="992">
      <c r="D992" s="50"/>
      <c r="E992" s="50"/>
      <c r="F992" s="50"/>
      <c r="G992" s="50"/>
      <c r="H992" s="50"/>
    </row>
    <row r="993">
      <c r="D993" s="50"/>
      <c r="E993" s="50"/>
      <c r="F993" s="50"/>
      <c r="G993" s="50"/>
      <c r="H993" s="50"/>
    </row>
    <row r="994">
      <c r="D994" s="50"/>
      <c r="E994" s="50"/>
      <c r="F994" s="50"/>
      <c r="G994" s="50"/>
      <c r="H994" s="50"/>
    </row>
    <row r="995">
      <c r="D995" s="50"/>
      <c r="E995" s="50"/>
      <c r="F995" s="50"/>
      <c r="G995" s="50"/>
      <c r="H995" s="50"/>
    </row>
    <row r="996">
      <c r="D996" s="50"/>
      <c r="E996" s="50"/>
      <c r="F996" s="50"/>
      <c r="G996" s="50"/>
      <c r="H996" s="50"/>
    </row>
    <row r="997">
      <c r="D997" s="50"/>
      <c r="E997" s="50"/>
      <c r="F997" s="50"/>
      <c r="G997" s="50"/>
      <c r="H997" s="50"/>
    </row>
    <row r="998">
      <c r="D998" s="50"/>
      <c r="E998" s="50"/>
      <c r="F998" s="50"/>
      <c r="G998" s="50"/>
      <c r="H998" s="50"/>
    </row>
    <row r="999">
      <c r="D999" s="50"/>
      <c r="E999" s="50"/>
      <c r="F999" s="50"/>
      <c r="G999" s="50"/>
      <c r="H999" s="50"/>
    </row>
    <row r="1000">
      <c r="D1000" s="50"/>
      <c r="E1000" s="50"/>
      <c r="F1000" s="50"/>
      <c r="G1000" s="50"/>
      <c r="H1000" s="50"/>
    </row>
  </sheetData>
  <conditionalFormatting sqref="D1:H1000">
    <cfRule type="cellIs" dxfId="13" priority="1" operator="equal">
      <formula>"C"</formula>
    </cfRule>
  </conditionalFormatting>
  <conditionalFormatting sqref="D1:H1000">
    <cfRule type="cellIs" dxfId="2" priority="2" operator="equal">
      <formula>"A"</formula>
    </cfRule>
  </conditionalFormatting>
  <conditionalFormatting sqref="D1:H1000">
    <cfRule type="cellIs" dxfId="14" priority="3" operator="equal">
      <formula>"B"</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20.38"/>
    <col customWidth="1" min="3" max="3" width="7.25"/>
    <col customWidth="1" min="4" max="4" width="8.13"/>
    <col customWidth="1" min="5" max="5" width="8.88"/>
    <col customWidth="1" min="6" max="6" width="10.63"/>
    <col customWidth="1" min="7" max="7" width="10.25"/>
    <col customWidth="1" min="8" max="8" width="8.38"/>
  </cols>
  <sheetData>
    <row r="1">
      <c r="A1" s="196" t="str">
        <f>IFERROR(__xludf.DUMMYFUNCTION("QUERY(DTrma!A:H, ""select A,B,C,D,E,F,G,H where C='IL Putra'"", 1)"),"NP")</f>
        <v>NP</v>
      </c>
      <c r="B1" s="196" t="str">
        <f>IFERROR(__xludf.DUMMYFUNCTION("""COMPUTED_VALUE"""),"Nama")</f>
        <v>Nama</v>
      </c>
      <c r="C1" s="196" t="str">
        <f>IFERROR(__xludf.DUMMYFUNCTION("""COMPUTED_VALUE"""),"Jenjang")</f>
        <v>Jenjang</v>
      </c>
      <c r="D1" s="165" t="str">
        <f>IFERROR(__xludf.DUMMYFUNCTION("""COMPUTED_VALUE"""),"Al-Quran")</f>
        <v>Al-Quran</v>
      </c>
      <c r="E1" s="165" t="str">
        <f>IFERROR(__xludf.DUMMYFUNCTION("""COMPUTED_VALUE"""),"Akademik")</f>
        <v>Akademik</v>
      </c>
      <c r="F1" s="165" t="str">
        <f>IFERROR(__xludf.DUMMYFUNCTION("""COMPUTED_VALUE"""),"Kepribadian")</f>
        <v>Kepribadian</v>
      </c>
      <c r="G1" s="165" t="str">
        <f>IFERROR(__xludf.DUMMYFUNCTION("""COMPUTED_VALUE"""),"Kesesuaian")</f>
        <v>Kesesuaian</v>
      </c>
      <c r="H1" s="165" t="str">
        <f>IFERROR(__xludf.DUMMYFUNCTION("""COMPUTED_VALUE"""),"Kesiapan")</f>
        <v>Kesiapan</v>
      </c>
      <c r="I1" s="197"/>
      <c r="J1" s="197"/>
      <c r="K1" s="197"/>
      <c r="L1" s="197"/>
      <c r="M1" s="197"/>
      <c r="N1" s="197"/>
      <c r="O1" s="197"/>
      <c r="P1" s="197"/>
      <c r="Q1" s="197"/>
      <c r="R1" s="197"/>
      <c r="S1" s="197"/>
      <c r="T1" s="197"/>
      <c r="U1" s="197"/>
      <c r="V1" s="197"/>
      <c r="W1" s="197"/>
      <c r="X1" s="197"/>
      <c r="Y1" s="197"/>
      <c r="Z1" s="197"/>
      <c r="AA1" s="197"/>
    </row>
    <row r="2">
      <c r="A2" s="5" t="str">
        <f>IFERROR(__xludf.DUMMYFUNCTION("""COMPUTED_VALUE"""),"B250009")</f>
        <v>B250009</v>
      </c>
      <c r="B2" s="5" t="str">
        <f>IFERROR(__xludf.DUMMYFUNCTION("""COMPUTED_VALUE"""),"Azka Ulinnuha")</f>
        <v>Azka Ulinnuha</v>
      </c>
      <c r="C2" s="5" t="str">
        <f>IFERROR(__xludf.DUMMYFUNCTION("""COMPUTED_VALUE"""),"IL Putra")</f>
        <v>IL Putra</v>
      </c>
      <c r="D2" s="168" t="str">
        <f>IFERROR(__xludf.DUMMYFUNCTION("""COMPUTED_VALUE"""),"B")</f>
        <v>B</v>
      </c>
      <c r="E2" s="168" t="str">
        <f>IFERROR(__xludf.DUMMYFUNCTION("""COMPUTED_VALUE"""),"C")</f>
        <v>C</v>
      </c>
      <c r="F2" s="168" t="str">
        <f>IFERROR(__xludf.DUMMYFUNCTION("""COMPUTED_VALUE"""),"A")</f>
        <v>A</v>
      </c>
      <c r="G2" s="168" t="str">
        <f>IFERROR(__xludf.DUMMYFUNCTION("""COMPUTED_VALUE"""),"A")</f>
        <v>A</v>
      </c>
      <c r="H2" s="168" t="str">
        <f>IFERROR(__xludf.DUMMYFUNCTION("""COMPUTED_VALUE"""),"A")</f>
        <v>A</v>
      </c>
    </row>
    <row r="3">
      <c r="A3" s="5" t="str">
        <f>IFERROR(__xludf.DUMMYFUNCTION("""COMPUTED_VALUE"""),"B250010")</f>
        <v>B250010</v>
      </c>
      <c r="B3" s="5" t="str">
        <f>IFERROR(__xludf.DUMMYFUNCTION("""COMPUTED_VALUE"""),"Ksatria Hudzaifah Al Mizzi")</f>
        <v>Ksatria Hudzaifah Al Mizzi</v>
      </c>
      <c r="C3" s="5" t="str">
        <f>IFERROR(__xludf.DUMMYFUNCTION("""COMPUTED_VALUE"""),"IL Putra")</f>
        <v>IL Putra</v>
      </c>
      <c r="D3" s="168" t="str">
        <f>IFERROR(__xludf.DUMMYFUNCTION("""COMPUTED_VALUE"""),"A")</f>
        <v>A</v>
      </c>
      <c r="E3" s="168" t="str">
        <f>IFERROR(__xludf.DUMMYFUNCTION("""COMPUTED_VALUE"""),"A")</f>
        <v>A</v>
      </c>
      <c r="F3" s="168" t="str">
        <f>IFERROR(__xludf.DUMMYFUNCTION("""COMPUTED_VALUE"""),"A")</f>
        <v>A</v>
      </c>
      <c r="G3" s="168" t="str">
        <f>IFERROR(__xludf.DUMMYFUNCTION("""COMPUTED_VALUE"""),"B")</f>
        <v>B</v>
      </c>
      <c r="H3" s="168" t="str">
        <f>IFERROR(__xludf.DUMMYFUNCTION("""COMPUTED_VALUE"""),"A")</f>
        <v>A</v>
      </c>
    </row>
    <row r="4">
      <c r="A4" s="5" t="str">
        <f>IFERROR(__xludf.DUMMYFUNCTION("""COMPUTED_VALUE"""),"B250021")</f>
        <v>B250021</v>
      </c>
      <c r="B4" s="5" t="str">
        <f>IFERROR(__xludf.DUMMYFUNCTION("""COMPUTED_VALUE"""),"keanu azka wibowo")</f>
        <v>keanu azka wibowo</v>
      </c>
      <c r="C4" s="5" t="str">
        <f>IFERROR(__xludf.DUMMYFUNCTION("""COMPUTED_VALUE"""),"IL Putra")</f>
        <v>IL Putra</v>
      </c>
      <c r="D4" s="168" t="str">
        <f>IFERROR(__xludf.DUMMYFUNCTION("""COMPUTED_VALUE"""),"A")</f>
        <v>A</v>
      </c>
      <c r="E4" s="168" t="str">
        <f>IFERROR(__xludf.DUMMYFUNCTION("""COMPUTED_VALUE"""),"A")</f>
        <v>A</v>
      </c>
      <c r="F4" s="168" t="str">
        <f>IFERROR(__xludf.DUMMYFUNCTION("""COMPUTED_VALUE"""),"B")</f>
        <v>B</v>
      </c>
      <c r="G4" s="168" t="str">
        <f>IFERROR(__xludf.DUMMYFUNCTION("""COMPUTED_VALUE"""),"A")</f>
        <v>A</v>
      </c>
      <c r="H4" s="168" t="str">
        <f>IFERROR(__xludf.DUMMYFUNCTION("""COMPUTED_VALUE"""),"A")</f>
        <v>A</v>
      </c>
    </row>
    <row r="5">
      <c r="A5" s="5" t="str">
        <f>IFERROR(__xludf.DUMMYFUNCTION("""COMPUTED_VALUE"""),"B250018")</f>
        <v>B250018</v>
      </c>
      <c r="B5" s="5" t="str">
        <f>IFERROR(__xludf.DUMMYFUNCTION("""COMPUTED_VALUE"""),"Farhan ibadurrohman ")</f>
        <v>Farhan ibadurrohman </v>
      </c>
      <c r="C5" s="5" t="str">
        <f>IFERROR(__xludf.DUMMYFUNCTION("""COMPUTED_VALUE"""),"IL Putra")</f>
        <v>IL Putra</v>
      </c>
      <c r="D5" s="168" t="str">
        <f>IFERROR(__xludf.DUMMYFUNCTION("""COMPUTED_VALUE"""),"A")</f>
        <v>A</v>
      </c>
      <c r="E5" s="168" t="str">
        <f>IFERROR(__xludf.DUMMYFUNCTION("""COMPUTED_VALUE"""),"B")</f>
        <v>B</v>
      </c>
      <c r="F5" s="168" t="str">
        <f>IFERROR(__xludf.DUMMYFUNCTION("""COMPUTED_VALUE"""),"B")</f>
        <v>B</v>
      </c>
      <c r="G5" s="168" t="str">
        <f>IFERROR(__xludf.DUMMYFUNCTION("""COMPUTED_VALUE"""),"A")</f>
        <v>A</v>
      </c>
      <c r="H5" s="168" t="str">
        <f>IFERROR(__xludf.DUMMYFUNCTION("""COMPUTED_VALUE"""),"A")</f>
        <v>A</v>
      </c>
    </row>
    <row r="6">
      <c r="A6" s="5" t="str">
        <f>IFERROR(__xludf.DUMMYFUNCTION("""COMPUTED_VALUE"""),"B250005")</f>
        <v>B250005</v>
      </c>
      <c r="B6" s="5" t="str">
        <f>IFERROR(__xludf.DUMMYFUNCTION("""COMPUTED_VALUE"""),"Raihan Farzin ")</f>
        <v>Raihan Farzin </v>
      </c>
      <c r="C6" s="5" t="str">
        <f>IFERROR(__xludf.DUMMYFUNCTION("""COMPUTED_VALUE"""),"IL Putra")</f>
        <v>IL Putra</v>
      </c>
      <c r="D6" s="168" t="str">
        <f>IFERROR(__xludf.DUMMYFUNCTION("""COMPUTED_VALUE"""),"A")</f>
        <v>A</v>
      </c>
      <c r="E6" s="168" t="str">
        <f>IFERROR(__xludf.DUMMYFUNCTION("""COMPUTED_VALUE"""),"C")</f>
        <v>C</v>
      </c>
      <c r="F6" s="168" t="str">
        <f>IFERROR(__xludf.DUMMYFUNCTION("""COMPUTED_VALUE"""),"B")</f>
        <v>B</v>
      </c>
      <c r="G6" s="168" t="str">
        <f>IFERROR(__xludf.DUMMYFUNCTION("""COMPUTED_VALUE"""),"A")</f>
        <v>A</v>
      </c>
      <c r="H6" s="168" t="str">
        <f>IFERROR(__xludf.DUMMYFUNCTION("""COMPUTED_VALUE"""),"A")</f>
        <v>A</v>
      </c>
    </row>
    <row r="7">
      <c r="A7" s="5" t="str">
        <f>IFERROR(__xludf.DUMMYFUNCTION("""COMPUTED_VALUE"""),"B250003")</f>
        <v>B250003</v>
      </c>
      <c r="B7" s="5" t="str">
        <f>IFERROR(__xludf.DUMMYFUNCTION("""COMPUTED_VALUE"""),"Ihsan Abdul Hakim ")</f>
        <v>Ihsan Abdul Hakim </v>
      </c>
      <c r="C7" s="5" t="str">
        <f>IFERROR(__xludf.DUMMYFUNCTION("""COMPUTED_VALUE"""),"IL Putra")</f>
        <v>IL Putra</v>
      </c>
      <c r="D7" s="168" t="str">
        <f>IFERROR(__xludf.DUMMYFUNCTION("""COMPUTED_VALUE"""),"A")</f>
        <v>A</v>
      </c>
      <c r="E7" s="168" t="str">
        <f>IFERROR(__xludf.DUMMYFUNCTION("""COMPUTED_VALUE"""),"B")</f>
        <v>B</v>
      </c>
      <c r="F7" s="168" t="str">
        <f>IFERROR(__xludf.DUMMYFUNCTION("""COMPUTED_VALUE"""),"A")</f>
        <v>A</v>
      </c>
      <c r="G7" s="168" t="str">
        <f>IFERROR(__xludf.DUMMYFUNCTION("""COMPUTED_VALUE"""),"A")</f>
        <v>A</v>
      </c>
      <c r="H7" s="168" t="str">
        <f>IFERROR(__xludf.DUMMYFUNCTION("""COMPUTED_VALUE"""),"A")</f>
        <v>A</v>
      </c>
    </row>
    <row r="8">
      <c r="A8" s="5" t="str">
        <f>IFERROR(__xludf.DUMMYFUNCTION("""COMPUTED_VALUE"""),"B250024")</f>
        <v>B250024</v>
      </c>
      <c r="B8" s="5" t="str">
        <f>IFERROR(__xludf.DUMMYFUNCTION("""COMPUTED_VALUE"""),"Ahadan Nazka Harits")</f>
        <v>Ahadan Nazka Harits</v>
      </c>
      <c r="C8" s="5" t="str">
        <f>IFERROR(__xludf.DUMMYFUNCTION("""COMPUTED_VALUE"""),"IL Putra")</f>
        <v>IL Putra</v>
      </c>
      <c r="D8" s="168" t="str">
        <f>IFERROR(__xludf.DUMMYFUNCTION("""COMPUTED_VALUE"""),"B")</f>
        <v>B</v>
      </c>
      <c r="E8" s="168" t="str">
        <f>IFERROR(__xludf.DUMMYFUNCTION("""COMPUTED_VALUE"""),"B")</f>
        <v>B</v>
      </c>
      <c r="F8" s="168" t="str">
        <f>IFERROR(__xludf.DUMMYFUNCTION("""COMPUTED_VALUE"""),"A")</f>
        <v>A</v>
      </c>
      <c r="G8" s="168" t="str">
        <f>IFERROR(__xludf.DUMMYFUNCTION("""COMPUTED_VALUE"""),"A")</f>
        <v>A</v>
      </c>
      <c r="H8" s="168" t="str">
        <f>IFERROR(__xludf.DUMMYFUNCTION("""COMPUTED_VALUE"""),"A")</f>
        <v>A</v>
      </c>
    </row>
    <row r="9">
      <c r="A9" s="5" t="str">
        <f>IFERROR(__xludf.DUMMYFUNCTION("""COMPUTED_VALUE"""),"B250019")</f>
        <v>B250019</v>
      </c>
      <c r="B9" s="5" t="str">
        <f>IFERROR(__xludf.DUMMYFUNCTION("""COMPUTED_VALUE"""),"Abbas Raihan")</f>
        <v>Abbas Raihan</v>
      </c>
      <c r="C9" s="5" t="str">
        <f>IFERROR(__xludf.DUMMYFUNCTION("""COMPUTED_VALUE"""),"IL Putra")</f>
        <v>IL Putra</v>
      </c>
      <c r="D9" s="168" t="str">
        <f>IFERROR(__xludf.DUMMYFUNCTION("""COMPUTED_VALUE"""),"B")</f>
        <v>B</v>
      </c>
      <c r="E9" s="168" t="str">
        <f>IFERROR(__xludf.DUMMYFUNCTION("""COMPUTED_VALUE"""),"A")</f>
        <v>A</v>
      </c>
      <c r="F9" s="168" t="str">
        <f>IFERROR(__xludf.DUMMYFUNCTION("""COMPUTED_VALUE"""),"A")</f>
        <v>A</v>
      </c>
      <c r="G9" s="168" t="str">
        <f>IFERROR(__xludf.DUMMYFUNCTION("""COMPUTED_VALUE"""),"A")</f>
        <v>A</v>
      </c>
      <c r="H9" s="168" t="str">
        <f>IFERROR(__xludf.DUMMYFUNCTION("""COMPUTED_VALUE"""),"C")</f>
        <v>C</v>
      </c>
    </row>
    <row r="10">
      <c r="A10" s="5" t="str">
        <f>IFERROR(__xludf.DUMMYFUNCTION("""COMPUTED_VALUE"""),"B250023")</f>
        <v>B250023</v>
      </c>
      <c r="B10" s="5" t="str">
        <f>IFERROR(__xludf.DUMMYFUNCTION("""COMPUTED_VALUE"""),"Muhammad Dafa Athallah")</f>
        <v>Muhammad Dafa Athallah</v>
      </c>
      <c r="C10" s="5" t="str">
        <f>IFERROR(__xludf.DUMMYFUNCTION("""COMPUTED_VALUE"""),"IL Putra")</f>
        <v>IL Putra</v>
      </c>
      <c r="D10" s="168" t="str">
        <f>IFERROR(__xludf.DUMMYFUNCTION("""COMPUTED_VALUE"""),"A")</f>
        <v>A</v>
      </c>
      <c r="E10" s="168" t="str">
        <f>IFERROR(__xludf.DUMMYFUNCTION("""COMPUTED_VALUE"""),"A")</f>
        <v>A</v>
      </c>
      <c r="F10" s="168" t="str">
        <f>IFERROR(__xludf.DUMMYFUNCTION("""COMPUTED_VALUE"""),"A")</f>
        <v>A</v>
      </c>
      <c r="G10" s="168" t="str">
        <f>IFERROR(__xludf.DUMMYFUNCTION("""COMPUTED_VALUE"""),"A")</f>
        <v>A</v>
      </c>
      <c r="H10" s="168" t="str">
        <f>IFERROR(__xludf.DUMMYFUNCTION("""COMPUTED_VALUE"""),"A")</f>
        <v>A</v>
      </c>
    </row>
    <row r="11">
      <c r="A11" s="5" t="str">
        <f>IFERROR(__xludf.DUMMYFUNCTION("""COMPUTED_VALUE"""),"B250028")</f>
        <v>B250028</v>
      </c>
      <c r="B11" s="5" t="str">
        <f>IFERROR(__xludf.DUMMYFUNCTION("""COMPUTED_VALUE"""),"Bisma adhi saputra")</f>
        <v>Bisma adhi saputra</v>
      </c>
      <c r="C11" s="5" t="str">
        <f>IFERROR(__xludf.DUMMYFUNCTION("""COMPUTED_VALUE"""),"IL Putra")</f>
        <v>IL Putra</v>
      </c>
      <c r="D11" s="168" t="str">
        <f>IFERROR(__xludf.DUMMYFUNCTION("""COMPUTED_VALUE"""),"A")</f>
        <v>A</v>
      </c>
      <c r="E11" s="168" t="str">
        <f>IFERROR(__xludf.DUMMYFUNCTION("""COMPUTED_VALUE"""),"C")</f>
        <v>C</v>
      </c>
      <c r="F11" s="168" t="str">
        <f>IFERROR(__xludf.DUMMYFUNCTION("""COMPUTED_VALUE"""),"A")</f>
        <v>A</v>
      </c>
      <c r="G11" s="168" t="str">
        <f>IFERROR(__xludf.DUMMYFUNCTION("""COMPUTED_VALUE"""),"B")</f>
        <v>B</v>
      </c>
      <c r="H11" s="168" t="str">
        <f>IFERROR(__xludf.DUMMYFUNCTION("""COMPUTED_VALUE"""),"A")</f>
        <v>A</v>
      </c>
    </row>
    <row r="12">
      <c r="D12" s="50"/>
      <c r="E12" s="50"/>
      <c r="F12" s="50"/>
      <c r="G12" s="50"/>
      <c r="H12" s="50"/>
    </row>
    <row r="13">
      <c r="D13" s="50"/>
      <c r="E13" s="50"/>
      <c r="F13" s="50"/>
      <c r="G13" s="50"/>
      <c r="H13" s="50"/>
    </row>
    <row r="14">
      <c r="D14" s="50"/>
      <c r="E14" s="50"/>
      <c r="F14" s="50"/>
      <c r="G14" s="50"/>
      <c r="H14" s="50"/>
    </row>
    <row r="15">
      <c r="D15" s="50"/>
      <c r="E15" s="50"/>
      <c r="F15" s="50"/>
      <c r="G15" s="50"/>
      <c r="H15" s="50"/>
    </row>
    <row r="16">
      <c r="D16" s="50"/>
      <c r="E16" s="50"/>
      <c r="F16" s="50"/>
      <c r="G16" s="50"/>
      <c r="H16" s="50"/>
    </row>
    <row r="17">
      <c r="D17" s="50"/>
      <c r="E17" s="50"/>
      <c r="F17" s="50"/>
      <c r="G17" s="50"/>
      <c r="H17" s="50"/>
    </row>
    <row r="18">
      <c r="D18" s="50"/>
      <c r="E18" s="50"/>
      <c r="F18" s="50"/>
      <c r="G18" s="50"/>
      <c r="H18" s="50"/>
    </row>
    <row r="19">
      <c r="D19" s="50"/>
      <c r="E19" s="50"/>
      <c r="F19" s="50"/>
      <c r="G19" s="50"/>
      <c r="H19" s="50"/>
    </row>
    <row r="20">
      <c r="D20" s="50"/>
      <c r="E20" s="50"/>
      <c r="F20" s="50"/>
      <c r="G20" s="50"/>
      <c r="H20" s="50"/>
    </row>
    <row r="21">
      <c r="D21" s="50"/>
      <c r="E21" s="50"/>
      <c r="F21" s="50"/>
      <c r="G21" s="50"/>
      <c r="H21" s="50"/>
    </row>
    <row r="22">
      <c r="D22" s="50"/>
      <c r="E22" s="50"/>
      <c r="F22" s="50"/>
      <c r="G22" s="50"/>
      <c r="H22" s="50"/>
    </row>
    <row r="23">
      <c r="D23" s="50"/>
      <c r="E23" s="50"/>
      <c r="F23" s="50"/>
      <c r="G23" s="50"/>
      <c r="H23" s="50"/>
    </row>
    <row r="24">
      <c r="D24" s="50"/>
      <c r="E24" s="50"/>
      <c r="F24" s="50"/>
      <c r="G24" s="50"/>
      <c r="H24" s="50"/>
    </row>
    <row r="25">
      <c r="D25" s="50"/>
      <c r="E25" s="50"/>
      <c r="F25" s="50"/>
      <c r="G25" s="50"/>
      <c r="H25" s="50"/>
    </row>
    <row r="26">
      <c r="D26" s="50"/>
      <c r="E26" s="50"/>
      <c r="F26" s="50"/>
      <c r="G26" s="50"/>
      <c r="H26" s="50"/>
    </row>
    <row r="27">
      <c r="D27" s="50"/>
      <c r="E27" s="50"/>
      <c r="F27" s="50"/>
      <c r="G27" s="50"/>
      <c r="H27" s="50"/>
    </row>
    <row r="28">
      <c r="D28" s="50"/>
      <c r="E28" s="50"/>
      <c r="F28" s="50"/>
      <c r="G28" s="50"/>
      <c r="H28" s="50"/>
    </row>
    <row r="29">
      <c r="D29" s="50"/>
      <c r="E29" s="50"/>
      <c r="F29" s="50"/>
      <c r="G29" s="50"/>
      <c r="H29" s="50"/>
    </row>
    <row r="30">
      <c r="D30" s="50"/>
      <c r="E30" s="50"/>
      <c r="F30" s="50"/>
      <c r="G30" s="50"/>
      <c r="H30" s="50"/>
    </row>
    <row r="31">
      <c r="D31" s="50"/>
      <c r="E31" s="50"/>
      <c r="F31" s="50"/>
      <c r="G31" s="50"/>
      <c r="H31" s="50"/>
    </row>
    <row r="32">
      <c r="D32" s="50"/>
      <c r="E32" s="50"/>
      <c r="F32" s="50"/>
      <c r="G32" s="50"/>
      <c r="H32" s="50"/>
    </row>
    <row r="33">
      <c r="D33" s="50"/>
      <c r="E33" s="50"/>
      <c r="F33" s="50"/>
      <c r="G33" s="50"/>
      <c r="H33" s="50"/>
    </row>
    <row r="34">
      <c r="D34" s="50"/>
      <c r="E34" s="50"/>
      <c r="F34" s="50"/>
      <c r="G34" s="50"/>
      <c r="H34" s="50"/>
    </row>
    <row r="35">
      <c r="D35" s="50"/>
      <c r="E35" s="50"/>
      <c r="F35" s="50"/>
      <c r="G35" s="50"/>
      <c r="H35" s="50"/>
    </row>
    <row r="36">
      <c r="D36" s="50"/>
      <c r="E36" s="50"/>
      <c r="F36" s="50"/>
      <c r="G36" s="50"/>
      <c r="H36" s="50"/>
    </row>
    <row r="37">
      <c r="D37" s="50"/>
      <c r="E37" s="50"/>
      <c r="F37" s="50"/>
      <c r="G37" s="50"/>
      <c r="H37" s="50"/>
    </row>
    <row r="38">
      <c r="D38" s="50"/>
      <c r="E38" s="50"/>
      <c r="F38" s="50"/>
      <c r="G38" s="50"/>
      <c r="H38" s="50"/>
    </row>
    <row r="39">
      <c r="D39" s="50"/>
      <c r="E39" s="50"/>
      <c r="F39" s="50"/>
      <c r="G39" s="50"/>
      <c r="H39" s="50"/>
    </row>
    <row r="40">
      <c r="D40" s="50"/>
      <c r="E40" s="50"/>
      <c r="F40" s="50"/>
      <c r="G40" s="50"/>
      <c r="H40" s="50"/>
    </row>
    <row r="41">
      <c r="D41" s="50"/>
      <c r="E41" s="50"/>
      <c r="F41" s="50"/>
      <c r="G41" s="50"/>
      <c r="H41" s="50"/>
    </row>
    <row r="42">
      <c r="D42" s="50"/>
      <c r="E42" s="50"/>
      <c r="F42" s="50"/>
      <c r="G42" s="50"/>
      <c r="H42" s="50"/>
    </row>
    <row r="43">
      <c r="D43" s="50"/>
      <c r="E43" s="50"/>
      <c r="F43" s="50"/>
      <c r="G43" s="50"/>
      <c r="H43" s="50"/>
    </row>
    <row r="44">
      <c r="D44" s="50"/>
      <c r="E44" s="50"/>
      <c r="F44" s="50"/>
      <c r="G44" s="50"/>
      <c r="H44" s="50"/>
    </row>
    <row r="45">
      <c r="D45" s="50"/>
      <c r="E45" s="50"/>
      <c r="F45" s="50"/>
      <c r="G45" s="50"/>
      <c r="H45" s="50"/>
    </row>
    <row r="46">
      <c r="D46" s="50"/>
      <c r="E46" s="50"/>
      <c r="F46" s="50"/>
      <c r="G46" s="50"/>
      <c r="H46" s="50"/>
    </row>
    <row r="47">
      <c r="D47" s="50"/>
      <c r="E47" s="50"/>
      <c r="F47" s="50"/>
      <c r="G47" s="50"/>
      <c r="H47" s="50"/>
    </row>
    <row r="48">
      <c r="D48" s="50"/>
      <c r="E48" s="50"/>
      <c r="F48" s="50"/>
      <c r="G48" s="50"/>
      <c r="H48" s="50"/>
    </row>
    <row r="49">
      <c r="D49" s="50"/>
      <c r="E49" s="50"/>
      <c r="F49" s="50"/>
      <c r="G49" s="50"/>
      <c r="H49" s="50"/>
    </row>
    <row r="50">
      <c r="D50" s="50"/>
      <c r="E50" s="50"/>
      <c r="F50" s="50"/>
      <c r="G50" s="50"/>
      <c r="H50" s="50"/>
    </row>
    <row r="51">
      <c r="D51" s="50"/>
      <c r="E51" s="50"/>
      <c r="F51" s="50"/>
      <c r="G51" s="50"/>
      <c r="H51" s="50"/>
    </row>
    <row r="52">
      <c r="D52" s="50"/>
      <c r="E52" s="50"/>
      <c r="F52" s="50"/>
      <c r="G52" s="50"/>
      <c r="H52" s="50"/>
    </row>
    <row r="53">
      <c r="D53" s="50"/>
      <c r="E53" s="50"/>
      <c r="F53" s="50"/>
      <c r="G53" s="50"/>
      <c r="H53" s="50"/>
    </row>
    <row r="54">
      <c r="D54" s="50"/>
      <c r="E54" s="50"/>
      <c r="F54" s="50"/>
      <c r="G54" s="50"/>
      <c r="H54" s="50"/>
    </row>
    <row r="55">
      <c r="D55" s="50"/>
      <c r="E55" s="50"/>
      <c r="F55" s="50"/>
      <c r="G55" s="50"/>
      <c r="H55" s="50"/>
    </row>
    <row r="56">
      <c r="D56" s="50"/>
      <c r="E56" s="50"/>
      <c r="F56" s="50"/>
      <c r="G56" s="50"/>
      <c r="H56" s="50"/>
    </row>
    <row r="57">
      <c r="D57" s="50"/>
      <c r="E57" s="50"/>
      <c r="F57" s="50"/>
      <c r="G57" s="50"/>
      <c r="H57" s="50"/>
    </row>
    <row r="58">
      <c r="D58" s="50"/>
      <c r="E58" s="50"/>
      <c r="F58" s="50"/>
      <c r="G58" s="50"/>
      <c r="H58" s="50"/>
    </row>
    <row r="59">
      <c r="D59" s="50"/>
      <c r="E59" s="50"/>
      <c r="F59" s="50"/>
      <c r="G59" s="50"/>
      <c r="H59" s="50"/>
    </row>
    <row r="60">
      <c r="D60" s="50"/>
      <c r="E60" s="50"/>
      <c r="F60" s="50"/>
      <c r="G60" s="50"/>
      <c r="H60" s="50"/>
    </row>
    <row r="61">
      <c r="D61" s="50"/>
      <c r="E61" s="50"/>
      <c r="F61" s="50"/>
      <c r="G61" s="50"/>
      <c r="H61" s="50"/>
    </row>
    <row r="62">
      <c r="D62" s="50"/>
      <c r="E62" s="50"/>
      <c r="F62" s="50"/>
      <c r="G62" s="50"/>
      <c r="H62" s="50"/>
    </row>
    <row r="63">
      <c r="D63" s="50"/>
      <c r="E63" s="50"/>
      <c r="F63" s="50"/>
      <c r="G63" s="50"/>
      <c r="H63" s="50"/>
    </row>
    <row r="64">
      <c r="D64" s="50"/>
      <c r="E64" s="50"/>
      <c r="F64" s="50"/>
      <c r="G64" s="50"/>
      <c r="H64" s="50"/>
    </row>
    <row r="65">
      <c r="D65" s="50"/>
      <c r="E65" s="50"/>
      <c r="F65" s="50"/>
      <c r="G65" s="50"/>
      <c r="H65" s="50"/>
    </row>
    <row r="66">
      <c r="D66" s="50"/>
      <c r="E66" s="50"/>
      <c r="F66" s="50"/>
      <c r="G66" s="50"/>
      <c r="H66" s="50"/>
    </row>
    <row r="67">
      <c r="D67" s="50"/>
      <c r="E67" s="50"/>
      <c r="F67" s="50"/>
      <c r="G67" s="50"/>
      <c r="H67" s="50"/>
    </row>
    <row r="68">
      <c r="D68" s="50"/>
      <c r="E68" s="50"/>
      <c r="F68" s="50"/>
      <c r="G68" s="50"/>
      <c r="H68" s="50"/>
    </row>
    <row r="69">
      <c r="D69" s="50"/>
      <c r="E69" s="50"/>
      <c r="F69" s="50"/>
      <c r="G69" s="50"/>
      <c r="H69" s="50"/>
    </row>
    <row r="70">
      <c r="D70" s="50"/>
      <c r="E70" s="50"/>
      <c r="F70" s="50"/>
      <c r="G70" s="50"/>
      <c r="H70" s="50"/>
    </row>
    <row r="71">
      <c r="D71" s="50"/>
      <c r="E71" s="50"/>
      <c r="F71" s="50"/>
      <c r="G71" s="50"/>
      <c r="H71" s="50"/>
    </row>
    <row r="72">
      <c r="D72" s="50"/>
      <c r="E72" s="50"/>
      <c r="F72" s="50"/>
      <c r="G72" s="50"/>
      <c r="H72" s="50"/>
    </row>
    <row r="73">
      <c r="D73" s="50"/>
      <c r="E73" s="50"/>
      <c r="F73" s="50"/>
      <c r="G73" s="50"/>
      <c r="H73" s="50"/>
    </row>
    <row r="74">
      <c r="D74" s="50"/>
      <c r="E74" s="50"/>
      <c r="F74" s="50"/>
      <c r="G74" s="50"/>
      <c r="H74" s="50"/>
    </row>
    <row r="75">
      <c r="D75" s="50"/>
      <c r="E75" s="50"/>
      <c r="F75" s="50"/>
      <c r="G75" s="50"/>
      <c r="H75" s="50"/>
    </row>
    <row r="76">
      <c r="D76" s="50"/>
      <c r="E76" s="50"/>
      <c r="F76" s="50"/>
      <c r="G76" s="50"/>
      <c r="H76" s="50"/>
    </row>
    <row r="77">
      <c r="D77" s="50"/>
      <c r="E77" s="50"/>
      <c r="F77" s="50"/>
      <c r="G77" s="50"/>
      <c r="H77" s="50"/>
    </row>
    <row r="78">
      <c r="D78" s="50"/>
      <c r="E78" s="50"/>
      <c r="F78" s="50"/>
      <c r="G78" s="50"/>
      <c r="H78" s="50"/>
    </row>
    <row r="79">
      <c r="D79" s="50"/>
      <c r="E79" s="50"/>
      <c r="F79" s="50"/>
      <c r="G79" s="50"/>
      <c r="H79" s="50"/>
    </row>
    <row r="80">
      <c r="D80" s="50"/>
      <c r="E80" s="50"/>
      <c r="F80" s="50"/>
      <c r="G80" s="50"/>
      <c r="H80" s="50"/>
    </row>
    <row r="81">
      <c r="D81" s="50"/>
      <c r="E81" s="50"/>
      <c r="F81" s="50"/>
      <c r="G81" s="50"/>
      <c r="H81" s="50"/>
    </row>
    <row r="82">
      <c r="D82" s="50"/>
      <c r="E82" s="50"/>
      <c r="F82" s="50"/>
      <c r="G82" s="50"/>
      <c r="H82" s="50"/>
    </row>
    <row r="83">
      <c r="D83" s="50"/>
      <c r="E83" s="50"/>
      <c r="F83" s="50"/>
      <c r="G83" s="50"/>
      <c r="H83" s="50"/>
    </row>
    <row r="84">
      <c r="D84" s="50"/>
      <c r="E84" s="50"/>
      <c r="F84" s="50"/>
      <c r="G84" s="50"/>
      <c r="H84" s="50"/>
    </row>
    <row r="85">
      <c r="D85" s="50"/>
      <c r="E85" s="50"/>
      <c r="F85" s="50"/>
      <c r="G85" s="50"/>
      <c r="H85" s="50"/>
    </row>
    <row r="86">
      <c r="D86" s="50"/>
      <c r="E86" s="50"/>
      <c r="F86" s="50"/>
      <c r="G86" s="50"/>
      <c r="H86" s="50"/>
    </row>
    <row r="87">
      <c r="D87" s="50"/>
      <c r="E87" s="50"/>
      <c r="F87" s="50"/>
      <c r="G87" s="50"/>
      <c r="H87" s="50"/>
    </row>
    <row r="88">
      <c r="D88" s="50"/>
      <c r="E88" s="50"/>
      <c r="F88" s="50"/>
      <c r="G88" s="50"/>
      <c r="H88" s="50"/>
    </row>
    <row r="89">
      <c r="D89" s="50"/>
      <c r="E89" s="50"/>
      <c r="F89" s="50"/>
      <c r="G89" s="50"/>
      <c r="H89" s="50"/>
    </row>
    <row r="90">
      <c r="D90" s="50"/>
      <c r="E90" s="50"/>
      <c r="F90" s="50"/>
      <c r="G90" s="50"/>
      <c r="H90" s="50"/>
    </row>
    <row r="91">
      <c r="D91" s="50"/>
      <c r="E91" s="50"/>
      <c r="F91" s="50"/>
      <c r="G91" s="50"/>
      <c r="H91" s="50"/>
    </row>
    <row r="92">
      <c r="D92" s="50"/>
      <c r="E92" s="50"/>
      <c r="F92" s="50"/>
      <c r="G92" s="50"/>
      <c r="H92" s="50"/>
    </row>
    <row r="93">
      <c r="D93" s="50"/>
      <c r="E93" s="50"/>
      <c r="F93" s="50"/>
      <c r="G93" s="50"/>
      <c r="H93" s="50"/>
    </row>
    <row r="94">
      <c r="D94" s="50"/>
      <c r="E94" s="50"/>
      <c r="F94" s="50"/>
      <c r="G94" s="50"/>
      <c r="H94" s="50"/>
    </row>
    <row r="95">
      <c r="D95" s="50"/>
      <c r="E95" s="50"/>
      <c r="F95" s="50"/>
      <c r="G95" s="50"/>
      <c r="H95" s="50"/>
    </row>
    <row r="96">
      <c r="D96" s="50"/>
      <c r="E96" s="50"/>
      <c r="F96" s="50"/>
      <c r="G96" s="50"/>
      <c r="H96" s="50"/>
    </row>
    <row r="97">
      <c r="D97" s="50"/>
      <c r="E97" s="50"/>
      <c r="F97" s="50"/>
      <c r="G97" s="50"/>
      <c r="H97" s="50"/>
    </row>
    <row r="98">
      <c r="D98" s="50"/>
      <c r="E98" s="50"/>
      <c r="F98" s="50"/>
      <c r="G98" s="50"/>
      <c r="H98" s="50"/>
    </row>
    <row r="99">
      <c r="D99" s="50"/>
      <c r="E99" s="50"/>
      <c r="F99" s="50"/>
      <c r="G99" s="50"/>
      <c r="H99" s="50"/>
    </row>
    <row r="100">
      <c r="D100" s="50"/>
      <c r="E100" s="50"/>
      <c r="F100" s="50"/>
      <c r="G100" s="50"/>
      <c r="H100" s="50"/>
    </row>
    <row r="101">
      <c r="D101" s="50"/>
      <c r="E101" s="50"/>
      <c r="F101" s="50"/>
      <c r="G101" s="50"/>
      <c r="H101" s="50"/>
    </row>
    <row r="102">
      <c r="D102" s="50"/>
      <c r="E102" s="50"/>
      <c r="F102" s="50"/>
      <c r="G102" s="50"/>
      <c r="H102" s="50"/>
    </row>
    <row r="103">
      <c r="D103" s="50"/>
      <c r="E103" s="50"/>
      <c r="F103" s="50"/>
      <c r="G103" s="50"/>
      <c r="H103" s="50"/>
    </row>
    <row r="104">
      <c r="D104" s="50"/>
      <c r="E104" s="50"/>
      <c r="F104" s="50"/>
      <c r="G104" s="50"/>
      <c r="H104" s="50"/>
    </row>
    <row r="105">
      <c r="D105" s="50"/>
      <c r="E105" s="50"/>
      <c r="F105" s="50"/>
      <c r="G105" s="50"/>
      <c r="H105" s="50"/>
    </row>
    <row r="106">
      <c r="D106" s="50"/>
      <c r="E106" s="50"/>
      <c r="F106" s="50"/>
      <c r="G106" s="50"/>
      <c r="H106" s="50"/>
    </row>
    <row r="107">
      <c r="D107" s="50"/>
      <c r="E107" s="50"/>
      <c r="F107" s="50"/>
      <c r="G107" s="50"/>
      <c r="H107" s="50"/>
    </row>
    <row r="108">
      <c r="D108" s="50"/>
      <c r="E108" s="50"/>
      <c r="F108" s="50"/>
      <c r="G108" s="50"/>
      <c r="H108" s="50"/>
    </row>
    <row r="109">
      <c r="D109" s="50"/>
      <c r="E109" s="50"/>
      <c r="F109" s="50"/>
      <c r="G109" s="50"/>
      <c r="H109" s="50"/>
    </row>
    <row r="110">
      <c r="D110" s="50"/>
      <c r="E110" s="50"/>
      <c r="F110" s="50"/>
      <c r="G110" s="50"/>
      <c r="H110" s="50"/>
    </row>
    <row r="111">
      <c r="D111" s="50"/>
      <c r="E111" s="50"/>
      <c r="F111" s="50"/>
      <c r="G111" s="50"/>
      <c r="H111" s="50"/>
    </row>
    <row r="112">
      <c r="D112" s="50"/>
      <c r="E112" s="50"/>
      <c r="F112" s="50"/>
      <c r="G112" s="50"/>
      <c r="H112" s="50"/>
    </row>
    <row r="113">
      <c r="D113" s="50"/>
      <c r="E113" s="50"/>
      <c r="F113" s="50"/>
      <c r="G113" s="50"/>
      <c r="H113" s="50"/>
    </row>
    <row r="114">
      <c r="D114" s="50"/>
      <c r="E114" s="50"/>
      <c r="F114" s="50"/>
      <c r="G114" s="50"/>
      <c r="H114" s="50"/>
    </row>
    <row r="115">
      <c r="D115" s="50"/>
      <c r="E115" s="50"/>
      <c r="F115" s="50"/>
      <c r="G115" s="50"/>
      <c r="H115" s="50"/>
    </row>
    <row r="116">
      <c r="D116" s="50"/>
      <c r="E116" s="50"/>
      <c r="F116" s="50"/>
      <c r="G116" s="50"/>
      <c r="H116" s="50"/>
    </row>
    <row r="117">
      <c r="D117" s="50"/>
      <c r="E117" s="50"/>
      <c r="F117" s="50"/>
      <c r="G117" s="50"/>
      <c r="H117" s="50"/>
    </row>
    <row r="118">
      <c r="D118" s="50"/>
      <c r="E118" s="50"/>
      <c r="F118" s="50"/>
      <c r="G118" s="50"/>
      <c r="H118" s="50"/>
    </row>
    <row r="119">
      <c r="D119" s="50"/>
      <c r="E119" s="50"/>
      <c r="F119" s="50"/>
      <c r="G119" s="50"/>
      <c r="H119" s="50"/>
    </row>
    <row r="120">
      <c r="D120" s="50"/>
      <c r="E120" s="50"/>
      <c r="F120" s="50"/>
      <c r="G120" s="50"/>
      <c r="H120" s="50"/>
    </row>
    <row r="121">
      <c r="D121" s="50"/>
      <c r="E121" s="50"/>
      <c r="F121" s="50"/>
      <c r="G121" s="50"/>
      <c r="H121" s="50"/>
    </row>
    <row r="122">
      <c r="D122" s="50"/>
      <c r="E122" s="50"/>
      <c r="F122" s="50"/>
      <c r="G122" s="50"/>
      <c r="H122" s="50"/>
    </row>
    <row r="123">
      <c r="D123" s="50"/>
      <c r="E123" s="50"/>
      <c r="F123" s="50"/>
      <c r="G123" s="50"/>
      <c r="H123" s="50"/>
    </row>
    <row r="124">
      <c r="D124" s="50"/>
      <c r="E124" s="50"/>
      <c r="F124" s="50"/>
      <c r="G124" s="50"/>
      <c r="H124" s="50"/>
    </row>
    <row r="125">
      <c r="D125" s="50"/>
      <c r="E125" s="50"/>
      <c r="F125" s="50"/>
      <c r="G125" s="50"/>
      <c r="H125" s="50"/>
    </row>
    <row r="126">
      <c r="D126" s="50"/>
      <c r="E126" s="50"/>
      <c r="F126" s="50"/>
      <c r="G126" s="50"/>
      <c r="H126" s="50"/>
    </row>
    <row r="127">
      <c r="D127" s="50"/>
      <c r="E127" s="50"/>
      <c r="F127" s="50"/>
      <c r="G127" s="50"/>
      <c r="H127" s="50"/>
    </row>
    <row r="128">
      <c r="D128" s="50"/>
      <c r="E128" s="50"/>
      <c r="F128" s="50"/>
      <c r="G128" s="50"/>
      <c r="H128" s="50"/>
    </row>
    <row r="129">
      <c r="D129" s="50"/>
      <c r="E129" s="50"/>
      <c r="F129" s="50"/>
      <c r="G129" s="50"/>
      <c r="H129" s="50"/>
    </row>
    <row r="130">
      <c r="D130" s="50"/>
      <c r="E130" s="50"/>
      <c r="F130" s="50"/>
      <c r="G130" s="50"/>
      <c r="H130" s="50"/>
    </row>
    <row r="131">
      <c r="D131" s="50"/>
      <c r="E131" s="50"/>
      <c r="F131" s="50"/>
      <c r="G131" s="50"/>
      <c r="H131" s="50"/>
    </row>
    <row r="132">
      <c r="D132" s="50"/>
      <c r="E132" s="50"/>
      <c r="F132" s="50"/>
      <c r="G132" s="50"/>
      <c r="H132" s="50"/>
    </row>
    <row r="133">
      <c r="D133" s="50"/>
      <c r="E133" s="50"/>
      <c r="F133" s="50"/>
      <c r="G133" s="50"/>
      <c r="H133" s="50"/>
    </row>
    <row r="134">
      <c r="D134" s="50"/>
      <c r="E134" s="50"/>
      <c r="F134" s="50"/>
      <c r="G134" s="50"/>
      <c r="H134" s="50"/>
    </row>
    <row r="135">
      <c r="D135" s="50"/>
      <c r="E135" s="50"/>
      <c r="F135" s="50"/>
      <c r="G135" s="50"/>
      <c r="H135" s="50"/>
    </row>
    <row r="136">
      <c r="D136" s="50"/>
      <c r="E136" s="50"/>
      <c r="F136" s="50"/>
      <c r="G136" s="50"/>
      <c r="H136" s="50"/>
    </row>
    <row r="137">
      <c r="D137" s="50"/>
      <c r="E137" s="50"/>
      <c r="F137" s="50"/>
      <c r="G137" s="50"/>
      <c r="H137" s="50"/>
    </row>
    <row r="138">
      <c r="D138" s="50"/>
      <c r="E138" s="50"/>
      <c r="F138" s="50"/>
      <c r="G138" s="50"/>
      <c r="H138" s="50"/>
    </row>
    <row r="139">
      <c r="D139" s="50"/>
      <c r="E139" s="50"/>
      <c r="F139" s="50"/>
      <c r="G139" s="50"/>
      <c r="H139" s="50"/>
    </row>
    <row r="140">
      <c r="D140" s="50"/>
      <c r="E140" s="50"/>
      <c r="F140" s="50"/>
      <c r="G140" s="50"/>
      <c r="H140" s="50"/>
    </row>
    <row r="141">
      <c r="D141" s="50"/>
      <c r="E141" s="50"/>
      <c r="F141" s="50"/>
      <c r="G141" s="50"/>
      <c r="H141" s="50"/>
    </row>
    <row r="142">
      <c r="D142" s="50"/>
      <c r="E142" s="50"/>
      <c r="F142" s="50"/>
      <c r="G142" s="50"/>
      <c r="H142" s="50"/>
    </row>
    <row r="143">
      <c r="D143" s="50"/>
      <c r="E143" s="50"/>
      <c r="F143" s="50"/>
      <c r="G143" s="50"/>
      <c r="H143" s="50"/>
    </row>
    <row r="144">
      <c r="D144" s="50"/>
      <c r="E144" s="50"/>
      <c r="F144" s="50"/>
      <c r="G144" s="50"/>
      <c r="H144" s="50"/>
    </row>
    <row r="145">
      <c r="D145" s="50"/>
      <c r="E145" s="50"/>
      <c r="F145" s="50"/>
      <c r="G145" s="50"/>
      <c r="H145" s="50"/>
    </row>
    <row r="146">
      <c r="D146" s="50"/>
      <c r="E146" s="50"/>
      <c r="F146" s="50"/>
      <c r="G146" s="50"/>
      <c r="H146" s="50"/>
    </row>
    <row r="147">
      <c r="D147" s="50"/>
      <c r="E147" s="50"/>
      <c r="F147" s="50"/>
      <c r="G147" s="50"/>
      <c r="H147" s="50"/>
    </row>
    <row r="148">
      <c r="D148" s="50"/>
      <c r="E148" s="50"/>
      <c r="F148" s="50"/>
      <c r="G148" s="50"/>
      <c r="H148" s="50"/>
    </row>
    <row r="149">
      <c r="D149" s="50"/>
      <c r="E149" s="50"/>
      <c r="F149" s="50"/>
      <c r="G149" s="50"/>
      <c r="H149" s="50"/>
    </row>
    <row r="150">
      <c r="D150" s="50"/>
      <c r="E150" s="50"/>
      <c r="F150" s="50"/>
      <c r="G150" s="50"/>
      <c r="H150" s="50"/>
    </row>
    <row r="151">
      <c r="D151" s="50"/>
      <c r="E151" s="50"/>
      <c r="F151" s="50"/>
      <c r="G151" s="50"/>
      <c r="H151" s="50"/>
    </row>
    <row r="152">
      <c r="D152" s="50"/>
      <c r="E152" s="50"/>
      <c r="F152" s="50"/>
      <c r="G152" s="50"/>
      <c r="H152" s="50"/>
    </row>
    <row r="153">
      <c r="D153" s="50"/>
      <c r="E153" s="50"/>
      <c r="F153" s="50"/>
      <c r="G153" s="50"/>
      <c r="H153" s="50"/>
    </row>
    <row r="154">
      <c r="D154" s="50"/>
      <c r="E154" s="50"/>
      <c r="F154" s="50"/>
      <c r="G154" s="50"/>
      <c r="H154" s="50"/>
    </row>
    <row r="155">
      <c r="D155" s="50"/>
      <c r="E155" s="50"/>
      <c r="F155" s="50"/>
      <c r="G155" s="50"/>
      <c r="H155" s="50"/>
    </row>
    <row r="156">
      <c r="D156" s="50"/>
      <c r="E156" s="50"/>
      <c r="F156" s="50"/>
      <c r="G156" s="50"/>
      <c r="H156" s="50"/>
    </row>
    <row r="157">
      <c r="D157" s="50"/>
      <c r="E157" s="50"/>
      <c r="F157" s="50"/>
      <c r="G157" s="50"/>
      <c r="H157" s="50"/>
    </row>
    <row r="158">
      <c r="D158" s="50"/>
      <c r="E158" s="50"/>
      <c r="F158" s="50"/>
      <c r="G158" s="50"/>
      <c r="H158" s="50"/>
    </row>
    <row r="159">
      <c r="D159" s="50"/>
      <c r="E159" s="50"/>
      <c r="F159" s="50"/>
      <c r="G159" s="50"/>
      <c r="H159" s="50"/>
    </row>
    <row r="160">
      <c r="D160" s="50"/>
      <c r="E160" s="50"/>
      <c r="F160" s="50"/>
      <c r="G160" s="50"/>
      <c r="H160" s="50"/>
    </row>
    <row r="161">
      <c r="D161" s="50"/>
      <c r="E161" s="50"/>
      <c r="F161" s="50"/>
      <c r="G161" s="50"/>
      <c r="H161" s="50"/>
    </row>
    <row r="162">
      <c r="D162" s="50"/>
      <c r="E162" s="50"/>
      <c r="F162" s="50"/>
      <c r="G162" s="50"/>
      <c r="H162" s="50"/>
    </row>
    <row r="163">
      <c r="D163" s="50"/>
      <c r="E163" s="50"/>
      <c r="F163" s="50"/>
      <c r="G163" s="50"/>
      <c r="H163" s="50"/>
    </row>
    <row r="164">
      <c r="D164" s="50"/>
      <c r="E164" s="50"/>
      <c r="F164" s="50"/>
      <c r="G164" s="50"/>
      <c r="H164" s="50"/>
    </row>
    <row r="165">
      <c r="D165" s="50"/>
      <c r="E165" s="50"/>
      <c r="F165" s="50"/>
      <c r="G165" s="50"/>
      <c r="H165" s="50"/>
    </row>
    <row r="166">
      <c r="D166" s="50"/>
      <c r="E166" s="50"/>
      <c r="F166" s="50"/>
      <c r="G166" s="50"/>
      <c r="H166" s="50"/>
    </row>
    <row r="167">
      <c r="D167" s="50"/>
      <c r="E167" s="50"/>
      <c r="F167" s="50"/>
      <c r="G167" s="50"/>
      <c r="H167" s="50"/>
    </row>
    <row r="168">
      <c r="D168" s="50"/>
      <c r="E168" s="50"/>
      <c r="F168" s="50"/>
      <c r="G168" s="50"/>
      <c r="H168" s="50"/>
    </row>
    <row r="169">
      <c r="D169" s="50"/>
      <c r="E169" s="50"/>
      <c r="F169" s="50"/>
      <c r="G169" s="50"/>
      <c r="H169" s="50"/>
    </row>
    <row r="170">
      <c r="D170" s="50"/>
      <c r="E170" s="50"/>
      <c r="F170" s="50"/>
      <c r="G170" s="50"/>
      <c r="H170" s="50"/>
    </row>
    <row r="171">
      <c r="D171" s="50"/>
      <c r="E171" s="50"/>
      <c r="F171" s="50"/>
      <c r="G171" s="50"/>
      <c r="H171" s="50"/>
    </row>
    <row r="172">
      <c r="D172" s="50"/>
      <c r="E172" s="50"/>
      <c r="F172" s="50"/>
      <c r="G172" s="50"/>
      <c r="H172" s="50"/>
    </row>
    <row r="173">
      <c r="D173" s="50"/>
      <c r="E173" s="50"/>
      <c r="F173" s="50"/>
      <c r="G173" s="50"/>
      <c r="H173" s="50"/>
    </row>
    <row r="174">
      <c r="D174" s="50"/>
      <c r="E174" s="50"/>
      <c r="F174" s="50"/>
      <c r="G174" s="50"/>
      <c r="H174" s="50"/>
    </row>
    <row r="175">
      <c r="D175" s="50"/>
      <c r="E175" s="50"/>
      <c r="F175" s="50"/>
      <c r="G175" s="50"/>
      <c r="H175" s="50"/>
    </row>
    <row r="176">
      <c r="D176" s="50"/>
      <c r="E176" s="50"/>
      <c r="F176" s="50"/>
      <c r="G176" s="50"/>
      <c r="H176" s="50"/>
    </row>
    <row r="177">
      <c r="D177" s="50"/>
      <c r="E177" s="50"/>
      <c r="F177" s="50"/>
      <c r="G177" s="50"/>
      <c r="H177" s="50"/>
    </row>
    <row r="178">
      <c r="D178" s="50"/>
      <c r="E178" s="50"/>
      <c r="F178" s="50"/>
      <c r="G178" s="50"/>
      <c r="H178" s="50"/>
    </row>
    <row r="179">
      <c r="D179" s="50"/>
      <c r="E179" s="50"/>
      <c r="F179" s="50"/>
      <c r="G179" s="50"/>
      <c r="H179" s="50"/>
    </row>
    <row r="180">
      <c r="D180" s="50"/>
      <c r="E180" s="50"/>
      <c r="F180" s="50"/>
      <c r="G180" s="50"/>
      <c r="H180" s="50"/>
    </row>
    <row r="181">
      <c r="D181" s="50"/>
      <c r="E181" s="50"/>
      <c r="F181" s="50"/>
      <c r="G181" s="50"/>
      <c r="H181" s="50"/>
    </row>
    <row r="182">
      <c r="D182" s="50"/>
      <c r="E182" s="50"/>
      <c r="F182" s="50"/>
      <c r="G182" s="50"/>
      <c r="H182" s="50"/>
    </row>
    <row r="183">
      <c r="D183" s="50"/>
      <c r="E183" s="50"/>
      <c r="F183" s="50"/>
      <c r="G183" s="50"/>
      <c r="H183" s="50"/>
    </row>
    <row r="184">
      <c r="D184" s="50"/>
      <c r="E184" s="50"/>
      <c r="F184" s="50"/>
      <c r="G184" s="50"/>
      <c r="H184" s="50"/>
    </row>
    <row r="185">
      <c r="D185" s="50"/>
      <c r="E185" s="50"/>
      <c r="F185" s="50"/>
      <c r="G185" s="50"/>
      <c r="H185" s="50"/>
    </row>
    <row r="186">
      <c r="D186" s="50"/>
      <c r="E186" s="50"/>
      <c r="F186" s="50"/>
      <c r="G186" s="50"/>
      <c r="H186" s="50"/>
    </row>
    <row r="187">
      <c r="D187" s="50"/>
      <c r="E187" s="50"/>
      <c r="F187" s="50"/>
      <c r="G187" s="50"/>
      <c r="H187" s="50"/>
    </row>
    <row r="188">
      <c r="D188" s="50"/>
      <c r="E188" s="50"/>
      <c r="F188" s="50"/>
      <c r="G188" s="50"/>
      <c r="H188" s="50"/>
    </row>
    <row r="189">
      <c r="D189" s="50"/>
      <c r="E189" s="50"/>
      <c r="F189" s="50"/>
      <c r="G189" s="50"/>
      <c r="H189" s="50"/>
    </row>
    <row r="190">
      <c r="D190" s="50"/>
      <c r="E190" s="50"/>
      <c r="F190" s="50"/>
      <c r="G190" s="50"/>
      <c r="H190" s="50"/>
    </row>
    <row r="191">
      <c r="D191" s="50"/>
      <c r="E191" s="50"/>
      <c r="F191" s="50"/>
      <c r="G191" s="50"/>
      <c r="H191" s="50"/>
    </row>
    <row r="192">
      <c r="D192" s="50"/>
      <c r="E192" s="50"/>
      <c r="F192" s="50"/>
      <c r="G192" s="50"/>
      <c r="H192" s="50"/>
    </row>
    <row r="193">
      <c r="D193" s="50"/>
      <c r="E193" s="50"/>
      <c r="F193" s="50"/>
      <c r="G193" s="50"/>
      <c r="H193" s="50"/>
    </row>
    <row r="194">
      <c r="D194" s="50"/>
      <c r="E194" s="50"/>
      <c r="F194" s="50"/>
      <c r="G194" s="50"/>
      <c r="H194" s="50"/>
    </row>
    <row r="195">
      <c r="D195" s="50"/>
      <c r="E195" s="50"/>
      <c r="F195" s="50"/>
      <c r="G195" s="50"/>
      <c r="H195" s="50"/>
    </row>
    <row r="196">
      <c r="D196" s="50"/>
      <c r="E196" s="50"/>
      <c r="F196" s="50"/>
      <c r="G196" s="50"/>
      <c r="H196" s="50"/>
    </row>
    <row r="197">
      <c r="D197" s="50"/>
      <c r="E197" s="50"/>
      <c r="F197" s="50"/>
      <c r="G197" s="50"/>
      <c r="H197" s="50"/>
    </row>
    <row r="198">
      <c r="D198" s="50"/>
      <c r="E198" s="50"/>
      <c r="F198" s="50"/>
      <c r="G198" s="50"/>
      <c r="H198" s="50"/>
    </row>
    <row r="199">
      <c r="D199" s="50"/>
      <c r="E199" s="50"/>
      <c r="F199" s="50"/>
      <c r="G199" s="50"/>
      <c r="H199" s="50"/>
    </row>
    <row r="200">
      <c r="D200" s="50"/>
      <c r="E200" s="50"/>
      <c r="F200" s="50"/>
      <c r="G200" s="50"/>
      <c r="H200" s="50"/>
    </row>
    <row r="201">
      <c r="D201" s="50"/>
      <c r="E201" s="50"/>
      <c r="F201" s="50"/>
      <c r="G201" s="50"/>
      <c r="H201" s="50"/>
    </row>
    <row r="202">
      <c r="D202" s="50"/>
      <c r="E202" s="50"/>
      <c r="F202" s="50"/>
      <c r="G202" s="50"/>
      <c r="H202" s="50"/>
    </row>
    <row r="203">
      <c r="D203" s="50"/>
      <c r="E203" s="50"/>
      <c r="F203" s="50"/>
      <c r="G203" s="50"/>
      <c r="H203" s="50"/>
    </row>
    <row r="204">
      <c r="D204" s="50"/>
      <c r="E204" s="50"/>
      <c r="F204" s="50"/>
      <c r="G204" s="50"/>
      <c r="H204" s="50"/>
    </row>
    <row r="205">
      <c r="D205" s="50"/>
      <c r="E205" s="50"/>
      <c r="F205" s="50"/>
      <c r="G205" s="50"/>
      <c r="H205" s="50"/>
    </row>
    <row r="206">
      <c r="D206" s="50"/>
      <c r="E206" s="50"/>
      <c r="F206" s="50"/>
      <c r="G206" s="50"/>
      <c r="H206" s="50"/>
    </row>
    <row r="207">
      <c r="D207" s="50"/>
      <c r="E207" s="50"/>
      <c r="F207" s="50"/>
      <c r="G207" s="50"/>
      <c r="H207" s="50"/>
    </row>
    <row r="208">
      <c r="D208" s="50"/>
      <c r="E208" s="50"/>
      <c r="F208" s="50"/>
      <c r="G208" s="50"/>
      <c r="H208" s="50"/>
    </row>
    <row r="209">
      <c r="D209" s="50"/>
      <c r="E209" s="50"/>
      <c r="F209" s="50"/>
      <c r="G209" s="50"/>
      <c r="H209" s="50"/>
    </row>
    <row r="210">
      <c r="D210" s="50"/>
      <c r="E210" s="50"/>
      <c r="F210" s="50"/>
      <c r="G210" s="50"/>
      <c r="H210" s="50"/>
    </row>
    <row r="211">
      <c r="D211" s="50"/>
      <c r="E211" s="50"/>
      <c r="F211" s="50"/>
      <c r="G211" s="50"/>
      <c r="H211" s="50"/>
    </row>
    <row r="212">
      <c r="D212" s="50"/>
      <c r="E212" s="50"/>
      <c r="F212" s="50"/>
      <c r="G212" s="50"/>
      <c r="H212" s="50"/>
    </row>
    <row r="213">
      <c r="D213" s="50"/>
      <c r="E213" s="50"/>
      <c r="F213" s="50"/>
      <c r="G213" s="50"/>
      <c r="H213" s="50"/>
    </row>
    <row r="214">
      <c r="D214" s="50"/>
      <c r="E214" s="50"/>
      <c r="F214" s="50"/>
      <c r="G214" s="50"/>
      <c r="H214" s="50"/>
    </row>
    <row r="215">
      <c r="D215" s="50"/>
      <c r="E215" s="50"/>
      <c r="F215" s="50"/>
      <c r="G215" s="50"/>
      <c r="H215" s="50"/>
    </row>
    <row r="216">
      <c r="D216" s="50"/>
      <c r="E216" s="50"/>
      <c r="F216" s="50"/>
      <c r="G216" s="50"/>
      <c r="H216" s="50"/>
    </row>
    <row r="217">
      <c r="D217" s="50"/>
      <c r="E217" s="50"/>
      <c r="F217" s="50"/>
      <c r="G217" s="50"/>
      <c r="H217" s="50"/>
    </row>
    <row r="218">
      <c r="D218" s="50"/>
      <c r="E218" s="50"/>
      <c r="F218" s="50"/>
      <c r="G218" s="50"/>
      <c r="H218" s="50"/>
    </row>
    <row r="219">
      <c r="D219" s="50"/>
      <c r="E219" s="50"/>
      <c r="F219" s="50"/>
      <c r="G219" s="50"/>
      <c r="H219" s="50"/>
    </row>
    <row r="220">
      <c r="D220" s="50"/>
      <c r="E220" s="50"/>
      <c r="F220" s="50"/>
      <c r="G220" s="50"/>
      <c r="H220" s="50"/>
    </row>
    <row r="221">
      <c r="D221" s="50"/>
      <c r="E221" s="50"/>
      <c r="F221" s="50"/>
      <c r="G221" s="50"/>
      <c r="H221" s="50"/>
    </row>
    <row r="222">
      <c r="D222" s="50"/>
      <c r="E222" s="50"/>
      <c r="F222" s="50"/>
      <c r="G222" s="50"/>
      <c r="H222" s="50"/>
    </row>
    <row r="223">
      <c r="D223" s="50"/>
      <c r="E223" s="50"/>
      <c r="F223" s="50"/>
      <c r="G223" s="50"/>
      <c r="H223" s="50"/>
    </row>
    <row r="224">
      <c r="D224" s="50"/>
      <c r="E224" s="50"/>
      <c r="F224" s="50"/>
      <c r="G224" s="50"/>
      <c r="H224" s="50"/>
    </row>
    <row r="225">
      <c r="D225" s="50"/>
      <c r="E225" s="50"/>
      <c r="F225" s="50"/>
      <c r="G225" s="50"/>
      <c r="H225" s="50"/>
    </row>
    <row r="226">
      <c r="D226" s="50"/>
      <c r="E226" s="50"/>
      <c r="F226" s="50"/>
      <c r="G226" s="50"/>
      <c r="H226" s="50"/>
    </row>
    <row r="227">
      <c r="D227" s="50"/>
      <c r="E227" s="50"/>
      <c r="F227" s="50"/>
      <c r="G227" s="50"/>
      <c r="H227" s="50"/>
    </row>
    <row r="228">
      <c r="D228" s="50"/>
      <c r="E228" s="50"/>
      <c r="F228" s="50"/>
      <c r="G228" s="50"/>
      <c r="H228" s="50"/>
    </row>
    <row r="229">
      <c r="D229" s="50"/>
      <c r="E229" s="50"/>
      <c r="F229" s="50"/>
      <c r="G229" s="50"/>
      <c r="H229" s="50"/>
    </row>
    <row r="230">
      <c r="D230" s="50"/>
      <c r="E230" s="50"/>
      <c r="F230" s="50"/>
      <c r="G230" s="50"/>
      <c r="H230" s="50"/>
    </row>
    <row r="231">
      <c r="D231" s="50"/>
      <c r="E231" s="50"/>
      <c r="F231" s="50"/>
      <c r="G231" s="50"/>
      <c r="H231" s="50"/>
    </row>
    <row r="232">
      <c r="D232" s="50"/>
      <c r="E232" s="50"/>
      <c r="F232" s="50"/>
      <c r="G232" s="50"/>
      <c r="H232" s="50"/>
    </row>
    <row r="233">
      <c r="D233" s="50"/>
      <c r="E233" s="50"/>
      <c r="F233" s="50"/>
      <c r="G233" s="50"/>
      <c r="H233" s="50"/>
    </row>
    <row r="234">
      <c r="D234" s="50"/>
      <c r="E234" s="50"/>
      <c r="F234" s="50"/>
      <c r="G234" s="50"/>
      <c r="H234" s="50"/>
    </row>
    <row r="235">
      <c r="D235" s="50"/>
      <c r="E235" s="50"/>
      <c r="F235" s="50"/>
      <c r="G235" s="50"/>
      <c r="H235" s="50"/>
    </row>
    <row r="236">
      <c r="D236" s="50"/>
      <c r="E236" s="50"/>
      <c r="F236" s="50"/>
      <c r="G236" s="50"/>
      <c r="H236" s="50"/>
    </row>
    <row r="237">
      <c r="D237" s="50"/>
      <c r="E237" s="50"/>
      <c r="F237" s="50"/>
      <c r="G237" s="50"/>
      <c r="H237" s="50"/>
    </row>
    <row r="238">
      <c r="D238" s="50"/>
      <c r="E238" s="50"/>
      <c r="F238" s="50"/>
      <c r="G238" s="50"/>
      <c r="H238" s="50"/>
    </row>
    <row r="239">
      <c r="D239" s="50"/>
      <c r="E239" s="50"/>
      <c r="F239" s="50"/>
      <c r="G239" s="50"/>
      <c r="H239" s="50"/>
    </row>
    <row r="240">
      <c r="D240" s="50"/>
      <c r="E240" s="50"/>
      <c r="F240" s="50"/>
      <c r="G240" s="50"/>
      <c r="H240" s="50"/>
    </row>
    <row r="241">
      <c r="D241" s="50"/>
      <c r="E241" s="50"/>
      <c r="F241" s="50"/>
      <c r="G241" s="50"/>
      <c r="H241" s="50"/>
    </row>
    <row r="242">
      <c r="D242" s="50"/>
      <c r="E242" s="50"/>
      <c r="F242" s="50"/>
      <c r="G242" s="50"/>
      <c r="H242" s="50"/>
    </row>
    <row r="243">
      <c r="D243" s="50"/>
      <c r="E243" s="50"/>
      <c r="F243" s="50"/>
      <c r="G243" s="50"/>
      <c r="H243" s="50"/>
    </row>
    <row r="244">
      <c r="D244" s="50"/>
      <c r="E244" s="50"/>
      <c r="F244" s="50"/>
      <c r="G244" s="50"/>
      <c r="H244" s="50"/>
    </row>
    <row r="245">
      <c r="D245" s="50"/>
      <c r="E245" s="50"/>
      <c r="F245" s="50"/>
      <c r="G245" s="50"/>
      <c r="H245" s="50"/>
    </row>
    <row r="246">
      <c r="D246" s="50"/>
      <c r="E246" s="50"/>
      <c r="F246" s="50"/>
      <c r="G246" s="50"/>
      <c r="H246" s="50"/>
    </row>
    <row r="247">
      <c r="D247" s="50"/>
      <c r="E247" s="50"/>
      <c r="F247" s="50"/>
      <c r="G247" s="50"/>
      <c r="H247" s="50"/>
    </row>
    <row r="248">
      <c r="D248" s="50"/>
      <c r="E248" s="50"/>
      <c r="F248" s="50"/>
      <c r="G248" s="50"/>
      <c r="H248" s="50"/>
    </row>
    <row r="249">
      <c r="D249" s="50"/>
      <c r="E249" s="50"/>
      <c r="F249" s="50"/>
      <c r="G249" s="50"/>
      <c r="H249" s="50"/>
    </row>
    <row r="250">
      <c r="D250" s="50"/>
      <c r="E250" s="50"/>
      <c r="F250" s="50"/>
      <c r="G250" s="50"/>
      <c r="H250" s="50"/>
    </row>
    <row r="251">
      <c r="D251" s="50"/>
      <c r="E251" s="50"/>
      <c r="F251" s="50"/>
      <c r="G251" s="50"/>
      <c r="H251" s="50"/>
    </row>
    <row r="252">
      <c r="D252" s="50"/>
      <c r="E252" s="50"/>
      <c r="F252" s="50"/>
      <c r="G252" s="50"/>
      <c r="H252" s="50"/>
    </row>
    <row r="253">
      <c r="D253" s="50"/>
      <c r="E253" s="50"/>
      <c r="F253" s="50"/>
      <c r="G253" s="50"/>
      <c r="H253" s="50"/>
    </row>
    <row r="254">
      <c r="D254" s="50"/>
      <c r="E254" s="50"/>
      <c r="F254" s="50"/>
      <c r="G254" s="50"/>
      <c r="H254" s="50"/>
    </row>
    <row r="255">
      <c r="D255" s="50"/>
      <c r="E255" s="50"/>
      <c r="F255" s="50"/>
      <c r="G255" s="50"/>
      <c r="H255" s="50"/>
    </row>
    <row r="256">
      <c r="D256" s="50"/>
      <c r="E256" s="50"/>
      <c r="F256" s="50"/>
      <c r="G256" s="50"/>
      <c r="H256" s="50"/>
    </row>
    <row r="257">
      <c r="D257" s="50"/>
      <c r="E257" s="50"/>
      <c r="F257" s="50"/>
      <c r="G257" s="50"/>
      <c r="H257" s="50"/>
    </row>
    <row r="258">
      <c r="D258" s="50"/>
      <c r="E258" s="50"/>
      <c r="F258" s="50"/>
      <c r="G258" s="50"/>
      <c r="H258" s="50"/>
    </row>
    <row r="259">
      <c r="D259" s="50"/>
      <c r="E259" s="50"/>
      <c r="F259" s="50"/>
      <c r="G259" s="50"/>
      <c r="H259" s="50"/>
    </row>
    <row r="260">
      <c r="D260" s="50"/>
      <c r="E260" s="50"/>
      <c r="F260" s="50"/>
      <c r="G260" s="50"/>
      <c r="H260" s="50"/>
    </row>
    <row r="261">
      <c r="D261" s="50"/>
      <c r="E261" s="50"/>
      <c r="F261" s="50"/>
      <c r="G261" s="50"/>
      <c r="H261" s="50"/>
    </row>
    <row r="262">
      <c r="D262" s="50"/>
      <c r="E262" s="50"/>
      <c r="F262" s="50"/>
      <c r="G262" s="50"/>
      <c r="H262" s="50"/>
    </row>
    <row r="263">
      <c r="D263" s="50"/>
      <c r="E263" s="50"/>
      <c r="F263" s="50"/>
      <c r="G263" s="50"/>
      <c r="H263" s="50"/>
    </row>
    <row r="264">
      <c r="D264" s="50"/>
      <c r="E264" s="50"/>
      <c r="F264" s="50"/>
      <c r="G264" s="50"/>
      <c r="H264" s="50"/>
    </row>
    <row r="265">
      <c r="D265" s="50"/>
      <c r="E265" s="50"/>
      <c r="F265" s="50"/>
      <c r="G265" s="50"/>
      <c r="H265" s="50"/>
    </row>
    <row r="266">
      <c r="D266" s="50"/>
      <c r="E266" s="50"/>
      <c r="F266" s="50"/>
      <c r="G266" s="50"/>
      <c r="H266" s="50"/>
    </row>
    <row r="267">
      <c r="D267" s="50"/>
      <c r="E267" s="50"/>
      <c r="F267" s="50"/>
      <c r="G267" s="50"/>
      <c r="H267" s="50"/>
    </row>
    <row r="268">
      <c r="D268" s="50"/>
      <c r="E268" s="50"/>
      <c r="F268" s="50"/>
      <c r="G268" s="50"/>
      <c r="H268" s="50"/>
    </row>
    <row r="269">
      <c r="D269" s="50"/>
      <c r="E269" s="50"/>
      <c r="F269" s="50"/>
      <c r="G269" s="50"/>
      <c r="H269" s="50"/>
    </row>
    <row r="270">
      <c r="D270" s="50"/>
      <c r="E270" s="50"/>
      <c r="F270" s="50"/>
      <c r="G270" s="50"/>
      <c r="H270" s="50"/>
    </row>
    <row r="271">
      <c r="D271" s="50"/>
      <c r="E271" s="50"/>
      <c r="F271" s="50"/>
      <c r="G271" s="50"/>
      <c r="H271" s="50"/>
    </row>
    <row r="272">
      <c r="D272" s="50"/>
      <c r="E272" s="50"/>
      <c r="F272" s="50"/>
      <c r="G272" s="50"/>
      <c r="H272" s="50"/>
    </row>
    <row r="273">
      <c r="D273" s="50"/>
      <c r="E273" s="50"/>
      <c r="F273" s="50"/>
      <c r="G273" s="50"/>
      <c r="H273" s="50"/>
    </row>
    <row r="274">
      <c r="D274" s="50"/>
      <c r="E274" s="50"/>
      <c r="F274" s="50"/>
      <c r="G274" s="50"/>
      <c r="H274" s="50"/>
    </row>
    <row r="275">
      <c r="D275" s="50"/>
      <c r="E275" s="50"/>
      <c r="F275" s="50"/>
      <c r="G275" s="50"/>
      <c r="H275" s="50"/>
    </row>
    <row r="276">
      <c r="D276" s="50"/>
      <c r="E276" s="50"/>
      <c r="F276" s="50"/>
      <c r="G276" s="50"/>
      <c r="H276" s="50"/>
    </row>
    <row r="277">
      <c r="D277" s="50"/>
      <c r="E277" s="50"/>
      <c r="F277" s="50"/>
      <c r="G277" s="50"/>
      <c r="H277" s="50"/>
    </row>
    <row r="278">
      <c r="D278" s="50"/>
      <c r="E278" s="50"/>
      <c r="F278" s="50"/>
      <c r="G278" s="50"/>
      <c r="H278" s="50"/>
    </row>
    <row r="279">
      <c r="D279" s="50"/>
      <c r="E279" s="50"/>
      <c r="F279" s="50"/>
      <c r="G279" s="50"/>
      <c r="H279" s="50"/>
    </row>
    <row r="280">
      <c r="D280" s="50"/>
      <c r="E280" s="50"/>
      <c r="F280" s="50"/>
      <c r="G280" s="50"/>
      <c r="H280" s="50"/>
    </row>
    <row r="281">
      <c r="D281" s="50"/>
      <c r="E281" s="50"/>
      <c r="F281" s="50"/>
      <c r="G281" s="50"/>
      <c r="H281" s="50"/>
    </row>
    <row r="282">
      <c r="D282" s="50"/>
      <c r="E282" s="50"/>
      <c r="F282" s="50"/>
      <c r="G282" s="50"/>
      <c r="H282" s="50"/>
    </row>
    <row r="283">
      <c r="D283" s="50"/>
      <c r="E283" s="50"/>
      <c r="F283" s="50"/>
      <c r="G283" s="50"/>
      <c r="H283" s="50"/>
    </row>
    <row r="284">
      <c r="D284" s="50"/>
      <c r="E284" s="50"/>
      <c r="F284" s="50"/>
      <c r="G284" s="50"/>
      <c r="H284" s="50"/>
    </row>
    <row r="285">
      <c r="D285" s="50"/>
      <c r="E285" s="50"/>
      <c r="F285" s="50"/>
      <c r="G285" s="50"/>
      <c r="H285" s="50"/>
    </row>
    <row r="286">
      <c r="D286" s="50"/>
      <c r="E286" s="50"/>
      <c r="F286" s="50"/>
      <c r="G286" s="50"/>
      <c r="H286" s="50"/>
    </row>
    <row r="287">
      <c r="D287" s="50"/>
      <c r="E287" s="50"/>
      <c r="F287" s="50"/>
      <c r="G287" s="50"/>
      <c r="H287" s="50"/>
    </row>
    <row r="288">
      <c r="D288" s="50"/>
      <c r="E288" s="50"/>
      <c r="F288" s="50"/>
      <c r="G288" s="50"/>
      <c r="H288" s="50"/>
    </row>
    <row r="289">
      <c r="D289" s="50"/>
      <c r="E289" s="50"/>
      <c r="F289" s="50"/>
      <c r="G289" s="50"/>
      <c r="H289" s="50"/>
    </row>
    <row r="290">
      <c r="D290" s="50"/>
      <c r="E290" s="50"/>
      <c r="F290" s="50"/>
      <c r="G290" s="50"/>
      <c r="H290" s="50"/>
    </row>
    <row r="291">
      <c r="D291" s="50"/>
      <c r="E291" s="50"/>
      <c r="F291" s="50"/>
      <c r="G291" s="50"/>
      <c r="H291" s="50"/>
    </row>
    <row r="292">
      <c r="D292" s="50"/>
      <c r="E292" s="50"/>
      <c r="F292" s="50"/>
      <c r="G292" s="50"/>
      <c r="H292" s="50"/>
    </row>
    <row r="293">
      <c r="D293" s="50"/>
      <c r="E293" s="50"/>
      <c r="F293" s="50"/>
      <c r="G293" s="50"/>
      <c r="H293" s="50"/>
    </row>
    <row r="294">
      <c r="D294" s="50"/>
      <c r="E294" s="50"/>
      <c r="F294" s="50"/>
      <c r="G294" s="50"/>
      <c r="H294" s="50"/>
    </row>
    <row r="295">
      <c r="D295" s="50"/>
      <c r="E295" s="50"/>
      <c r="F295" s="50"/>
      <c r="G295" s="50"/>
      <c r="H295" s="50"/>
    </row>
    <row r="296">
      <c r="D296" s="50"/>
      <c r="E296" s="50"/>
      <c r="F296" s="50"/>
      <c r="G296" s="50"/>
      <c r="H296" s="50"/>
    </row>
    <row r="297">
      <c r="D297" s="50"/>
      <c r="E297" s="50"/>
      <c r="F297" s="50"/>
      <c r="G297" s="50"/>
      <c r="H297" s="50"/>
    </row>
    <row r="298">
      <c r="D298" s="50"/>
      <c r="E298" s="50"/>
      <c r="F298" s="50"/>
      <c r="G298" s="50"/>
      <c r="H298" s="50"/>
    </row>
    <row r="299">
      <c r="D299" s="50"/>
      <c r="E299" s="50"/>
      <c r="F299" s="50"/>
      <c r="G299" s="50"/>
      <c r="H299" s="50"/>
    </row>
    <row r="300">
      <c r="D300" s="50"/>
      <c r="E300" s="50"/>
      <c r="F300" s="50"/>
      <c r="G300" s="50"/>
      <c r="H300" s="50"/>
    </row>
    <row r="301">
      <c r="D301" s="50"/>
      <c r="E301" s="50"/>
      <c r="F301" s="50"/>
      <c r="G301" s="50"/>
      <c r="H301" s="50"/>
    </row>
    <row r="302">
      <c r="D302" s="50"/>
      <c r="E302" s="50"/>
      <c r="F302" s="50"/>
      <c r="G302" s="50"/>
      <c r="H302" s="50"/>
    </row>
    <row r="303">
      <c r="D303" s="50"/>
      <c r="E303" s="50"/>
      <c r="F303" s="50"/>
      <c r="G303" s="50"/>
      <c r="H303" s="50"/>
    </row>
    <row r="304">
      <c r="D304" s="50"/>
      <c r="E304" s="50"/>
      <c r="F304" s="50"/>
      <c r="G304" s="50"/>
      <c r="H304" s="50"/>
    </row>
    <row r="305">
      <c r="D305" s="50"/>
      <c r="E305" s="50"/>
      <c r="F305" s="50"/>
      <c r="G305" s="50"/>
      <c r="H305" s="50"/>
    </row>
    <row r="306">
      <c r="D306" s="50"/>
      <c r="E306" s="50"/>
      <c r="F306" s="50"/>
      <c r="G306" s="50"/>
      <c r="H306" s="50"/>
    </row>
    <row r="307">
      <c r="D307" s="50"/>
      <c r="E307" s="50"/>
      <c r="F307" s="50"/>
      <c r="G307" s="50"/>
      <c r="H307" s="50"/>
    </row>
    <row r="308">
      <c r="D308" s="50"/>
      <c r="E308" s="50"/>
      <c r="F308" s="50"/>
      <c r="G308" s="50"/>
      <c r="H308" s="50"/>
    </row>
    <row r="309">
      <c r="D309" s="50"/>
      <c r="E309" s="50"/>
      <c r="F309" s="50"/>
      <c r="G309" s="50"/>
      <c r="H309" s="50"/>
    </row>
    <row r="310">
      <c r="D310" s="50"/>
      <c r="E310" s="50"/>
      <c r="F310" s="50"/>
      <c r="G310" s="50"/>
      <c r="H310" s="50"/>
    </row>
    <row r="311">
      <c r="D311" s="50"/>
      <c r="E311" s="50"/>
      <c r="F311" s="50"/>
      <c r="G311" s="50"/>
      <c r="H311" s="50"/>
    </row>
    <row r="312">
      <c r="D312" s="50"/>
      <c r="E312" s="50"/>
      <c r="F312" s="50"/>
      <c r="G312" s="50"/>
      <c r="H312" s="50"/>
    </row>
    <row r="313">
      <c r="D313" s="50"/>
      <c r="E313" s="50"/>
      <c r="F313" s="50"/>
      <c r="G313" s="50"/>
      <c r="H313" s="50"/>
    </row>
    <row r="314">
      <c r="D314" s="50"/>
      <c r="E314" s="50"/>
      <c r="F314" s="50"/>
      <c r="G314" s="50"/>
      <c r="H314" s="50"/>
    </row>
    <row r="315">
      <c r="D315" s="50"/>
      <c r="E315" s="50"/>
      <c r="F315" s="50"/>
      <c r="G315" s="50"/>
      <c r="H315" s="50"/>
    </row>
    <row r="316">
      <c r="D316" s="50"/>
      <c r="E316" s="50"/>
      <c r="F316" s="50"/>
      <c r="G316" s="50"/>
      <c r="H316" s="50"/>
    </row>
    <row r="317">
      <c r="D317" s="50"/>
      <c r="E317" s="50"/>
      <c r="F317" s="50"/>
      <c r="G317" s="50"/>
      <c r="H317" s="50"/>
    </row>
    <row r="318">
      <c r="D318" s="50"/>
      <c r="E318" s="50"/>
      <c r="F318" s="50"/>
      <c r="G318" s="50"/>
      <c r="H318" s="50"/>
    </row>
    <row r="319">
      <c r="D319" s="50"/>
      <c r="E319" s="50"/>
      <c r="F319" s="50"/>
      <c r="G319" s="50"/>
      <c r="H319" s="50"/>
    </row>
    <row r="320">
      <c r="D320" s="50"/>
      <c r="E320" s="50"/>
      <c r="F320" s="50"/>
      <c r="G320" s="50"/>
      <c r="H320" s="50"/>
    </row>
    <row r="321">
      <c r="D321" s="50"/>
      <c r="E321" s="50"/>
      <c r="F321" s="50"/>
      <c r="G321" s="50"/>
      <c r="H321" s="50"/>
    </row>
    <row r="322">
      <c r="D322" s="50"/>
      <c r="E322" s="50"/>
      <c r="F322" s="50"/>
      <c r="G322" s="50"/>
      <c r="H322" s="50"/>
    </row>
    <row r="323">
      <c r="D323" s="50"/>
      <c r="E323" s="50"/>
      <c r="F323" s="50"/>
      <c r="G323" s="50"/>
      <c r="H323" s="50"/>
    </row>
    <row r="324">
      <c r="D324" s="50"/>
      <c r="E324" s="50"/>
      <c r="F324" s="50"/>
      <c r="G324" s="50"/>
      <c r="H324" s="50"/>
    </row>
    <row r="325">
      <c r="D325" s="50"/>
      <c r="E325" s="50"/>
      <c r="F325" s="50"/>
      <c r="G325" s="50"/>
      <c r="H325" s="50"/>
    </row>
    <row r="326">
      <c r="D326" s="50"/>
      <c r="E326" s="50"/>
      <c r="F326" s="50"/>
      <c r="G326" s="50"/>
      <c r="H326" s="50"/>
    </row>
    <row r="327">
      <c r="D327" s="50"/>
      <c r="E327" s="50"/>
      <c r="F327" s="50"/>
      <c r="G327" s="50"/>
      <c r="H327" s="50"/>
    </row>
    <row r="328">
      <c r="D328" s="50"/>
      <c r="E328" s="50"/>
      <c r="F328" s="50"/>
      <c r="G328" s="50"/>
      <c r="H328" s="50"/>
    </row>
    <row r="329">
      <c r="D329" s="50"/>
      <c r="E329" s="50"/>
      <c r="F329" s="50"/>
      <c r="G329" s="50"/>
      <c r="H329" s="50"/>
    </row>
    <row r="330">
      <c r="D330" s="50"/>
      <c r="E330" s="50"/>
      <c r="F330" s="50"/>
      <c r="G330" s="50"/>
      <c r="H330" s="50"/>
    </row>
    <row r="331">
      <c r="D331" s="50"/>
      <c r="E331" s="50"/>
      <c r="F331" s="50"/>
      <c r="G331" s="50"/>
      <c r="H331" s="50"/>
    </row>
    <row r="332">
      <c r="D332" s="50"/>
      <c r="E332" s="50"/>
      <c r="F332" s="50"/>
      <c r="G332" s="50"/>
      <c r="H332" s="50"/>
    </row>
    <row r="333">
      <c r="D333" s="50"/>
      <c r="E333" s="50"/>
      <c r="F333" s="50"/>
      <c r="G333" s="50"/>
      <c r="H333" s="50"/>
    </row>
    <row r="334">
      <c r="D334" s="50"/>
      <c r="E334" s="50"/>
      <c r="F334" s="50"/>
      <c r="G334" s="50"/>
      <c r="H334" s="50"/>
    </row>
    <row r="335">
      <c r="D335" s="50"/>
      <c r="E335" s="50"/>
      <c r="F335" s="50"/>
      <c r="G335" s="50"/>
      <c r="H335" s="50"/>
    </row>
    <row r="336">
      <c r="D336" s="50"/>
      <c r="E336" s="50"/>
      <c r="F336" s="50"/>
      <c r="G336" s="50"/>
      <c r="H336" s="50"/>
    </row>
    <row r="337">
      <c r="D337" s="50"/>
      <c r="E337" s="50"/>
      <c r="F337" s="50"/>
      <c r="G337" s="50"/>
      <c r="H337" s="50"/>
    </row>
    <row r="338">
      <c r="D338" s="50"/>
      <c r="E338" s="50"/>
      <c r="F338" s="50"/>
      <c r="G338" s="50"/>
      <c r="H338" s="50"/>
    </row>
    <row r="339">
      <c r="D339" s="50"/>
      <c r="E339" s="50"/>
      <c r="F339" s="50"/>
      <c r="G339" s="50"/>
      <c r="H339" s="50"/>
    </row>
    <row r="340">
      <c r="D340" s="50"/>
      <c r="E340" s="50"/>
      <c r="F340" s="50"/>
      <c r="G340" s="50"/>
      <c r="H340" s="50"/>
    </row>
    <row r="341">
      <c r="D341" s="50"/>
      <c r="E341" s="50"/>
      <c r="F341" s="50"/>
      <c r="G341" s="50"/>
      <c r="H341" s="50"/>
    </row>
    <row r="342">
      <c r="D342" s="50"/>
      <c r="E342" s="50"/>
      <c r="F342" s="50"/>
      <c r="G342" s="50"/>
      <c r="H342" s="50"/>
    </row>
    <row r="343">
      <c r="D343" s="50"/>
      <c r="E343" s="50"/>
      <c r="F343" s="50"/>
      <c r="G343" s="50"/>
      <c r="H343" s="50"/>
    </row>
    <row r="344">
      <c r="D344" s="50"/>
      <c r="E344" s="50"/>
      <c r="F344" s="50"/>
      <c r="G344" s="50"/>
      <c r="H344" s="50"/>
    </row>
    <row r="345">
      <c r="D345" s="50"/>
      <c r="E345" s="50"/>
      <c r="F345" s="50"/>
      <c r="G345" s="50"/>
      <c r="H345" s="50"/>
    </row>
    <row r="346">
      <c r="D346" s="50"/>
      <c r="E346" s="50"/>
      <c r="F346" s="50"/>
      <c r="G346" s="50"/>
      <c r="H346" s="50"/>
    </row>
    <row r="347">
      <c r="D347" s="50"/>
      <c r="E347" s="50"/>
      <c r="F347" s="50"/>
      <c r="G347" s="50"/>
      <c r="H347" s="50"/>
    </row>
    <row r="348">
      <c r="D348" s="50"/>
      <c r="E348" s="50"/>
      <c r="F348" s="50"/>
      <c r="G348" s="50"/>
      <c r="H348" s="50"/>
    </row>
    <row r="349">
      <c r="D349" s="50"/>
      <c r="E349" s="50"/>
      <c r="F349" s="50"/>
      <c r="G349" s="50"/>
      <c r="H349" s="50"/>
    </row>
    <row r="350">
      <c r="D350" s="50"/>
      <c r="E350" s="50"/>
      <c r="F350" s="50"/>
      <c r="G350" s="50"/>
      <c r="H350" s="50"/>
    </row>
    <row r="351">
      <c r="D351" s="50"/>
      <c r="E351" s="50"/>
      <c r="F351" s="50"/>
      <c r="G351" s="50"/>
      <c r="H351" s="50"/>
    </row>
    <row r="352">
      <c r="D352" s="50"/>
      <c r="E352" s="50"/>
      <c r="F352" s="50"/>
      <c r="G352" s="50"/>
      <c r="H352" s="50"/>
    </row>
    <row r="353">
      <c r="D353" s="50"/>
      <c r="E353" s="50"/>
      <c r="F353" s="50"/>
      <c r="G353" s="50"/>
      <c r="H353" s="50"/>
    </row>
    <row r="354">
      <c r="D354" s="50"/>
      <c r="E354" s="50"/>
      <c r="F354" s="50"/>
      <c r="G354" s="50"/>
      <c r="H354" s="50"/>
    </row>
    <row r="355">
      <c r="D355" s="50"/>
      <c r="E355" s="50"/>
      <c r="F355" s="50"/>
      <c r="G355" s="50"/>
      <c r="H355" s="50"/>
    </row>
    <row r="356">
      <c r="D356" s="50"/>
      <c r="E356" s="50"/>
      <c r="F356" s="50"/>
      <c r="G356" s="50"/>
      <c r="H356" s="50"/>
    </row>
    <row r="357">
      <c r="D357" s="50"/>
      <c r="E357" s="50"/>
      <c r="F357" s="50"/>
      <c r="G357" s="50"/>
      <c r="H357" s="50"/>
    </row>
    <row r="358">
      <c r="D358" s="50"/>
      <c r="E358" s="50"/>
      <c r="F358" s="50"/>
      <c r="G358" s="50"/>
      <c r="H358" s="50"/>
    </row>
    <row r="359">
      <c r="D359" s="50"/>
      <c r="E359" s="50"/>
      <c r="F359" s="50"/>
      <c r="G359" s="50"/>
      <c r="H359" s="50"/>
    </row>
    <row r="360">
      <c r="D360" s="50"/>
      <c r="E360" s="50"/>
      <c r="F360" s="50"/>
      <c r="G360" s="50"/>
      <c r="H360" s="50"/>
    </row>
    <row r="361">
      <c r="D361" s="50"/>
      <c r="E361" s="50"/>
      <c r="F361" s="50"/>
      <c r="G361" s="50"/>
      <c r="H361" s="50"/>
    </row>
    <row r="362">
      <c r="D362" s="50"/>
      <c r="E362" s="50"/>
      <c r="F362" s="50"/>
      <c r="G362" s="50"/>
      <c r="H362" s="50"/>
    </row>
    <row r="363">
      <c r="D363" s="50"/>
      <c r="E363" s="50"/>
      <c r="F363" s="50"/>
      <c r="G363" s="50"/>
      <c r="H363" s="50"/>
    </row>
    <row r="364">
      <c r="D364" s="50"/>
      <c r="E364" s="50"/>
      <c r="F364" s="50"/>
      <c r="G364" s="50"/>
      <c r="H364" s="50"/>
    </row>
    <row r="365">
      <c r="D365" s="50"/>
      <c r="E365" s="50"/>
      <c r="F365" s="50"/>
      <c r="G365" s="50"/>
      <c r="H365" s="50"/>
    </row>
    <row r="366">
      <c r="D366" s="50"/>
      <c r="E366" s="50"/>
      <c r="F366" s="50"/>
      <c r="G366" s="50"/>
      <c r="H366" s="50"/>
    </row>
    <row r="367">
      <c r="D367" s="50"/>
      <c r="E367" s="50"/>
      <c r="F367" s="50"/>
      <c r="G367" s="50"/>
      <c r="H367" s="50"/>
    </row>
    <row r="368">
      <c r="D368" s="50"/>
      <c r="E368" s="50"/>
      <c r="F368" s="50"/>
      <c r="G368" s="50"/>
      <c r="H368" s="50"/>
    </row>
    <row r="369">
      <c r="D369" s="50"/>
      <c r="E369" s="50"/>
      <c r="F369" s="50"/>
      <c r="G369" s="50"/>
      <c r="H369" s="50"/>
    </row>
    <row r="370">
      <c r="D370" s="50"/>
      <c r="E370" s="50"/>
      <c r="F370" s="50"/>
      <c r="G370" s="50"/>
      <c r="H370" s="50"/>
    </row>
    <row r="371">
      <c r="D371" s="50"/>
      <c r="E371" s="50"/>
      <c r="F371" s="50"/>
      <c r="G371" s="50"/>
      <c r="H371" s="50"/>
    </row>
    <row r="372">
      <c r="D372" s="50"/>
      <c r="E372" s="50"/>
      <c r="F372" s="50"/>
      <c r="G372" s="50"/>
      <c r="H372" s="50"/>
    </row>
    <row r="373">
      <c r="D373" s="50"/>
      <c r="E373" s="50"/>
      <c r="F373" s="50"/>
      <c r="G373" s="50"/>
      <c r="H373" s="50"/>
    </row>
    <row r="374">
      <c r="D374" s="50"/>
      <c r="E374" s="50"/>
      <c r="F374" s="50"/>
      <c r="G374" s="50"/>
      <c r="H374" s="50"/>
    </row>
    <row r="375">
      <c r="D375" s="50"/>
      <c r="E375" s="50"/>
      <c r="F375" s="50"/>
      <c r="G375" s="50"/>
      <c r="H375" s="50"/>
    </row>
    <row r="376">
      <c r="D376" s="50"/>
      <c r="E376" s="50"/>
      <c r="F376" s="50"/>
      <c r="G376" s="50"/>
      <c r="H376" s="50"/>
    </row>
    <row r="377">
      <c r="D377" s="50"/>
      <c r="E377" s="50"/>
      <c r="F377" s="50"/>
      <c r="G377" s="50"/>
      <c r="H377" s="50"/>
    </row>
    <row r="378">
      <c r="D378" s="50"/>
      <c r="E378" s="50"/>
      <c r="F378" s="50"/>
      <c r="G378" s="50"/>
      <c r="H378" s="50"/>
    </row>
    <row r="379">
      <c r="D379" s="50"/>
      <c r="E379" s="50"/>
      <c r="F379" s="50"/>
      <c r="G379" s="50"/>
      <c r="H379" s="50"/>
    </row>
    <row r="380">
      <c r="D380" s="50"/>
      <c r="E380" s="50"/>
      <c r="F380" s="50"/>
      <c r="G380" s="50"/>
      <c r="H380" s="50"/>
    </row>
    <row r="381">
      <c r="D381" s="50"/>
      <c r="E381" s="50"/>
      <c r="F381" s="50"/>
      <c r="G381" s="50"/>
      <c r="H381" s="50"/>
    </row>
    <row r="382">
      <c r="D382" s="50"/>
      <c r="E382" s="50"/>
      <c r="F382" s="50"/>
      <c r="G382" s="50"/>
      <c r="H382" s="50"/>
    </row>
    <row r="383">
      <c r="D383" s="50"/>
      <c r="E383" s="50"/>
      <c r="F383" s="50"/>
      <c r="G383" s="50"/>
      <c r="H383" s="50"/>
    </row>
    <row r="384">
      <c r="D384" s="50"/>
      <c r="E384" s="50"/>
      <c r="F384" s="50"/>
      <c r="G384" s="50"/>
      <c r="H384" s="50"/>
    </row>
    <row r="385">
      <c r="D385" s="50"/>
      <c r="E385" s="50"/>
      <c r="F385" s="50"/>
      <c r="G385" s="50"/>
      <c r="H385" s="50"/>
    </row>
    <row r="386">
      <c r="D386" s="50"/>
      <c r="E386" s="50"/>
      <c r="F386" s="50"/>
      <c r="G386" s="50"/>
      <c r="H386" s="50"/>
    </row>
    <row r="387">
      <c r="D387" s="50"/>
      <c r="E387" s="50"/>
      <c r="F387" s="50"/>
      <c r="G387" s="50"/>
      <c r="H387" s="50"/>
    </row>
    <row r="388">
      <c r="D388" s="50"/>
      <c r="E388" s="50"/>
      <c r="F388" s="50"/>
      <c r="G388" s="50"/>
      <c r="H388" s="50"/>
    </row>
    <row r="389">
      <c r="D389" s="50"/>
      <c r="E389" s="50"/>
      <c r="F389" s="50"/>
      <c r="G389" s="50"/>
      <c r="H389" s="50"/>
    </row>
    <row r="390">
      <c r="D390" s="50"/>
      <c r="E390" s="50"/>
      <c r="F390" s="50"/>
      <c r="G390" s="50"/>
      <c r="H390" s="50"/>
    </row>
    <row r="391">
      <c r="D391" s="50"/>
      <c r="E391" s="50"/>
      <c r="F391" s="50"/>
      <c r="G391" s="50"/>
      <c r="H391" s="50"/>
    </row>
    <row r="392">
      <c r="D392" s="50"/>
      <c r="E392" s="50"/>
      <c r="F392" s="50"/>
      <c r="G392" s="50"/>
      <c r="H392" s="50"/>
    </row>
    <row r="393">
      <c r="D393" s="50"/>
      <c r="E393" s="50"/>
      <c r="F393" s="50"/>
      <c r="G393" s="50"/>
      <c r="H393" s="50"/>
    </row>
    <row r="394">
      <c r="D394" s="50"/>
      <c r="E394" s="50"/>
      <c r="F394" s="50"/>
      <c r="G394" s="50"/>
      <c r="H394" s="50"/>
    </row>
    <row r="395">
      <c r="D395" s="50"/>
      <c r="E395" s="50"/>
      <c r="F395" s="50"/>
      <c r="G395" s="50"/>
      <c r="H395" s="50"/>
    </row>
    <row r="396">
      <c r="D396" s="50"/>
      <c r="E396" s="50"/>
      <c r="F396" s="50"/>
      <c r="G396" s="50"/>
      <c r="H396" s="50"/>
    </row>
    <row r="397">
      <c r="D397" s="50"/>
      <c r="E397" s="50"/>
      <c r="F397" s="50"/>
      <c r="G397" s="50"/>
      <c r="H397" s="50"/>
    </row>
    <row r="398">
      <c r="D398" s="50"/>
      <c r="E398" s="50"/>
      <c r="F398" s="50"/>
      <c r="G398" s="50"/>
      <c r="H398" s="50"/>
    </row>
    <row r="399">
      <c r="D399" s="50"/>
      <c r="E399" s="50"/>
      <c r="F399" s="50"/>
      <c r="G399" s="50"/>
      <c r="H399" s="50"/>
    </row>
    <row r="400">
      <c r="D400" s="50"/>
      <c r="E400" s="50"/>
      <c r="F400" s="50"/>
      <c r="G400" s="50"/>
      <c r="H400" s="50"/>
    </row>
    <row r="401">
      <c r="D401" s="50"/>
      <c r="E401" s="50"/>
      <c r="F401" s="50"/>
      <c r="G401" s="50"/>
      <c r="H401" s="50"/>
    </row>
    <row r="402">
      <c r="D402" s="50"/>
      <c r="E402" s="50"/>
      <c r="F402" s="50"/>
      <c r="G402" s="50"/>
      <c r="H402" s="50"/>
    </row>
    <row r="403">
      <c r="D403" s="50"/>
      <c r="E403" s="50"/>
      <c r="F403" s="50"/>
      <c r="G403" s="50"/>
      <c r="H403" s="50"/>
    </row>
    <row r="404">
      <c r="D404" s="50"/>
      <c r="E404" s="50"/>
      <c r="F404" s="50"/>
      <c r="G404" s="50"/>
      <c r="H404" s="50"/>
    </row>
    <row r="405">
      <c r="D405" s="50"/>
      <c r="E405" s="50"/>
      <c r="F405" s="50"/>
      <c r="G405" s="50"/>
      <c r="H405" s="50"/>
    </row>
    <row r="406">
      <c r="D406" s="50"/>
      <c r="E406" s="50"/>
      <c r="F406" s="50"/>
      <c r="G406" s="50"/>
      <c r="H406" s="50"/>
    </row>
    <row r="407">
      <c r="D407" s="50"/>
      <c r="E407" s="50"/>
      <c r="F407" s="50"/>
      <c r="G407" s="50"/>
      <c r="H407" s="50"/>
    </row>
    <row r="408">
      <c r="D408" s="50"/>
      <c r="E408" s="50"/>
      <c r="F408" s="50"/>
      <c r="G408" s="50"/>
      <c r="H408" s="50"/>
    </row>
    <row r="409">
      <c r="D409" s="50"/>
      <c r="E409" s="50"/>
      <c r="F409" s="50"/>
      <c r="G409" s="50"/>
      <c r="H409" s="50"/>
    </row>
    <row r="410">
      <c r="D410" s="50"/>
      <c r="E410" s="50"/>
      <c r="F410" s="50"/>
      <c r="G410" s="50"/>
      <c r="H410" s="50"/>
    </row>
    <row r="411">
      <c r="D411" s="50"/>
      <c r="E411" s="50"/>
      <c r="F411" s="50"/>
      <c r="G411" s="50"/>
      <c r="H411" s="50"/>
    </row>
    <row r="412">
      <c r="D412" s="50"/>
      <c r="E412" s="50"/>
      <c r="F412" s="50"/>
      <c r="G412" s="50"/>
      <c r="H412" s="50"/>
    </row>
    <row r="413">
      <c r="D413" s="50"/>
      <c r="E413" s="50"/>
      <c r="F413" s="50"/>
      <c r="G413" s="50"/>
      <c r="H413" s="50"/>
    </row>
    <row r="414">
      <c r="D414" s="50"/>
      <c r="E414" s="50"/>
      <c r="F414" s="50"/>
      <c r="G414" s="50"/>
      <c r="H414" s="50"/>
    </row>
    <row r="415">
      <c r="D415" s="50"/>
      <c r="E415" s="50"/>
      <c r="F415" s="50"/>
      <c r="G415" s="50"/>
      <c r="H415" s="50"/>
    </row>
    <row r="416">
      <c r="D416" s="50"/>
      <c r="E416" s="50"/>
      <c r="F416" s="50"/>
      <c r="G416" s="50"/>
      <c r="H416" s="50"/>
    </row>
    <row r="417">
      <c r="D417" s="50"/>
      <c r="E417" s="50"/>
      <c r="F417" s="50"/>
      <c r="G417" s="50"/>
      <c r="H417" s="50"/>
    </row>
    <row r="418">
      <c r="D418" s="50"/>
      <c r="E418" s="50"/>
      <c r="F418" s="50"/>
      <c r="G418" s="50"/>
      <c r="H418" s="50"/>
    </row>
    <row r="419">
      <c r="D419" s="50"/>
      <c r="E419" s="50"/>
      <c r="F419" s="50"/>
      <c r="G419" s="50"/>
      <c r="H419" s="50"/>
    </row>
    <row r="420">
      <c r="D420" s="50"/>
      <c r="E420" s="50"/>
      <c r="F420" s="50"/>
      <c r="G420" s="50"/>
      <c r="H420" s="50"/>
    </row>
    <row r="421">
      <c r="D421" s="50"/>
      <c r="E421" s="50"/>
      <c r="F421" s="50"/>
      <c r="G421" s="50"/>
      <c r="H421" s="50"/>
    </row>
    <row r="422">
      <c r="D422" s="50"/>
      <c r="E422" s="50"/>
      <c r="F422" s="50"/>
      <c r="G422" s="50"/>
      <c r="H422" s="50"/>
    </row>
    <row r="423">
      <c r="D423" s="50"/>
      <c r="E423" s="50"/>
      <c r="F423" s="50"/>
      <c r="G423" s="50"/>
      <c r="H423" s="50"/>
    </row>
    <row r="424">
      <c r="D424" s="50"/>
      <c r="E424" s="50"/>
      <c r="F424" s="50"/>
      <c r="G424" s="50"/>
      <c r="H424" s="50"/>
    </row>
    <row r="425">
      <c r="D425" s="50"/>
      <c r="E425" s="50"/>
      <c r="F425" s="50"/>
      <c r="G425" s="50"/>
      <c r="H425" s="50"/>
    </row>
    <row r="426">
      <c r="D426" s="50"/>
      <c r="E426" s="50"/>
      <c r="F426" s="50"/>
      <c r="G426" s="50"/>
      <c r="H426" s="50"/>
    </row>
    <row r="427">
      <c r="D427" s="50"/>
      <c r="E427" s="50"/>
      <c r="F427" s="50"/>
      <c r="G427" s="50"/>
      <c r="H427" s="50"/>
    </row>
    <row r="428">
      <c r="D428" s="50"/>
      <c r="E428" s="50"/>
      <c r="F428" s="50"/>
      <c r="G428" s="50"/>
      <c r="H428" s="50"/>
    </row>
    <row r="429">
      <c r="D429" s="50"/>
      <c r="E429" s="50"/>
      <c r="F429" s="50"/>
      <c r="G429" s="50"/>
      <c r="H429" s="50"/>
    </row>
    <row r="430">
      <c r="D430" s="50"/>
      <c r="E430" s="50"/>
      <c r="F430" s="50"/>
      <c r="G430" s="50"/>
      <c r="H430" s="50"/>
    </row>
    <row r="431">
      <c r="D431" s="50"/>
      <c r="E431" s="50"/>
      <c r="F431" s="50"/>
      <c r="G431" s="50"/>
      <c r="H431" s="50"/>
    </row>
    <row r="432">
      <c r="D432" s="50"/>
      <c r="E432" s="50"/>
      <c r="F432" s="50"/>
      <c r="G432" s="50"/>
      <c r="H432" s="50"/>
    </row>
    <row r="433">
      <c r="D433" s="50"/>
      <c r="E433" s="50"/>
      <c r="F433" s="50"/>
      <c r="G433" s="50"/>
      <c r="H433" s="50"/>
    </row>
    <row r="434">
      <c r="D434" s="50"/>
      <c r="E434" s="50"/>
      <c r="F434" s="50"/>
      <c r="G434" s="50"/>
      <c r="H434" s="50"/>
    </row>
    <row r="435">
      <c r="D435" s="50"/>
      <c r="E435" s="50"/>
      <c r="F435" s="50"/>
      <c r="G435" s="50"/>
      <c r="H435" s="50"/>
    </row>
    <row r="436">
      <c r="D436" s="50"/>
      <c r="E436" s="50"/>
      <c r="F436" s="50"/>
      <c r="G436" s="50"/>
      <c r="H436" s="50"/>
    </row>
    <row r="437">
      <c r="D437" s="50"/>
      <c r="E437" s="50"/>
      <c r="F437" s="50"/>
      <c r="G437" s="50"/>
      <c r="H437" s="50"/>
    </row>
    <row r="438">
      <c r="D438" s="50"/>
      <c r="E438" s="50"/>
      <c r="F438" s="50"/>
      <c r="G438" s="50"/>
      <c r="H438" s="50"/>
    </row>
    <row r="439">
      <c r="D439" s="50"/>
      <c r="E439" s="50"/>
      <c r="F439" s="50"/>
      <c r="G439" s="50"/>
      <c r="H439" s="50"/>
    </row>
    <row r="440">
      <c r="D440" s="50"/>
      <c r="E440" s="50"/>
      <c r="F440" s="50"/>
      <c r="G440" s="50"/>
      <c r="H440" s="50"/>
    </row>
    <row r="441">
      <c r="D441" s="50"/>
      <c r="E441" s="50"/>
      <c r="F441" s="50"/>
      <c r="G441" s="50"/>
      <c r="H441" s="50"/>
    </row>
    <row r="442">
      <c r="D442" s="50"/>
      <c r="E442" s="50"/>
      <c r="F442" s="50"/>
      <c r="G442" s="50"/>
      <c r="H442" s="50"/>
    </row>
    <row r="443">
      <c r="D443" s="50"/>
      <c r="E443" s="50"/>
      <c r="F443" s="50"/>
      <c r="G443" s="50"/>
      <c r="H443" s="50"/>
    </row>
    <row r="444">
      <c r="D444" s="50"/>
      <c r="E444" s="50"/>
      <c r="F444" s="50"/>
      <c r="G444" s="50"/>
      <c r="H444" s="50"/>
    </row>
    <row r="445">
      <c r="D445" s="50"/>
      <c r="E445" s="50"/>
      <c r="F445" s="50"/>
      <c r="G445" s="50"/>
      <c r="H445" s="50"/>
    </row>
    <row r="446">
      <c r="D446" s="50"/>
      <c r="E446" s="50"/>
      <c r="F446" s="50"/>
      <c r="G446" s="50"/>
      <c r="H446" s="50"/>
    </row>
    <row r="447">
      <c r="D447" s="50"/>
      <c r="E447" s="50"/>
      <c r="F447" s="50"/>
      <c r="G447" s="50"/>
      <c r="H447" s="50"/>
    </row>
    <row r="448">
      <c r="D448" s="50"/>
      <c r="E448" s="50"/>
      <c r="F448" s="50"/>
      <c r="G448" s="50"/>
      <c r="H448" s="50"/>
    </row>
    <row r="449">
      <c r="D449" s="50"/>
      <c r="E449" s="50"/>
      <c r="F449" s="50"/>
      <c r="G449" s="50"/>
      <c r="H449" s="50"/>
    </row>
    <row r="450">
      <c r="D450" s="50"/>
      <c r="E450" s="50"/>
      <c r="F450" s="50"/>
      <c r="G450" s="50"/>
      <c r="H450" s="50"/>
    </row>
    <row r="451">
      <c r="D451" s="50"/>
      <c r="E451" s="50"/>
      <c r="F451" s="50"/>
      <c r="G451" s="50"/>
      <c r="H451" s="50"/>
    </row>
    <row r="452">
      <c r="D452" s="50"/>
      <c r="E452" s="50"/>
      <c r="F452" s="50"/>
      <c r="G452" s="50"/>
      <c r="H452" s="50"/>
    </row>
    <row r="453">
      <c r="D453" s="50"/>
      <c r="E453" s="50"/>
      <c r="F453" s="50"/>
      <c r="G453" s="50"/>
      <c r="H453" s="50"/>
    </row>
    <row r="454">
      <c r="D454" s="50"/>
      <c r="E454" s="50"/>
      <c r="F454" s="50"/>
      <c r="G454" s="50"/>
      <c r="H454" s="50"/>
    </row>
    <row r="455">
      <c r="D455" s="50"/>
      <c r="E455" s="50"/>
      <c r="F455" s="50"/>
      <c r="G455" s="50"/>
      <c r="H455" s="50"/>
    </row>
    <row r="456">
      <c r="D456" s="50"/>
      <c r="E456" s="50"/>
      <c r="F456" s="50"/>
      <c r="G456" s="50"/>
      <c r="H456" s="50"/>
    </row>
    <row r="457">
      <c r="D457" s="50"/>
      <c r="E457" s="50"/>
      <c r="F457" s="50"/>
      <c r="G457" s="50"/>
      <c r="H457" s="50"/>
    </row>
    <row r="458">
      <c r="D458" s="50"/>
      <c r="E458" s="50"/>
      <c r="F458" s="50"/>
      <c r="G458" s="50"/>
      <c r="H458" s="50"/>
    </row>
    <row r="459">
      <c r="D459" s="50"/>
      <c r="E459" s="50"/>
      <c r="F459" s="50"/>
      <c r="G459" s="50"/>
      <c r="H459" s="50"/>
    </row>
    <row r="460">
      <c r="D460" s="50"/>
      <c r="E460" s="50"/>
      <c r="F460" s="50"/>
      <c r="G460" s="50"/>
      <c r="H460" s="50"/>
    </row>
    <row r="461">
      <c r="D461" s="50"/>
      <c r="E461" s="50"/>
      <c r="F461" s="50"/>
      <c r="G461" s="50"/>
      <c r="H461" s="50"/>
    </row>
    <row r="462">
      <c r="D462" s="50"/>
      <c r="E462" s="50"/>
      <c r="F462" s="50"/>
      <c r="G462" s="50"/>
      <c r="H462" s="50"/>
    </row>
    <row r="463">
      <c r="D463" s="50"/>
      <c r="E463" s="50"/>
      <c r="F463" s="50"/>
      <c r="G463" s="50"/>
      <c r="H463" s="50"/>
    </row>
    <row r="464">
      <c r="D464" s="50"/>
      <c r="E464" s="50"/>
      <c r="F464" s="50"/>
      <c r="G464" s="50"/>
      <c r="H464" s="50"/>
    </row>
    <row r="465">
      <c r="D465" s="50"/>
      <c r="E465" s="50"/>
      <c r="F465" s="50"/>
      <c r="G465" s="50"/>
      <c r="H465" s="50"/>
    </row>
    <row r="466">
      <c r="D466" s="50"/>
      <c r="E466" s="50"/>
      <c r="F466" s="50"/>
      <c r="G466" s="50"/>
      <c r="H466" s="50"/>
    </row>
    <row r="467">
      <c r="D467" s="50"/>
      <c r="E467" s="50"/>
      <c r="F467" s="50"/>
      <c r="G467" s="50"/>
      <c r="H467" s="50"/>
    </row>
    <row r="468">
      <c r="D468" s="50"/>
      <c r="E468" s="50"/>
      <c r="F468" s="50"/>
      <c r="G468" s="50"/>
      <c r="H468" s="50"/>
    </row>
    <row r="469">
      <c r="D469" s="50"/>
      <c r="E469" s="50"/>
      <c r="F469" s="50"/>
      <c r="G469" s="50"/>
      <c r="H469" s="50"/>
    </row>
    <row r="470">
      <c r="D470" s="50"/>
      <c r="E470" s="50"/>
      <c r="F470" s="50"/>
      <c r="G470" s="50"/>
      <c r="H470" s="50"/>
    </row>
    <row r="471">
      <c r="D471" s="50"/>
      <c r="E471" s="50"/>
      <c r="F471" s="50"/>
      <c r="G471" s="50"/>
      <c r="H471" s="50"/>
    </row>
    <row r="472">
      <c r="D472" s="50"/>
      <c r="E472" s="50"/>
      <c r="F472" s="50"/>
      <c r="G472" s="50"/>
      <c r="H472" s="50"/>
    </row>
    <row r="473">
      <c r="D473" s="50"/>
      <c r="E473" s="50"/>
      <c r="F473" s="50"/>
      <c r="G473" s="50"/>
      <c r="H473" s="50"/>
    </row>
    <row r="474">
      <c r="D474" s="50"/>
      <c r="E474" s="50"/>
      <c r="F474" s="50"/>
      <c r="G474" s="50"/>
      <c r="H474" s="50"/>
    </row>
    <row r="475">
      <c r="D475" s="50"/>
      <c r="E475" s="50"/>
      <c r="F475" s="50"/>
      <c r="G475" s="50"/>
      <c r="H475" s="50"/>
    </row>
    <row r="476">
      <c r="D476" s="50"/>
      <c r="E476" s="50"/>
      <c r="F476" s="50"/>
      <c r="G476" s="50"/>
      <c r="H476" s="50"/>
    </row>
    <row r="477">
      <c r="D477" s="50"/>
      <c r="E477" s="50"/>
      <c r="F477" s="50"/>
      <c r="G477" s="50"/>
      <c r="H477" s="50"/>
    </row>
    <row r="478">
      <c r="D478" s="50"/>
      <c r="E478" s="50"/>
      <c r="F478" s="50"/>
      <c r="G478" s="50"/>
      <c r="H478" s="50"/>
    </row>
    <row r="479">
      <c r="D479" s="50"/>
      <c r="E479" s="50"/>
      <c r="F479" s="50"/>
      <c r="G479" s="50"/>
      <c r="H479" s="50"/>
    </row>
    <row r="480">
      <c r="D480" s="50"/>
      <c r="E480" s="50"/>
      <c r="F480" s="50"/>
      <c r="G480" s="50"/>
      <c r="H480" s="50"/>
    </row>
    <row r="481">
      <c r="D481" s="50"/>
      <c r="E481" s="50"/>
      <c r="F481" s="50"/>
      <c r="G481" s="50"/>
      <c r="H481" s="50"/>
    </row>
    <row r="482">
      <c r="D482" s="50"/>
      <c r="E482" s="50"/>
      <c r="F482" s="50"/>
      <c r="G482" s="50"/>
      <c r="H482" s="50"/>
    </row>
    <row r="483">
      <c r="D483" s="50"/>
      <c r="E483" s="50"/>
      <c r="F483" s="50"/>
      <c r="G483" s="50"/>
      <c r="H483" s="50"/>
    </row>
    <row r="484">
      <c r="D484" s="50"/>
      <c r="E484" s="50"/>
      <c r="F484" s="50"/>
      <c r="G484" s="50"/>
      <c r="H484" s="50"/>
    </row>
    <row r="485">
      <c r="D485" s="50"/>
      <c r="E485" s="50"/>
      <c r="F485" s="50"/>
      <c r="G485" s="50"/>
      <c r="H485" s="50"/>
    </row>
    <row r="486">
      <c r="D486" s="50"/>
      <c r="E486" s="50"/>
      <c r="F486" s="50"/>
      <c r="G486" s="50"/>
      <c r="H486" s="50"/>
    </row>
    <row r="487">
      <c r="D487" s="50"/>
      <c r="E487" s="50"/>
      <c r="F487" s="50"/>
      <c r="G487" s="50"/>
      <c r="H487" s="50"/>
    </row>
    <row r="488">
      <c r="D488" s="50"/>
      <c r="E488" s="50"/>
      <c r="F488" s="50"/>
      <c r="G488" s="50"/>
      <c r="H488" s="50"/>
    </row>
    <row r="489">
      <c r="D489" s="50"/>
      <c r="E489" s="50"/>
      <c r="F489" s="50"/>
      <c r="G489" s="50"/>
      <c r="H489" s="50"/>
    </row>
    <row r="490">
      <c r="D490" s="50"/>
      <c r="E490" s="50"/>
      <c r="F490" s="50"/>
      <c r="G490" s="50"/>
      <c r="H490" s="50"/>
    </row>
    <row r="491">
      <c r="D491" s="50"/>
      <c r="E491" s="50"/>
      <c r="F491" s="50"/>
      <c r="G491" s="50"/>
      <c r="H491" s="50"/>
    </row>
    <row r="492">
      <c r="D492" s="50"/>
      <c r="E492" s="50"/>
      <c r="F492" s="50"/>
      <c r="G492" s="50"/>
      <c r="H492" s="50"/>
    </row>
    <row r="493">
      <c r="D493" s="50"/>
      <c r="E493" s="50"/>
      <c r="F493" s="50"/>
      <c r="G493" s="50"/>
      <c r="H493" s="50"/>
    </row>
    <row r="494">
      <c r="D494" s="50"/>
      <c r="E494" s="50"/>
      <c r="F494" s="50"/>
      <c r="G494" s="50"/>
      <c r="H494" s="50"/>
    </row>
    <row r="495">
      <c r="D495" s="50"/>
      <c r="E495" s="50"/>
      <c r="F495" s="50"/>
      <c r="G495" s="50"/>
      <c r="H495" s="50"/>
    </row>
    <row r="496">
      <c r="D496" s="50"/>
      <c r="E496" s="50"/>
      <c r="F496" s="50"/>
      <c r="G496" s="50"/>
      <c r="H496" s="50"/>
    </row>
    <row r="497">
      <c r="D497" s="50"/>
      <c r="E497" s="50"/>
      <c r="F497" s="50"/>
      <c r="G497" s="50"/>
      <c r="H497" s="50"/>
    </row>
    <row r="498">
      <c r="D498" s="50"/>
      <c r="E498" s="50"/>
      <c r="F498" s="50"/>
      <c r="G498" s="50"/>
      <c r="H498" s="50"/>
    </row>
    <row r="499">
      <c r="D499" s="50"/>
      <c r="E499" s="50"/>
      <c r="F499" s="50"/>
      <c r="G499" s="50"/>
      <c r="H499" s="50"/>
    </row>
    <row r="500">
      <c r="D500" s="50"/>
      <c r="E500" s="50"/>
      <c r="F500" s="50"/>
      <c r="G500" s="50"/>
      <c r="H500" s="50"/>
    </row>
    <row r="501">
      <c r="D501" s="50"/>
      <c r="E501" s="50"/>
      <c r="F501" s="50"/>
      <c r="G501" s="50"/>
      <c r="H501" s="50"/>
    </row>
    <row r="502">
      <c r="D502" s="50"/>
      <c r="E502" s="50"/>
      <c r="F502" s="50"/>
      <c r="G502" s="50"/>
      <c r="H502" s="50"/>
    </row>
    <row r="503">
      <c r="D503" s="50"/>
      <c r="E503" s="50"/>
      <c r="F503" s="50"/>
      <c r="G503" s="50"/>
      <c r="H503" s="50"/>
    </row>
    <row r="504">
      <c r="D504" s="50"/>
      <c r="E504" s="50"/>
      <c r="F504" s="50"/>
      <c r="G504" s="50"/>
      <c r="H504" s="50"/>
    </row>
    <row r="505">
      <c r="D505" s="50"/>
      <c r="E505" s="50"/>
      <c r="F505" s="50"/>
      <c r="G505" s="50"/>
      <c r="H505" s="50"/>
    </row>
    <row r="506">
      <c r="D506" s="50"/>
      <c r="E506" s="50"/>
      <c r="F506" s="50"/>
      <c r="G506" s="50"/>
      <c r="H506" s="50"/>
    </row>
    <row r="507">
      <c r="D507" s="50"/>
      <c r="E507" s="50"/>
      <c r="F507" s="50"/>
      <c r="G507" s="50"/>
      <c r="H507" s="50"/>
    </row>
    <row r="508">
      <c r="D508" s="50"/>
      <c r="E508" s="50"/>
      <c r="F508" s="50"/>
      <c r="G508" s="50"/>
      <c r="H508" s="50"/>
    </row>
    <row r="509">
      <c r="D509" s="50"/>
      <c r="E509" s="50"/>
      <c r="F509" s="50"/>
      <c r="G509" s="50"/>
      <c r="H509" s="50"/>
    </row>
    <row r="510">
      <c r="D510" s="50"/>
      <c r="E510" s="50"/>
      <c r="F510" s="50"/>
      <c r="G510" s="50"/>
      <c r="H510" s="50"/>
    </row>
    <row r="511">
      <c r="D511" s="50"/>
      <c r="E511" s="50"/>
      <c r="F511" s="50"/>
      <c r="G511" s="50"/>
      <c r="H511" s="50"/>
    </row>
    <row r="512">
      <c r="D512" s="50"/>
      <c r="E512" s="50"/>
      <c r="F512" s="50"/>
      <c r="G512" s="50"/>
      <c r="H512" s="50"/>
    </row>
    <row r="513">
      <c r="D513" s="50"/>
      <c r="E513" s="50"/>
      <c r="F513" s="50"/>
      <c r="G513" s="50"/>
      <c r="H513" s="50"/>
    </row>
    <row r="514">
      <c r="D514" s="50"/>
      <c r="E514" s="50"/>
      <c r="F514" s="50"/>
      <c r="G514" s="50"/>
      <c r="H514" s="50"/>
    </row>
    <row r="515">
      <c r="D515" s="50"/>
      <c r="E515" s="50"/>
      <c r="F515" s="50"/>
      <c r="G515" s="50"/>
      <c r="H515" s="50"/>
    </row>
    <row r="516">
      <c r="D516" s="50"/>
      <c r="E516" s="50"/>
      <c r="F516" s="50"/>
      <c r="G516" s="50"/>
      <c r="H516" s="50"/>
    </row>
    <row r="517">
      <c r="D517" s="50"/>
      <c r="E517" s="50"/>
      <c r="F517" s="50"/>
      <c r="G517" s="50"/>
      <c r="H517" s="50"/>
    </row>
    <row r="518">
      <c r="D518" s="50"/>
      <c r="E518" s="50"/>
      <c r="F518" s="50"/>
      <c r="G518" s="50"/>
      <c r="H518" s="50"/>
    </row>
    <row r="519">
      <c r="D519" s="50"/>
      <c r="E519" s="50"/>
      <c r="F519" s="50"/>
      <c r="G519" s="50"/>
      <c r="H519" s="50"/>
    </row>
    <row r="520">
      <c r="D520" s="50"/>
      <c r="E520" s="50"/>
      <c r="F520" s="50"/>
      <c r="G520" s="50"/>
      <c r="H520" s="50"/>
    </row>
    <row r="521">
      <c r="D521" s="50"/>
      <c r="E521" s="50"/>
      <c r="F521" s="50"/>
      <c r="G521" s="50"/>
      <c r="H521" s="50"/>
    </row>
    <row r="522">
      <c r="D522" s="50"/>
      <c r="E522" s="50"/>
      <c r="F522" s="50"/>
      <c r="G522" s="50"/>
      <c r="H522" s="50"/>
    </row>
    <row r="523">
      <c r="D523" s="50"/>
      <c r="E523" s="50"/>
      <c r="F523" s="50"/>
      <c r="G523" s="50"/>
      <c r="H523" s="50"/>
    </row>
    <row r="524">
      <c r="D524" s="50"/>
      <c r="E524" s="50"/>
      <c r="F524" s="50"/>
      <c r="G524" s="50"/>
      <c r="H524" s="50"/>
    </row>
    <row r="525">
      <c r="D525" s="50"/>
      <c r="E525" s="50"/>
      <c r="F525" s="50"/>
      <c r="G525" s="50"/>
      <c r="H525" s="50"/>
    </row>
    <row r="526">
      <c r="D526" s="50"/>
      <c r="E526" s="50"/>
      <c r="F526" s="50"/>
      <c r="G526" s="50"/>
      <c r="H526" s="50"/>
    </row>
    <row r="527">
      <c r="D527" s="50"/>
      <c r="E527" s="50"/>
      <c r="F527" s="50"/>
      <c r="G527" s="50"/>
      <c r="H527" s="50"/>
    </row>
    <row r="528">
      <c r="D528" s="50"/>
      <c r="E528" s="50"/>
      <c r="F528" s="50"/>
      <c r="G528" s="50"/>
      <c r="H528" s="50"/>
    </row>
    <row r="529">
      <c r="D529" s="50"/>
      <c r="E529" s="50"/>
      <c r="F529" s="50"/>
      <c r="G529" s="50"/>
      <c r="H529" s="50"/>
    </row>
    <row r="530">
      <c r="D530" s="50"/>
      <c r="E530" s="50"/>
      <c r="F530" s="50"/>
      <c r="G530" s="50"/>
      <c r="H530" s="50"/>
    </row>
    <row r="531">
      <c r="D531" s="50"/>
      <c r="E531" s="50"/>
      <c r="F531" s="50"/>
      <c r="G531" s="50"/>
      <c r="H531" s="50"/>
    </row>
    <row r="532">
      <c r="D532" s="50"/>
      <c r="E532" s="50"/>
      <c r="F532" s="50"/>
      <c r="G532" s="50"/>
      <c r="H532" s="50"/>
    </row>
    <row r="533">
      <c r="D533" s="50"/>
      <c r="E533" s="50"/>
      <c r="F533" s="50"/>
      <c r="G533" s="50"/>
      <c r="H533" s="50"/>
    </row>
    <row r="534">
      <c r="D534" s="50"/>
      <c r="E534" s="50"/>
      <c r="F534" s="50"/>
      <c r="G534" s="50"/>
      <c r="H534" s="50"/>
    </row>
    <row r="535">
      <c r="D535" s="50"/>
      <c r="E535" s="50"/>
      <c r="F535" s="50"/>
      <c r="G535" s="50"/>
      <c r="H535" s="50"/>
    </row>
    <row r="536">
      <c r="D536" s="50"/>
      <c r="E536" s="50"/>
      <c r="F536" s="50"/>
      <c r="G536" s="50"/>
      <c r="H536" s="50"/>
    </row>
    <row r="537">
      <c r="D537" s="50"/>
      <c r="E537" s="50"/>
      <c r="F537" s="50"/>
      <c r="G537" s="50"/>
      <c r="H537" s="50"/>
    </row>
    <row r="538">
      <c r="D538" s="50"/>
      <c r="E538" s="50"/>
      <c r="F538" s="50"/>
      <c r="G538" s="50"/>
      <c r="H538" s="50"/>
    </row>
    <row r="539">
      <c r="D539" s="50"/>
      <c r="E539" s="50"/>
      <c r="F539" s="50"/>
      <c r="G539" s="50"/>
      <c r="H539" s="50"/>
    </row>
    <row r="540">
      <c r="D540" s="50"/>
      <c r="E540" s="50"/>
      <c r="F540" s="50"/>
      <c r="G540" s="50"/>
      <c r="H540" s="50"/>
    </row>
    <row r="541">
      <c r="D541" s="50"/>
      <c r="E541" s="50"/>
      <c r="F541" s="50"/>
      <c r="G541" s="50"/>
      <c r="H541" s="50"/>
    </row>
    <row r="542">
      <c r="D542" s="50"/>
      <c r="E542" s="50"/>
      <c r="F542" s="50"/>
      <c r="G542" s="50"/>
      <c r="H542" s="50"/>
    </row>
    <row r="543">
      <c r="D543" s="50"/>
      <c r="E543" s="50"/>
      <c r="F543" s="50"/>
      <c r="G543" s="50"/>
      <c r="H543" s="50"/>
    </row>
    <row r="544">
      <c r="D544" s="50"/>
      <c r="E544" s="50"/>
      <c r="F544" s="50"/>
      <c r="G544" s="50"/>
      <c r="H544" s="50"/>
    </row>
    <row r="545">
      <c r="D545" s="50"/>
      <c r="E545" s="50"/>
      <c r="F545" s="50"/>
      <c r="G545" s="50"/>
      <c r="H545" s="50"/>
    </row>
    <row r="546">
      <c r="D546" s="50"/>
      <c r="E546" s="50"/>
      <c r="F546" s="50"/>
      <c r="G546" s="50"/>
      <c r="H546" s="50"/>
    </row>
    <row r="547">
      <c r="D547" s="50"/>
      <c r="E547" s="50"/>
      <c r="F547" s="50"/>
      <c r="G547" s="50"/>
      <c r="H547" s="50"/>
    </row>
    <row r="548">
      <c r="D548" s="50"/>
      <c r="E548" s="50"/>
      <c r="F548" s="50"/>
      <c r="G548" s="50"/>
      <c r="H548" s="50"/>
    </row>
    <row r="549">
      <c r="D549" s="50"/>
      <c r="E549" s="50"/>
      <c r="F549" s="50"/>
      <c r="G549" s="50"/>
      <c r="H549" s="50"/>
    </row>
    <row r="550">
      <c r="D550" s="50"/>
      <c r="E550" s="50"/>
      <c r="F550" s="50"/>
      <c r="G550" s="50"/>
      <c r="H550" s="50"/>
    </row>
    <row r="551">
      <c r="D551" s="50"/>
      <c r="E551" s="50"/>
      <c r="F551" s="50"/>
      <c r="G551" s="50"/>
      <c r="H551" s="50"/>
    </row>
    <row r="552">
      <c r="D552" s="50"/>
      <c r="E552" s="50"/>
      <c r="F552" s="50"/>
      <c r="G552" s="50"/>
      <c r="H552" s="50"/>
    </row>
    <row r="553">
      <c r="D553" s="50"/>
      <c r="E553" s="50"/>
      <c r="F553" s="50"/>
      <c r="G553" s="50"/>
      <c r="H553" s="50"/>
    </row>
    <row r="554">
      <c r="D554" s="50"/>
      <c r="E554" s="50"/>
      <c r="F554" s="50"/>
      <c r="G554" s="50"/>
      <c r="H554" s="50"/>
    </row>
    <row r="555">
      <c r="D555" s="50"/>
      <c r="E555" s="50"/>
      <c r="F555" s="50"/>
      <c r="G555" s="50"/>
      <c r="H555" s="50"/>
    </row>
    <row r="556">
      <c r="D556" s="50"/>
      <c r="E556" s="50"/>
      <c r="F556" s="50"/>
      <c r="G556" s="50"/>
      <c r="H556" s="50"/>
    </row>
    <row r="557">
      <c r="D557" s="50"/>
      <c r="E557" s="50"/>
      <c r="F557" s="50"/>
      <c r="G557" s="50"/>
      <c r="H557" s="50"/>
    </row>
    <row r="558">
      <c r="D558" s="50"/>
      <c r="E558" s="50"/>
      <c r="F558" s="50"/>
      <c r="G558" s="50"/>
      <c r="H558" s="50"/>
    </row>
    <row r="559">
      <c r="D559" s="50"/>
      <c r="E559" s="50"/>
      <c r="F559" s="50"/>
      <c r="G559" s="50"/>
      <c r="H559" s="50"/>
    </row>
    <row r="560">
      <c r="D560" s="50"/>
      <c r="E560" s="50"/>
      <c r="F560" s="50"/>
      <c r="G560" s="50"/>
      <c r="H560" s="50"/>
    </row>
    <row r="561">
      <c r="D561" s="50"/>
      <c r="E561" s="50"/>
      <c r="F561" s="50"/>
      <c r="G561" s="50"/>
      <c r="H561" s="50"/>
    </row>
    <row r="562">
      <c r="D562" s="50"/>
      <c r="E562" s="50"/>
      <c r="F562" s="50"/>
      <c r="G562" s="50"/>
      <c r="H562" s="50"/>
    </row>
    <row r="563">
      <c r="D563" s="50"/>
      <c r="E563" s="50"/>
      <c r="F563" s="50"/>
      <c r="G563" s="50"/>
      <c r="H563" s="50"/>
    </row>
    <row r="564">
      <c r="D564" s="50"/>
      <c r="E564" s="50"/>
      <c r="F564" s="50"/>
      <c r="G564" s="50"/>
      <c r="H564" s="50"/>
    </row>
    <row r="565">
      <c r="D565" s="50"/>
      <c r="E565" s="50"/>
      <c r="F565" s="50"/>
      <c r="G565" s="50"/>
      <c r="H565" s="50"/>
    </row>
    <row r="566">
      <c r="D566" s="50"/>
      <c r="E566" s="50"/>
      <c r="F566" s="50"/>
      <c r="G566" s="50"/>
      <c r="H566" s="50"/>
    </row>
    <row r="567">
      <c r="D567" s="50"/>
      <c r="E567" s="50"/>
      <c r="F567" s="50"/>
      <c r="G567" s="50"/>
      <c r="H567" s="50"/>
    </row>
    <row r="568">
      <c r="D568" s="50"/>
      <c r="E568" s="50"/>
      <c r="F568" s="50"/>
      <c r="G568" s="50"/>
      <c r="H568" s="50"/>
    </row>
    <row r="569">
      <c r="D569" s="50"/>
      <c r="E569" s="50"/>
      <c r="F569" s="50"/>
      <c r="G569" s="50"/>
      <c r="H569" s="50"/>
    </row>
    <row r="570">
      <c r="D570" s="50"/>
      <c r="E570" s="50"/>
      <c r="F570" s="50"/>
      <c r="G570" s="50"/>
      <c r="H570" s="50"/>
    </row>
    <row r="571">
      <c r="D571" s="50"/>
      <c r="E571" s="50"/>
      <c r="F571" s="50"/>
      <c r="G571" s="50"/>
      <c r="H571" s="50"/>
    </row>
    <row r="572">
      <c r="D572" s="50"/>
      <c r="E572" s="50"/>
      <c r="F572" s="50"/>
      <c r="G572" s="50"/>
      <c r="H572" s="50"/>
    </row>
    <row r="573">
      <c r="D573" s="50"/>
      <c r="E573" s="50"/>
      <c r="F573" s="50"/>
      <c r="G573" s="50"/>
      <c r="H573" s="50"/>
    </row>
    <row r="574">
      <c r="D574" s="50"/>
      <c r="E574" s="50"/>
      <c r="F574" s="50"/>
      <c r="G574" s="50"/>
      <c r="H574" s="50"/>
    </row>
    <row r="575">
      <c r="D575" s="50"/>
      <c r="E575" s="50"/>
      <c r="F575" s="50"/>
      <c r="G575" s="50"/>
      <c r="H575" s="50"/>
    </row>
    <row r="576">
      <c r="D576" s="50"/>
      <c r="E576" s="50"/>
      <c r="F576" s="50"/>
      <c r="G576" s="50"/>
      <c r="H576" s="50"/>
    </row>
    <row r="577">
      <c r="D577" s="50"/>
      <c r="E577" s="50"/>
      <c r="F577" s="50"/>
      <c r="G577" s="50"/>
      <c r="H577" s="50"/>
    </row>
    <row r="578">
      <c r="D578" s="50"/>
      <c r="E578" s="50"/>
      <c r="F578" s="50"/>
      <c r="G578" s="50"/>
      <c r="H578" s="50"/>
    </row>
    <row r="579">
      <c r="D579" s="50"/>
      <c r="E579" s="50"/>
      <c r="F579" s="50"/>
      <c r="G579" s="50"/>
      <c r="H579" s="50"/>
    </row>
    <row r="580">
      <c r="D580" s="50"/>
      <c r="E580" s="50"/>
      <c r="F580" s="50"/>
      <c r="G580" s="50"/>
      <c r="H580" s="50"/>
    </row>
    <row r="581">
      <c r="D581" s="50"/>
      <c r="E581" s="50"/>
      <c r="F581" s="50"/>
      <c r="G581" s="50"/>
      <c r="H581" s="50"/>
    </row>
    <row r="582">
      <c r="D582" s="50"/>
      <c r="E582" s="50"/>
      <c r="F582" s="50"/>
      <c r="G582" s="50"/>
      <c r="H582" s="50"/>
    </row>
    <row r="583">
      <c r="D583" s="50"/>
      <c r="E583" s="50"/>
      <c r="F583" s="50"/>
      <c r="G583" s="50"/>
      <c r="H583" s="50"/>
    </row>
    <row r="584">
      <c r="D584" s="50"/>
      <c r="E584" s="50"/>
      <c r="F584" s="50"/>
      <c r="G584" s="50"/>
      <c r="H584" s="50"/>
    </row>
    <row r="585">
      <c r="D585" s="50"/>
      <c r="E585" s="50"/>
      <c r="F585" s="50"/>
      <c r="G585" s="50"/>
      <c r="H585" s="50"/>
    </row>
    <row r="586">
      <c r="D586" s="50"/>
      <c r="E586" s="50"/>
      <c r="F586" s="50"/>
      <c r="G586" s="50"/>
      <c r="H586" s="50"/>
    </row>
    <row r="587">
      <c r="D587" s="50"/>
      <c r="E587" s="50"/>
      <c r="F587" s="50"/>
      <c r="G587" s="50"/>
      <c r="H587" s="50"/>
    </row>
    <row r="588">
      <c r="D588" s="50"/>
      <c r="E588" s="50"/>
      <c r="F588" s="50"/>
      <c r="G588" s="50"/>
      <c r="H588" s="50"/>
    </row>
    <row r="589">
      <c r="D589" s="50"/>
      <c r="E589" s="50"/>
      <c r="F589" s="50"/>
      <c r="G589" s="50"/>
      <c r="H589" s="50"/>
    </row>
    <row r="590">
      <c r="D590" s="50"/>
      <c r="E590" s="50"/>
      <c r="F590" s="50"/>
      <c r="G590" s="50"/>
      <c r="H590" s="50"/>
    </row>
    <row r="591">
      <c r="D591" s="50"/>
      <c r="E591" s="50"/>
      <c r="F591" s="50"/>
      <c r="G591" s="50"/>
      <c r="H591" s="50"/>
    </row>
    <row r="592">
      <c r="D592" s="50"/>
      <c r="E592" s="50"/>
      <c r="F592" s="50"/>
      <c r="G592" s="50"/>
      <c r="H592" s="50"/>
    </row>
    <row r="593">
      <c r="D593" s="50"/>
      <c r="E593" s="50"/>
      <c r="F593" s="50"/>
      <c r="G593" s="50"/>
      <c r="H593" s="50"/>
    </row>
    <row r="594">
      <c r="D594" s="50"/>
      <c r="E594" s="50"/>
      <c r="F594" s="50"/>
      <c r="G594" s="50"/>
      <c r="H594" s="50"/>
    </row>
    <row r="595">
      <c r="D595" s="50"/>
      <c r="E595" s="50"/>
      <c r="F595" s="50"/>
      <c r="G595" s="50"/>
      <c r="H595" s="50"/>
    </row>
    <row r="596">
      <c r="D596" s="50"/>
      <c r="E596" s="50"/>
      <c r="F596" s="50"/>
      <c r="G596" s="50"/>
      <c r="H596" s="50"/>
    </row>
    <row r="597">
      <c r="D597" s="50"/>
      <c r="E597" s="50"/>
      <c r="F597" s="50"/>
      <c r="G597" s="50"/>
      <c r="H597" s="50"/>
    </row>
    <row r="598">
      <c r="D598" s="50"/>
      <c r="E598" s="50"/>
      <c r="F598" s="50"/>
      <c r="G598" s="50"/>
      <c r="H598" s="50"/>
    </row>
    <row r="599">
      <c r="D599" s="50"/>
      <c r="E599" s="50"/>
      <c r="F599" s="50"/>
      <c r="G599" s="50"/>
      <c r="H599" s="50"/>
    </row>
    <row r="600">
      <c r="D600" s="50"/>
      <c r="E600" s="50"/>
      <c r="F600" s="50"/>
      <c r="G600" s="50"/>
      <c r="H600" s="50"/>
    </row>
    <row r="601">
      <c r="D601" s="50"/>
      <c r="E601" s="50"/>
      <c r="F601" s="50"/>
      <c r="G601" s="50"/>
      <c r="H601" s="50"/>
    </row>
    <row r="602">
      <c r="D602" s="50"/>
      <c r="E602" s="50"/>
      <c r="F602" s="50"/>
      <c r="G602" s="50"/>
      <c r="H602" s="50"/>
    </row>
    <row r="603">
      <c r="D603" s="50"/>
      <c r="E603" s="50"/>
      <c r="F603" s="50"/>
      <c r="G603" s="50"/>
      <c r="H603" s="50"/>
    </row>
    <row r="604">
      <c r="D604" s="50"/>
      <c r="E604" s="50"/>
      <c r="F604" s="50"/>
      <c r="G604" s="50"/>
      <c r="H604" s="50"/>
    </row>
    <row r="605">
      <c r="D605" s="50"/>
      <c r="E605" s="50"/>
      <c r="F605" s="50"/>
      <c r="G605" s="50"/>
      <c r="H605" s="50"/>
    </row>
    <row r="606">
      <c r="D606" s="50"/>
      <c r="E606" s="50"/>
      <c r="F606" s="50"/>
      <c r="G606" s="50"/>
      <c r="H606" s="50"/>
    </row>
    <row r="607">
      <c r="D607" s="50"/>
      <c r="E607" s="50"/>
      <c r="F607" s="50"/>
      <c r="G607" s="50"/>
      <c r="H607" s="50"/>
    </row>
    <row r="608">
      <c r="D608" s="50"/>
      <c r="E608" s="50"/>
      <c r="F608" s="50"/>
      <c r="G608" s="50"/>
      <c r="H608" s="50"/>
    </row>
    <row r="609">
      <c r="D609" s="50"/>
      <c r="E609" s="50"/>
      <c r="F609" s="50"/>
      <c r="G609" s="50"/>
      <c r="H609" s="50"/>
    </row>
    <row r="610">
      <c r="D610" s="50"/>
      <c r="E610" s="50"/>
      <c r="F610" s="50"/>
      <c r="G610" s="50"/>
      <c r="H610" s="50"/>
    </row>
    <row r="611">
      <c r="D611" s="50"/>
      <c r="E611" s="50"/>
      <c r="F611" s="50"/>
      <c r="G611" s="50"/>
      <c r="H611" s="50"/>
    </row>
    <row r="612">
      <c r="D612" s="50"/>
      <c r="E612" s="50"/>
      <c r="F612" s="50"/>
      <c r="G612" s="50"/>
      <c r="H612" s="50"/>
    </row>
    <row r="613">
      <c r="D613" s="50"/>
      <c r="E613" s="50"/>
      <c r="F613" s="50"/>
      <c r="G613" s="50"/>
      <c r="H613" s="50"/>
    </row>
    <row r="614">
      <c r="D614" s="50"/>
      <c r="E614" s="50"/>
      <c r="F614" s="50"/>
      <c r="G614" s="50"/>
      <c r="H614" s="50"/>
    </row>
    <row r="615">
      <c r="D615" s="50"/>
      <c r="E615" s="50"/>
      <c r="F615" s="50"/>
      <c r="G615" s="50"/>
      <c r="H615" s="50"/>
    </row>
    <row r="616">
      <c r="D616" s="50"/>
      <c r="E616" s="50"/>
      <c r="F616" s="50"/>
      <c r="G616" s="50"/>
      <c r="H616" s="50"/>
    </row>
    <row r="617">
      <c r="D617" s="50"/>
      <c r="E617" s="50"/>
      <c r="F617" s="50"/>
      <c r="G617" s="50"/>
      <c r="H617" s="50"/>
    </row>
    <row r="618">
      <c r="D618" s="50"/>
      <c r="E618" s="50"/>
      <c r="F618" s="50"/>
      <c r="G618" s="50"/>
      <c r="H618" s="50"/>
    </row>
    <row r="619">
      <c r="D619" s="50"/>
      <c r="E619" s="50"/>
      <c r="F619" s="50"/>
      <c r="G619" s="50"/>
      <c r="H619" s="50"/>
    </row>
    <row r="620">
      <c r="D620" s="50"/>
      <c r="E620" s="50"/>
      <c r="F620" s="50"/>
      <c r="G620" s="50"/>
      <c r="H620" s="50"/>
    </row>
    <row r="621">
      <c r="D621" s="50"/>
      <c r="E621" s="50"/>
      <c r="F621" s="50"/>
      <c r="G621" s="50"/>
      <c r="H621" s="50"/>
    </row>
    <row r="622">
      <c r="D622" s="50"/>
      <c r="E622" s="50"/>
      <c r="F622" s="50"/>
      <c r="G622" s="50"/>
      <c r="H622" s="50"/>
    </row>
    <row r="623">
      <c r="D623" s="50"/>
      <c r="E623" s="50"/>
      <c r="F623" s="50"/>
      <c r="G623" s="50"/>
      <c r="H623" s="50"/>
    </row>
    <row r="624">
      <c r="D624" s="50"/>
      <c r="E624" s="50"/>
      <c r="F624" s="50"/>
      <c r="G624" s="50"/>
      <c r="H624" s="50"/>
    </row>
    <row r="625">
      <c r="D625" s="50"/>
      <c r="E625" s="50"/>
      <c r="F625" s="50"/>
      <c r="G625" s="50"/>
      <c r="H625" s="50"/>
    </row>
    <row r="626">
      <c r="D626" s="50"/>
      <c r="E626" s="50"/>
      <c r="F626" s="50"/>
      <c r="G626" s="50"/>
      <c r="H626" s="50"/>
    </row>
    <row r="627">
      <c r="D627" s="50"/>
      <c r="E627" s="50"/>
      <c r="F627" s="50"/>
      <c r="G627" s="50"/>
      <c r="H627" s="50"/>
    </row>
    <row r="628">
      <c r="D628" s="50"/>
      <c r="E628" s="50"/>
      <c r="F628" s="50"/>
      <c r="G628" s="50"/>
      <c r="H628" s="50"/>
    </row>
    <row r="629">
      <c r="D629" s="50"/>
      <c r="E629" s="50"/>
      <c r="F629" s="50"/>
      <c r="G629" s="50"/>
      <c r="H629" s="50"/>
    </row>
    <row r="630">
      <c r="D630" s="50"/>
      <c r="E630" s="50"/>
      <c r="F630" s="50"/>
      <c r="G630" s="50"/>
      <c r="H630" s="50"/>
    </row>
    <row r="631">
      <c r="D631" s="50"/>
      <c r="E631" s="50"/>
      <c r="F631" s="50"/>
      <c r="G631" s="50"/>
      <c r="H631" s="50"/>
    </row>
    <row r="632">
      <c r="D632" s="50"/>
      <c r="E632" s="50"/>
      <c r="F632" s="50"/>
      <c r="G632" s="50"/>
      <c r="H632" s="50"/>
    </row>
    <row r="633">
      <c r="D633" s="50"/>
      <c r="E633" s="50"/>
      <c r="F633" s="50"/>
      <c r="G633" s="50"/>
      <c r="H633" s="50"/>
    </row>
    <row r="634">
      <c r="D634" s="50"/>
      <c r="E634" s="50"/>
      <c r="F634" s="50"/>
      <c r="G634" s="50"/>
      <c r="H634" s="50"/>
    </row>
    <row r="635">
      <c r="D635" s="50"/>
      <c r="E635" s="50"/>
      <c r="F635" s="50"/>
      <c r="G635" s="50"/>
      <c r="H635" s="50"/>
    </row>
    <row r="636">
      <c r="D636" s="50"/>
      <c r="E636" s="50"/>
      <c r="F636" s="50"/>
      <c r="G636" s="50"/>
      <c r="H636" s="50"/>
    </row>
    <row r="637">
      <c r="D637" s="50"/>
      <c r="E637" s="50"/>
      <c r="F637" s="50"/>
      <c r="G637" s="50"/>
      <c r="H637" s="50"/>
    </row>
    <row r="638">
      <c r="D638" s="50"/>
      <c r="E638" s="50"/>
      <c r="F638" s="50"/>
      <c r="G638" s="50"/>
      <c r="H638" s="50"/>
    </row>
    <row r="639">
      <c r="D639" s="50"/>
      <c r="E639" s="50"/>
      <c r="F639" s="50"/>
      <c r="G639" s="50"/>
      <c r="H639" s="50"/>
    </row>
    <row r="640">
      <c r="D640" s="50"/>
      <c r="E640" s="50"/>
      <c r="F640" s="50"/>
      <c r="G640" s="50"/>
      <c r="H640" s="50"/>
    </row>
    <row r="641">
      <c r="D641" s="50"/>
      <c r="E641" s="50"/>
      <c r="F641" s="50"/>
      <c r="G641" s="50"/>
      <c r="H641" s="50"/>
    </row>
    <row r="642">
      <c r="D642" s="50"/>
      <c r="E642" s="50"/>
      <c r="F642" s="50"/>
      <c r="G642" s="50"/>
      <c r="H642" s="50"/>
    </row>
    <row r="643">
      <c r="D643" s="50"/>
      <c r="E643" s="50"/>
      <c r="F643" s="50"/>
      <c r="G643" s="50"/>
      <c r="H643" s="50"/>
    </row>
    <row r="644">
      <c r="D644" s="50"/>
      <c r="E644" s="50"/>
      <c r="F644" s="50"/>
      <c r="G644" s="50"/>
      <c r="H644" s="50"/>
    </row>
    <row r="645">
      <c r="D645" s="50"/>
      <c r="E645" s="50"/>
      <c r="F645" s="50"/>
      <c r="G645" s="50"/>
      <c r="H645" s="50"/>
    </row>
    <row r="646">
      <c r="D646" s="50"/>
      <c r="E646" s="50"/>
      <c r="F646" s="50"/>
      <c r="G646" s="50"/>
      <c r="H646" s="50"/>
    </row>
    <row r="647">
      <c r="D647" s="50"/>
      <c r="E647" s="50"/>
      <c r="F647" s="50"/>
      <c r="G647" s="50"/>
      <c r="H647" s="50"/>
    </row>
    <row r="648">
      <c r="D648" s="50"/>
      <c r="E648" s="50"/>
      <c r="F648" s="50"/>
      <c r="G648" s="50"/>
      <c r="H648" s="50"/>
    </row>
    <row r="649">
      <c r="D649" s="50"/>
      <c r="E649" s="50"/>
      <c r="F649" s="50"/>
      <c r="G649" s="50"/>
      <c r="H649" s="50"/>
    </row>
    <row r="650">
      <c r="D650" s="50"/>
      <c r="E650" s="50"/>
      <c r="F650" s="50"/>
      <c r="G650" s="50"/>
      <c r="H650" s="50"/>
    </row>
    <row r="651">
      <c r="D651" s="50"/>
      <c r="E651" s="50"/>
      <c r="F651" s="50"/>
      <c r="G651" s="50"/>
      <c r="H651" s="50"/>
    </row>
    <row r="652">
      <c r="D652" s="50"/>
      <c r="E652" s="50"/>
      <c r="F652" s="50"/>
      <c r="G652" s="50"/>
      <c r="H652" s="50"/>
    </row>
    <row r="653">
      <c r="D653" s="50"/>
      <c r="E653" s="50"/>
      <c r="F653" s="50"/>
      <c r="G653" s="50"/>
      <c r="H653" s="50"/>
    </row>
    <row r="654">
      <c r="D654" s="50"/>
      <c r="E654" s="50"/>
      <c r="F654" s="50"/>
      <c r="G654" s="50"/>
      <c r="H654" s="50"/>
    </row>
    <row r="655">
      <c r="D655" s="50"/>
      <c r="E655" s="50"/>
      <c r="F655" s="50"/>
      <c r="G655" s="50"/>
      <c r="H655" s="50"/>
    </row>
    <row r="656">
      <c r="D656" s="50"/>
      <c r="E656" s="50"/>
      <c r="F656" s="50"/>
      <c r="G656" s="50"/>
      <c r="H656" s="50"/>
    </row>
    <row r="657">
      <c r="D657" s="50"/>
      <c r="E657" s="50"/>
      <c r="F657" s="50"/>
      <c r="G657" s="50"/>
      <c r="H657" s="50"/>
    </row>
    <row r="658">
      <c r="D658" s="50"/>
      <c r="E658" s="50"/>
      <c r="F658" s="50"/>
      <c r="G658" s="50"/>
      <c r="H658" s="50"/>
    </row>
    <row r="659">
      <c r="D659" s="50"/>
      <c r="E659" s="50"/>
      <c r="F659" s="50"/>
      <c r="G659" s="50"/>
      <c r="H659" s="50"/>
    </row>
    <row r="660">
      <c r="D660" s="50"/>
      <c r="E660" s="50"/>
      <c r="F660" s="50"/>
      <c r="G660" s="50"/>
      <c r="H660" s="50"/>
    </row>
    <row r="661">
      <c r="D661" s="50"/>
      <c r="E661" s="50"/>
      <c r="F661" s="50"/>
      <c r="G661" s="50"/>
      <c r="H661" s="50"/>
    </row>
    <row r="662">
      <c r="D662" s="50"/>
      <c r="E662" s="50"/>
      <c r="F662" s="50"/>
      <c r="G662" s="50"/>
      <c r="H662" s="50"/>
    </row>
    <row r="663">
      <c r="D663" s="50"/>
      <c r="E663" s="50"/>
      <c r="F663" s="50"/>
      <c r="G663" s="50"/>
      <c r="H663" s="50"/>
    </row>
    <row r="664">
      <c r="D664" s="50"/>
      <c r="E664" s="50"/>
      <c r="F664" s="50"/>
      <c r="G664" s="50"/>
      <c r="H664" s="50"/>
    </row>
    <row r="665">
      <c r="D665" s="50"/>
      <c r="E665" s="50"/>
      <c r="F665" s="50"/>
      <c r="G665" s="50"/>
      <c r="H665" s="50"/>
    </row>
    <row r="666">
      <c r="D666" s="50"/>
      <c r="E666" s="50"/>
      <c r="F666" s="50"/>
      <c r="G666" s="50"/>
      <c r="H666" s="50"/>
    </row>
    <row r="667">
      <c r="D667" s="50"/>
      <c r="E667" s="50"/>
      <c r="F667" s="50"/>
      <c r="G667" s="50"/>
      <c r="H667" s="50"/>
    </row>
    <row r="668">
      <c r="D668" s="50"/>
      <c r="E668" s="50"/>
      <c r="F668" s="50"/>
      <c r="G668" s="50"/>
      <c r="H668" s="50"/>
    </row>
    <row r="669">
      <c r="D669" s="50"/>
      <c r="E669" s="50"/>
      <c r="F669" s="50"/>
      <c r="G669" s="50"/>
      <c r="H669" s="50"/>
    </row>
    <row r="670">
      <c r="D670" s="50"/>
      <c r="E670" s="50"/>
      <c r="F670" s="50"/>
      <c r="G670" s="50"/>
      <c r="H670" s="50"/>
    </row>
    <row r="671">
      <c r="D671" s="50"/>
      <c r="E671" s="50"/>
      <c r="F671" s="50"/>
      <c r="G671" s="50"/>
      <c r="H671" s="50"/>
    </row>
    <row r="672">
      <c r="D672" s="50"/>
      <c r="E672" s="50"/>
      <c r="F672" s="50"/>
      <c r="G672" s="50"/>
      <c r="H672" s="50"/>
    </row>
    <row r="673">
      <c r="D673" s="50"/>
      <c r="E673" s="50"/>
      <c r="F673" s="50"/>
      <c r="G673" s="50"/>
      <c r="H673" s="50"/>
    </row>
    <row r="674">
      <c r="D674" s="50"/>
      <c r="E674" s="50"/>
      <c r="F674" s="50"/>
      <c r="G674" s="50"/>
      <c r="H674" s="50"/>
    </row>
    <row r="675">
      <c r="D675" s="50"/>
      <c r="E675" s="50"/>
      <c r="F675" s="50"/>
      <c r="G675" s="50"/>
      <c r="H675" s="50"/>
    </row>
    <row r="676">
      <c r="D676" s="50"/>
      <c r="E676" s="50"/>
      <c r="F676" s="50"/>
      <c r="G676" s="50"/>
      <c r="H676" s="50"/>
    </row>
    <row r="677">
      <c r="D677" s="50"/>
      <c r="E677" s="50"/>
      <c r="F677" s="50"/>
      <c r="G677" s="50"/>
      <c r="H677" s="50"/>
    </row>
    <row r="678">
      <c r="D678" s="50"/>
      <c r="E678" s="50"/>
      <c r="F678" s="50"/>
      <c r="G678" s="50"/>
      <c r="H678" s="50"/>
    </row>
    <row r="679">
      <c r="D679" s="50"/>
      <c r="E679" s="50"/>
      <c r="F679" s="50"/>
      <c r="G679" s="50"/>
      <c r="H679" s="50"/>
    </row>
    <row r="680">
      <c r="D680" s="50"/>
      <c r="E680" s="50"/>
      <c r="F680" s="50"/>
      <c r="G680" s="50"/>
      <c r="H680" s="50"/>
    </row>
    <row r="681">
      <c r="D681" s="50"/>
      <c r="E681" s="50"/>
      <c r="F681" s="50"/>
      <c r="G681" s="50"/>
      <c r="H681" s="50"/>
    </row>
    <row r="682">
      <c r="D682" s="50"/>
      <c r="E682" s="50"/>
      <c r="F682" s="50"/>
      <c r="G682" s="50"/>
      <c r="H682" s="50"/>
    </row>
    <row r="683">
      <c r="D683" s="50"/>
      <c r="E683" s="50"/>
      <c r="F683" s="50"/>
      <c r="G683" s="50"/>
      <c r="H683" s="50"/>
    </row>
    <row r="684">
      <c r="D684" s="50"/>
      <c r="E684" s="50"/>
      <c r="F684" s="50"/>
      <c r="G684" s="50"/>
      <c r="H684" s="50"/>
    </row>
    <row r="685">
      <c r="D685" s="50"/>
      <c r="E685" s="50"/>
      <c r="F685" s="50"/>
      <c r="G685" s="50"/>
      <c r="H685" s="50"/>
    </row>
    <row r="686">
      <c r="D686" s="50"/>
      <c r="E686" s="50"/>
      <c r="F686" s="50"/>
      <c r="G686" s="50"/>
      <c r="H686" s="50"/>
    </row>
    <row r="687">
      <c r="D687" s="50"/>
      <c r="E687" s="50"/>
      <c r="F687" s="50"/>
      <c r="G687" s="50"/>
      <c r="H687" s="50"/>
    </row>
    <row r="688">
      <c r="D688" s="50"/>
      <c r="E688" s="50"/>
      <c r="F688" s="50"/>
      <c r="G688" s="50"/>
      <c r="H688" s="50"/>
    </row>
    <row r="689">
      <c r="D689" s="50"/>
      <c r="E689" s="50"/>
      <c r="F689" s="50"/>
      <c r="G689" s="50"/>
      <c r="H689" s="50"/>
    </row>
    <row r="690">
      <c r="D690" s="50"/>
      <c r="E690" s="50"/>
      <c r="F690" s="50"/>
      <c r="G690" s="50"/>
      <c r="H690" s="50"/>
    </row>
    <row r="691">
      <c r="D691" s="50"/>
      <c r="E691" s="50"/>
      <c r="F691" s="50"/>
      <c r="G691" s="50"/>
      <c r="H691" s="50"/>
    </row>
    <row r="692">
      <c r="D692" s="50"/>
      <c r="E692" s="50"/>
      <c r="F692" s="50"/>
      <c r="G692" s="50"/>
      <c r="H692" s="50"/>
    </row>
    <row r="693">
      <c r="D693" s="50"/>
      <c r="E693" s="50"/>
      <c r="F693" s="50"/>
      <c r="G693" s="50"/>
      <c r="H693" s="50"/>
    </row>
    <row r="694">
      <c r="D694" s="50"/>
      <c r="E694" s="50"/>
      <c r="F694" s="50"/>
      <c r="G694" s="50"/>
      <c r="H694" s="50"/>
    </row>
    <row r="695">
      <c r="D695" s="50"/>
      <c r="E695" s="50"/>
      <c r="F695" s="50"/>
      <c r="G695" s="50"/>
      <c r="H695" s="50"/>
    </row>
    <row r="696">
      <c r="D696" s="50"/>
      <c r="E696" s="50"/>
      <c r="F696" s="50"/>
      <c r="G696" s="50"/>
      <c r="H696" s="50"/>
    </row>
    <row r="697">
      <c r="D697" s="50"/>
      <c r="E697" s="50"/>
      <c r="F697" s="50"/>
      <c r="G697" s="50"/>
      <c r="H697" s="50"/>
    </row>
    <row r="698">
      <c r="D698" s="50"/>
      <c r="E698" s="50"/>
      <c r="F698" s="50"/>
      <c r="G698" s="50"/>
      <c r="H698" s="50"/>
    </row>
    <row r="699">
      <c r="D699" s="50"/>
      <c r="E699" s="50"/>
      <c r="F699" s="50"/>
      <c r="G699" s="50"/>
      <c r="H699" s="50"/>
    </row>
    <row r="700">
      <c r="D700" s="50"/>
      <c r="E700" s="50"/>
      <c r="F700" s="50"/>
      <c r="G700" s="50"/>
      <c r="H700" s="50"/>
    </row>
    <row r="701">
      <c r="D701" s="50"/>
      <c r="E701" s="50"/>
      <c r="F701" s="50"/>
      <c r="G701" s="50"/>
      <c r="H701" s="50"/>
    </row>
    <row r="702">
      <c r="D702" s="50"/>
      <c r="E702" s="50"/>
      <c r="F702" s="50"/>
      <c r="G702" s="50"/>
      <c r="H702" s="50"/>
    </row>
    <row r="703">
      <c r="D703" s="50"/>
      <c r="E703" s="50"/>
      <c r="F703" s="50"/>
      <c r="G703" s="50"/>
      <c r="H703" s="50"/>
    </row>
    <row r="704">
      <c r="D704" s="50"/>
      <c r="E704" s="50"/>
      <c r="F704" s="50"/>
      <c r="G704" s="50"/>
      <c r="H704" s="50"/>
    </row>
    <row r="705">
      <c r="D705" s="50"/>
      <c r="E705" s="50"/>
      <c r="F705" s="50"/>
      <c r="G705" s="50"/>
      <c r="H705" s="50"/>
    </row>
    <row r="706">
      <c r="D706" s="50"/>
      <c r="E706" s="50"/>
      <c r="F706" s="50"/>
      <c r="G706" s="50"/>
      <c r="H706" s="50"/>
    </row>
    <row r="707">
      <c r="D707" s="50"/>
      <c r="E707" s="50"/>
      <c r="F707" s="50"/>
      <c r="G707" s="50"/>
      <c r="H707" s="50"/>
    </row>
    <row r="708">
      <c r="D708" s="50"/>
      <c r="E708" s="50"/>
      <c r="F708" s="50"/>
      <c r="G708" s="50"/>
      <c r="H708" s="50"/>
    </row>
    <row r="709">
      <c r="D709" s="50"/>
      <c r="E709" s="50"/>
      <c r="F709" s="50"/>
      <c r="G709" s="50"/>
      <c r="H709" s="50"/>
    </row>
    <row r="710">
      <c r="D710" s="50"/>
      <c r="E710" s="50"/>
      <c r="F710" s="50"/>
      <c r="G710" s="50"/>
      <c r="H710" s="50"/>
    </row>
    <row r="711">
      <c r="D711" s="50"/>
      <c r="E711" s="50"/>
      <c r="F711" s="50"/>
      <c r="G711" s="50"/>
      <c r="H711" s="50"/>
    </row>
    <row r="712">
      <c r="D712" s="50"/>
      <c r="E712" s="50"/>
      <c r="F712" s="50"/>
      <c r="G712" s="50"/>
      <c r="H712" s="50"/>
    </row>
    <row r="713">
      <c r="D713" s="50"/>
      <c r="E713" s="50"/>
      <c r="F713" s="50"/>
      <c r="G713" s="50"/>
      <c r="H713" s="50"/>
    </row>
    <row r="714">
      <c r="D714" s="50"/>
      <c r="E714" s="50"/>
      <c r="F714" s="50"/>
      <c r="G714" s="50"/>
      <c r="H714" s="50"/>
    </row>
    <row r="715">
      <c r="D715" s="50"/>
      <c r="E715" s="50"/>
      <c r="F715" s="50"/>
      <c r="G715" s="50"/>
      <c r="H715" s="50"/>
    </row>
    <row r="716">
      <c r="D716" s="50"/>
      <c r="E716" s="50"/>
      <c r="F716" s="50"/>
      <c r="G716" s="50"/>
      <c r="H716" s="50"/>
    </row>
    <row r="717">
      <c r="D717" s="50"/>
      <c r="E717" s="50"/>
      <c r="F717" s="50"/>
      <c r="G717" s="50"/>
      <c r="H717" s="50"/>
    </row>
    <row r="718">
      <c r="D718" s="50"/>
      <c r="E718" s="50"/>
      <c r="F718" s="50"/>
      <c r="G718" s="50"/>
      <c r="H718" s="50"/>
    </row>
    <row r="719">
      <c r="D719" s="50"/>
      <c r="E719" s="50"/>
      <c r="F719" s="50"/>
      <c r="G719" s="50"/>
      <c r="H719" s="50"/>
    </row>
    <row r="720">
      <c r="D720" s="50"/>
      <c r="E720" s="50"/>
      <c r="F720" s="50"/>
      <c r="G720" s="50"/>
      <c r="H720" s="50"/>
    </row>
    <row r="721">
      <c r="D721" s="50"/>
      <c r="E721" s="50"/>
      <c r="F721" s="50"/>
      <c r="G721" s="50"/>
      <c r="H721" s="50"/>
    </row>
    <row r="722">
      <c r="D722" s="50"/>
      <c r="E722" s="50"/>
      <c r="F722" s="50"/>
      <c r="G722" s="50"/>
      <c r="H722" s="50"/>
    </row>
    <row r="723">
      <c r="D723" s="50"/>
      <c r="E723" s="50"/>
      <c r="F723" s="50"/>
      <c r="G723" s="50"/>
      <c r="H723" s="50"/>
    </row>
    <row r="724">
      <c r="D724" s="50"/>
      <c r="E724" s="50"/>
      <c r="F724" s="50"/>
      <c r="G724" s="50"/>
      <c r="H724" s="50"/>
    </row>
    <row r="725">
      <c r="D725" s="50"/>
      <c r="E725" s="50"/>
      <c r="F725" s="50"/>
      <c r="G725" s="50"/>
      <c r="H725" s="50"/>
    </row>
    <row r="726">
      <c r="D726" s="50"/>
      <c r="E726" s="50"/>
      <c r="F726" s="50"/>
      <c r="G726" s="50"/>
      <c r="H726" s="50"/>
    </row>
    <row r="727">
      <c r="D727" s="50"/>
      <c r="E727" s="50"/>
      <c r="F727" s="50"/>
      <c r="G727" s="50"/>
      <c r="H727" s="50"/>
    </row>
    <row r="728">
      <c r="D728" s="50"/>
      <c r="E728" s="50"/>
      <c r="F728" s="50"/>
      <c r="G728" s="50"/>
      <c r="H728" s="50"/>
    </row>
    <row r="729">
      <c r="D729" s="50"/>
      <c r="E729" s="50"/>
      <c r="F729" s="50"/>
      <c r="G729" s="50"/>
      <c r="H729" s="50"/>
    </row>
    <row r="730">
      <c r="D730" s="50"/>
      <c r="E730" s="50"/>
      <c r="F730" s="50"/>
      <c r="G730" s="50"/>
      <c r="H730" s="50"/>
    </row>
    <row r="731">
      <c r="D731" s="50"/>
      <c r="E731" s="50"/>
      <c r="F731" s="50"/>
      <c r="G731" s="50"/>
      <c r="H731" s="50"/>
    </row>
    <row r="732">
      <c r="D732" s="50"/>
      <c r="E732" s="50"/>
      <c r="F732" s="50"/>
      <c r="G732" s="50"/>
      <c r="H732" s="50"/>
    </row>
    <row r="733">
      <c r="D733" s="50"/>
      <c r="E733" s="50"/>
      <c r="F733" s="50"/>
      <c r="G733" s="50"/>
      <c r="H733" s="50"/>
    </row>
    <row r="734">
      <c r="D734" s="50"/>
      <c r="E734" s="50"/>
      <c r="F734" s="50"/>
      <c r="G734" s="50"/>
      <c r="H734" s="50"/>
    </row>
    <row r="735">
      <c r="D735" s="50"/>
      <c r="E735" s="50"/>
      <c r="F735" s="50"/>
      <c r="G735" s="50"/>
      <c r="H735" s="50"/>
    </row>
    <row r="736">
      <c r="D736" s="50"/>
      <c r="E736" s="50"/>
      <c r="F736" s="50"/>
      <c r="G736" s="50"/>
      <c r="H736" s="50"/>
    </row>
    <row r="737">
      <c r="D737" s="50"/>
      <c r="E737" s="50"/>
      <c r="F737" s="50"/>
      <c r="G737" s="50"/>
      <c r="H737" s="50"/>
    </row>
    <row r="738">
      <c r="D738" s="50"/>
      <c r="E738" s="50"/>
      <c r="F738" s="50"/>
      <c r="G738" s="50"/>
      <c r="H738" s="50"/>
    </row>
    <row r="739">
      <c r="D739" s="50"/>
      <c r="E739" s="50"/>
      <c r="F739" s="50"/>
      <c r="G739" s="50"/>
      <c r="H739" s="50"/>
    </row>
    <row r="740">
      <c r="D740" s="50"/>
      <c r="E740" s="50"/>
      <c r="F740" s="50"/>
      <c r="G740" s="50"/>
      <c r="H740" s="50"/>
    </row>
    <row r="741">
      <c r="D741" s="50"/>
      <c r="E741" s="50"/>
      <c r="F741" s="50"/>
      <c r="G741" s="50"/>
      <c r="H741" s="50"/>
    </row>
    <row r="742">
      <c r="D742" s="50"/>
      <c r="E742" s="50"/>
      <c r="F742" s="50"/>
      <c r="G742" s="50"/>
      <c r="H742" s="50"/>
    </row>
    <row r="743">
      <c r="D743" s="50"/>
      <c r="E743" s="50"/>
      <c r="F743" s="50"/>
      <c r="G743" s="50"/>
      <c r="H743" s="50"/>
    </row>
    <row r="744">
      <c r="D744" s="50"/>
      <c r="E744" s="50"/>
      <c r="F744" s="50"/>
      <c r="G744" s="50"/>
      <c r="H744" s="50"/>
    </row>
    <row r="745">
      <c r="D745" s="50"/>
      <c r="E745" s="50"/>
      <c r="F745" s="50"/>
      <c r="G745" s="50"/>
      <c r="H745" s="50"/>
    </row>
    <row r="746">
      <c r="D746" s="50"/>
      <c r="E746" s="50"/>
      <c r="F746" s="50"/>
      <c r="G746" s="50"/>
      <c r="H746" s="50"/>
    </row>
    <row r="747">
      <c r="D747" s="50"/>
      <c r="E747" s="50"/>
      <c r="F747" s="50"/>
      <c r="G747" s="50"/>
      <c r="H747" s="50"/>
    </row>
    <row r="748">
      <c r="D748" s="50"/>
      <c r="E748" s="50"/>
      <c r="F748" s="50"/>
      <c r="G748" s="50"/>
      <c r="H748" s="50"/>
    </row>
    <row r="749">
      <c r="D749" s="50"/>
      <c r="E749" s="50"/>
      <c r="F749" s="50"/>
      <c r="G749" s="50"/>
      <c r="H749" s="50"/>
    </row>
    <row r="750">
      <c r="D750" s="50"/>
      <c r="E750" s="50"/>
      <c r="F750" s="50"/>
      <c r="G750" s="50"/>
      <c r="H750" s="50"/>
    </row>
    <row r="751">
      <c r="D751" s="50"/>
      <c r="E751" s="50"/>
      <c r="F751" s="50"/>
      <c r="G751" s="50"/>
      <c r="H751" s="50"/>
    </row>
    <row r="752">
      <c r="D752" s="50"/>
      <c r="E752" s="50"/>
      <c r="F752" s="50"/>
      <c r="G752" s="50"/>
      <c r="H752" s="50"/>
    </row>
    <row r="753">
      <c r="D753" s="50"/>
      <c r="E753" s="50"/>
      <c r="F753" s="50"/>
      <c r="G753" s="50"/>
      <c r="H753" s="50"/>
    </row>
    <row r="754">
      <c r="D754" s="50"/>
      <c r="E754" s="50"/>
      <c r="F754" s="50"/>
      <c r="G754" s="50"/>
      <c r="H754" s="50"/>
    </row>
    <row r="755">
      <c r="D755" s="50"/>
      <c r="E755" s="50"/>
      <c r="F755" s="50"/>
      <c r="G755" s="50"/>
      <c r="H755" s="50"/>
    </row>
    <row r="756">
      <c r="D756" s="50"/>
      <c r="E756" s="50"/>
      <c r="F756" s="50"/>
      <c r="G756" s="50"/>
      <c r="H756" s="50"/>
    </row>
    <row r="757">
      <c r="D757" s="50"/>
      <c r="E757" s="50"/>
      <c r="F757" s="50"/>
      <c r="G757" s="50"/>
      <c r="H757" s="50"/>
    </row>
    <row r="758">
      <c r="D758" s="50"/>
      <c r="E758" s="50"/>
      <c r="F758" s="50"/>
      <c r="G758" s="50"/>
      <c r="H758" s="50"/>
    </row>
    <row r="759">
      <c r="D759" s="50"/>
      <c r="E759" s="50"/>
      <c r="F759" s="50"/>
      <c r="G759" s="50"/>
      <c r="H759" s="50"/>
    </row>
    <row r="760">
      <c r="D760" s="50"/>
      <c r="E760" s="50"/>
      <c r="F760" s="50"/>
      <c r="G760" s="50"/>
      <c r="H760" s="50"/>
    </row>
    <row r="761">
      <c r="D761" s="50"/>
      <c r="E761" s="50"/>
      <c r="F761" s="50"/>
      <c r="G761" s="50"/>
      <c r="H761" s="50"/>
    </row>
    <row r="762">
      <c r="D762" s="50"/>
      <c r="E762" s="50"/>
      <c r="F762" s="50"/>
      <c r="G762" s="50"/>
      <c r="H762" s="50"/>
    </row>
    <row r="763">
      <c r="D763" s="50"/>
      <c r="E763" s="50"/>
      <c r="F763" s="50"/>
      <c r="G763" s="50"/>
      <c r="H763" s="50"/>
    </row>
    <row r="764">
      <c r="D764" s="50"/>
      <c r="E764" s="50"/>
      <c r="F764" s="50"/>
      <c r="G764" s="50"/>
      <c r="H764" s="50"/>
    </row>
    <row r="765">
      <c r="D765" s="50"/>
      <c r="E765" s="50"/>
      <c r="F765" s="50"/>
      <c r="G765" s="50"/>
      <c r="H765" s="50"/>
    </row>
    <row r="766">
      <c r="D766" s="50"/>
      <c r="E766" s="50"/>
      <c r="F766" s="50"/>
      <c r="G766" s="50"/>
      <c r="H766" s="50"/>
    </row>
    <row r="767">
      <c r="D767" s="50"/>
      <c r="E767" s="50"/>
      <c r="F767" s="50"/>
      <c r="G767" s="50"/>
      <c r="H767" s="50"/>
    </row>
    <row r="768">
      <c r="D768" s="50"/>
      <c r="E768" s="50"/>
      <c r="F768" s="50"/>
      <c r="G768" s="50"/>
      <c r="H768" s="50"/>
    </row>
    <row r="769">
      <c r="D769" s="50"/>
      <c r="E769" s="50"/>
      <c r="F769" s="50"/>
      <c r="G769" s="50"/>
      <c r="H769" s="50"/>
    </row>
    <row r="770">
      <c r="D770" s="50"/>
      <c r="E770" s="50"/>
      <c r="F770" s="50"/>
      <c r="G770" s="50"/>
      <c r="H770" s="50"/>
    </row>
    <row r="771">
      <c r="D771" s="50"/>
      <c r="E771" s="50"/>
      <c r="F771" s="50"/>
      <c r="G771" s="50"/>
      <c r="H771" s="50"/>
    </row>
    <row r="772">
      <c r="D772" s="50"/>
      <c r="E772" s="50"/>
      <c r="F772" s="50"/>
      <c r="G772" s="50"/>
      <c r="H772" s="50"/>
    </row>
    <row r="773">
      <c r="D773" s="50"/>
      <c r="E773" s="50"/>
      <c r="F773" s="50"/>
      <c r="G773" s="50"/>
      <c r="H773" s="50"/>
    </row>
    <row r="774">
      <c r="D774" s="50"/>
      <c r="E774" s="50"/>
      <c r="F774" s="50"/>
      <c r="G774" s="50"/>
      <c r="H774" s="50"/>
    </row>
    <row r="775">
      <c r="D775" s="50"/>
      <c r="E775" s="50"/>
      <c r="F775" s="50"/>
      <c r="G775" s="50"/>
      <c r="H775" s="50"/>
    </row>
    <row r="776">
      <c r="D776" s="50"/>
      <c r="E776" s="50"/>
      <c r="F776" s="50"/>
      <c r="G776" s="50"/>
      <c r="H776" s="50"/>
    </row>
    <row r="777">
      <c r="D777" s="50"/>
      <c r="E777" s="50"/>
      <c r="F777" s="50"/>
      <c r="G777" s="50"/>
      <c r="H777" s="50"/>
    </row>
    <row r="778">
      <c r="D778" s="50"/>
      <c r="E778" s="50"/>
      <c r="F778" s="50"/>
      <c r="G778" s="50"/>
      <c r="H778" s="50"/>
    </row>
    <row r="779">
      <c r="D779" s="50"/>
      <c r="E779" s="50"/>
      <c r="F779" s="50"/>
      <c r="G779" s="50"/>
      <c r="H779" s="50"/>
    </row>
    <row r="780">
      <c r="D780" s="50"/>
      <c r="E780" s="50"/>
      <c r="F780" s="50"/>
      <c r="G780" s="50"/>
      <c r="H780" s="50"/>
    </row>
    <row r="781">
      <c r="D781" s="50"/>
      <c r="E781" s="50"/>
      <c r="F781" s="50"/>
      <c r="G781" s="50"/>
      <c r="H781" s="50"/>
    </row>
    <row r="782">
      <c r="D782" s="50"/>
      <c r="E782" s="50"/>
      <c r="F782" s="50"/>
      <c r="G782" s="50"/>
      <c r="H782" s="50"/>
    </row>
    <row r="783">
      <c r="D783" s="50"/>
      <c r="E783" s="50"/>
      <c r="F783" s="50"/>
      <c r="G783" s="50"/>
      <c r="H783" s="50"/>
    </row>
    <row r="784">
      <c r="D784" s="50"/>
      <c r="E784" s="50"/>
      <c r="F784" s="50"/>
      <c r="G784" s="50"/>
      <c r="H784" s="50"/>
    </row>
    <row r="785">
      <c r="D785" s="50"/>
      <c r="E785" s="50"/>
      <c r="F785" s="50"/>
      <c r="G785" s="50"/>
      <c r="H785" s="50"/>
    </row>
    <row r="786">
      <c r="D786" s="50"/>
      <c r="E786" s="50"/>
      <c r="F786" s="50"/>
      <c r="G786" s="50"/>
      <c r="H786" s="50"/>
    </row>
    <row r="787">
      <c r="D787" s="50"/>
      <c r="E787" s="50"/>
      <c r="F787" s="50"/>
      <c r="G787" s="50"/>
      <c r="H787" s="50"/>
    </row>
    <row r="788">
      <c r="D788" s="50"/>
      <c r="E788" s="50"/>
      <c r="F788" s="50"/>
      <c r="G788" s="50"/>
      <c r="H788" s="50"/>
    </row>
    <row r="789">
      <c r="D789" s="50"/>
      <c r="E789" s="50"/>
      <c r="F789" s="50"/>
      <c r="G789" s="50"/>
      <c r="H789" s="50"/>
    </row>
    <row r="790">
      <c r="D790" s="50"/>
      <c r="E790" s="50"/>
      <c r="F790" s="50"/>
      <c r="G790" s="50"/>
      <c r="H790" s="50"/>
    </row>
    <row r="791">
      <c r="D791" s="50"/>
      <c r="E791" s="50"/>
      <c r="F791" s="50"/>
      <c r="G791" s="50"/>
      <c r="H791" s="50"/>
    </row>
    <row r="792">
      <c r="D792" s="50"/>
      <c r="E792" s="50"/>
      <c r="F792" s="50"/>
      <c r="G792" s="50"/>
      <c r="H792" s="50"/>
    </row>
    <row r="793">
      <c r="D793" s="50"/>
      <c r="E793" s="50"/>
      <c r="F793" s="50"/>
      <c r="G793" s="50"/>
      <c r="H793" s="50"/>
    </row>
    <row r="794">
      <c r="D794" s="50"/>
      <c r="E794" s="50"/>
      <c r="F794" s="50"/>
      <c r="G794" s="50"/>
      <c r="H794" s="50"/>
    </row>
    <row r="795">
      <c r="D795" s="50"/>
      <c r="E795" s="50"/>
      <c r="F795" s="50"/>
      <c r="G795" s="50"/>
      <c r="H795" s="50"/>
    </row>
    <row r="796">
      <c r="D796" s="50"/>
      <c r="E796" s="50"/>
      <c r="F796" s="50"/>
      <c r="G796" s="50"/>
      <c r="H796" s="50"/>
    </row>
    <row r="797">
      <c r="D797" s="50"/>
      <c r="E797" s="50"/>
      <c r="F797" s="50"/>
      <c r="G797" s="50"/>
      <c r="H797" s="50"/>
    </row>
    <row r="798">
      <c r="D798" s="50"/>
      <c r="E798" s="50"/>
      <c r="F798" s="50"/>
      <c r="G798" s="50"/>
      <c r="H798" s="50"/>
    </row>
    <row r="799">
      <c r="D799" s="50"/>
      <c r="E799" s="50"/>
      <c r="F799" s="50"/>
      <c r="G799" s="50"/>
      <c r="H799" s="50"/>
    </row>
    <row r="800">
      <c r="D800" s="50"/>
      <c r="E800" s="50"/>
      <c r="F800" s="50"/>
      <c r="G800" s="50"/>
      <c r="H800" s="50"/>
    </row>
    <row r="801">
      <c r="D801" s="50"/>
      <c r="E801" s="50"/>
      <c r="F801" s="50"/>
      <c r="G801" s="50"/>
      <c r="H801" s="50"/>
    </row>
    <row r="802">
      <c r="D802" s="50"/>
      <c r="E802" s="50"/>
      <c r="F802" s="50"/>
      <c r="G802" s="50"/>
      <c r="H802" s="50"/>
    </row>
    <row r="803">
      <c r="D803" s="50"/>
      <c r="E803" s="50"/>
      <c r="F803" s="50"/>
      <c r="G803" s="50"/>
      <c r="H803" s="50"/>
    </row>
    <row r="804">
      <c r="D804" s="50"/>
      <c r="E804" s="50"/>
      <c r="F804" s="50"/>
      <c r="G804" s="50"/>
      <c r="H804" s="50"/>
    </row>
    <row r="805">
      <c r="D805" s="50"/>
      <c r="E805" s="50"/>
      <c r="F805" s="50"/>
      <c r="G805" s="50"/>
      <c r="H805" s="50"/>
    </row>
    <row r="806">
      <c r="D806" s="50"/>
      <c r="E806" s="50"/>
      <c r="F806" s="50"/>
      <c r="G806" s="50"/>
      <c r="H806" s="50"/>
    </row>
    <row r="807">
      <c r="D807" s="50"/>
      <c r="E807" s="50"/>
      <c r="F807" s="50"/>
      <c r="G807" s="50"/>
      <c r="H807" s="50"/>
    </row>
    <row r="808">
      <c r="D808" s="50"/>
      <c r="E808" s="50"/>
      <c r="F808" s="50"/>
      <c r="G808" s="50"/>
      <c r="H808" s="50"/>
    </row>
    <row r="809">
      <c r="D809" s="50"/>
      <c r="E809" s="50"/>
      <c r="F809" s="50"/>
      <c r="G809" s="50"/>
      <c r="H809" s="50"/>
    </row>
    <row r="810">
      <c r="D810" s="50"/>
      <c r="E810" s="50"/>
      <c r="F810" s="50"/>
      <c r="G810" s="50"/>
      <c r="H810" s="50"/>
    </row>
    <row r="811">
      <c r="D811" s="50"/>
      <c r="E811" s="50"/>
      <c r="F811" s="50"/>
      <c r="G811" s="50"/>
      <c r="H811" s="50"/>
    </row>
    <row r="812">
      <c r="D812" s="50"/>
      <c r="E812" s="50"/>
      <c r="F812" s="50"/>
      <c r="G812" s="50"/>
      <c r="H812" s="50"/>
    </row>
    <row r="813">
      <c r="D813" s="50"/>
      <c r="E813" s="50"/>
      <c r="F813" s="50"/>
      <c r="G813" s="50"/>
      <c r="H813" s="50"/>
    </row>
    <row r="814">
      <c r="D814" s="50"/>
      <c r="E814" s="50"/>
      <c r="F814" s="50"/>
      <c r="G814" s="50"/>
      <c r="H814" s="50"/>
    </row>
    <row r="815">
      <c r="D815" s="50"/>
      <c r="E815" s="50"/>
      <c r="F815" s="50"/>
      <c r="G815" s="50"/>
      <c r="H815" s="50"/>
    </row>
    <row r="816">
      <c r="D816" s="50"/>
      <c r="E816" s="50"/>
      <c r="F816" s="50"/>
      <c r="G816" s="50"/>
      <c r="H816" s="50"/>
    </row>
    <row r="817">
      <c r="D817" s="50"/>
      <c r="E817" s="50"/>
      <c r="F817" s="50"/>
      <c r="G817" s="50"/>
      <c r="H817" s="50"/>
    </row>
    <row r="818">
      <c r="D818" s="50"/>
      <c r="E818" s="50"/>
      <c r="F818" s="50"/>
      <c r="G818" s="50"/>
      <c r="H818" s="50"/>
    </row>
    <row r="819">
      <c r="D819" s="50"/>
      <c r="E819" s="50"/>
      <c r="F819" s="50"/>
      <c r="G819" s="50"/>
      <c r="H819" s="50"/>
    </row>
    <row r="820">
      <c r="D820" s="50"/>
      <c r="E820" s="50"/>
      <c r="F820" s="50"/>
      <c r="G820" s="50"/>
      <c r="H820" s="50"/>
    </row>
    <row r="821">
      <c r="D821" s="50"/>
      <c r="E821" s="50"/>
      <c r="F821" s="50"/>
      <c r="G821" s="50"/>
      <c r="H821" s="50"/>
    </row>
    <row r="822">
      <c r="D822" s="50"/>
      <c r="E822" s="50"/>
      <c r="F822" s="50"/>
      <c r="G822" s="50"/>
      <c r="H822" s="50"/>
    </row>
    <row r="823">
      <c r="D823" s="50"/>
      <c r="E823" s="50"/>
      <c r="F823" s="50"/>
      <c r="G823" s="50"/>
      <c r="H823" s="50"/>
    </row>
    <row r="824">
      <c r="D824" s="50"/>
      <c r="E824" s="50"/>
      <c r="F824" s="50"/>
      <c r="G824" s="50"/>
      <c r="H824" s="50"/>
    </row>
    <row r="825">
      <c r="D825" s="50"/>
      <c r="E825" s="50"/>
      <c r="F825" s="50"/>
      <c r="G825" s="50"/>
      <c r="H825" s="50"/>
    </row>
    <row r="826">
      <c r="D826" s="50"/>
      <c r="E826" s="50"/>
      <c r="F826" s="50"/>
      <c r="G826" s="50"/>
      <c r="H826" s="50"/>
    </row>
    <row r="827">
      <c r="D827" s="50"/>
      <c r="E827" s="50"/>
      <c r="F827" s="50"/>
      <c r="G827" s="50"/>
      <c r="H827" s="50"/>
    </row>
    <row r="828">
      <c r="D828" s="50"/>
      <c r="E828" s="50"/>
      <c r="F828" s="50"/>
      <c r="G828" s="50"/>
      <c r="H828" s="50"/>
    </row>
    <row r="829">
      <c r="D829" s="50"/>
      <c r="E829" s="50"/>
      <c r="F829" s="50"/>
      <c r="G829" s="50"/>
      <c r="H829" s="50"/>
    </row>
    <row r="830">
      <c r="D830" s="50"/>
      <c r="E830" s="50"/>
      <c r="F830" s="50"/>
      <c r="G830" s="50"/>
      <c r="H830" s="50"/>
    </row>
    <row r="831">
      <c r="D831" s="50"/>
      <c r="E831" s="50"/>
      <c r="F831" s="50"/>
      <c r="G831" s="50"/>
      <c r="H831" s="50"/>
    </row>
    <row r="832">
      <c r="D832" s="50"/>
      <c r="E832" s="50"/>
      <c r="F832" s="50"/>
      <c r="G832" s="50"/>
      <c r="H832" s="50"/>
    </row>
    <row r="833">
      <c r="D833" s="50"/>
      <c r="E833" s="50"/>
      <c r="F833" s="50"/>
      <c r="G833" s="50"/>
      <c r="H833" s="50"/>
    </row>
    <row r="834">
      <c r="D834" s="50"/>
      <c r="E834" s="50"/>
      <c r="F834" s="50"/>
      <c r="G834" s="50"/>
      <c r="H834" s="50"/>
    </row>
    <row r="835">
      <c r="D835" s="50"/>
      <c r="E835" s="50"/>
      <c r="F835" s="50"/>
      <c r="G835" s="50"/>
      <c r="H835" s="50"/>
    </row>
    <row r="836">
      <c r="D836" s="50"/>
      <c r="E836" s="50"/>
      <c r="F836" s="50"/>
      <c r="G836" s="50"/>
      <c r="H836" s="50"/>
    </row>
    <row r="837">
      <c r="D837" s="50"/>
      <c r="E837" s="50"/>
      <c r="F837" s="50"/>
      <c r="G837" s="50"/>
      <c r="H837" s="50"/>
    </row>
    <row r="838">
      <c r="D838" s="50"/>
      <c r="E838" s="50"/>
      <c r="F838" s="50"/>
      <c r="G838" s="50"/>
      <c r="H838" s="50"/>
    </row>
    <row r="839">
      <c r="D839" s="50"/>
      <c r="E839" s="50"/>
      <c r="F839" s="50"/>
      <c r="G839" s="50"/>
      <c r="H839" s="50"/>
    </row>
    <row r="840">
      <c r="D840" s="50"/>
      <c r="E840" s="50"/>
      <c r="F840" s="50"/>
      <c r="G840" s="50"/>
      <c r="H840" s="50"/>
    </row>
    <row r="841">
      <c r="D841" s="50"/>
      <c r="E841" s="50"/>
      <c r="F841" s="50"/>
      <c r="G841" s="50"/>
      <c r="H841" s="50"/>
    </row>
    <row r="842">
      <c r="D842" s="50"/>
      <c r="E842" s="50"/>
      <c r="F842" s="50"/>
      <c r="G842" s="50"/>
      <c r="H842" s="50"/>
    </row>
    <row r="843">
      <c r="D843" s="50"/>
      <c r="E843" s="50"/>
      <c r="F843" s="50"/>
      <c r="G843" s="50"/>
      <c r="H843" s="50"/>
    </row>
    <row r="844">
      <c r="D844" s="50"/>
      <c r="E844" s="50"/>
      <c r="F844" s="50"/>
      <c r="G844" s="50"/>
      <c r="H844" s="50"/>
    </row>
    <row r="845">
      <c r="D845" s="50"/>
      <c r="E845" s="50"/>
      <c r="F845" s="50"/>
      <c r="G845" s="50"/>
      <c r="H845" s="50"/>
    </row>
    <row r="846">
      <c r="D846" s="50"/>
      <c r="E846" s="50"/>
      <c r="F846" s="50"/>
      <c r="G846" s="50"/>
      <c r="H846" s="50"/>
    </row>
    <row r="847">
      <c r="D847" s="50"/>
      <c r="E847" s="50"/>
      <c r="F847" s="50"/>
      <c r="G847" s="50"/>
      <c r="H847" s="50"/>
    </row>
    <row r="848">
      <c r="D848" s="50"/>
      <c r="E848" s="50"/>
      <c r="F848" s="50"/>
      <c r="G848" s="50"/>
      <c r="H848" s="50"/>
    </row>
    <row r="849">
      <c r="D849" s="50"/>
      <c r="E849" s="50"/>
      <c r="F849" s="50"/>
      <c r="G849" s="50"/>
      <c r="H849" s="50"/>
    </row>
    <row r="850">
      <c r="D850" s="50"/>
      <c r="E850" s="50"/>
      <c r="F850" s="50"/>
      <c r="G850" s="50"/>
      <c r="H850" s="50"/>
    </row>
    <row r="851">
      <c r="D851" s="50"/>
      <c r="E851" s="50"/>
      <c r="F851" s="50"/>
      <c r="G851" s="50"/>
      <c r="H851" s="50"/>
    </row>
    <row r="852">
      <c r="D852" s="50"/>
      <c r="E852" s="50"/>
      <c r="F852" s="50"/>
      <c r="G852" s="50"/>
      <c r="H852" s="50"/>
    </row>
    <row r="853">
      <c r="D853" s="50"/>
      <c r="E853" s="50"/>
      <c r="F853" s="50"/>
      <c r="G853" s="50"/>
      <c r="H853" s="50"/>
    </row>
    <row r="854">
      <c r="D854" s="50"/>
      <c r="E854" s="50"/>
      <c r="F854" s="50"/>
      <c r="G854" s="50"/>
      <c r="H854" s="50"/>
    </row>
    <row r="855">
      <c r="D855" s="50"/>
      <c r="E855" s="50"/>
      <c r="F855" s="50"/>
      <c r="G855" s="50"/>
      <c r="H855" s="50"/>
    </row>
    <row r="856">
      <c r="D856" s="50"/>
      <c r="E856" s="50"/>
      <c r="F856" s="50"/>
      <c r="G856" s="50"/>
      <c r="H856" s="50"/>
    </row>
    <row r="857">
      <c r="D857" s="50"/>
      <c r="E857" s="50"/>
      <c r="F857" s="50"/>
      <c r="G857" s="50"/>
      <c r="H857" s="50"/>
    </row>
    <row r="858">
      <c r="D858" s="50"/>
      <c r="E858" s="50"/>
      <c r="F858" s="50"/>
      <c r="G858" s="50"/>
      <c r="H858" s="50"/>
    </row>
    <row r="859">
      <c r="D859" s="50"/>
      <c r="E859" s="50"/>
      <c r="F859" s="50"/>
      <c r="G859" s="50"/>
      <c r="H859" s="50"/>
    </row>
    <row r="860">
      <c r="D860" s="50"/>
      <c r="E860" s="50"/>
      <c r="F860" s="50"/>
      <c r="G860" s="50"/>
      <c r="H860" s="50"/>
    </row>
    <row r="861">
      <c r="D861" s="50"/>
      <c r="E861" s="50"/>
      <c r="F861" s="50"/>
      <c r="G861" s="50"/>
      <c r="H861" s="50"/>
    </row>
    <row r="862">
      <c r="D862" s="50"/>
      <c r="E862" s="50"/>
      <c r="F862" s="50"/>
      <c r="G862" s="50"/>
      <c r="H862" s="50"/>
    </row>
    <row r="863">
      <c r="D863" s="50"/>
      <c r="E863" s="50"/>
      <c r="F863" s="50"/>
      <c r="G863" s="50"/>
      <c r="H863" s="50"/>
    </row>
    <row r="864">
      <c r="D864" s="50"/>
      <c r="E864" s="50"/>
      <c r="F864" s="50"/>
      <c r="G864" s="50"/>
      <c r="H864" s="50"/>
    </row>
    <row r="865">
      <c r="D865" s="50"/>
      <c r="E865" s="50"/>
      <c r="F865" s="50"/>
      <c r="G865" s="50"/>
      <c r="H865" s="50"/>
    </row>
    <row r="866">
      <c r="D866" s="50"/>
      <c r="E866" s="50"/>
      <c r="F866" s="50"/>
      <c r="G866" s="50"/>
      <c r="H866" s="50"/>
    </row>
    <row r="867">
      <c r="D867" s="50"/>
      <c r="E867" s="50"/>
      <c r="F867" s="50"/>
      <c r="G867" s="50"/>
      <c r="H867" s="50"/>
    </row>
    <row r="868">
      <c r="D868" s="50"/>
      <c r="E868" s="50"/>
      <c r="F868" s="50"/>
      <c r="G868" s="50"/>
      <c r="H868" s="50"/>
    </row>
    <row r="869">
      <c r="D869" s="50"/>
      <c r="E869" s="50"/>
      <c r="F869" s="50"/>
      <c r="G869" s="50"/>
      <c r="H869" s="50"/>
    </row>
    <row r="870">
      <c r="D870" s="50"/>
      <c r="E870" s="50"/>
      <c r="F870" s="50"/>
      <c r="G870" s="50"/>
      <c r="H870" s="50"/>
    </row>
    <row r="871">
      <c r="D871" s="50"/>
      <c r="E871" s="50"/>
      <c r="F871" s="50"/>
      <c r="G871" s="50"/>
      <c r="H871" s="50"/>
    </row>
    <row r="872">
      <c r="D872" s="50"/>
      <c r="E872" s="50"/>
      <c r="F872" s="50"/>
      <c r="G872" s="50"/>
      <c r="H872" s="50"/>
    </row>
    <row r="873">
      <c r="D873" s="50"/>
      <c r="E873" s="50"/>
      <c r="F873" s="50"/>
      <c r="G873" s="50"/>
      <c r="H873" s="50"/>
    </row>
    <row r="874">
      <c r="D874" s="50"/>
      <c r="E874" s="50"/>
      <c r="F874" s="50"/>
      <c r="G874" s="50"/>
      <c r="H874" s="50"/>
    </row>
    <row r="875">
      <c r="D875" s="50"/>
      <c r="E875" s="50"/>
      <c r="F875" s="50"/>
      <c r="G875" s="50"/>
      <c r="H875" s="50"/>
    </row>
    <row r="876">
      <c r="D876" s="50"/>
      <c r="E876" s="50"/>
      <c r="F876" s="50"/>
      <c r="G876" s="50"/>
      <c r="H876" s="50"/>
    </row>
    <row r="877">
      <c r="D877" s="50"/>
      <c r="E877" s="50"/>
      <c r="F877" s="50"/>
      <c r="G877" s="50"/>
      <c r="H877" s="50"/>
    </row>
    <row r="878">
      <c r="D878" s="50"/>
      <c r="E878" s="50"/>
      <c r="F878" s="50"/>
      <c r="G878" s="50"/>
      <c r="H878" s="50"/>
    </row>
    <row r="879">
      <c r="D879" s="50"/>
      <c r="E879" s="50"/>
      <c r="F879" s="50"/>
      <c r="G879" s="50"/>
      <c r="H879" s="50"/>
    </row>
    <row r="880">
      <c r="D880" s="50"/>
      <c r="E880" s="50"/>
      <c r="F880" s="50"/>
      <c r="G880" s="50"/>
      <c r="H880" s="50"/>
    </row>
    <row r="881">
      <c r="D881" s="50"/>
      <c r="E881" s="50"/>
      <c r="F881" s="50"/>
      <c r="G881" s="50"/>
      <c r="H881" s="50"/>
    </row>
    <row r="882">
      <c r="D882" s="50"/>
      <c r="E882" s="50"/>
      <c r="F882" s="50"/>
      <c r="G882" s="50"/>
      <c r="H882" s="50"/>
    </row>
    <row r="883">
      <c r="D883" s="50"/>
      <c r="E883" s="50"/>
      <c r="F883" s="50"/>
      <c r="G883" s="50"/>
      <c r="H883" s="50"/>
    </row>
    <row r="884">
      <c r="D884" s="50"/>
      <c r="E884" s="50"/>
      <c r="F884" s="50"/>
      <c r="G884" s="50"/>
      <c r="H884" s="50"/>
    </row>
    <row r="885">
      <c r="D885" s="50"/>
      <c r="E885" s="50"/>
      <c r="F885" s="50"/>
      <c r="G885" s="50"/>
      <c r="H885" s="50"/>
    </row>
    <row r="886">
      <c r="D886" s="50"/>
      <c r="E886" s="50"/>
      <c r="F886" s="50"/>
      <c r="G886" s="50"/>
      <c r="H886" s="50"/>
    </row>
    <row r="887">
      <c r="D887" s="50"/>
      <c r="E887" s="50"/>
      <c r="F887" s="50"/>
      <c r="G887" s="50"/>
      <c r="H887" s="50"/>
    </row>
    <row r="888">
      <c r="D888" s="50"/>
      <c r="E888" s="50"/>
      <c r="F888" s="50"/>
      <c r="G888" s="50"/>
      <c r="H888" s="50"/>
    </row>
    <row r="889">
      <c r="D889" s="50"/>
      <c r="E889" s="50"/>
      <c r="F889" s="50"/>
      <c r="G889" s="50"/>
      <c r="H889" s="50"/>
    </row>
    <row r="890">
      <c r="D890" s="50"/>
      <c r="E890" s="50"/>
      <c r="F890" s="50"/>
      <c r="G890" s="50"/>
      <c r="H890" s="50"/>
    </row>
    <row r="891">
      <c r="D891" s="50"/>
      <c r="E891" s="50"/>
      <c r="F891" s="50"/>
      <c r="G891" s="50"/>
      <c r="H891" s="50"/>
    </row>
    <row r="892">
      <c r="D892" s="50"/>
      <c r="E892" s="50"/>
      <c r="F892" s="50"/>
      <c r="G892" s="50"/>
      <c r="H892" s="50"/>
    </row>
    <row r="893">
      <c r="D893" s="50"/>
      <c r="E893" s="50"/>
      <c r="F893" s="50"/>
      <c r="G893" s="50"/>
      <c r="H893" s="50"/>
    </row>
    <row r="894">
      <c r="D894" s="50"/>
      <c r="E894" s="50"/>
      <c r="F894" s="50"/>
      <c r="G894" s="50"/>
      <c r="H894" s="50"/>
    </row>
    <row r="895">
      <c r="D895" s="50"/>
      <c r="E895" s="50"/>
      <c r="F895" s="50"/>
      <c r="G895" s="50"/>
      <c r="H895" s="50"/>
    </row>
    <row r="896">
      <c r="D896" s="50"/>
      <c r="E896" s="50"/>
      <c r="F896" s="50"/>
      <c r="G896" s="50"/>
      <c r="H896" s="50"/>
    </row>
    <row r="897">
      <c r="D897" s="50"/>
      <c r="E897" s="50"/>
      <c r="F897" s="50"/>
      <c r="G897" s="50"/>
      <c r="H897" s="50"/>
    </row>
    <row r="898">
      <c r="D898" s="50"/>
      <c r="E898" s="50"/>
      <c r="F898" s="50"/>
      <c r="G898" s="50"/>
      <c r="H898" s="50"/>
    </row>
    <row r="899">
      <c r="D899" s="50"/>
      <c r="E899" s="50"/>
      <c r="F899" s="50"/>
      <c r="G899" s="50"/>
      <c r="H899" s="50"/>
    </row>
    <row r="900">
      <c r="D900" s="50"/>
      <c r="E900" s="50"/>
      <c r="F900" s="50"/>
      <c r="G900" s="50"/>
      <c r="H900" s="50"/>
    </row>
    <row r="901">
      <c r="D901" s="50"/>
      <c r="E901" s="50"/>
      <c r="F901" s="50"/>
      <c r="G901" s="50"/>
      <c r="H901" s="50"/>
    </row>
    <row r="902">
      <c r="D902" s="50"/>
      <c r="E902" s="50"/>
      <c r="F902" s="50"/>
      <c r="G902" s="50"/>
      <c r="H902" s="50"/>
    </row>
    <row r="903">
      <c r="D903" s="50"/>
      <c r="E903" s="50"/>
      <c r="F903" s="50"/>
      <c r="G903" s="50"/>
      <c r="H903" s="50"/>
    </row>
    <row r="904">
      <c r="D904" s="50"/>
      <c r="E904" s="50"/>
      <c r="F904" s="50"/>
      <c r="G904" s="50"/>
      <c r="H904" s="50"/>
    </row>
    <row r="905">
      <c r="D905" s="50"/>
      <c r="E905" s="50"/>
      <c r="F905" s="50"/>
      <c r="G905" s="50"/>
      <c r="H905" s="50"/>
    </row>
    <row r="906">
      <c r="D906" s="50"/>
      <c r="E906" s="50"/>
      <c r="F906" s="50"/>
      <c r="G906" s="50"/>
      <c r="H906" s="50"/>
    </row>
    <row r="907">
      <c r="D907" s="50"/>
      <c r="E907" s="50"/>
      <c r="F907" s="50"/>
      <c r="G907" s="50"/>
      <c r="H907" s="50"/>
    </row>
    <row r="908">
      <c r="D908" s="50"/>
      <c r="E908" s="50"/>
      <c r="F908" s="50"/>
      <c r="G908" s="50"/>
      <c r="H908" s="50"/>
    </row>
    <row r="909">
      <c r="D909" s="50"/>
      <c r="E909" s="50"/>
      <c r="F909" s="50"/>
      <c r="G909" s="50"/>
      <c r="H909" s="50"/>
    </row>
    <row r="910">
      <c r="D910" s="50"/>
      <c r="E910" s="50"/>
      <c r="F910" s="50"/>
      <c r="G910" s="50"/>
      <c r="H910" s="50"/>
    </row>
    <row r="911">
      <c r="D911" s="50"/>
      <c r="E911" s="50"/>
      <c r="F911" s="50"/>
      <c r="G911" s="50"/>
      <c r="H911" s="50"/>
    </row>
    <row r="912">
      <c r="D912" s="50"/>
      <c r="E912" s="50"/>
      <c r="F912" s="50"/>
      <c r="G912" s="50"/>
      <c r="H912" s="50"/>
    </row>
    <row r="913">
      <c r="D913" s="50"/>
      <c r="E913" s="50"/>
      <c r="F913" s="50"/>
      <c r="G913" s="50"/>
      <c r="H913" s="50"/>
    </row>
    <row r="914">
      <c r="D914" s="50"/>
      <c r="E914" s="50"/>
      <c r="F914" s="50"/>
      <c r="G914" s="50"/>
      <c r="H914" s="50"/>
    </row>
    <row r="915">
      <c r="D915" s="50"/>
      <c r="E915" s="50"/>
      <c r="F915" s="50"/>
      <c r="G915" s="50"/>
      <c r="H915" s="50"/>
    </row>
    <row r="916">
      <c r="D916" s="50"/>
      <c r="E916" s="50"/>
      <c r="F916" s="50"/>
      <c r="G916" s="50"/>
      <c r="H916" s="50"/>
    </row>
    <row r="917">
      <c r="D917" s="50"/>
      <c r="E917" s="50"/>
      <c r="F917" s="50"/>
      <c r="G917" s="50"/>
      <c r="H917" s="50"/>
    </row>
    <row r="918">
      <c r="D918" s="50"/>
      <c r="E918" s="50"/>
      <c r="F918" s="50"/>
      <c r="G918" s="50"/>
      <c r="H918" s="50"/>
    </row>
    <row r="919">
      <c r="D919" s="50"/>
      <c r="E919" s="50"/>
      <c r="F919" s="50"/>
      <c r="G919" s="50"/>
      <c r="H919" s="50"/>
    </row>
    <row r="920">
      <c r="D920" s="50"/>
      <c r="E920" s="50"/>
      <c r="F920" s="50"/>
      <c r="G920" s="50"/>
      <c r="H920" s="50"/>
    </row>
    <row r="921">
      <c r="D921" s="50"/>
      <c r="E921" s="50"/>
      <c r="F921" s="50"/>
      <c r="G921" s="50"/>
      <c r="H921" s="50"/>
    </row>
    <row r="922">
      <c r="D922" s="50"/>
      <c r="E922" s="50"/>
      <c r="F922" s="50"/>
      <c r="G922" s="50"/>
      <c r="H922" s="50"/>
    </row>
    <row r="923">
      <c r="D923" s="50"/>
      <c r="E923" s="50"/>
      <c r="F923" s="50"/>
      <c r="G923" s="50"/>
      <c r="H923" s="50"/>
    </row>
    <row r="924">
      <c r="D924" s="50"/>
      <c r="E924" s="50"/>
      <c r="F924" s="50"/>
      <c r="G924" s="50"/>
      <c r="H924" s="50"/>
    </row>
    <row r="925">
      <c r="D925" s="50"/>
      <c r="E925" s="50"/>
      <c r="F925" s="50"/>
      <c r="G925" s="50"/>
      <c r="H925" s="50"/>
    </row>
    <row r="926">
      <c r="D926" s="50"/>
      <c r="E926" s="50"/>
      <c r="F926" s="50"/>
      <c r="G926" s="50"/>
      <c r="H926" s="50"/>
    </row>
    <row r="927">
      <c r="D927" s="50"/>
      <c r="E927" s="50"/>
      <c r="F927" s="50"/>
      <c r="G927" s="50"/>
      <c r="H927" s="50"/>
    </row>
    <row r="928">
      <c r="D928" s="50"/>
      <c r="E928" s="50"/>
      <c r="F928" s="50"/>
      <c r="G928" s="50"/>
      <c r="H928" s="50"/>
    </row>
    <row r="929">
      <c r="D929" s="50"/>
      <c r="E929" s="50"/>
      <c r="F929" s="50"/>
      <c r="G929" s="50"/>
      <c r="H929" s="50"/>
    </row>
    <row r="930">
      <c r="D930" s="50"/>
      <c r="E930" s="50"/>
      <c r="F930" s="50"/>
      <c r="G930" s="50"/>
      <c r="H930" s="50"/>
    </row>
    <row r="931">
      <c r="D931" s="50"/>
      <c r="E931" s="50"/>
      <c r="F931" s="50"/>
      <c r="G931" s="50"/>
      <c r="H931" s="50"/>
    </row>
    <row r="932">
      <c r="D932" s="50"/>
      <c r="E932" s="50"/>
      <c r="F932" s="50"/>
      <c r="G932" s="50"/>
      <c r="H932" s="50"/>
    </row>
    <row r="933">
      <c r="D933" s="50"/>
      <c r="E933" s="50"/>
      <c r="F933" s="50"/>
      <c r="G933" s="50"/>
      <c r="H933" s="50"/>
    </row>
    <row r="934">
      <c r="D934" s="50"/>
      <c r="E934" s="50"/>
      <c r="F934" s="50"/>
      <c r="G934" s="50"/>
      <c r="H934" s="50"/>
    </row>
    <row r="935">
      <c r="D935" s="50"/>
      <c r="E935" s="50"/>
      <c r="F935" s="50"/>
      <c r="G935" s="50"/>
      <c r="H935" s="50"/>
    </row>
    <row r="936">
      <c r="D936" s="50"/>
      <c r="E936" s="50"/>
      <c r="F936" s="50"/>
      <c r="G936" s="50"/>
      <c r="H936" s="50"/>
    </row>
    <row r="937">
      <c r="D937" s="50"/>
      <c r="E937" s="50"/>
      <c r="F937" s="50"/>
      <c r="G937" s="50"/>
      <c r="H937" s="50"/>
    </row>
    <row r="938">
      <c r="D938" s="50"/>
      <c r="E938" s="50"/>
      <c r="F938" s="50"/>
      <c r="G938" s="50"/>
      <c r="H938" s="50"/>
    </row>
    <row r="939">
      <c r="D939" s="50"/>
      <c r="E939" s="50"/>
      <c r="F939" s="50"/>
      <c r="G939" s="50"/>
      <c r="H939" s="50"/>
    </row>
    <row r="940">
      <c r="D940" s="50"/>
      <c r="E940" s="50"/>
      <c r="F940" s="50"/>
      <c r="G940" s="50"/>
      <c r="H940" s="50"/>
    </row>
    <row r="941">
      <c r="D941" s="50"/>
      <c r="E941" s="50"/>
      <c r="F941" s="50"/>
      <c r="G941" s="50"/>
      <c r="H941" s="50"/>
    </row>
    <row r="942">
      <c r="D942" s="50"/>
      <c r="E942" s="50"/>
      <c r="F942" s="50"/>
      <c r="G942" s="50"/>
      <c r="H942" s="50"/>
    </row>
    <row r="943">
      <c r="D943" s="50"/>
      <c r="E943" s="50"/>
      <c r="F943" s="50"/>
      <c r="G943" s="50"/>
      <c r="H943" s="50"/>
    </row>
    <row r="944">
      <c r="D944" s="50"/>
      <c r="E944" s="50"/>
      <c r="F944" s="50"/>
      <c r="G944" s="50"/>
      <c r="H944" s="50"/>
    </row>
    <row r="945">
      <c r="D945" s="50"/>
      <c r="E945" s="50"/>
      <c r="F945" s="50"/>
      <c r="G945" s="50"/>
      <c r="H945" s="50"/>
    </row>
    <row r="946">
      <c r="D946" s="50"/>
      <c r="E946" s="50"/>
      <c r="F946" s="50"/>
      <c r="G946" s="50"/>
      <c r="H946" s="50"/>
    </row>
    <row r="947">
      <c r="D947" s="50"/>
      <c r="E947" s="50"/>
      <c r="F947" s="50"/>
      <c r="G947" s="50"/>
      <c r="H947" s="50"/>
    </row>
    <row r="948">
      <c r="D948" s="50"/>
      <c r="E948" s="50"/>
      <c r="F948" s="50"/>
      <c r="G948" s="50"/>
      <c r="H948" s="50"/>
    </row>
    <row r="949">
      <c r="D949" s="50"/>
      <c r="E949" s="50"/>
      <c r="F949" s="50"/>
      <c r="G949" s="50"/>
      <c r="H949" s="50"/>
    </row>
    <row r="950">
      <c r="D950" s="50"/>
      <c r="E950" s="50"/>
      <c r="F950" s="50"/>
      <c r="G950" s="50"/>
      <c r="H950" s="50"/>
    </row>
    <row r="951">
      <c r="D951" s="50"/>
      <c r="E951" s="50"/>
      <c r="F951" s="50"/>
      <c r="G951" s="50"/>
      <c r="H951" s="50"/>
    </row>
    <row r="952">
      <c r="D952" s="50"/>
      <c r="E952" s="50"/>
      <c r="F952" s="50"/>
      <c r="G952" s="50"/>
      <c r="H952" s="50"/>
    </row>
    <row r="953">
      <c r="D953" s="50"/>
      <c r="E953" s="50"/>
      <c r="F953" s="50"/>
      <c r="G953" s="50"/>
      <c r="H953" s="50"/>
    </row>
    <row r="954">
      <c r="D954" s="50"/>
      <c r="E954" s="50"/>
      <c r="F954" s="50"/>
      <c r="G954" s="50"/>
      <c r="H954" s="50"/>
    </row>
    <row r="955">
      <c r="D955" s="50"/>
      <c r="E955" s="50"/>
      <c r="F955" s="50"/>
      <c r="G955" s="50"/>
      <c r="H955" s="50"/>
    </row>
    <row r="956">
      <c r="D956" s="50"/>
      <c r="E956" s="50"/>
      <c r="F956" s="50"/>
      <c r="G956" s="50"/>
      <c r="H956" s="50"/>
    </row>
    <row r="957">
      <c r="D957" s="50"/>
      <c r="E957" s="50"/>
      <c r="F957" s="50"/>
      <c r="G957" s="50"/>
      <c r="H957" s="50"/>
    </row>
    <row r="958">
      <c r="D958" s="50"/>
      <c r="E958" s="50"/>
      <c r="F958" s="50"/>
      <c r="G958" s="50"/>
      <c r="H958" s="50"/>
    </row>
    <row r="959">
      <c r="D959" s="50"/>
      <c r="E959" s="50"/>
      <c r="F959" s="50"/>
      <c r="G959" s="50"/>
      <c r="H959" s="50"/>
    </row>
    <row r="960">
      <c r="D960" s="50"/>
      <c r="E960" s="50"/>
      <c r="F960" s="50"/>
      <c r="G960" s="50"/>
      <c r="H960" s="50"/>
    </row>
    <row r="961">
      <c r="D961" s="50"/>
      <c r="E961" s="50"/>
      <c r="F961" s="50"/>
      <c r="G961" s="50"/>
      <c r="H961" s="50"/>
    </row>
    <row r="962">
      <c r="D962" s="50"/>
      <c r="E962" s="50"/>
      <c r="F962" s="50"/>
      <c r="G962" s="50"/>
      <c r="H962" s="50"/>
    </row>
    <row r="963">
      <c r="D963" s="50"/>
      <c r="E963" s="50"/>
      <c r="F963" s="50"/>
      <c r="G963" s="50"/>
      <c r="H963" s="50"/>
    </row>
    <row r="964">
      <c r="D964" s="50"/>
      <c r="E964" s="50"/>
      <c r="F964" s="50"/>
      <c r="G964" s="50"/>
      <c r="H964" s="50"/>
    </row>
    <row r="965">
      <c r="D965" s="50"/>
      <c r="E965" s="50"/>
      <c r="F965" s="50"/>
      <c r="G965" s="50"/>
      <c r="H965" s="50"/>
    </row>
    <row r="966">
      <c r="D966" s="50"/>
      <c r="E966" s="50"/>
      <c r="F966" s="50"/>
      <c r="G966" s="50"/>
      <c r="H966" s="50"/>
    </row>
    <row r="967">
      <c r="D967" s="50"/>
      <c r="E967" s="50"/>
      <c r="F967" s="50"/>
      <c r="G967" s="50"/>
      <c r="H967" s="50"/>
    </row>
    <row r="968">
      <c r="D968" s="50"/>
      <c r="E968" s="50"/>
      <c r="F968" s="50"/>
      <c r="G968" s="50"/>
      <c r="H968" s="50"/>
    </row>
    <row r="969">
      <c r="D969" s="50"/>
      <c r="E969" s="50"/>
      <c r="F969" s="50"/>
      <c r="G969" s="50"/>
      <c r="H969" s="50"/>
    </row>
    <row r="970">
      <c r="D970" s="50"/>
      <c r="E970" s="50"/>
      <c r="F970" s="50"/>
      <c r="G970" s="50"/>
      <c r="H970" s="50"/>
    </row>
    <row r="971">
      <c r="D971" s="50"/>
      <c r="E971" s="50"/>
      <c r="F971" s="50"/>
      <c r="G971" s="50"/>
      <c r="H971" s="50"/>
    </row>
    <row r="972">
      <c r="D972" s="50"/>
      <c r="E972" s="50"/>
      <c r="F972" s="50"/>
      <c r="G972" s="50"/>
      <c r="H972" s="50"/>
    </row>
    <row r="973">
      <c r="D973" s="50"/>
      <c r="E973" s="50"/>
      <c r="F973" s="50"/>
      <c r="G973" s="50"/>
      <c r="H973" s="50"/>
    </row>
    <row r="974">
      <c r="D974" s="50"/>
      <c r="E974" s="50"/>
      <c r="F974" s="50"/>
      <c r="G974" s="50"/>
      <c r="H974" s="50"/>
    </row>
    <row r="975">
      <c r="D975" s="50"/>
      <c r="E975" s="50"/>
      <c r="F975" s="50"/>
      <c r="G975" s="50"/>
      <c r="H975" s="50"/>
    </row>
    <row r="976">
      <c r="D976" s="50"/>
      <c r="E976" s="50"/>
      <c r="F976" s="50"/>
      <c r="G976" s="50"/>
      <c r="H976" s="50"/>
    </row>
    <row r="977">
      <c r="D977" s="50"/>
      <c r="E977" s="50"/>
      <c r="F977" s="50"/>
      <c r="G977" s="50"/>
      <c r="H977" s="50"/>
    </row>
    <row r="978">
      <c r="D978" s="50"/>
      <c r="E978" s="50"/>
      <c r="F978" s="50"/>
      <c r="G978" s="50"/>
      <c r="H978" s="50"/>
    </row>
    <row r="979">
      <c r="D979" s="50"/>
      <c r="E979" s="50"/>
      <c r="F979" s="50"/>
      <c r="G979" s="50"/>
      <c r="H979" s="50"/>
    </row>
    <row r="980">
      <c r="D980" s="50"/>
      <c r="E980" s="50"/>
      <c r="F980" s="50"/>
      <c r="G980" s="50"/>
      <c r="H980" s="50"/>
    </row>
    <row r="981">
      <c r="D981" s="50"/>
      <c r="E981" s="50"/>
      <c r="F981" s="50"/>
      <c r="G981" s="50"/>
      <c r="H981" s="50"/>
    </row>
    <row r="982">
      <c r="D982" s="50"/>
      <c r="E982" s="50"/>
      <c r="F982" s="50"/>
      <c r="G982" s="50"/>
      <c r="H982" s="50"/>
    </row>
    <row r="983">
      <c r="D983" s="50"/>
      <c r="E983" s="50"/>
      <c r="F983" s="50"/>
      <c r="G983" s="50"/>
      <c r="H983" s="50"/>
    </row>
    <row r="984">
      <c r="D984" s="50"/>
      <c r="E984" s="50"/>
      <c r="F984" s="50"/>
      <c r="G984" s="50"/>
      <c r="H984" s="50"/>
    </row>
    <row r="985">
      <c r="D985" s="50"/>
      <c r="E985" s="50"/>
      <c r="F985" s="50"/>
      <c r="G985" s="50"/>
      <c r="H985" s="50"/>
    </row>
    <row r="986">
      <c r="D986" s="50"/>
      <c r="E986" s="50"/>
      <c r="F986" s="50"/>
      <c r="G986" s="50"/>
      <c r="H986" s="50"/>
    </row>
    <row r="987">
      <c r="D987" s="50"/>
      <c r="E987" s="50"/>
      <c r="F987" s="50"/>
      <c r="G987" s="50"/>
      <c r="H987" s="50"/>
    </row>
    <row r="988">
      <c r="D988" s="50"/>
      <c r="E988" s="50"/>
      <c r="F988" s="50"/>
      <c r="G988" s="50"/>
      <c r="H988" s="50"/>
    </row>
    <row r="989">
      <c r="D989" s="50"/>
      <c r="E989" s="50"/>
      <c r="F989" s="50"/>
      <c r="G989" s="50"/>
      <c r="H989" s="50"/>
    </row>
    <row r="990">
      <c r="D990" s="50"/>
      <c r="E990" s="50"/>
      <c r="F990" s="50"/>
      <c r="G990" s="50"/>
      <c r="H990" s="50"/>
    </row>
    <row r="991">
      <c r="D991" s="50"/>
      <c r="E991" s="50"/>
      <c r="F991" s="50"/>
      <c r="G991" s="50"/>
      <c r="H991" s="50"/>
    </row>
    <row r="992">
      <c r="D992" s="50"/>
      <c r="E992" s="50"/>
      <c r="F992" s="50"/>
      <c r="G992" s="50"/>
      <c r="H992" s="50"/>
    </row>
    <row r="993">
      <c r="D993" s="50"/>
      <c r="E993" s="50"/>
      <c r="F993" s="50"/>
      <c r="G993" s="50"/>
      <c r="H993" s="50"/>
    </row>
    <row r="994">
      <c r="D994" s="50"/>
      <c r="E994" s="50"/>
      <c r="F994" s="50"/>
      <c r="G994" s="50"/>
      <c r="H994" s="50"/>
    </row>
    <row r="995">
      <c r="D995" s="50"/>
      <c r="E995" s="50"/>
      <c r="F995" s="50"/>
      <c r="G995" s="50"/>
      <c r="H995" s="50"/>
    </row>
    <row r="996">
      <c r="D996" s="50"/>
      <c r="E996" s="50"/>
      <c r="F996" s="50"/>
      <c r="G996" s="50"/>
      <c r="H996" s="50"/>
    </row>
    <row r="997">
      <c r="D997" s="50"/>
      <c r="E997" s="50"/>
      <c r="F997" s="50"/>
      <c r="G997" s="50"/>
      <c r="H997" s="50"/>
    </row>
    <row r="998">
      <c r="D998" s="50"/>
      <c r="E998" s="50"/>
      <c r="F998" s="50"/>
      <c r="G998" s="50"/>
      <c r="H998" s="50"/>
    </row>
    <row r="999">
      <c r="D999" s="50"/>
      <c r="E999" s="50"/>
      <c r="F999" s="50"/>
      <c r="G999" s="50"/>
      <c r="H999" s="50"/>
    </row>
  </sheetData>
  <conditionalFormatting sqref="D1:H999">
    <cfRule type="cellIs" dxfId="13" priority="1" operator="equal">
      <formula>"C"</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21.63"/>
    <col customWidth="1" min="3" max="3" width="7.25"/>
    <col customWidth="1" min="4" max="4" width="8.13"/>
    <col customWidth="1" min="5" max="5" width="8.88"/>
    <col customWidth="1" min="6" max="6" width="10.63"/>
    <col customWidth="1" min="7" max="7" width="10.25"/>
    <col customWidth="1" min="8" max="8" width="8.38"/>
  </cols>
  <sheetData>
    <row r="1">
      <c r="A1" s="165" t="str">
        <f>IFERROR(__xludf.DUMMYFUNCTION("QUERY(DTrma!A:H, ""select A,B,C,D,E,F,G,H where C='IL Putri'"", 1)"),"NP")</f>
        <v>NP</v>
      </c>
      <c r="B1" s="165" t="str">
        <f>IFERROR(__xludf.DUMMYFUNCTION("""COMPUTED_VALUE"""),"Nama")</f>
        <v>Nama</v>
      </c>
      <c r="C1" s="165" t="str">
        <f>IFERROR(__xludf.DUMMYFUNCTION("""COMPUTED_VALUE"""),"Jenjang")</f>
        <v>Jenjang</v>
      </c>
      <c r="D1" s="165" t="str">
        <f>IFERROR(__xludf.DUMMYFUNCTION("""COMPUTED_VALUE"""),"Al-Quran")</f>
        <v>Al-Quran</v>
      </c>
      <c r="E1" s="165" t="str">
        <f>IFERROR(__xludf.DUMMYFUNCTION("""COMPUTED_VALUE"""),"Akademik")</f>
        <v>Akademik</v>
      </c>
      <c r="F1" s="165" t="str">
        <f>IFERROR(__xludf.DUMMYFUNCTION("""COMPUTED_VALUE"""),"Kepribadian")</f>
        <v>Kepribadian</v>
      </c>
      <c r="G1" s="165" t="str">
        <f>IFERROR(__xludf.DUMMYFUNCTION("""COMPUTED_VALUE"""),"Kesesuaian")</f>
        <v>Kesesuaian</v>
      </c>
      <c r="H1" s="165" t="str">
        <f>IFERROR(__xludf.DUMMYFUNCTION("""COMPUTED_VALUE"""),"Kesiapan")</f>
        <v>Kesiapan</v>
      </c>
      <c r="I1" s="192"/>
      <c r="J1" s="192"/>
      <c r="K1" s="192"/>
      <c r="L1" s="192"/>
      <c r="M1" s="192"/>
      <c r="N1" s="192"/>
      <c r="O1" s="192"/>
      <c r="P1" s="192"/>
      <c r="Q1" s="192"/>
      <c r="R1" s="192"/>
      <c r="S1" s="192"/>
      <c r="T1" s="192"/>
      <c r="U1" s="192"/>
      <c r="V1" s="192"/>
      <c r="W1" s="192"/>
      <c r="X1" s="192"/>
      <c r="Y1" s="192"/>
    </row>
    <row r="2">
      <c r="A2" s="5" t="str">
        <f>IFERROR(__xludf.DUMMYFUNCTION("""COMPUTED_VALUE"""),"E250001")</f>
        <v>E250001</v>
      </c>
      <c r="B2" s="5" t="str">
        <f>IFERROR(__xludf.DUMMYFUNCTION("""COMPUTED_VALUE"""),"Widya Meilani Zahra")</f>
        <v>Widya Meilani Zahra</v>
      </c>
      <c r="C2" s="5" t="str">
        <f>IFERROR(__xludf.DUMMYFUNCTION("""COMPUTED_VALUE"""),"IL Putri")</f>
        <v>IL Putri</v>
      </c>
      <c r="D2" s="168" t="str">
        <f>IFERROR(__xludf.DUMMYFUNCTION("""COMPUTED_VALUE"""),"A")</f>
        <v>A</v>
      </c>
      <c r="E2" s="168" t="str">
        <f>IFERROR(__xludf.DUMMYFUNCTION("""COMPUTED_VALUE"""),"C")</f>
        <v>C</v>
      </c>
      <c r="F2" s="168" t="str">
        <f>IFERROR(__xludf.DUMMYFUNCTION("""COMPUTED_VALUE"""),"A")</f>
        <v>A</v>
      </c>
      <c r="G2" s="168" t="str">
        <f>IFERROR(__xludf.DUMMYFUNCTION("""COMPUTED_VALUE"""),"A")</f>
        <v>A</v>
      </c>
      <c r="H2" s="168" t="str">
        <f>IFERROR(__xludf.DUMMYFUNCTION("""COMPUTED_VALUE"""),"A")</f>
        <v>A</v>
      </c>
    </row>
    <row r="3">
      <c r="A3" s="5" t="str">
        <f>IFERROR(__xludf.DUMMYFUNCTION("""COMPUTED_VALUE"""),"E250007")</f>
        <v>E250007</v>
      </c>
      <c r="B3" s="5" t="str">
        <f>IFERROR(__xludf.DUMMYFUNCTION("""COMPUTED_VALUE"""),"Nadira Salsabila apriliani ")</f>
        <v>Nadira Salsabila apriliani </v>
      </c>
      <c r="C3" s="5" t="str">
        <f>IFERROR(__xludf.DUMMYFUNCTION("""COMPUTED_VALUE"""),"IL Putri")</f>
        <v>IL Putri</v>
      </c>
      <c r="D3" s="168" t="str">
        <f>IFERROR(__xludf.DUMMYFUNCTION("""COMPUTED_VALUE"""),"A")</f>
        <v>A</v>
      </c>
      <c r="E3" s="168" t="str">
        <f>IFERROR(__xludf.DUMMYFUNCTION("""COMPUTED_VALUE"""),"C")</f>
        <v>C</v>
      </c>
      <c r="F3" s="168" t="str">
        <f>IFERROR(__xludf.DUMMYFUNCTION("""COMPUTED_VALUE"""),"A")</f>
        <v>A</v>
      </c>
      <c r="G3" s="168" t="str">
        <f>IFERROR(__xludf.DUMMYFUNCTION("""COMPUTED_VALUE"""),"A")</f>
        <v>A</v>
      </c>
      <c r="H3" s="168" t="str">
        <f>IFERROR(__xludf.DUMMYFUNCTION("""COMPUTED_VALUE"""),"A")</f>
        <v>A</v>
      </c>
    </row>
    <row r="4">
      <c r="A4" s="5" t="str">
        <f>IFERROR(__xludf.DUMMYFUNCTION("""COMPUTED_VALUE"""),"E250005")</f>
        <v>E250005</v>
      </c>
      <c r="B4" s="5" t="str">
        <f>IFERROR(__xludf.DUMMYFUNCTION("""COMPUTED_VALUE"""),"SITI HAFSHOH SHOLIHAH")</f>
        <v>SITI HAFSHOH SHOLIHAH</v>
      </c>
      <c r="C4" s="5" t="str">
        <f>IFERROR(__xludf.DUMMYFUNCTION("""COMPUTED_VALUE"""),"IL Putri")</f>
        <v>IL Putri</v>
      </c>
      <c r="D4" s="168" t="str">
        <f>IFERROR(__xludf.DUMMYFUNCTION("""COMPUTED_VALUE"""),"A")</f>
        <v>A</v>
      </c>
      <c r="E4" s="168" t="str">
        <f>IFERROR(__xludf.DUMMYFUNCTION("""COMPUTED_VALUE"""),"C")</f>
        <v>C</v>
      </c>
      <c r="F4" s="168" t="str">
        <f>IFERROR(__xludf.DUMMYFUNCTION("""COMPUTED_VALUE"""),"B")</f>
        <v>B</v>
      </c>
      <c r="G4" s="168" t="str">
        <f>IFERROR(__xludf.DUMMYFUNCTION("""COMPUTED_VALUE"""),"A")</f>
        <v>A</v>
      </c>
      <c r="H4" s="168" t="str">
        <f>IFERROR(__xludf.DUMMYFUNCTION("""COMPUTED_VALUE"""),"A")</f>
        <v>A</v>
      </c>
    </row>
    <row r="5">
      <c r="A5" s="5" t="str">
        <f>IFERROR(__xludf.DUMMYFUNCTION("""COMPUTED_VALUE"""),"E250002")</f>
        <v>E250002</v>
      </c>
      <c r="B5" s="5" t="str">
        <f>IFERROR(__xludf.DUMMYFUNCTION("""COMPUTED_VALUE"""),"HILDA SAHLANNISA")</f>
        <v>HILDA SAHLANNISA</v>
      </c>
      <c r="C5" s="5" t="str">
        <f>IFERROR(__xludf.DUMMYFUNCTION("""COMPUTED_VALUE"""),"IL Putri")</f>
        <v>IL Putri</v>
      </c>
      <c r="D5" s="168" t="str">
        <f>IFERROR(__xludf.DUMMYFUNCTION("""COMPUTED_VALUE"""),"A")</f>
        <v>A</v>
      </c>
      <c r="E5" s="168" t="str">
        <f>IFERROR(__xludf.DUMMYFUNCTION("""COMPUTED_VALUE"""),"A")</f>
        <v>A</v>
      </c>
      <c r="F5" s="168" t="str">
        <f>IFERROR(__xludf.DUMMYFUNCTION("""COMPUTED_VALUE"""),"A")</f>
        <v>A</v>
      </c>
      <c r="G5" s="168" t="str">
        <f>IFERROR(__xludf.DUMMYFUNCTION("""COMPUTED_VALUE"""),"A")</f>
        <v>A</v>
      </c>
      <c r="H5" s="168" t="str">
        <f>IFERROR(__xludf.DUMMYFUNCTION("""COMPUTED_VALUE"""),"A")</f>
        <v>A</v>
      </c>
    </row>
    <row r="6">
      <c r="A6" s="5" t="str">
        <f>IFERROR(__xludf.DUMMYFUNCTION("""COMPUTED_VALUE"""),"E250008")</f>
        <v>E250008</v>
      </c>
      <c r="B6" s="5" t="str">
        <f>IFERROR(__xludf.DUMMYFUNCTION("""COMPUTED_VALUE"""),"Siti Arafah ")</f>
        <v>Siti Arafah </v>
      </c>
      <c r="C6" s="5" t="str">
        <f>IFERROR(__xludf.DUMMYFUNCTION("""COMPUTED_VALUE"""),"IL Putri")</f>
        <v>IL Putri</v>
      </c>
      <c r="D6" s="168" t="str">
        <f>IFERROR(__xludf.DUMMYFUNCTION("""COMPUTED_VALUE"""),"A")</f>
        <v>A</v>
      </c>
      <c r="E6" s="168" t="str">
        <f>IFERROR(__xludf.DUMMYFUNCTION("""COMPUTED_VALUE"""),"C")</f>
        <v>C</v>
      </c>
      <c r="F6" s="168" t="str">
        <f>IFERROR(__xludf.DUMMYFUNCTION("""COMPUTED_VALUE"""),"B")</f>
        <v>B</v>
      </c>
      <c r="G6" s="168" t="str">
        <f>IFERROR(__xludf.DUMMYFUNCTION("""COMPUTED_VALUE"""),"A")</f>
        <v>A</v>
      </c>
      <c r="H6" s="168" t="str">
        <f>IFERROR(__xludf.DUMMYFUNCTION("""COMPUTED_VALUE"""),"A")</f>
        <v>A</v>
      </c>
    </row>
    <row r="7">
      <c r="A7" s="5" t="str">
        <f>IFERROR(__xludf.DUMMYFUNCTION("""COMPUTED_VALUE"""),"E250004")</f>
        <v>E250004</v>
      </c>
      <c r="B7" s="5" t="str">
        <f>IFERROR(__xludf.DUMMYFUNCTION("""COMPUTED_VALUE"""),"adinda humaira")</f>
        <v>adinda humaira</v>
      </c>
      <c r="C7" s="5" t="str">
        <f>IFERROR(__xludf.DUMMYFUNCTION("""COMPUTED_VALUE"""),"IL Putri")</f>
        <v>IL Putri</v>
      </c>
      <c r="D7" s="168" t="str">
        <f>IFERROR(__xludf.DUMMYFUNCTION("""COMPUTED_VALUE"""),"A")</f>
        <v>A</v>
      </c>
      <c r="E7" s="168" t="str">
        <f>IFERROR(__xludf.DUMMYFUNCTION("""COMPUTED_VALUE"""),"B")</f>
        <v>B</v>
      </c>
      <c r="F7" s="168" t="str">
        <f>IFERROR(__xludf.DUMMYFUNCTION("""COMPUTED_VALUE"""),"A")</f>
        <v>A</v>
      </c>
      <c r="G7" s="168" t="str">
        <f>IFERROR(__xludf.DUMMYFUNCTION("""COMPUTED_VALUE"""),"A")</f>
        <v>A</v>
      </c>
      <c r="H7" s="168" t="str">
        <f>IFERROR(__xludf.DUMMYFUNCTION("""COMPUTED_VALUE"""),"A")</f>
        <v>A</v>
      </c>
    </row>
    <row r="8">
      <c r="A8" s="5" t="str">
        <f>IFERROR(__xludf.DUMMYFUNCTION("""COMPUTED_VALUE"""),"E250003")</f>
        <v>E250003</v>
      </c>
      <c r="B8" s="5" t="str">
        <f>IFERROR(__xludf.DUMMYFUNCTION("""COMPUTED_VALUE"""),"NISRINA QURROTA AINI ")</f>
        <v>NISRINA QURROTA AINI </v>
      </c>
      <c r="C8" s="5" t="str">
        <f>IFERROR(__xludf.DUMMYFUNCTION("""COMPUTED_VALUE"""),"IL Putri")</f>
        <v>IL Putri</v>
      </c>
      <c r="D8" s="168" t="str">
        <f>IFERROR(__xludf.DUMMYFUNCTION("""COMPUTED_VALUE"""),"A")</f>
        <v>A</v>
      </c>
      <c r="E8" s="168" t="str">
        <f>IFERROR(__xludf.DUMMYFUNCTION("""COMPUTED_VALUE"""),"C")</f>
        <v>C</v>
      </c>
      <c r="F8" s="168" t="str">
        <f>IFERROR(__xludf.DUMMYFUNCTION("""COMPUTED_VALUE"""),"A")</f>
        <v>A</v>
      </c>
      <c r="G8" s="168" t="str">
        <f>IFERROR(__xludf.DUMMYFUNCTION("""COMPUTED_VALUE"""),"A")</f>
        <v>A</v>
      </c>
      <c r="H8" s="168" t="str">
        <f>IFERROR(__xludf.DUMMYFUNCTION("""COMPUTED_VALUE"""),"A")</f>
        <v>A</v>
      </c>
    </row>
    <row r="9">
      <c r="A9" s="7" t="str">
        <f>IFERROR(__xludf.DUMMYFUNCTION("""COMPUTED_VALUE"""),"F250001")</f>
        <v>F250001</v>
      </c>
      <c r="B9" s="7" t="str">
        <f>IFERROR(__xludf.DUMMYFUNCTION("""COMPUTED_VALUE"""),"Naisya Tazqia Qolbi")</f>
        <v>Naisya Tazqia Qolbi</v>
      </c>
      <c r="C9" s="7" t="str">
        <f>IFERROR(__xludf.DUMMYFUNCTION("""COMPUTED_VALUE"""),"IL Putri")</f>
        <v>IL Putri</v>
      </c>
      <c r="D9" s="50" t="str">
        <f>IFERROR(__xludf.DUMMYFUNCTION("""COMPUTED_VALUE"""),"A")</f>
        <v>A</v>
      </c>
      <c r="E9" s="50" t="str">
        <f>IFERROR(__xludf.DUMMYFUNCTION("""COMPUTED_VALUE"""),"C")</f>
        <v>C</v>
      </c>
      <c r="F9" s="50" t="str">
        <f>IFERROR(__xludf.DUMMYFUNCTION("""COMPUTED_VALUE"""),"A")</f>
        <v>A</v>
      </c>
      <c r="G9" s="50" t="str">
        <f>IFERROR(__xludf.DUMMYFUNCTION("""COMPUTED_VALUE"""),"A")</f>
        <v>A</v>
      </c>
      <c r="H9" s="50" t="str">
        <f>IFERROR(__xludf.DUMMYFUNCTION("""COMPUTED_VALUE"""),"A")</f>
        <v>A</v>
      </c>
    </row>
    <row r="10">
      <c r="A10" s="7" t="str">
        <f>IFERROR(__xludf.DUMMYFUNCTION("""COMPUTED_VALUE"""),"F250002")</f>
        <v>F250002</v>
      </c>
      <c r="B10" s="7" t="str">
        <f>IFERROR(__xludf.DUMMYFUNCTION("""COMPUTED_VALUE"""),"Unaysah")</f>
        <v>Unaysah</v>
      </c>
      <c r="C10" s="7" t="str">
        <f>IFERROR(__xludf.DUMMYFUNCTION("""COMPUTED_VALUE"""),"IL Putri")</f>
        <v>IL Putri</v>
      </c>
      <c r="D10" s="50" t="str">
        <f>IFERROR(__xludf.DUMMYFUNCTION("""COMPUTED_VALUE"""),"A")</f>
        <v>A</v>
      </c>
      <c r="E10" s="50" t="str">
        <f>IFERROR(__xludf.DUMMYFUNCTION("""COMPUTED_VALUE"""),"A")</f>
        <v>A</v>
      </c>
      <c r="F10" s="50" t="str">
        <f>IFERROR(__xludf.DUMMYFUNCTION("""COMPUTED_VALUE"""),"A")</f>
        <v>A</v>
      </c>
      <c r="G10" s="50" t="str">
        <f>IFERROR(__xludf.DUMMYFUNCTION("""COMPUTED_VALUE"""),"A")</f>
        <v>A</v>
      </c>
      <c r="H10" s="50" t="str">
        <f>IFERROR(__xludf.DUMMYFUNCTION("""COMPUTED_VALUE"""),"A")</f>
        <v>A</v>
      </c>
    </row>
    <row r="11">
      <c r="A11" s="7" t="str">
        <f>IFERROR(__xludf.DUMMYFUNCTION("""COMPUTED_VALUE"""),"E250009")</f>
        <v>E250009</v>
      </c>
      <c r="B11" s="7" t="str">
        <f>IFERROR(__xludf.DUMMYFUNCTION("""COMPUTED_VALUE"""),"Najla ulfa")</f>
        <v>Najla ulfa</v>
      </c>
      <c r="C11" s="7" t="str">
        <f>IFERROR(__xludf.DUMMYFUNCTION("""COMPUTED_VALUE"""),"IL Putri")</f>
        <v>IL Putri</v>
      </c>
      <c r="D11" s="50" t="str">
        <f>IFERROR(__xludf.DUMMYFUNCTION("""COMPUTED_VALUE"""),"A")</f>
        <v>A</v>
      </c>
      <c r="E11" s="50" t="str">
        <f>IFERROR(__xludf.DUMMYFUNCTION("""COMPUTED_VALUE"""),"B")</f>
        <v>B</v>
      </c>
      <c r="F11" s="50" t="str">
        <f>IFERROR(__xludf.DUMMYFUNCTION("""COMPUTED_VALUE"""),"A")</f>
        <v>A</v>
      </c>
      <c r="G11" s="50" t="str">
        <f>IFERROR(__xludf.DUMMYFUNCTION("""COMPUTED_VALUE"""),"A")</f>
        <v>A</v>
      </c>
      <c r="H11" s="50" t="str">
        <f>IFERROR(__xludf.DUMMYFUNCTION("""COMPUTED_VALUE"""),"A")</f>
        <v>A</v>
      </c>
    </row>
    <row r="12">
      <c r="A12" s="7" t="str">
        <f>IFERROR(__xludf.DUMMYFUNCTION("""COMPUTED_VALUE"""),"F250003")</f>
        <v>F250003</v>
      </c>
      <c r="B12" s="7" t="str">
        <f>IFERROR(__xludf.DUMMYFUNCTION("""COMPUTED_VALUE"""),"Nidaul Husna ")</f>
        <v>Nidaul Husna </v>
      </c>
      <c r="C12" s="7" t="str">
        <f>IFERROR(__xludf.DUMMYFUNCTION("""COMPUTED_VALUE"""),"IL Putri")</f>
        <v>IL Putri</v>
      </c>
      <c r="D12" s="50" t="str">
        <f>IFERROR(__xludf.DUMMYFUNCTION("""COMPUTED_VALUE"""),"A")</f>
        <v>A</v>
      </c>
      <c r="E12" s="50" t="str">
        <f>IFERROR(__xludf.DUMMYFUNCTION("""COMPUTED_VALUE"""),"B")</f>
        <v>B</v>
      </c>
      <c r="F12" s="50" t="str">
        <f>IFERROR(__xludf.DUMMYFUNCTION("""COMPUTED_VALUE"""),"A")</f>
        <v>A</v>
      </c>
      <c r="G12" s="50" t="str">
        <f>IFERROR(__xludf.DUMMYFUNCTION("""COMPUTED_VALUE"""),"A")</f>
        <v>A</v>
      </c>
      <c r="H12" s="50" t="str">
        <f>IFERROR(__xludf.DUMMYFUNCTION("""COMPUTED_VALUE"""),"A")</f>
        <v>A</v>
      </c>
    </row>
    <row r="13">
      <c r="D13" s="50"/>
      <c r="E13" s="50"/>
      <c r="F13" s="50"/>
      <c r="G13" s="50"/>
      <c r="H13" s="50"/>
    </row>
    <row r="14">
      <c r="D14" s="50"/>
      <c r="E14" s="50"/>
      <c r="F14" s="50"/>
      <c r="G14" s="50"/>
      <c r="H14" s="50"/>
    </row>
    <row r="15">
      <c r="D15" s="50"/>
      <c r="E15" s="50"/>
      <c r="F15" s="50"/>
      <c r="G15" s="50"/>
      <c r="H15" s="50"/>
    </row>
    <row r="16">
      <c r="D16" s="50"/>
      <c r="E16" s="50"/>
      <c r="F16" s="50"/>
      <c r="G16" s="50"/>
      <c r="H16" s="50"/>
    </row>
    <row r="17">
      <c r="D17" s="50"/>
      <c r="E17" s="50"/>
      <c r="F17" s="50"/>
      <c r="G17" s="50"/>
      <c r="H17" s="50"/>
    </row>
    <row r="18">
      <c r="D18" s="50"/>
      <c r="E18" s="50"/>
      <c r="F18" s="50"/>
      <c r="G18" s="50"/>
      <c r="H18" s="50"/>
    </row>
    <row r="19">
      <c r="D19" s="50"/>
      <c r="E19" s="50"/>
      <c r="F19" s="50"/>
      <c r="G19" s="50"/>
      <c r="H19" s="50"/>
    </row>
    <row r="20">
      <c r="D20" s="50"/>
      <c r="E20" s="50"/>
      <c r="F20" s="50"/>
      <c r="G20" s="50"/>
      <c r="H20" s="50"/>
    </row>
    <row r="21">
      <c r="D21" s="50"/>
      <c r="E21" s="50"/>
      <c r="F21" s="50"/>
      <c r="G21" s="50"/>
      <c r="H21" s="50"/>
    </row>
    <row r="22">
      <c r="D22" s="50"/>
      <c r="E22" s="50"/>
      <c r="F22" s="50"/>
      <c r="G22" s="50"/>
      <c r="H22" s="50"/>
    </row>
    <row r="23">
      <c r="D23" s="50"/>
      <c r="E23" s="50"/>
      <c r="F23" s="50"/>
      <c r="G23" s="50"/>
      <c r="H23" s="50"/>
    </row>
    <row r="24">
      <c r="D24" s="50"/>
      <c r="E24" s="50"/>
      <c r="F24" s="50"/>
      <c r="G24" s="50"/>
      <c r="H24" s="50"/>
    </row>
    <row r="25">
      <c r="D25" s="50"/>
      <c r="E25" s="50"/>
      <c r="F25" s="50"/>
      <c r="G25" s="50"/>
      <c r="H25" s="50"/>
    </row>
    <row r="26">
      <c r="D26" s="50"/>
      <c r="E26" s="50"/>
      <c r="F26" s="50"/>
      <c r="G26" s="50"/>
      <c r="H26" s="50"/>
    </row>
    <row r="27">
      <c r="D27" s="50"/>
      <c r="E27" s="50"/>
      <c r="F27" s="50"/>
      <c r="G27" s="50"/>
      <c r="H27" s="50"/>
    </row>
    <row r="28">
      <c r="D28" s="50"/>
      <c r="E28" s="50"/>
      <c r="F28" s="50"/>
      <c r="G28" s="50"/>
      <c r="H28" s="50"/>
    </row>
    <row r="29">
      <c r="D29" s="50"/>
      <c r="E29" s="50"/>
      <c r="F29" s="50"/>
      <c r="G29" s="50"/>
      <c r="H29" s="50"/>
    </row>
    <row r="30">
      <c r="D30" s="50"/>
      <c r="E30" s="50"/>
      <c r="F30" s="50"/>
      <c r="G30" s="50"/>
      <c r="H30" s="50"/>
    </row>
    <row r="31">
      <c r="D31" s="50"/>
      <c r="E31" s="50"/>
      <c r="F31" s="50"/>
      <c r="G31" s="50"/>
      <c r="H31" s="50"/>
    </row>
    <row r="32">
      <c r="D32" s="50"/>
      <c r="E32" s="50"/>
      <c r="F32" s="50"/>
      <c r="G32" s="50"/>
      <c r="H32" s="50"/>
    </row>
    <row r="33">
      <c r="D33" s="50"/>
      <c r="E33" s="50"/>
      <c r="F33" s="50"/>
      <c r="G33" s="50"/>
      <c r="H33" s="50"/>
    </row>
    <row r="34">
      <c r="D34" s="50"/>
      <c r="E34" s="50"/>
      <c r="F34" s="50"/>
      <c r="G34" s="50"/>
      <c r="H34" s="50"/>
    </row>
    <row r="35">
      <c r="D35" s="50"/>
      <c r="E35" s="50"/>
      <c r="F35" s="50"/>
      <c r="G35" s="50"/>
      <c r="H35" s="50"/>
    </row>
    <row r="36">
      <c r="D36" s="50"/>
      <c r="E36" s="50"/>
      <c r="F36" s="50"/>
      <c r="G36" s="50"/>
      <c r="H36" s="50"/>
    </row>
    <row r="37">
      <c r="D37" s="50"/>
      <c r="E37" s="50"/>
      <c r="F37" s="50"/>
      <c r="G37" s="50"/>
      <c r="H37" s="50"/>
    </row>
    <row r="38">
      <c r="D38" s="50"/>
      <c r="E38" s="50"/>
      <c r="F38" s="50"/>
      <c r="G38" s="50"/>
      <c r="H38" s="50"/>
    </row>
    <row r="39">
      <c r="D39" s="50"/>
      <c r="E39" s="50"/>
      <c r="F39" s="50"/>
      <c r="G39" s="50"/>
      <c r="H39" s="50"/>
    </row>
    <row r="40">
      <c r="D40" s="50"/>
      <c r="E40" s="50"/>
      <c r="F40" s="50"/>
      <c r="G40" s="50"/>
      <c r="H40" s="50"/>
    </row>
    <row r="41">
      <c r="D41" s="50"/>
      <c r="E41" s="50"/>
      <c r="F41" s="50"/>
      <c r="G41" s="50"/>
      <c r="H41" s="50"/>
    </row>
    <row r="42">
      <c r="D42" s="50"/>
      <c r="E42" s="50"/>
      <c r="F42" s="50"/>
      <c r="G42" s="50"/>
      <c r="H42" s="50"/>
    </row>
    <row r="43">
      <c r="D43" s="50"/>
      <c r="E43" s="50"/>
      <c r="F43" s="50"/>
      <c r="G43" s="50"/>
      <c r="H43" s="50"/>
    </row>
    <row r="44">
      <c r="D44" s="50"/>
      <c r="E44" s="50"/>
      <c r="F44" s="50"/>
      <c r="G44" s="50"/>
      <c r="H44" s="50"/>
    </row>
    <row r="45">
      <c r="D45" s="50"/>
      <c r="E45" s="50"/>
      <c r="F45" s="50"/>
      <c r="G45" s="50"/>
      <c r="H45" s="50"/>
    </row>
    <row r="46">
      <c r="D46" s="50"/>
      <c r="E46" s="50"/>
      <c r="F46" s="50"/>
      <c r="G46" s="50"/>
      <c r="H46" s="50"/>
    </row>
    <row r="47">
      <c r="D47" s="50"/>
      <c r="E47" s="50"/>
      <c r="F47" s="50"/>
      <c r="G47" s="50"/>
      <c r="H47" s="50"/>
    </row>
    <row r="48">
      <c r="D48" s="50"/>
      <c r="E48" s="50"/>
      <c r="F48" s="50"/>
      <c r="G48" s="50"/>
      <c r="H48" s="50"/>
    </row>
    <row r="49">
      <c r="D49" s="50"/>
      <c r="E49" s="50"/>
      <c r="F49" s="50"/>
      <c r="G49" s="50"/>
      <c r="H49" s="50"/>
    </row>
    <row r="50">
      <c r="D50" s="50"/>
      <c r="E50" s="50"/>
      <c r="F50" s="50"/>
      <c r="G50" s="50"/>
      <c r="H50" s="50"/>
    </row>
    <row r="51">
      <c r="D51" s="50"/>
      <c r="E51" s="50"/>
      <c r="F51" s="50"/>
      <c r="G51" s="50"/>
      <c r="H51" s="50"/>
    </row>
    <row r="52">
      <c r="D52" s="50"/>
      <c r="E52" s="50"/>
      <c r="F52" s="50"/>
      <c r="G52" s="50"/>
      <c r="H52" s="50"/>
    </row>
    <row r="53">
      <c r="D53" s="50"/>
      <c r="E53" s="50"/>
      <c r="F53" s="50"/>
      <c r="G53" s="50"/>
      <c r="H53" s="50"/>
    </row>
    <row r="54">
      <c r="D54" s="50"/>
      <c r="E54" s="50"/>
      <c r="F54" s="50"/>
      <c r="G54" s="50"/>
      <c r="H54" s="50"/>
    </row>
    <row r="55">
      <c r="D55" s="50"/>
      <c r="E55" s="50"/>
      <c r="F55" s="50"/>
      <c r="G55" s="50"/>
      <c r="H55" s="50"/>
    </row>
    <row r="56">
      <c r="D56" s="50"/>
      <c r="E56" s="50"/>
      <c r="F56" s="50"/>
      <c r="G56" s="50"/>
      <c r="H56" s="50"/>
    </row>
    <row r="57">
      <c r="D57" s="50"/>
      <c r="E57" s="50"/>
      <c r="F57" s="50"/>
      <c r="G57" s="50"/>
      <c r="H57" s="50"/>
    </row>
    <row r="58">
      <c r="D58" s="50"/>
      <c r="E58" s="50"/>
      <c r="F58" s="50"/>
      <c r="G58" s="50"/>
      <c r="H58" s="50"/>
    </row>
    <row r="59">
      <c r="D59" s="50"/>
      <c r="E59" s="50"/>
      <c r="F59" s="50"/>
      <c r="G59" s="50"/>
      <c r="H59" s="50"/>
    </row>
    <row r="60">
      <c r="D60" s="50"/>
      <c r="E60" s="50"/>
      <c r="F60" s="50"/>
      <c r="G60" s="50"/>
      <c r="H60" s="50"/>
    </row>
    <row r="61">
      <c r="D61" s="50"/>
      <c r="E61" s="50"/>
      <c r="F61" s="50"/>
      <c r="G61" s="50"/>
      <c r="H61" s="50"/>
    </row>
    <row r="62">
      <c r="D62" s="50"/>
      <c r="E62" s="50"/>
      <c r="F62" s="50"/>
      <c r="G62" s="50"/>
      <c r="H62" s="50"/>
    </row>
    <row r="63">
      <c r="D63" s="50"/>
      <c r="E63" s="50"/>
      <c r="F63" s="50"/>
      <c r="G63" s="50"/>
      <c r="H63" s="50"/>
    </row>
    <row r="64">
      <c r="D64" s="50"/>
      <c r="E64" s="50"/>
      <c r="F64" s="50"/>
      <c r="G64" s="50"/>
      <c r="H64" s="50"/>
    </row>
    <row r="65">
      <c r="D65" s="50"/>
      <c r="E65" s="50"/>
      <c r="F65" s="50"/>
      <c r="G65" s="50"/>
      <c r="H65" s="50"/>
    </row>
    <row r="66">
      <c r="D66" s="50"/>
      <c r="E66" s="50"/>
      <c r="F66" s="50"/>
      <c r="G66" s="50"/>
      <c r="H66" s="50"/>
    </row>
    <row r="67">
      <c r="D67" s="50"/>
      <c r="E67" s="50"/>
      <c r="F67" s="50"/>
      <c r="G67" s="50"/>
      <c r="H67" s="50"/>
    </row>
    <row r="68">
      <c r="D68" s="50"/>
      <c r="E68" s="50"/>
      <c r="F68" s="50"/>
      <c r="G68" s="50"/>
      <c r="H68" s="50"/>
    </row>
    <row r="69">
      <c r="D69" s="50"/>
      <c r="E69" s="50"/>
      <c r="F69" s="50"/>
      <c r="G69" s="50"/>
      <c r="H69" s="50"/>
    </row>
    <row r="70">
      <c r="D70" s="50"/>
      <c r="E70" s="50"/>
      <c r="F70" s="50"/>
      <c r="G70" s="50"/>
      <c r="H70" s="50"/>
    </row>
    <row r="71">
      <c r="D71" s="50"/>
      <c r="E71" s="50"/>
      <c r="F71" s="50"/>
      <c r="G71" s="50"/>
      <c r="H71" s="50"/>
    </row>
    <row r="72">
      <c r="D72" s="50"/>
      <c r="E72" s="50"/>
      <c r="F72" s="50"/>
      <c r="G72" s="50"/>
      <c r="H72" s="50"/>
    </row>
    <row r="73">
      <c r="D73" s="50"/>
      <c r="E73" s="50"/>
      <c r="F73" s="50"/>
      <c r="G73" s="50"/>
      <c r="H73" s="50"/>
    </row>
    <row r="74">
      <c r="D74" s="50"/>
      <c r="E74" s="50"/>
      <c r="F74" s="50"/>
      <c r="G74" s="50"/>
      <c r="H74" s="50"/>
    </row>
    <row r="75">
      <c r="D75" s="50"/>
      <c r="E75" s="50"/>
      <c r="F75" s="50"/>
      <c r="G75" s="50"/>
      <c r="H75" s="50"/>
    </row>
    <row r="76">
      <c r="D76" s="50"/>
      <c r="E76" s="50"/>
      <c r="F76" s="50"/>
      <c r="G76" s="50"/>
      <c r="H76" s="50"/>
    </row>
    <row r="77">
      <c r="D77" s="50"/>
      <c r="E77" s="50"/>
      <c r="F77" s="50"/>
      <c r="G77" s="50"/>
      <c r="H77" s="50"/>
    </row>
    <row r="78">
      <c r="D78" s="50"/>
      <c r="E78" s="50"/>
      <c r="F78" s="50"/>
      <c r="G78" s="50"/>
      <c r="H78" s="50"/>
    </row>
    <row r="79">
      <c r="D79" s="50"/>
      <c r="E79" s="50"/>
      <c r="F79" s="50"/>
      <c r="G79" s="50"/>
      <c r="H79" s="50"/>
    </row>
    <row r="80">
      <c r="D80" s="50"/>
      <c r="E80" s="50"/>
      <c r="F80" s="50"/>
      <c r="G80" s="50"/>
      <c r="H80" s="50"/>
    </row>
    <row r="81">
      <c r="D81" s="50"/>
      <c r="E81" s="50"/>
      <c r="F81" s="50"/>
      <c r="G81" s="50"/>
      <c r="H81" s="50"/>
    </row>
    <row r="82">
      <c r="D82" s="50"/>
      <c r="E82" s="50"/>
      <c r="F82" s="50"/>
      <c r="G82" s="50"/>
      <c r="H82" s="50"/>
    </row>
    <row r="83">
      <c r="D83" s="50"/>
      <c r="E83" s="50"/>
      <c r="F83" s="50"/>
      <c r="G83" s="50"/>
      <c r="H83" s="50"/>
    </row>
    <row r="84">
      <c r="D84" s="50"/>
      <c r="E84" s="50"/>
      <c r="F84" s="50"/>
      <c r="G84" s="50"/>
      <c r="H84" s="50"/>
    </row>
    <row r="85">
      <c r="D85" s="50"/>
      <c r="E85" s="50"/>
      <c r="F85" s="50"/>
      <c r="G85" s="50"/>
      <c r="H85" s="50"/>
    </row>
    <row r="86">
      <c r="D86" s="50"/>
      <c r="E86" s="50"/>
      <c r="F86" s="50"/>
      <c r="G86" s="50"/>
      <c r="H86" s="50"/>
    </row>
    <row r="87">
      <c r="D87" s="50"/>
      <c r="E87" s="50"/>
      <c r="F87" s="50"/>
      <c r="G87" s="50"/>
      <c r="H87" s="50"/>
    </row>
    <row r="88">
      <c r="D88" s="50"/>
      <c r="E88" s="50"/>
      <c r="F88" s="50"/>
      <c r="G88" s="50"/>
      <c r="H88" s="50"/>
    </row>
    <row r="89">
      <c r="D89" s="50"/>
      <c r="E89" s="50"/>
      <c r="F89" s="50"/>
      <c r="G89" s="50"/>
      <c r="H89" s="50"/>
    </row>
    <row r="90">
      <c r="D90" s="50"/>
      <c r="E90" s="50"/>
      <c r="F90" s="50"/>
      <c r="G90" s="50"/>
      <c r="H90" s="50"/>
    </row>
    <row r="91">
      <c r="D91" s="50"/>
      <c r="E91" s="50"/>
      <c r="F91" s="50"/>
      <c r="G91" s="50"/>
      <c r="H91" s="50"/>
    </row>
    <row r="92">
      <c r="D92" s="50"/>
      <c r="E92" s="50"/>
      <c r="F92" s="50"/>
      <c r="G92" s="50"/>
      <c r="H92" s="50"/>
    </row>
    <row r="93">
      <c r="D93" s="50"/>
      <c r="E93" s="50"/>
      <c r="F93" s="50"/>
      <c r="G93" s="50"/>
      <c r="H93" s="50"/>
    </row>
    <row r="94">
      <c r="D94" s="50"/>
      <c r="E94" s="50"/>
      <c r="F94" s="50"/>
      <c r="G94" s="50"/>
      <c r="H94" s="50"/>
    </row>
    <row r="95">
      <c r="D95" s="50"/>
      <c r="E95" s="50"/>
      <c r="F95" s="50"/>
      <c r="G95" s="50"/>
      <c r="H95" s="50"/>
    </row>
    <row r="96">
      <c r="D96" s="50"/>
      <c r="E96" s="50"/>
      <c r="F96" s="50"/>
      <c r="G96" s="50"/>
      <c r="H96" s="50"/>
    </row>
    <row r="97">
      <c r="D97" s="50"/>
      <c r="E97" s="50"/>
      <c r="F97" s="50"/>
      <c r="G97" s="50"/>
      <c r="H97" s="50"/>
    </row>
    <row r="98">
      <c r="D98" s="50"/>
      <c r="E98" s="50"/>
      <c r="F98" s="50"/>
      <c r="G98" s="50"/>
      <c r="H98" s="50"/>
    </row>
    <row r="99">
      <c r="D99" s="50"/>
      <c r="E99" s="50"/>
      <c r="F99" s="50"/>
      <c r="G99" s="50"/>
      <c r="H99" s="50"/>
    </row>
    <row r="100">
      <c r="D100" s="50"/>
      <c r="E100" s="50"/>
      <c r="F100" s="50"/>
      <c r="G100" s="50"/>
      <c r="H100" s="50"/>
    </row>
    <row r="101">
      <c r="D101" s="50"/>
      <c r="E101" s="50"/>
      <c r="F101" s="50"/>
      <c r="G101" s="50"/>
      <c r="H101" s="50"/>
    </row>
    <row r="102">
      <c r="D102" s="50"/>
      <c r="E102" s="50"/>
      <c r="F102" s="50"/>
      <c r="G102" s="50"/>
      <c r="H102" s="50"/>
    </row>
    <row r="103">
      <c r="D103" s="50"/>
      <c r="E103" s="50"/>
      <c r="F103" s="50"/>
      <c r="G103" s="50"/>
      <c r="H103" s="50"/>
    </row>
    <row r="104">
      <c r="D104" s="50"/>
      <c r="E104" s="50"/>
      <c r="F104" s="50"/>
      <c r="G104" s="50"/>
      <c r="H104" s="50"/>
    </row>
    <row r="105">
      <c r="D105" s="50"/>
      <c r="E105" s="50"/>
      <c r="F105" s="50"/>
      <c r="G105" s="50"/>
      <c r="H105" s="50"/>
    </row>
    <row r="106">
      <c r="D106" s="50"/>
      <c r="E106" s="50"/>
      <c r="F106" s="50"/>
      <c r="G106" s="50"/>
      <c r="H106" s="50"/>
    </row>
    <row r="107">
      <c r="D107" s="50"/>
      <c r="E107" s="50"/>
      <c r="F107" s="50"/>
      <c r="G107" s="50"/>
      <c r="H107" s="50"/>
    </row>
    <row r="108">
      <c r="D108" s="50"/>
      <c r="E108" s="50"/>
      <c r="F108" s="50"/>
      <c r="G108" s="50"/>
      <c r="H108" s="50"/>
    </row>
    <row r="109">
      <c r="D109" s="50"/>
      <c r="E109" s="50"/>
      <c r="F109" s="50"/>
      <c r="G109" s="50"/>
      <c r="H109" s="50"/>
    </row>
    <row r="110">
      <c r="D110" s="50"/>
      <c r="E110" s="50"/>
      <c r="F110" s="50"/>
      <c r="G110" s="50"/>
      <c r="H110" s="50"/>
    </row>
    <row r="111">
      <c r="D111" s="50"/>
      <c r="E111" s="50"/>
      <c r="F111" s="50"/>
      <c r="G111" s="50"/>
      <c r="H111" s="50"/>
    </row>
    <row r="112">
      <c r="D112" s="50"/>
      <c r="E112" s="50"/>
      <c r="F112" s="50"/>
      <c r="G112" s="50"/>
      <c r="H112" s="50"/>
    </row>
    <row r="113">
      <c r="D113" s="50"/>
      <c r="E113" s="50"/>
      <c r="F113" s="50"/>
      <c r="G113" s="50"/>
      <c r="H113" s="50"/>
    </row>
    <row r="114">
      <c r="D114" s="50"/>
      <c r="E114" s="50"/>
      <c r="F114" s="50"/>
      <c r="G114" s="50"/>
      <c r="H114" s="50"/>
    </row>
    <row r="115">
      <c r="D115" s="50"/>
      <c r="E115" s="50"/>
      <c r="F115" s="50"/>
      <c r="G115" s="50"/>
      <c r="H115" s="50"/>
    </row>
    <row r="116">
      <c r="D116" s="50"/>
      <c r="E116" s="50"/>
      <c r="F116" s="50"/>
      <c r="G116" s="50"/>
      <c r="H116" s="50"/>
    </row>
    <row r="117">
      <c r="D117" s="50"/>
      <c r="E117" s="50"/>
      <c r="F117" s="50"/>
      <c r="G117" s="50"/>
      <c r="H117" s="50"/>
    </row>
    <row r="118">
      <c r="D118" s="50"/>
      <c r="E118" s="50"/>
      <c r="F118" s="50"/>
      <c r="G118" s="50"/>
      <c r="H118" s="50"/>
    </row>
    <row r="119">
      <c r="D119" s="50"/>
      <c r="E119" s="50"/>
      <c r="F119" s="50"/>
      <c r="G119" s="50"/>
      <c r="H119" s="50"/>
    </row>
    <row r="120">
      <c r="D120" s="50"/>
      <c r="E120" s="50"/>
      <c r="F120" s="50"/>
      <c r="G120" s="50"/>
      <c r="H120" s="50"/>
    </row>
    <row r="121">
      <c r="D121" s="50"/>
      <c r="E121" s="50"/>
      <c r="F121" s="50"/>
      <c r="G121" s="50"/>
      <c r="H121" s="50"/>
    </row>
    <row r="122">
      <c r="D122" s="50"/>
      <c r="E122" s="50"/>
      <c r="F122" s="50"/>
      <c r="G122" s="50"/>
      <c r="H122" s="50"/>
    </row>
    <row r="123">
      <c r="D123" s="50"/>
      <c r="E123" s="50"/>
      <c r="F123" s="50"/>
      <c r="G123" s="50"/>
      <c r="H123" s="50"/>
    </row>
    <row r="124">
      <c r="D124" s="50"/>
      <c r="E124" s="50"/>
      <c r="F124" s="50"/>
      <c r="G124" s="50"/>
      <c r="H124" s="50"/>
    </row>
    <row r="125">
      <c r="D125" s="50"/>
      <c r="E125" s="50"/>
      <c r="F125" s="50"/>
      <c r="G125" s="50"/>
      <c r="H125" s="50"/>
    </row>
    <row r="126">
      <c r="D126" s="50"/>
      <c r="E126" s="50"/>
      <c r="F126" s="50"/>
      <c r="G126" s="50"/>
      <c r="H126" s="50"/>
    </row>
    <row r="127">
      <c r="D127" s="50"/>
      <c r="E127" s="50"/>
      <c r="F127" s="50"/>
      <c r="G127" s="50"/>
      <c r="H127" s="50"/>
    </row>
    <row r="128">
      <c r="D128" s="50"/>
      <c r="E128" s="50"/>
      <c r="F128" s="50"/>
      <c r="G128" s="50"/>
      <c r="H128" s="50"/>
    </row>
    <row r="129">
      <c r="D129" s="50"/>
      <c r="E129" s="50"/>
      <c r="F129" s="50"/>
      <c r="G129" s="50"/>
      <c r="H129" s="50"/>
    </row>
    <row r="130">
      <c r="D130" s="50"/>
      <c r="E130" s="50"/>
      <c r="F130" s="50"/>
      <c r="G130" s="50"/>
      <c r="H130" s="50"/>
    </row>
    <row r="131">
      <c r="D131" s="50"/>
      <c r="E131" s="50"/>
      <c r="F131" s="50"/>
      <c r="G131" s="50"/>
      <c r="H131" s="50"/>
    </row>
    <row r="132">
      <c r="D132" s="50"/>
      <c r="E132" s="50"/>
      <c r="F132" s="50"/>
      <c r="G132" s="50"/>
      <c r="H132" s="50"/>
    </row>
    <row r="133">
      <c r="D133" s="50"/>
      <c r="E133" s="50"/>
      <c r="F133" s="50"/>
      <c r="G133" s="50"/>
      <c r="H133" s="50"/>
    </row>
    <row r="134">
      <c r="D134" s="50"/>
      <c r="E134" s="50"/>
      <c r="F134" s="50"/>
      <c r="G134" s="50"/>
      <c r="H134" s="50"/>
    </row>
    <row r="135">
      <c r="D135" s="50"/>
      <c r="E135" s="50"/>
      <c r="F135" s="50"/>
      <c r="G135" s="50"/>
      <c r="H135" s="50"/>
    </row>
    <row r="136">
      <c r="D136" s="50"/>
      <c r="E136" s="50"/>
      <c r="F136" s="50"/>
      <c r="G136" s="50"/>
      <c r="H136" s="50"/>
    </row>
    <row r="137">
      <c r="D137" s="50"/>
      <c r="E137" s="50"/>
      <c r="F137" s="50"/>
      <c r="G137" s="50"/>
      <c r="H137" s="50"/>
    </row>
    <row r="138">
      <c r="D138" s="50"/>
      <c r="E138" s="50"/>
      <c r="F138" s="50"/>
      <c r="G138" s="50"/>
      <c r="H138" s="50"/>
    </row>
    <row r="139">
      <c r="D139" s="50"/>
      <c r="E139" s="50"/>
      <c r="F139" s="50"/>
      <c r="G139" s="50"/>
      <c r="H139" s="50"/>
    </row>
    <row r="140">
      <c r="D140" s="50"/>
      <c r="E140" s="50"/>
      <c r="F140" s="50"/>
      <c r="G140" s="50"/>
      <c r="H140" s="50"/>
    </row>
    <row r="141">
      <c r="D141" s="50"/>
      <c r="E141" s="50"/>
      <c r="F141" s="50"/>
      <c r="G141" s="50"/>
      <c r="H141" s="50"/>
    </row>
    <row r="142">
      <c r="D142" s="50"/>
      <c r="E142" s="50"/>
      <c r="F142" s="50"/>
      <c r="G142" s="50"/>
      <c r="H142" s="50"/>
    </row>
    <row r="143">
      <c r="D143" s="50"/>
      <c r="E143" s="50"/>
      <c r="F143" s="50"/>
      <c r="G143" s="50"/>
      <c r="H143" s="50"/>
    </row>
    <row r="144">
      <c r="D144" s="50"/>
      <c r="E144" s="50"/>
      <c r="F144" s="50"/>
      <c r="G144" s="50"/>
      <c r="H144" s="50"/>
    </row>
    <row r="145">
      <c r="D145" s="50"/>
      <c r="E145" s="50"/>
      <c r="F145" s="50"/>
      <c r="G145" s="50"/>
      <c r="H145" s="50"/>
    </row>
    <row r="146">
      <c r="D146" s="50"/>
      <c r="E146" s="50"/>
      <c r="F146" s="50"/>
      <c r="G146" s="50"/>
      <c r="H146" s="50"/>
    </row>
    <row r="147">
      <c r="D147" s="50"/>
      <c r="E147" s="50"/>
      <c r="F147" s="50"/>
      <c r="G147" s="50"/>
      <c r="H147" s="50"/>
    </row>
    <row r="148">
      <c r="D148" s="50"/>
      <c r="E148" s="50"/>
      <c r="F148" s="50"/>
      <c r="G148" s="50"/>
      <c r="H148" s="50"/>
    </row>
    <row r="149">
      <c r="D149" s="50"/>
      <c r="E149" s="50"/>
      <c r="F149" s="50"/>
      <c r="G149" s="50"/>
      <c r="H149" s="50"/>
    </row>
    <row r="150">
      <c r="D150" s="50"/>
      <c r="E150" s="50"/>
      <c r="F150" s="50"/>
      <c r="G150" s="50"/>
      <c r="H150" s="50"/>
    </row>
    <row r="151">
      <c r="D151" s="50"/>
      <c r="E151" s="50"/>
      <c r="F151" s="50"/>
      <c r="G151" s="50"/>
      <c r="H151" s="50"/>
    </row>
    <row r="152">
      <c r="D152" s="50"/>
      <c r="E152" s="50"/>
      <c r="F152" s="50"/>
      <c r="G152" s="50"/>
      <c r="H152" s="50"/>
    </row>
    <row r="153">
      <c r="D153" s="50"/>
      <c r="E153" s="50"/>
      <c r="F153" s="50"/>
      <c r="G153" s="50"/>
      <c r="H153" s="50"/>
    </row>
    <row r="154">
      <c r="D154" s="50"/>
      <c r="E154" s="50"/>
      <c r="F154" s="50"/>
      <c r="G154" s="50"/>
      <c r="H154" s="50"/>
    </row>
    <row r="155">
      <c r="D155" s="50"/>
      <c r="E155" s="50"/>
      <c r="F155" s="50"/>
      <c r="G155" s="50"/>
      <c r="H155" s="50"/>
    </row>
    <row r="156">
      <c r="D156" s="50"/>
      <c r="E156" s="50"/>
      <c r="F156" s="50"/>
      <c r="G156" s="50"/>
      <c r="H156" s="50"/>
    </row>
    <row r="157">
      <c r="D157" s="50"/>
      <c r="E157" s="50"/>
      <c r="F157" s="50"/>
      <c r="G157" s="50"/>
      <c r="H157" s="50"/>
    </row>
    <row r="158">
      <c r="D158" s="50"/>
      <c r="E158" s="50"/>
      <c r="F158" s="50"/>
      <c r="G158" s="50"/>
      <c r="H158" s="50"/>
    </row>
    <row r="159">
      <c r="D159" s="50"/>
      <c r="E159" s="50"/>
      <c r="F159" s="50"/>
      <c r="G159" s="50"/>
      <c r="H159" s="50"/>
    </row>
    <row r="160">
      <c r="D160" s="50"/>
      <c r="E160" s="50"/>
      <c r="F160" s="50"/>
      <c r="G160" s="50"/>
      <c r="H160" s="50"/>
    </row>
    <row r="161">
      <c r="D161" s="50"/>
      <c r="E161" s="50"/>
      <c r="F161" s="50"/>
      <c r="G161" s="50"/>
      <c r="H161" s="50"/>
    </row>
    <row r="162">
      <c r="D162" s="50"/>
      <c r="E162" s="50"/>
      <c r="F162" s="50"/>
      <c r="G162" s="50"/>
      <c r="H162" s="50"/>
    </row>
    <row r="163">
      <c r="D163" s="50"/>
      <c r="E163" s="50"/>
      <c r="F163" s="50"/>
      <c r="G163" s="50"/>
      <c r="H163" s="50"/>
    </row>
    <row r="164">
      <c r="D164" s="50"/>
      <c r="E164" s="50"/>
      <c r="F164" s="50"/>
      <c r="G164" s="50"/>
      <c r="H164" s="50"/>
    </row>
    <row r="165">
      <c r="D165" s="50"/>
      <c r="E165" s="50"/>
      <c r="F165" s="50"/>
      <c r="G165" s="50"/>
      <c r="H165" s="50"/>
    </row>
    <row r="166">
      <c r="D166" s="50"/>
      <c r="E166" s="50"/>
      <c r="F166" s="50"/>
      <c r="G166" s="50"/>
      <c r="H166" s="50"/>
    </row>
    <row r="167">
      <c r="D167" s="50"/>
      <c r="E167" s="50"/>
      <c r="F167" s="50"/>
      <c r="G167" s="50"/>
      <c r="H167" s="50"/>
    </row>
    <row r="168">
      <c r="D168" s="50"/>
      <c r="E168" s="50"/>
      <c r="F168" s="50"/>
      <c r="G168" s="50"/>
      <c r="H168" s="50"/>
    </row>
    <row r="169">
      <c r="D169" s="50"/>
      <c r="E169" s="50"/>
      <c r="F169" s="50"/>
      <c r="G169" s="50"/>
      <c r="H169" s="50"/>
    </row>
    <row r="170">
      <c r="D170" s="50"/>
      <c r="E170" s="50"/>
      <c r="F170" s="50"/>
      <c r="G170" s="50"/>
      <c r="H170" s="50"/>
    </row>
    <row r="171">
      <c r="D171" s="50"/>
      <c r="E171" s="50"/>
      <c r="F171" s="50"/>
      <c r="G171" s="50"/>
      <c r="H171" s="50"/>
    </row>
    <row r="172">
      <c r="D172" s="50"/>
      <c r="E172" s="50"/>
      <c r="F172" s="50"/>
      <c r="G172" s="50"/>
      <c r="H172" s="50"/>
    </row>
    <row r="173">
      <c r="D173" s="50"/>
      <c r="E173" s="50"/>
      <c r="F173" s="50"/>
      <c r="G173" s="50"/>
      <c r="H173" s="50"/>
    </row>
    <row r="174">
      <c r="D174" s="50"/>
      <c r="E174" s="50"/>
      <c r="F174" s="50"/>
      <c r="G174" s="50"/>
      <c r="H174" s="50"/>
    </row>
    <row r="175">
      <c r="D175" s="50"/>
      <c r="E175" s="50"/>
      <c r="F175" s="50"/>
      <c r="G175" s="50"/>
      <c r="H175" s="50"/>
    </row>
    <row r="176">
      <c r="D176" s="50"/>
      <c r="E176" s="50"/>
      <c r="F176" s="50"/>
      <c r="G176" s="50"/>
      <c r="H176" s="50"/>
    </row>
    <row r="177">
      <c r="D177" s="50"/>
      <c r="E177" s="50"/>
      <c r="F177" s="50"/>
      <c r="G177" s="50"/>
      <c r="H177" s="50"/>
    </row>
    <row r="178">
      <c r="D178" s="50"/>
      <c r="E178" s="50"/>
      <c r="F178" s="50"/>
      <c r="G178" s="50"/>
      <c r="H178" s="50"/>
    </row>
    <row r="179">
      <c r="D179" s="50"/>
      <c r="E179" s="50"/>
      <c r="F179" s="50"/>
      <c r="G179" s="50"/>
      <c r="H179" s="50"/>
    </row>
    <row r="180">
      <c r="D180" s="50"/>
      <c r="E180" s="50"/>
      <c r="F180" s="50"/>
      <c r="G180" s="50"/>
      <c r="H180" s="50"/>
    </row>
    <row r="181">
      <c r="D181" s="50"/>
      <c r="E181" s="50"/>
      <c r="F181" s="50"/>
      <c r="G181" s="50"/>
      <c r="H181" s="50"/>
    </row>
    <row r="182">
      <c r="D182" s="50"/>
      <c r="E182" s="50"/>
      <c r="F182" s="50"/>
      <c r="G182" s="50"/>
      <c r="H182" s="50"/>
    </row>
    <row r="183">
      <c r="D183" s="50"/>
      <c r="E183" s="50"/>
      <c r="F183" s="50"/>
      <c r="G183" s="50"/>
      <c r="H183" s="50"/>
    </row>
    <row r="184">
      <c r="D184" s="50"/>
      <c r="E184" s="50"/>
      <c r="F184" s="50"/>
      <c r="G184" s="50"/>
      <c r="H184" s="50"/>
    </row>
    <row r="185">
      <c r="D185" s="50"/>
      <c r="E185" s="50"/>
      <c r="F185" s="50"/>
      <c r="G185" s="50"/>
      <c r="H185" s="50"/>
    </row>
    <row r="186">
      <c r="D186" s="50"/>
      <c r="E186" s="50"/>
      <c r="F186" s="50"/>
      <c r="G186" s="50"/>
      <c r="H186" s="50"/>
    </row>
    <row r="187">
      <c r="D187" s="50"/>
      <c r="E187" s="50"/>
      <c r="F187" s="50"/>
      <c r="G187" s="50"/>
      <c r="H187" s="50"/>
    </row>
    <row r="188">
      <c r="D188" s="50"/>
      <c r="E188" s="50"/>
      <c r="F188" s="50"/>
      <c r="G188" s="50"/>
      <c r="H188" s="50"/>
    </row>
    <row r="189">
      <c r="D189" s="50"/>
      <c r="E189" s="50"/>
      <c r="F189" s="50"/>
      <c r="G189" s="50"/>
      <c r="H189" s="50"/>
    </row>
    <row r="190">
      <c r="D190" s="50"/>
      <c r="E190" s="50"/>
      <c r="F190" s="50"/>
      <c r="G190" s="50"/>
      <c r="H190" s="50"/>
    </row>
    <row r="191">
      <c r="D191" s="50"/>
      <c r="E191" s="50"/>
      <c r="F191" s="50"/>
      <c r="G191" s="50"/>
      <c r="H191" s="50"/>
    </row>
    <row r="192">
      <c r="D192" s="50"/>
      <c r="E192" s="50"/>
      <c r="F192" s="50"/>
      <c r="G192" s="50"/>
      <c r="H192" s="50"/>
    </row>
    <row r="193">
      <c r="D193" s="50"/>
      <c r="E193" s="50"/>
      <c r="F193" s="50"/>
      <c r="G193" s="50"/>
      <c r="H193" s="50"/>
    </row>
    <row r="194">
      <c r="D194" s="50"/>
      <c r="E194" s="50"/>
      <c r="F194" s="50"/>
      <c r="G194" s="50"/>
      <c r="H194" s="50"/>
    </row>
    <row r="195">
      <c r="D195" s="50"/>
      <c r="E195" s="50"/>
      <c r="F195" s="50"/>
      <c r="G195" s="50"/>
      <c r="H195" s="50"/>
    </row>
    <row r="196">
      <c r="D196" s="50"/>
      <c r="E196" s="50"/>
      <c r="F196" s="50"/>
      <c r="G196" s="50"/>
      <c r="H196" s="50"/>
    </row>
    <row r="197">
      <c r="D197" s="50"/>
      <c r="E197" s="50"/>
      <c r="F197" s="50"/>
      <c r="G197" s="50"/>
      <c r="H197" s="50"/>
    </row>
    <row r="198">
      <c r="D198" s="50"/>
      <c r="E198" s="50"/>
      <c r="F198" s="50"/>
      <c r="G198" s="50"/>
      <c r="H198" s="50"/>
    </row>
    <row r="199">
      <c r="D199" s="50"/>
      <c r="E199" s="50"/>
      <c r="F199" s="50"/>
      <c r="G199" s="50"/>
      <c r="H199" s="50"/>
    </row>
    <row r="200">
      <c r="D200" s="50"/>
      <c r="E200" s="50"/>
      <c r="F200" s="50"/>
      <c r="G200" s="50"/>
      <c r="H200" s="50"/>
    </row>
    <row r="201">
      <c r="D201" s="50"/>
      <c r="E201" s="50"/>
      <c r="F201" s="50"/>
      <c r="G201" s="50"/>
      <c r="H201" s="50"/>
    </row>
    <row r="202">
      <c r="D202" s="50"/>
      <c r="E202" s="50"/>
      <c r="F202" s="50"/>
      <c r="G202" s="50"/>
      <c r="H202" s="50"/>
    </row>
    <row r="203">
      <c r="D203" s="50"/>
      <c r="E203" s="50"/>
      <c r="F203" s="50"/>
      <c r="G203" s="50"/>
      <c r="H203" s="50"/>
    </row>
    <row r="204">
      <c r="D204" s="50"/>
      <c r="E204" s="50"/>
      <c r="F204" s="50"/>
      <c r="G204" s="50"/>
      <c r="H204" s="50"/>
    </row>
    <row r="205">
      <c r="D205" s="50"/>
      <c r="E205" s="50"/>
      <c r="F205" s="50"/>
      <c r="G205" s="50"/>
      <c r="H205" s="50"/>
    </row>
    <row r="206">
      <c r="D206" s="50"/>
      <c r="E206" s="50"/>
      <c r="F206" s="50"/>
      <c r="G206" s="50"/>
      <c r="H206" s="50"/>
    </row>
    <row r="207">
      <c r="D207" s="50"/>
      <c r="E207" s="50"/>
      <c r="F207" s="50"/>
      <c r="G207" s="50"/>
      <c r="H207" s="50"/>
    </row>
    <row r="208">
      <c r="D208" s="50"/>
      <c r="E208" s="50"/>
      <c r="F208" s="50"/>
      <c r="G208" s="50"/>
      <c r="H208" s="50"/>
    </row>
    <row r="209">
      <c r="D209" s="50"/>
      <c r="E209" s="50"/>
      <c r="F209" s="50"/>
      <c r="G209" s="50"/>
      <c r="H209" s="50"/>
    </row>
    <row r="210">
      <c r="D210" s="50"/>
      <c r="E210" s="50"/>
      <c r="F210" s="50"/>
      <c r="G210" s="50"/>
      <c r="H210" s="50"/>
    </row>
    <row r="211">
      <c r="D211" s="50"/>
      <c r="E211" s="50"/>
      <c r="F211" s="50"/>
      <c r="G211" s="50"/>
      <c r="H211" s="50"/>
    </row>
    <row r="212">
      <c r="D212" s="50"/>
      <c r="E212" s="50"/>
      <c r="F212" s="50"/>
      <c r="G212" s="50"/>
      <c r="H212" s="50"/>
    </row>
    <row r="213">
      <c r="D213" s="50"/>
      <c r="E213" s="50"/>
      <c r="F213" s="50"/>
      <c r="G213" s="50"/>
      <c r="H213" s="50"/>
    </row>
    <row r="214">
      <c r="D214" s="50"/>
      <c r="E214" s="50"/>
      <c r="F214" s="50"/>
      <c r="G214" s="50"/>
      <c r="H214" s="50"/>
    </row>
    <row r="215">
      <c r="D215" s="50"/>
      <c r="E215" s="50"/>
      <c r="F215" s="50"/>
      <c r="G215" s="50"/>
      <c r="H215" s="50"/>
    </row>
    <row r="216">
      <c r="D216" s="50"/>
      <c r="E216" s="50"/>
      <c r="F216" s="50"/>
      <c r="G216" s="50"/>
      <c r="H216" s="50"/>
    </row>
    <row r="217">
      <c r="D217" s="50"/>
      <c r="E217" s="50"/>
      <c r="F217" s="50"/>
      <c r="G217" s="50"/>
      <c r="H217" s="50"/>
    </row>
    <row r="218">
      <c r="D218" s="50"/>
      <c r="E218" s="50"/>
      <c r="F218" s="50"/>
      <c r="G218" s="50"/>
      <c r="H218" s="50"/>
    </row>
    <row r="219">
      <c r="D219" s="50"/>
      <c r="E219" s="50"/>
      <c r="F219" s="50"/>
      <c r="G219" s="50"/>
      <c r="H219" s="50"/>
    </row>
    <row r="220">
      <c r="D220" s="50"/>
      <c r="E220" s="50"/>
      <c r="F220" s="50"/>
      <c r="G220" s="50"/>
      <c r="H220" s="50"/>
    </row>
    <row r="221">
      <c r="D221" s="50"/>
      <c r="E221" s="50"/>
      <c r="F221" s="50"/>
      <c r="G221" s="50"/>
      <c r="H221" s="50"/>
    </row>
    <row r="222">
      <c r="D222" s="50"/>
      <c r="E222" s="50"/>
      <c r="F222" s="50"/>
      <c r="G222" s="50"/>
      <c r="H222" s="50"/>
    </row>
    <row r="223">
      <c r="D223" s="50"/>
      <c r="E223" s="50"/>
      <c r="F223" s="50"/>
      <c r="G223" s="50"/>
      <c r="H223" s="50"/>
    </row>
    <row r="224">
      <c r="D224" s="50"/>
      <c r="E224" s="50"/>
      <c r="F224" s="50"/>
      <c r="G224" s="50"/>
      <c r="H224" s="50"/>
    </row>
    <row r="225">
      <c r="D225" s="50"/>
      <c r="E225" s="50"/>
      <c r="F225" s="50"/>
      <c r="G225" s="50"/>
      <c r="H225" s="50"/>
    </row>
    <row r="226">
      <c r="D226" s="50"/>
      <c r="E226" s="50"/>
      <c r="F226" s="50"/>
      <c r="G226" s="50"/>
      <c r="H226" s="50"/>
    </row>
    <row r="227">
      <c r="D227" s="50"/>
      <c r="E227" s="50"/>
      <c r="F227" s="50"/>
      <c r="G227" s="50"/>
      <c r="H227" s="50"/>
    </row>
    <row r="228">
      <c r="D228" s="50"/>
      <c r="E228" s="50"/>
      <c r="F228" s="50"/>
      <c r="G228" s="50"/>
      <c r="H228" s="50"/>
    </row>
    <row r="229">
      <c r="D229" s="50"/>
      <c r="E229" s="50"/>
      <c r="F229" s="50"/>
      <c r="G229" s="50"/>
      <c r="H229" s="50"/>
    </row>
    <row r="230">
      <c r="D230" s="50"/>
      <c r="E230" s="50"/>
      <c r="F230" s="50"/>
      <c r="G230" s="50"/>
      <c r="H230" s="50"/>
    </row>
    <row r="231">
      <c r="D231" s="50"/>
      <c r="E231" s="50"/>
      <c r="F231" s="50"/>
      <c r="G231" s="50"/>
      <c r="H231" s="50"/>
    </row>
    <row r="232">
      <c r="D232" s="50"/>
      <c r="E232" s="50"/>
      <c r="F232" s="50"/>
      <c r="G232" s="50"/>
      <c r="H232" s="50"/>
    </row>
    <row r="233">
      <c r="D233" s="50"/>
      <c r="E233" s="50"/>
      <c r="F233" s="50"/>
      <c r="G233" s="50"/>
      <c r="H233" s="50"/>
    </row>
    <row r="234">
      <c r="D234" s="50"/>
      <c r="E234" s="50"/>
      <c r="F234" s="50"/>
      <c r="G234" s="50"/>
      <c r="H234" s="50"/>
    </row>
    <row r="235">
      <c r="D235" s="50"/>
      <c r="E235" s="50"/>
      <c r="F235" s="50"/>
      <c r="G235" s="50"/>
      <c r="H235" s="50"/>
    </row>
    <row r="236">
      <c r="D236" s="50"/>
      <c r="E236" s="50"/>
      <c r="F236" s="50"/>
      <c r="G236" s="50"/>
      <c r="H236" s="50"/>
    </row>
    <row r="237">
      <c r="D237" s="50"/>
      <c r="E237" s="50"/>
      <c r="F237" s="50"/>
      <c r="G237" s="50"/>
      <c r="H237" s="50"/>
    </row>
    <row r="238">
      <c r="D238" s="50"/>
      <c r="E238" s="50"/>
      <c r="F238" s="50"/>
      <c r="G238" s="50"/>
      <c r="H238" s="50"/>
    </row>
    <row r="239">
      <c r="D239" s="50"/>
      <c r="E239" s="50"/>
      <c r="F239" s="50"/>
      <c r="G239" s="50"/>
      <c r="H239" s="50"/>
    </row>
    <row r="240">
      <c r="D240" s="50"/>
      <c r="E240" s="50"/>
      <c r="F240" s="50"/>
      <c r="G240" s="50"/>
      <c r="H240" s="50"/>
    </row>
    <row r="241">
      <c r="D241" s="50"/>
      <c r="E241" s="50"/>
      <c r="F241" s="50"/>
      <c r="G241" s="50"/>
      <c r="H241" s="50"/>
    </row>
    <row r="242">
      <c r="D242" s="50"/>
      <c r="E242" s="50"/>
      <c r="F242" s="50"/>
      <c r="G242" s="50"/>
      <c r="H242" s="50"/>
    </row>
    <row r="243">
      <c r="D243" s="50"/>
      <c r="E243" s="50"/>
      <c r="F243" s="50"/>
      <c r="G243" s="50"/>
      <c r="H243" s="50"/>
    </row>
    <row r="244">
      <c r="D244" s="50"/>
      <c r="E244" s="50"/>
      <c r="F244" s="50"/>
      <c r="G244" s="50"/>
      <c r="H244" s="50"/>
    </row>
    <row r="245">
      <c r="D245" s="50"/>
      <c r="E245" s="50"/>
      <c r="F245" s="50"/>
      <c r="G245" s="50"/>
      <c r="H245" s="50"/>
    </row>
    <row r="246">
      <c r="D246" s="50"/>
      <c r="E246" s="50"/>
      <c r="F246" s="50"/>
      <c r="G246" s="50"/>
      <c r="H246" s="50"/>
    </row>
    <row r="247">
      <c r="D247" s="50"/>
      <c r="E247" s="50"/>
      <c r="F247" s="50"/>
      <c r="G247" s="50"/>
      <c r="H247" s="50"/>
    </row>
    <row r="248">
      <c r="D248" s="50"/>
      <c r="E248" s="50"/>
      <c r="F248" s="50"/>
      <c r="G248" s="50"/>
      <c r="H248" s="50"/>
    </row>
    <row r="249">
      <c r="D249" s="50"/>
      <c r="E249" s="50"/>
      <c r="F249" s="50"/>
      <c r="G249" s="50"/>
      <c r="H249" s="50"/>
    </row>
    <row r="250">
      <c r="D250" s="50"/>
      <c r="E250" s="50"/>
      <c r="F250" s="50"/>
      <c r="G250" s="50"/>
      <c r="H250" s="50"/>
    </row>
    <row r="251">
      <c r="D251" s="50"/>
      <c r="E251" s="50"/>
      <c r="F251" s="50"/>
      <c r="G251" s="50"/>
      <c r="H251" s="50"/>
    </row>
    <row r="252">
      <c r="D252" s="50"/>
      <c r="E252" s="50"/>
      <c r="F252" s="50"/>
      <c r="G252" s="50"/>
      <c r="H252" s="50"/>
    </row>
    <row r="253">
      <c r="D253" s="50"/>
      <c r="E253" s="50"/>
      <c r="F253" s="50"/>
      <c r="G253" s="50"/>
      <c r="H253" s="50"/>
    </row>
    <row r="254">
      <c r="D254" s="50"/>
      <c r="E254" s="50"/>
      <c r="F254" s="50"/>
      <c r="G254" s="50"/>
      <c r="H254" s="50"/>
    </row>
    <row r="255">
      <c r="D255" s="50"/>
      <c r="E255" s="50"/>
      <c r="F255" s="50"/>
      <c r="G255" s="50"/>
      <c r="H255" s="50"/>
    </row>
    <row r="256">
      <c r="D256" s="50"/>
      <c r="E256" s="50"/>
      <c r="F256" s="50"/>
      <c r="G256" s="50"/>
      <c r="H256" s="50"/>
    </row>
    <row r="257">
      <c r="D257" s="50"/>
      <c r="E257" s="50"/>
      <c r="F257" s="50"/>
      <c r="G257" s="50"/>
      <c r="H257" s="50"/>
    </row>
    <row r="258">
      <c r="D258" s="50"/>
      <c r="E258" s="50"/>
      <c r="F258" s="50"/>
      <c r="G258" s="50"/>
      <c r="H258" s="50"/>
    </row>
    <row r="259">
      <c r="D259" s="50"/>
      <c r="E259" s="50"/>
      <c r="F259" s="50"/>
      <c r="G259" s="50"/>
      <c r="H259" s="50"/>
    </row>
    <row r="260">
      <c r="D260" s="50"/>
      <c r="E260" s="50"/>
      <c r="F260" s="50"/>
      <c r="G260" s="50"/>
      <c r="H260" s="50"/>
    </row>
    <row r="261">
      <c r="D261" s="50"/>
      <c r="E261" s="50"/>
      <c r="F261" s="50"/>
      <c r="G261" s="50"/>
      <c r="H261" s="50"/>
    </row>
    <row r="262">
      <c r="D262" s="50"/>
      <c r="E262" s="50"/>
      <c r="F262" s="50"/>
      <c r="G262" s="50"/>
      <c r="H262" s="50"/>
    </row>
    <row r="263">
      <c r="D263" s="50"/>
      <c r="E263" s="50"/>
      <c r="F263" s="50"/>
      <c r="G263" s="50"/>
      <c r="H263" s="50"/>
    </row>
    <row r="264">
      <c r="D264" s="50"/>
      <c r="E264" s="50"/>
      <c r="F264" s="50"/>
      <c r="G264" s="50"/>
      <c r="H264" s="50"/>
    </row>
    <row r="265">
      <c r="D265" s="50"/>
      <c r="E265" s="50"/>
      <c r="F265" s="50"/>
      <c r="G265" s="50"/>
      <c r="H265" s="50"/>
    </row>
    <row r="266">
      <c r="D266" s="50"/>
      <c r="E266" s="50"/>
      <c r="F266" s="50"/>
      <c r="G266" s="50"/>
      <c r="H266" s="50"/>
    </row>
    <row r="267">
      <c r="D267" s="50"/>
      <c r="E267" s="50"/>
      <c r="F267" s="50"/>
      <c r="G267" s="50"/>
      <c r="H267" s="50"/>
    </row>
    <row r="268">
      <c r="D268" s="50"/>
      <c r="E268" s="50"/>
      <c r="F268" s="50"/>
      <c r="G268" s="50"/>
      <c r="H268" s="50"/>
    </row>
    <row r="269">
      <c r="D269" s="50"/>
      <c r="E269" s="50"/>
      <c r="F269" s="50"/>
      <c r="G269" s="50"/>
      <c r="H269" s="50"/>
    </row>
    <row r="270">
      <c r="D270" s="50"/>
      <c r="E270" s="50"/>
      <c r="F270" s="50"/>
      <c r="G270" s="50"/>
      <c r="H270" s="50"/>
    </row>
    <row r="271">
      <c r="D271" s="50"/>
      <c r="E271" s="50"/>
      <c r="F271" s="50"/>
      <c r="G271" s="50"/>
      <c r="H271" s="50"/>
    </row>
    <row r="272">
      <c r="D272" s="50"/>
      <c r="E272" s="50"/>
      <c r="F272" s="50"/>
      <c r="G272" s="50"/>
      <c r="H272" s="50"/>
    </row>
    <row r="273">
      <c r="D273" s="50"/>
      <c r="E273" s="50"/>
      <c r="F273" s="50"/>
      <c r="G273" s="50"/>
      <c r="H273" s="50"/>
    </row>
    <row r="274">
      <c r="D274" s="50"/>
      <c r="E274" s="50"/>
      <c r="F274" s="50"/>
      <c r="G274" s="50"/>
      <c r="H274" s="50"/>
    </row>
    <row r="275">
      <c r="D275" s="50"/>
      <c r="E275" s="50"/>
      <c r="F275" s="50"/>
      <c r="G275" s="50"/>
      <c r="H275" s="50"/>
    </row>
    <row r="276">
      <c r="D276" s="50"/>
      <c r="E276" s="50"/>
      <c r="F276" s="50"/>
      <c r="G276" s="50"/>
      <c r="H276" s="50"/>
    </row>
    <row r="277">
      <c r="D277" s="50"/>
      <c r="E277" s="50"/>
      <c r="F277" s="50"/>
      <c r="G277" s="50"/>
      <c r="H277" s="50"/>
    </row>
    <row r="278">
      <c r="D278" s="50"/>
      <c r="E278" s="50"/>
      <c r="F278" s="50"/>
      <c r="G278" s="50"/>
      <c r="H278" s="50"/>
    </row>
    <row r="279">
      <c r="D279" s="50"/>
      <c r="E279" s="50"/>
      <c r="F279" s="50"/>
      <c r="G279" s="50"/>
      <c r="H279" s="50"/>
    </row>
    <row r="280">
      <c r="D280" s="50"/>
      <c r="E280" s="50"/>
      <c r="F280" s="50"/>
      <c r="G280" s="50"/>
      <c r="H280" s="50"/>
    </row>
    <row r="281">
      <c r="D281" s="50"/>
      <c r="E281" s="50"/>
      <c r="F281" s="50"/>
      <c r="G281" s="50"/>
      <c r="H281" s="50"/>
    </row>
    <row r="282">
      <c r="D282" s="50"/>
      <c r="E282" s="50"/>
      <c r="F282" s="50"/>
      <c r="G282" s="50"/>
      <c r="H282" s="50"/>
    </row>
    <row r="283">
      <c r="D283" s="50"/>
      <c r="E283" s="50"/>
      <c r="F283" s="50"/>
      <c r="G283" s="50"/>
      <c r="H283" s="50"/>
    </row>
    <row r="284">
      <c r="D284" s="50"/>
      <c r="E284" s="50"/>
      <c r="F284" s="50"/>
      <c r="G284" s="50"/>
      <c r="H284" s="50"/>
    </row>
    <row r="285">
      <c r="D285" s="50"/>
      <c r="E285" s="50"/>
      <c r="F285" s="50"/>
      <c r="G285" s="50"/>
      <c r="H285" s="50"/>
    </row>
    <row r="286">
      <c r="D286" s="50"/>
      <c r="E286" s="50"/>
      <c r="F286" s="50"/>
      <c r="G286" s="50"/>
      <c r="H286" s="50"/>
    </row>
    <row r="287">
      <c r="D287" s="50"/>
      <c r="E287" s="50"/>
      <c r="F287" s="50"/>
      <c r="G287" s="50"/>
      <c r="H287" s="50"/>
    </row>
    <row r="288">
      <c r="D288" s="50"/>
      <c r="E288" s="50"/>
      <c r="F288" s="50"/>
      <c r="G288" s="50"/>
      <c r="H288" s="50"/>
    </row>
    <row r="289">
      <c r="D289" s="50"/>
      <c r="E289" s="50"/>
      <c r="F289" s="50"/>
      <c r="G289" s="50"/>
      <c r="H289" s="50"/>
    </row>
    <row r="290">
      <c r="D290" s="50"/>
      <c r="E290" s="50"/>
      <c r="F290" s="50"/>
      <c r="G290" s="50"/>
      <c r="H290" s="50"/>
    </row>
    <row r="291">
      <c r="D291" s="50"/>
      <c r="E291" s="50"/>
      <c r="F291" s="50"/>
      <c r="G291" s="50"/>
      <c r="H291" s="50"/>
    </row>
    <row r="292">
      <c r="D292" s="50"/>
      <c r="E292" s="50"/>
      <c r="F292" s="50"/>
      <c r="G292" s="50"/>
      <c r="H292" s="50"/>
    </row>
    <row r="293">
      <c r="D293" s="50"/>
      <c r="E293" s="50"/>
      <c r="F293" s="50"/>
      <c r="G293" s="50"/>
      <c r="H293" s="50"/>
    </row>
    <row r="294">
      <c r="D294" s="50"/>
      <c r="E294" s="50"/>
      <c r="F294" s="50"/>
      <c r="G294" s="50"/>
      <c r="H294" s="50"/>
    </row>
    <row r="295">
      <c r="D295" s="50"/>
      <c r="E295" s="50"/>
      <c r="F295" s="50"/>
      <c r="G295" s="50"/>
      <c r="H295" s="50"/>
    </row>
    <row r="296">
      <c r="D296" s="50"/>
      <c r="E296" s="50"/>
      <c r="F296" s="50"/>
      <c r="G296" s="50"/>
      <c r="H296" s="50"/>
    </row>
    <row r="297">
      <c r="D297" s="50"/>
      <c r="E297" s="50"/>
      <c r="F297" s="50"/>
      <c r="G297" s="50"/>
      <c r="H297" s="50"/>
    </row>
    <row r="298">
      <c r="D298" s="50"/>
      <c r="E298" s="50"/>
      <c r="F298" s="50"/>
      <c r="G298" s="50"/>
      <c r="H298" s="50"/>
    </row>
    <row r="299">
      <c r="D299" s="50"/>
      <c r="E299" s="50"/>
      <c r="F299" s="50"/>
      <c r="G299" s="50"/>
      <c r="H299" s="50"/>
    </row>
    <row r="300">
      <c r="D300" s="50"/>
      <c r="E300" s="50"/>
      <c r="F300" s="50"/>
      <c r="G300" s="50"/>
      <c r="H300" s="50"/>
    </row>
    <row r="301">
      <c r="D301" s="50"/>
      <c r="E301" s="50"/>
      <c r="F301" s="50"/>
      <c r="G301" s="50"/>
      <c r="H301" s="50"/>
    </row>
    <row r="302">
      <c r="D302" s="50"/>
      <c r="E302" s="50"/>
      <c r="F302" s="50"/>
      <c r="G302" s="50"/>
      <c r="H302" s="50"/>
    </row>
    <row r="303">
      <c r="D303" s="50"/>
      <c r="E303" s="50"/>
      <c r="F303" s="50"/>
      <c r="G303" s="50"/>
      <c r="H303" s="50"/>
    </row>
    <row r="304">
      <c r="D304" s="50"/>
      <c r="E304" s="50"/>
      <c r="F304" s="50"/>
      <c r="G304" s="50"/>
      <c r="H304" s="50"/>
    </row>
    <row r="305">
      <c r="D305" s="50"/>
      <c r="E305" s="50"/>
      <c r="F305" s="50"/>
      <c r="G305" s="50"/>
      <c r="H305" s="50"/>
    </row>
    <row r="306">
      <c r="D306" s="50"/>
      <c r="E306" s="50"/>
      <c r="F306" s="50"/>
      <c r="G306" s="50"/>
      <c r="H306" s="50"/>
    </row>
    <row r="307">
      <c r="D307" s="50"/>
      <c r="E307" s="50"/>
      <c r="F307" s="50"/>
      <c r="G307" s="50"/>
      <c r="H307" s="50"/>
    </row>
    <row r="308">
      <c r="D308" s="50"/>
      <c r="E308" s="50"/>
      <c r="F308" s="50"/>
      <c r="G308" s="50"/>
      <c r="H308" s="50"/>
    </row>
    <row r="309">
      <c r="D309" s="50"/>
      <c r="E309" s="50"/>
      <c r="F309" s="50"/>
      <c r="G309" s="50"/>
      <c r="H309" s="50"/>
    </row>
    <row r="310">
      <c r="D310" s="50"/>
      <c r="E310" s="50"/>
      <c r="F310" s="50"/>
      <c r="G310" s="50"/>
      <c r="H310" s="50"/>
    </row>
    <row r="311">
      <c r="D311" s="50"/>
      <c r="E311" s="50"/>
      <c r="F311" s="50"/>
      <c r="G311" s="50"/>
      <c r="H311" s="50"/>
    </row>
    <row r="312">
      <c r="D312" s="50"/>
      <c r="E312" s="50"/>
      <c r="F312" s="50"/>
      <c r="G312" s="50"/>
      <c r="H312" s="50"/>
    </row>
    <row r="313">
      <c r="D313" s="50"/>
      <c r="E313" s="50"/>
      <c r="F313" s="50"/>
      <c r="G313" s="50"/>
      <c r="H313" s="50"/>
    </row>
    <row r="314">
      <c r="D314" s="50"/>
      <c r="E314" s="50"/>
      <c r="F314" s="50"/>
      <c r="G314" s="50"/>
      <c r="H314" s="50"/>
    </row>
    <row r="315">
      <c r="D315" s="50"/>
      <c r="E315" s="50"/>
      <c r="F315" s="50"/>
      <c r="G315" s="50"/>
      <c r="H315" s="50"/>
    </row>
    <row r="316">
      <c r="D316" s="50"/>
      <c r="E316" s="50"/>
      <c r="F316" s="50"/>
      <c r="G316" s="50"/>
      <c r="H316" s="50"/>
    </row>
    <row r="317">
      <c r="D317" s="50"/>
      <c r="E317" s="50"/>
      <c r="F317" s="50"/>
      <c r="G317" s="50"/>
      <c r="H317" s="50"/>
    </row>
    <row r="318">
      <c r="D318" s="50"/>
      <c r="E318" s="50"/>
      <c r="F318" s="50"/>
      <c r="G318" s="50"/>
      <c r="H318" s="50"/>
    </row>
    <row r="319">
      <c r="D319" s="50"/>
      <c r="E319" s="50"/>
      <c r="F319" s="50"/>
      <c r="G319" s="50"/>
      <c r="H319" s="50"/>
    </row>
    <row r="320">
      <c r="D320" s="50"/>
      <c r="E320" s="50"/>
      <c r="F320" s="50"/>
      <c r="G320" s="50"/>
      <c r="H320" s="50"/>
    </row>
    <row r="321">
      <c r="D321" s="50"/>
      <c r="E321" s="50"/>
      <c r="F321" s="50"/>
      <c r="G321" s="50"/>
      <c r="H321" s="50"/>
    </row>
    <row r="322">
      <c r="D322" s="50"/>
      <c r="E322" s="50"/>
      <c r="F322" s="50"/>
      <c r="G322" s="50"/>
      <c r="H322" s="50"/>
    </row>
    <row r="323">
      <c r="D323" s="50"/>
      <c r="E323" s="50"/>
      <c r="F323" s="50"/>
      <c r="G323" s="50"/>
      <c r="H323" s="50"/>
    </row>
    <row r="324">
      <c r="D324" s="50"/>
      <c r="E324" s="50"/>
      <c r="F324" s="50"/>
      <c r="G324" s="50"/>
      <c r="H324" s="50"/>
    </row>
    <row r="325">
      <c r="D325" s="50"/>
      <c r="E325" s="50"/>
      <c r="F325" s="50"/>
      <c r="G325" s="50"/>
      <c r="H325" s="50"/>
    </row>
    <row r="326">
      <c r="D326" s="50"/>
      <c r="E326" s="50"/>
      <c r="F326" s="50"/>
      <c r="G326" s="50"/>
      <c r="H326" s="50"/>
    </row>
    <row r="327">
      <c r="D327" s="50"/>
      <c r="E327" s="50"/>
      <c r="F327" s="50"/>
      <c r="G327" s="50"/>
      <c r="H327" s="50"/>
    </row>
    <row r="328">
      <c r="D328" s="50"/>
      <c r="E328" s="50"/>
      <c r="F328" s="50"/>
      <c r="G328" s="50"/>
      <c r="H328" s="50"/>
    </row>
    <row r="329">
      <c r="D329" s="50"/>
      <c r="E329" s="50"/>
      <c r="F329" s="50"/>
      <c r="G329" s="50"/>
      <c r="H329" s="50"/>
    </row>
    <row r="330">
      <c r="D330" s="50"/>
      <c r="E330" s="50"/>
      <c r="F330" s="50"/>
      <c r="G330" s="50"/>
      <c r="H330" s="50"/>
    </row>
    <row r="331">
      <c r="D331" s="50"/>
      <c r="E331" s="50"/>
      <c r="F331" s="50"/>
      <c r="G331" s="50"/>
      <c r="H331" s="50"/>
    </row>
    <row r="332">
      <c r="D332" s="50"/>
      <c r="E332" s="50"/>
      <c r="F332" s="50"/>
      <c r="G332" s="50"/>
      <c r="H332" s="50"/>
    </row>
    <row r="333">
      <c r="D333" s="50"/>
      <c r="E333" s="50"/>
      <c r="F333" s="50"/>
      <c r="G333" s="50"/>
      <c r="H333" s="50"/>
    </row>
    <row r="334">
      <c r="D334" s="50"/>
      <c r="E334" s="50"/>
      <c r="F334" s="50"/>
      <c r="G334" s="50"/>
      <c r="H334" s="50"/>
    </row>
    <row r="335">
      <c r="D335" s="50"/>
      <c r="E335" s="50"/>
      <c r="F335" s="50"/>
      <c r="G335" s="50"/>
      <c r="H335" s="50"/>
    </row>
    <row r="336">
      <c r="D336" s="50"/>
      <c r="E336" s="50"/>
      <c r="F336" s="50"/>
      <c r="G336" s="50"/>
      <c r="H336" s="50"/>
    </row>
    <row r="337">
      <c r="D337" s="50"/>
      <c r="E337" s="50"/>
      <c r="F337" s="50"/>
      <c r="G337" s="50"/>
      <c r="H337" s="50"/>
    </row>
    <row r="338">
      <c r="D338" s="50"/>
      <c r="E338" s="50"/>
      <c r="F338" s="50"/>
      <c r="G338" s="50"/>
      <c r="H338" s="50"/>
    </row>
    <row r="339">
      <c r="D339" s="50"/>
      <c r="E339" s="50"/>
      <c r="F339" s="50"/>
      <c r="G339" s="50"/>
      <c r="H339" s="50"/>
    </row>
    <row r="340">
      <c r="D340" s="50"/>
      <c r="E340" s="50"/>
      <c r="F340" s="50"/>
      <c r="G340" s="50"/>
      <c r="H340" s="50"/>
    </row>
    <row r="341">
      <c r="D341" s="50"/>
      <c r="E341" s="50"/>
      <c r="F341" s="50"/>
      <c r="G341" s="50"/>
      <c r="H341" s="50"/>
    </row>
    <row r="342">
      <c r="D342" s="50"/>
      <c r="E342" s="50"/>
      <c r="F342" s="50"/>
      <c r="G342" s="50"/>
      <c r="H342" s="50"/>
    </row>
    <row r="343">
      <c r="D343" s="50"/>
      <c r="E343" s="50"/>
      <c r="F343" s="50"/>
      <c r="G343" s="50"/>
      <c r="H343" s="50"/>
    </row>
    <row r="344">
      <c r="D344" s="50"/>
      <c r="E344" s="50"/>
      <c r="F344" s="50"/>
      <c r="G344" s="50"/>
      <c r="H344" s="50"/>
    </row>
    <row r="345">
      <c r="D345" s="50"/>
      <c r="E345" s="50"/>
      <c r="F345" s="50"/>
      <c r="G345" s="50"/>
      <c r="H345" s="50"/>
    </row>
    <row r="346">
      <c r="D346" s="50"/>
      <c r="E346" s="50"/>
      <c r="F346" s="50"/>
      <c r="G346" s="50"/>
      <c r="H346" s="50"/>
    </row>
    <row r="347">
      <c r="D347" s="50"/>
      <c r="E347" s="50"/>
      <c r="F347" s="50"/>
      <c r="G347" s="50"/>
      <c r="H347" s="50"/>
    </row>
    <row r="348">
      <c r="D348" s="50"/>
      <c r="E348" s="50"/>
      <c r="F348" s="50"/>
      <c r="G348" s="50"/>
      <c r="H348" s="50"/>
    </row>
    <row r="349">
      <c r="D349" s="50"/>
      <c r="E349" s="50"/>
      <c r="F349" s="50"/>
      <c r="G349" s="50"/>
      <c r="H349" s="50"/>
    </row>
    <row r="350">
      <c r="D350" s="50"/>
      <c r="E350" s="50"/>
      <c r="F350" s="50"/>
      <c r="G350" s="50"/>
      <c r="H350" s="50"/>
    </row>
    <row r="351">
      <c r="D351" s="50"/>
      <c r="E351" s="50"/>
      <c r="F351" s="50"/>
      <c r="G351" s="50"/>
      <c r="H351" s="50"/>
    </row>
    <row r="352">
      <c r="D352" s="50"/>
      <c r="E352" s="50"/>
      <c r="F352" s="50"/>
      <c r="G352" s="50"/>
      <c r="H352" s="50"/>
    </row>
    <row r="353">
      <c r="D353" s="50"/>
      <c r="E353" s="50"/>
      <c r="F353" s="50"/>
      <c r="G353" s="50"/>
      <c r="H353" s="50"/>
    </row>
    <row r="354">
      <c r="D354" s="50"/>
      <c r="E354" s="50"/>
      <c r="F354" s="50"/>
      <c r="G354" s="50"/>
      <c r="H354" s="50"/>
    </row>
    <row r="355">
      <c r="D355" s="50"/>
      <c r="E355" s="50"/>
      <c r="F355" s="50"/>
      <c r="G355" s="50"/>
      <c r="H355" s="50"/>
    </row>
    <row r="356">
      <c r="D356" s="50"/>
      <c r="E356" s="50"/>
      <c r="F356" s="50"/>
      <c r="G356" s="50"/>
      <c r="H356" s="50"/>
    </row>
    <row r="357">
      <c r="D357" s="50"/>
      <c r="E357" s="50"/>
      <c r="F357" s="50"/>
      <c r="G357" s="50"/>
      <c r="H357" s="50"/>
    </row>
    <row r="358">
      <c r="D358" s="50"/>
      <c r="E358" s="50"/>
      <c r="F358" s="50"/>
      <c r="G358" s="50"/>
      <c r="H358" s="50"/>
    </row>
    <row r="359">
      <c r="D359" s="50"/>
      <c r="E359" s="50"/>
      <c r="F359" s="50"/>
      <c r="G359" s="50"/>
      <c r="H359" s="50"/>
    </row>
    <row r="360">
      <c r="D360" s="50"/>
      <c r="E360" s="50"/>
      <c r="F360" s="50"/>
      <c r="G360" s="50"/>
      <c r="H360" s="50"/>
    </row>
    <row r="361">
      <c r="D361" s="50"/>
      <c r="E361" s="50"/>
      <c r="F361" s="50"/>
      <c r="G361" s="50"/>
      <c r="H361" s="50"/>
    </row>
    <row r="362">
      <c r="D362" s="50"/>
      <c r="E362" s="50"/>
      <c r="F362" s="50"/>
      <c r="G362" s="50"/>
      <c r="H362" s="50"/>
    </row>
    <row r="363">
      <c r="D363" s="50"/>
      <c r="E363" s="50"/>
      <c r="F363" s="50"/>
      <c r="G363" s="50"/>
      <c r="H363" s="50"/>
    </row>
    <row r="364">
      <c r="D364" s="50"/>
      <c r="E364" s="50"/>
      <c r="F364" s="50"/>
      <c r="G364" s="50"/>
      <c r="H364" s="50"/>
    </row>
    <row r="365">
      <c r="D365" s="50"/>
      <c r="E365" s="50"/>
      <c r="F365" s="50"/>
      <c r="G365" s="50"/>
      <c r="H365" s="50"/>
    </row>
    <row r="366">
      <c r="D366" s="50"/>
      <c r="E366" s="50"/>
      <c r="F366" s="50"/>
      <c r="G366" s="50"/>
      <c r="H366" s="50"/>
    </row>
    <row r="367">
      <c r="D367" s="50"/>
      <c r="E367" s="50"/>
      <c r="F367" s="50"/>
      <c r="G367" s="50"/>
      <c r="H367" s="50"/>
    </row>
    <row r="368">
      <c r="D368" s="50"/>
      <c r="E368" s="50"/>
      <c r="F368" s="50"/>
      <c r="G368" s="50"/>
      <c r="H368" s="50"/>
    </row>
    <row r="369">
      <c r="D369" s="50"/>
      <c r="E369" s="50"/>
      <c r="F369" s="50"/>
      <c r="G369" s="50"/>
      <c r="H369" s="50"/>
    </row>
    <row r="370">
      <c r="D370" s="50"/>
      <c r="E370" s="50"/>
      <c r="F370" s="50"/>
      <c r="G370" s="50"/>
      <c r="H370" s="50"/>
    </row>
    <row r="371">
      <c r="D371" s="50"/>
      <c r="E371" s="50"/>
      <c r="F371" s="50"/>
      <c r="G371" s="50"/>
      <c r="H371" s="50"/>
    </row>
    <row r="372">
      <c r="D372" s="50"/>
      <c r="E372" s="50"/>
      <c r="F372" s="50"/>
      <c r="G372" s="50"/>
      <c r="H372" s="50"/>
    </row>
    <row r="373">
      <c r="D373" s="50"/>
      <c r="E373" s="50"/>
      <c r="F373" s="50"/>
      <c r="G373" s="50"/>
      <c r="H373" s="50"/>
    </row>
    <row r="374">
      <c r="D374" s="50"/>
      <c r="E374" s="50"/>
      <c r="F374" s="50"/>
      <c r="G374" s="50"/>
      <c r="H374" s="50"/>
    </row>
    <row r="375">
      <c r="D375" s="50"/>
      <c r="E375" s="50"/>
      <c r="F375" s="50"/>
      <c r="G375" s="50"/>
      <c r="H375" s="50"/>
    </row>
    <row r="376">
      <c r="D376" s="50"/>
      <c r="E376" s="50"/>
      <c r="F376" s="50"/>
      <c r="G376" s="50"/>
      <c r="H376" s="50"/>
    </row>
    <row r="377">
      <c r="D377" s="50"/>
      <c r="E377" s="50"/>
      <c r="F377" s="50"/>
      <c r="G377" s="50"/>
      <c r="H377" s="50"/>
    </row>
    <row r="378">
      <c r="D378" s="50"/>
      <c r="E378" s="50"/>
      <c r="F378" s="50"/>
      <c r="G378" s="50"/>
      <c r="H378" s="50"/>
    </row>
    <row r="379">
      <c r="D379" s="50"/>
      <c r="E379" s="50"/>
      <c r="F379" s="50"/>
      <c r="G379" s="50"/>
      <c r="H379" s="50"/>
    </row>
    <row r="380">
      <c r="D380" s="50"/>
      <c r="E380" s="50"/>
      <c r="F380" s="50"/>
      <c r="G380" s="50"/>
      <c r="H380" s="50"/>
    </row>
    <row r="381">
      <c r="D381" s="50"/>
      <c r="E381" s="50"/>
      <c r="F381" s="50"/>
      <c r="G381" s="50"/>
      <c r="H381" s="50"/>
    </row>
    <row r="382">
      <c r="D382" s="50"/>
      <c r="E382" s="50"/>
      <c r="F382" s="50"/>
      <c r="G382" s="50"/>
      <c r="H382" s="50"/>
    </row>
    <row r="383">
      <c r="D383" s="50"/>
      <c r="E383" s="50"/>
      <c r="F383" s="50"/>
      <c r="G383" s="50"/>
      <c r="H383" s="50"/>
    </row>
    <row r="384">
      <c r="D384" s="50"/>
      <c r="E384" s="50"/>
      <c r="F384" s="50"/>
      <c r="G384" s="50"/>
      <c r="H384" s="50"/>
    </row>
    <row r="385">
      <c r="D385" s="50"/>
      <c r="E385" s="50"/>
      <c r="F385" s="50"/>
      <c r="G385" s="50"/>
      <c r="H385" s="50"/>
    </row>
    <row r="386">
      <c r="D386" s="50"/>
      <c r="E386" s="50"/>
      <c r="F386" s="50"/>
      <c r="G386" s="50"/>
      <c r="H386" s="50"/>
    </row>
    <row r="387">
      <c r="D387" s="50"/>
      <c r="E387" s="50"/>
      <c r="F387" s="50"/>
      <c r="G387" s="50"/>
      <c r="H387" s="50"/>
    </row>
    <row r="388">
      <c r="D388" s="50"/>
      <c r="E388" s="50"/>
      <c r="F388" s="50"/>
      <c r="G388" s="50"/>
      <c r="H388" s="50"/>
    </row>
    <row r="389">
      <c r="D389" s="50"/>
      <c r="E389" s="50"/>
      <c r="F389" s="50"/>
      <c r="G389" s="50"/>
      <c r="H389" s="50"/>
    </row>
    <row r="390">
      <c r="D390" s="50"/>
      <c r="E390" s="50"/>
      <c r="F390" s="50"/>
      <c r="G390" s="50"/>
      <c r="H390" s="50"/>
    </row>
    <row r="391">
      <c r="D391" s="50"/>
      <c r="E391" s="50"/>
      <c r="F391" s="50"/>
      <c r="G391" s="50"/>
      <c r="H391" s="50"/>
    </row>
    <row r="392">
      <c r="D392" s="50"/>
      <c r="E392" s="50"/>
      <c r="F392" s="50"/>
      <c r="G392" s="50"/>
      <c r="H392" s="50"/>
    </row>
    <row r="393">
      <c r="D393" s="50"/>
      <c r="E393" s="50"/>
      <c r="F393" s="50"/>
      <c r="G393" s="50"/>
      <c r="H393" s="50"/>
    </row>
    <row r="394">
      <c r="D394" s="50"/>
      <c r="E394" s="50"/>
      <c r="F394" s="50"/>
      <c r="G394" s="50"/>
      <c r="H394" s="50"/>
    </row>
    <row r="395">
      <c r="D395" s="50"/>
      <c r="E395" s="50"/>
      <c r="F395" s="50"/>
      <c r="G395" s="50"/>
      <c r="H395" s="50"/>
    </row>
    <row r="396">
      <c r="D396" s="50"/>
      <c r="E396" s="50"/>
      <c r="F396" s="50"/>
      <c r="G396" s="50"/>
      <c r="H396" s="50"/>
    </row>
    <row r="397">
      <c r="D397" s="50"/>
      <c r="E397" s="50"/>
      <c r="F397" s="50"/>
      <c r="G397" s="50"/>
      <c r="H397" s="50"/>
    </row>
    <row r="398">
      <c r="D398" s="50"/>
      <c r="E398" s="50"/>
      <c r="F398" s="50"/>
      <c r="G398" s="50"/>
      <c r="H398" s="50"/>
    </row>
    <row r="399">
      <c r="D399" s="50"/>
      <c r="E399" s="50"/>
      <c r="F399" s="50"/>
      <c r="G399" s="50"/>
      <c r="H399" s="50"/>
    </row>
    <row r="400">
      <c r="D400" s="50"/>
      <c r="E400" s="50"/>
      <c r="F400" s="50"/>
      <c r="G400" s="50"/>
      <c r="H400" s="50"/>
    </row>
    <row r="401">
      <c r="D401" s="50"/>
      <c r="E401" s="50"/>
      <c r="F401" s="50"/>
      <c r="G401" s="50"/>
      <c r="H401" s="50"/>
    </row>
    <row r="402">
      <c r="D402" s="50"/>
      <c r="E402" s="50"/>
      <c r="F402" s="50"/>
      <c r="G402" s="50"/>
      <c r="H402" s="50"/>
    </row>
    <row r="403">
      <c r="D403" s="50"/>
      <c r="E403" s="50"/>
      <c r="F403" s="50"/>
      <c r="G403" s="50"/>
      <c r="H403" s="50"/>
    </row>
    <row r="404">
      <c r="D404" s="50"/>
      <c r="E404" s="50"/>
      <c r="F404" s="50"/>
      <c r="G404" s="50"/>
      <c r="H404" s="50"/>
    </row>
    <row r="405">
      <c r="D405" s="50"/>
      <c r="E405" s="50"/>
      <c r="F405" s="50"/>
      <c r="G405" s="50"/>
      <c r="H405" s="50"/>
    </row>
    <row r="406">
      <c r="D406" s="50"/>
      <c r="E406" s="50"/>
      <c r="F406" s="50"/>
      <c r="G406" s="50"/>
      <c r="H406" s="50"/>
    </row>
    <row r="407">
      <c r="D407" s="50"/>
      <c r="E407" s="50"/>
      <c r="F407" s="50"/>
      <c r="G407" s="50"/>
      <c r="H407" s="50"/>
    </row>
    <row r="408">
      <c r="D408" s="50"/>
      <c r="E408" s="50"/>
      <c r="F408" s="50"/>
      <c r="G408" s="50"/>
      <c r="H408" s="50"/>
    </row>
    <row r="409">
      <c r="D409" s="50"/>
      <c r="E409" s="50"/>
      <c r="F409" s="50"/>
      <c r="G409" s="50"/>
      <c r="H409" s="50"/>
    </row>
    <row r="410">
      <c r="D410" s="50"/>
      <c r="E410" s="50"/>
      <c r="F410" s="50"/>
      <c r="G410" s="50"/>
      <c r="H410" s="50"/>
    </row>
    <row r="411">
      <c r="D411" s="50"/>
      <c r="E411" s="50"/>
      <c r="F411" s="50"/>
      <c r="G411" s="50"/>
      <c r="H411" s="50"/>
    </row>
    <row r="412">
      <c r="D412" s="50"/>
      <c r="E412" s="50"/>
      <c r="F412" s="50"/>
      <c r="G412" s="50"/>
      <c r="H412" s="50"/>
    </row>
    <row r="413">
      <c r="D413" s="50"/>
      <c r="E413" s="50"/>
      <c r="F413" s="50"/>
      <c r="G413" s="50"/>
      <c r="H413" s="50"/>
    </row>
    <row r="414">
      <c r="D414" s="50"/>
      <c r="E414" s="50"/>
      <c r="F414" s="50"/>
      <c r="G414" s="50"/>
      <c r="H414" s="50"/>
    </row>
    <row r="415">
      <c r="D415" s="50"/>
      <c r="E415" s="50"/>
      <c r="F415" s="50"/>
      <c r="G415" s="50"/>
      <c r="H415" s="50"/>
    </row>
    <row r="416">
      <c r="D416" s="50"/>
      <c r="E416" s="50"/>
      <c r="F416" s="50"/>
      <c r="G416" s="50"/>
      <c r="H416" s="50"/>
    </row>
    <row r="417">
      <c r="D417" s="50"/>
      <c r="E417" s="50"/>
      <c r="F417" s="50"/>
      <c r="G417" s="50"/>
      <c r="H417" s="50"/>
    </row>
    <row r="418">
      <c r="D418" s="50"/>
      <c r="E418" s="50"/>
      <c r="F418" s="50"/>
      <c r="G418" s="50"/>
      <c r="H418" s="50"/>
    </row>
    <row r="419">
      <c r="D419" s="50"/>
      <c r="E419" s="50"/>
      <c r="F419" s="50"/>
      <c r="G419" s="50"/>
      <c r="H419" s="50"/>
    </row>
    <row r="420">
      <c r="D420" s="50"/>
      <c r="E420" s="50"/>
      <c r="F420" s="50"/>
      <c r="G420" s="50"/>
      <c r="H420" s="50"/>
    </row>
    <row r="421">
      <c r="D421" s="50"/>
      <c r="E421" s="50"/>
      <c r="F421" s="50"/>
      <c r="G421" s="50"/>
      <c r="H421" s="50"/>
    </row>
    <row r="422">
      <c r="D422" s="50"/>
      <c r="E422" s="50"/>
      <c r="F422" s="50"/>
      <c r="G422" s="50"/>
      <c r="H422" s="50"/>
    </row>
    <row r="423">
      <c r="D423" s="50"/>
      <c r="E423" s="50"/>
      <c r="F423" s="50"/>
      <c r="G423" s="50"/>
      <c r="H423" s="50"/>
    </row>
    <row r="424">
      <c r="D424" s="50"/>
      <c r="E424" s="50"/>
      <c r="F424" s="50"/>
      <c r="G424" s="50"/>
      <c r="H424" s="50"/>
    </row>
    <row r="425">
      <c r="D425" s="50"/>
      <c r="E425" s="50"/>
      <c r="F425" s="50"/>
      <c r="G425" s="50"/>
      <c r="H425" s="50"/>
    </row>
    <row r="426">
      <c r="D426" s="50"/>
      <c r="E426" s="50"/>
      <c r="F426" s="50"/>
      <c r="G426" s="50"/>
      <c r="H426" s="50"/>
    </row>
    <row r="427">
      <c r="D427" s="50"/>
      <c r="E427" s="50"/>
      <c r="F427" s="50"/>
      <c r="G427" s="50"/>
      <c r="H427" s="50"/>
    </row>
    <row r="428">
      <c r="D428" s="50"/>
      <c r="E428" s="50"/>
      <c r="F428" s="50"/>
      <c r="G428" s="50"/>
      <c r="H428" s="50"/>
    </row>
    <row r="429">
      <c r="D429" s="50"/>
      <c r="E429" s="50"/>
      <c r="F429" s="50"/>
      <c r="G429" s="50"/>
      <c r="H429" s="50"/>
    </row>
    <row r="430">
      <c r="D430" s="50"/>
      <c r="E430" s="50"/>
      <c r="F430" s="50"/>
      <c r="G430" s="50"/>
      <c r="H430" s="50"/>
    </row>
    <row r="431">
      <c r="D431" s="50"/>
      <c r="E431" s="50"/>
      <c r="F431" s="50"/>
      <c r="G431" s="50"/>
      <c r="H431" s="50"/>
    </row>
    <row r="432">
      <c r="D432" s="50"/>
      <c r="E432" s="50"/>
      <c r="F432" s="50"/>
      <c r="G432" s="50"/>
      <c r="H432" s="50"/>
    </row>
    <row r="433">
      <c r="D433" s="50"/>
      <c r="E433" s="50"/>
      <c r="F433" s="50"/>
      <c r="G433" s="50"/>
      <c r="H433" s="50"/>
    </row>
    <row r="434">
      <c r="D434" s="50"/>
      <c r="E434" s="50"/>
      <c r="F434" s="50"/>
      <c r="G434" s="50"/>
      <c r="H434" s="50"/>
    </row>
    <row r="435">
      <c r="D435" s="50"/>
      <c r="E435" s="50"/>
      <c r="F435" s="50"/>
      <c r="G435" s="50"/>
      <c r="H435" s="50"/>
    </row>
    <row r="436">
      <c r="D436" s="50"/>
      <c r="E436" s="50"/>
      <c r="F436" s="50"/>
      <c r="G436" s="50"/>
      <c r="H436" s="50"/>
    </row>
    <row r="437">
      <c r="D437" s="50"/>
      <c r="E437" s="50"/>
      <c r="F437" s="50"/>
      <c r="G437" s="50"/>
      <c r="H437" s="50"/>
    </row>
    <row r="438">
      <c r="D438" s="50"/>
      <c r="E438" s="50"/>
      <c r="F438" s="50"/>
      <c r="G438" s="50"/>
      <c r="H438" s="50"/>
    </row>
    <row r="439">
      <c r="D439" s="50"/>
      <c r="E439" s="50"/>
      <c r="F439" s="50"/>
      <c r="G439" s="50"/>
      <c r="H439" s="50"/>
    </row>
    <row r="440">
      <c r="D440" s="50"/>
      <c r="E440" s="50"/>
      <c r="F440" s="50"/>
      <c r="G440" s="50"/>
      <c r="H440" s="50"/>
    </row>
    <row r="441">
      <c r="D441" s="50"/>
      <c r="E441" s="50"/>
      <c r="F441" s="50"/>
      <c r="G441" s="50"/>
      <c r="H441" s="50"/>
    </row>
    <row r="442">
      <c r="D442" s="50"/>
      <c r="E442" s="50"/>
      <c r="F442" s="50"/>
      <c r="G442" s="50"/>
      <c r="H442" s="50"/>
    </row>
    <row r="443">
      <c r="D443" s="50"/>
      <c r="E443" s="50"/>
      <c r="F443" s="50"/>
      <c r="G443" s="50"/>
      <c r="H443" s="50"/>
    </row>
    <row r="444">
      <c r="D444" s="50"/>
      <c r="E444" s="50"/>
      <c r="F444" s="50"/>
      <c r="G444" s="50"/>
      <c r="H444" s="50"/>
    </row>
    <row r="445">
      <c r="D445" s="50"/>
      <c r="E445" s="50"/>
      <c r="F445" s="50"/>
      <c r="G445" s="50"/>
      <c r="H445" s="50"/>
    </row>
    <row r="446">
      <c r="D446" s="50"/>
      <c r="E446" s="50"/>
      <c r="F446" s="50"/>
      <c r="G446" s="50"/>
      <c r="H446" s="50"/>
    </row>
    <row r="447">
      <c r="D447" s="50"/>
      <c r="E447" s="50"/>
      <c r="F447" s="50"/>
      <c r="G447" s="50"/>
      <c r="H447" s="50"/>
    </row>
    <row r="448">
      <c r="D448" s="50"/>
      <c r="E448" s="50"/>
      <c r="F448" s="50"/>
      <c r="G448" s="50"/>
      <c r="H448" s="50"/>
    </row>
    <row r="449">
      <c r="D449" s="50"/>
      <c r="E449" s="50"/>
      <c r="F449" s="50"/>
      <c r="G449" s="50"/>
      <c r="H449" s="50"/>
    </row>
    <row r="450">
      <c r="D450" s="50"/>
      <c r="E450" s="50"/>
      <c r="F450" s="50"/>
      <c r="G450" s="50"/>
      <c r="H450" s="50"/>
    </row>
    <row r="451">
      <c r="D451" s="50"/>
      <c r="E451" s="50"/>
      <c r="F451" s="50"/>
      <c r="G451" s="50"/>
      <c r="H451" s="50"/>
    </row>
    <row r="452">
      <c r="D452" s="50"/>
      <c r="E452" s="50"/>
      <c r="F452" s="50"/>
      <c r="G452" s="50"/>
      <c r="H452" s="50"/>
    </row>
    <row r="453">
      <c r="D453" s="50"/>
      <c r="E453" s="50"/>
      <c r="F453" s="50"/>
      <c r="G453" s="50"/>
      <c r="H453" s="50"/>
    </row>
    <row r="454">
      <c r="D454" s="50"/>
      <c r="E454" s="50"/>
      <c r="F454" s="50"/>
      <c r="G454" s="50"/>
      <c r="H454" s="50"/>
    </row>
    <row r="455">
      <c r="D455" s="50"/>
      <c r="E455" s="50"/>
      <c r="F455" s="50"/>
      <c r="G455" s="50"/>
      <c r="H455" s="50"/>
    </row>
    <row r="456">
      <c r="D456" s="50"/>
      <c r="E456" s="50"/>
      <c r="F456" s="50"/>
      <c r="G456" s="50"/>
      <c r="H456" s="50"/>
    </row>
    <row r="457">
      <c r="D457" s="50"/>
      <c r="E457" s="50"/>
      <c r="F457" s="50"/>
      <c r="G457" s="50"/>
      <c r="H457" s="50"/>
    </row>
    <row r="458">
      <c r="D458" s="50"/>
      <c r="E458" s="50"/>
      <c r="F458" s="50"/>
      <c r="G458" s="50"/>
      <c r="H458" s="50"/>
    </row>
    <row r="459">
      <c r="D459" s="50"/>
      <c r="E459" s="50"/>
      <c r="F459" s="50"/>
      <c r="G459" s="50"/>
      <c r="H459" s="50"/>
    </row>
    <row r="460">
      <c r="D460" s="50"/>
      <c r="E460" s="50"/>
      <c r="F460" s="50"/>
      <c r="G460" s="50"/>
      <c r="H460" s="50"/>
    </row>
    <row r="461">
      <c r="D461" s="50"/>
      <c r="E461" s="50"/>
      <c r="F461" s="50"/>
      <c r="G461" s="50"/>
      <c r="H461" s="50"/>
    </row>
    <row r="462">
      <c r="D462" s="50"/>
      <c r="E462" s="50"/>
      <c r="F462" s="50"/>
      <c r="G462" s="50"/>
      <c r="H462" s="50"/>
    </row>
    <row r="463">
      <c r="D463" s="50"/>
      <c r="E463" s="50"/>
      <c r="F463" s="50"/>
      <c r="G463" s="50"/>
      <c r="H463" s="50"/>
    </row>
    <row r="464">
      <c r="D464" s="50"/>
      <c r="E464" s="50"/>
      <c r="F464" s="50"/>
      <c r="G464" s="50"/>
      <c r="H464" s="50"/>
    </row>
    <row r="465">
      <c r="D465" s="50"/>
      <c r="E465" s="50"/>
      <c r="F465" s="50"/>
      <c r="G465" s="50"/>
      <c r="H465" s="50"/>
    </row>
    <row r="466">
      <c r="D466" s="50"/>
      <c r="E466" s="50"/>
      <c r="F466" s="50"/>
      <c r="G466" s="50"/>
      <c r="H466" s="50"/>
    </row>
    <row r="467">
      <c r="D467" s="50"/>
      <c r="E467" s="50"/>
      <c r="F467" s="50"/>
      <c r="G467" s="50"/>
      <c r="H467" s="50"/>
    </row>
    <row r="468">
      <c r="D468" s="50"/>
      <c r="E468" s="50"/>
      <c r="F468" s="50"/>
      <c r="G468" s="50"/>
      <c r="H468" s="50"/>
    </row>
    <row r="469">
      <c r="D469" s="50"/>
      <c r="E469" s="50"/>
      <c r="F469" s="50"/>
      <c r="G469" s="50"/>
      <c r="H469" s="50"/>
    </row>
    <row r="470">
      <c r="D470" s="50"/>
      <c r="E470" s="50"/>
      <c r="F470" s="50"/>
      <c r="G470" s="50"/>
      <c r="H470" s="50"/>
    </row>
    <row r="471">
      <c r="D471" s="50"/>
      <c r="E471" s="50"/>
      <c r="F471" s="50"/>
      <c r="G471" s="50"/>
      <c r="H471" s="50"/>
    </row>
    <row r="472">
      <c r="D472" s="50"/>
      <c r="E472" s="50"/>
      <c r="F472" s="50"/>
      <c r="G472" s="50"/>
      <c r="H472" s="50"/>
    </row>
    <row r="473">
      <c r="D473" s="50"/>
      <c r="E473" s="50"/>
      <c r="F473" s="50"/>
      <c r="G473" s="50"/>
      <c r="H473" s="50"/>
    </row>
    <row r="474">
      <c r="D474" s="50"/>
      <c r="E474" s="50"/>
      <c r="F474" s="50"/>
      <c r="G474" s="50"/>
      <c r="H474" s="50"/>
    </row>
    <row r="475">
      <c r="D475" s="50"/>
      <c r="E475" s="50"/>
      <c r="F475" s="50"/>
      <c r="G475" s="50"/>
      <c r="H475" s="50"/>
    </row>
    <row r="476">
      <c r="D476" s="50"/>
      <c r="E476" s="50"/>
      <c r="F476" s="50"/>
      <c r="G476" s="50"/>
      <c r="H476" s="50"/>
    </row>
    <row r="477">
      <c r="D477" s="50"/>
      <c r="E477" s="50"/>
      <c r="F477" s="50"/>
      <c r="G477" s="50"/>
      <c r="H477" s="50"/>
    </row>
    <row r="478">
      <c r="D478" s="50"/>
      <c r="E478" s="50"/>
      <c r="F478" s="50"/>
      <c r="G478" s="50"/>
      <c r="H478" s="50"/>
    </row>
    <row r="479">
      <c r="D479" s="50"/>
      <c r="E479" s="50"/>
      <c r="F479" s="50"/>
      <c r="G479" s="50"/>
      <c r="H479" s="50"/>
    </row>
    <row r="480">
      <c r="D480" s="50"/>
      <c r="E480" s="50"/>
      <c r="F480" s="50"/>
      <c r="G480" s="50"/>
      <c r="H480" s="50"/>
    </row>
    <row r="481">
      <c r="D481" s="50"/>
      <c r="E481" s="50"/>
      <c r="F481" s="50"/>
      <c r="G481" s="50"/>
      <c r="H481" s="50"/>
    </row>
    <row r="482">
      <c r="D482" s="50"/>
      <c r="E482" s="50"/>
      <c r="F482" s="50"/>
      <c r="G482" s="50"/>
      <c r="H482" s="50"/>
    </row>
    <row r="483">
      <c r="D483" s="50"/>
      <c r="E483" s="50"/>
      <c r="F483" s="50"/>
      <c r="G483" s="50"/>
      <c r="H483" s="50"/>
    </row>
    <row r="484">
      <c r="D484" s="50"/>
      <c r="E484" s="50"/>
      <c r="F484" s="50"/>
      <c r="G484" s="50"/>
      <c r="H484" s="50"/>
    </row>
    <row r="485">
      <c r="D485" s="50"/>
      <c r="E485" s="50"/>
      <c r="F485" s="50"/>
      <c r="G485" s="50"/>
      <c r="H485" s="50"/>
    </row>
    <row r="486">
      <c r="D486" s="50"/>
      <c r="E486" s="50"/>
      <c r="F486" s="50"/>
      <c r="G486" s="50"/>
      <c r="H486" s="50"/>
    </row>
    <row r="487">
      <c r="D487" s="50"/>
      <c r="E487" s="50"/>
      <c r="F487" s="50"/>
      <c r="G487" s="50"/>
      <c r="H487" s="50"/>
    </row>
    <row r="488">
      <c r="D488" s="50"/>
      <c r="E488" s="50"/>
      <c r="F488" s="50"/>
      <c r="G488" s="50"/>
      <c r="H488" s="50"/>
    </row>
    <row r="489">
      <c r="D489" s="50"/>
      <c r="E489" s="50"/>
      <c r="F489" s="50"/>
      <c r="G489" s="50"/>
      <c r="H489" s="50"/>
    </row>
    <row r="490">
      <c r="D490" s="50"/>
      <c r="E490" s="50"/>
      <c r="F490" s="50"/>
      <c r="G490" s="50"/>
      <c r="H490" s="50"/>
    </row>
    <row r="491">
      <c r="D491" s="50"/>
      <c r="E491" s="50"/>
      <c r="F491" s="50"/>
      <c r="G491" s="50"/>
      <c r="H491" s="50"/>
    </row>
    <row r="492">
      <c r="D492" s="50"/>
      <c r="E492" s="50"/>
      <c r="F492" s="50"/>
      <c r="G492" s="50"/>
      <c r="H492" s="50"/>
    </row>
    <row r="493">
      <c r="D493" s="50"/>
      <c r="E493" s="50"/>
      <c r="F493" s="50"/>
      <c r="G493" s="50"/>
      <c r="H493" s="50"/>
    </row>
    <row r="494">
      <c r="D494" s="50"/>
      <c r="E494" s="50"/>
      <c r="F494" s="50"/>
      <c r="G494" s="50"/>
      <c r="H494" s="50"/>
    </row>
    <row r="495">
      <c r="D495" s="50"/>
      <c r="E495" s="50"/>
      <c r="F495" s="50"/>
      <c r="G495" s="50"/>
      <c r="H495" s="50"/>
    </row>
    <row r="496">
      <c r="D496" s="50"/>
      <c r="E496" s="50"/>
      <c r="F496" s="50"/>
      <c r="G496" s="50"/>
      <c r="H496" s="50"/>
    </row>
    <row r="497">
      <c r="D497" s="50"/>
      <c r="E497" s="50"/>
      <c r="F497" s="50"/>
      <c r="G497" s="50"/>
      <c r="H497" s="50"/>
    </row>
    <row r="498">
      <c r="D498" s="50"/>
      <c r="E498" s="50"/>
      <c r="F498" s="50"/>
      <c r="G498" s="50"/>
      <c r="H498" s="50"/>
    </row>
    <row r="499">
      <c r="D499" s="50"/>
      <c r="E499" s="50"/>
      <c r="F499" s="50"/>
      <c r="G499" s="50"/>
      <c r="H499" s="50"/>
    </row>
    <row r="500">
      <c r="D500" s="50"/>
      <c r="E500" s="50"/>
      <c r="F500" s="50"/>
      <c r="G500" s="50"/>
      <c r="H500" s="50"/>
    </row>
    <row r="501">
      <c r="D501" s="50"/>
      <c r="E501" s="50"/>
      <c r="F501" s="50"/>
      <c r="G501" s="50"/>
      <c r="H501" s="50"/>
    </row>
    <row r="502">
      <c r="D502" s="50"/>
      <c r="E502" s="50"/>
      <c r="F502" s="50"/>
      <c r="G502" s="50"/>
      <c r="H502" s="50"/>
    </row>
    <row r="503">
      <c r="D503" s="50"/>
      <c r="E503" s="50"/>
      <c r="F503" s="50"/>
      <c r="G503" s="50"/>
      <c r="H503" s="50"/>
    </row>
    <row r="504">
      <c r="D504" s="50"/>
      <c r="E504" s="50"/>
      <c r="F504" s="50"/>
      <c r="G504" s="50"/>
      <c r="H504" s="50"/>
    </row>
    <row r="505">
      <c r="D505" s="50"/>
      <c r="E505" s="50"/>
      <c r="F505" s="50"/>
      <c r="G505" s="50"/>
      <c r="H505" s="50"/>
    </row>
    <row r="506">
      <c r="D506" s="50"/>
      <c r="E506" s="50"/>
      <c r="F506" s="50"/>
      <c r="G506" s="50"/>
      <c r="H506" s="50"/>
    </row>
    <row r="507">
      <c r="D507" s="50"/>
      <c r="E507" s="50"/>
      <c r="F507" s="50"/>
      <c r="G507" s="50"/>
      <c r="H507" s="50"/>
    </row>
    <row r="508">
      <c r="D508" s="50"/>
      <c r="E508" s="50"/>
      <c r="F508" s="50"/>
      <c r="G508" s="50"/>
      <c r="H508" s="50"/>
    </row>
    <row r="509">
      <c r="D509" s="50"/>
      <c r="E509" s="50"/>
      <c r="F509" s="50"/>
      <c r="G509" s="50"/>
      <c r="H509" s="50"/>
    </row>
    <row r="510">
      <c r="D510" s="50"/>
      <c r="E510" s="50"/>
      <c r="F510" s="50"/>
      <c r="G510" s="50"/>
      <c r="H510" s="50"/>
    </row>
    <row r="511">
      <c r="D511" s="50"/>
      <c r="E511" s="50"/>
      <c r="F511" s="50"/>
      <c r="G511" s="50"/>
      <c r="H511" s="50"/>
    </row>
    <row r="512">
      <c r="D512" s="50"/>
      <c r="E512" s="50"/>
      <c r="F512" s="50"/>
      <c r="G512" s="50"/>
      <c r="H512" s="50"/>
    </row>
    <row r="513">
      <c r="D513" s="50"/>
      <c r="E513" s="50"/>
      <c r="F513" s="50"/>
      <c r="G513" s="50"/>
      <c r="H513" s="50"/>
    </row>
    <row r="514">
      <c r="D514" s="50"/>
      <c r="E514" s="50"/>
      <c r="F514" s="50"/>
      <c r="G514" s="50"/>
      <c r="H514" s="50"/>
    </row>
    <row r="515">
      <c r="D515" s="50"/>
      <c r="E515" s="50"/>
      <c r="F515" s="50"/>
      <c r="G515" s="50"/>
      <c r="H515" s="50"/>
    </row>
    <row r="516">
      <c r="D516" s="50"/>
      <c r="E516" s="50"/>
      <c r="F516" s="50"/>
      <c r="G516" s="50"/>
      <c r="H516" s="50"/>
    </row>
    <row r="517">
      <c r="D517" s="50"/>
      <c r="E517" s="50"/>
      <c r="F517" s="50"/>
      <c r="G517" s="50"/>
      <c r="H517" s="50"/>
    </row>
    <row r="518">
      <c r="D518" s="50"/>
      <c r="E518" s="50"/>
      <c r="F518" s="50"/>
      <c r="G518" s="50"/>
      <c r="H518" s="50"/>
    </row>
    <row r="519">
      <c r="D519" s="50"/>
      <c r="E519" s="50"/>
      <c r="F519" s="50"/>
      <c r="G519" s="50"/>
      <c r="H519" s="50"/>
    </row>
    <row r="520">
      <c r="D520" s="50"/>
      <c r="E520" s="50"/>
      <c r="F520" s="50"/>
      <c r="G520" s="50"/>
      <c r="H520" s="50"/>
    </row>
    <row r="521">
      <c r="D521" s="50"/>
      <c r="E521" s="50"/>
      <c r="F521" s="50"/>
      <c r="G521" s="50"/>
      <c r="H521" s="50"/>
    </row>
    <row r="522">
      <c r="D522" s="50"/>
      <c r="E522" s="50"/>
      <c r="F522" s="50"/>
      <c r="G522" s="50"/>
      <c r="H522" s="50"/>
    </row>
    <row r="523">
      <c r="D523" s="50"/>
      <c r="E523" s="50"/>
      <c r="F523" s="50"/>
      <c r="G523" s="50"/>
      <c r="H523" s="50"/>
    </row>
    <row r="524">
      <c r="D524" s="50"/>
      <c r="E524" s="50"/>
      <c r="F524" s="50"/>
      <c r="G524" s="50"/>
      <c r="H524" s="50"/>
    </row>
    <row r="525">
      <c r="D525" s="50"/>
      <c r="E525" s="50"/>
      <c r="F525" s="50"/>
      <c r="G525" s="50"/>
      <c r="H525" s="50"/>
    </row>
    <row r="526">
      <c r="D526" s="50"/>
      <c r="E526" s="50"/>
      <c r="F526" s="50"/>
      <c r="G526" s="50"/>
      <c r="H526" s="50"/>
    </row>
    <row r="527">
      <c r="D527" s="50"/>
      <c r="E527" s="50"/>
      <c r="F527" s="50"/>
      <c r="G527" s="50"/>
      <c r="H527" s="50"/>
    </row>
    <row r="528">
      <c r="D528" s="50"/>
      <c r="E528" s="50"/>
      <c r="F528" s="50"/>
      <c r="G528" s="50"/>
      <c r="H528" s="50"/>
    </row>
    <row r="529">
      <c r="D529" s="50"/>
      <c r="E529" s="50"/>
      <c r="F529" s="50"/>
      <c r="G529" s="50"/>
      <c r="H529" s="50"/>
    </row>
    <row r="530">
      <c r="D530" s="50"/>
      <c r="E530" s="50"/>
      <c r="F530" s="50"/>
      <c r="G530" s="50"/>
      <c r="H530" s="50"/>
    </row>
    <row r="531">
      <c r="D531" s="50"/>
      <c r="E531" s="50"/>
      <c r="F531" s="50"/>
      <c r="G531" s="50"/>
      <c r="H531" s="50"/>
    </row>
    <row r="532">
      <c r="D532" s="50"/>
      <c r="E532" s="50"/>
      <c r="F532" s="50"/>
      <c r="G532" s="50"/>
      <c r="H532" s="50"/>
    </row>
    <row r="533">
      <c r="D533" s="50"/>
      <c r="E533" s="50"/>
      <c r="F533" s="50"/>
      <c r="G533" s="50"/>
      <c r="H533" s="50"/>
    </row>
    <row r="534">
      <c r="D534" s="50"/>
      <c r="E534" s="50"/>
      <c r="F534" s="50"/>
      <c r="G534" s="50"/>
      <c r="H534" s="50"/>
    </row>
    <row r="535">
      <c r="D535" s="50"/>
      <c r="E535" s="50"/>
      <c r="F535" s="50"/>
      <c r="G535" s="50"/>
      <c r="H535" s="50"/>
    </row>
    <row r="536">
      <c r="D536" s="50"/>
      <c r="E536" s="50"/>
      <c r="F536" s="50"/>
      <c r="G536" s="50"/>
      <c r="H536" s="50"/>
    </row>
    <row r="537">
      <c r="D537" s="50"/>
      <c r="E537" s="50"/>
      <c r="F537" s="50"/>
      <c r="G537" s="50"/>
      <c r="H537" s="50"/>
    </row>
    <row r="538">
      <c r="D538" s="50"/>
      <c r="E538" s="50"/>
      <c r="F538" s="50"/>
      <c r="G538" s="50"/>
      <c r="H538" s="50"/>
    </row>
    <row r="539">
      <c r="D539" s="50"/>
      <c r="E539" s="50"/>
      <c r="F539" s="50"/>
      <c r="G539" s="50"/>
      <c r="H539" s="50"/>
    </row>
    <row r="540">
      <c r="D540" s="50"/>
      <c r="E540" s="50"/>
      <c r="F540" s="50"/>
      <c r="G540" s="50"/>
      <c r="H540" s="50"/>
    </row>
    <row r="541">
      <c r="D541" s="50"/>
      <c r="E541" s="50"/>
      <c r="F541" s="50"/>
      <c r="G541" s="50"/>
      <c r="H541" s="50"/>
    </row>
    <row r="542">
      <c r="D542" s="50"/>
      <c r="E542" s="50"/>
      <c r="F542" s="50"/>
      <c r="G542" s="50"/>
      <c r="H542" s="50"/>
    </row>
    <row r="543">
      <c r="D543" s="50"/>
      <c r="E543" s="50"/>
      <c r="F543" s="50"/>
      <c r="G543" s="50"/>
      <c r="H543" s="50"/>
    </row>
    <row r="544">
      <c r="D544" s="50"/>
      <c r="E544" s="50"/>
      <c r="F544" s="50"/>
      <c r="G544" s="50"/>
      <c r="H544" s="50"/>
    </row>
    <row r="545">
      <c r="D545" s="50"/>
      <c r="E545" s="50"/>
      <c r="F545" s="50"/>
      <c r="G545" s="50"/>
      <c r="H545" s="50"/>
    </row>
    <row r="546">
      <c r="D546" s="50"/>
      <c r="E546" s="50"/>
      <c r="F546" s="50"/>
      <c r="G546" s="50"/>
      <c r="H546" s="50"/>
    </row>
    <row r="547">
      <c r="D547" s="50"/>
      <c r="E547" s="50"/>
      <c r="F547" s="50"/>
      <c r="G547" s="50"/>
      <c r="H547" s="50"/>
    </row>
    <row r="548">
      <c r="D548" s="50"/>
      <c r="E548" s="50"/>
      <c r="F548" s="50"/>
      <c r="G548" s="50"/>
      <c r="H548" s="50"/>
    </row>
    <row r="549">
      <c r="D549" s="50"/>
      <c r="E549" s="50"/>
      <c r="F549" s="50"/>
      <c r="G549" s="50"/>
      <c r="H549" s="50"/>
    </row>
    <row r="550">
      <c r="D550" s="50"/>
      <c r="E550" s="50"/>
      <c r="F550" s="50"/>
      <c r="G550" s="50"/>
      <c r="H550" s="50"/>
    </row>
    <row r="551">
      <c r="D551" s="50"/>
      <c r="E551" s="50"/>
      <c r="F551" s="50"/>
      <c r="G551" s="50"/>
      <c r="H551" s="50"/>
    </row>
    <row r="552">
      <c r="D552" s="50"/>
      <c r="E552" s="50"/>
      <c r="F552" s="50"/>
      <c r="G552" s="50"/>
      <c r="H552" s="50"/>
    </row>
    <row r="553">
      <c r="D553" s="50"/>
      <c r="E553" s="50"/>
      <c r="F553" s="50"/>
      <c r="G553" s="50"/>
      <c r="H553" s="50"/>
    </row>
    <row r="554">
      <c r="D554" s="50"/>
      <c r="E554" s="50"/>
      <c r="F554" s="50"/>
      <c r="G554" s="50"/>
      <c r="H554" s="50"/>
    </row>
    <row r="555">
      <c r="D555" s="50"/>
      <c r="E555" s="50"/>
      <c r="F555" s="50"/>
      <c r="G555" s="50"/>
      <c r="H555" s="50"/>
    </row>
    <row r="556">
      <c r="D556" s="50"/>
      <c r="E556" s="50"/>
      <c r="F556" s="50"/>
      <c r="G556" s="50"/>
      <c r="H556" s="50"/>
    </row>
    <row r="557">
      <c r="D557" s="50"/>
      <c r="E557" s="50"/>
      <c r="F557" s="50"/>
      <c r="G557" s="50"/>
      <c r="H557" s="50"/>
    </row>
    <row r="558">
      <c r="D558" s="50"/>
      <c r="E558" s="50"/>
      <c r="F558" s="50"/>
      <c r="G558" s="50"/>
      <c r="H558" s="50"/>
    </row>
    <row r="559">
      <c r="D559" s="50"/>
      <c r="E559" s="50"/>
      <c r="F559" s="50"/>
      <c r="G559" s="50"/>
      <c r="H559" s="50"/>
    </row>
    <row r="560">
      <c r="D560" s="50"/>
      <c r="E560" s="50"/>
      <c r="F560" s="50"/>
      <c r="G560" s="50"/>
      <c r="H560" s="50"/>
    </row>
    <row r="561">
      <c r="D561" s="50"/>
      <c r="E561" s="50"/>
      <c r="F561" s="50"/>
      <c r="G561" s="50"/>
      <c r="H561" s="50"/>
    </row>
    <row r="562">
      <c r="D562" s="50"/>
      <c r="E562" s="50"/>
      <c r="F562" s="50"/>
      <c r="G562" s="50"/>
      <c r="H562" s="50"/>
    </row>
    <row r="563">
      <c r="D563" s="50"/>
      <c r="E563" s="50"/>
      <c r="F563" s="50"/>
      <c r="G563" s="50"/>
      <c r="H563" s="50"/>
    </row>
    <row r="564">
      <c r="D564" s="50"/>
      <c r="E564" s="50"/>
      <c r="F564" s="50"/>
      <c r="G564" s="50"/>
      <c r="H564" s="50"/>
    </row>
    <row r="565">
      <c r="D565" s="50"/>
      <c r="E565" s="50"/>
      <c r="F565" s="50"/>
      <c r="G565" s="50"/>
      <c r="H565" s="50"/>
    </row>
    <row r="566">
      <c r="D566" s="50"/>
      <c r="E566" s="50"/>
      <c r="F566" s="50"/>
      <c r="G566" s="50"/>
      <c r="H566" s="50"/>
    </row>
    <row r="567">
      <c r="D567" s="50"/>
      <c r="E567" s="50"/>
      <c r="F567" s="50"/>
      <c r="G567" s="50"/>
      <c r="H567" s="50"/>
    </row>
    <row r="568">
      <c r="D568" s="50"/>
      <c r="E568" s="50"/>
      <c r="F568" s="50"/>
      <c r="G568" s="50"/>
      <c r="H568" s="50"/>
    </row>
    <row r="569">
      <c r="D569" s="50"/>
      <c r="E569" s="50"/>
      <c r="F569" s="50"/>
      <c r="G569" s="50"/>
      <c r="H569" s="50"/>
    </row>
    <row r="570">
      <c r="D570" s="50"/>
      <c r="E570" s="50"/>
      <c r="F570" s="50"/>
      <c r="G570" s="50"/>
      <c r="H570" s="50"/>
    </row>
    <row r="571">
      <c r="D571" s="50"/>
      <c r="E571" s="50"/>
      <c r="F571" s="50"/>
      <c r="G571" s="50"/>
      <c r="H571" s="50"/>
    </row>
    <row r="572">
      <c r="D572" s="50"/>
      <c r="E572" s="50"/>
      <c r="F572" s="50"/>
      <c r="G572" s="50"/>
      <c r="H572" s="50"/>
    </row>
    <row r="573">
      <c r="D573" s="50"/>
      <c r="E573" s="50"/>
      <c r="F573" s="50"/>
      <c r="G573" s="50"/>
      <c r="H573" s="50"/>
    </row>
    <row r="574">
      <c r="D574" s="50"/>
      <c r="E574" s="50"/>
      <c r="F574" s="50"/>
      <c r="G574" s="50"/>
      <c r="H574" s="50"/>
    </row>
    <row r="575">
      <c r="D575" s="50"/>
      <c r="E575" s="50"/>
      <c r="F575" s="50"/>
      <c r="G575" s="50"/>
      <c r="H575" s="50"/>
    </row>
    <row r="576">
      <c r="D576" s="50"/>
      <c r="E576" s="50"/>
      <c r="F576" s="50"/>
      <c r="G576" s="50"/>
      <c r="H576" s="50"/>
    </row>
    <row r="577">
      <c r="D577" s="50"/>
      <c r="E577" s="50"/>
      <c r="F577" s="50"/>
      <c r="G577" s="50"/>
      <c r="H577" s="50"/>
    </row>
    <row r="578">
      <c r="D578" s="50"/>
      <c r="E578" s="50"/>
      <c r="F578" s="50"/>
      <c r="G578" s="50"/>
      <c r="H578" s="50"/>
    </row>
    <row r="579">
      <c r="D579" s="50"/>
      <c r="E579" s="50"/>
      <c r="F579" s="50"/>
      <c r="G579" s="50"/>
      <c r="H579" s="50"/>
    </row>
    <row r="580">
      <c r="D580" s="50"/>
      <c r="E580" s="50"/>
      <c r="F580" s="50"/>
      <c r="G580" s="50"/>
      <c r="H580" s="50"/>
    </row>
    <row r="581">
      <c r="D581" s="50"/>
      <c r="E581" s="50"/>
      <c r="F581" s="50"/>
      <c r="G581" s="50"/>
      <c r="H581" s="50"/>
    </row>
    <row r="582">
      <c r="D582" s="50"/>
      <c r="E582" s="50"/>
      <c r="F582" s="50"/>
      <c r="G582" s="50"/>
      <c r="H582" s="50"/>
    </row>
    <row r="583">
      <c r="D583" s="50"/>
      <c r="E583" s="50"/>
      <c r="F583" s="50"/>
      <c r="G583" s="50"/>
      <c r="H583" s="50"/>
    </row>
    <row r="584">
      <c r="D584" s="50"/>
      <c r="E584" s="50"/>
      <c r="F584" s="50"/>
      <c r="G584" s="50"/>
      <c r="H584" s="50"/>
    </row>
    <row r="585">
      <c r="D585" s="50"/>
      <c r="E585" s="50"/>
      <c r="F585" s="50"/>
      <c r="G585" s="50"/>
      <c r="H585" s="50"/>
    </row>
    <row r="586">
      <c r="D586" s="50"/>
      <c r="E586" s="50"/>
      <c r="F586" s="50"/>
      <c r="G586" s="50"/>
      <c r="H586" s="50"/>
    </row>
    <row r="587">
      <c r="D587" s="50"/>
      <c r="E587" s="50"/>
      <c r="F587" s="50"/>
      <c r="G587" s="50"/>
      <c r="H587" s="50"/>
    </row>
    <row r="588">
      <c r="D588" s="50"/>
      <c r="E588" s="50"/>
      <c r="F588" s="50"/>
      <c r="G588" s="50"/>
      <c r="H588" s="50"/>
    </row>
    <row r="589">
      <c r="D589" s="50"/>
      <c r="E589" s="50"/>
      <c r="F589" s="50"/>
      <c r="G589" s="50"/>
      <c r="H589" s="50"/>
    </row>
    <row r="590">
      <c r="D590" s="50"/>
      <c r="E590" s="50"/>
      <c r="F590" s="50"/>
      <c r="G590" s="50"/>
      <c r="H590" s="50"/>
    </row>
    <row r="591">
      <c r="D591" s="50"/>
      <c r="E591" s="50"/>
      <c r="F591" s="50"/>
      <c r="G591" s="50"/>
      <c r="H591" s="50"/>
    </row>
    <row r="592">
      <c r="D592" s="50"/>
      <c r="E592" s="50"/>
      <c r="F592" s="50"/>
      <c r="G592" s="50"/>
      <c r="H592" s="50"/>
    </row>
    <row r="593">
      <c r="D593" s="50"/>
      <c r="E593" s="50"/>
      <c r="F593" s="50"/>
      <c r="G593" s="50"/>
      <c r="H593" s="50"/>
    </row>
    <row r="594">
      <c r="D594" s="50"/>
      <c r="E594" s="50"/>
      <c r="F594" s="50"/>
      <c r="G594" s="50"/>
      <c r="H594" s="50"/>
    </row>
    <row r="595">
      <c r="D595" s="50"/>
      <c r="E595" s="50"/>
      <c r="F595" s="50"/>
      <c r="G595" s="50"/>
      <c r="H595" s="50"/>
    </row>
    <row r="596">
      <c r="D596" s="50"/>
      <c r="E596" s="50"/>
      <c r="F596" s="50"/>
      <c r="G596" s="50"/>
      <c r="H596" s="50"/>
    </row>
    <row r="597">
      <c r="D597" s="50"/>
      <c r="E597" s="50"/>
      <c r="F597" s="50"/>
      <c r="G597" s="50"/>
      <c r="H597" s="50"/>
    </row>
    <row r="598">
      <c r="D598" s="50"/>
      <c r="E598" s="50"/>
      <c r="F598" s="50"/>
      <c r="G598" s="50"/>
      <c r="H598" s="50"/>
    </row>
    <row r="599">
      <c r="D599" s="50"/>
      <c r="E599" s="50"/>
      <c r="F599" s="50"/>
      <c r="G599" s="50"/>
      <c r="H599" s="50"/>
    </row>
    <row r="600">
      <c r="D600" s="50"/>
      <c r="E600" s="50"/>
      <c r="F600" s="50"/>
      <c r="G600" s="50"/>
      <c r="H600" s="50"/>
    </row>
    <row r="601">
      <c r="D601" s="50"/>
      <c r="E601" s="50"/>
      <c r="F601" s="50"/>
      <c r="G601" s="50"/>
      <c r="H601" s="50"/>
    </row>
    <row r="602">
      <c r="D602" s="50"/>
      <c r="E602" s="50"/>
      <c r="F602" s="50"/>
      <c r="G602" s="50"/>
      <c r="H602" s="50"/>
    </row>
    <row r="603">
      <c r="D603" s="50"/>
      <c r="E603" s="50"/>
      <c r="F603" s="50"/>
      <c r="G603" s="50"/>
      <c r="H603" s="50"/>
    </row>
    <row r="604">
      <c r="D604" s="50"/>
      <c r="E604" s="50"/>
      <c r="F604" s="50"/>
      <c r="G604" s="50"/>
      <c r="H604" s="50"/>
    </row>
    <row r="605">
      <c r="D605" s="50"/>
      <c r="E605" s="50"/>
      <c r="F605" s="50"/>
      <c r="G605" s="50"/>
      <c r="H605" s="50"/>
    </row>
    <row r="606">
      <c r="D606" s="50"/>
      <c r="E606" s="50"/>
      <c r="F606" s="50"/>
      <c r="G606" s="50"/>
      <c r="H606" s="50"/>
    </row>
    <row r="607">
      <c r="D607" s="50"/>
      <c r="E607" s="50"/>
      <c r="F607" s="50"/>
      <c r="G607" s="50"/>
      <c r="H607" s="50"/>
    </row>
    <row r="608">
      <c r="D608" s="50"/>
      <c r="E608" s="50"/>
      <c r="F608" s="50"/>
      <c r="G608" s="50"/>
      <c r="H608" s="50"/>
    </row>
    <row r="609">
      <c r="D609" s="50"/>
      <c r="E609" s="50"/>
      <c r="F609" s="50"/>
      <c r="G609" s="50"/>
      <c r="H609" s="50"/>
    </row>
    <row r="610">
      <c r="D610" s="50"/>
      <c r="E610" s="50"/>
      <c r="F610" s="50"/>
      <c r="G610" s="50"/>
      <c r="H610" s="50"/>
    </row>
    <row r="611">
      <c r="D611" s="50"/>
      <c r="E611" s="50"/>
      <c r="F611" s="50"/>
      <c r="G611" s="50"/>
      <c r="H611" s="50"/>
    </row>
    <row r="612">
      <c r="D612" s="50"/>
      <c r="E612" s="50"/>
      <c r="F612" s="50"/>
      <c r="G612" s="50"/>
      <c r="H612" s="50"/>
    </row>
    <row r="613">
      <c r="D613" s="50"/>
      <c r="E613" s="50"/>
      <c r="F613" s="50"/>
      <c r="G613" s="50"/>
      <c r="H613" s="50"/>
    </row>
    <row r="614">
      <c r="D614" s="50"/>
      <c r="E614" s="50"/>
      <c r="F614" s="50"/>
      <c r="G614" s="50"/>
      <c r="H614" s="50"/>
    </row>
    <row r="615">
      <c r="D615" s="50"/>
      <c r="E615" s="50"/>
      <c r="F615" s="50"/>
      <c r="G615" s="50"/>
      <c r="H615" s="50"/>
    </row>
    <row r="616">
      <c r="D616" s="50"/>
      <c r="E616" s="50"/>
      <c r="F616" s="50"/>
      <c r="G616" s="50"/>
      <c r="H616" s="50"/>
    </row>
    <row r="617">
      <c r="D617" s="50"/>
      <c r="E617" s="50"/>
      <c r="F617" s="50"/>
      <c r="G617" s="50"/>
      <c r="H617" s="50"/>
    </row>
    <row r="618">
      <c r="D618" s="50"/>
      <c r="E618" s="50"/>
      <c r="F618" s="50"/>
      <c r="G618" s="50"/>
      <c r="H618" s="50"/>
    </row>
    <row r="619">
      <c r="D619" s="50"/>
      <c r="E619" s="50"/>
      <c r="F619" s="50"/>
      <c r="G619" s="50"/>
      <c r="H619" s="50"/>
    </row>
    <row r="620">
      <c r="D620" s="50"/>
      <c r="E620" s="50"/>
      <c r="F620" s="50"/>
      <c r="G620" s="50"/>
      <c r="H620" s="50"/>
    </row>
    <row r="621">
      <c r="D621" s="50"/>
      <c r="E621" s="50"/>
      <c r="F621" s="50"/>
      <c r="G621" s="50"/>
      <c r="H621" s="50"/>
    </row>
    <row r="622">
      <c r="D622" s="50"/>
      <c r="E622" s="50"/>
      <c r="F622" s="50"/>
      <c r="G622" s="50"/>
      <c r="H622" s="50"/>
    </row>
    <row r="623">
      <c r="D623" s="50"/>
      <c r="E623" s="50"/>
      <c r="F623" s="50"/>
      <c r="G623" s="50"/>
      <c r="H623" s="50"/>
    </row>
    <row r="624">
      <c r="D624" s="50"/>
      <c r="E624" s="50"/>
      <c r="F624" s="50"/>
      <c r="G624" s="50"/>
      <c r="H624" s="50"/>
    </row>
    <row r="625">
      <c r="D625" s="50"/>
      <c r="E625" s="50"/>
      <c r="F625" s="50"/>
      <c r="G625" s="50"/>
      <c r="H625" s="50"/>
    </row>
    <row r="626">
      <c r="D626" s="50"/>
      <c r="E626" s="50"/>
      <c r="F626" s="50"/>
      <c r="G626" s="50"/>
      <c r="H626" s="50"/>
    </row>
    <row r="627">
      <c r="D627" s="50"/>
      <c r="E627" s="50"/>
      <c r="F627" s="50"/>
      <c r="G627" s="50"/>
      <c r="H627" s="50"/>
    </row>
    <row r="628">
      <c r="D628" s="50"/>
      <c r="E628" s="50"/>
      <c r="F628" s="50"/>
      <c r="G628" s="50"/>
      <c r="H628" s="50"/>
    </row>
    <row r="629">
      <c r="D629" s="50"/>
      <c r="E629" s="50"/>
      <c r="F629" s="50"/>
      <c r="G629" s="50"/>
      <c r="H629" s="50"/>
    </row>
    <row r="630">
      <c r="D630" s="50"/>
      <c r="E630" s="50"/>
      <c r="F630" s="50"/>
      <c r="G630" s="50"/>
      <c r="H630" s="50"/>
    </row>
    <row r="631">
      <c r="D631" s="50"/>
      <c r="E631" s="50"/>
      <c r="F631" s="50"/>
      <c r="G631" s="50"/>
      <c r="H631" s="50"/>
    </row>
    <row r="632">
      <c r="D632" s="50"/>
      <c r="E632" s="50"/>
      <c r="F632" s="50"/>
      <c r="G632" s="50"/>
      <c r="H632" s="50"/>
    </row>
    <row r="633">
      <c r="D633" s="50"/>
      <c r="E633" s="50"/>
      <c r="F633" s="50"/>
      <c r="G633" s="50"/>
      <c r="H633" s="50"/>
    </row>
    <row r="634">
      <c r="D634" s="50"/>
      <c r="E634" s="50"/>
      <c r="F634" s="50"/>
      <c r="G634" s="50"/>
      <c r="H634" s="50"/>
    </row>
    <row r="635">
      <c r="D635" s="50"/>
      <c r="E635" s="50"/>
      <c r="F635" s="50"/>
      <c r="G635" s="50"/>
      <c r="H635" s="50"/>
    </row>
    <row r="636">
      <c r="D636" s="50"/>
      <c r="E636" s="50"/>
      <c r="F636" s="50"/>
      <c r="G636" s="50"/>
      <c r="H636" s="50"/>
    </row>
    <row r="637">
      <c r="D637" s="50"/>
      <c r="E637" s="50"/>
      <c r="F637" s="50"/>
      <c r="G637" s="50"/>
      <c r="H637" s="50"/>
    </row>
    <row r="638">
      <c r="D638" s="50"/>
      <c r="E638" s="50"/>
      <c r="F638" s="50"/>
      <c r="G638" s="50"/>
      <c r="H638" s="50"/>
    </row>
    <row r="639">
      <c r="D639" s="50"/>
      <c r="E639" s="50"/>
      <c r="F639" s="50"/>
      <c r="G639" s="50"/>
      <c r="H639" s="50"/>
    </row>
    <row r="640">
      <c r="D640" s="50"/>
      <c r="E640" s="50"/>
      <c r="F640" s="50"/>
      <c r="G640" s="50"/>
      <c r="H640" s="50"/>
    </row>
    <row r="641">
      <c r="D641" s="50"/>
      <c r="E641" s="50"/>
      <c r="F641" s="50"/>
      <c r="G641" s="50"/>
      <c r="H641" s="50"/>
    </row>
    <row r="642">
      <c r="D642" s="50"/>
      <c r="E642" s="50"/>
      <c r="F642" s="50"/>
      <c r="G642" s="50"/>
      <c r="H642" s="50"/>
    </row>
    <row r="643">
      <c r="D643" s="50"/>
      <c r="E643" s="50"/>
      <c r="F643" s="50"/>
      <c r="G643" s="50"/>
      <c r="H643" s="50"/>
    </row>
    <row r="644">
      <c r="D644" s="50"/>
      <c r="E644" s="50"/>
      <c r="F644" s="50"/>
      <c r="G644" s="50"/>
      <c r="H644" s="50"/>
    </row>
    <row r="645">
      <c r="D645" s="50"/>
      <c r="E645" s="50"/>
      <c r="F645" s="50"/>
      <c r="G645" s="50"/>
      <c r="H645" s="50"/>
    </row>
    <row r="646">
      <c r="D646" s="50"/>
      <c r="E646" s="50"/>
      <c r="F646" s="50"/>
      <c r="G646" s="50"/>
      <c r="H646" s="50"/>
    </row>
    <row r="647">
      <c r="D647" s="50"/>
      <c r="E647" s="50"/>
      <c r="F647" s="50"/>
      <c r="G647" s="50"/>
      <c r="H647" s="50"/>
    </row>
    <row r="648">
      <c r="D648" s="50"/>
      <c r="E648" s="50"/>
      <c r="F648" s="50"/>
      <c r="G648" s="50"/>
      <c r="H648" s="50"/>
    </row>
    <row r="649">
      <c r="D649" s="50"/>
      <c r="E649" s="50"/>
      <c r="F649" s="50"/>
      <c r="G649" s="50"/>
      <c r="H649" s="50"/>
    </row>
    <row r="650">
      <c r="D650" s="50"/>
      <c r="E650" s="50"/>
      <c r="F650" s="50"/>
      <c r="G650" s="50"/>
      <c r="H650" s="50"/>
    </row>
    <row r="651">
      <c r="D651" s="50"/>
      <c r="E651" s="50"/>
      <c r="F651" s="50"/>
      <c r="G651" s="50"/>
      <c r="H651" s="50"/>
    </row>
    <row r="652">
      <c r="D652" s="50"/>
      <c r="E652" s="50"/>
      <c r="F652" s="50"/>
      <c r="G652" s="50"/>
      <c r="H652" s="50"/>
    </row>
    <row r="653">
      <c r="D653" s="50"/>
      <c r="E653" s="50"/>
      <c r="F653" s="50"/>
      <c r="G653" s="50"/>
      <c r="H653" s="50"/>
    </row>
    <row r="654">
      <c r="D654" s="50"/>
      <c r="E654" s="50"/>
      <c r="F654" s="50"/>
      <c r="G654" s="50"/>
      <c r="H654" s="50"/>
    </row>
    <row r="655">
      <c r="D655" s="50"/>
      <c r="E655" s="50"/>
      <c r="F655" s="50"/>
      <c r="G655" s="50"/>
      <c r="H655" s="50"/>
    </row>
    <row r="656">
      <c r="D656" s="50"/>
      <c r="E656" s="50"/>
      <c r="F656" s="50"/>
      <c r="G656" s="50"/>
      <c r="H656" s="50"/>
    </row>
    <row r="657">
      <c r="D657" s="50"/>
      <c r="E657" s="50"/>
      <c r="F657" s="50"/>
      <c r="G657" s="50"/>
      <c r="H657" s="50"/>
    </row>
    <row r="658">
      <c r="D658" s="50"/>
      <c r="E658" s="50"/>
      <c r="F658" s="50"/>
      <c r="G658" s="50"/>
      <c r="H658" s="50"/>
    </row>
    <row r="659">
      <c r="D659" s="50"/>
      <c r="E659" s="50"/>
      <c r="F659" s="50"/>
      <c r="G659" s="50"/>
      <c r="H659" s="50"/>
    </row>
    <row r="660">
      <c r="D660" s="50"/>
      <c r="E660" s="50"/>
      <c r="F660" s="50"/>
      <c r="G660" s="50"/>
      <c r="H660" s="50"/>
    </row>
    <row r="661">
      <c r="D661" s="50"/>
      <c r="E661" s="50"/>
      <c r="F661" s="50"/>
      <c r="G661" s="50"/>
      <c r="H661" s="50"/>
    </row>
    <row r="662">
      <c r="D662" s="50"/>
      <c r="E662" s="50"/>
      <c r="F662" s="50"/>
      <c r="G662" s="50"/>
      <c r="H662" s="50"/>
    </row>
    <row r="663">
      <c r="D663" s="50"/>
      <c r="E663" s="50"/>
      <c r="F663" s="50"/>
      <c r="G663" s="50"/>
      <c r="H663" s="50"/>
    </row>
    <row r="664">
      <c r="D664" s="50"/>
      <c r="E664" s="50"/>
      <c r="F664" s="50"/>
      <c r="G664" s="50"/>
      <c r="H664" s="50"/>
    </row>
    <row r="665">
      <c r="D665" s="50"/>
      <c r="E665" s="50"/>
      <c r="F665" s="50"/>
      <c r="G665" s="50"/>
      <c r="H665" s="50"/>
    </row>
    <row r="666">
      <c r="D666" s="50"/>
      <c r="E666" s="50"/>
      <c r="F666" s="50"/>
      <c r="G666" s="50"/>
      <c r="H666" s="50"/>
    </row>
    <row r="667">
      <c r="D667" s="50"/>
      <c r="E667" s="50"/>
      <c r="F667" s="50"/>
      <c r="G667" s="50"/>
      <c r="H667" s="50"/>
    </row>
    <row r="668">
      <c r="D668" s="50"/>
      <c r="E668" s="50"/>
      <c r="F668" s="50"/>
      <c r="G668" s="50"/>
      <c r="H668" s="50"/>
    </row>
    <row r="669">
      <c r="D669" s="50"/>
      <c r="E669" s="50"/>
      <c r="F669" s="50"/>
      <c r="G669" s="50"/>
      <c r="H669" s="50"/>
    </row>
    <row r="670">
      <c r="D670" s="50"/>
      <c r="E670" s="50"/>
      <c r="F670" s="50"/>
      <c r="G670" s="50"/>
      <c r="H670" s="50"/>
    </row>
    <row r="671">
      <c r="D671" s="50"/>
      <c r="E671" s="50"/>
      <c r="F671" s="50"/>
      <c r="G671" s="50"/>
      <c r="H671" s="50"/>
    </row>
    <row r="672">
      <c r="D672" s="50"/>
      <c r="E672" s="50"/>
      <c r="F672" s="50"/>
      <c r="G672" s="50"/>
      <c r="H672" s="50"/>
    </row>
    <row r="673">
      <c r="D673" s="50"/>
      <c r="E673" s="50"/>
      <c r="F673" s="50"/>
      <c r="G673" s="50"/>
      <c r="H673" s="50"/>
    </row>
    <row r="674">
      <c r="D674" s="50"/>
      <c r="E674" s="50"/>
      <c r="F674" s="50"/>
      <c r="G674" s="50"/>
      <c r="H674" s="50"/>
    </row>
    <row r="675">
      <c r="D675" s="50"/>
      <c r="E675" s="50"/>
      <c r="F675" s="50"/>
      <c r="G675" s="50"/>
      <c r="H675" s="50"/>
    </row>
    <row r="676">
      <c r="D676" s="50"/>
      <c r="E676" s="50"/>
      <c r="F676" s="50"/>
      <c r="G676" s="50"/>
      <c r="H676" s="50"/>
    </row>
    <row r="677">
      <c r="D677" s="50"/>
      <c r="E677" s="50"/>
      <c r="F677" s="50"/>
      <c r="G677" s="50"/>
      <c r="H677" s="50"/>
    </row>
    <row r="678">
      <c r="D678" s="50"/>
      <c r="E678" s="50"/>
      <c r="F678" s="50"/>
      <c r="G678" s="50"/>
      <c r="H678" s="50"/>
    </row>
    <row r="679">
      <c r="D679" s="50"/>
      <c r="E679" s="50"/>
      <c r="F679" s="50"/>
      <c r="G679" s="50"/>
      <c r="H679" s="50"/>
    </row>
    <row r="680">
      <c r="D680" s="50"/>
      <c r="E680" s="50"/>
      <c r="F680" s="50"/>
      <c r="G680" s="50"/>
      <c r="H680" s="50"/>
    </row>
    <row r="681">
      <c r="D681" s="50"/>
      <c r="E681" s="50"/>
      <c r="F681" s="50"/>
      <c r="G681" s="50"/>
      <c r="H681" s="50"/>
    </row>
    <row r="682">
      <c r="D682" s="50"/>
      <c r="E682" s="50"/>
      <c r="F682" s="50"/>
      <c r="G682" s="50"/>
      <c r="H682" s="50"/>
    </row>
    <row r="683">
      <c r="D683" s="50"/>
      <c r="E683" s="50"/>
      <c r="F683" s="50"/>
      <c r="G683" s="50"/>
      <c r="H683" s="50"/>
    </row>
    <row r="684">
      <c r="D684" s="50"/>
      <c r="E684" s="50"/>
      <c r="F684" s="50"/>
      <c r="G684" s="50"/>
      <c r="H684" s="50"/>
    </row>
    <row r="685">
      <c r="D685" s="50"/>
      <c r="E685" s="50"/>
      <c r="F685" s="50"/>
      <c r="G685" s="50"/>
      <c r="H685" s="50"/>
    </row>
    <row r="686">
      <c r="D686" s="50"/>
      <c r="E686" s="50"/>
      <c r="F686" s="50"/>
      <c r="G686" s="50"/>
      <c r="H686" s="50"/>
    </row>
    <row r="687">
      <c r="D687" s="50"/>
      <c r="E687" s="50"/>
      <c r="F687" s="50"/>
      <c r="G687" s="50"/>
      <c r="H687" s="50"/>
    </row>
    <row r="688">
      <c r="D688" s="50"/>
      <c r="E688" s="50"/>
      <c r="F688" s="50"/>
      <c r="G688" s="50"/>
      <c r="H688" s="50"/>
    </row>
    <row r="689">
      <c r="D689" s="50"/>
      <c r="E689" s="50"/>
      <c r="F689" s="50"/>
      <c r="G689" s="50"/>
      <c r="H689" s="50"/>
    </row>
    <row r="690">
      <c r="D690" s="50"/>
      <c r="E690" s="50"/>
      <c r="F690" s="50"/>
      <c r="G690" s="50"/>
      <c r="H690" s="50"/>
    </row>
    <row r="691">
      <c r="D691" s="50"/>
      <c r="E691" s="50"/>
      <c r="F691" s="50"/>
      <c r="G691" s="50"/>
      <c r="H691" s="50"/>
    </row>
    <row r="692">
      <c r="D692" s="50"/>
      <c r="E692" s="50"/>
      <c r="F692" s="50"/>
      <c r="G692" s="50"/>
      <c r="H692" s="50"/>
    </row>
    <row r="693">
      <c r="D693" s="50"/>
      <c r="E693" s="50"/>
      <c r="F693" s="50"/>
      <c r="G693" s="50"/>
      <c r="H693" s="50"/>
    </row>
    <row r="694">
      <c r="D694" s="50"/>
      <c r="E694" s="50"/>
      <c r="F694" s="50"/>
      <c r="G694" s="50"/>
      <c r="H694" s="50"/>
    </row>
    <row r="695">
      <c r="D695" s="50"/>
      <c r="E695" s="50"/>
      <c r="F695" s="50"/>
      <c r="G695" s="50"/>
      <c r="H695" s="50"/>
    </row>
    <row r="696">
      <c r="D696" s="50"/>
      <c r="E696" s="50"/>
      <c r="F696" s="50"/>
      <c r="G696" s="50"/>
      <c r="H696" s="50"/>
    </row>
    <row r="697">
      <c r="D697" s="50"/>
      <c r="E697" s="50"/>
      <c r="F697" s="50"/>
      <c r="G697" s="50"/>
      <c r="H697" s="50"/>
    </row>
    <row r="698">
      <c r="D698" s="50"/>
      <c r="E698" s="50"/>
      <c r="F698" s="50"/>
      <c r="G698" s="50"/>
      <c r="H698" s="50"/>
    </row>
    <row r="699">
      <c r="D699" s="50"/>
      <c r="E699" s="50"/>
      <c r="F699" s="50"/>
      <c r="G699" s="50"/>
      <c r="H699" s="50"/>
    </row>
    <row r="700">
      <c r="D700" s="50"/>
      <c r="E700" s="50"/>
      <c r="F700" s="50"/>
      <c r="G700" s="50"/>
      <c r="H700" s="50"/>
    </row>
    <row r="701">
      <c r="D701" s="50"/>
      <c r="E701" s="50"/>
      <c r="F701" s="50"/>
      <c r="G701" s="50"/>
      <c r="H701" s="50"/>
    </row>
    <row r="702">
      <c r="D702" s="50"/>
      <c r="E702" s="50"/>
      <c r="F702" s="50"/>
      <c r="G702" s="50"/>
      <c r="H702" s="50"/>
    </row>
    <row r="703">
      <c r="D703" s="50"/>
      <c r="E703" s="50"/>
      <c r="F703" s="50"/>
      <c r="G703" s="50"/>
      <c r="H703" s="50"/>
    </row>
    <row r="704">
      <c r="D704" s="50"/>
      <c r="E704" s="50"/>
      <c r="F704" s="50"/>
      <c r="G704" s="50"/>
      <c r="H704" s="50"/>
    </row>
    <row r="705">
      <c r="D705" s="50"/>
      <c r="E705" s="50"/>
      <c r="F705" s="50"/>
      <c r="G705" s="50"/>
      <c r="H705" s="50"/>
    </row>
    <row r="706">
      <c r="D706" s="50"/>
      <c r="E706" s="50"/>
      <c r="F706" s="50"/>
      <c r="G706" s="50"/>
      <c r="H706" s="50"/>
    </row>
    <row r="707">
      <c r="D707" s="50"/>
      <c r="E707" s="50"/>
      <c r="F707" s="50"/>
      <c r="G707" s="50"/>
      <c r="H707" s="50"/>
    </row>
    <row r="708">
      <c r="D708" s="50"/>
      <c r="E708" s="50"/>
      <c r="F708" s="50"/>
      <c r="G708" s="50"/>
      <c r="H708" s="50"/>
    </row>
    <row r="709">
      <c r="D709" s="50"/>
      <c r="E709" s="50"/>
      <c r="F709" s="50"/>
      <c r="G709" s="50"/>
      <c r="H709" s="50"/>
    </row>
    <row r="710">
      <c r="D710" s="50"/>
      <c r="E710" s="50"/>
      <c r="F710" s="50"/>
      <c r="G710" s="50"/>
      <c r="H710" s="50"/>
    </row>
    <row r="711">
      <c r="D711" s="50"/>
      <c r="E711" s="50"/>
      <c r="F711" s="50"/>
      <c r="G711" s="50"/>
      <c r="H711" s="50"/>
    </row>
    <row r="712">
      <c r="D712" s="50"/>
      <c r="E712" s="50"/>
      <c r="F712" s="50"/>
      <c r="G712" s="50"/>
      <c r="H712" s="50"/>
    </row>
    <row r="713">
      <c r="D713" s="50"/>
      <c r="E713" s="50"/>
      <c r="F713" s="50"/>
      <c r="G713" s="50"/>
      <c r="H713" s="50"/>
    </row>
    <row r="714">
      <c r="D714" s="50"/>
      <c r="E714" s="50"/>
      <c r="F714" s="50"/>
      <c r="G714" s="50"/>
      <c r="H714" s="50"/>
    </row>
    <row r="715">
      <c r="D715" s="50"/>
      <c r="E715" s="50"/>
      <c r="F715" s="50"/>
      <c r="G715" s="50"/>
      <c r="H715" s="50"/>
    </row>
    <row r="716">
      <c r="D716" s="50"/>
      <c r="E716" s="50"/>
      <c r="F716" s="50"/>
      <c r="G716" s="50"/>
      <c r="H716" s="50"/>
    </row>
    <row r="717">
      <c r="D717" s="50"/>
      <c r="E717" s="50"/>
      <c r="F717" s="50"/>
      <c r="G717" s="50"/>
      <c r="H717" s="50"/>
    </row>
    <row r="718">
      <c r="D718" s="50"/>
      <c r="E718" s="50"/>
      <c r="F718" s="50"/>
      <c r="G718" s="50"/>
      <c r="H718" s="50"/>
    </row>
    <row r="719">
      <c r="D719" s="50"/>
      <c r="E719" s="50"/>
      <c r="F719" s="50"/>
      <c r="G719" s="50"/>
      <c r="H719" s="50"/>
    </row>
    <row r="720">
      <c r="D720" s="50"/>
      <c r="E720" s="50"/>
      <c r="F720" s="50"/>
      <c r="G720" s="50"/>
      <c r="H720" s="50"/>
    </row>
    <row r="721">
      <c r="D721" s="50"/>
      <c r="E721" s="50"/>
      <c r="F721" s="50"/>
      <c r="G721" s="50"/>
      <c r="H721" s="50"/>
    </row>
    <row r="722">
      <c r="D722" s="50"/>
      <c r="E722" s="50"/>
      <c r="F722" s="50"/>
      <c r="G722" s="50"/>
      <c r="H722" s="50"/>
    </row>
    <row r="723">
      <c r="D723" s="50"/>
      <c r="E723" s="50"/>
      <c r="F723" s="50"/>
      <c r="G723" s="50"/>
      <c r="H723" s="50"/>
    </row>
    <row r="724">
      <c r="D724" s="50"/>
      <c r="E724" s="50"/>
      <c r="F724" s="50"/>
      <c r="G724" s="50"/>
      <c r="H724" s="50"/>
    </row>
    <row r="725">
      <c r="D725" s="50"/>
      <c r="E725" s="50"/>
      <c r="F725" s="50"/>
      <c r="G725" s="50"/>
      <c r="H725" s="50"/>
    </row>
    <row r="726">
      <c r="D726" s="50"/>
      <c r="E726" s="50"/>
      <c r="F726" s="50"/>
      <c r="G726" s="50"/>
      <c r="H726" s="50"/>
    </row>
    <row r="727">
      <c r="D727" s="50"/>
      <c r="E727" s="50"/>
      <c r="F727" s="50"/>
      <c r="G727" s="50"/>
      <c r="H727" s="50"/>
    </row>
    <row r="728">
      <c r="D728" s="50"/>
      <c r="E728" s="50"/>
      <c r="F728" s="50"/>
      <c r="G728" s="50"/>
      <c r="H728" s="50"/>
    </row>
    <row r="729">
      <c r="D729" s="50"/>
      <c r="E729" s="50"/>
      <c r="F729" s="50"/>
      <c r="G729" s="50"/>
      <c r="H729" s="50"/>
    </row>
    <row r="730">
      <c r="D730" s="50"/>
      <c r="E730" s="50"/>
      <c r="F730" s="50"/>
      <c r="G730" s="50"/>
      <c r="H730" s="50"/>
    </row>
    <row r="731">
      <c r="D731" s="50"/>
      <c r="E731" s="50"/>
      <c r="F731" s="50"/>
      <c r="G731" s="50"/>
      <c r="H731" s="50"/>
    </row>
    <row r="732">
      <c r="D732" s="50"/>
      <c r="E732" s="50"/>
      <c r="F732" s="50"/>
      <c r="G732" s="50"/>
      <c r="H732" s="50"/>
    </row>
    <row r="733">
      <c r="D733" s="50"/>
      <c r="E733" s="50"/>
      <c r="F733" s="50"/>
      <c r="G733" s="50"/>
      <c r="H733" s="50"/>
    </row>
    <row r="734">
      <c r="D734" s="50"/>
      <c r="E734" s="50"/>
      <c r="F734" s="50"/>
      <c r="G734" s="50"/>
      <c r="H734" s="50"/>
    </row>
    <row r="735">
      <c r="D735" s="50"/>
      <c r="E735" s="50"/>
      <c r="F735" s="50"/>
      <c r="G735" s="50"/>
      <c r="H735" s="50"/>
    </row>
    <row r="736">
      <c r="D736" s="50"/>
      <c r="E736" s="50"/>
      <c r="F736" s="50"/>
      <c r="G736" s="50"/>
      <c r="H736" s="50"/>
    </row>
    <row r="737">
      <c r="D737" s="50"/>
      <c r="E737" s="50"/>
      <c r="F737" s="50"/>
      <c r="G737" s="50"/>
      <c r="H737" s="50"/>
    </row>
    <row r="738">
      <c r="D738" s="50"/>
      <c r="E738" s="50"/>
      <c r="F738" s="50"/>
      <c r="G738" s="50"/>
      <c r="H738" s="50"/>
    </row>
    <row r="739">
      <c r="D739" s="50"/>
      <c r="E739" s="50"/>
      <c r="F739" s="50"/>
      <c r="G739" s="50"/>
      <c r="H739" s="50"/>
    </row>
    <row r="740">
      <c r="D740" s="50"/>
      <c r="E740" s="50"/>
      <c r="F740" s="50"/>
      <c r="G740" s="50"/>
      <c r="H740" s="50"/>
    </row>
    <row r="741">
      <c r="D741" s="50"/>
      <c r="E741" s="50"/>
      <c r="F741" s="50"/>
      <c r="G741" s="50"/>
      <c r="H741" s="50"/>
    </row>
    <row r="742">
      <c r="D742" s="50"/>
      <c r="E742" s="50"/>
      <c r="F742" s="50"/>
      <c r="G742" s="50"/>
      <c r="H742" s="50"/>
    </row>
    <row r="743">
      <c r="D743" s="50"/>
      <c r="E743" s="50"/>
      <c r="F743" s="50"/>
      <c r="G743" s="50"/>
      <c r="H743" s="50"/>
    </row>
    <row r="744">
      <c r="D744" s="50"/>
      <c r="E744" s="50"/>
      <c r="F744" s="50"/>
      <c r="G744" s="50"/>
      <c r="H744" s="50"/>
    </row>
    <row r="745">
      <c r="D745" s="50"/>
      <c r="E745" s="50"/>
      <c r="F745" s="50"/>
      <c r="G745" s="50"/>
      <c r="H745" s="50"/>
    </row>
    <row r="746">
      <c r="D746" s="50"/>
      <c r="E746" s="50"/>
      <c r="F746" s="50"/>
      <c r="G746" s="50"/>
      <c r="H746" s="50"/>
    </row>
    <row r="747">
      <c r="D747" s="50"/>
      <c r="E747" s="50"/>
      <c r="F747" s="50"/>
      <c r="G747" s="50"/>
      <c r="H747" s="50"/>
    </row>
    <row r="748">
      <c r="D748" s="50"/>
      <c r="E748" s="50"/>
      <c r="F748" s="50"/>
      <c r="G748" s="50"/>
      <c r="H748" s="50"/>
    </row>
    <row r="749">
      <c r="D749" s="50"/>
      <c r="E749" s="50"/>
      <c r="F749" s="50"/>
      <c r="G749" s="50"/>
      <c r="H749" s="50"/>
    </row>
    <row r="750">
      <c r="D750" s="50"/>
      <c r="E750" s="50"/>
      <c r="F750" s="50"/>
      <c r="G750" s="50"/>
      <c r="H750" s="50"/>
    </row>
    <row r="751">
      <c r="D751" s="50"/>
      <c r="E751" s="50"/>
      <c r="F751" s="50"/>
      <c r="G751" s="50"/>
      <c r="H751" s="50"/>
    </row>
    <row r="752">
      <c r="D752" s="50"/>
      <c r="E752" s="50"/>
      <c r="F752" s="50"/>
      <c r="G752" s="50"/>
      <c r="H752" s="50"/>
    </row>
    <row r="753">
      <c r="D753" s="50"/>
      <c r="E753" s="50"/>
      <c r="F753" s="50"/>
      <c r="G753" s="50"/>
      <c r="H753" s="50"/>
    </row>
    <row r="754">
      <c r="D754" s="50"/>
      <c r="E754" s="50"/>
      <c r="F754" s="50"/>
      <c r="G754" s="50"/>
      <c r="H754" s="50"/>
    </row>
    <row r="755">
      <c r="D755" s="50"/>
      <c r="E755" s="50"/>
      <c r="F755" s="50"/>
      <c r="G755" s="50"/>
      <c r="H755" s="50"/>
    </row>
    <row r="756">
      <c r="D756" s="50"/>
      <c r="E756" s="50"/>
      <c r="F756" s="50"/>
      <c r="G756" s="50"/>
      <c r="H756" s="50"/>
    </row>
    <row r="757">
      <c r="D757" s="50"/>
      <c r="E757" s="50"/>
      <c r="F757" s="50"/>
      <c r="G757" s="50"/>
      <c r="H757" s="50"/>
    </row>
    <row r="758">
      <c r="D758" s="50"/>
      <c r="E758" s="50"/>
      <c r="F758" s="50"/>
      <c r="G758" s="50"/>
      <c r="H758" s="50"/>
    </row>
    <row r="759">
      <c r="D759" s="50"/>
      <c r="E759" s="50"/>
      <c r="F759" s="50"/>
      <c r="G759" s="50"/>
      <c r="H759" s="50"/>
    </row>
    <row r="760">
      <c r="D760" s="50"/>
      <c r="E760" s="50"/>
      <c r="F760" s="50"/>
      <c r="G760" s="50"/>
      <c r="H760" s="50"/>
    </row>
    <row r="761">
      <c r="D761" s="50"/>
      <c r="E761" s="50"/>
      <c r="F761" s="50"/>
      <c r="G761" s="50"/>
      <c r="H761" s="50"/>
    </row>
    <row r="762">
      <c r="D762" s="50"/>
      <c r="E762" s="50"/>
      <c r="F762" s="50"/>
      <c r="G762" s="50"/>
      <c r="H762" s="50"/>
    </row>
    <row r="763">
      <c r="D763" s="50"/>
      <c r="E763" s="50"/>
      <c r="F763" s="50"/>
      <c r="G763" s="50"/>
      <c r="H763" s="50"/>
    </row>
    <row r="764">
      <c r="D764" s="50"/>
      <c r="E764" s="50"/>
      <c r="F764" s="50"/>
      <c r="G764" s="50"/>
      <c r="H764" s="50"/>
    </row>
    <row r="765">
      <c r="D765" s="50"/>
      <c r="E765" s="50"/>
      <c r="F765" s="50"/>
      <c r="G765" s="50"/>
      <c r="H765" s="50"/>
    </row>
    <row r="766">
      <c r="D766" s="50"/>
      <c r="E766" s="50"/>
      <c r="F766" s="50"/>
      <c r="G766" s="50"/>
      <c r="H766" s="50"/>
    </row>
    <row r="767">
      <c r="D767" s="50"/>
      <c r="E767" s="50"/>
      <c r="F767" s="50"/>
      <c r="G767" s="50"/>
      <c r="H767" s="50"/>
    </row>
    <row r="768">
      <c r="D768" s="50"/>
      <c r="E768" s="50"/>
      <c r="F768" s="50"/>
      <c r="G768" s="50"/>
      <c r="H768" s="50"/>
    </row>
    <row r="769">
      <c r="D769" s="50"/>
      <c r="E769" s="50"/>
      <c r="F769" s="50"/>
      <c r="G769" s="50"/>
      <c r="H769" s="50"/>
    </row>
    <row r="770">
      <c r="D770" s="50"/>
      <c r="E770" s="50"/>
      <c r="F770" s="50"/>
      <c r="G770" s="50"/>
      <c r="H770" s="50"/>
    </row>
    <row r="771">
      <c r="D771" s="50"/>
      <c r="E771" s="50"/>
      <c r="F771" s="50"/>
      <c r="G771" s="50"/>
      <c r="H771" s="50"/>
    </row>
    <row r="772">
      <c r="D772" s="50"/>
      <c r="E772" s="50"/>
      <c r="F772" s="50"/>
      <c r="G772" s="50"/>
      <c r="H772" s="50"/>
    </row>
    <row r="773">
      <c r="D773" s="50"/>
      <c r="E773" s="50"/>
      <c r="F773" s="50"/>
      <c r="G773" s="50"/>
      <c r="H773" s="50"/>
    </row>
    <row r="774">
      <c r="D774" s="50"/>
      <c r="E774" s="50"/>
      <c r="F774" s="50"/>
      <c r="G774" s="50"/>
      <c r="H774" s="50"/>
    </row>
    <row r="775">
      <c r="D775" s="50"/>
      <c r="E775" s="50"/>
      <c r="F775" s="50"/>
      <c r="G775" s="50"/>
      <c r="H775" s="50"/>
    </row>
    <row r="776">
      <c r="D776" s="50"/>
      <c r="E776" s="50"/>
      <c r="F776" s="50"/>
      <c r="G776" s="50"/>
      <c r="H776" s="50"/>
    </row>
    <row r="777">
      <c r="D777" s="50"/>
      <c r="E777" s="50"/>
      <c r="F777" s="50"/>
      <c r="G777" s="50"/>
      <c r="H777" s="50"/>
    </row>
    <row r="778">
      <c r="D778" s="50"/>
      <c r="E778" s="50"/>
      <c r="F778" s="50"/>
      <c r="G778" s="50"/>
      <c r="H778" s="50"/>
    </row>
    <row r="779">
      <c r="D779" s="50"/>
      <c r="E779" s="50"/>
      <c r="F779" s="50"/>
      <c r="G779" s="50"/>
      <c r="H779" s="50"/>
    </row>
    <row r="780">
      <c r="D780" s="50"/>
      <c r="E780" s="50"/>
      <c r="F780" s="50"/>
      <c r="G780" s="50"/>
      <c r="H780" s="50"/>
    </row>
    <row r="781">
      <c r="D781" s="50"/>
      <c r="E781" s="50"/>
      <c r="F781" s="50"/>
      <c r="G781" s="50"/>
      <c r="H781" s="50"/>
    </row>
    <row r="782">
      <c r="D782" s="50"/>
      <c r="E782" s="50"/>
      <c r="F782" s="50"/>
      <c r="G782" s="50"/>
      <c r="H782" s="50"/>
    </row>
    <row r="783">
      <c r="D783" s="50"/>
      <c r="E783" s="50"/>
      <c r="F783" s="50"/>
      <c r="G783" s="50"/>
      <c r="H783" s="50"/>
    </row>
    <row r="784">
      <c r="D784" s="50"/>
      <c r="E784" s="50"/>
      <c r="F784" s="50"/>
      <c r="G784" s="50"/>
      <c r="H784" s="50"/>
    </row>
    <row r="785">
      <c r="D785" s="50"/>
      <c r="E785" s="50"/>
      <c r="F785" s="50"/>
      <c r="G785" s="50"/>
      <c r="H785" s="50"/>
    </row>
    <row r="786">
      <c r="D786" s="50"/>
      <c r="E786" s="50"/>
      <c r="F786" s="50"/>
      <c r="G786" s="50"/>
      <c r="H786" s="50"/>
    </row>
    <row r="787">
      <c r="D787" s="50"/>
      <c r="E787" s="50"/>
      <c r="F787" s="50"/>
      <c r="G787" s="50"/>
      <c r="H787" s="50"/>
    </row>
    <row r="788">
      <c r="D788" s="50"/>
      <c r="E788" s="50"/>
      <c r="F788" s="50"/>
      <c r="G788" s="50"/>
      <c r="H788" s="50"/>
    </row>
    <row r="789">
      <c r="D789" s="50"/>
      <c r="E789" s="50"/>
      <c r="F789" s="50"/>
      <c r="G789" s="50"/>
      <c r="H789" s="50"/>
    </row>
    <row r="790">
      <c r="D790" s="50"/>
      <c r="E790" s="50"/>
      <c r="F790" s="50"/>
      <c r="G790" s="50"/>
      <c r="H790" s="50"/>
    </row>
    <row r="791">
      <c r="D791" s="50"/>
      <c r="E791" s="50"/>
      <c r="F791" s="50"/>
      <c r="G791" s="50"/>
      <c r="H791" s="50"/>
    </row>
    <row r="792">
      <c r="D792" s="50"/>
      <c r="E792" s="50"/>
      <c r="F792" s="50"/>
      <c r="G792" s="50"/>
      <c r="H792" s="50"/>
    </row>
    <row r="793">
      <c r="D793" s="50"/>
      <c r="E793" s="50"/>
      <c r="F793" s="50"/>
      <c r="G793" s="50"/>
      <c r="H793" s="50"/>
    </row>
    <row r="794">
      <c r="D794" s="50"/>
      <c r="E794" s="50"/>
      <c r="F794" s="50"/>
      <c r="G794" s="50"/>
      <c r="H794" s="50"/>
    </row>
    <row r="795">
      <c r="D795" s="50"/>
      <c r="E795" s="50"/>
      <c r="F795" s="50"/>
      <c r="G795" s="50"/>
      <c r="H795" s="50"/>
    </row>
    <row r="796">
      <c r="D796" s="50"/>
      <c r="E796" s="50"/>
      <c r="F796" s="50"/>
      <c r="G796" s="50"/>
      <c r="H796" s="50"/>
    </row>
    <row r="797">
      <c r="D797" s="50"/>
      <c r="E797" s="50"/>
      <c r="F797" s="50"/>
      <c r="G797" s="50"/>
      <c r="H797" s="50"/>
    </row>
    <row r="798">
      <c r="D798" s="50"/>
      <c r="E798" s="50"/>
      <c r="F798" s="50"/>
      <c r="G798" s="50"/>
      <c r="H798" s="50"/>
    </row>
    <row r="799">
      <c r="D799" s="50"/>
      <c r="E799" s="50"/>
      <c r="F799" s="50"/>
      <c r="G799" s="50"/>
      <c r="H799" s="50"/>
    </row>
    <row r="800">
      <c r="D800" s="50"/>
      <c r="E800" s="50"/>
      <c r="F800" s="50"/>
      <c r="G800" s="50"/>
      <c r="H800" s="50"/>
    </row>
    <row r="801">
      <c r="D801" s="50"/>
      <c r="E801" s="50"/>
      <c r="F801" s="50"/>
      <c r="G801" s="50"/>
      <c r="H801" s="50"/>
    </row>
    <row r="802">
      <c r="D802" s="50"/>
      <c r="E802" s="50"/>
      <c r="F802" s="50"/>
      <c r="G802" s="50"/>
      <c r="H802" s="50"/>
    </row>
    <row r="803">
      <c r="D803" s="50"/>
      <c r="E803" s="50"/>
      <c r="F803" s="50"/>
      <c r="G803" s="50"/>
      <c r="H803" s="50"/>
    </row>
    <row r="804">
      <c r="D804" s="50"/>
      <c r="E804" s="50"/>
      <c r="F804" s="50"/>
      <c r="G804" s="50"/>
      <c r="H804" s="50"/>
    </row>
    <row r="805">
      <c r="D805" s="50"/>
      <c r="E805" s="50"/>
      <c r="F805" s="50"/>
      <c r="G805" s="50"/>
      <c r="H805" s="50"/>
    </row>
    <row r="806">
      <c r="D806" s="50"/>
      <c r="E806" s="50"/>
      <c r="F806" s="50"/>
      <c r="G806" s="50"/>
      <c r="H806" s="50"/>
    </row>
    <row r="807">
      <c r="D807" s="50"/>
      <c r="E807" s="50"/>
      <c r="F807" s="50"/>
      <c r="G807" s="50"/>
      <c r="H807" s="50"/>
    </row>
    <row r="808">
      <c r="D808" s="50"/>
      <c r="E808" s="50"/>
      <c r="F808" s="50"/>
      <c r="G808" s="50"/>
      <c r="H808" s="50"/>
    </row>
    <row r="809">
      <c r="D809" s="50"/>
      <c r="E809" s="50"/>
      <c r="F809" s="50"/>
      <c r="G809" s="50"/>
      <c r="H809" s="50"/>
    </row>
    <row r="810">
      <c r="D810" s="50"/>
      <c r="E810" s="50"/>
      <c r="F810" s="50"/>
      <c r="G810" s="50"/>
      <c r="H810" s="50"/>
    </row>
    <row r="811">
      <c r="D811" s="50"/>
      <c r="E811" s="50"/>
      <c r="F811" s="50"/>
      <c r="G811" s="50"/>
      <c r="H811" s="50"/>
    </row>
    <row r="812">
      <c r="D812" s="50"/>
      <c r="E812" s="50"/>
      <c r="F812" s="50"/>
      <c r="G812" s="50"/>
      <c r="H812" s="50"/>
    </row>
    <row r="813">
      <c r="D813" s="50"/>
      <c r="E813" s="50"/>
      <c r="F813" s="50"/>
      <c r="G813" s="50"/>
      <c r="H813" s="50"/>
    </row>
    <row r="814">
      <c r="D814" s="50"/>
      <c r="E814" s="50"/>
      <c r="F814" s="50"/>
      <c r="G814" s="50"/>
      <c r="H814" s="50"/>
    </row>
    <row r="815">
      <c r="D815" s="50"/>
      <c r="E815" s="50"/>
      <c r="F815" s="50"/>
      <c r="G815" s="50"/>
      <c r="H815" s="50"/>
    </row>
    <row r="816">
      <c r="D816" s="50"/>
      <c r="E816" s="50"/>
      <c r="F816" s="50"/>
      <c r="G816" s="50"/>
      <c r="H816" s="50"/>
    </row>
    <row r="817">
      <c r="D817" s="50"/>
      <c r="E817" s="50"/>
      <c r="F817" s="50"/>
      <c r="G817" s="50"/>
      <c r="H817" s="50"/>
    </row>
    <row r="818">
      <c r="D818" s="50"/>
      <c r="E818" s="50"/>
      <c r="F818" s="50"/>
      <c r="G818" s="50"/>
      <c r="H818" s="50"/>
    </row>
    <row r="819">
      <c r="D819" s="50"/>
      <c r="E819" s="50"/>
      <c r="F819" s="50"/>
      <c r="G819" s="50"/>
      <c r="H819" s="50"/>
    </row>
    <row r="820">
      <c r="D820" s="50"/>
      <c r="E820" s="50"/>
      <c r="F820" s="50"/>
      <c r="G820" s="50"/>
      <c r="H820" s="50"/>
    </row>
    <row r="821">
      <c r="D821" s="50"/>
      <c r="E821" s="50"/>
      <c r="F821" s="50"/>
      <c r="G821" s="50"/>
      <c r="H821" s="50"/>
    </row>
    <row r="822">
      <c r="D822" s="50"/>
      <c r="E822" s="50"/>
      <c r="F822" s="50"/>
      <c r="G822" s="50"/>
      <c r="H822" s="50"/>
    </row>
    <row r="823">
      <c r="D823" s="50"/>
      <c r="E823" s="50"/>
      <c r="F823" s="50"/>
      <c r="G823" s="50"/>
      <c r="H823" s="50"/>
    </row>
    <row r="824">
      <c r="D824" s="50"/>
      <c r="E824" s="50"/>
      <c r="F824" s="50"/>
      <c r="G824" s="50"/>
      <c r="H824" s="50"/>
    </row>
    <row r="825">
      <c r="D825" s="50"/>
      <c r="E825" s="50"/>
      <c r="F825" s="50"/>
      <c r="G825" s="50"/>
      <c r="H825" s="50"/>
    </row>
    <row r="826">
      <c r="D826" s="50"/>
      <c r="E826" s="50"/>
      <c r="F826" s="50"/>
      <c r="G826" s="50"/>
      <c r="H826" s="50"/>
    </row>
    <row r="827">
      <c r="D827" s="50"/>
      <c r="E827" s="50"/>
      <c r="F827" s="50"/>
      <c r="G827" s="50"/>
      <c r="H827" s="50"/>
    </row>
    <row r="828">
      <c r="D828" s="50"/>
      <c r="E828" s="50"/>
      <c r="F828" s="50"/>
      <c r="G828" s="50"/>
      <c r="H828" s="50"/>
    </row>
    <row r="829">
      <c r="D829" s="50"/>
      <c r="E829" s="50"/>
      <c r="F829" s="50"/>
      <c r="G829" s="50"/>
      <c r="H829" s="50"/>
    </row>
    <row r="830">
      <c r="D830" s="50"/>
      <c r="E830" s="50"/>
      <c r="F830" s="50"/>
      <c r="G830" s="50"/>
      <c r="H830" s="50"/>
    </row>
    <row r="831">
      <c r="D831" s="50"/>
      <c r="E831" s="50"/>
      <c r="F831" s="50"/>
      <c r="G831" s="50"/>
      <c r="H831" s="50"/>
    </row>
    <row r="832">
      <c r="D832" s="50"/>
      <c r="E832" s="50"/>
      <c r="F832" s="50"/>
      <c r="G832" s="50"/>
      <c r="H832" s="50"/>
    </row>
    <row r="833">
      <c r="D833" s="50"/>
      <c r="E833" s="50"/>
      <c r="F833" s="50"/>
      <c r="G833" s="50"/>
      <c r="H833" s="50"/>
    </row>
    <row r="834">
      <c r="D834" s="50"/>
      <c r="E834" s="50"/>
      <c r="F834" s="50"/>
      <c r="G834" s="50"/>
      <c r="H834" s="50"/>
    </row>
    <row r="835">
      <c r="D835" s="50"/>
      <c r="E835" s="50"/>
      <c r="F835" s="50"/>
      <c r="G835" s="50"/>
      <c r="H835" s="50"/>
    </row>
    <row r="836">
      <c r="D836" s="50"/>
      <c r="E836" s="50"/>
      <c r="F836" s="50"/>
      <c r="G836" s="50"/>
      <c r="H836" s="50"/>
    </row>
    <row r="837">
      <c r="D837" s="50"/>
      <c r="E837" s="50"/>
      <c r="F837" s="50"/>
      <c r="G837" s="50"/>
      <c r="H837" s="50"/>
    </row>
    <row r="838">
      <c r="D838" s="50"/>
      <c r="E838" s="50"/>
      <c r="F838" s="50"/>
      <c r="G838" s="50"/>
      <c r="H838" s="50"/>
    </row>
    <row r="839">
      <c r="D839" s="50"/>
      <c r="E839" s="50"/>
      <c r="F839" s="50"/>
      <c r="G839" s="50"/>
      <c r="H839" s="50"/>
    </row>
    <row r="840">
      <c r="D840" s="50"/>
      <c r="E840" s="50"/>
      <c r="F840" s="50"/>
      <c r="G840" s="50"/>
      <c r="H840" s="50"/>
    </row>
    <row r="841">
      <c r="D841" s="50"/>
      <c r="E841" s="50"/>
      <c r="F841" s="50"/>
      <c r="G841" s="50"/>
      <c r="H841" s="50"/>
    </row>
    <row r="842">
      <c r="D842" s="50"/>
      <c r="E842" s="50"/>
      <c r="F842" s="50"/>
      <c r="G842" s="50"/>
      <c r="H842" s="50"/>
    </row>
    <row r="843">
      <c r="D843" s="50"/>
      <c r="E843" s="50"/>
      <c r="F843" s="50"/>
      <c r="G843" s="50"/>
      <c r="H843" s="50"/>
    </row>
    <row r="844">
      <c r="D844" s="50"/>
      <c r="E844" s="50"/>
      <c r="F844" s="50"/>
      <c r="G844" s="50"/>
      <c r="H844" s="50"/>
    </row>
    <row r="845">
      <c r="D845" s="50"/>
      <c r="E845" s="50"/>
      <c r="F845" s="50"/>
      <c r="G845" s="50"/>
      <c r="H845" s="50"/>
    </row>
    <row r="846">
      <c r="D846" s="50"/>
      <c r="E846" s="50"/>
      <c r="F846" s="50"/>
      <c r="G846" s="50"/>
      <c r="H846" s="50"/>
    </row>
    <row r="847">
      <c r="D847" s="50"/>
      <c r="E847" s="50"/>
      <c r="F847" s="50"/>
      <c r="G847" s="50"/>
      <c r="H847" s="50"/>
    </row>
    <row r="848">
      <c r="D848" s="50"/>
      <c r="E848" s="50"/>
      <c r="F848" s="50"/>
      <c r="G848" s="50"/>
      <c r="H848" s="50"/>
    </row>
    <row r="849">
      <c r="D849" s="50"/>
      <c r="E849" s="50"/>
      <c r="F849" s="50"/>
      <c r="G849" s="50"/>
      <c r="H849" s="50"/>
    </row>
    <row r="850">
      <c r="D850" s="50"/>
      <c r="E850" s="50"/>
      <c r="F850" s="50"/>
      <c r="G850" s="50"/>
      <c r="H850" s="50"/>
    </row>
    <row r="851">
      <c r="D851" s="50"/>
      <c r="E851" s="50"/>
      <c r="F851" s="50"/>
      <c r="G851" s="50"/>
      <c r="H851" s="50"/>
    </row>
    <row r="852">
      <c r="D852" s="50"/>
      <c r="E852" s="50"/>
      <c r="F852" s="50"/>
      <c r="G852" s="50"/>
      <c r="H852" s="50"/>
    </row>
    <row r="853">
      <c r="D853" s="50"/>
      <c r="E853" s="50"/>
      <c r="F853" s="50"/>
      <c r="G853" s="50"/>
      <c r="H853" s="50"/>
    </row>
    <row r="854">
      <c r="D854" s="50"/>
      <c r="E854" s="50"/>
      <c r="F854" s="50"/>
      <c r="G854" s="50"/>
      <c r="H854" s="50"/>
    </row>
    <row r="855">
      <c r="D855" s="50"/>
      <c r="E855" s="50"/>
      <c r="F855" s="50"/>
      <c r="G855" s="50"/>
      <c r="H855" s="50"/>
    </row>
    <row r="856">
      <c r="D856" s="50"/>
      <c r="E856" s="50"/>
      <c r="F856" s="50"/>
      <c r="G856" s="50"/>
      <c r="H856" s="50"/>
    </row>
    <row r="857">
      <c r="D857" s="50"/>
      <c r="E857" s="50"/>
      <c r="F857" s="50"/>
      <c r="G857" s="50"/>
      <c r="H857" s="50"/>
    </row>
    <row r="858">
      <c r="D858" s="50"/>
      <c r="E858" s="50"/>
      <c r="F858" s="50"/>
      <c r="G858" s="50"/>
      <c r="H858" s="50"/>
    </row>
    <row r="859">
      <c r="D859" s="50"/>
      <c r="E859" s="50"/>
      <c r="F859" s="50"/>
      <c r="G859" s="50"/>
      <c r="H859" s="50"/>
    </row>
    <row r="860">
      <c r="D860" s="50"/>
      <c r="E860" s="50"/>
      <c r="F860" s="50"/>
      <c r="G860" s="50"/>
      <c r="H860" s="50"/>
    </row>
    <row r="861">
      <c r="D861" s="50"/>
      <c r="E861" s="50"/>
      <c r="F861" s="50"/>
      <c r="G861" s="50"/>
      <c r="H861" s="50"/>
    </row>
    <row r="862">
      <c r="D862" s="50"/>
      <c r="E862" s="50"/>
      <c r="F862" s="50"/>
      <c r="G862" s="50"/>
      <c r="H862" s="50"/>
    </row>
    <row r="863">
      <c r="D863" s="50"/>
      <c r="E863" s="50"/>
      <c r="F863" s="50"/>
      <c r="G863" s="50"/>
      <c r="H863" s="50"/>
    </row>
    <row r="864">
      <c r="D864" s="50"/>
      <c r="E864" s="50"/>
      <c r="F864" s="50"/>
      <c r="G864" s="50"/>
      <c r="H864" s="50"/>
    </row>
    <row r="865">
      <c r="D865" s="50"/>
      <c r="E865" s="50"/>
      <c r="F865" s="50"/>
      <c r="G865" s="50"/>
      <c r="H865" s="50"/>
    </row>
    <row r="866">
      <c r="D866" s="50"/>
      <c r="E866" s="50"/>
      <c r="F866" s="50"/>
      <c r="G866" s="50"/>
      <c r="H866" s="50"/>
    </row>
    <row r="867">
      <c r="D867" s="50"/>
      <c r="E867" s="50"/>
      <c r="F867" s="50"/>
      <c r="G867" s="50"/>
      <c r="H867" s="50"/>
    </row>
    <row r="868">
      <c r="D868" s="50"/>
      <c r="E868" s="50"/>
      <c r="F868" s="50"/>
      <c r="G868" s="50"/>
      <c r="H868" s="50"/>
    </row>
    <row r="869">
      <c r="D869" s="50"/>
      <c r="E869" s="50"/>
      <c r="F869" s="50"/>
      <c r="G869" s="50"/>
      <c r="H869" s="50"/>
    </row>
    <row r="870">
      <c r="D870" s="50"/>
      <c r="E870" s="50"/>
      <c r="F870" s="50"/>
      <c r="G870" s="50"/>
      <c r="H870" s="50"/>
    </row>
    <row r="871">
      <c r="D871" s="50"/>
      <c r="E871" s="50"/>
      <c r="F871" s="50"/>
      <c r="G871" s="50"/>
      <c r="H871" s="50"/>
    </row>
    <row r="872">
      <c r="D872" s="50"/>
      <c r="E872" s="50"/>
      <c r="F872" s="50"/>
      <c r="G872" s="50"/>
      <c r="H872" s="50"/>
    </row>
    <row r="873">
      <c r="D873" s="50"/>
      <c r="E873" s="50"/>
      <c r="F873" s="50"/>
      <c r="G873" s="50"/>
      <c r="H873" s="50"/>
    </row>
    <row r="874">
      <c r="D874" s="50"/>
      <c r="E874" s="50"/>
      <c r="F874" s="50"/>
      <c r="G874" s="50"/>
      <c r="H874" s="50"/>
    </row>
    <row r="875">
      <c r="D875" s="50"/>
      <c r="E875" s="50"/>
      <c r="F875" s="50"/>
      <c r="G875" s="50"/>
      <c r="H875" s="50"/>
    </row>
    <row r="876">
      <c r="D876" s="50"/>
      <c r="E876" s="50"/>
      <c r="F876" s="50"/>
      <c r="G876" s="50"/>
      <c r="H876" s="50"/>
    </row>
    <row r="877">
      <c r="D877" s="50"/>
      <c r="E877" s="50"/>
      <c r="F877" s="50"/>
      <c r="G877" s="50"/>
      <c r="H877" s="50"/>
    </row>
    <row r="878">
      <c r="D878" s="50"/>
      <c r="E878" s="50"/>
      <c r="F878" s="50"/>
      <c r="G878" s="50"/>
      <c r="H878" s="50"/>
    </row>
    <row r="879">
      <c r="D879" s="50"/>
      <c r="E879" s="50"/>
      <c r="F879" s="50"/>
      <c r="G879" s="50"/>
      <c r="H879" s="50"/>
    </row>
    <row r="880">
      <c r="D880" s="50"/>
      <c r="E880" s="50"/>
      <c r="F880" s="50"/>
      <c r="G880" s="50"/>
      <c r="H880" s="50"/>
    </row>
    <row r="881">
      <c r="D881" s="50"/>
      <c r="E881" s="50"/>
      <c r="F881" s="50"/>
      <c r="G881" s="50"/>
      <c r="H881" s="50"/>
    </row>
    <row r="882">
      <c r="D882" s="50"/>
      <c r="E882" s="50"/>
      <c r="F882" s="50"/>
      <c r="G882" s="50"/>
      <c r="H882" s="50"/>
    </row>
    <row r="883">
      <c r="D883" s="50"/>
      <c r="E883" s="50"/>
      <c r="F883" s="50"/>
      <c r="G883" s="50"/>
      <c r="H883" s="50"/>
    </row>
    <row r="884">
      <c r="D884" s="50"/>
      <c r="E884" s="50"/>
      <c r="F884" s="50"/>
      <c r="G884" s="50"/>
      <c r="H884" s="50"/>
    </row>
    <row r="885">
      <c r="D885" s="50"/>
      <c r="E885" s="50"/>
      <c r="F885" s="50"/>
      <c r="G885" s="50"/>
      <c r="H885" s="50"/>
    </row>
    <row r="886">
      <c r="D886" s="50"/>
      <c r="E886" s="50"/>
      <c r="F886" s="50"/>
      <c r="G886" s="50"/>
      <c r="H886" s="50"/>
    </row>
    <row r="887">
      <c r="D887" s="50"/>
      <c r="E887" s="50"/>
      <c r="F887" s="50"/>
      <c r="G887" s="50"/>
      <c r="H887" s="50"/>
    </row>
    <row r="888">
      <c r="D888" s="50"/>
      <c r="E888" s="50"/>
      <c r="F888" s="50"/>
      <c r="G888" s="50"/>
      <c r="H888" s="50"/>
    </row>
    <row r="889">
      <c r="D889" s="50"/>
      <c r="E889" s="50"/>
      <c r="F889" s="50"/>
      <c r="G889" s="50"/>
      <c r="H889" s="50"/>
    </row>
    <row r="890">
      <c r="D890" s="50"/>
      <c r="E890" s="50"/>
      <c r="F890" s="50"/>
      <c r="G890" s="50"/>
      <c r="H890" s="50"/>
    </row>
    <row r="891">
      <c r="D891" s="50"/>
      <c r="E891" s="50"/>
      <c r="F891" s="50"/>
      <c r="G891" s="50"/>
      <c r="H891" s="50"/>
    </row>
    <row r="892">
      <c r="D892" s="50"/>
      <c r="E892" s="50"/>
      <c r="F892" s="50"/>
      <c r="G892" s="50"/>
      <c r="H892" s="50"/>
    </row>
    <row r="893">
      <c r="D893" s="50"/>
      <c r="E893" s="50"/>
      <c r="F893" s="50"/>
      <c r="G893" s="50"/>
      <c r="H893" s="50"/>
    </row>
    <row r="894">
      <c r="D894" s="50"/>
      <c r="E894" s="50"/>
      <c r="F894" s="50"/>
      <c r="G894" s="50"/>
      <c r="H894" s="50"/>
    </row>
    <row r="895">
      <c r="D895" s="50"/>
      <c r="E895" s="50"/>
      <c r="F895" s="50"/>
      <c r="G895" s="50"/>
      <c r="H895" s="50"/>
    </row>
    <row r="896">
      <c r="D896" s="50"/>
      <c r="E896" s="50"/>
      <c r="F896" s="50"/>
      <c r="G896" s="50"/>
      <c r="H896" s="50"/>
    </row>
    <row r="897">
      <c r="D897" s="50"/>
      <c r="E897" s="50"/>
      <c r="F897" s="50"/>
      <c r="G897" s="50"/>
      <c r="H897" s="50"/>
    </row>
    <row r="898">
      <c r="D898" s="50"/>
      <c r="E898" s="50"/>
      <c r="F898" s="50"/>
      <c r="G898" s="50"/>
      <c r="H898" s="50"/>
    </row>
    <row r="899">
      <c r="D899" s="50"/>
      <c r="E899" s="50"/>
      <c r="F899" s="50"/>
      <c r="G899" s="50"/>
      <c r="H899" s="50"/>
    </row>
    <row r="900">
      <c r="D900" s="50"/>
      <c r="E900" s="50"/>
      <c r="F900" s="50"/>
      <c r="G900" s="50"/>
      <c r="H900" s="50"/>
    </row>
    <row r="901">
      <c r="D901" s="50"/>
      <c r="E901" s="50"/>
      <c r="F901" s="50"/>
      <c r="G901" s="50"/>
      <c r="H901" s="50"/>
    </row>
    <row r="902">
      <c r="D902" s="50"/>
      <c r="E902" s="50"/>
      <c r="F902" s="50"/>
      <c r="G902" s="50"/>
      <c r="H902" s="50"/>
    </row>
    <row r="903">
      <c r="D903" s="50"/>
      <c r="E903" s="50"/>
      <c r="F903" s="50"/>
      <c r="G903" s="50"/>
      <c r="H903" s="50"/>
    </row>
    <row r="904">
      <c r="D904" s="50"/>
      <c r="E904" s="50"/>
      <c r="F904" s="50"/>
      <c r="G904" s="50"/>
      <c r="H904" s="50"/>
    </row>
    <row r="905">
      <c r="D905" s="50"/>
      <c r="E905" s="50"/>
      <c r="F905" s="50"/>
      <c r="G905" s="50"/>
      <c r="H905" s="50"/>
    </row>
    <row r="906">
      <c r="D906" s="50"/>
      <c r="E906" s="50"/>
      <c r="F906" s="50"/>
      <c r="G906" s="50"/>
      <c r="H906" s="50"/>
    </row>
    <row r="907">
      <c r="D907" s="50"/>
      <c r="E907" s="50"/>
      <c r="F907" s="50"/>
      <c r="G907" s="50"/>
      <c r="H907" s="50"/>
    </row>
    <row r="908">
      <c r="D908" s="50"/>
      <c r="E908" s="50"/>
      <c r="F908" s="50"/>
      <c r="G908" s="50"/>
      <c r="H908" s="50"/>
    </row>
    <row r="909">
      <c r="D909" s="50"/>
      <c r="E909" s="50"/>
      <c r="F909" s="50"/>
      <c r="G909" s="50"/>
      <c r="H909" s="50"/>
    </row>
    <row r="910">
      <c r="D910" s="50"/>
      <c r="E910" s="50"/>
      <c r="F910" s="50"/>
      <c r="G910" s="50"/>
      <c r="H910" s="50"/>
    </row>
    <row r="911">
      <c r="D911" s="50"/>
      <c r="E911" s="50"/>
      <c r="F911" s="50"/>
      <c r="G911" s="50"/>
      <c r="H911" s="50"/>
    </row>
    <row r="912">
      <c r="D912" s="50"/>
      <c r="E912" s="50"/>
      <c r="F912" s="50"/>
      <c r="G912" s="50"/>
      <c r="H912" s="50"/>
    </row>
    <row r="913">
      <c r="D913" s="50"/>
      <c r="E913" s="50"/>
      <c r="F913" s="50"/>
      <c r="G913" s="50"/>
      <c r="H913" s="50"/>
    </row>
    <row r="914">
      <c r="D914" s="50"/>
      <c r="E914" s="50"/>
      <c r="F914" s="50"/>
      <c r="G914" s="50"/>
      <c r="H914" s="50"/>
    </row>
    <row r="915">
      <c r="D915" s="50"/>
      <c r="E915" s="50"/>
      <c r="F915" s="50"/>
      <c r="G915" s="50"/>
      <c r="H915" s="50"/>
    </row>
    <row r="916">
      <c r="D916" s="50"/>
      <c r="E916" s="50"/>
      <c r="F916" s="50"/>
      <c r="G916" s="50"/>
      <c r="H916" s="50"/>
    </row>
    <row r="917">
      <c r="D917" s="50"/>
      <c r="E917" s="50"/>
      <c r="F917" s="50"/>
      <c r="G917" s="50"/>
      <c r="H917" s="50"/>
    </row>
    <row r="918">
      <c r="D918" s="50"/>
      <c r="E918" s="50"/>
      <c r="F918" s="50"/>
      <c r="G918" s="50"/>
      <c r="H918" s="50"/>
    </row>
    <row r="919">
      <c r="D919" s="50"/>
      <c r="E919" s="50"/>
      <c r="F919" s="50"/>
      <c r="G919" s="50"/>
      <c r="H919" s="50"/>
    </row>
    <row r="920">
      <c r="D920" s="50"/>
      <c r="E920" s="50"/>
      <c r="F920" s="50"/>
      <c r="G920" s="50"/>
      <c r="H920" s="50"/>
    </row>
    <row r="921">
      <c r="D921" s="50"/>
      <c r="E921" s="50"/>
      <c r="F921" s="50"/>
      <c r="G921" s="50"/>
      <c r="H921" s="50"/>
    </row>
    <row r="922">
      <c r="D922" s="50"/>
      <c r="E922" s="50"/>
      <c r="F922" s="50"/>
      <c r="G922" s="50"/>
      <c r="H922" s="50"/>
    </row>
    <row r="923">
      <c r="D923" s="50"/>
      <c r="E923" s="50"/>
      <c r="F923" s="50"/>
      <c r="G923" s="50"/>
      <c r="H923" s="50"/>
    </row>
    <row r="924">
      <c r="D924" s="50"/>
      <c r="E924" s="50"/>
      <c r="F924" s="50"/>
      <c r="G924" s="50"/>
      <c r="H924" s="50"/>
    </row>
    <row r="925">
      <c r="D925" s="50"/>
      <c r="E925" s="50"/>
      <c r="F925" s="50"/>
      <c r="G925" s="50"/>
      <c r="H925" s="50"/>
    </row>
    <row r="926">
      <c r="D926" s="50"/>
      <c r="E926" s="50"/>
      <c r="F926" s="50"/>
      <c r="G926" s="50"/>
      <c r="H926" s="50"/>
    </row>
    <row r="927">
      <c r="D927" s="50"/>
      <c r="E927" s="50"/>
      <c r="F927" s="50"/>
      <c r="G927" s="50"/>
      <c r="H927" s="50"/>
    </row>
    <row r="928">
      <c r="D928" s="50"/>
      <c r="E928" s="50"/>
      <c r="F928" s="50"/>
      <c r="G928" s="50"/>
      <c r="H928" s="50"/>
    </row>
    <row r="929">
      <c r="D929" s="50"/>
      <c r="E929" s="50"/>
      <c r="F929" s="50"/>
      <c r="G929" s="50"/>
      <c r="H929" s="50"/>
    </row>
    <row r="930">
      <c r="D930" s="50"/>
      <c r="E930" s="50"/>
      <c r="F930" s="50"/>
      <c r="G930" s="50"/>
      <c r="H930" s="50"/>
    </row>
    <row r="931">
      <c r="D931" s="50"/>
      <c r="E931" s="50"/>
      <c r="F931" s="50"/>
      <c r="G931" s="50"/>
      <c r="H931" s="50"/>
    </row>
    <row r="932">
      <c r="D932" s="50"/>
      <c r="E932" s="50"/>
      <c r="F932" s="50"/>
      <c r="G932" s="50"/>
      <c r="H932" s="50"/>
    </row>
    <row r="933">
      <c r="D933" s="50"/>
      <c r="E933" s="50"/>
      <c r="F933" s="50"/>
      <c r="G933" s="50"/>
      <c r="H933" s="50"/>
    </row>
    <row r="934">
      <c r="D934" s="50"/>
      <c r="E934" s="50"/>
      <c r="F934" s="50"/>
      <c r="G934" s="50"/>
      <c r="H934" s="50"/>
    </row>
    <row r="935">
      <c r="D935" s="50"/>
      <c r="E935" s="50"/>
      <c r="F935" s="50"/>
      <c r="G935" s="50"/>
      <c r="H935" s="50"/>
    </row>
    <row r="936">
      <c r="D936" s="50"/>
      <c r="E936" s="50"/>
      <c r="F936" s="50"/>
      <c r="G936" s="50"/>
      <c r="H936" s="50"/>
    </row>
    <row r="937">
      <c r="D937" s="50"/>
      <c r="E937" s="50"/>
      <c r="F937" s="50"/>
      <c r="G937" s="50"/>
      <c r="H937" s="50"/>
    </row>
    <row r="938">
      <c r="D938" s="50"/>
      <c r="E938" s="50"/>
      <c r="F938" s="50"/>
      <c r="G938" s="50"/>
      <c r="H938" s="50"/>
    </row>
    <row r="939">
      <c r="D939" s="50"/>
      <c r="E939" s="50"/>
      <c r="F939" s="50"/>
      <c r="G939" s="50"/>
      <c r="H939" s="50"/>
    </row>
    <row r="940">
      <c r="D940" s="50"/>
      <c r="E940" s="50"/>
      <c r="F940" s="50"/>
      <c r="G940" s="50"/>
      <c r="H940" s="50"/>
    </row>
    <row r="941">
      <c r="D941" s="50"/>
      <c r="E941" s="50"/>
      <c r="F941" s="50"/>
      <c r="G941" s="50"/>
      <c r="H941" s="50"/>
    </row>
    <row r="942">
      <c r="D942" s="50"/>
      <c r="E942" s="50"/>
      <c r="F942" s="50"/>
      <c r="G942" s="50"/>
      <c r="H942" s="50"/>
    </row>
    <row r="943">
      <c r="D943" s="50"/>
      <c r="E943" s="50"/>
      <c r="F943" s="50"/>
      <c r="G943" s="50"/>
      <c r="H943" s="50"/>
    </row>
    <row r="944">
      <c r="D944" s="50"/>
      <c r="E944" s="50"/>
      <c r="F944" s="50"/>
      <c r="G944" s="50"/>
      <c r="H944" s="50"/>
    </row>
    <row r="945">
      <c r="D945" s="50"/>
      <c r="E945" s="50"/>
      <c r="F945" s="50"/>
      <c r="G945" s="50"/>
      <c r="H945" s="50"/>
    </row>
    <row r="946">
      <c r="D946" s="50"/>
      <c r="E946" s="50"/>
      <c r="F946" s="50"/>
      <c r="G946" s="50"/>
      <c r="H946" s="50"/>
    </row>
    <row r="947">
      <c r="D947" s="50"/>
      <c r="E947" s="50"/>
      <c r="F947" s="50"/>
      <c r="G947" s="50"/>
      <c r="H947" s="50"/>
    </row>
    <row r="948">
      <c r="D948" s="50"/>
      <c r="E948" s="50"/>
      <c r="F948" s="50"/>
      <c r="G948" s="50"/>
      <c r="H948" s="50"/>
    </row>
    <row r="949">
      <c r="D949" s="50"/>
      <c r="E949" s="50"/>
      <c r="F949" s="50"/>
      <c r="G949" s="50"/>
      <c r="H949" s="50"/>
    </row>
    <row r="950">
      <c r="D950" s="50"/>
      <c r="E950" s="50"/>
      <c r="F950" s="50"/>
      <c r="G950" s="50"/>
      <c r="H950" s="50"/>
    </row>
    <row r="951">
      <c r="D951" s="50"/>
      <c r="E951" s="50"/>
      <c r="F951" s="50"/>
      <c r="G951" s="50"/>
      <c r="H951" s="50"/>
    </row>
    <row r="952">
      <c r="D952" s="50"/>
      <c r="E952" s="50"/>
      <c r="F952" s="50"/>
      <c r="G952" s="50"/>
      <c r="H952" s="50"/>
    </row>
    <row r="953">
      <c r="D953" s="50"/>
      <c r="E953" s="50"/>
      <c r="F953" s="50"/>
      <c r="G953" s="50"/>
      <c r="H953" s="50"/>
    </row>
    <row r="954">
      <c r="D954" s="50"/>
      <c r="E954" s="50"/>
      <c r="F954" s="50"/>
      <c r="G954" s="50"/>
      <c r="H954" s="50"/>
    </row>
    <row r="955">
      <c r="D955" s="50"/>
      <c r="E955" s="50"/>
      <c r="F955" s="50"/>
      <c r="G955" s="50"/>
      <c r="H955" s="50"/>
    </row>
    <row r="956">
      <c r="D956" s="50"/>
      <c r="E956" s="50"/>
      <c r="F956" s="50"/>
      <c r="G956" s="50"/>
      <c r="H956" s="50"/>
    </row>
    <row r="957">
      <c r="D957" s="50"/>
      <c r="E957" s="50"/>
      <c r="F957" s="50"/>
      <c r="G957" s="50"/>
      <c r="H957" s="50"/>
    </row>
    <row r="958">
      <c r="D958" s="50"/>
      <c r="E958" s="50"/>
      <c r="F958" s="50"/>
      <c r="G958" s="50"/>
      <c r="H958" s="50"/>
    </row>
    <row r="959">
      <c r="D959" s="50"/>
      <c r="E959" s="50"/>
      <c r="F959" s="50"/>
      <c r="G959" s="50"/>
      <c r="H959" s="50"/>
    </row>
    <row r="960">
      <c r="D960" s="50"/>
      <c r="E960" s="50"/>
      <c r="F960" s="50"/>
      <c r="G960" s="50"/>
      <c r="H960" s="50"/>
    </row>
    <row r="961">
      <c r="D961" s="50"/>
      <c r="E961" s="50"/>
      <c r="F961" s="50"/>
      <c r="G961" s="50"/>
      <c r="H961" s="50"/>
    </row>
    <row r="962">
      <c r="D962" s="50"/>
      <c r="E962" s="50"/>
      <c r="F962" s="50"/>
      <c r="G962" s="50"/>
      <c r="H962" s="50"/>
    </row>
    <row r="963">
      <c r="D963" s="50"/>
      <c r="E963" s="50"/>
      <c r="F963" s="50"/>
      <c r="G963" s="50"/>
      <c r="H963" s="50"/>
    </row>
    <row r="964">
      <c r="D964" s="50"/>
      <c r="E964" s="50"/>
      <c r="F964" s="50"/>
      <c r="G964" s="50"/>
      <c r="H964" s="50"/>
    </row>
    <row r="965">
      <c r="D965" s="50"/>
      <c r="E965" s="50"/>
      <c r="F965" s="50"/>
      <c r="G965" s="50"/>
      <c r="H965" s="50"/>
    </row>
    <row r="966">
      <c r="D966" s="50"/>
      <c r="E966" s="50"/>
      <c r="F966" s="50"/>
      <c r="G966" s="50"/>
      <c r="H966" s="50"/>
    </row>
    <row r="967">
      <c r="D967" s="50"/>
      <c r="E967" s="50"/>
      <c r="F967" s="50"/>
      <c r="G967" s="50"/>
      <c r="H967" s="50"/>
    </row>
    <row r="968">
      <c r="D968" s="50"/>
      <c r="E968" s="50"/>
      <c r="F968" s="50"/>
      <c r="G968" s="50"/>
      <c r="H968" s="50"/>
    </row>
    <row r="969">
      <c r="D969" s="50"/>
      <c r="E969" s="50"/>
      <c r="F969" s="50"/>
      <c r="G969" s="50"/>
      <c r="H969" s="50"/>
    </row>
    <row r="970">
      <c r="D970" s="50"/>
      <c r="E970" s="50"/>
      <c r="F970" s="50"/>
      <c r="G970" s="50"/>
      <c r="H970" s="50"/>
    </row>
    <row r="971">
      <c r="D971" s="50"/>
      <c r="E971" s="50"/>
      <c r="F971" s="50"/>
      <c r="G971" s="50"/>
      <c r="H971" s="50"/>
    </row>
    <row r="972">
      <c r="D972" s="50"/>
      <c r="E972" s="50"/>
      <c r="F972" s="50"/>
      <c r="G972" s="50"/>
      <c r="H972" s="50"/>
    </row>
    <row r="973">
      <c r="D973" s="50"/>
      <c r="E973" s="50"/>
      <c r="F973" s="50"/>
      <c r="G973" s="50"/>
      <c r="H973" s="50"/>
    </row>
    <row r="974">
      <c r="D974" s="50"/>
      <c r="E974" s="50"/>
      <c r="F974" s="50"/>
      <c r="G974" s="50"/>
      <c r="H974" s="50"/>
    </row>
    <row r="975">
      <c r="D975" s="50"/>
      <c r="E975" s="50"/>
      <c r="F975" s="50"/>
      <c r="G975" s="50"/>
      <c r="H975" s="50"/>
    </row>
    <row r="976">
      <c r="D976" s="50"/>
      <c r="E976" s="50"/>
      <c r="F976" s="50"/>
      <c r="G976" s="50"/>
      <c r="H976" s="50"/>
    </row>
    <row r="977">
      <c r="D977" s="50"/>
      <c r="E977" s="50"/>
      <c r="F977" s="50"/>
      <c r="G977" s="50"/>
      <c r="H977" s="50"/>
    </row>
    <row r="978">
      <c r="D978" s="50"/>
      <c r="E978" s="50"/>
      <c r="F978" s="50"/>
      <c r="G978" s="50"/>
      <c r="H978" s="50"/>
    </row>
    <row r="979">
      <c r="D979" s="50"/>
      <c r="E979" s="50"/>
      <c r="F979" s="50"/>
      <c r="G979" s="50"/>
      <c r="H979" s="50"/>
    </row>
    <row r="980">
      <c r="D980" s="50"/>
      <c r="E980" s="50"/>
      <c r="F980" s="50"/>
      <c r="G980" s="50"/>
      <c r="H980" s="50"/>
    </row>
    <row r="981">
      <c r="D981" s="50"/>
      <c r="E981" s="50"/>
      <c r="F981" s="50"/>
      <c r="G981" s="50"/>
      <c r="H981" s="50"/>
    </row>
    <row r="982">
      <c r="D982" s="50"/>
      <c r="E982" s="50"/>
      <c r="F982" s="50"/>
      <c r="G982" s="50"/>
      <c r="H982" s="50"/>
    </row>
    <row r="983">
      <c r="D983" s="50"/>
      <c r="E983" s="50"/>
      <c r="F983" s="50"/>
      <c r="G983" s="50"/>
      <c r="H983" s="50"/>
    </row>
    <row r="984">
      <c r="D984" s="50"/>
      <c r="E984" s="50"/>
      <c r="F984" s="50"/>
      <c r="G984" s="50"/>
      <c r="H984" s="50"/>
    </row>
    <row r="985">
      <c r="D985" s="50"/>
      <c r="E985" s="50"/>
      <c r="F985" s="50"/>
      <c r="G985" s="50"/>
      <c r="H985" s="50"/>
    </row>
    <row r="986">
      <c r="D986" s="50"/>
      <c r="E986" s="50"/>
      <c r="F986" s="50"/>
      <c r="G986" s="50"/>
      <c r="H986" s="50"/>
    </row>
    <row r="987">
      <c r="D987" s="50"/>
      <c r="E987" s="50"/>
      <c r="F987" s="50"/>
      <c r="G987" s="50"/>
      <c r="H987" s="50"/>
    </row>
    <row r="988">
      <c r="D988" s="50"/>
      <c r="E988" s="50"/>
      <c r="F988" s="50"/>
      <c r="G988" s="50"/>
      <c r="H988" s="50"/>
    </row>
    <row r="989">
      <c r="D989" s="50"/>
      <c r="E989" s="50"/>
      <c r="F989" s="50"/>
      <c r="G989" s="50"/>
      <c r="H989" s="50"/>
    </row>
    <row r="990">
      <c r="D990" s="50"/>
      <c r="E990" s="50"/>
      <c r="F990" s="50"/>
      <c r="G990" s="50"/>
      <c r="H990" s="50"/>
    </row>
    <row r="991">
      <c r="D991" s="50"/>
      <c r="E991" s="50"/>
      <c r="F991" s="50"/>
      <c r="G991" s="50"/>
      <c r="H991" s="50"/>
    </row>
    <row r="992">
      <c r="D992" s="50"/>
      <c r="E992" s="50"/>
      <c r="F992" s="50"/>
      <c r="G992" s="50"/>
      <c r="H992" s="50"/>
    </row>
    <row r="993">
      <c r="D993" s="50"/>
      <c r="E993" s="50"/>
      <c r="F993" s="50"/>
      <c r="G993" s="50"/>
      <c r="H993" s="50"/>
    </row>
    <row r="994">
      <c r="D994" s="50"/>
      <c r="E994" s="50"/>
      <c r="F994" s="50"/>
      <c r="G994" s="50"/>
      <c r="H994" s="50"/>
    </row>
    <row r="995">
      <c r="D995" s="50"/>
      <c r="E995" s="50"/>
      <c r="F995" s="50"/>
      <c r="G995" s="50"/>
      <c r="H995" s="50"/>
    </row>
    <row r="996">
      <c r="D996" s="50"/>
      <c r="E996" s="50"/>
      <c r="F996" s="50"/>
      <c r="G996" s="50"/>
      <c r="H996" s="50"/>
    </row>
    <row r="997">
      <c r="D997" s="50"/>
      <c r="E997" s="50"/>
      <c r="F997" s="50"/>
      <c r="G997" s="50"/>
      <c r="H997" s="50"/>
    </row>
    <row r="998">
      <c r="D998" s="50"/>
      <c r="E998" s="50"/>
      <c r="F998" s="50"/>
      <c r="G998" s="50"/>
      <c r="H998" s="50"/>
    </row>
    <row r="999">
      <c r="D999" s="50"/>
      <c r="E999" s="50"/>
      <c r="F999" s="50"/>
      <c r="G999" s="50"/>
      <c r="H999" s="50"/>
    </row>
    <row r="1000">
      <c r="D1000" s="50"/>
      <c r="E1000" s="50"/>
      <c r="F1000" s="50"/>
      <c r="G1000" s="50"/>
      <c r="H1000" s="50"/>
    </row>
  </sheetData>
  <conditionalFormatting sqref="D1:H1000">
    <cfRule type="cellIs" dxfId="13" priority="1" operator="equal">
      <formula>"C"</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15.13"/>
    <col customWidth="1" min="3" max="3" width="25.0"/>
  </cols>
  <sheetData>
    <row r="1">
      <c r="A1" s="198" t="str">
        <f>IFERROR(__xludf.DUMMYFUNCTION("QUERY(DTrma!A:H, ""select A,B,C,D,E,F,G,H where C='sma'"", 1)"),"NP")</f>
        <v>NP</v>
      </c>
      <c r="B1" s="198" t="str">
        <f>IFERROR(__xludf.DUMMYFUNCTION("""COMPUTED_VALUE"""),"Nama")</f>
        <v>Nama</v>
      </c>
      <c r="C1" s="198" t="str">
        <f>IFERROR(__xludf.DUMMYFUNCTION("""COMPUTED_VALUE"""),"Jenjang")</f>
        <v>Jenjang</v>
      </c>
      <c r="D1" s="165" t="str">
        <f>IFERROR(__xludf.DUMMYFUNCTION("""COMPUTED_VALUE"""),"Al-Quran")</f>
        <v>Al-Quran</v>
      </c>
      <c r="E1" s="165" t="str">
        <f>IFERROR(__xludf.DUMMYFUNCTION("""COMPUTED_VALUE"""),"Akademik")</f>
        <v>Akademik</v>
      </c>
      <c r="F1" s="165" t="str">
        <f>IFERROR(__xludf.DUMMYFUNCTION("""COMPUTED_VALUE"""),"Kepribadian")</f>
        <v>Kepribadian</v>
      </c>
      <c r="G1" s="165" t="str">
        <f>IFERROR(__xludf.DUMMYFUNCTION("""COMPUTED_VALUE"""),"Kesesuaian")</f>
        <v>Kesesuaian</v>
      </c>
      <c r="H1" s="165" t="str">
        <f>IFERROR(__xludf.DUMMYFUNCTION("""COMPUTED_VALUE"""),"Kesiapan")</f>
        <v>Kesiapan</v>
      </c>
      <c r="I1" s="192"/>
      <c r="J1" s="192"/>
      <c r="K1" s="192"/>
      <c r="L1" s="192"/>
      <c r="M1" s="192"/>
      <c r="N1" s="192"/>
      <c r="O1" s="192"/>
      <c r="P1" s="192"/>
      <c r="Q1" s="192"/>
      <c r="R1" s="192"/>
      <c r="S1" s="192"/>
      <c r="T1" s="192"/>
      <c r="U1" s="192"/>
      <c r="V1" s="192"/>
      <c r="W1" s="192"/>
      <c r="X1" s="192"/>
      <c r="Y1" s="192"/>
      <c r="Z1" s="192"/>
    </row>
  </sheetData>
  <conditionalFormatting sqref="D1:H1">
    <cfRule type="cellIs" dxfId="13" priority="1" operator="equal">
      <formula>"C"</formula>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28.38"/>
    <col customWidth="1" min="3" max="3" width="29.38"/>
  </cols>
  <sheetData>
    <row r="1">
      <c r="A1" s="165" t="s">
        <v>90</v>
      </c>
      <c r="B1" s="165" t="s">
        <v>0</v>
      </c>
      <c r="C1" s="165" t="s">
        <v>99</v>
      </c>
    </row>
    <row r="2">
      <c r="A2" s="5" t="str">
        <f>IFERROR(__xludf.DUMMYFUNCTION("QUERY(R.H!A:U,""select A,B,O where O='DITERIMA DI IL'"", 0)"),"C250003")</f>
        <v>C250003</v>
      </c>
      <c r="B2" s="5" t="str">
        <f>IFERROR(__xludf.DUMMYFUNCTION("""COMPUTED_VALUE"""),"Hibban Hibaturrahman")</f>
        <v>Hibban Hibaturrahman</v>
      </c>
      <c r="C2" s="5" t="str">
        <f>IFERROR(__xludf.DUMMYFUNCTION("""COMPUTED_VALUE"""),"DITERIMA DI IL")</f>
        <v>DITERIMA DI IL</v>
      </c>
    </row>
    <row r="3">
      <c r="A3" s="5" t="str">
        <f>IFERROR(__xludf.DUMMYFUNCTION("""COMPUTED_VALUE"""),"C250004")</f>
        <v>C250004</v>
      </c>
      <c r="B3" s="5" t="str">
        <f>IFERROR(__xludf.DUMMYFUNCTION("""COMPUTED_VALUE"""),"abdurraman umar  ")</f>
        <v>abdurraman umar  </v>
      </c>
      <c r="C3" s="5" t="str">
        <f>IFERROR(__xludf.DUMMYFUNCTION("""COMPUTED_VALUE"""),"DITERIMA DI IL")</f>
        <v>DITERIMA DI IL</v>
      </c>
    </row>
    <row r="4">
      <c r="A4" s="5" t="str">
        <f>IFERROR(__xludf.DUMMYFUNCTION("""COMPUTED_VALUE"""),"C250009")</f>
        <v>C250009</v>
      </c>
      <c r="B4" s="5" t="str">
        <f>IFERROR(__xludf.DUMMYFUNCTION("""COMPUTED_VALUE"""),"nizar")</f>
        <v>nizar</v>
      </c>
      <c r="C4" s="5" t="str">
        <f>IFERROR(__xludf.DUMMYFUNCTION("""COMPUTED_VALUE"""),"DITERIMA DI IL")</f>
        <v>DITERIMA DI IL</v>
      </c>
    </row>
    <row r="5">
      <c r="A5" s="5" t="str">
        <f>IFERROR(__xludf.DUMMYFUNCTION("""COMPUTED_VALUE"""),"C250019")</f>
        <v>C250019</v>
      </c>
      <c r="B5" s="5" t="str">
        <f>IFERROR(__xludf.DUMMYFUNCTION("""COMPUTED_VALUE"""),"Muhammad Al Fathih")</f>
        <v>Muhammad Al Fathih</v>
      </c>
      <c r="C5" s="5" t="str">
        <f>IFERROR(__xludf.DUMMYFUNCTION("""COMPUTED_VALUE"""),"DITERIMA DI IL")</f>
        <v>DITERIMA DI IL</v>
      </c>
    </row>
    <row r="6">
      <c r="A6" s="5" t="str">
        <f>IFERROR(__xludf.DUMMYFUNCTION("""COMPUTED_VALUE"""),"C250020")</f>
        <v>C250020</v>
      </c>
      <c r="B6" s="5" t="str">
        <f>IFERROR(__xludf.DUMMYFUNCTION("""COMPUTED_VALUE"""),"ALIFADHILAH IRHAB HAUZAN")</f>
        <v>ALIFADHILAH IRHAB HAUZAN</v>
      </c>
      <c r="C6" s="5" t="str">
        <f>IFERROR(__xludf.DUMMYFUNCTION("""COMPUTED_VALUE"""),"DITERIMA DI IL")</f>
        <v>DITERIMA DI IL</v>
      </c>
    </row>
    <row r="7">
      <c r="A7" s="5" t="str">
        <f>IFERROR(__xludf.DUMMYFUNCTION("""COMPUTED_VALUE"""),"C250014")</f>
        <v>C250014</v>
      </c>
      <c r="B7" s="5" t="str">
        <f>IFERROR(__xludf.DUMMYFUNCTION("""COMPUTED_VALUE"""),"Adhyasta widyadhana")</f>
        <v>Adhyasta widyadhana</v>
      </c>
      <c r="C7" s="5" t="str">
        <f>IFERROR(__xludf.DUMMYFUNCTION("""COMPUTED_VALUE"""),"DITERIMA DI IL")</f>
        <v>DITERIMA DI IL</v>
      </c>
    </row>
    <row r="8">
      <c r="A8" s="5" t="str">
        <f>IFERROR(__xludf.DUMMYFUNCTION("""COMPUTED_VALUE"""),"C250016")</f>
        <v>C250016</v>
      </c>
      <c r="B8" s="5" t="str">
        <f>IFERROR(__xludf.DUMMYFUNCTION("""COMPUTED_VALUE"""),"FATHAN SYAHRIL SUSENO")</f>
        <v>FATHAN SYAHRIL SUSENO</v>
      </c>
      <c r="C8" s="5" t="str">
        <f>IFERROR(__xludf.DUMMYFUNCTION("""COMPUTED_VALUE"""),"DITERIMA DI IL")</f>
        <v>DITERIMA DI IL</v>
      </c>
    </row>
    <row r="9">
      <c r="A9" s="5" t="str">
        <f>IFERROR(__xludf.DUMMYFUNCTION("""COMPUTED_VALUE"""),"C250021")</f>
        <v>C250021</v>
      </c>
      <c r="B9" s="5" t="str">
        <f>IFERROR(__xludf.DUMMYFUNCTION("""COMPUTED_VALUE"""),"Aditya Afhan Dhiyaulhaq Ilham")</f>
        <v>Aditya Afhan Dhiyaulhaq Ilham</v>
      </c>
      <c r="C9" s="5" t="str">
        <f>IFERROR(__xludf.DUMMYFUNCTION("""COMPUTED_VALUE"""),"DITERIMA DI IL")</f>
        <v>DITERIMA DI IL</v>
      </c>
    </row>
    <row r="10">
      <c r="A10" s="5" t="str">
        <f>IFERROR(__xludf.DUMMYFUNCTION("""COMPUTED_VALUE"""),"C250023")</f>
        <v>C250023</v>
      </c>
      <c r="B10" s="5" t="str">
        <f>IFERROR(__xludf.DUMMYFUNCTION("""COMPUTED_VALUE"""),"Muhammad irsyad")</f>
        <v>Muhammad irsyad</v>
      </c>
      <c r="C10" s="5" t="str">
        <f>IFERROR(__xludf.DUMMYFUNCTION("""COMPUTED_VALUE"""),"DITERIMA DI IL")</f>
        <v>DITERIMA DI IL</v>
      </c>
    </row>
    <row r="11">
      <c r="A11" s="5" t="str">
        <f>IFERROR(__xludf.DUMMYFUNCTION("""COMPUTED_VALUE"""),"C250018")</f>
        <v>C250018</v>
      </c>
      <c r="B11" s="5" t="str">
        <f>IFERROR(__xludf.DUMMYFUNCTION("""COMPUTED_VALUE"""),"Kamil Iskandar ")</f>
        <v>Kamil Iskandar </v>
      </c>
      <c r="C11" s="5" t="str">
        <f>IFERROR(__xludf.DUMMYFUNCTION("""COMPUTED_VALUE"""),"DITERIMA DI IL")</f>
        <v>DITERIMA DI IL</v>
      </c>
    </row>
    <row r="12">
      <c r="A12" s="5" t="str">
        <f>IFERROR(__xludf.DUMMYFUNCTION("""COMPUTED_VALUE"""),"C250010")</f>
        <v>C250010</v>
      </c>
      <c r="B12" s="5" t="str">
        <f>IFERROR(__xludf.DUMMYFUNCTION("""COMPUTED_VALUE"""),"MUHAMMAD HILMAN ALFARISI ")</f>
        <v>MUHAMMAD HILMAN ALFARISI </v>
      </c>
      <c r="C12" s="5" t="str">
        <f>IFERROR(__xludf.DUMMYFUNCTION("""COMPUTED_VALUE"""),"DITERIMA DI IL")</f>
        <v>DITERIMA DI IL</v>
      </c>
    </row>
    <row r="13">
      <c r="A13" s="5" t="str">
        <f>IFERROR(__xludf.DUMMYFUNCTION("""COMPUTED_VALUE"""),"B250029")</f>
        <v>B250029</v>
      </c>
      <c r="B13" s="5" t="str">
        <f>IFERROR(__xludf.DUMMYFUNCTION("""COMPUTED_VALUE"""),"Naufal Taqqy hafifurrahman ")</f>
        <v>Naufal Taqqy hafifurrahman </v>
      </c>
      <c r="C13" s="5" t="str">
        <f>IFERROR(__xludf.DUMMYFUNCTION("""COMPUTED_VALUE"""),"DITERIMA DI IL")</f>
        <v>DITERIMA DI IL</v>
      </c>
    </row>
    <row r="14">
      <c r="A14" s="5" t="str">
        <f>IFERROR(__xludf.DUMMYFUNCTION("""COMPUTED_VALUE"""),"C250025")</f>
        <v>C250025</v>
      </c>
      <c r="B14" s="5" t="str">
        <f>IFERROR(__xludf.DUMMYFUNCTION("""COMPUTED_VALUE"""),"AL RAFFI HAFIZH IRHAM ZAKARIA")</f>
        <v>AL RAFFI HAFIZH IRHAM ZAKARIA</v>
      </c>
      <c r="C14" s="5" t="str">
        <f>IFERROR(__xludf.DUMMYFUNCTION("""COMPUTED_VALUE"""),"DITERIMA DI IL")</f>
        <v>DITERIMA DI IL</v>
      </c>
    </row>
    <row r="15">
      <c r="A15" s="5" t="str">
        <f>IFERROR(__xludf.DUMMYFUNCTION("""COMPUTED_VALUE"""),"C250013")</f>
        <v>C250013</v>
      </c>
      <c r="B15" s="5" t="str">
        <f>IFERROR(__xludf.DUMMYFUNCTION("""COMPUTED_VALUE""")," Muhammad ghaza")</f>
        <v> Muhammad ghaza</v>
      </c>
      <c r="C15" s="5" t="str">
        <f>IFERROR(__xludf.DUMMYFUNCTION("""COMPUTED_VALUE"""),"DITERIMA DI IL")</f>
        <v>DITERIMA DI IL</v>
      </c>
    </row>
    <row r="16">
      <c r="A16" s="5" t="str">
        <f>IFERROR(__xludf.DUMMYFUNCTION("""COMPUTED_VALUE"""),"C250022")</f>
        <v>C250022</v>
      </c>
      <c r="B16" s="5" t="str">
        <f>IFERROR(__xludf.DUMMYFUNCTION("""COMPUTED_VALUE"""),"Khubaib Abdul Aziz ")</f>
        <v>Khubaib Abdul Aziz </v>
      </c>
      <c r="C16" s="5" t="str">
        <f>IFERROR(__xludf.DUMMYFUNCTION("""COMPUTED_VALUE"""),"DITERIMA DI IL")</f>
        <v>DITERIMA DI IL</v>
      </c>
    </row>
    <row r="17">
      <c r="A17" s="11" t="str">
        <f>IFERROR(__xludf.DUMMYFUNCTION("""COMPUTED_VALUE"""),"C0000")</f>
        <v>C0000</v>
      </c>
      <c r="B17" s="11" t="str">
        <f>IFERROR(__xludf.DUMMYFUNCTION("""COMPUTED_VALUE"""),"Zakaria reynaldo")</f>
        <v>Zakaria reynaldo</v>
      </c>
      <c r="C17" s="11" t="str">
        <f>IFERROR(__xludf.DUMMYFUNCTION("""COMPUTED_VALUE"""),"DITERIMA DI IL")</f>
        <v>DITERIMA DI IL</v>
      </c>
      <c r="D17" s="182" t="s">
        <v>100</v>
      </c>
    </row>
    <row r="18">
      <c r="A18" s="5" t="str">
        <f>IFERROR(__xludf.DUMMYFUNCTION("""COMPUTED_VALUE"""),"C250024")</f>
        <v>C250024</v>
      </c>
      <c r="B18" s="5" t="str">
        <f>IFERROR(__xludf.DUMMYFUNCTION("""COMPUTED_VALUE"""),"ANANDA HEZKY FAYEZA")</f>
        <v>ANANDA HEZKY FAYEZA</v>
      </c>
      <c r="C18" s="5" t="str">
        <f>IFERROR(__xludf.DUMMYFUNCTION("""COMPUTED_VALUE"""),"DITERIMA DI IL")</f>
        <v>DITERIMA DI IL</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3.75"/>
    <col customWidth="1" min="3" max="4" width="6.63"/>
    <col customWidth="1" min="5" max="5" width="3.75"/>
  </cols>
  <sheetData>
    <row r="1">
      <c r="A1" s="193" t="s">
        <v>101</v>
      </c>
      <c r="B1" s="193">
        <v>154.0</v>
      </c>
      <c r="C1" s="193">
        <v>176.0</v>
      </c>
      <c r="E1" s="199"/>
      <c r="F1" s="50"/>
    </row>
    <row r="2">
      <c r="A2" s="193" t="s">
        <v>102</v>
      </c>
      <c r="B2" s="5">
        <f>IFERROR(__xludf.DUMMYFUNCTION("ROWS(FILTER(R.H!A:A,(R.H!D:D&lt;&gt;"""" )*(R.H!D:D&lt;&gt;""-"")*(R.H!E:E&lt;&gt;"""")*(R.H!E:E&lt;&gt;""-"")*(((R.H!G:G&lt;&gt;"""" )+(R.H!H:H&lt;&gt;"""")+(R.H!I:I&lt;&gt;""""))&gt;0)*(R.H!J:J&lt;&gt;"""" )*(R.H!J:J&lt;&gt;""-"")*(R.H!K:K&lt;&gt;"""")*(R.H!K:K&lt;&gt;""-"")*(R.H!L:L&lt;&gt;"""")*(R.H!L:L&lt;&gt;""-"")*(R.H!M:M&lt;&gt;"""&amp;""")*(R.H!M:M&lt;&gt;""-"")))"),108.0)</f>
        <v>108</v>
      </c>
      <c r="C2" s="200">
        <f>B2/B1</f>
        <v>0.7012987013</v>
      </c>
      <c r="E2" s="50"/>
      <c r="F2" s="50"/>
    </row>
    <row r="3">
      <c r="A3" s="201" t="s">
        <v>103</v>
      </c>
      <c r="B3" s="202">
        <f>COUNTA(MTsPa!B2:B1003)</f>
        <v>35</v>
      </c>
      <c r="C3" s="203">
        <f t="shared" ref="C3:C10" si="1">B3/$B$2</f>
        <v>0.3240740741</v>
      </c>
      <c r="E3" s="50"/>
      <c r="F3" s="50"/>
    </row>
    <row r="4">
      <c r="A4" s="201" t="s">
        <v>104</v>
      </c>
      <c r="B4" s="202">
        <f>COUNTA(MTsPi!B2:B1003)</f>
        <v>27</v>
      </c>
      <c r="C4" s="203">
        <f t="shared" si="1"/>
        <v>0.25</v>
      </c>
      <c r="E4" s="50"/>
      <c r="F4" s="50"/>
    </row>
    <row r="5">
      <c r="A5" s="201" t="s">
        <v>105</v>
      </c>
      <c r="B5" s="202">
        <f>COUNTA(ILPa!B2:B1003)</f>
        <v>10</v>
      </c>
      <c r="C5" s="203">
        <f t="shared" si="1"/>
        <v>0.09259259259</v>
      </c>
      <c r="E5" s="50"/>
      <c r="F5" s="50"/>
    </row>
    <row r="6">
      <c r="A6" s="201" t="s">
        <v>106</v>
      </c>
      <c r="B6" s="202">
        <f>COUNTA(ILPi!B2:B1003)</f>
        <v>11</v>
      </c>
      <c r="C6" s="203">
        <f t="shared" si="1"/>
        <v>0.1018518519</v>
      </c>
      <c r="E6" s="50"/>
      <c r="F6" s="50"/>
    </row>
    <row r="7">
      <c r="A7" s="201" t="s">
        <v>107</v>
      </c>
      <c r="B7" s="202">
        <f>COUNTA(SMA!B2:B1003)</f>
        <v>0</v>
      </c>
      <c r="C7" s="203">
        <f t="shared" si="1"/>
        <v>0</v>
      </c>
      <c r="E7" s="50"/>
      <c r="F7" s="50"/>
    </row>
    <row r="8">
      <c r="A8" s="204" t="s">
        <v>108</v>
      </c>
      <c r="B8" s="180">
        <f>COUNTA(Cdgn!B2:B1003)</f>
        <v>31</v>
      </c>
      <c r="C8" s="205">
        <f t="shared" si="1"/>
        <v>0.287037037</v>
      </c>
      <c r="E8" s="50"/>
      <c r="F8" s="50"/>
    </row>
    <row r="9">
      <c r="A9" s="206" t="s">
        <v>109</v>
      </c>
      <c r="B9" s="11">
        <f>COUNTA(TL!B3:B1003)</f>
        <v>20</v>
      </c>
      <c r="C9" s="207">
        <f t="shared" si="1"/>
        <v>0.1851851852</v>
      </c>
      <c r="E9" s="50"/>
      <c r="F9" s="50"/>
    </row>
    <row r="10">
      <c r="A10" s="208" t="s">
        <v>110</v>
      </c>
      <c r="B10" s="209">
        <f>COUNTA(IL!B2:B1003)</f>
        <v>17</v>
      </c>
      <c r="C10" s="210">
        <f t="shared" si="1"/>
        <v>0.1574074074</v>
      </c>
      <c r="D10" s="182"/>
      <c r="E10" s="50"/>
      <c r="F10" s="50"/>
    </row>
    <row r="11">
      <c r="A11" s="211"/>
      <c r="B11" s="211"/>
      <c r="C11" s="212"/>
      <c r="D11" s="182"/>
      <c r="E11" s="213"/>
      <c r="F11" s="50"/>
    </row>
    <row r="12">
      <c r="A12" s="182"/>
      <c r="B12" s="182"/>
      <c r="C12" s="182"/>
      <c r="D12" s="182"/>
      <c r="E12" s="213"/>
      <c r="F12" s="50"/>
    </row>
    <row r="13">
      <c r="A13" s="182" t="s">
        <v>111</v>
      </c>
      <c r="E13" s="213"/>
      <c r="F13" s="214"/>
    </row>
    <row r="14">
      <c r="A14" s="193" t="s">
        <v>81</v>
      </c>
      <c r="B14" s="215">
        <f>COUNTA(AQ!A2:A1003)</f>
        <v>154</v>
      </c>
      <c r="C14" s="21"/>
      <c r="D14" s="200">
        <f t="shared" ref="D14:D18" si="2">B14/$B$1</f>
        <v>1</v>
      </c>
      <c r="E14" s="213">
        <v>131.0</v>
      </c>
      <c r="F14" s="50"/>
    </row>
    <row r="15">
      <c r="A15" s="193" t="s">
        <v>112</v>
      </c>
      <c r="B15" s="215">
        <f>COUNTA(W.S!C2:C1003)</f>
        <v>152</v>
      </c>
      <c r="C15" s="21"/>
      <c r="D15" s="200">
        <f t="shared" si="2"/>
        <v>0.987012987</v>
      </c>
      <c r="E15" s="213">
        <v>130.0</v>
      </c>
      <c r="F15" s="50"/>
    </row>
    <row r="16">
      <c r="A16" s="193" t="s">
        <v>113</v>
      </c>
      <c r="B16" s="215">
        <f>COUNTA(W.O!B2:B1003)</f>
        <v>150</v>
      </c>
      <c r="C16" s="21"/>
      <c r="D16" s="200">
        <f t="shared" si="2"/>
        <v>0.974025974</v>
      </c>
      <c r="E16" s="213">
        <v>127.0</v>
      </c>
      <c r="F16" s="50"/>
    </row>
    <row r="17">
      <c r="A17" s="193" t="s">
        <v>97</v>
      </c>
      <c r="B17" s="215">
        <f>COUNTA(Kp!B4:B1003)</f>
        <v>157</v>
      </c>
      <c r="C17" s="21"/>
      <c r="D17" s="200">
        <f t="shared" si="2"/>
        <v>1.019480519</v>
      </c>
      <c r="E17" s="213">
        <v>122.0</v>
      </c>
      <c r="F17" s="50"/>
    </row>
    <row r="18">
      <c r="A18" s="193" t="s">
        <v>61</v>
      </c>
      <c r="B18" s="215">
        <f>COUNTA(Ks!B3:B1003)</f>
        <v>159</v>
      </c>
      <c r="C18" s="21"/>
      <c r="D18" s="200">
        <f t="shared" si="2"/>
        <v>1.032467532</v>
      </c>
      <c r="E18" s="213">
        <v>125.0</v>
      </c>
      <c r="F18" s="50"/>
    </row>
    <row r="19">
      <c r="A19" s="193" t="s">
        <v>56</v>
      </c>
      <c r="B19" s="5">
        <f>COUNTA(A.M!B4:B1003)</f>
        <v>97</v>
      </c>
      <c r="C19" s="216">
        <f>SUM(B19:B21)</f>
        <v>162</v>
      </c>
      <c r="D19" s="217">
        <f>C19/$B$1</f>
        <v>1.051948052</v>
      </c>
      <c r="E19" s="213">
        <v>81.0</v>
      </c>
      <c r="F19" s="50"/>
    </row>
    <row r="20">
      <c r="A20" s="193" t="s">
        <v>57</v>
      </c>
      <c r="B20" s="5">
        <f>COUNTA(A.IL!B3:B1003)</f>
        <v>43</v>
      </c>
      <c r="C20" s="218"/>
      <c r="D20" s="218"/>
      <c r="E20" s="213">
        <v>32.0</v>
      </c>
      <c r="F20" s="50"/>
    </row>
    <row r="21">
      <c r="A21" s="193" t="s">
        <v>58</v>
      </c>
      <c r="B21" s="5">
        <f>COUNTA(A.S!B3:B1003)</f>
        <v>22</v>
      </c>
      <c r="C21" s="64"/>
      <c r="D21" s="64"/>
      <c r="E21" s="213">
        <v>15.0</v>
      </c>
      <c r="F21" s="50"/>
    </row>
    <row r="22">
      <c r="E22" s="50"/>
      <c r="F22" s="50"/>
    </row>
    <row r="23">
      <c r="E23" s="50"/>
      <c r="F23" s="50"/>
    </row>
    <row r="24">
      <c r="E24" s="50"/>
      <c r="F24" s="50"/>
    </row>
    <row r="25">
      <c r="E25" s="50"/>
      <c r="F25" s="50"/>
    </row>
    <row r="26">
      <c r="E26" s="50"/>
      <c r="F26" s="50"/>
    </row>
    <row r="27">
      <c r="E27" s="50"/>
      <c r="F27" s="50"/>
    </row>
    <row r="28">
      <c r="E28" s="50"/>
      <c r="F28" s="50"/>
    </row>
    <row r="29">
      <c r="E29" s="50"/>
      <c r="F29" s="50"/>
    </row>
    <row r="30">
      <c r="E30" s="50"/>
      <c r="F30" s="50"/>
    </row>
    <row r="31">
      <c r="E31" s="50"/>
      <c r="F31" s="50"/>
    </row>
    <row r="32">
      <c r="E32" s="50"/>
      <c r="F32" s="50"/>
    </row>
    <row r="33">
      <c r="E33" s="50"/>
      <c r="F33" s="50"/>
    </row>
    <row r="34">
      <c r="E34" s="50"/>
      <c r="F34" s="50"/>
    </row>
    <row r="35">
      <c r="E35" s="50"/>
      <c r="F35" s="50"/>
    </row>
    <row r="36">
      <c r="E36" s="50"/>
      <c r="F36" s="50"/>
    </row>
    <row r="37">
      <c r="E37" s="50"/>
      <c r="F37" s="50"/>
    </row>
    <row r="38">
      <c r="E38" s="50"/>
      <c r="F38" s="50"/>
    </row>
    <row r="39">
      <c r="E39" s="50"/>
      <c r="F39" s="50"/>
    </row>
    <row r="40">
      <c r="E40" s="50"/>
      <c r="F40" s="50"/>
    </row>
    <row r="41">
      <c r="E41" s="50"/>
      <c r="F41" s="50"/>
    </row>
    <row r="42">
      <c r="E42" s="50"/>
      <c r="F42" s="50"/>
    </row>
    <row r="43">
      <c r="E43" s="50"/>
      <c r="F43" s="50"/>
    </row>
    <row r="44">
      <c r="E44" s="50"/>
      <c r="F44" s="50"/>
    </row>
    <row r="45">
      <c r="E45" s="50"/>
      <c r="F45" s="50"/>
    </row>
    <row r="46">
      <c r="E46" s="50"/>
      <c r="F46" s="50"/>
    </row>
    <row r="47">
      <c r="E47" s="50"/>
      <c r="F47" s="50"/>
    </row>
    <row r="48">
      <c r="E48" s="50"/>
      <c r="F48" s="50"/>
    </row>
    <row r="49">
      <c r="E49" s="50"/>
      <c r="F49" s="50"/>
    </row>
    <row r="50">
      <c r="E50" s="50"/>
      <c r="F50" s="50"/>
    </row>
    <row r="51">
      <c r="E51" s="50"/>
      <c r="F51" s="50"/>
    </row>
    <row r="52">
      <c r="E52" s="50"/>
      <c r="F52" s="50"/>
    </row>
    <row r="53">
      <c r="E53" s="50"/>
      <c r="F53" s="50"/>
    </row>
    <row r="54">
      <c r="E54" s="50"/>
      <c r="F54" s="50"/>
    </row>
    <row r="55">
      <c r="E55" s="50"/>
      <c r="F55" s="50"/>
    </row>
    <row r="56">
      <c r="E56" s="50"/>
      <c r="F56" s="50"/>
    </row>
    <row r="57">
      <c r="E57" s="50"/>
      <c r="F57" s="50"/>
    </row>
    <row r="58">
      <c r="E58" s="50"/>
      <c r="F58" s="50"/>
    </row>
    <row r="59">
      <c r="E59" s="50"/>
      <c r="F59" s="50"/>
    </row>
    <row r="60">
      <c r="E60" s="50"/>
      <c r="F60" s="50"/>
    </row>
    <row r="61">
      <c r="E61" s="50"/>
      <c r="F61" s="50"/>
    </row>
    <row r="62">
      <c r="E62" s="50"/>
      <c r="F62" s="50"/>
    </row>
    <row r="63">
      <c r="E63" s="50"/>
      <c r="F63" s="50"/>
    </row>
    <row r="64">
      <c r="E64" s="50"/>
      <c r="F64" s="50"/>
    </row>
    <row r="65">
      <c r="E65" s="50"/>
      <c r="F65" s="50"/>
    </row>
    <row r="66">
      <c r="E66" s="50"/>
      <c r="F66" s="50"/>
    </row>
    <row r="67">
      <c r="E67" s="50"/>
      <c r="F67" s="50"/>
    </row>
    <row r="68">
      <c r="E68" s="50"/>
      <c r="F68" s="50"/>
    </row>
    <row r="69">
      <c r="E69" s="50"/>
      <c r="F69" s="50"/>
    </row>
    <row r="70">
      <c r="E70" s="50"/>
      <c r="F70" s="50"/>
    </row>
    <row r="71">
      <c r="E71" s="50"/>
      <c r="F71" s="50"/>
    </row>
    <row r="72">
      <c r="E72" s="50"/>
      <c r="F72" s="50"/>
    </row>
    <row r="73">
      <c r="E73" s="50"/>
      <c r="F73" s="50"/>
    </row>
    <row r="74">
      <c r="E74" s="50"/>
      <c r="F74" s="50"/>
    </row>
    <row r="75">
      <c r="E75" s="50"/>
      <c r="F75" s="50"/>
    </row>
    <row r="76">
      <c r="E76" s="50"/>
      <c r="F76" s="50"/>
    </row>
    <row r="77">
      <c r="E77" s="50"/>
      <c r="F77" s="50"/>
    </row>
    <row r="78">
      <c r="E78" s="50"/>
      <c r="F78" s="50"/>
    </row>
    <row r="79">
      <c r="E79" s="50"/>
      <c r="F79" s="50"/>
    </row>
    <row r="80">
      <c r="E80" s="50"/>
      <c r="F80" s="50"/>
    </row>
    <row r="81">
      <c r="E81" s="50"/>
      <c r="F81" s="50"/>
    </row>
    <row r="82">
      <c r="E82" s="50"/>
      <c r="F82" s="50"/>
    </row>
    <row r="83">
      <c r="E83" s="50"/>
      <c r="F83" s="50"/>
    </row>
    <row r="84">
      <c r="E84" s="50"/>
      <c r="F84" s="50"/>
    </row>
    <row r="85">
      <c r="E85" s="50"/>
      <c r="F85" s="50"/>
    </row>
    <row r="86">
      <c r="E86" s="50"/>
      <c r="F86" s="50"/>
    </row>
    <row r="87">
      <c r="E87" s="50"/>
      <c r="F87" s="50"/>
    </row>
    <row r="88">
      <c r="E88" s="50"/>
      <c r="F88" s="50"/>
    </row>
    <row r="89">
      <c r="E89" s="50"/>
      <c r="F89" s="50"/>
    </row>
    <row r="90">
      <c r="E90" s="50"/>
      <c r="F90" s="50"/>
    </row>
    <row r="91">
      <c r="E91" s="50"/>
      <c r="F91" s="50"/>
    </row>
    <row r="92">
      <c r="E92" s="50"/>
      <c r="F92" s="50"/>
    </row>
    <row r="93">
      <c r="E93" s="50"/>
      <c r="F93" s="50"/>
    </row>
    <row r="94">
      <c r="E94" s="50"/>
      <c r="F94" s="50"/>
    </row>
    <row r="95">
      <c r="E95" s="50"/>
      <c r="F95" s="50"/>
    </row>
    <row r="96">
      <c r="E96" s="50"/>
      <c r="F96" s="50"/>
    </row>
    <row r="97">
      <c r="E97" s="50"/>
      <c r="F97" s="50"/>
    </row>
    <row r="98">
      <c r="E98" s="50"/>
      <c r="F98" s="50"/>
    </row>
    <row r="99">
      <c r="E99" s="50"/>
      <c r="F99" s="50"/>
    </row>
    <row r="100">
      <c r="E100" s="50"/>
      <c r="F100" s="50"/>
    </row>
    <row r="101">
      <c r="E101" s="50"/>
      <c r="F101" s="50"/>
    </row>
    <row r="102">
      <c r="E102" s="50"/>
      <c r="F102" s="50"/>
    </row>
    <row r="103">
      <c r="E103" s="50"/>
      <c r="F103" s="50"/>
    </row>
    <row r="104">
      <c r="E104" s="50"/>
      <c r="F104" s="50"/>
    </row>
    <row r="105">
      <c r="E105" s="50"/>
      <c r="F105" s="50"/>
    </row>
    <row r="106">
      <c r="E106" s="50"/>
      <c r="F106" s="50"/>
    </row>
    <row r="107">
      <c r="E107" s="50"/>
      <c r="F107" s="50"/>
    </row>
    <row r="108">
      <c r="E108" s="50"/>
      <c r="F108" s="50"/>
    </row>
    <row r="109">
      <c r="E109" s="50"/>
      <c r="F109" s="50"/>
    </row>
    <row r="110">
      <c r="E110" s="50"/>
      <c r="F110" s="50"/>
    </row>
    <row r="111">
      <c r="E111" s="50"/>
      <c r="F111" s="50"/>
    </row>
    <row r="112">
      <c r="E112" s="50"/>
      <c r="F112" s="50"/>
    </row>
    <row r="113">
      <c r="E113" s="50"/>
      <c r="F113" s="50"/>
    </row>
    <row r="114">
      <c r="E114" s="50"/>
      <c r="F114" s="50"/>
    </row>
    <row r="115">
      <c r="E115" s="50"/>
      <c r="F115" s="50"/>
    </row>
    <row r="116">
      <c r="E116" s="50"/>
      <c r="F116" s="50"/>
    </row>
    <row r="117">
      <c r="E117" s="50"/>
      <c r="F117" s="50"/>
    </row>
    <row r="118">
      <c r="E118" s="50"/>
      <c r="F118" s="50"/>
    </row>
    <row r="119">
      <c r="E119" s="50"/>
      <c r="F119" s="50"/>
    </row>
    <row r="120">
      <c r="E120" s="50"/>
      <c r="F120" s="50"/>
    </row>
    <row r="121">
      <c r="E121" s="50"/>
      <c r="F121" s="50"/>
    </row>
    <row r="122">
      <c r="E122" s="50"/>
      <c r="F122" s="50"/>
    </row>
    <row r="123">
      <c r="E123" s="50"/>
      <c r="F123" s="50"/>
    </row>
    <row r="124">
      <c r="E124" s="50"/>
      <c r="F124" s="50"/>
    </row>
    <row r="125">
      <c r="E125" s="50"/>
      <c r="F125" s="50"/>
    </row>
    <row r="126">
      <c r="E126" s="50"/>
      <c r="F126" s="50"/>
    </row>
    <row r="127">
      <c r="E127" s="50"/>
      <c r="F127" s="50"/>
    </row>
    <row r="128">
      <c r="E128" s="50"/>
      <c r="F128" s="50"/>
    </row>
    <row r="129">
      <c r="E129" s="50"/>
      <c r="F129" s="50"/>
    </row>
    <row r="130">
      <c r="E130" s="50"/>
      <c r="F130" s="50"/>
    </row>
    <row r="131">
      <c r="E131" s="50"/>
      <c r="F131" s="50"/>
    </row>
    <row r="132">
      <c r="E132" s="50"/>
      <c r="F132" s="50"/>
    </row>
    <row r="133">
      <c r="E133" s="50"/>
      <c r="F133" s="50"/>
    </row>
    <row r="134">
      <c r="E134" s="50"/>
      <c r="F134" s="50"/>
    </row>
    <row r="135">
      <c r="E135" s="50"/>
      <c r="F135" s="50"/>
    </row>
    <row r="136">
      <c r="E136" s="50"/>
      <c r="F136" s="50"/>
    </row>
    <row r="137">
      <c r="E137" s="50"/>
      <c r="F137" s="50"/>
    </row>
    <row r="138">
      <c r="E138" s="50"/>
      <c r="F138" s="50"/>
    </row>
    <row r="139">
      <c r="E139" s="50"/>
      <c r="F139" s="50"/>
    </row>
    <row r="140">
      <c r="E140" s="50"/>
      <c r="F140" s="50"/>
    </row>
    <row r="141">
      <c r="E141" s="50"/>
      <c r="F141" s="50"/>
    </row>
    <row r="142">
      <c r="E142" s="50"/>
      <c r="F142" s="50"/>
    </row>
    <row r="143">
      <c r="E143" s="50"/>
      <c r="F143" s="50"/>
    </row>
    <row r="144">
      <c r="E144" s="50"/>
      <c r="F144" s="50"/>
    </row>
    <row r="145">
      <c r="E145" s="50"/>
      <c r="F145" s="50"/>
    </row>
    <row r="146">
      <c r="E146" s="50"/>
      <c r="F146" s="50"/>
    </row>
    <row r="147">
      <c r="E147" s="50"/>
      <c r="F147" s="50"/>
    </row>
    <row r="148">
      <c r="E148" s="50"/>
      <c r="F148" s="50"/>
    </row>
    <row r="149">
      <c r="E149" s="50"/>
      <c r="F149" s="50"/>
    </row>
    <row r="150">
      <c r="E150" s="50"/>
      <c r="F150" s="50"/>
    </row>
    <row r="151">
      <c r="E151" s="50"/>
      <c r="F151" s="50"/>
    </row>
    <row r="152">
      <c r="E152" s="50"/>
      <c r="F152" s="50"/>
    </row>
    <row r="153">
      <c r="E153" s="50"/>
      <c r="F153" s="50"/>
    </row>
    <row r="154">
      <c r="E154" s="50"/>
      <c r="F154" s="50"/>
    </row>
    <row r="155">
      <c r="E155" s="50"/>
      <c r="F155" s="50"/>
    </row>
    <row r="156">
      <c r="E156" s="50"/>
      <c r="F156" s="50"/>
    </row>
    <row r="157">
      <c r="E157" s="50"/>
      <c r="F157" s="50"/>
    </row>
    <row r="158">
      <c r="E158" s="50"/>
      <c r="F158" s="50"/>
    </row>
    <row r="159">
      <c r="E159" s="50"/>
      <c r="F159" s="50"/>
    </row>
    <row r="160">
      <c r="E160" s="50"/>
      <c r="F160" s="50"/>
    </row>
    <row r="161">
      <c r="E161" s="50"/>
      <c r="F161" s="50"/>
    </row>
    <row r="162">
      <c r="E162" s="50"/>
      <c r="F162" s="50"/>
    </row>
    <row r="163">
      <c r="E163" s="50"/>
      <c r="F163" s="50"/>
    </row>
    <row r="164">
      <c r="E164" s="50"/>
      <c r="F164" s="50"/>
    </row>
    <row r="165">
      <c r="E165" s="50"/>
      <c r="F165" s="50"/>
    </row>
    <row r="166">
      <c r="E166" s="50"/>
      <c r="F166" s="50"/>
    </row>
    <row r="167">
      <c r="E167" s="50"/>
      <c r="F167" s="50"/>
    </row>
    <row r="168">
      <c r="E168" s="50"/>
      <c r="F168" s="50"/>
    </row>
    <row r="169">
      <c r="E169" s="50"/>
      <c r="F169" s="50"/>
    </row>
    <row r="170">
      <c r="E170" s="50"/>
      <c r="F170" s="50"/>
    </row>
    <row r="171">
      <c r="E171" s="50"/>
      <c r="F171" s="50"/>
    </row>
    <row r="172">
      <c r="E172" s="50"/>
      <c r="F172" s="50"/>
    </row>
    <row r="173">
      <c r="E173" s="50"/>
      <c r="F173" s="50"/>
    </row>
    <row r="174">
      <c r="E174" s="50"/>
      <c r="F174" s="50"/>
    </row>
    <row r="175">
      <c r="E175" s="50"/>
      <c r="F175" s="50"/>
    </row>
    <row r="176">
      <c r="E176" s="50"/>
      <c r="F176" s="50"/>
    </row>
    <row r="177">
      <c r="E177" s="50"/>
      <c r="F177" s="50"/>
    </row>
    <row r="178">
      <c r="E178" s="50"/>
      <c r="F178" s="50"/>
    </row>
    <row r="179">
      <c r="E179" s="50"/>
      <c r="F179" s="50"/>
    </row>
    <row r="180">
      <c r="E180" s="50"/>
      <c r="F180" s="50"/>
    </row>
    <row r="181">
      <c r="E181" s="50"/>
      <c r="F181" s="50"/>
    </row>
    <row r="182">
      <c r="E182" s="50"/>
      <c r="F182" s="50"/>
    </row>
    <row r="183">
      <c r="E183" s="50"/>
      <c r="F183" s="50"/>
    </row>
    <row r="184">
      <c r="E184" s="50"/>
      <c r="F184" s="50"/>
    </row>
    <row r="185">
      <c r="E185" s="50"/>
      <c r="F185" s="50"/>
    </row>
    <row r="186">
      <c r="E186" s="50"/>
      <c r="F186" s="50"/>
    </row>
    <row r="187">
      <c r="E187" s="50"/>
      <c r="F187" s="50"/>
    </row>
    <row r="188">
      <c r="E188" s="50"/>
      <c r="F188" s="50"/>
    </row>
    <row r="189">
      <c r="E189" s="50"/>
      <c r="F189" s="50"/>
    </row>
    <row r="190">
      <c r="E190" s="50"/>
      <c r="F190" s="50"/>
    </row>
    <row r="191">
      <c r="E191" s="50"/>
      <c r="F191" s="50"/>
    </row>
    <row r="192">
      <c r="E192" s="50"/>
      <c r="F192" s="50"/>
    </row>
    <row r="193">
      <c r="E193" s="50"/>
      <c r="F193" s="50"/>
    </row>
    <row r="194">
      <c r="E194" s="50"/>
      <c r="F194" s="50"/>
    </row>
    <row r="195">
      <c r="E195" s="50"/>
      <c r="F195" s="50"/>
    </row>
    <row r="196">
      <c r="E196" s="50"/>
      <c r="F196" s="50"/>
    </row>
    <row r="197">
      <c r="E197" s="50"/>
      <c r="F197" s="50"/>
    </row>
    <row r="198">
      <c r="E198" s="50"/>
      <c r="F198" s="50"/>
    </row>
    <row r="199">
      <c r="E199" s="50"/>
      <c r="F199" s="50"/>
    </row>
    <row r="200">
      <c r="E200" s="50"/>
      <c r="F200" s="50"/>
    </row>
    <row r="201">
      <c r="E201" s="50"/>
      <c r="F201" s="50"/>
    </row>
    <row r="202">
      <c r="E202" s="50"/>
      <c r="F202" s="50"/>
    </row>
    <row r="203">
      <c r="E203" s="50"/>
      <c r="F203" s="50"/>
    </row>
    <row r="204">
      <c r="E204" s="50"/>
      <c r="F204" s="50"/>
    </row>
    <row r="205">
      <c r="E205" s="50"/>
      <c r="F205" s="50"/>
    </row>
    <row r="206">
      <c r="E206" s="50"/>
      <c r="F206" s="50"/>
    </row>
    <row r="207">
      <c r="E207" s="50"/>
      <c r="F207" s="50"/>
    </row>
    <row r="208">
      <c r="E208" s="50"/>
      <c r="F208" s="50"/>
    </row>
    <row r="209">
      <c r="E209" s="50"/>
      <c r="F209" s="50"/>
    </row>
    <row r="210">
      <c r="E210" s="50"/>
      <c r="F210" s="50"/>
    </row>
    <row r="211">
      <c r="E211" s="50"/>
      <c r="F211" s="50"/>
    </row>
    <row r="212">
      <c r="E212" s="50"/>
      <c r="F212" s="50"/>
    </row>
    <row r="213">
      <c r="E213" s="50"/>
      <c r="F213" s="50"/>
    </row>
    <row r="214">
      <c r="E214" s="50"/>
      <c r="F214" s="50"/>
    </row>
    <row r="215">
      <c r="E215" s="50"/>
      <c r="F215" s="50"/>
    </row>
    <row r="216">
      <c r="E216" s="50"/>
      <c r="F216" s="50"/>
    </row>
    <row r="217">
      <c r="E217" s="50"/>
      <c r="F217" s="50"/>
    </row>
    <row r="218">
      <c r="E218" s="50"/>
      <c r="F218" s="50"/>
    </row>
    <row r="219">
      <c r="E219" s="50"/>
      <c r="F219" s="50"/>
    </row>
    <row r="220">
      <c r="E220" s="50"/>
      <c r="F220" s="50"/>
    </row>
    <row r="221">
      <c r="E221" s="50"/>
      <c r="F221" s="50"/>
    </row>
    <row r="222">
      <c r="E222" s="50"/>
      <c r="F222" s="50"/>
    </row>
    <row r="223">
      <c r="E223" s="50"/>
      <c r="F223" s="50"/>
    </row>
    <row r="224">
      <c r="E224" s="50"/>
      <c r="F224" s="50"/>
    </row>
    <row r="225">
      <c r="E225" s="50"/>
      <c r="F225" s="50"/>
    </row>
    <row r="226">
      <c r="E226" s="50"/>
      <c r="F226" s="50"/>
    </row>
    <row r="227">
      <c r="E227" s="50"/>
      <c r="F227" s="50"/>
    </row>
    <row r="228">
      <c r="E228" s="50"/>
      <c r="F228" s="50"/>
    </row>
    <row r="229">
      <c r="E229" s="50"/>
      <c r="F229" s="50"/>
    </row>
    <row r="230">
      <c r="E230" s="50"/>
      <c r="F230" s="50"/>
    </row>
    <row r="231">
      <c r="E231" s="50"/>
      <c r="F231" s="50"/>
    </row>
    <row r="232">
      <c r="E232" s="50"/>
      <c r="F232" s="50"/>
    </row>
    <row r="233">
      <c r="E233" s="50"/>
      <c r="F233" s="50"/>
    </row>
    <row r="234">
      <c r="E234" s="50"/>
      <c r="F234" s="50"/>
    </row>
    <row r="235">
      <c r="E235" s="50"/>
      <c r="F235" s="50"/>
    </row>
    <row r="236">
      <c r="E236" s="50"/>
      <c r="F236" s="50"/>
    </row>
    <row r="237">
      <c r="E237" s="50"/>
      <c r="F237" s="50"/>
    </row>
    <row r="238">
      <c r="E238" s="50"/>
      <c r="F238" s="50"/>
    </row>
    <row r="239">
      <c r="E239" s="50"/>
      <c r="F239" s="50"/>
    </row>
    <row r="240">
      <c r="E240" s="50"/>
      <c r="F240" s="50"/>
    </row>
    <row r="241">
      <c r="E241" s="50"/>
      <c r="F241" s="50"/>
    </row>
    <row r="242">
      <c r="E242" s="50"/>
      <c r="F242" s="50"/>
    </row>
    <row r="243">
      <c r="E243" s="50"/>
      <c r="F243" s="50"/>
    </row>
    <row r="244">
      <c r="E244" s="50"/>
      <c r="F244" s="50"/>
    </row>
    <row r="245">
      <c r="E245" s="50"/>
      <c r="F245" s="50"/>
    </row>
    <row r="246">
      <c r="E246" s="50"/>
      <c r="F246" s="50"/>
    </row>
    <row r="247">
      <c r="E247" s="50"/>
      <c r="F247" s="50"/>
    </row>
    <row r="248">
      <c r="E248" s="50"/>
      <c r="F248" s="50"/>
    </row>
    <row r="249">
      <c r="E249" s="50"/>
      <c r="F249" s="50"/>
    </row>
    <row r="250">
      <c r="E250" s="50"/>
      <c r="F250" s="50"/>
    </row>
    <row r="251">
      <c r="E251" s="50"/>
      <c r="F251" s="50"/>
    </row>
    <row r="252">
      <c r="E252" s="50"/>
      <c r="F252" s="50"/>
    </row>
    <row r="253">
      <c r="E253" s="50"/>
      <c r="F253" s="50"/>
    </row>
    <row r="254">
      <c r="E254" s="50"/>
      <c r="F254" s="50"/>
    </row>
    <row r="255">
      <c r="E255" s="50"/>
      <c r="F255" s="50"/>
    </row>
    <row r="256">
      <c r="E256" s="50"/>
      <c r="F256" s="50"/>
    </row>
    <row r="257">
      <c r="E257" s="50"/>
      <c r="F257" s="50"/>
    </row>
    <row r="258">
      <c r="E258" s="50"/>
      <c r="F258" s="50"/>
    </row>
    <row r="259">
      <c r="E259" s="50"/>
      <c r="F259" s="50"/>
    </row>
    <row r="260">
      <c r="E260" s="50"/>
      <c r="F260" s="50"/>
    </row>
    <row r="261">
      <c r="E261" s="50"/>
      <c r="F261" s="50"/>
    </row>
    <row r="262">
      <c r="E262" s="50"/>
      <c r="F262" s="50"/>
    </row>
    <row r="263">
      <c r="E263" s="50"/>
      <c r="F263" s="50"/>
    </row>
    <row r="264">
      <c r="E264" s="50"/>
      <c r="F264" s="50"/>
    </row>
    <row r="265">
      <c r="E265" s="50"/>
      <c r="F265" s="50"/>
    </row>
    <row r="266">
      <c r="E266" s="50"/>
      <c r="F266" s="50"/>
    </row>
    <row r="267">
      <c r="E267" s="50"/>
      <c r="F267" s="50"/>
    </row>
    <row r="268">
      <c r="E268" s="50"/>
      <c r="F268" s="50"/>
    </row>
    <row r="269">
      <c r="E269" s="50"/>
      <c r="F269" s="50"/>
    </row>
    <row r="270">
      <c r="E270" s="50"/>
      <c r="F270" s="50"/>
    </row>
    <row r="271">
      <c r="E271" s="50"/>
      <c r="F271" s="50"/>
    </row>
    <row r="272">
      <c r="E272" s="50"/>
      <c r="F272" s="50"/>
    </row>
    <row r="273">
      <c r="E273" s="50"/>
      <c r="F273" s="50"/>
    </row>
    <row r="274">
      <c r="E274" s="50"/>
      <c r="F274" s="50"/>
    </row>
    <row r="275">
      <c r="E275" s="50"/>
      <c r="F275" s="50"/>
    </row>
    <row r="276">
      <c r="E276" s="50"/>
      <c r="F276" s="50"/>
    </row>
    <row r="277">
      <c r="E277" s="50"/>
      <c r="F277" s="50"/>
    </row>
    <row r="278">
      <c r="E278" s="50"/>
      <c r="F278" s="50"/>
    </row>
    <row r="279">
      <c r="E279" s="50"/>
      <c r="F279" s="50"/>
    </row>
    <row r="280">
      <c r="E280" s="50"/>
      <c r="F280" s="50"/>
    </row>
    <row r="281">
      <c r="E281" s="50"/>
      <c r="F281" s="50"/>
    </row>
    <row r="282">
      <c r="E282" s="50"/>
      <c r="F282" s="50"/>
    </row>
    <row r="283">
      <c r="E283" s="50"/>
      <c r="F283" s="50"/>
    </row>
    <row r="284">
      <c r="E284" s="50"/>
      <c r="F284" s="50"/>
    </row>
    <row r="285">
      <c r="E285" s="50"/>
      <c r="F285" s="50"/>
    </row>
    <row r="286">
      <c r="E286" s="50"/>
      <c r="F286" s="50"/>
    </row>
    <row r="287">
      <c r="E287" s="50"/>
      <c r="F287" s="50"/>
    </row>
    <row r="288">
      <c r="E288" s="50"/>
      <c r="F288" s="50"/>
    </row>
    <row r="289">
      <c r="E289" s="50"/>
      <c r="F289" s="50"/>
    </row>
    <row r="290">
      <c r="E290" s="50"/>
      <c r="F290" s="50"/>
    </row>
    <row r="291">
      <c r="E291" s="50"/>
      <c r="F291" s="50"/>
    </row>
    <row r="292">
      <c r="E292" s="50"/>
      <c r="F292" s="50"/>
    </row>
    <row r="293">
      <c r="E293" s="50"/>
      <c r="F293" s="50"/>
    </row>
    <row r="294">
      <c r="E294" s="50"/>
      <c r="F294" s="50"/>
    </row>
    <row r="295">
      <c r="E295" s="50"/>
      <c r="F295" s="50"/>
    </row>
    <row r="296">
      <c r="E296" s="50"/>
      <c r="F296" s="50"/>
    </row>
    <row r="297">
      <c r="E297" s="50"/>
      <c r="F297" s="50"/>
    </row>
    <row r="298">
      <c r="E298" s="50"/>
      <c r="F298" s="50"/>
    </row>
    <row r="299">
      <c r="E299" s="50"/>
      <c r="F299" s="50"/>
    </row>
    <row r="300">
      <c r="E300" s="50"/>
      <c r="F300" s="50"/>
    </row>
    <row r="301">
      <c r="E301" s="50"/>
      <c r="F301" s="50"/>
    </row>
    <row r="302">
      <c r="E302" s="50"/>
      <c r="F302" s="50"/>
    </row>
    <row r="303">
      <c r="E303" s="50"/>
      <c r="F303" s="50"/>
    </row>
    <row r="304">
      <c r="E304" s="50"/>
      <c r="F304" s="50"/>
    </row>
    <row r="305">
      <c r="E305" s="50"/>
      <c r="F305" s="50"/>
    </row>
    <row r="306">
      <c r="E306" s="50"/>
      <c r="F306" s="50"/>
    </row>
    <row r="307">
      <c r="E307" s="50"/>
      <c r="F307" s="50"/>
    </row>
    <row r="308">
      <c r="E308" s="50"/>
      <c r="F308" s="50"/>
    </row>
    <row r="309">
      <c r="E309" s="50"/>
      <c r="F309" s="50"/>
    </row>
    <row r="310">
      <c r="E310" s="50"/>
      <c r="F310" s="50"/>
    </row>
    <row r="311">
      <c r="E311" s="50"/>
      <c r="F311" s="50"/>
    </row>
    <row r="312">
      <c r="E312" s="50"/>
      <c r="F312" s="50"/>
    </row>
    <row r="313">
      <c r="E313" s="50"/>
      <c r="F313" s="50"/>
    </row>
    <row r="314">
      <c r="E314" s="50"/>
      <c r="F314" s="50"/>
    </row>
    <row r="315">
      <c r="E315" s="50"/>
      <c r="F315" s="50"/>
    </row>
    <row r="316">
      <c r="E316" s="50"/>
      <c r="F316" s="50"/>
    </row>
    <row r="317">
      <c r="E317" s="50"/>
      <c r="F317" s="50"/>
    </row>
    <row r="318">
      <c r="E318" s="50"/>
      <c r="F318" s="50"/>
    </row>
    <row r="319">
      <c r="E319" s="50"/>
      <c r="F319" s="50"/>
    </row>
    <row r="320">
      <c r="E320" s="50"/>
      <c r="F320" s="50"/>
    </row>
    <row r="321">
      <c r="E321" s="50"/>
      <c r="F321" s="50"/>
    </row>
    <row r="322">
      <c r="E322" s="50"/>
      <c r="F322" s="50"/>
    </row>
    <row r="323">
      <c r="E323" s="50"/>
      <c r="F323" s="50"/>
    </row>
    <row r="324">
      <c r="E324" s="50"/>
      <c r="F324" s="50"/>
    </row>
    <row r="325">
      <c r="E325" s="50"/>
      <c r="F325" s="50"/>
    </row>
    <row r="326">
      <c r="E326" s="50"/>
      <c r="F326" s="50"/>
    </row>
    <row r="327">
      <c r="E327" s="50"/>
      <c r="F327" s="50"/>
    </row>
    <row r="328">
      <c r="E328" s="50"/>
      <c r="F328" s="50"/>
    </row>
    <row r="329">
      <c r="E329" s="50"/>
      <c r="F329" s="50"/>
    </row>
    <row r="330">
      <c r="E330" s="50"/>
      <c r="F330" s="50"/>
    </row>
    <row r="331">
      <c r="E331" s="50"/>
      <c r="F331" s="50"/>
    </row>
    <row r="332">
      <c r="E332" s="50"/>
      <c r="F332" s="50"/>
    </row>
    <row r="333">
      <c r="E333" s="50"/>
      <c r="F333" s="50"/>
    </row>
    <row r="334">
      <c r="E334" s="50"/>
      <c r="F334" s="50"/>
    </row>
    <row r="335">
      <c r="E335" s="50"/>
      <c r="F335" s="50"/>
    </row>
    <row r="336">
      <c r="E336" s="50"/>
      <c r="F336" s="50"/>
    </row>
    <row r="337">
      <c r="E337" s="50"/>
      <c r="F337" s="50"/>
    </row>
    <row r="338">
      <c r="E338" s="50"/>
      <c r="F338" s="50"/>
    </row>
    <row r="339">
      <c r="E339" s="50"/>
      <c r="F339" s="50"/>
    </row>
    <row r="340">
      <c r="E340" s="50"/>
      <c r="F340" s="50"/>
    </row>
    <row r="341">
      <c r="E341" s="50"/>
      <c r="F341" s="50"/>
    </row>
    <row r="342">
      <c r="E342" s="50"/>
      <c r="F342" s="50"/>
    </row>
    <row r="343">
      <c r="E343" s="50"/>
      <c r="F343" s="50"/>
    </row>
    <row r="344">
      <c r="E344" s="50"/>
      <c r="F344" s="50"/>
    </row>
    <row r="345">
      <c r="E345" s="50"/>
      <c r="F345" s="50"/>
    </row>
    <row r="346">
      <c r="E346" s="50"/>
      <c r="F346" s="50"/>
    </row>
    <row r="347">
      <c r="E347" s="50"/>
      <c r="F347" s="50"/>
    </row>
    <row r="348">
      <c r="E348" s="50"/>
      <c r="F348" s="50"/>
    </row>
    <row r="349">
      <c r="E349" s="50"/>
      <c r="F349" s="50"/>
    </row>
    <row r="350">
      <c r="E350" s="50"/>
      <c r="F350" s="50"/>
    </row>
    <row r="351">
      <c r="E351" s="50"/>
      <c r="F351" s="50"/>
    </row>
    <row r="352">
      <c r="E352" s="50"/>
      <c r="F352" s="50"/>
    </row>
    <row r="353">
      <c r="E353" s="50"/>
      <c r="F353" s="50"/>
    </row>
    <row r="354">
      <c r="E354" s="50"/>
      <c r="F354" s="50"/>
    </row>
    <row r="355">
      <c r="E355" s="50"/>
      <c r="F355" s="50"/>
    </row>
    <row r="356">
      <c r="E356" s="50"/>
      <c r="F356" s="50"/>
    </row>
    <row r="357">
      <c r="E357" s="50"/>
      <c r="F357" s="50"/>
    </row>
    <row r="358">
      <c r="E358" s="50"/>
      <c r="F358" s="50"/>
    </row>
    <row r="359">
      <c r="E359" s="50"/>
      <c r="F359" s="50"/>
    </row>
    <row r="360">
      <c r="E360" s="50"/>
      <c r="F360" s="50"/>
    </row>
    <row r="361">
      <c r="E361" s="50"/>
      <c r="F361" s="50"/>
    </row>
    <row r="362">
      <c r="E362" s="50"/>
      <c r="F362" s="50"/>
    </row>
    <row r="363">
      <c r="E363" s="50"/>
      <c r="F363" s="50"/>
    </row>
    <row r="364">
      <c r="E364" s="50"/>
      <c r="F364" s="50"/>
    </row>
    <row r="365">
      <c r="E365" s="50"/>
      <c r="F365" s="50"/>
    </row>
    <row r="366">
      <c r="E366" s="50"/>
      <c r="F366" s="50"/>
    </row>
    <row r="367">
      <c r="E367" s="50"/>
      <c r="F367" s="50"/>
    </row>
    <row r="368">
      <c r="E368" s="50"/>
      <c r="F368" s="50"/>
    </row>
    <row r="369">
      <c r="E369" s="50"/>
      <c r="F369" s="50"/>
    </row>
    <row r="370">
      <c r="E370" s="50"/>
      <c r="F370" s="50"/>
    </row>
    <row r="371">
      <c r="E371" s="50"/>
      <c r="F371" s="50"/>
    </row>
    <row r="372">
      <c r="E372" s="50"/>
      <c r="F372" s="50"/>
    </row>
    <row r="373">
      <c r="E373" s="50"/>
      <c r="F373" s="50"/>
    </row>
    <row r="374">
      <c r="E374" s="50"/>
      <c r="F374" s="50"/>
    </row>
    <row r="375">
      <c r="E375" s="50"/>
      <c r="F375" s="50"/>
    </row>
    <row r="376">
      <c r="E376" s="50"/>
      <c r="F376" s="50"/>
    </row>
    <row r="377">
      <c r="E377" s="50"/>
      <c r="F377" s="50"/>
    </row>
    <row r="378">
      <c r="E378" s="50"/>
      <c r="F378" s="50"/>
    </row>
    <row r="379">
      <c r="E379" s="50"/>
      <c r="F379" s="50"/>
    </row>
    <row r="380">
      <c r="E380" s="50"/>
      <c r="F380" s="50"/>
    </row>
    <row r="381">
      <c r="E381" s="50"/>
      <c r="F381" s="50"/>
    </row>
    <row r="382">
      <c r="E382" s="50"/>
      <c r="F382" s="50"/>
    </row>
    <row r="383">
      <c r="E383" s="50"/>
      <c r="F383" s="50"/>
    </row>
    <row r="384">
      <c r="E384" s="50"/>
      <c r="F384" s="50"/>
    </row>
    <row r="385">
      <c r="E385" s="50"/>
      <c r="F385" s="50"/>
    </row>
    <row r="386">
      <c r="E386" s="50"/>
      <c r="F386" s="50"/>
    </row>
    <row r="387">
      <c r="E387" s="50"/>
      <c r="F387" s="50"/>
    </row>
    <row r="388">
      <c r="E388" s="50"/>
      <c r="F388" s="50"/>
    </row>
    <row r="389">
      <c r="E389" s="50"/>
      <c r="F389" s="50"/>
    </row>
    <row r="390">
      <c r="E390" s="50"/>
      <c r="F390" s="50"/>
    </row>
    <row r="391">
      <c r="E391" s="50"/>
      <c r="F391" s="50"/>
    </row>
    <row r="392">
      <c r="E392" s="50"/>
      <c r="F392" s="50"/>
    </row>
    <row r="393">
      <c r="E393" s="50"/>
      <c r="F393" s="50"/>
    </row>
    <row r="394">
      <c r="E394" s="50"/>
      <c r="F394" s="50"/>
    </row>
    <row r="395">
      <c r="E395" s="50"/>
      <c r="F395" s="50"/>
    </row>
    <row r="396">
      <c r="E396" s="50"/>
      <c r="F396" s="50"/>
    </row>
    <row r="397">
      <c r="E397" s="50"/>
      <c r="F397" s="50"/>
    </row>
    <row r="398">
      <c r="E398" s="50"/>
      <c r="F398" s="50"/>
    </row>
    <row r="399">
      <c r="E399" s="50"/>
      <c r="F399" s="50"/>
    </row>
    <row r="400">
      <c r="E400" s="50"/>
      <c r="F400" s="50"/>
    </row>
    <row r="401">
      <c r="E401" s="50"/>
      <c r="F401" s="50"/>
    </row>
    <row r="402">
      <c r="E402" s="50"/>
      <c r="F402" s="50"/>
    </row>
    <row r="403">
      <c r="E403" s="50"/>
      <c r="F403" s="50"/>
    </row>
    <row r="404">
      <c r="E404" s="50"/>
      <c r="F404" s="50"/>
    </row>
    <row r="405">
      <c r="E405" s="50"/>
      <c r="F405" s="50"/>
    </row>
    <row r="406">
      <c r="E406" s="50"/>
      <c r="F406" s="50"/>
    </row>
    <row r="407">
      <c r="E407" s="50"/>
      <c r="F407" s="50"/>
    </row>
    <row r="408">
      <c r="E408" s="50"/>
      <c r="F408" s="50"/>
    </row>
    <row r="409">
      <c r="E409" s="50"/>
      <c r="F409" s="50"/>
    </row>
    <row r="410">
      <c r="E410" s="50"/>
      <c r="F410" s="50"/>
    </row>
    <row r="411">
      <c r="E411" s="50"/>
      <c r="F411" s="50"/>
    </row>
    <row r="412">
      <c r="E412" s="50"/>
      <c r="F412" s="50"/>
    </row>
    <row r="413">
      <c r="E413" s="50"/>
      <c r="F413" s="50"/>
    </row>
    <row r="414">
      <c r="E414" s="50"/>
      <c r="F414" s="50"/>
    </row>
    <row r="415">
      <c r="E415" s="50"/>
      <c r="F415" s="50"/>
    </row>
    <row r="416">
      <c r="E416" s="50"/>
      <c r="F416" s="50"/>
    </row>
    <row r="417">
      <c r="E417" s="50"/>
      <c r="F417" s="50"/>
    </row>
    <row r="418">
      <c r="E418" s="50"/>
      <c r="F418" s="50"/>
    </row>
    <row r="419">
      <c r="E419" s="50"/>
      <c r="F419" s="50"/>
    </row>
    <row r="420">
      <c r="E420" s="50"/>
      <c r="F420" s="50"/>
    </row>
    <row r="421">
      <c r="E421" s="50"/>
      <c r="F421" s="50"/>
    </row>
    <row r="422">
      <c r="E422" s="50"/>
      <c r="F422" s="50"/>
    </row>
    <row r="423">
      <c r="E423" s="50"/>
      <c r="F423" s="50"/>
    </row>
    <row r="424">
      <c r="E424" s="50"/>
      <c r="F424" s="50"/>
    </row>
    <row r="425">
      <c r="E425" s="50"/>
      <c r="F425" s="50"/>
    </row>
    <row r="426">
      <c r="E426" s="50"/>
      <c r="F426" s="50"/>
    </row>
    <row r="427">
      <c r="E427" s="50"/>
      <c r="F427" s="50"/>
    </row>
    <row r="428">
      <c r="E428" s="50"/>
      <c r="F428" s="50"/>
    </row>
    <row r="429">
      <c r="E429" s="50"/>
      <c r="F429" s="50"/>
    </row>
    <row r="430">
      <c r="E430" s="50"/>
      <c r="F430" s="50"/>
    </row>
    <row r="431">
      <c r="E431" s="50"/>
      <c r="F431" s="50"/>
    </row>
    <row r="432">
      <c r="E432" s="50"/>
      <c r="F432" s="50"/>
    </row>
    <row r="433">
      <c r="E433" s="50"/>
      <c r="F433" s="50"/>
    </row>
    <row r="434">
      <c r="E434" s="50"/>
      <c r="F434" s="50"/>
    </row>
    <row r="435">
      <c r="E435" s="50"/>
      <c r="F435" s="50"/>
    </row>
    <row r="436">
      <c r="E436" s="50"/>
      <c r="F436" s="50"/>
    </row>
    <row r="437">
      <c r="E437" s="50"/>
      <c r="F437" s="50"/>
    </row>
    <row r="438">
      <c r="E438" s="50"/>
      <c r="F438" s="50"/>
    </row>
    <row r="439">
      <c r="E439" s="50"/>
      <c r="F439" s="50"/>
    </row>
    <row r="440">
      <c r="E440" s="50"/>
      <c r="F440" s="50"/>
    </row>
    <row r="441">
      <c r="E441" s="50"/>
      <c r="F441" s="50"/>
    </row>
    <row r="442">
      <c r="E442" s="50"/>
      <c r="F442" s="50"/>
    </row>
    <row r="443">
      <c r="E443" s="50"/>
      <c r="F443" s="50"/>
    </row>
    <row r="444">
      <c r="E444" s="50"/>
      <c r="F444" s="50"/>
    </row>
    <row r="445">
      <c r="E445" s="50"/>
      <c r="F445" s="50"/>
    </row>
    <row r="446">
      <c r="E446" s="50"/>
      <c r="F446" s="50"/>
    </row>
    <row r="447">
      <c r="E447" s="50"/>
      <c r="F447" s="50"/>
    </row>
    <row r="448">
      <c r="E448" s="50"/>
      <c r="F448" s="50"/>
    </row>
    <row r="449">
      <c r="E449" s="50"/>
      <c r="F449" s="50"/>
    </row>
    <row r="450">
      <c r="E450" s="50"/>
      <c r="F450" s="50"/>
    </row>
    <row r="451">
      <c r="E451" s="50"/>
      <c r="F451" s="50"/>
    </row>
    <row r="452">
      <c r="E452" s="50"/>
      <c r="F452" s="50"/>
    </row>
    <row r="453">
      <c r="E453" s="50"/>
      <c r="F453" s="50"/>
    </row>
    <row r="454">
      <c r="E454" s="50"/>
      <c r="F454" s="50"/>
    </row>
    <row r="455">
      <c r="E455" s="50"/>
      <c r="F455" s="50"/>
    </row>
    <row r="456">
      <c r="E456" s="50"/>
      <c r="F456" s="50"/>
    </row>
    <row r="457">
      <c r="E457" s="50"/>
      <c r="F457" s="50"/>
    </row>
    <row r="458">
      <c r="E458" s="50"/>
      <c r="F458" s="50"/>
    </row>
    <row r="459">
      <c r="E459" s="50"/>
      <c r="F459" s="50"/>
    </row>
    <row r="460">
      <c r="E460" s="50"/>
      <c r="F460" s="50"/>
    </row>
    <row r="461">
      <c r="E461" s="50"/>
      <c r="F461" s="50"/>
    </row>
    <row r="462">
      <c r="E462" s="50"/>
      <c r="F462" s="50"/>
    </row>
    <row r="463">
      <c r="E463" s="50"/>
      <c r="F463" s="50"/>
    </row>
    <row r="464">
      <c r="E464" s="50"/>
      <c r="F464" s="50"/>
    </row>
    <row r="465">
      <c r="E465" s="50"/>
      <c r="F465" s="50"/>
    </row>
    <row r="466">
      <c r="E466" s="50"/>
      <c r="F466" s="50"/>
    </row>
    <row r="467">
      <c r="E467" s="50"/>
      <c r="F467" s="50"/>
    </row>
    <row r="468">
      <c r="E468" s="50"/>
      <c r="F468" s="50"/>
    </row>
    <row r="469">
      <c r="E469" s="50"/>
      <c r="F469" s="50"/>
    </row>
    <row r="470">
      <c r="E470" s="50"/>
      <c r="F470" s="50"/>
    </row>
    <row r="471">
      <c r="E471" s="50"/>
      <c r="F471" s="50"/>
    </row>
    <row r="472">
      <c r="E472" s="50"/>
      <c r="F472" s="50"/>
    </row>
    <row r="473">
      <c r="E473" s="50"/>
      <c r="F473" s="50"/>
    </row>
    <row r="474">
      <c r="E474" s="50"/>
      <c r="F474" s="50"/>
    </row>
    <row r="475">
      <c r="E475" s="50"/>
      <c r="F475" s="50"/>
    </row>
    <row r="476">
      <c r="E476" s="50"/>
      <c r="F476" s="50"/>
    </row>
    <row r="477">
      <c r="E477" s="50"/>
      <c r="F477" s="50"/>
    </row>
    <row r="478">
      <c r="E478" s="50"/>
      <c r="F478" s="50"/>
    </row>
    <row r="479">
      <c r="E479" s="50"/>
      <c r="F479" s="50"/>
    </row>
    <row r="480">
      <c r="E480" s="50"/>
      <c r="F480" s="50"/>
    </row>
    <row r="481">
      <c r="E481" s="50"/>
      <c r="F481" s="50"/>
    </row>
    <row r="482">
      <c r="E482" s="50"/>
      <c r="F482" s="50"/>
    </row>
    <row r="483">
      <c r="E483" s="50"/>
      <c r="F483" s="50"/>
    </row>
    <row r="484">
      <c r="E484" s="50"/>
      <c r="F484" s="50"/>
    </row>
    <row r="485">
      <c r="E485" s="50"/>
      <c r="F485" s="50"/>
    </row>
    <row r="486">
      <c r="E486" s="50"/>
      <c r="F486" s="50"/>
    </row>
    <row r="487">
      <c r="E487" s="50"/>
      <c r="F487" s="50"/>
    </row>
    <row r="488">
      <c r="E488" s="50"/>
      <c r="F488" s="50"/>
    </row>
    <row r="489">
      <c r="E489" s="50"/>
      <c r="F489" s="50"/>
    </row>
    <row r="490">
      <c r="E490" s="50"/>
      <c r="F490" s="50"/>
    </row>
    <row r="491">
      <c r="E491" s="50"/>
      <c r="F491" s="50"/>
    </row>
    <row r="492">
      <c r="E492" s="50"/>
      <c r="F492" s="50"/>
    </row>
    <row r="493">
      <c r="E493" s="50"/>
      <c r="F493" s="50"/>
    </row>
    <row r="494">
      <c r="E494" s="50"/>
      <c r="F494" s="50"/>
    </row>
    <row r="495">
      <c r="E495" s="50"/>
      <c r="F495" s="50"/>
    </row>
    <row r="496">
      <c r="E496" s="50"/>
      <c r="F496" s="50"/>
    </row>
    <row r="497">
      <c r="E497" s="50"/>
      <c r="F497" s="50"/>
    </row>
    <row r="498">
      <c r="E498" s="50"/>
      <c r="F498" s="50"/>
    </row>
    <row r="499">
      <c r="E499" s="50"/>
      <c r="F499" s="50"/>
    </row>
    <row r="500">
      <c r="E500" s="50"/>
      <c r="F500" s="50"/>
    </row>
    <row r="501">
      <c r="E501" s="50"/>
      <c r="F501" s="50"/>
    </row>
    <row r="502">
      <c r="E502" s="50"/>
      <c r="F502" s="50"/>
    </row>
    <row r="503">
      <c r="E503" s="50"/>
      <c r="F503" s="50"/>
    </row>
    <row r="504">
      <c r="E504" s="50"/>
      <c r="F504" s="50"/>
    </row>
    <row r="505">
      <c r="E505" s="50"/>
      <c r="F505" s="50"/>
    </row>
    <row r="506">
      <c r="E506" s="50"/>
      <c r="F506" s="50"/>
    </row>
    <row r="507">
      <c r="E507" s="50"/>
      <c r="F507" s="50"/>
    </row>
    <row r="508">
      <c r="E508" s="50"/>
      <c r="F508" s="50"/>
    </row>
    <row r="509">
      <c r="E509" s="50"/>
      <c r="F509" s="50"/>
    </row>
    <row r="510">
      <c r="E510" s="50"/>
      <c r="F510" s="50"/>
    </row>
    <row r="511">
      <c r="E511" s="50"/>
      <c r="F511" s="50"/>
    </row>
    <row r="512">
      <c r="E512" s="50"/>
      <c r="F512" s="50"/>
    </row>
    <row r="513">
      <c r="E513" s="50"/>
      <c r="F513" s="50"/>
    </row>
    <row r="514">
      <c r="E514" s="50"/>
      <c r="F514" s="50"/>
    </row>
    <row r="515">
      <c r="E515" s="50"/>
      <c r="F515" s="50"/>
    </row>
    <row r="516">
      <c r="E516" s="50"/>
      <c r="F516" s="50"/>
    </row>
    <row r="517">
      <c r="E517" s="50"/>
      <c r="F517" s="50"/>
    </row>
    <row r="518">
      <c r="E518" s="50"/>
      <c r="F518" s="50"/>
    </row>
    <row r="519">
      <c r="E519" s="50"/>
      <c r="F519" s="50"/>
    </row>
    <row r="520">
      <c r="E520" s="50"/>
      <c r="F520" s="50"/>
    </row>
    <row r="521">
      <c r="E521" s="50"/>
      <c r="F521" s="50"/>
    </row>
    <row r="522">
      <c r="E522" s="50"/>
      <c r="F522" s="50"/>
    </row>
    <row r="523">
      <c r="E523" s="50"/>
      <c r="F523" s="50"/>
    </row>
    <row r="524">
      <c r="E524" s="50"/>
      <c r="F524" s="50"/>
    </row>
    <row r="525">
      <c r="E525" s="50"/>
      <c r="F525" s="50"/>
    </row>
    <row r="526">
      <c r="E526" s="50"/>
      <c r="F526" s="50"/>
    </row>
    <row r="527">
      <c r="E527" s="50"/>
      <c r="F527" s="50"/>
    </row>
    <row r="528">
      <c r="E528" s="50"/>
      <c r="F528" s="50"/>
    </row>
    <row r="529">
      <c r="E529" s="50"/>
      <c r="F529" s="50"/>
    </row>
    <row r="530">
      <c r="E530" s="50"/>
      <c r="F530" s="50"/>
    </row>
    <row r="531">
      <c r="E531" s="50"/>
      <c r="F531" s="50"/>
    </row>
    <row r="532">
      <c r="E532" s="50"/>
      <c r="F532" s="50"/>
    </row>
    <row r="533">
      <c r="E533" s="50"/>
      <c r="F533" s="50"/>
    </row>
    <row r="534">
      <c r="E534" s="50"/>
      <c r="F534" s="50"/>
    </row>
    <row r="535">
      <c r="E535" s="50"/>
      <c r="F535" s="50"/>
    </row>
    <row r="536">
      <c r="E536" s="50"/>
      <c r="F536" s="50"/>
    </row>
    <row r="537">
      <c r="E537" s="50"/>
      <c r="F537" s="50"/>
    </row>
    <row r="538">
      <c r="E538" s="50"/>
      <c r="F538" s="50"/>
    </row>
    <row r="539">
      <c r="E539" s="50"/>
      <c r="F539" s="50"/>
    </row>
    <row r="540">
      <c r="E540" s="50"/>
      <c r="F540" s="50"/>
    </row>
    <row r="541">
      <c r="E541" s="50"/>
      <c r="F541" s="50"/>
    </row>
    <row r="542">
      <c r="E542" s="50"/>
      <c r="F542" s="50"/>
    </row>
    <row r="543">
      <c r="E543" s="50"/>
      <c r="F543" s="50"/>
    </row>
    <row r="544">
      <c r="E544" s="50"/>
      <c r="F544" s="50"/>
    </row>
    <row r="545">
      <c r="E545" s="50"/>
      <c r="F545" s="50"/>
    </row>
    <row r="546">
      <c r="E546" s="50"/>
      <c r="F546" s="50"/>
    </row>
    <row r="547">
      <c r="E547" s="50"/>
      <c r="F547" s="50"/>
    </row>
    <row r="548">
      <c r="E548" s="50"/>
      <c r="F548" s="50"/>
    </row>
    <row r="549">
      <c r="E549" s="50"/>
      <c r="F549" s="50"/>
    </row>
    <row r="550">
      <c r="E550" s="50"/>
      <c r="F550" s="50"/>
    </row>
    <row r="551">
      <c r="E551" s="50"/>
      <c r="F551" s="50"/>
    </row>
    <row r="552">
      <c r="E552" s="50"/>
      <c r="F552" s="50"/>
    </row>
    <row r="553">
      <c r="E553" s="50"/>
      <c r="F553" s="50"/>
    </row>
    <row r="554">
      <c r="E554" s="50"/>
      <c r="F554" s="50"/>
    </row>
    <row r="555">
      <c r="E555" s="50"/>
      <c r="F555" s="50"/>
    </row>
    <row r="556">
      <c r="E556" s="50"/>
      <c r="F556" s="50"/>
    </row>
    <row r="557">
      <c r="E557" s="50"/>
      <c r="F557" s="50"/>
    </row>
    <row r="558">
      <c r="E558" s="50"/>
      <c r="F558" s="50"/>
    </row>
    <row r="559">
      <c r="E559" s="50"/>
      <c r="F559" s="50"/>
    </row>
    <row r="560">
      <c r="E560" s="50"/>
      <c r="F560" s="50"/>
    </row>
    <row r="561">
      <c r="E561" s="50"/>
      <c r="F561" s="50"/>
    </row>
    <row r="562">
      <c r="E562" s="50"/>
      <c r="F562" s="50"/>
    </row>
    <row r="563">
      <c r="E563" s="50"/>
      <c r="F563" s="50"/>
    </row>
    <row r="564">
      <c r="E564" s="50"/>
      <c r="F564" s="50"/>
    </row>
    <row r="565">
      <c r="E565" s="50"/>
      <c r="F565" s="50"/>
    </row>
    <row r="566">
      <c r="E566" s="50"/>
      <c r="F566" s="50"/>
    </row>
    <row r="567">
      <c r="E567" s="50"/>
      <c r="F567" s="50"/>
    </row>
    <row r="568">
      <c r="E568" s="50"/>
      <c r="F568" s="50"/>
    </row>
    <row r="569">
      <c r="E569" s="50"/>
      <c r="F569" s="50"/>
    </row>
    <row r="570">
      <c r="E570" s="50"/>
      <c r="F570" s="50"/>
    </row>
    <row r="571">
      <c r="E571" s="50"/>
      <c r="F571" s="50"/>
    </row>
    <row r="572">
      <c r="E572" s="50"/>
      <c r="F572" s="50"/>
    </row>
    <row r="573">
      <c r="E573" s="50"/>
      <c r="F573" s="50"/>
    </row>
    <row r="574">
      <c r="E574" s="50"/>
      <c r="F574" s="50"/>
    </row>
    <row r="575">
      <c r="E575" s="50"/>
      <c r="F575" s="50"/>
    </row>
    <row r="576">
      <c r="E576" s="50"/>
      <c r="F576" s="50"/>
    </row>
    <row r="577">
      <c r="E577" s="50"/>
      <c r="F577" s="50"/>
    </row>
    <row r="578">
      <c r="E578" s="50"/>
      <c r="F578" s="50"/>
    </row>
    <row r="579">
      <c r="E579" s="50"/>
      <c r="F579" s="50"/>
    </row>
    <row r="580">
      <c r="E580" s="50"/>
      <c r="F580" s="50"/>
    </row>
    <row r="581">
      <c r="E581" s="50"/>
      <c r="F581" s="50"/>
    </row>
    <row r="582">
      <c r="E582" s="50"/>
      <c r="F582" s="50"/>
    </row>
    <row r="583">
      <c r="E583" s="50"/>
      <c r="F583" s="50"/>
    </row>
    <row r="584">
      <c r="E584" s="50"/>
      <c r="F584" s="50"/>
    </row>
    <row r="585">
      <c r="E585" s="50"/>
      <c r="F585" s="50"/>
    </row>
    <row r="586">
      <c r="E586" s="50"/>
      <c r="F586" s="50"/>
    </row>
    <row r="587">
      <c r="E587" s="50"/>
      <c r="F587" s="50"/>
    </row>
    <row r="588">
      <c r="E588" s="50"/>
      <c r="F588" s="50"/>
    </row>
    <row r="589">
      <c r="E589" s="50"/>
      <c r="F589" s="50"/>
    </row>
    <row r="590">
      <c r="E590" s="50"/>
      <c r="F590" s="50"/>
    </row>
    <row r="591">
      <c r="E591" s="50"/>
      <c r="F591" s="50"/>
    </row>
    <row r="592">
      <c r="E592" s="50"/>
      <c r="F592" s="50"/>
    </row>
    <row r="593">
      <c r="E593" s="50"/>
      <c r="F593" s="50"/>
    </row>
    <row r="594">
      <c r="E594" s="50"/>
      <c r="F594" s="50"/>
    </row>
    <row r="595">
      <c r="E595" s="50"/>
      <c r="F595" s="50"/>
    </row>
    <row r="596">
      <c r="E596" s="50"/>
      <c r="F596" s="50"/>
    </row>
    <row r="597">
      <c r="E597" s="50"/>
      <c r="F597" s="50"/>
    </row>
    <row r="598">
      <c r="E598" s="50"/>
      <c r="F598" s="50"/>
    </row>
    <row r="599">
      <c r="E599" s="50"/>
      <c r="F599" s="50"/>
    </row>
    <row r="600">
      <c r="E600" s="50"/>
      <c r="F600" s="50"/>
    </row>
    <row r="601">
      <c r="E601" s="50"/>
      <c r="F601" s="50"/>
    </row>
    <row r="602">
      <c r="E602" s="50"/>
      <c r="F602" s="50"/>
    </row>
    <row r="603">
      <c r="E603" s="50"/>
      <c r="F603" s="50"/>
    </row>
    <row r="604">
      <c r="E604" s="50"/>
      <c r="F604" s="50"/>
    </row>
    <row r="605">
      <c r="E605" s="50"/>
      <c r="F605" s="50"/>
    </row>
    <row r="606">
      <c r="E606" s="50"/>
      <c r="F606" s="50"/>
    </row>
    <row r="607">
      <c r="E607" s="50"/>
      <c r="F607" s="50"/>
    </row>
    <row r="608">
      <c r="E608" s="50"/>
      <c r="F608" s="50"/>
    </row>
    <row r="609">
      <c r="E609" s="50"/>
      <c r="F609" s="50"/>
    </row>
    <row r="610">
      <c r="E610" s="50"/>
      <c r="F610" s="50"/>
    </row>
    <row r="611">
      <c r="E611" s="50"/>
      <c r="F611" s="50"/>
    </row>
    <row r="612">
      <c r="E612" s="50"/>
      <c r="F612" s="50"/>
    </row>
    <row r="613">
      <c r="E613" s="50"/>
      <c r="F613" s="50"/>
    </row>
    <row r="614">
      <c r="E614" s="50"/>
      <c r="F614" s="50"/>
    </row>
    <row r="615">
      <c r="E615" s="50"/>
      <c r="F615" s="50"/>
    </row>
    <row r="616">
      <c r="E616" s="50"/>
      <c r="F616" s="50"/>
    </row>
    <row r="617">
      <c r="E617" s="50"/>
      <c r="F617" s="50"/>
    </row>
    <row r="618">
      <c r="E618" s="50"/>
      <c r="F618" s="50"/>
    </row>
    <row r="619">
      <c r="E619" s="50"/>
      <c r="F619" s="50"/>
    </row>
    <row r="620">
      <c r="E620" s="50"/>
      <c r="F620" s="50"/>
    </row>
    <row r="621">
      <c r="E621" s="50"/>
      <c r="F621" s="50"/>
    </row>
    <row r="622">
      <c r="E622" s="50"/>
      <c r="F622" s="50"/>
    </row>
    <row r="623">
      <c r="E623" s="50"/>
      <c r="F623" s="50"/>
    </row>
    <row r="624">
      <c r="E624" s="50"/>
      <c r="F624" s="50"/>
    </row>
    <row r="625">
      <c r="E625" s="50"/>
      <c r="F625" s="50"/>
    </row>
    <row r="626">
      <c r="E626" s="50"/>
      <c r="F626" s="50"/>
    </row>
    <row r="627">
      <c r="E627" s="50"/>
      <c r="F627" s="50"/>
    </row>
    <row r="628">
      <c r="E628" s="50"/>
      <c r="F628" s="50"/>
    </row>
    <row r="629">
      <c r="E629" s="50"/>
      <c r="F629" s="50"/>
    </row>
    <row r="630">
      <c r="E630" s="50"/>
      <c r="F630" s="50"/>
    </row>
    <row r="631">
      <c r="E631" s="50"/>
      <c r="F631" s="50"/>
    </row>
    <row r="632">
      <c r="E632" s="50"/>
      <c r="F632" s="50"/>
    </row>
    <row r="633">
      <c r="E633" s="50"/>
      <c r="F633" s="50"/>
    </row>
    <row r="634">
      <c r="E634" s="50"/>
      <c r="F634" s="50"/>
    </row>
    <row r="635">
      <c r="E635" s="50"/>
      <c r="F635" s="50"/>
    </row>
    <row r="636">
      <c r="E636" s="50"/>
      <c r="F636" s="50"/>
    </row>
    <row r="637">
      <c r="E637" s="50"/>
      <c r="F637" s="50"/>
    </row>
    <row r="638">
      <c r="E638" s="50"/>
      <c r="F638" s="50"/>
    </row>
    <row r="639">
      <c r="E639" s="50"/>
      <c r="F639" s="50"/>
    </row>
    <row r="640">
      <c r="E640" s="50"/>
      <c r="F640" s="50"/>
    </row>
    <row r="641">
      <c r="E641" s="50"/>
      <c r="F641" s="50"/>
    </row>
    <row r="642">
      <c r="E642" s="50"/>
      <c r="F642" s="50"/>
    </row>
    <row r="643">
      <c r="E643" s="50"/>
      <c r="F643" s="50"/>
    </row>
    <row r="644">
      <c r="E644" s="50"/>
      <c r="F644" s="50"/>
    </row>
    <row r="645">
      <c r="E645" s="50"/>
      <c r="F645" s="50"/>
    </row>
    <row r="646">
      <c r="E646" s="50"/>
      <c r="F646" s="50"/>
    </row>
    <row r="647">
      <c r="E647" s="50"/>
      <c r="F647" s="50"/>
    </row>
    <row r="648">
      <c r="E648" s="50"/>
      <c r="F648" s="50"/>
    </row>
    <row r="649">
      <c r="E649" s="50"/>
      <c r="F649" s="50"/>
    </row>
    <row r="650">
      <c r="E650" s="50"/>
      <c r="F650" s="50"/>
    </row>
    <row r="651">
      <c r="E651" s="50"/>
      <c r="F651" s="50"/>
    </row>
    <row r="652">
      <c r="E652" s="50"/>
      <c r="F652" s="50"/>
    </row>
    <row r="653">
      <c r="E653" s="50"/>
      <c r="F653" s="50"/>
    </row>
    <row r="654">
      <c r="E654" s="50"/>
      <c r="F654" s="50"/>
    </row>
    <row r="655">
      <c r="E655" s="50"/>
      <c r="F655" s="50"/>
    </row>
    <row r="656">
      <c r="E656" s="50"/>
      <c r="F656" s="50"/>
    </row>
    <row r="657">
      <c r="E657" s="50"/>
      <c r="F657" s="50"/>
    </row>
    <row r="658">
      <c r="E658" s="50"/>
      <c r="F658" s="50"/>
    </row>
    <row r="659">
      <c r="E659" s="50"/>
      <c r="F659" s="50"/>
    </row>
    <row r="660">
      <c r="E660" s="50"/>
      <c r="F660" s="50"/>
    </row>
    <row r="661">
      <c r="E661" s="50"/>
      <c r="F661" s="50"/>
    </row>
    <row r="662">
      <c r="E662" s="50"/>
      <c r="F662" s="50"/>
    </row>
    <row r="663">
      <c r="E663" s="50"/>
      <c r="F663" s="50"/>
    </row>
    <row r="664">
      <c r="E664" s="50"/>
      <c r="F664" s="50"/>
    </row>
    <row r="665">
      <c r="E665" s="50"/>
      <c r="F665" s="50"/>
    </row>
    <row r="666">
      <c r="E666" s="50"/>
      <c r="F666" s="50"/>
    </row>
    <row r="667">
      <c r="E667" s="50"/>
      <c r="F667" s="50"/>
    </row>
    <row r="668">
      <c r="E668" s="50"/>
      <c r="F668" s="50"/>
    </row>
    <row r="669">
      <c r="E669" s="50"/>
      <c r="F669" s="50"/>
    </row>
    <row r="670">
      <c r="E670" s="50"/>
      <c r="F670" s="50"/>
    </row>
    <row r="671">
      <c r="E671" s="50"/>
      <c r="F671" s="50"/>
    </row>
    <row r="672">
      <c r="E672" s="50"/>
      <c r="F672" s="50"/>
    </row>
    <row r="673">
      <c r="E673" s="50"/>
      <c r="F673" s="50"/>
    </row>
    <row r="674">
      <c r="E674" s="50"/>
      <c r="F674" s="50"/>
    </row>
    <row r="675">
      <c r="E675" s="50"/>
      <c r="F675" s="50"/>
    </row>
    <row r="676">
      <c r="E676" s="50"/>
      <c r="F676" s="50"/>
    </row>
    <row r="677">
      <c r="E677" s="50"/>
      <c r="F677" s="50"/>
    </row>
    <row r="678">
      <c r="E678" s="50"/>
      <c r="F678" s="50"/>
    </row>
    <row r="679">
      <c r="E679" s="50"/>
      <c r="F679" s="50"/>
    </row>
    <row r="680">
      <c r="E680" s="50"/>
      <c r="F680" s="50"/>
    </row>
    <row r="681">
      <c r="E681" s="50"/>
      <c r="F681" s="50"/>
    </row>
    <row r="682">
      <c r="E682" s="50"/>
      <c r="F682" s="50"/>
    </row>
    <row r="683">
      <c r="E683" s="50"/>
      <c r="F683" s="50"/>
    </row>
    <row r="684">
      <c r="E684" s="50"/>
      <c r="F684" s="50"/>
    </row>
    <row r="685">
      <c r="E685" s="50"/>
      <c r="F685" s="50"/>
    </row>
    <row r="686">
      <c r="E686" s="50"/>
      <c r="F686" s="50"/>
    </row>
    <row r="687">
      <c r="E687" s="50"/>
      <c r="F687" s="50"/>
    </row>
    <row r="688">
      <c r="E688" s="50"/>
      <c r="F688" s="50"/>
    </row>
    <row r="689">
      <c r="E689" s="50"/>
      <c r="F689" s="50"/>
    </row>
    <row r="690">
      <c r="E690" s="50"/>
      <c r="F690" s="50"/>
    </row>
    <row r="691">
      <c r="E691" s="50"/>
      <c r="F691" s="50"/>
    </row>
    <row r="692">
      <c r="E692" s="50"/>
      <c r="F692" s="50"/>
    </row>
    <row r="693">
      <c r="E693" s="50"/>
      <c r="F693" s="50"/>
    </row>
    <row r="694">
      <c r="E694" s="50"/>
      <c r="F694" s="50"/>
    </row>
    <row r="695">
      <c r="E695" s="50"/>
      <c r="F695" s="50"/>
    </row>
    <row r="696">
      <c r="E696" s="50"/>
      <c r="F696" s="50"/>
    </row>
    <row r="697">
      <c r="E697" s="50"/>
      <c r="F697" s="50"/>
    </row>
    <row r="698">
      <c r="E698" s="50"/>
      <c r="F698" s="50"/>
    </row>
    <row r="699">
      <c r="E699" s="50"/>
      <c r="F699" s="50"/>
    </row>
    <row r="700">
      <c r="E700" s="50"/>
      <c r="F700" s="50"/>
    </row>
    <row r="701">
      <c r="E701" s="50"/>
      <c r="F701" s="50"/>
    </row>
    <row r="702">
      <c r="E702" s="50"/>
      <c r="F702" s="50"/>
    </row>
    <row r="703">
      <c r="E703" s="50"/>
      <c r="F703" s="50"/>
    </row>
    <row r="704">
      <c r="E704" s="50"/>
      <c r="F704" s="50"/>
    </row>
    <row r="705">
      <c r="E705" s="50"/>
      <c r="F705" s="50"/>
    </row>
    <row r="706">
      <c r="E706" s="50"/>
      <c r="F706" s="50"/>
    </row>
    <row r="707">
      <c r="E707" s="50"/>
      <c r="F707" s="50"/>
    </row>
    <row r="708">
      <c r="E708" s="50"/>
      <c r="F708" s="50"/>
    </row>
    <row r="709">
      <c r="E709" s="50"/>
      <c r="F709" s="50"/>
    </row>
    <row r="710">
      <c r="E710" s="50"/>
      <c r="F710" s="50"/>
    </row>
    <row r="711">
      <c r="E711" s="50"/>
      <c r="F711" s="50"/>
    </row>
    <row r="712">
      <c r="E712" s="50"/>
      <c r="F712" s="50"/>
    </row>
    <row r="713">
      <c r="E713" s="50"/>
      <c r="F713" s="50"/>
    </row>
    <row r="714">
      <c r="E714" s="50"/>
      <c r="F714" s="50"/>
    </row>
    <row r="715">
      <c r="E715" s="50"/>
      <c r="F715" s="50"/>
    </row>
    <row r="716">
      <c r="E716" s="50"/>
      <c r="F716" s="50"/>
    </row>
    <row r="717">
      <c r="E717" s="50"/>
      <c r="F717" s="50"/>
    </row>
    <row r="718">
      <c r="E718" s="50"/>
      <c r="F718" s="50"/>
    </row>
    <row r="719">
      <c r="E719" s="50"/>
      <c r="F719" s="50"/>
    </row>
    <row r="720">
      <c r="E720" s="50"/>
      <c r="F720" s="50"/>
    </row>
    <row r="721">
      <c r="E721" s="50"/>
      <c r="F721" s="50"/>
    </row>
    <row r="722">
      <c r="E722" s="50"/>
      <c r="F722" s="50"/>
    </row>
    <row r="723">
      <c r="E723" s="50"/>
      <c r="F723" s="50"/>
    </row>
    <row r="724">
      <c r="E724" s="50"/>
      <c r="F724" s="50"/>
    </row>
    <row r="725">
      <c r="E725" s="50"/>
      <c r="F725" s="50"/>
    </row>
    <row r="726">
      <c r="E726" s="50"/>
      <c r="F726" s="50"/>
    </row>
    <row r="727">
      <c r="E727" s="50"/>
      <c r="F727" s="50"/>
    </row>
    <row r="728">
      <c r="E728" s="50"/>
      <c r="F728" s="50"/>
    </row>
    <row r="729">
      <c r="E729" s="50"/>
      <c r="F729" s="50"/>
    </row>
    <row r="730">
      <c r="E730" s="50"/>
      <c r="F730" s="50"/>
    </row>
    <row r="731">
      <c r="E731" s="50"/>
      <c r="F731" s="50"/>
    </row>
    <row r="732">
      <c r="E732" s="50"/>
      <c r="F732" s="50"/>
    </row>
    <row r="733">
      <c r="E733" s="50"/>
      <c r="F733" s="50"/>
    </row>
    <row r="734">
      <c r="E734" s="50"/>
      <c r="F734" s="50"/>
    </row>
    <row r="735">
      <c r="E735" s="50"/>
      <c r="F735" s="50"/>
    </row>
    <row r="736">
      <c r="E736" s="50"/>
      <c r="F736" s="50"/>
    </row>
    <row r="737">
      <c r="E737" s="50"/>
      <c r="F737" s="50"/>
    </row>
    <row r="738">
      <c r="E738" s="50"/>
      <c r="F738" s="50"/>
    </row>
    <row r="739">
      <c r="E739" s="50"/>
      <c r="F739" s="50"/>
    </row>
    <row r="740">
      <c r="E740" s="50"/>
      <c r="F740" s="50"/>
    </row>
    <row r="741">
      <c r="E741" s="50"/>
      <c r="F741" s="50"/>
    </row>
    <row r="742">
      <c r="E742" s="50"/>
      <c r="F742" s="50"/>
    </row>
    <row r="743">
      <c r="E743" s="50"/>
      <c r="F743" s="50"/>
    </row>
    <row r="744">
      <c r="E744" s="50"/>
      <c r="F744" s="50"/>
    </row>
    <row r="745">
      <c r="E745" s="50"/>
      <c r="F745" s="50"/>
    </row>
    <row r="746">
      <c r="E746" s="50"/>
      <c r="F746" s="50"/>
    </row>
    <row r="747">
      <c r="E747" s="50"/>
      <c r="F747" s="50"/>
    </row>
    <row r="748">
      <c r="E748" s="50"/>
      <c r="F748" s="50"/>
    </row>
    <row r="749">
      <c r="E749" s="50"/>
      <c r="F749" s="50"/>
    </row>
    <row r="750">
      <c r="E750" s="50"/>
      <c r="F750" s="50"/>
    </row>
    <row r="751">
      <c r="E751" s="50"/>
      <c r="F751" s="50"/>
    </row>
    <row r="752">
      <c r="E752" s="50"/>
      <c r="F752" s="50"/>
    </row>
    <row r="753">
      <c r="E753" s="50"/>
      <c r="F753" s="50"/>
    </row>
    <row r="754">
      <c r="E754" s="50"/>
      <c r="F754" s="50"/>
    </row>
    <row r="755">
      <c r="E755" s="50"/>
      <c r="F755" s="50"/>
    </row>
    <row r="756">
      <c r="E756" s="50"/>
      <c r="F756" s="50"/>
    </row>
    <row r="757">
      <c r="E757" s="50"/>
      <c r="F757" s="50"/>
    </row>
    <row r="758">
      <c r="E758" s="50"/>
      <c r="F758" s="50"/>
    </row>
    <row r="759">
      <c r="E759" s="50"/>
      <c r="F759" s="50"/>
    </row>
    <row r="760">
      <c r="E760" s="50"/>
      <c r="F760" s="50"/>
    </row>
    <row r="761">
      <c r="E761" s="50"/>
      <c r="F761" s="50"/>
    </row>
    <row r="762">
      <c r="E762" s="50"/>
      <c r="F762" s="50"/>
    </row>
    <row r="763">
      <c r="E763" s="50"/>
      <c r="F763" s="50"/>
    </row>
    <row r="764">
      <c r="E764" s="50"/>
      <c r="F764" s="50"/>
    </row>
    <row r="765">
      <c r="E765" s="50"/>
      <c r="F765" s="50"/>
    </row>
    <row r="766">
      <c r="E766" s="50"/>
      <c r="F766" s="50"/>
    </row>
    <row r="767">
      <c r="E767" s="50"/>
      <c r="F767" s="50"/>
    </row>
    <row r="768">
      <c r="E768" s="50"/>
      <c r="F768" s="50"/>
    </row>
    <row r="769">
      <c r="E769" s="50"/>
      <c r="F769" s="50"/>
    </row>
    <row r="770">
      <c r="E770" s="50"/>
      <c r="F770" s="50"/>
    </row>
    <row r="771">
      <c r="E771" s="50"/>
      <c r="F771" s="50"/>
    </row>
    <row r="772">
      <c r="E772" s="50"/>
      <c r="F772" s="50"/>
    </row>
    <row r="773">
      <c r="E773" s="50"/>
      <c r="F773" s="50"/>
    </row>
    <row r="774">
      <c r="E774" s="50"/>
      <c r="F774" s="50"/>
    </row>
    <row r="775">
      <c r="E775" s="50"/>
      <c r="F775" s="50"/>
    </row>
    <row r="776">
      <c r="E776" s="50"/>
      <c r="F776" s="50"/>
    </row>
    <row r="777">
      <c r="E777" s="50"/>
      <c r="F777" s="50"/>
    </row>
    <row r="778">
      <c r="E778" s="50"/>
      <c r="F778" s="50"/>
    </row>
    <row r="779">
      <c r="E779" s="50"/>
      <c r="F779" s="50"/>
    </row>
    <row r="780">
      <c r="E780" s="50"/>
      <c r="F780" s="50"/>
    </row>
    <row r="781">
      <c r="E781" s="50"/>
      <c r="F781" s="50"/>
    </row>
    <row r="782">
      <c r="E782" s="50"/>
      <c r="F782" s="50"/>
    </row>
    <row r="783">
      <c r="E783" s="50"/>
      <c r="F783" s="50"/>
    </row>
    <row r="784">
      <c r="E784" s="50"/>
      <c r="F784" s="50"/>
    </row>
    <row r="785">
      <c r="E785" s="50"/>
      <c r="F785" s="50"/>
    </row>
    <row r="786">
      <c r="E786" s="50"/>
      <c r="F786" s="50"/>
    </row>
    <row r="787">
      <c r="E787" s="50"/>
      <c r="F787" s="50"/>
    </row>
    <row r="788">
      <c r="E788" s="50"/>
      <c r="F788" s="50"/>
    </row>
    <row r="789">
      <c r="E789" s="50"/>
      <c r="F789" s="50"/>
    </row>
    <row r="790">
      <c r="E790" s="50"/>
      <c r="F790" s="50"/>
    </row>
    <row r="791">
      <c r="E791" s="50"/>
      <c r="F791" s="50"/>
    </row>
    <row r="792">
      <c r="E792" s="50"/>
      <c r="F792" s="50"/>
    </row>
    <row r="793">
      <c r="E793" s="50"/>
      <c r="F793" s="50"/>
    </row>
    <row r="794">
      <c r="E794" s="50"/>
      <c r="F794" s="50"/>
    </row>
    <row r="795">
      <c r="E795" s="50"/>
      <c r="F795" s="50"/>
    </row>
    <row r="796">
      <c r="E796" s="50"/>
      <c r="F796" s="50"/>
    </row>
    <row r="797">
      <c r="E797" s="50"/>
      <c r="F797" s="50"/>
    </row>
    <row r="798">
      <c r="E798" s="50"/>
      <c r="F798" s="50"/>
    </row>
    <row r="799">
      <c r="E799" s="50"/>
      <c r="F799" s="50"/>
    </row>
    <row r="800">
      <c r="E800" s="50"/>
      <c r="F800" s="50"/>
    </row>
    <row r="801">
      <c r="E801" s="50"/>
      <c r="F801" s="50"/>
    </row>
    <row r="802">
      <c r="E802" s="50"/>
      <c r="F802" s="50"/>
    </row>
    <row r="803">
      <c r="E803" s="50"/>
      <c r="F803" s="50"/>
    </row>
    <row r="804">
      <c r="E804" s="50"/>
      <c r="F804" s="50"/>
    </row>
    <row r="805">
      <c r="E805" s="50"/>
      <c r="F805" s="50"/>
    </row>
    <row r="806">
      <c r="E806" s="50"/>
      <c r="F806" s="50"/>
    </row>
    <row r="807">
      <c r="E807" s="50"/>
      <c r="F807" s="50"/>
    </row>
    <row r="808">
      <c r="E808" s="50"/>
      <c r="F808" s="50"/>
    </row>
    <row r="809">
      <c r="E809" s="50"/>
      <c r="F809" s="50"/>
    </row>
    <row r="810">
      <c r="E810" s="50"/>
      <c r="F810" s="50"/>
    </row>
    <row r="811">
      <c r="E811" s="50"/>
      <c r="F811" s="50"/>
    </row>
    <row r="812">
      <c r="E812" s="50"/>
      <c r="F812" s="50"/>
    </row>
    <row r="813">
      <c r="E813" s="50"/>
      <c r="F813" s="50"/>
    </row>
    <row r="814">
      <c r="E814" s="50"/>
      <c r="F814" s="50"/>
    </row>
    <row r="815">
      <c r="E815" s="50"/>
      <c r="F815" s="50"/>
    </row>
    <row r="816">
      <c r="E816" s="50"/>
      <c r="F816" s="50"/>
    </row>
    <row r="817">
      <c r="E817" s="50"/>
      <c r="F817" s="50"/>
    </row>
    <row r="818">
      <c r="E818" s="50"/>
      <c r="F818" s="50"/>
    </row>
    <row r="819">
      <c r="E819" s="50"/>
      <c r="F819" s="50"/>
    </row>
    <row r="820">
      <c r="E820" s="50"/>
      <c r="F820" s="50"/>
    </row>
    <row r="821">
      <c r="E821" s="50"/>
      <c r="F821" s="50"/>
    </row>
    <row r="822">
      <c r="E822" s="50"/>
      <c r="F822" s="50"/>
    </row>
    <row r="823">
      <c r="E823" s="50"/>
      <c r="F823" s="50"/>
    </row>
    <row r="824">
      <c r="E824" s="50"/>
      <c r="F824" s="50"/>
    </row>
    <row r="825">
      <c r="E825" s="50"/>
      <c r="F825" s="50"/>
    </row>
    <row r="826">
      <c r="E826" s="50"/>
      <c r="F826" s="50"/>
    </row>
    <row r="827">
      <c r="E827" s="50"/>
      <c r="F827" s="50"/>
    </row>
    <row r="828">
      <c r="E828" s="50"/>
      <c r="F828" s="50"/>
    </row>
    <row r="829">
      <c r="E829" s="50"/>
      <c r="F829" s="50"/>
    </row>
    <row r="830">
      <c r="E830" s="50"/>
      <c r="F830" s="50"/>
    </row>
    <row r="831">
      <c r="E831" s="50"/>
      <c r="F831" s="50"/>
    </row>
    <row r="832">
      <c r="E832" s="50"/>
      <c r="F832" s="50"/>
    </row>
    <row r="833">
      <c r="E833" s="50"/>
      <c r="F833" s="50"/>
    </row>
    <row r="834">
      <c r="E834" s="50"/>
      <c r="F834" s="50"/>
    </row>
    <row r="835">
      <c r="E835" s="50"/>
      <c r="F835" s="50"/>
    </row>
    <row r="836">
      <c r="E836" s="50"/>
      <c r="F836" s="50"/>
    </row>
    <row r="837">
      <c r="E837" s="50"/>
      <c r="F837" s="50"/>
    </row>
    <row r="838">
      <c r="E838" s="50"/>
      <c r="F838" s="50"/>
    </row>
    <row r="839">
      <c r="E839" s="50"/>
      <c r="F839" s="50"/>
    </row>
    <row r="840">
      <c r="E840" s="50"/>
      <c r="F840" s="50"/>
    </row>
    <row r="841">
      <c r="E841" s="50"/>
      <c r="F841" s="50"/>
    </row>
    <row r="842">
      <c r="E842" s="50"/>
      <c r="F842" s="50"/>
    </row>
    <row r="843">
      <c r="E843" s="50"/>
      <c r="F843" s="50"/>
    </row>
    <row r="844">
      <c r="E844" s="50"/>
      <c r="F844" s="50"/>
    </row>
    <row r="845">
      <c r="E845" s="50"/>
      <c r="F845" s="50"/>
    </row>
    <row r="846">
      <c r="E846" s="50"/>
      <c r="F846" s="50"/>
    </row>
    <row r="847">
      <c r="E847" s="50"/>
      <c r="F847" s="50"/>
    </row>
    <row r="848">
      <c r="E848" s="50"/>
      <c r="F848" s="50"/>
    </row>
    <row r="849">
      <c r="E849" s="50"/>
      <c r="F849" s="50"/>
    </row>
    <row r="850">
      <c r="E850" s="50"/>
      <c r="F850" s="50"/>
    </row>
    <row r="851">
      <c r="E851" s="50"/>
      <c r="F851" s="50"/>
    </row>
    <row r="852">
      <c r="E852" s="50"/>
      <c r="F852" s="50"/>
    </row>
    <row r="853">
      <c r="E853" s="50"/>
      <c r="F853" s="50"/>
    </row>
    <row r="854">
      <c r="E854" s="50"/>
      <c r="F854" s="50"/>
    </row>
    <row r="855">
      <c r="E855" s="50"/>
      <c r="F855" s="50"/>
    </row>
    <row r="856">
      <c r="E856" s="50"/>
      <c r="F856" s="50"/>
    </row>
    <row r="857">
      <c r="E857" s="50"/>
      <c r="F857" s="50"/>
    </row>
    <row r="858">
      <c r="E858" s="50"/>
      <c r="F858" s="50"/>
    </row>
    <row r="859">
      <c r="E859" s="50"/>
      <c r="F859" s="50"/>
    </row>
    <row r="860">
      <c r="E860" s="50"/>
      <c r="F860" s="50"/>
    </row>
    <row r="861">
      <c r="E861" s="50"/>
      <c r="F861" s="50"/>
    </row>
    <row r="862">
      <c r="E862" s="50"/>
      <c r="F862" s="50"/>
    </row>
    <row r="863">
      <c r="E863" s="50"/>
      <c r="F863" s="50"/>
    </row>
    <row r="864">
      <c r="E864" s="50"/>
      <c r="F864" s="50"/>
    </row>
    <row r="865">
      <c r="E865" s="50"/>
      <c r="F865" s="50"/>
    </row>
    <row r="866">
      <c r="E866" s="50"/>
      <c r="F866" s="50"/>
    </row>
    <row r="867">
      <c r="E867" s="50"/>
      <c r="F867" s="50"/>
    </row>
    <row r="868">
      <c r="E868" s="50"/>
      <c r="F868" s="50"/>
    </row>
    <row r="869">
      <c r="E869" s="50"/>
      <c r="F869" s="50"/>
    </row>
    <row r="870">
      <c r="E870" s="50"/>
      <c r="F870" s="50"/>
    </row>
    <row r="871">
      <c r="E871" s="50"/>
      <c r="F871" s="50"/>
    </row>
    <row r="872">
      <c r="E872" s="50"/>
      <c r="F872" s="50"/>
    </row>
    <row r="873">
      <c r="E873" s="50"/>
      <c r="F873" s="50"/>
    </row>
    <row r="874">
      <c r="E874" s="50"/>
      <c r="F874" s="50"/>
    </row>
    <row r="875">
      <c r="E875" s="50"/>
      <c r="F875" s="50"/>
    </row>
    <row r="876">
      <c r="E876" s="50"/>
      <c r="F876" s="50"/>
    </row>
    <row r="877">
      <c r="E877" s="50"/>
      <c r="F877" s="50"/>
    </row>
    <row r="878">
      <c r="E878" s="50"/>
      <c r="F878" s="50"/>
    </row>
    <row r="879">
      <c r="E879" s="50"/>
      <c r="F879" s="50"/>
    </row>
    <row r="880">
      <c r="E880" s="50"/>
      <c r="F880" s="50"/>
    </row>
    <row r="881">
      <c r="E881" s="50"/>
      <c r="F881" s="50"/>
    </row>
    <row r="882">
      <c r="E882" s="50"/>
      <c r="F882" s="50"/>
    </row>
    <row r="883">
      <c r="E883" s="50"/>
      <c r="F883" s="50"/>
    </row>
    <row r="884">
      <c r="E884" s="50"/>
      <c r="F884" s="50"/>
    </row>
    <row r="885">
      <c r="E885" s="50"/>
      <c r="F885" s="50"/>
    </row>
    <row r="886">
      <c r="E886" s="50"/>
      <c r="F886" s="50"/>
    </row>
    <row r="887">
      <c r="E887" s="50"/>
      <c r="F887" s="50"/>
    </row>
    <row r="888">
      <c r="E888" s="50"/>
      <c r="F888" s="50"/>
    </row>
    <row r="889">
      <c r="E889" s="50"/>
      <c r="F889" s="50"/>
    </row>
    <row r="890">
      <c r="E890" s="50"/>
      <c r="F890" s="50"/>
    </row>
    <row r="891">
      <c r="E891" s="50"/>
      <c r="F891" s="50"/>
    </row>
    <row r="892">
      <c r="E892" s="50"/>
      <c r="F892" s="50"/>
    </row>
    <row r="893">
      <c r="E893" s="50"/>
      <c r="F893" s="50"/>
    </row>
    <row r="894">
      <c r="E894" s="50"/>
      <c r="F894" s="50"/>
    </row>
    <row r="895">
      <c r="E895" s="50"/>
      <c r="F895" s="50"/>
    </row>
    <row r="896">
      <c r="E896" s="50"/>
      <c r="F896" s="50"/>
    </row>
    <row r="897">
      <c r="E897" s="50"/>
      <c r="F897" s="50"/>
    </row>
    <row r="898">
      <c r="E898" s="50"/>
      <c r="F898" s="50"/>
    </row>
    <row r="899">
      <c r="E899" s="50"/>
      <c r="F899" s="50"/>
    </row>
    <row r="900">
      <c r="E900" s="50"/>
      <c r="F900" s="50"/>
    </row>
    <row r="901">
      <c r="E901" s="50"/>
      <c r="F901" s="50"/>
    </row>
    <row r="902">
      <c r="E902" s="50"/>
      <c r="F902" s="50"/>
    </row>
    <row r="903">
      <c r="E903" s="50"/>
      <c r="F903" s="50"/>
    </row>
    <row r="904">
      <c r="E904" s="50"/>
      <c r="F904" s="50"/>
    </row>
    <row r="905">
      <c r="E905" s="50"/>
      <c r="F905" s="50"/>
    </row>
    <row r="906">
      <c r="E906" s="50"/>
      <c r="F906" s="50"/>
    </row>
    <row r="907">
      <c r="E907" s="50"/>
      <c r="F907" s="50"/>
    </row>
    <row r="908">
      <c r="E908" s="50"/>
      <c r="F908" s="50"/>
    </row>
    <row r="909">
      <c r="E909" s="50"/>
      <c r="F909" s="50"/>
    </row>
    <row r="910">
      <c r="E910" s="50"/>
      <c r="F910" s="50"/>
    </row>
    <row r="911">
      <c r="E911" s="50"/>
      <c r="F911" s="50"/>
    </row>
    <row r="912">
      <c r="E912" s="50"/>
      <c r="F912" s="50"/>
    </row>
    <row r="913">
      <c r="E913" s="50"/>
      <c r="F913" s="50"/>
    </row>
    <row r="914">
      <c r="E914" s="50"/>
      <c r="F914" s="50"/>
    </row>
    <row r="915">
      <c r="E915" s="50"/>
      <c r="F915" s="50"/>
    </row>
    <row r="916">
      <c r="E916" s="50"/>
      <c r="F916" s="50"/>
    </row>
    <row r="917">
      <c r="E917" s="50"/>
      <c r="F917" s="50"/>
    </row>
    <row r="918">
      <c r="E918" s="50"/>
      <c r="F918" s="50"/>
    </row>
    <row r="919">
      <c r="E919" s="50"/>
      <c r="F919" s="50"/>
    </row>
    <row r="920">
      <c r="E920" s="50"/>
      <c r="F920" s="50"/>
    </row>
    <row r="921">
      <c r="E921" s="50"/>
      <c r="F921" s="50"/>
    </row>
    <row r="922">
      <c r="E922" s="50"/>
      <c r="F922" s="50"/>
    </row>
    <row r="923">
      <c r="E923" s="50"/>
      <c r="F923" s="50"/>
    </row>
    <row r="924">
      <c r="E924" s="50"/>
      <c r="F924" s="50"/>
    </row>
    <row r="925">
      <c r="E925" s="50"/>
      <c r="F925" s="50"/>
    </row>
    <row r="926">
      <c r="E926" s="50"/>
      <c r="F926" s="50"/>
    </row>
    <row r="927">
      <c r="E927" s="50"/>
      <c r="F927" s="50"/>
    </row>
    <row r="928">
      <c r="E928" s="50"/>
      <c r="F928" s="50"/>
    </row>
    <row r="929">
      <c r="E929" s="50"/>
      <c r="F929" s="50"/>
    </row>
    <row r="930">
      <c r="E930" s="50"/>
      <c r="F930" s="50"/>
    </row>
    <row r="931">
      <c r="E931" s="50"/>
      <c r="F931" s="50"/>
    </row>
    <row r="932">
      <c r="E932" s="50"/>
      <c r="F932" s="50"/>
    </row>
    <row r="933">
      <c r="E933" s="50"/>
      <c r="F933" s="50"/>
    </row>
    <row r="934">
      <c r="E934" s="50"/>
      <c r="F934" s="50"/>
    </row>
    <row r="935">
      <c r="E935" s="50"/>
      <c r="F935" s="50"/>
    </row>
    <row r="936">
      <c r="E936" s="50"/>
      <c r="F936" s="50"/>
    </row>
    <row r="937">
      <c r="E937" s="50"/>
      <c r="F937" s="50"/>
    </row>
    <row r="938">
      <c r="E938" s="50"/>
      <c r="F938" s="50"/>
    </row>
    <row r="939">
      <c r="E939" s="50"/>
      <c r="F939" s="50"/>
    </row>
    <row r="940">
      <c r="E940" s="50"/>
      <c r="F940" s="50"/>
    </row>
    <row r="941">
      <c r="E941" s="50"/>
      <c r="F941" s="50"/>
    </row>
    <row r="942">
      <c r="E942" s="50"/>
      <c r="F942" s="50"/>
    </row>
    <row r="943">
      <c r="E943" s="50"/>
      <c r="F943" s="50"/>
    </row>
    <row r="944">
      <c r="E944" s="50"/>
      <c r="F944" s="50"/>
    </row>
    <row r="945">
      <c r="E945" s="50"/>
      <c r="F945" s="50"/>
    </row>
    <row r="946">
      <c r="E946" s="50"/>
      <c r="F946" s="50"/>
    </row>
    <row r="947">
      <c r="E947" s="50"/>
      <c r="F947" s="50"/>
    </row>
    <row r="948">
      <c r="E948" s="50"/>
      <c r="F948" s="50"/>
    </row>
    <row r="949">
      <c r="E949" s="50"/>
      <c r="F949" s="50"/>
    </row>
    <row r="950">
      <c r="E950" s="50"/>
      <c r="F950" s="50"/>
    </row>
    <row r="951">
      <c r="E951" s="50"/>
      <c r="F951" s="50"/>
    </row>
    <row r="952">
      <c r="E952" s="50"/>
      <c r="F952" s="50"/>
    </row>
    <row r="953">
      <c r="E953" s="50"/>
      <c r="F953" s="50"/>
    </row>
    <row r="954">
      <c r="E954" s="50"/>
      <c r="F954" s="50"/>
    </row>
    <row r="955">
      <c r="E955" s="50"/>
      <c r="F955" s="50"/>
    </row>
    <row r="956">
      <c r="E956" s="50"/>
      <c r="F956" s="50"/>
    </row>
    <row r="957">
      <c r="E957" s="50"/>
      <c r="F957" s="50"/>
    </row>
    <row r="958">
      <c r="E958" s="50"/>
      <c r="F958" s="50"/>
    </row>
    <row r="959">
      <c r="E959" s="50"/>
      <c r="F959" s="50"/>
    </row>
    <row r="960">
      <c r="E960" s="50"/>
      <c r="F960" s="50"/>
    </row>
    <row r="961">
      <c r="E961" s="50"/>
      <c r="F961" s="50"/>
    </row>
    <row r="962">
      <c r="E962" s="50"/>
      <c r="F962" s="50"/>
    </row>
    <row r="963">
      <c r="E963" s="50"/>
      <c r="F963" s="50"/>
    </row>
    <row r="964">
      <c r="E964" s="50"/>
      <c r="F964" s="50"/>
    </row>
    <row r="965">
      <c r="E965" s="50"/>
      <c r="F965" s="50"/>
    </row>
    <row r="966">
      <c r="E966" s="50"/>
      <c r="F966" s="50"/>
    </row>
    <row r="967">
      <c r="E967" s="50"/>
      <c r="F967" s="50"/>
    </row>
    <row r="968">
      <c r="E968" s="50"/>
      <c r="F968" s="50"/>
    </row>
    <row r="969">
      <c r="E969" s="50"/>
      <c r="F969" s="50"/>
    </row>
    <row r="970">
      <c r="E970" s="50"/>
      <c r="F970" s="50"/>
    </row>
    <row r="971">
      <c r="E971" s="50"/>
      <c r="F971" s="50"/>
    </row>
    <row r="972">
      <c r="E972" s="50"/>
      <c r="F972" s="50"/>
    </row>
    <row r="973">
      <c r="E973" s="50"/>
      <c r="F973" s="50"/>
    </row>
    <row r="974">
      <c r="E974" s="50"/>
      <c r="F974" s="50"/>
    </row>
    <row r="975">
      <c r="E975" s="50"/>
      <c r="F975" s="50"/>
    </row>
    <row r="976">
      <c r="E976" s="50"/>
      <c r="F976" s="50"/>
    </row>
    <row r="977">
      <c r="E977" s="50"/>
      <c r="F977" s="50"/>
    </row>
    <row r="978">
      <c r="E978" s="50"/>
      <c r="F978" s="50"/>
    </row>
    <row r="979">
      <c r="E979" s="50"/>
      <c r="F979" s="50"/>
    </row>
    <row r="980">
      <c r="E980" s="50"/>
      <c r="F980" s="50"/>
    </row>
    <row r="981">
      <c r="E981" s="50"/>
      <c r="F981" s="50"/>
    </row>
    <row r="982">
      <c r="E982" s="50"/>
      <c r="F982" s="50"/>
    </row>
    <row r="983">
      <c r="E983" s="50"/>
      <c r="F983" s="50"/>
    </row>
    <row r="984">
      <c r="E984" s="50"/>
      <c r="F984" s="50"/>
    </row>
    <row r="985">
      <c r="E985" s="50"/>
      <c r="F985" s="50"/>
    </row>
    <row r="986">
      <c r="E986" s="50"/>
      <c r="F986" s="50"/>
    </row>
    <row r="987">
      <c r="E987" s="50"/>
      <c r="F987" s="50"/>
    </row>
    <row r="988">
      <c r="E988" s="50"/>
      <c r="F988" s="50"/>
    </row>
    <row r="989">
      <c r="E989" s="50"/>
      <c r="F989" s="50"/>
    </row>
    <row r="990">
      <c r="E990" s="50"/>
      <c r="F990" s="50"/>
    </row>
    <row r="991">
      <c r="E991" s="50"/>
      <c r="F991" s="50"/>
    </row>
    <row r="992">
      <c r="E992" s="50"/>
      <c r="F992" s="50"/>
    </row>
    <row r="993">
      <c r="E993" s="50"/>
      <c r="F993" s="50"/>
    </row>
    <row r="994">
      <c r="E994" s="50"/>
      <c r="F994" s="50"/>
    </row>
    <row r="995">
      <c r="E995" s="50"/>
      <c r="F995" s="50"/>
    </row>
    <row r="996">
      <c r="E996" s="50"/>
      <c r="F996" s="50"/>
    </row>
    <row r="997">
      <c r="E997" s="50"/>
      <c r="F997" s="50"/>
    </row>
    <row r="998">
      <c r="E998" s="50"/>
      <c r="F998" s="50"/>
    </row>
    <row r="999">
      <c r="E999" s="50"/>
      <c r="F999" s="50"/>
    </row>
    <row r="1000">
      <c r="E1000" s="50"/>
      <c r="F1000" s="50"/>
    </row>
    <row r="1001">
      <c r="E1001" s="50"/>
      <c r="F1001" s="50"/>
    </row>
    <row r="1002">
      <c r="E1002" s="50"/>
      <c r="F1002" s="50"/>
    </row>
    <row r="1003">
      <c r="E1003" s="50"/>
      <c r="F1003" s="50"/>
    </row>
  </sheetData>
  <mergeCells count="8">
    <mergeCell ref="A13:D13"/>
    <mergeCell ref="B14:C14"/>
    <mergeCell ref="B15:C15"/>
    <mergeCell ref="B16:C16"/>
    <mergeCell ref="B17:C17"/>
    <mergeCell ref="B18:C18"/>
    <mergeCell ref="C19:C21"/>
    <mergeCell ref="D19:D21"/>
  </mergeCells>
  <drawing r:id="rId1"/>
</worksheet>
</file>